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ЭтаКнига"/>
  <mc:AlternateContent xmlns:mc="http://schemas.openxmlformats.org/markup-compatibility/2006">
    <mc:Choice Requires="x15">
      <x15ac:absPath xmlns:x15ac="http://schemas.microsoft.com/office/spreadsheetml/2010/11/ac" url="\\192.168.1.107\all\Актуальные Прайс-листы\Прайс-лист Vitron\"/>
    </mc:Choice>
  </mc:AlternateContent>
  <xr:revisionPtr revIDLastSave="0" documentId="13_ncr:1_{ADFC7807-3ED1-4E4B-9058-18082F2E09CC}" xr6:coauthVersionLast="47" xr6:coauthVersionMax="47" xr10:uidLastSave="{00000000-0000-0000-0000-000000000000}"/>
  <bookViews>
    <workbookView xWindow="-120" yWindow="-120" windowWidth="29040" windowHeight="15840" tabRatio="601" xr2:uid="{00000000-000D-0000-FFFF-FFFF00000000}"/>
  </bookViews>
  <sheets>
    <sheet name="Главная" sheetId="21" r:id="rId1"/>
    <sheet name="Артикул" sheetId="37" r:id="rId2"/>
    <sheet name="Описание" sheetId="81" r:id="rId3"/>
    <sheet name="Описание ВКЭ" sheetId="55" state="hidden" r:id="rId4"/>
    <sheet name="Специсполнения" sheetId="38" r:id="rId5"/>
    <sheet name="Калькулятор теплоотдач ВК" sheetId="104" r:id="rId6"/>
    <sheet name="Калькулятор теплоотдач ВКВ" sheetId="105" r:id="rId7"/>
    <sheet name="Калькулятор приточной вент" sheetId="126" r:id="rId8"/>
    <sheet name="65 ВЕНТ 24В" sheetId="82" r:id="rId9"/>
    <sheet name="70 ВЕНТ 24В" sheetId="83" r:id="rId10"/>
    <sheet name="75 ВЕНТ 24В" sheetId="84" r:id="rId11"/>
    <sheet name="80 ВЕНТ 24В" sheetId="85" r:id="rId12"/>
    <sheet name="90 ВЕНТ 24В" sheetId="86" r:id="rId13"/>
    <sheet name="110 ВЕНТ 24В" sheetId="87" r:id="rId14"/>
    <sheet name="140 ВЕНТ 24В" sheetId="113" r:id="rId15"/>
    <sheet name="150 ВЕНТ 24В" sheetId="88" r:id="rId16"/>
    <sheet name="55" sheetId="79" r:id="rId17"/>
    <sheet name="65" sheetId="73" r:id="rId18"/>
    <sheet name="70" sheetId="74" r:id="rId19"/>
    <sheet name="75" sheetId="45" r:id="rId20"/>
    <sheet name="80" sheetId="75" r:id="rId21"/>
    <sheet name="90" sheetId="42" r:id="rId22"/>
    <sheet name="110" sheetId="46" r:id="rId23"/>
    <sheet name="140" sheetId="107" r:id="rId24"/>
    <sheet name="150" sheetId="47" r:id="rId25"/>
    <sheet name="200" sheetId="65" r:id="rId26"/>
    <sheet name="300" sheetId="66" r:id="rId27"/>
    <sheet name="400" sheetId="69" r:id="rId28"/>
    <sheet name="500" sheetId="67" r:id="rId29"/>
    <sheet name="600" sheetId="68" r:id="rId30"/>
    <sheet name="ВК.МАХ.90" sheetId="120" r:id="rId31"/>
    <sheet name="ВК.МАХ.110" sheetId="121" r:id="rId32"/>
    <sheet name="ВК.МАХ.150" sheetId="122" r:id="rId33"/>
    <sheet name="ВК.МАХ.200" sheetId="123" r:id="rId34"/>
    <sheet name="ВКВТХ" sheetId="52" r:id="rId35"/>
    <sheet name="ВКВМ" sheetId="80" r:id="rId36"/>
    <sheet name="ВКВП" sheetId="64" r:id="rId37"/>
    <sheet name="ВКВ+ВКЭ" sheetId="114" r:id="rId38"/>
    <sheet name="Декоративная крышка" sheetId="125" r:id="rId39"/>
    <sheet name="Посезонная вкладка и монтаж кр" sheetId="72" r:id="rId40"/>
    <sheet name="Теплообменники" sheetId="40" r:id="rId41"/>
    <sheet name="Крепление тепл и крышки" sheetId="57" r:id="rId42"/>
    <sheet name="Вентиляторы" sheetId="41" r:id="rId43"/>
    <sheet name="Комплекты подключения" sheetId="109" r:id="rId44"/>
    <sheet name="Автоматика" sheetId="115" r:id="rId45"/>
    <sheet name="Арматура" sheetId="110" r:id="rId4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5" i="40" l="1"/>
  <c r="B124" i="40"/>
  <c r="B123" i="40"/>
  <c r="B122" i="40"/>
  <c r="B121" i="40"/>
  <c r="B120" i="40"/>
  <c r="B119" i="40"/>
  <c r="B118" i="40"/>
  <c r="B117" i="40"/>
  <c r="B116" i="40"/>
  <c r="B115" i="40"/>
  <c r="B114" i="40"/>
  <c r="B113" i="40"/>
  <c r="B112" i="40"/>
  <c r="B111" i="40"/>
  <c r="B110" i="40"/>
  <c r="B109" i="40"/>
  <c r="B108" i="40"/>
  <c r="B107" i="40"/>
  <c r="B106" i="40"/>
  <c r="B105" i="40"/>
  <c r="B104" i="40"/>
  <c r="B103" i="40"/>
  <c r="B102" i="40"/>
  <c r="B101" i="40"/>
  <c r="B100" i="40"/>
  <c r="B99" i="40"/>
  <c r="B98" i="40"/>
  <c r="B97" i="40"/>
  <c r="B96" i="40"/>
  <c r="B95" i="40"/>
  <c r="B94" i="40"/>
  <c r="B93" i="40"/>
  <c r="B92" i="40"/>
  <c r="B91" i="40"/>
  <c r="B90" i="40"/>
  <c r="B89" i="40"/>
  <c r="B88" i="40"/>
  <c r="B87" i="40"/>
  <c r="B86" i="40"/>
  <c r="B85" i="40"/>
  <c r="B84" i="40"/>
  <c r="B83" i="40"/>
  <c r="B82" i="40"/>
  <c r="B81" i="40"/>
  <c r="B80" i="40"/>
  <c r="B79" i="40"/>
  <c r="B78" i="40"/>
  <c r="B77" i="40"/>
  <c r="B76" i="40"/>
  <c r="B75" i="40"/>
  <c r="DG212" i="126"/>
  <c r="DF212" i="126"/>
  <c r="DE212" i="126"/>
  <c r="DD212" i="126"/>
  <c r="DC212" i="126"/>
  <c r="DB212" i="126"/>
  <c r="DA212" i="126"/>
  <c r="CZ212" i="126"/>
  <c r="CY212" i="126"/>
  <c r="CX212" i="126"/>
  <c r="CW212" i="126"/>
  <c r="CV212" i="126"/>
  <c r="CU212" i="126"/>
  <c r="CT212" i="126"/>
  <c r="CS212" i="126"/>
  <c r="CR212" i="126"/>
  <c r="CQ212" i="126"/>
  <c r="CP212" i="126"/>
  <c r="CO212" i="126"/>
  <c r="CN212" i="126"/>
  <c r="CM212" i="126"/>
  <c r="CL212" i="126"/>
  <c r="CK212" i="126"/>
  <c r="CJ212" i="126"/>
  <c r="CI212" i="126"/>
  <c r="CH212" i="126"/>
  <c r="CG212" i="126"/>
  <c r="CF212" i="126"/>
  <c r="CE212" i="126"/>
  <c r="CD212" i="126"/>
  <c r="CC212" i="126"/>
  <c r="CB212" i="126"/>
  <c r="CA212" i="126"/>
  <c r="BZ212" i="126"/>
  <c r="BY212" i="126"/>
  <c r="BX212" i="126"/>
  <c r="BW212" i="126"/>
  <c r="BV212" i="126"/>
  <c r="BU212" i="126"/>
  <c r="BT212" i="126"/>
  <c r="BS212" i="126"/>
  <c r="BR212" i="126"/>
  <c r="BQ212" i="126"/>
  <c r="BP212" i="126"/>
  <c r="BO212" i="126"/>
  <c r="BN212" i="126"/>
  <c r="BM212" i="126"/>
  <c r="BL212" i="126"/>
  <c r="BK212" i="126"/>
  <c r="BJ212" i="126"/>
  <c r="BI212" i="126"/>
  <c r="DG197" i="126"/>
  <c r="DF197" i="126"/>
  <c r="DE197" i="126"/>
  <c r="DD197" i="126"/>
  <c r="DC197" i="126"/>
  <c r="DB197" i="126"/>
  <c r="DA197" i="126"/>
  <c r="CZ197" i="126"/>
  <c r="CY197" i="126"/>
  <c r="CX197" i="126"/>
  <c r="CW197" i="126"/>
  <c r="CV197" i="126"/>
  <c r="CU197" i="126"/>
  <c r="CT197" i="126"/>
  <c r="CS197" i="126"/>
  <c r="CR197" i="126"/>
  <c r="CQ197" i="126"/>
  <c r="CP197" i="126"/>
  <c r="CO197" i="126"/>
  <c r="CN197" i="126"/>
  <c r="CM197" i="126"/>
  <c r="CL197" i="126"/>
  <c r="CK197" i="126"/>
  <c r="CJ197" i="126"/>
  <c r="CI197" i="126"/>
  <c r="CH197" i="126"/>
  <c r="CG197" i="126"/>
  <c r="CF197" i="126"/>
  <c r="CE197" i="126"/>
  <c r="CD197" i="126"/>
  <c r="CC197" i="126"/>
  <c r="CB197" i="126"/>
  <c r="CA197" i="126"/>
  <c r="BZ197" i="126"/>
  <c r="BY197" i="126"/>
  <c r="BX197" i="126"/>
  <c r="BW197" i="126"/>
  <c r="BV197" i="126"/>
  <c r="BU197" i="126"/>
  <c r="BT197" i="126"/>
  <c r="BS197" i="126"/>
  <c r="BR197" i="126"/>
  <c r="BQ197" i="126"/>
  <c r="BP197" i="126"/>
  <c r="BO197" i="126"/>
  <c r="BN197" i="126"/>
  <c r="BM197" i="126"/>
  <c r="BL197" i="126"/>
  <c r="BK197" i="126"/>
  <c r="BJ197" i="126"/>
  <c r="BI197" i="126"/>
  <c r="DG182" i="126"/>
  <c r="DF182" i="126"/>
  <c r="DE182" i="126"/>
  <c r="DD182" i="126"/>
  <c r="DC182" i="126"/>
  <c r="DB182" i="126"/>
  <c r="DA182" i="126"/>
  <c r="CZ182" i="126"/>
  <c r="CY182" i="126"/>
  <c r="CX182" i="126"/>
  <c r="CW182" i="126"/>
  <c r="CV182" i="126"/>
  <c r="CU182" i="126"/>
  <c r="CT182" i="126"/>
  <c r="CS182" i="126"/>
  <c r="CR182" i="126"/>
  <c r="CQ182" i="126"/>
  <c r="CP182" i="126"/>
  <c r="CO182" i="126"/>
  <c r="CN182" i="126"/>
  <c r="CM182" i="126"/>
  <c r="CL182" i="126"/>
  <c r="CK182" i="126"/>
  <c r="CJ182" i="126"/>
  <c r="CI182" i="126"/>
  <c r="CH182" i="126"/>
  <c r="CG182" i="126"/>
  <c r="CF182" i="126"/>
  <c r="CE182" i="126"/>
  <c r="CD182" i="126"/>
  <c r="CC182" i="126"/>
  <c r="CB182" i="126"/>
  <c r="CA182" i="126"/>
  <c r="BZ182" i="126"/>
  <c r="BY182" i="126"/>
  <c r="BX182" i="126"/>
  <c r="BW182" i="126"/>
  <c r="BV182" i="126"/>
  <c r="BU182" i="126"/>
  <c r="BT182" i="126"/>
  <c r="BS182" i="126"/>
  <c r="BR182" i="126"/>
  <c r="BQ182" i="126"/>
  <c r="BP182" i="126"/>
  <c r="BO182" i="126"/>
  <c r="BN182" i="126"/>
  <c r="BM182" i="126"/>
  <c r="BL182" i="126"/>
  <c r="BK182" i="126"/>
  <c r="DG163" i="126"/>
  <c r="DF163" i="126"/>
  <c r="DE163" i="126"/>
  <c r="DD163" i="126"/>
  <c r="DC163" i="126"/>
  <c r="DB163" i="126"/>
  <c r="DA163" i="126"/>
  <c r="CZ163" i="126"/>
  <c r="CY163" i="126"/>
  <c r="CX163" i="126"/>
  <c r="CW163" i="126"/>
  <c r="CV163" i="126"/>
  <c r="CU163" i="126"/>
  <c r="CT163" i="126"/>
  <c r="CS163" i="126"/>
  <c r="CR163" i="126"/>
  <c r="CQ163" i="126"/>
  <c r="CP163" i="126"/>
  <c r="CO163" i="126"/>
  <c r="CN163" i="126"/>
  <c r="CM163" i="126"/>
  <c r="CL163" i="126"/>
  <c r="CK163" i="126"/>
  <c r="CJ163" i="126"/>
  <c r="CI163" i="126"/>
  <c r="CH163" i="126"/>
  <c r="CG163" i="126"/>
  <c r="CF163" i="126"/>
  <c r="CE163" i="126"/>
  <c r="CD163" i="126"/>
  <c r="CC163" i="126"/>
  <c r="CB163" i="126"/>
  <c r="CA163" i="126"/>
  <c r="BZ163" i="126"/>
  <c r="BY163" i="126"/>
  <c r="BX163" i="126"/>
  <c r="BW163" i="126"/>
  <c r="BV163" i="126"/>
  <c r="BU163" i="126"/>
  <c r="BT163" i="126"/>
  <c r="BS163" i="126"/>
  <c r="BR163" i="126"/>
  <c r="BQ163" i="126"/>
  <c r="BP163" i="126"/>
  <c r="BO163" i="126"/>
  <c r="BN163" i="126"/>
  <c r="BM163" i="126"/>
  <c r="BL163" i="126"/>
  <c r="BK163" i="126"/>
  <c r="BB150" i="126"/>
  <c r="BG148" i="126"/>
  <c r="AR148" i="126"/>
  <c r="BC146" i="126"/>
  <c r="AN143" i="126"/>
  <c r="AB143" i="126"/>
  <c r="DG135" i="126"/>
  <c r="DF135" i="126"/>
  <c r="DE135" i="126"/>
  <c r="DD135" i="126"/>
  <c r="DC135" i="126"/>
  <c r="DB135" i="126"/>
  <c r="DA135" i="126"/>
  <c r="CZ135" i="126"/>
  <c r="CY135" i="126"/>
  <c r="CX135" i="126"/>
  <c r="CW135" i="126"/>
  <c r="CV135" i="126"/>
  <c r="CU135" i="126"/>
  <c r="CT135" i="126"/>
  <c r="CS135" i="126"/>
  <c r="CR135" i="126"/>
  <c r="CQ135" i="126"/>
  <c r="CP135" i="126"/>
  <c r="CO135" i="126"/>
  <c r="CN135" i="126"/>
  <c r="CM135" i="126"/>
  <c r="CL135" i="126"/>
  <c r="CK135" i="126"/>
  <c r="CJ135" i="126"/>
  <c r="CI135" i="126"/>
  <c r="CH135" i="126"/>
  <c r="CG135" i="126"/>
  <c r="CF135" i="126"/>
  <c r="CE135" i="126"/>
  <c r="CD135" i="126"/>
  <c r="CC135" i="126"/>
  <c r="CB135" i="126"/>
  <c r="CA135" i="126"/>
  <c r="BZ135" i="126"/>
  <c r="BY135" i="126"/>
  <c r="BX135" i="126"/>
  <c r="BW135" i="126"/>
  <c r="BV135" i="126"/>
  <c r="BU135" i="126"/>
  <c r="BT135" i="126"/>
  <c r="BS135" i="126"/>
  <c r="BR135" i="126"/>
  <c r="BQ135" i="126"/>
  <c r="BP135" i="126"/>
  <c r="BO135" i="126"/>
  <c r="BN135" i="126"/>
  <c r="BM135" i="126"/>
  <c r="BL135" i="126"/>
  <c r="BK135" i="126"/>
  <c r="BJ135" i="126"/>
  <c r="BI135" i="126"/>
  <c r="BH135" i="126"/>
  <c r="BG135" i="126"/>
  <c r="BF135" i="126"/>
  <c r="BE135" i="126"/>
  <c r="BD135" i="126"/>
  <c r="BC135" i="126"/>
  <c r="BB135" i="126"/>
  <c r="BA135" i="126"/>
  <c r="AZ135" i="126"/>
  <c r="AY135" i="126"/>
  <c r="AX135" i="126"/>
  <c r="AW135" i="126"/>
  <c r="AV135" i="126"/>
  <c r="AU135" i="126"/>
  <c r="AT135" i="126"/>
  <c r="AS135" i="126"/>
  <c r="AR135" i="126"/>
  <c r="AQ135" i="126"/>
  <c r="AP135" i="126"/>
  <c r="AO135" i="126"/>
  <c r="AN135" i="126"/>
  <c r="AM135" i="126"/>
  <c r="AL135" i="126"/>
  <c r="AK135" i="126"/>
  <c r="AJ135" i="126"/>
  <c r="AI135" i="126"/>
  <c r="AH135" i="126"/>
  <c r="AG135" i="126"/>
  <c r="AF135" i="126"/>
  <c r="AE135" i="126"/>
  <c r="AD135" i="126"/>
  <c r="AC135" i="126"/>
  <c r="AB135" i="126"/>
  <c r="AA135" i="126"/>
  <c r="Z135" i="126"/>
  <c r="Y135" i="126"/>
  <c r="X135" i="126"/>
  <c r="W135" i="126"/>
  <c r="V135" i="126"/>
  <c r="U135" i="126"/>
  <c r="T135" i="126"/>
  <c r="S135" i="126"/>
  <c r="R135" i="126"/>
  <c r="Q135" i="126"/>
  <c r="P135" i="126"/>
  <c r="O135" i="126"/>
  <c r="N135" i="126"/>
  <c r="M135" i="126"/>
  <c r="L135" i="126"/>
  <c r="K135" i="126"/>
  <c r="S122" i="126"/>
  <c r="S123" i="126" s="1"/>
  <c r="S124" i="126" s="1"/>
  <c r="S125" i="126" s="1"/>
  <c r="S126" i="126" s="1"/>
  <c r="P122" i="126"/>
  <c r="P123" i="126" s="1"/>
  <c r="P124" i="126" s="1"/>
  <c r="P125" i="126" s="1"/>
  <c r="P126" i="126" s="1"/>
  <c r="R121" i="126"/>
  <c r="Q121" i="126"/>
  <c r="P121" i="126"/>
  <c r="N121" i="126"/>
  <c r="M121" i="126"/>
  <c r="L121" i="126"/>
  <c r="R120" i="126"/>
  <c r="O120" i="126"/>
  <c r="N120" i="126"/>
  <c r="R119" i="126"/>
  <c r="Q119" i="126"/>
  <c r="O119" i="126"/>
  <c r="N119" i="126"/>
  <c r="M119" i="126"/>
  <c r="L119" i="126"/>
  <c r="R118" i="126"/>
  <c r="Q118" i="126"/>
  <c r="O118" i="126"/>
  <c r="N118" i="126"/>
  <c r="M110" i="126"/>
  <c r="S109" i="126"/>
  <c r="S110" i="126" s="1"/>
  <c r="S111" i="126" s="1"/>
  <c r="S112" i="126" s="1"/>
  <c r="S113" i="126" s="1"/>
  <c r="M109" i="126"/>
  <c r="R109" i="126" s="1"/>
  <c r="L109" i="126"/>
  <c r="R108" i="126"/>
  <c r="Q108" i="126"/>
  <c r="P108" i="126"/>
  <c r="N108" i="126"/>
  <c r="M108" i="126"/>
  <c r="L108" i="126"/>
  <c r="R107" i="126"/>
  <c r="O107" i="126"/>
  <c r="N107" i="126"/>
  <c r="M107" i="126"/>
  <c r="Q107" i="126" s="1"/>
  <c r="Q105" i="126" s="1"/>
  <c r="Q103" i="126" s="1"/>
  <c r="L107" i="126"/>
  <c r="R106" i="126"/>
  <c r="Q106" i="126"/>
  <c r="O106" i="126"/>
  <c r="N106" i="126"/>
  <c r="M106" i="126"/>
  <c r="L106" i="126" s="1"/>
  <c r="R105" i="126"/>
  <c r="R103" i="126" s="1"/>
  <c r="O105" i="126"/>
  <c r="N105" i="126"/>
  <c r="N103" i="126" s="1"/>
  <c r="R104" i="126"/>
  <c r="R102" i="126" s="1"/>
  <c r="Q104" i="126"/>
  <c r="Q102" i="126" s="1"/>
  <c r="O104" i="126"/>
  <c r="O102" i="126" s="1"/>
  <c r="N104" i="126"/>
  <c r="N102" i="126" s="1"/>
  <c r="M104" i="126"/>
  <c r="L104" i="126" s="1"/>
  <c r="O103" i="126"/>
  <c r="Q89" i="126"/>
  <c r="N89" i="126"/>
  <c r="M89" i="126"/>
  <c r="L89" i="126"/>
  <c r="S88" i="126"/>
  <c r="R88" i="126"/>
  <c r="Q88" i="126"/>
  <c r="P88" i="126"/>
  <c r="O88" i="126"/>
  <c r="N88" i="126"/>
  <c r="M88" i="126"/>
  <c r="L88" i="126"/>
  <c r="S87" i="126"/>
  <c r="R87" i="126"/>
  <c r="Q87" i="126"/>
  <c r="P87" i="126"/>
  <c r="O87" i="126"/>
  <c r="N87" i="126"/>
  <c r="M87" i="126"/>
  <c r="L87" i="126"/>
  <c r="S86" i="126"/>
  <c r="R86" i="126"/>
  <c r="Q86" i="126"/>
  <c r="P86" i="126"/>
  <c r="O86" i="126"/>
  <c r="N86" i="126"/>
  <c r="M86" i="126"/>
  <c r="L86" i="126"/>
  <c r="S70" i="126"/>
  <c r="R70" i="126"/>
  <c r="Q70" i="126"/>
  <c r="P70" i="126"/>
  <c r="O70" i="126"/>
  <c r="N70" i="126"/>
  <c r="M70" i="126"/>
  <c r="L70" i="126"/>
  <c r="S69" i="126"/>
  <c r="R69" i="126"/>
  <c r="Q69" i="126"/>
  <c r="P69" i="126"/>
  <c r="O69" i="126"/>
  <c r="N69" i="126"/>
  <c r="M69" i="126"/>
  <c r="L69" i="126"/>
  <c r="S68" i="126"/>
  <c r="R68" i="126"/>
  <c r="Q68" i="126"/>
  <c r="P68" i="126"/>
  <c r="O68" i="126"/>
  <c r="N68" i="126"/>
  <c r="M68" i="126"/>
  <c r="L68" i="126"/>
  <c r="S67" i="126"/>
  <c r="R67" i="126"/>
  <c r="Q67" i="126"/>
  <c r="P67" i="126"/>
  <c r="O67" i="126"/>
  <c r="N67" i="126"/>
  <c r="M67" i="126"/>
  <c r="L67" i="126"/>
  <c r="AV56" i="126"/>
  <c r="AU56" i="126"/>
  <c r="AT56" i="126"/>
  <c r="AS56" i="126"/>
  <c r="AR56" i="126"/>
  <c r="AQ56" i="126"/>
  <c r="AP56" i="126"/>
  <c r="AO56" i="126"/>
  <c r="AV55" i="126"/>
  <c r="AU55" i="126"/>
  <c r="AT55" i="126"/>
  <c r="AS55" i="126"/>
  <c r="AR55" i="126"/>
  <c r="AQ55" i="126"/>
  <c r="AP55" i="126"/>
  <c r="AO55" i="126"/>
  <c r="AV54" i="126"/>
  <c r="AU54" i="126"/>
  <c r="AT54" i="126"/>
  <c r="AS54" i="126"/>
  <c r="AR54" i="126"/>
  <c r="AQ54" i="126"/>
  <c r="AP54" i="126"/>
  <c r="AO54" i="126"/>
  <c r="AV53" i="126"/>
  <c r="AU53" i="126"/>
  <c r="AT53" i="126"/>
  <c r="AS53" i="126"/>
  <c r="AR53" i="126"/>
  <c r="AQ53" i="126"/>
  <c r="AP53" i="126"/>
  <c r="AO53" i="126"/>
  <c r="AV52" i="126"/>
  <c r="AU52" i="126"/>
  <c r="AT52" i="126"/>
  <c r="AS52" i="126"/>
  <c r="AR52" i="126"/>
  <c r="AQ52" i="126"/>
  <c r="AP52" i="126"/>
  <c r="AO52" i="126"/>
  <c r="S52" i="126"/>
  <c r="Q52" i="126"/>
  <c r="O52" i="126" s="1"/>
  <c r="P52" i="126"/>
  <c r="M52" i="126"/>
  <c r="L52" i="126"/>
  <c r="T51" i="126"/>
  <c r="S51" i="126"/>
  <c r="R51" i="126"/>
  <c r="Q51" i="126"/>
  <c r="P51" i="126"/>
  <c r="O51" i="126"/>
  <c r="N51" i="126"/>
  <c r="M51" i="126"/>
  <c r="L51" i="126"/>
  <c r="AV50" i="126"/>
  <c r="AU50" i="126"/>
  <c r="AT50" i="126"/>
  <c r="AS50" i="126"/>
  <c r="AR50" i="126"/>
  <c r="AQ50" i="126"/>
  <c r="AP50" i="126"/>
  <c r="AO50" i="126"/>
  <c r="T50" i="126"/>
  <c r="P50" i="126"/>
  <c r="AV49" i="126"/>
  <c r="AU49" i="126"/>
  <c r="AT49" i="126"/>
  <c r="AS49" i="126"/>
  <c r="AR49" i="126"/>
  <c r="AQ49" i="126"/>
  <c r="AP49" i="126"/>
  <c r="AO49" i="126"/>
  <c r="T49" i="126"/>
  <c r="P49" i="126"/>
  <c r="AV48" i="126"/>
  <c r="AU48" i="126"/>
  <c r="AT48" i="126"/>
  <c r="AS48" i="126"/>
  <c r="AR48" i="126"/>
  <c r="AQ48" i="126"/>
  <c r="AP48" i="126"/>
  <c r="AO48" i="126"/>
  <c r="AV47" i="126"/>
  <c r="AU47" i="126"/>
  <c r="AT47" i="126"/>
  <c r="AS47" i="126"/>
  <c r="AR47" i="126"/>
  <c r="AQ47" i="126"/>
  <c r="AP47" i="126"/>
  <c r="AO47" i="126"/>
  <c r="AV46" i="126"/>
  <c r="AU46" i="126"/>
  <c r="AT46" i="126"/>
  <c r="AS46" i="126"/>
  <c r="AR46" i="126"/>
  <c r="AQ46" i="126"/>
  <c r="AP46" i="126"/>
  <c r="AO46" i="126"/>
  <c r="AV45" i="126"/>
  <c r="AU45" i="126"/>
  <c r="AT45" i="126"/>
  <c r="AS45" i="126"/>
  <c r="AR45" i="126"/>
  <c r="AQ45" i="126"/>
  <c r="AP45" i="126"/>
  <c r="AO45" i="126"/>
  <c r="AT44" i="126"/>
  <c r="AS44" i="126"/>
  <c r="AR44" i="126"/>
  <c r="AQ44" i="126"/>
  <c r="AP44" i="126"/>
  <c r="AO44" i="126"/>
  <c r="T35" i="126"/>
  <c r="S35" i="126" s="1"/>
  <c r="S34" i="126" s="1"/>
  <c r="R35" i="126"/>
  <c r="Q35" i="126" s="1"/>
  <c r="Q34" i="126" s="1"/>
  <c r="O34" i="126" s="1"/>
  <c r="O35" i="126"/>
  <c r="N35" i="126"/>
  <c r="N34" i="126" s="1"/>
  <c r="M34" i="126" s="1"/>
  <c r="L34" i="126" s="1"/>
  <c r="T34" i="126"/>
  <c r="R34" i="126"/>
  <c r="P34" i="126" s="1"/>
  <c r="S33" i="126"/>
  <c r="T33" i="126" s="1"/>
  <c r="R33" i="126"/>
  <c r="O33" i="126"/>
  <c r="O31" i="126" s="1"/>
  <c r="O29" i="126" s="1"/>
  <c r="N33" i="126"/>
  <c r="N31" i="126" s="1"/>
  <c r="N29" i="126" s="1"/>
  <c r="T32" i="126"/>
  <c r="S32" i="126"/>
  <c r="R32" i="126"/>
  <c r="O32" i="126"/>
  <c r="P32" i="126" s="1"/>
  <c r="N32" i="126"/>
  <c r="M32" i="126"/>
  <c r="M33" i="126" s="1"/>
  <c r="L33" i="126" s="1"/>
  <c r="L32" i="126"/>
  <c r="S31" i="126"/>
  <c r="S29" i="126" s="1"/>
  <c r="R31" i="126"/>
  <c r="R29" i="126" s="1"/>
  <c r="S30" i="126"/>
  <c r="S28" i="126" s="1"/>
  <c r="R30" i="126"/>
  <c r="O30" i="126"/>
  <c r="N30" i="126"/>
  <c r="N28" i="126" s="1"/>
  <c r="R28" i="126"/>
  <c r="O28" i="126"/>
  <c r="Y23" i="126"/>
  <c r="X23" i="126"/>
  <c r="W23" i="126"/>
  <c r="V23" i="126"/>
  <c r="U23" i="126"/>
  <c r="Y22" i="126"/>
  <c r="X22" i="126"/>
  <c r="W22" i="126"/>
  <c r="V22" i="126"/>
  <c r="U22" i="126"/>
  <c r="Y21" i="126"/>
  <c r="X21" i="126"/>
  <c r="W21" i="126"/>
  <c r="V21" i="126"/>
  <c r="U21" i="126"/>
  <c r="Y20" i="126"/>
  <c r="X20" i="126"/>
  <c r="W20" i="126"/>
  <c r="V20" i="126"/>
  <c r="U20" i="126"/>
  <c r="K12" i="126"/>
  <c r="K11" i="126"/>
  <c r="C8" i="126"/>
  <c r="BC180" i="126" s="1"/>
  <c r="BE220" i="126" l="1"/>
  <c r="AS220" i="126"/>
  <c r="AG220" i="126"/>
  <c r="U220" i="126"/>
  <c r="I220" i="126"/>
  <c r="BD220" i="126"/>
  <c r="AR220" i="126"/>
  <c r="AF220" i="126"/>
  <c r="T220" i="126"/>
  <c r="BC220" i="126"/>
  <c r="AQ220" i="126"/>
  <c r="AE220" i="126"/>
  <c r="S220" i="126"/>
  <c r="BB220" i="126"/>
  <c r="AP220" i="126"/>
  <c r="AD220" i="126"/>
  <c r="R220" i="126"/>
  <c r="BA220" i="126"/>
  <c r="AO220" i="126"/>
  <c r="AC220" i="126"/>
  <c r="Q220" i="126"/>
  <c r="AZ220" i="126"/>
  <c r="AN220" i="126"/>
  <c r="AB220" i="126"/>
  <c r="P220" i="126"/>
  <c r="AY220" i="126"/>
  <c r="AM220" i="126"/>
  <c r="AA220" i="126"/>
  <c r="O220" i="126"/>
  <c r="AX220" i="126"/>
  <c r="AL220" i="126"/>
  <c r="Z220" i="126"/>
  <c r="N220" i="126"/>
  <c r="AW220" i="126"/>
  <c r="AK220" i="126"/>
  <c r="Y220" i="126"/>
  <c r="M220" i="126"/>
  <c r="BF220" i="126"/>
  <c r="AT220" i="126"/>
  <c r="AH220" i="126"/>
  <c r="V220" i="126"/>
  <c r="J220" i="126"/>
  <c r="L220" i="126"/>
  <c r="K220" i="126"/>
  <c r="BG220" i="126"/>
  <c r="AV220" i="126"/>
  <c r="AU220" i="126"/>
  <c r="AJ220" i="126"/>
  <c r="W220" i="126"/>
  <c r="AI220" i="126"/>
  <c r="X220" i="126"/>
  <c r="BB200" i="126"/>
  <c r="AP200" i="126"/>
  <c r="AD200" i="126"/>
  <c r="R200" i="126"/>
  <c r="BA200" i="126"/>
  <c r="AO200" i="126"/>
  <c r="AC200" i="126"/>
  <c r="Q200" i="126"/>
  <c r="AZ200" i="126"/>
  <c r="AN200" i="126"/>
  <c r="AB200" i="126"/>
  <c r="P200" i="126"/>
  <c r="AY200" i="126"/>
  <c r="AM200" i="126"/>
  <c r="AA200" i="126"/>
  <c r="O200" i="126"/>
  <c r="AX200" i="126"/>
  <c r="AL200" i="126"/>
  <c r="Z200" i="126"/>
  <c r="N200" i="126"/>
  <c r="AW200" i="126"/>
  <c r="AK200" i="126"/>
  <c r="Y200" i="126"/>
  <c r="M200" i="126"/>
  <c r="AV200" i="126"/>
  <c r="AJ200" i="126"/>
  <c r="X200" i="126"/>
  <c r="L200" i="126"/>
  <c r="BG200" i="126"/>
  <c r="AU200" i="126"/>
  <c r="AI200" i="126"/>
  <c r="W200" i="126"/>
  <c r="K200" i="126"/>
  <c r="BF200" i="126"/>
  <c r="AT200" i="126"/>
  <c r="AH200" i="126"/>
  <c r="V200" i="126"/>
  <c r="J200" i="126"/>
  <c r="BC200" i="126"/>
  <c r="AQ200" i="126"/>
  <c r="AE200" i="126"/>
  <c r="S200" i="126"/>
  <c r="BD200" i="126"/>
  <c r="AS200" i="126"/>
  <c r="AR200" i="126"/>
  <c r="AG200" i="126"/>
  <c r="AF200" i="126"/>
  <c r="U200" i="126"/>
  <c r="T200" i="126"/>
  <c r="I200" i="126"/>
  <c r="BE200" i="126"/>
  <c r="AZ143" i="126"/>
  <c r="AB151" i="126"/>
  <c r="AU166" i="126"/>
  <c r="AV213" i="126"/>
  <c r="AJ213" i="126"/>
  <c r="AZ213" i="126"/>
  <c r="AM213" i="126"/>
  <c r="Z213" i="126"/>
  <c r="N213" i="126"/>
  <c r="AY213" i="126"/>
  <c r="AL213" i="126"/>
  <c r="Y213" i="126"/>
  <c r="M213" i="126"/>
  <c r="AX213" i="126"/>
  <c r="AK213" i="126"/>
  <c r="X213" i="126"/>
  <c r="L213" i="126"/>
  <c r="AW213" i="126"/>
  <c r="AI213" i="126"/>
  <c r="W213" i="126"/>
  <c r="K213" i="126"/>
  <c r="AU213" i="126"/>
  <c r="AH213" i="126"/>
  <c r="V213" i="126"/>
  <c r="J213" i="126"/>
  <c r="BG213" i="126"/>
  <c r="AT213" i="126"/>
  <c r="AG213" i="126"/>
  <c r="U213" i="126"/>
  <c r="I213" i="126"/>
  <c r="BF213" i="126"/>
  <c r="AS213" i="126"/>
  <c r="AF213" i="126"/>
  <c r="T213" i="126"/>
  <c r="BE213" i="126"/>
  <c r="AR213" i="126"/>
  <c r="AE213" i="126"/>
  <c r="S213" i="126"/>
  <c r="BD213" i="126"/>
  <c r="AQ213" i="126"/>
  <c r="AD213" i="126"/>
  <c r="R213" i="126"/>
  <c r="BA213" i="126"/>
  <c r="AN213" i="126"/>
  <c r="AA213" i="126"/>
  <c r="O213" i="126"/>
  <c r="AC213" i="126"/>
  <c r="AB213" i="126"/>
  <c r="Q213" i="126"/>
  <c r="P213" i="126"/>
  <c r="BC213" i="126"/>
  <c r="AO213" i="126"/>
  <c r="BB213" i="126"/>
  <c r="AP213" i="126"/>
  <c r="AV194" i="126"/>
  <c r="AJ194" i="126"/>
  <c r="X194" i="126"/>
  <c r="L194" i="126"/>
  <c r="BF194" i="126"/>
  <c r="AT194" i="126"/>
  <c r="AH194" i="126"/>
  <c r="V194" i="126"/>
  <c r="J194" i="126"/>
  <c r="BE194" i="126"/>
  <c r="AS194" i="126"/>
  <c r="AG194" i="126"/>
  <c r="U194" i="126"/>
  <c r="I194" i="126"/>
  <c r="BC194" i="126"/>
  <c r="AQ194" i="126"/>
  <c r="AE194" i="126"/>
  <c r="S194" i="126"/>
  <c r="BB194" i="126"/>
  <c r="AL194" i="126"/>
  <c r="R194" i="126"/>
  <c r="BA194" i="126"/>
  <c r="AK194" i="126"/>
  <c r="Q194" i="126"/>
  <c r="AZ194" i="126"/>
  <c r="AI194" i="126"/>
  <c r="P194" i="126"/>
  <c r="AY194" i="126"/>
  <c r="AF194" i="126"/>
  <c r="O194" i="126"/>
  <c r="AX194" i="126"/>
  <c r="AD194" i="126"/>
  <c r="N194" i="126"/>
  <c r="AW194" i="126"/>
  <c r="AC194" i="126"/>
  <c r="M194" i="126"/>
  <c r="AU194" i="126"/>
  <c r="AB194" i="126"/>
  <c r="K194" i="126"/>
  <c r="AR194" i="126"/>
  <c r="AA194" i="126"/>
  <c r="AP194" i="126"/>
  <c r="Z194" i="126"/>
  <c r="AO194" i="126"/>
  <c r="Y194" i="126"/>
  <c r="BG194" i="126"/>
  <c r="BD194" i="126"/>
  <c r="AN194" i="126"/>
  <c r="AM194" i="126"/>
  <c r="W194" i="126"/>
  <c r="T194" i="126"/>
  <c r="AV201" i="126"/>
  <c r="AJ201" i="126"/>
  <c r="X201" i="126"/>
  <c r="L201" i="126"/>
  <c r="BG201" i="126"/>
  <c r="AU201" i="126"/>
  <c r="AI201" i="126"/>
  <c r="W201" i="126"/>
  <c r="K201" i="126"/>
  <c r="BF201" i="126"/>
  <c r="AT201" i="126"/>
  <c r="AH201" i="126"/>
  <c r="V201" i="126"/>
  <c r="J201" i="126"/>
  <c r="BE201" i="126"/>
  <c r="AS201" i="126"/>
  <c r="AG201" i="126"/>
  <c r="U201" i="126"/>
  <c r="I201" i="126"/>
  <c r="BD201" i="126"/>
  <c r="AR201" i="126"/>
  <c r="AF201" i="126"/>
  <c r="T201" i="126"/>
  <c r="BC201" i="126"/>
  <c r="AQ201" i="126"/>
  <c r="AE201" i="126"/>
  <c r="S201" i="126"/>
  <c r="BB201" i="126"/>
  <c r="AP201" i="126"/>
  <c r="AD201" i="126"/>
  <c r="R201" i="126"/>
  <c r="BA201" i="126"/>
  <c r="AO201" i="126"/>
  <c r="AC201" i="126"/>
  <c r="Q201" i="126"/>
  <c r="AZ201" i="126"/>
  <c r="AN201" i="126"/>
  <c r="AB201" i="126"/>
  <c r="P201" i="126"/>
  <c r="AW201" i="126"/>
  <c r="AK201" i="126"/>
  <c r="Y201" i="126"/>
  <c r="M201" i="126"/>
  <c r="Z201" i="126"/>
  <c r="O201" i="126"/>
  <c r="N201" i="126"/>
  <c r="AY201" i="126"/>
  <c r="AX201" i="126"/>
  <c r="AM201" i="126"/>
  <c r="AL201" i="126"/>
  <c r="AA201" i="126"/>
  <c r="CY229" i="126"/>
  <c r="CM229" i="126"/>
  <c r="CA229" i="126"/>
  <c r="DE229" i="126"/>
  <c r="CR229" i="126"/>
  <c r="CE229" i="126"/>
  <c r="BR229" i="126"/>
  <c r="BF229" i="126"/>
  <c r="AT229" i="126"/>
  <c r="AH229" i="126"/>
  <c r="V229" i="126"/>
  <c r="J229" i="126"/>
  <c r="DD229" i="126"/>
  <c r="CQ229" i="126"/>
  <c r="CD229" i="126"/>
  <c r="BQ229" i="126"/>
  <c r="BE229" i="126"/>
  <c r="AS229" i="126"/>
  <c r="AG229" i="126"/>
  <c r="U229" i="126"/>
  <c r="I229" i="126"/>
  <c r="DC229" i="126"/>
  <c r="CP229" i="126"/>
  <c r="CC229" i="126"/>
  <c r="BP229" i="126"/>
  <c r="BD229" i="126"/>
  <c r="AR229" i="126"/>
  <c r="AF229" i="126"/>
  <c r="T229" i="126"/>
  <c r="DB229" i="126"/>
  <c r="CO229" i="126"/>
  <c r="CB229" i="126"/>
  <c r="BO229" i="126"/>
  <c r="BC229" i="126"/>
  <c r="AQ229" i="126"/>
  <c r="AE229" i="126"/>
  <c r="S229" i="126"/>
  <c r="DA229" i="126"/>
  <c r="CN229" i="126"/>
  <c r="BZ229" i="126"/>
  <c r="BN229" i="126"/>
  <c r="BB229" i="126"/>
  <c r="AP229" i="126"/>
  <c r="AD229" i="126"/>
  <c r="R229" i="126"/>
  <c r="CZ229" i="126"/>
  <c r="CL229" i="126"/>
  <c r="BY229" i="126"/>
  <c r="BM229" i="126"/>
  <c r="BA229" i="126"/>
  <c r="AO229" i="126"/>
  <c r="AC229" i="126"/>
  <c r="Q229" i="126"/>
  <c r="CX229" i="126"/>
  <c r="CK229" i="126"/>
  <c r="BX229" i="126"/>
  <c r="BL229" i="126"/>
  <c r="AZ229" i="126"/>
  <c r="AN229" i="126"/>
  <c r="AB229" i="126"/>
  <c r="P229" i="126"/>
  <c r="CW229" i="126"/>
  <c r="CJ229" i="126"/>
  <c r="BW229" i="126"/>
  <c r="BK229" i="126"/>
  <c r="AY229" i="126"/>
  <c r="AM229" i="126"/>
  <c r="AA229" i="126"/>
  <c r="O229" i="126"/>
  <c r="CV229" i="126"/>
  <c r="CI229" i="126"/>
  <c r="BV229" i="126"/>
  <c r="BJ229" i="126"/>
  <c r="AX229" i="126"/>
  <c r="AL229" i="126"/>
  <c r="Z229" i="126"/>
  <c r="N229" i="126"/>
  <c r="CU229" i="126"/>
  <c r="CH229" i="126"/>
  <c r="BU229" i="126"/>
  <c r="BI229" i="126"/>
  <c r="AW229" i="126"/>
  <c r="AK229" i="126"/>
  <c r="Y229" i="126"/>
  <c r="M229" i="126"/>
  <c r="CG229" i="126"/>
  <c r="L229" i="126"/>
  <c r="CF229" i="126"/>
  <c r="K229" i="126"/>
  <c r="BT229" i="126"/>
  <c r="BS229" i="126"/>
  <c r="BH229" i="126"/>
  <c r="BG229" i="126"/>
  <c r="AV229" i="126"/>
  <c r="AU229" i="126"/>
  <c r="DG229" i="126"/>
  <c r="AJ229" i="126"/>
  <c r="CS229" i="126"/>
  <c r="W229" i="126"/>
  <c r="AI229" i="126"/>
  <c r="X229" i="126"/>
  <c r="CT229" i="126"/>
  <c r="DF229" i="126"/>
  <c r="P109" i="126"/>
  <c r="P110" i="126" s="1"/>
  <c r="P111" i="126" s="1"/>
  <c r="P112" i="126" s="1"/>
  <c r="P113" i="126" s="1"/>
  <c r="CY245" i="126"/>
  <c r="CM245" i="126"/>
  <c r="CA245" i="126"/>
  <c r="BO245" i="126"/>
  <c r="BC245" i="126"/>
  <c r="AQ245" i="126"/>
  <c r="AE245" i="126"/>
  <c r="S245" i="126"/>
  <c r="CX245" i="126"/>
  <c r="CL245" i="126"/>
  <c r="BZ245" i="126"/>
  <c r="BN245" i="126"/>
  <c r="BB245" i="126"/>
  <c r="AP245" i="126"/>
  <c r="AD245" i="126"/>
  <c r="R245" i="126"/>
  <c r="CW245" i="126"/>
  <c r="CK245" i="126"/>
  <c r="BY245" i="126"/>
  <c r="BM245" i="126"/>
  <c r="BA245" i="126"/>
  <c r="AO245" i="126"/>
  <c r="AC245" i="126"/>
  <c r="Q245" i="126"/>
  <c r="CV245" i="126"/>
  <c r="CJ245" i="126"/>
  <c r="BX245" i="126"/>
  <c r="BL245" i="126"/>
  <c r="AZ245" i="126"/>
  <c r="AN245" i="126"/>
  <c r="AB245" i="126"/>
  <c r="P245" i="126"/>
  <c r="DG245" i="126"/>
  <c r="CU245" i="126"/>
  <c r="CI245" i="126"/>
  <c r="BW245" i="126"/>
  <c r="BK245" i="126"/>
  <c r="AY245" i="126"/>
  <c r="AM245" i="126"/>
  <c r="AA245" i="126"/>
  <c r="O245" i="126"/>
  <c r="DF245" i="126"/>
  <c r="CT245" i="126"/>
  <c r="CH245" i="126"/>
  <c r="BV245" i="126"/>
  <c r="BJ245" i="126"/>
  <c r="AX245" i="126"/>
  <c r="AL245" i="126"/>
  <c r="Z245" i="126"/>
  <c r="N245" i="126"/>
  <c r="DE245" i="126"/>
  <c r="CS245" i="126"/>
  <c r="CG245" i="126"/>
  <c r="BU245" i="126"/>
  <c r="BI245" i="126"/>
  <c r="AW245" i="126"/>
  <c r="AK245" i="126"/>
  <c r="Y245" i="126"/>
  <c r="M245" i="126"/>
  <c r="DC245" i="126"/>
  <c r="CQ245" i="126"/>
  <c r="CE245" i="126"/>
  <c r="BS245" i="126"/>
  <c r="BG245" i="126"/>
  <c r="AU245" i="126"/>
  <c r="AI245" i="126"/>
  <c r="W245" i="126"/>
  <c r="K245" i="126"/>
  <c r="CZ245" i="126"/>
  <c r="CN245" i="126"/>
  <c r="CB245" i="126"/>
  <c r="BP245" i="126"/>
  <c r="BD245" i="126"/>
  <c r="AR245" i="126"/>
  <c r="AF245" i="126"/>
  <c r="T245" i="126"/>
  <c r="CF245" i="126"/>
  <c r="AJ245" i="126"/>
  <c r="CD245" i="126"/>
  <c r="AH245" i="126"/>
  <c r="CC245" i="126"/>
  <c r="AG245" i="126"/>
  <c r="BT245" i="126"/>
  <c r="X245" i="126"/>
  <c r="BR245" i="126"/>
  <c r="V245" i="126"/>
  <c r="BQ245" i="126"/>
  <c r="U245" i="126"/>
  <c r="DD245" i="126"/>
  <c r="BH245" i="126"/>
  <c r="L245" i="126"/>
  <c r="DB245" i="126"/>
  <c r="BF245" i="126"/>
  <c r="J245" i="126"/>
  <c r="DA245" i="126"/>
  <c r="BE245" i="126"/>
  <c r="I245" i="126"/>
  <c r="CR245" i="126"/>
  <c r="AV245" i="126"/>
  <c r="CP245" i="126"/>
  <c r="CO245" i="126"/>
  <c r="AT245" i="126"/>
  <c r="AS245" i="126"/>
  <c r="R142" i="126"/>
  <c r="Y145" i="126"/>
  <c r="K169" i="126"/>
  <c r="AD142" i="126"/>
  <c r="AM145" i="126"/>
  <c r="O147" i="126"/>
  <c r="CY190" i="126"/>
  <c r="CM190" i="126"/>
  <c r="CA190" i="126"/>
  <c r="BO190" i="126"/>
  <c r="BC190" i="126"/>
  <c r="AQ190" i="126"/>
  <c r="AE190" i="126"/>
  <c r="S190" i="126"/>
  <c r="DD189" i="126"/>
  <c r="CR189" i="126"/>
  <c r="CF189" i="126"/>
  <c r="BT189" i="126"/>
  <c r="BH189" i="126"/>
  <c r="AV189" i="126"/>
  <c r="AJ189" i="126"/>
  <c r="X189" i="126"/>
  <c r="L189" i="126"/>
  <c r="AX188" i="126"/>
  <c r="CX168" i="126" s="1"/>
  <c r="AL188" i="126"/>
  <c r="Z188" i="126"/>
  <c r="N188" i="126"/>
  <c r="AY187" i="126"/>
  <c r="AM187" i="126"/>
  <c r="AA187" i="126"/>
  <c r="O187" i="126"/>
  <c r="CW190" i="126"/>
  <c r="CK190" i="126"/>
  <c r="BY190" i="126"/>
  <c r="BM190" i="126"/>
  <c r="BA190" i="126"/>
  <c r="AO190" i="126"/>
  <c r="AC190" i="126"/>
  <c r="Q190" i="126"/>
  <c r="DB189" i="126"/>
  <c r="CP189" i="126"/>
  <c r="CV190" i="126"/>
  <c r="CJ190" i="126"/>
  <c r="BX190" i="126"/>
  <c r="BL190" i="126"/>
  <c r="AZ190" i="126"/>
  <c r="AN190" i="126"/>
  <c r="AB190" i="126"/>
  <c r="P190" i="126"/>
  <c r="DA189" i="126"/>
  <c r="CO189" i="126"/>
  <c r="CC189" i="126"/>
  <c r="BQ189" i="126"/>
  <c r="BE189" i="126"/>
  <c r="AS189" i="126"/>
  <c r="AG189" i="126"/>
  <c r="U189" i="126"/>
  <c r="BG188" i="126"/>
  <c r="AU188" i="126"/>
  <c r="AI188" i="126"/>
  <c r="CI168" i="126" s="1"/>
  <c r="DF190" i="126"/>
  <c r="CT190" i="126"/>
  <c r="CH190" i="126"/>
  <c r="BV190" i="126"/>
  <c r="BJ190" i="126"/>
  <c r="AX190" i="126"/>
  <c r="AL190" i="126"/>
  <c r="Z190" i="126"/>
  <c r="N190" i="126"/>
  <c r="CY189" i="126"/>
  <c r="DA190" i="126"/>
  <c r="CG190" i="126"/>
  <c r="BQ190" i="126"/>
  <c r="AW190" i="126"/>
  <c r="AG190" i="126"/>
  <c r="M190" i="126"/>
  <c r="CT189" i="126"/>
  <c r="CD189" i="126"/>
  <c r="BO189" i="126"/>
  <c r="BA189" i="126"/>
  <c r="AM189" i="126"/>
  <c r="Y189" i="126"/>
  <c r="AY188" i="126"/>
  <c r="AJ188" i="126"/>
  <c r="CJ168" i="126" s="1"/>
  <c r="V188" i="126"/>
  <c r="BF187" i="126"/>
  <c r="AS187" i="126"/>
  <c r="AF187" i="126"/>
  <c r="S187" i="126"/>
  <c r="BC186" i="126"/>
  <c r="AQ186" i="126"/>
  <c r="AE186" i="126"/>
  <c r="S186" i="126"/>
  <c r="DD185" i="126"/>
  <c r="CR185" i="126"/>
  <c r="CF185" i="126"/>
  <c r="BT185" i="126"/>
  <c r="BH185" i="126"/>
  <c r="AV185" i="126"/>
  <c r="AJ185" i="126"/>
  <c r="X185" i="126"/>
  <c r="L185" i="126"/>
  <c r="AX184" i="126"/>
  <c r="AL184" i="126"/>
  <c r="Z184" i="126"/>
  <c r="N184" i="126"/>
  <c r="AZ183" i="126"/>
  <c r="AN183" i="126"/>
  <c r="AB183" i="126"/>
  <c r="P183" i="126"/>
  <c r="BB182" i="126"/>
  <c r="AP182" i="126"/>
  <c r="AD182" i="126"/>
  <c r="R182" i="126"/>
  <c r="DC181" i="126"/>
  <c r="CQ181" i="126"/>
  <c r="CE181" i="126"/>
  <c r="BS181" i="126"/>
  <c r="BG181" i="126"/>
  <c r="AU181" i="126"/>
  <c r="AI181" i="126"/>
  <c r="W181" i="126"/>
  <c r="K181" i="126"/>
  <c r="CV180" i="126"/>
  <c r="CJ180" i="126"/>
  <c r="BX180" i="126"/>
  <c r="BL180" i="126"/>
  <c r="AZ180" i="126"/>
  <c r="AN180" i="126"/>
  <c r="AB180" i="126"/>
  <c r="P180" i="126"/>
  <c r="DA179" i="126"/>
  <c r="CO179" i="126"/>
  <c r="CC179" i="126"/>
  <c r="BQ179" i="126"/>
  <c r="BE179" i="126"/>
  <c r="AS179" i="126"/>
  <c r="AG179" i="126"/>
  <c r="U179" i="126"/>
  <c r="DF178" i="126"/>
  <c r="CT178" i="126"/>
  <c r="CH178" i="126"/>
  <c r="BV178" i="126"/>
  <c r="BJ178" i="126"/>
  <c r="AX178" i="126"/>
  <c r="AL178" i="126"/>
  <c r="Z178" i="126"/>
  <c r="CZ190" i="126"/>
  <c r="CF190" i="126"/>
  <c r="BP190" i="126"/>
  <c r="AV190" i="126"/>
  <c r="AF190" i="126"/>
  <c r="L190" i="126"/>
  <c r="CS189" i="126"/>
  <c r="CB189" i="126"/>
  <c r="BN189" i="126"/>
  <c r="AZ189" i="126"/>
  <c r="AL189" i="126"/>
  <c r="W189" i="126"/>
  <c r="AW188" i="126"/>
  <c r="AH188" i="126"/>
  <c r="U188" i="126"/>
  <c r="BE187" i="126"/>
  <c r="AR187" i="126"/>
  <c r="AE187" i="126"/>
  <c r="R187" i="126"/>
  <c r="BB186" i="126"/>
  <c r="AP186" i="126"/>
  <c r="AD186" i="126"/>
  <c r="R186" i="126"/>
  <c r="DC185" i="126"/>
  <c r="CQ185" i="126"/>
  <c r="CE185" i="126"/>
  <c r="BS185" i="126"/>
  <c r="BG185" i="126"/>
  <c r="AU185" i="126"/>
  <c r="AI185" i="126"/>
  <c r="W185" i="126"/>
  <c r="K185" i="126"/>
  <c r="AW184" i="126"/>
  <c r="AK184" i="126"/>
  <c r="Y184" i="126"/>
  <c r="M184" i="126"/>
  <c r="AY183" i="126"/>
  <c r="AM183" i="126"/>
  <c r="AA183" i="126"/>
  <c r="O183" i="126"/>
  <c r="CX190" i="126"/>
  <c r="CE190" i="126"/>
  <c r="BN190" i="126"/>
  <c r="AU190" i="126"/>
  <c r="AD190" i="126"/>
  <c r="K190" i="126"/>
  <c r="CQ189" i="126"/>
  <c r="CA189" i="126"/>
  <c r="BM189" i="126"/>
  <c r="AY189" i="126"/>
  <c r="AK189" i="126"/>
  <c r="V189" i="126"/>
  <c r="AV188" i="126"/>
  <c r="AG188" i="126"/>
  <c r="T188" i="126"/>
  <c r="BD187" i="126"/>
  <c r="AQ187" i="126"/>
  <c r="AD187" i="126"/>
  <c r="Q187" i="126"/>
  <c r="BA186" i="126"/>
  <c r="AO186" i="126"/>
  <c r="AC186" i="126"/>
  <c r="Q186" i="126"/>
  <c r="DB185" i="126"/>
  <c r="CP185" i="126"/>
  <c r="CD185" i="126"/>
  <c r="BR185" i="126"/>
  <c r="BF185" i="126"/>
  <c r="AT185" i="126"/>
  <c r="AH185" i="126"/>
  <c r="V185" i="126"/>
  <c r="AV184" i="126"/>
  <c r="AJ184" i="126"/>
  <c r="X184" i="126"/>
  <c r="L184" i="126"/>
  <c r="AX183" i="126"/>
  <c r="AL183" i="126"/>
  <c r="Z183" i="126"/>
  <c r="N183" i="126"/>
  <c r="AZ182" i="126"/>
  <c r="CU190" i="126"/>
  <c r="CD190" i="126"/>
  <c r="BK190" i="126"/>
  <c r="AT190" i="126"/>
  <c r="AA190" i="126"/>
  <c r="DG189" i="126"/>
  <c r="CN189" i="126"/>
  <c r="BZ189" i="126"/>
  <c r="BL189" i="126"/>
  <c r="AX189" i="126"/>
  <c r="AI189" i="126"/>
  <c r="T189" i="126"/>
  <c r="AT188" i="126"/>
  <c r="CT168" i="126" s="1"/>
  <c r="AF188" i="126"/>
  <c r="S188" i="126"/>
  <c r="BC187" i="126"/>
  <c r="AP187" i="126"/>
  <c r="AC187" i="126"/>
  <c r="P187" i="126"/>
  <c r="AZ186" i="126"/>
  <c r="AN186" i="126"/>
  <c r="AB186" i="126"/>
  <c r="P186" i="126"/>
  <c r="DA185" i="126"/>
  <c r="CO185" i="126"/>
  <c r="CC185" i="126"/>
  <c r="BQ185" i="126"/>
  <c r="BE185" i="126"/>
  <c r="AS185" i="126"/>
  <c r="AG185" i="126"/>
  <c r="U185" i="126"/>
  <c r="BG184" i="126"/>
  <c r="AU184" i="126"/>
  <c r="AI184" i="126"/>
  <c r="W184" i="126"/>
  <c r="K184" i="126"/>
  <c r="AW183" i="126"/>
  <c r="AK183" i="126"/>
  <c r="Y183" i="126"/>
  <c r="M183" i="126"/>
  <c r="AY182" i="126"/>
  <c r="AM182" i="126"/>
  <c r="AA182" i="126"/>
  <c r="O182" i="126"/>
  <c r="CZ181" i="126"/>
  <c r="CN181" i="126"/>
  <c r="CB181" i="126"/>
  <c r="BP181" i="126"/>
  <c r="BD181" i="126"/>
  <c r="AR181" i="126"/>
  <c r="AF181" i="126"/>
  <c r="T181" i="126"/>
  <c r="DE180" i="126"/>
  <c r="CS180" i="126"/>
  <c r="CG180" i="126"/>
  <c r="BU180" i="126"/>
  <c r="BI180" i="126"/>
  <c r="AW180" i="126"/>
  <c r="AK180" i="126"/>
  <c r="Y180" i="126"/>
  <c r="M180" i="126"/>
  <c r="CX179" i="126"/>
  <c r="CL179" i="126"/>
  <c r="BZ179" i="126"/>
  <c r="BN179" i="126"/>
  <c r="BB179" i="126"/>
  <c r="AP179" i="126"/>
  <c r="AD179" i="126"/>
  <c r="R179" i="126"/>
  <c r="CS190" i="126"/>
  <c r="CC190" i="126"/>
  <c r="BI190" i="126"/>
  <c r="AS190" i="126"/>
  <c r="Y190" i="126"/>
  <c r="DF189" i="126"/>
  <c r="CM189" i="126"/>
  <c r="BY189" i="126"/>
  <c r="BK189" i="126"/>
  <c r="AW189" i="126"/>
  <c r="AH189" i="126"/>
  <c r="S189" i="126"/>
  <c r="AS188" i="126"/>
  <c r="AE188" i="126"/>
  <c r="R188" i="126"/>
  <c r="BB187" i="126"/>
  <c r="AO187" i="126"/>
  <c r="AB187" i="126"/>
  <c r="N187" i="126"/>
  <c r="AY186" i="126"/>
  <c r="AM186" i="126"/>
  <c r="AA186" i="126"/>
  <c r="O186" i="126"/>
  <c r="CZ185" i="126"/>
  <c r="CN185" i="126"/>
  <c r="CB185" i="126"/>
  <c r="BP185" i="126"/>
  <c r="BD185" i="126"/>
  <c r="AR185" i="126"/>
  <c r="AF185" i="126"/>
  <c r="T185" i="126"/>
  <c r="BF184" i="126"/>
  <c r="AT184" i="126"/>
  <c r="AH184" i="126"/>
  <c r="V184" i="126"/>
  <c r="AV183" i="126"/>
  <c r="AJ183" i="126"/>
  <c r="X183" i="126"/>
  <c r="L183" i="126"/>
  <c r="CR190" i="126"/>
  <c r="CB190" i="126"/>
  <c r="BH190" i="126"/>
  <c r="AR190" i="126"/>
  <c r="X190" i="126"/>
  <c r="DE189" i="126"/>
  <c r="CL189" i="126"/>
  <c r="BX189" i="126"/>
  <c r="BJ189" i="126"/>
  <c r="AU189" i="126"/>
  <c r="AF189" i="126"/>
  <c r="R189" i="126"/>
  <c r="BF188" i="126"/>
  <c r="DF168" i="126" s="1"/>
  <c r="AR188" i="126"/>
  <c r="AD188" i="126"/>
  <c r="Q188" i="126"/>
  <c r="BA187" i="126"/>
  <c r="AN187" i="126"/>
  <c r="Z187" i="126"/>
  <c r="M187" i="126"/>
  <c r="AX186" i="126"/>
  <c r="AL186" i="126"/>
  <c r="Z186" i="126"/>
  <c r="N186" i="126"/>
  <c r="CY185" i="126"/>
  <c r="CM185" i="126"/>
  <c r="CA185" i="126"/>
  <c r="BO185" i="126"/>
  <c r="BC185" i="126"/>
  <c r="AQ185" i="126"/>
  <c r="AE185" i="126"/>
  <c r="S185" i="126"/>
  <c r="BE184" i="126"/>
  <c r="AS184" i="126"/>
  <c r="AG184" i="126"/>
  <c r="U184" i="126"/>
  <c r="BG183" i="126"/>
  <c r="AU183" i="126"/>
  <c r="AI183" i="126"/>
  <c r="W183" i="126"/>
  <c r="K183" i="126"/>
  <c r="AW182" i="126"/>
  <c r="AK182" i="126"/>
  <c r="Y182" i="126"/>
  <c r="M182" i="126"/>
  <c r="CX181" i="126"/>
  <c r="CL181" i="126"/>
  <c r="BZ181" i="126"/>
  <c r="BN181" i="126"/>
  <c r="BB181" i="126"/>
  <c r="AP181" i="126"/>
  <c r="AD181" i="126"/>
  <c r="R181" i="126"/>
  <c r="DC180" i="126"/>
  <c r="CQ180" i="126"/>
  <c r="CE180" i="126"/>
  <c r="BS180" i="126"/>
  <c r="BG180" i="126"/>
  <c r="AU180" i="126"/>
  <c r="AI180" i="126"/>
  <c r="W180" i="126"/>
  <c r="K180" i="126"/>
  <c r="CV179" i="126"/>
  <c r="CJ179" i="126"/>
  <c r="BX179" i="126"/>
  <c r="BL179" i="126"/>
  <c r="AZ179" i="126"/>
  <c r="AN179" i="126"/>
  <c r="AB179" i="126"/>
  <c r="P179" i="126"/>
  <c r="DA178" i="126"/>
  <c r="CO178" i="126"/>
  <c r="CQ190" i="126"/>
  <c r="BZ190" i="126"/>
  <c r="BG190" i="126"/>
  <c r="AP190" i="126"/>
  <c r="W190" i="126"/>
  <c r="DC189" i="126"/>
  <c r="CK189" i="126"/>
  <c r="BW189" i="126"/>
  <c r="BI189" i="126"/>
  <c r="AT189" i="126"/>
  <c r="AE189" i="126"/>
  <c r="Q189" i="126"/>
  <c r="BE188" i="126"/>
  <c r="DE168" i="126" s="1"/>
  <c r="AQ188" i="126"/>
  <c r="AC188" i="126"/>
  <c r="P188" i="126"/>
  <c r="AZ187" i="126"/>
  <c r="AL187" i="126"/>
  <c r="Y187" i="126"/>
  <c r="L187" i="126"/>
  <c r="AW186" i="126"/>
  <c r="AK186" i="126"/>
  <c r="Y186" i="126"/>
  <c r="M186" i="126"/>
  <c r="CX185" i="126"/>
  <c r="CL185" i="126"/>
  <c r="BZ185" i="126"/>
  <c r="BN185" i="126"/>
  <c r="BB185" i="126"/>
  <c r="AP185" i="126"/>
  <c r="AD185" i="126"/>
  <c r="R185" i="126"/>
  <c r="BD184" i="126"/>
  <c r="AR184" i="126"/>
  <c r="AF184" i="126"/>
  <c r="T184" i="126"/>
  <c r="BF183" i="126"/>
  <c r="AT183" i="126"/>
  <c r="AH183" i="126"/>
  <c r="V183" i="126"/>
  <c r="AV182" i="126"/>
  <c r="DG190" i="126"/>
  <c r="CP190" i="126"/>
  <c r="BW190" i="126"/>
  <c r="BF190" i="126"/>
  <c r="AM190" i="126"/>
  <c r="V190" i="126"/>
  <c r="CZ189" i="126"/>
  <c r="CJ189" i="126"/>
  <c r="BV189" i="126"/>
  <c r="BG189" i="126"/>
  <c r="AR189" i="126"/>
  <c r="AD189" i="126"/>
  <c r="P189" i="126"/>
  <c r="BD188" i="126"/>
  <c r="AP188" i="126"/>
  <c r="AB188" i="126"/>
  <c r="O188" i="126"/>
  <c r="AX187" i="126"/>
  <c r="AK187" i="126"/>
  <c r="X187" i="126"/>
  <c r="K187" i="126"/>
  <c r="AV186" i="126"/>
  <c r="AJ186" i="126"/>
  <c r="X186" i="126"/>
  <c r="L186" i="126"/>
  <c r="CW185" i="126"/>
  <c r="CK185" i="126"/>
  <c r="BY185" i="126"/>
  <c r="BM185" i="126"/>
  <c r="BA185" i="126"/>
  <c r="AO185" i="126"/>
  <c r="AC185" i="126"/>
  <c r="Q185" i="126"/>
  <c r="BC184" i="126"/>
  <c r="AQ184" i="126"/>
  <c r="AE184" i="126"/>
  <c r="S184" i="126"/>
  <c r="BE183" i="126"/>
  <c r="AS183" i="126"/>
  <c r="DE190" i="126"/>
  <c r="CO190" i="126"/>
  <c r="BU190" i="126"/>
  <c r="BE190" i="126"/>
  <c r="AK190" i="126"/>
  <c r="U190" i="126"/>
  <c r="CX189" i="126"/>
  <c r="CI189" i="126"/>
  <c r="BU189" i="126"/>
  <c r="BF189" i="126"/>
  <c r="AQ189" i="126"/>
  <c r="AC189" i="126"/>
  <c r="O189" i="126"/>
  <c r="BC188" i="126"/>
  <c r="AO188" i="126"/>
  <c r="AA188" i="126"/>
  <c r="M188" i="126"/>
  <c r="BM168" i="126" s="1"/>
  <c r="AW187" i="126"/>
  <c r="AJ187" i="126"/>
  <c r="W187" i="126"/>
  <c r="BG186" i="126"/>
  <c r="AU186" i="126"/>
  <c r="AI186" i="126"/>
  <c r="W186" i="126"/>
  <c r="K186" i="126"/>
  <c r="CV185" i="126"/>
  <c r="CJ185" i="126"/>
  <c r="BX185" i="126"/>
  <c r="BL185" i="126"/>
  <c r="AZ185" i="126"/>
  <c r="AN185" i="126"/>
  <c r="AB185" i="126"/>
  <c r="P185" i="126"/>
  <c r="BB184" i="126"/>
  <c r="AP184" i="126"/>
  <c r="AD184" i="126"/>
  <c r="R184" i="126"/>
  <c r="BD183" i="126"/>
  <c r="AR183" i="126"/>
  <c r="AF183" i="126"/>
  <c r="T183" i="126"/>
  <c r="DD190" i="126"/>
  <c r="CN190" i="126"/>
  <c r="BT190" i="126"/>
  <c r="BD190" i="126"/>
  <c r="AJ190" i="126"/>
  <c r="T190" i="126"/>
  <c r="CW189" i="126"/>
  <c r="CH189" i="126"/>
  <c r="BS189" i="126"/>
  <c r="BD189" i="126"/>
  <c r="AP189" i="126"/>
  <c r="AB189" i="126"/>
  <c r="N189" i="126"/>
  <c r="BB188" i="126"/>
  <c r="AN188" i="126"/>
  <c r="Y188" i="126"/>
  <c r="L188" i="126"/>
  <c r="AV187" i="126"/>
  <c r="AI187" i="126"/>
  <c r="V187" i="126"/>
  <c r="BF186" i="126"/>
  <c r="AT186" i="126"/>
  <c r="AH186" i="126"/>
  <c r="V186" i="126"/>
  <c r="DG185" i="126"/>
  <c r="CU185" i="126"/>
  <c r="CI185" i="126"/>
  <c r="BW185" i="126"/>
  <c r="BK185" i="126"/>
  <c r="AY185" i="126"/>
  <c r="AM185" i="126"/>
  <c r="AA185" i="126"/>
  <c r="O185" i="126"/>
  <c r="BA184" i="126"/>
  <c r="AO184" i="126"/>
  <c r="AC184" i="126"/>
  <c r="Q184" i="126"/>
  <c r="BC183" i="126"/>
  <c r="AQ183" i="126"/>
  <c r="AE183" i="126"/>
  <c r="S183" i="126"/>
  <c r="BE182" i="126"/>
  <c r="AS182" i="126"/>
  <c r="AG182" i="126"/>
  <c r="U182" i="126"/>
  <c r="DF181" i="126"/>
  <c r="CT181" i="126"/>
  <c r="CH181" i="126"/>
  <c r="CL190" i="126"/>
  <c r="CG189" i="126"/>
  <c r="K188" i="126"/>
  <c r="AG186" i="126"/>
  <c r="BJ185" i="126"/>
  <c r="P184" i="126"/>
  <c r="AP183" i="126"/>
  <c r="BC182" i="126"/>
  <c r="AH182" i="126"/>
  <c r="P182" i="126"/>
  <c r="CU181" i="126"/>
  <c r="CC181" i="126"/>
  <c r="BL181" i="126"/>
  <c r="AW181" i="126"/>
  <c r="AG181" i="126"/>
  <c r="P181" i="126"/>
  <c r="CX180" i="126"/>
  <c r="CH180" i="126"/>
  <c r="BQ180" i="126"/>
  <c r="BB180" i="126"/>
  <c r="AL180" i="126"/>
  <c r="U180" i="126"/>
  <c r="DC179" i="126"/>
  <c r="CM179" i="126"/>
  <c r="BV179" i="126"/>
  <c r="BG179" i="126"/>
  <c r="AQ179" i="126"/>
  <c r="Z179" i="126"/>
  <c r="K179" i="126"/>
  <c r="CS178" i="126"/>
  <c r="CE178" i="126"/>
  <c r="BR178" i="126"/>
  <c r="BE178" i="126"/>
  <c r="AR178" i="126"/>
  <c r="AE178" i="126"/>
  <c r="R178" i="126"/>
  <c r="BC177" i="126"/>
  <c r="AQ177" i="126"/>
  <c r="AE177" i="126"/>
  <c r="S177" i="126"/>
  <c r="BD176" i="126"/>
  <c r="AR176" i="126"/>
  <c r="AF176" i="126"/>
  <c r="T176" i="126"/>
  <c r="BE175" i="126"/>
  <c r="AS175" i="126"/>
  <c r="AG175" i="126"/>
  <c r="U175" i="126"/>
  <c r="BF174" i="126"/>
  <c r="AT174" i="126"/>
  <c r="AH174" i="126"/>
  <c r="V174" i="126"/>
  <c r="BG173" i="126"/>
  <c r="AU173" i="126"/>
  <c r="AI173" i="126"/>
  <c r="W173" i="126"/>
  <c r="K173" i="126"/>
  <c r="CV172" i="126"/>
  <c r="CJ172" i="126"/>
  <c r="BX172" i="126"/>
  <c r="BL172" i="126"/>
  <c r="AZ172" i="126"/>
  <c r="AN172" i="126"/>
  <c r="AB172" i="126"/>
  <c r="P172" i="126"/>
  <c r="DA171" i="126"/>
  <c r="CO171" i="126"/>
  <c r="CC171" i="126"/>
  <c r="BQ171" i="126"/>
  <c r="BE171" i="126"/>
  <c r="AS171" i="126"/>
  <c r="AG171" i="126"/>
  <c r="U171" i="126"/>
  <c r="BG170" i="126"/>
  <c r="AU170" i="126"/>
  <c r="AI170" i="126"/>
  <c r="W170" i="126"/>
  <c r="K170" i="126"/>
  <c r="CV169" i="126"/>
  <c r="CJ169" i="126"/>
  <c r="BX169" i="126"/>
  <c r="BL169" i="126"/>
  <c r="AZ169" i="126"/>
  <c r="AN169" i="126"/>
  <c r="AB169" i="126"/>
  <c r="P169" i="126"/>
  <c r="BB168" i="126"/>
  <c r="AP168" i="126"/>
  <c r="AD168" i="126"/>
  <c r="R168" i="126"/>
  <c r="BD167" i="126"/>
  <c r="AR167" i="126"/>
  <c r="AF167" i="126"/>
  <c r="T167" i="126"/>
  <c r="BF166" i="126"/>
  <c r="AT166" i="126"/>
  <c r="CT158" i="126" s="1"/>
  <c r="AH166" i="126"/>
  <c r="V166" i="126"/>
  <c r="BG165" i="126"/>
  <c r="AU165" i="126"/>
  <c r="AI165" i="126"/>
  <c r="W165" i="126"/>
  <c r="K165" i="126"/>
  <c r="AV164" i="126"/>
  <c r="AJ164" i="126"/>
  <c r="X164" i="126"/>
  <c r="L164" i="126"/>
  <c r="AX163" i="126"/>
  <c r="CX156" i="126" s="1"/>
  <c r="AL163" i="126"/>
  <c r="Z163" i="126"/>
  <c r="N163" i="126"/>
  <c r="CI190" i="126"/>
  <c r="CE189" i="126"/>
  <c r="BG187" i="126"/>
  <c r="AF186" i="126"/>
  <c r="BI185" i="126"/>
  <c r="O184" i="126"/>
  <c r="AO183" i="126"/>
  <c r="BA182" i="126"/>
  <c r="AF182" i="126"/>
  <c r="N182" i="126"/>
  <c r="CS181" i="126"/>
  <c r="CA181" i="126"/>
  <c r="BK181" i="126"/>
  <c r="AV181" i="126"/>
  <c r="AE181" i="126"/>
  <c r="O181" i="126"/>
  <c r="CW180" i="126"/>
  <c r="CF180" i="126"/>
  <c r="BP180" i="126"/>
  <c r="BA180" i="126"/>
  <c r="AJ180" i="126"/>
  <c r="T180" i="126"/>
  <c r="DB179" i="126"/>
  <c r="CK179" i="126"/>
  <c r="BU179" i="126"/>
  <c r="BF179" i="126"/>
  <c r="AO179" i="126"/>
  <c r="Y179" i="126"/>
  <c r="DG178" i="126"/>
  <c r="CR178" i="126"/>
  <c r="CD178" i="126"/>
  <c r="BQ178" i="126"/>
  <c r="BD178" i="126"/>
  <c r="AQ178" i="126"/>
  <c r="AD178" i="126"/>
  <c r="Q178" i="126"/>
  <c r="BB177" i="126"/>
  <c r="AP177" i="126"/>
  <c r="AD177" i="126"/>
  <c r="R177" i="126"/>
  <c r="BC176" i="126"/>
  <c r="AQ176" i="126"/>
  <c r="AE176" i="126"/>
  <c r="S176" i="126"/>
  <c r="BD175" i="126"/>
  <c r="AR175" i="126"/>
  <c r="AF175" i="126"/>
  <c r="T175" i="126"/>
  <c r="BE174" i="126"/>
  <c r="AS174" i="126"/>
  <c r="AG174" i="126"/>
  <c r="U174" i="126"/>
  <c r="BF173" i="126"/>
  <c r="AT173" i="126"/>
  <c r="AH173" i="126"/>
  <c r="V173" i="126"/>
  <c r="DG172" i="126"/>
  <c r="CU172" i="126"/>
  <c r="CI172" i="126"/>
  <c r="BW172" i="126"/>
  <c r="BK172" i="126"/>
  <c r="AY172" i="126"/>
  <c r="AM172" i="126"/>
  <c r="AA172" i="126"/>
  <c r="O172" i="126"/>
  <c r="CZ171" i="126"/>
  <c r="CN171" i="126"/>
  <c r="CB171" i="126"/>
  <c r="BP171" i="126"/>
  <c r="BD171" i="126"/>
  <c r="AR171" i="126"/>
  <c r="AF171" i="126"/>
  <c r="T171" i="126"/>
  <c r="BF170" i="126"/>
  <c r="AT170" i="126"/>
  <c r="AH170" i="126"/>
  <c r="BS190" i="126"/>
  <c r="BR189" i="126"/>
  <c r="AU187" i="126"/>
  <c r="U186" i="126"/>
  <c r="AX185" i="126"/>
  <c r="AG183" i="126"/>
  <c r="AX182" i="126"/>
  <c r="AE182" i="126"/>
  <c r="L182" i="126"/>
  <c r="CR181" i="126"/>
  <c r="BY181" i="126"/>
  <c r="BJ181" i="126"/>
  <c r="AT181" i="126"/>
  <c r="AC181" i="126"/>
  <c r="N181" i="126"/>
  <c r="CU180" i="126"/>
  <c r="CD180" i="126"/>
  <c r="BO180" i="126"/>
  <c r="AY180" i="126"/>
  <c r="AH180" i="126"/>
  <c r="S180" i="126"/>
  <c r="CZ179" i="126"/>
  <c r="CI179" i="126"/>
  <c r="BT179" i="126"/>
  <c r="BD179" i="126"/>
  <c r="AM179" i="126"/>
  <c r="X179" i="126"/>
  <c r="DE178" i="126"/>
  <c r="CQ178" i="126"/>
  <c r="CC178" i="126"/>
  <c r="BP178" i="126"/>
  <c r="BC178" i="126"/>
  <c r="AP178" i="126"/>
  <c r="AC178" i="126"/>
  <c r="P178" i="126"/>
  <c r="BA177" i="126"/>
  <c r="AO177" i="126"/>
  <c r="AC177" i="126"/>
  <c r="Q177" i="126"/>
  <c r="BB176" i="126"/>
  <c r="AP176" i="126"/>
  <c r="AD176" i="126"/>
  <c r="R176" i="126"/>
  <c r="BC175" i="126"/>
  <c r="AQ175" i="126"/>
  <c r="AE175" i="126"/>
  <c r="S175" i="126"/>
  <c r="BD174" i="126"/>
  <c r="AR174" i="126"/>
  <c r="AF174" i="126"/>
  <c r="T174" i="126"/>
  <c r="BE173" i="126"/>
  <c r="AS173" i="126"/>
  <c r="AG173" i="126"/>
  <c r="U173" i="126"/>
  <c r="DF172" i="126"/>
  <c r="CT172" i="126"/>
  <c r="CH172" i="126"/>
  <c r="BV172" i="126"/>
  <c r="BJ172" i="126"/>
  <c r="AX172" i="126"/>
  <c r="AL172" i="126"/>
  <c r="Z172" i="126"/>
  <c r="N172" i="126"/>
  <c r="CY171" i="126"/>
  <c r="CM171" i="126"/>
  <c r="CA171" i="126"/>
  <c r="BO171" i="126"/>
  <c r="BC171" i="126"/>
  <c r="AQ171" i="126"/>
  <c r="AE171" i="126"/>
  <c r="S171" i="126"/>
  <c r="BE170" i="126"/>
  <c r="AS170" i="126"/>
  <c r="AG170" i="126"/>
  <c r="U170" i="126"/>
  <c r="DF169" i="126"/>
  <c r="CT169" i="126"/>
  <c r="CH169" i="126"/>
  <c r="BV169" i="126"/>
  <c r="BJ169" i="126"/>
  <c r="BR190" i="126"/>
  <c r="BP189" i="126"/>
  <c r="AT187" i="126"/>
  <c r="T186" i="126"/>
  <c r="AW185" i="126"/>
  <c r="AD183" i="126"/>
  <c r="AU182" i="126"/>
  <c r="AC182" i="126"/>
  <c r="K182" i="126"/>
  <c r="CP181" i="126"/>
  <c r="BX181" i="126"/>
  <c r="BI181" i="126"/>
  <c r="AS181" i="126"/>
  <c r="AB181" i="126"/>
  <c r="M181" i="126"/>
  <c r="CT180" i="126"/>
  <c r="CC180" i="126"/>
  <c r="BN180" i="126"/>
  <c r="AX180" i="126"/>
  <c r="AG180" i="126"/>
  <c r="R180" i="126"/>
  <c r="CY179" i="126"/>
  <c r="CH179" i="126"/>
  <c r="BS179" i="126"/>
  <c r="BC179" i="126"/>
  <c r="AL179" i="126"/>
  <c r="W179" i="126"/>
  <c r="DD178" i="126"/>
  <c r="CP178" i="126"/>
  <c r="CB178" i="126"/>
  <c r="BO178" i="126"/>
  <c r="BB178" i="126"/>
  <c r="AO178" i="126"/>
  <c r="AB178" i="126"/>
  <c r="O178" i="126"/>
  <c r="AZ177" i="126"/>
  <c r="AN177" i="126"/>
  <c r="AB177" i="126"/>
  <c r="P177" i="126"/>
  <c r="BA176" i="126"/>
  <c r="AO176" i="126"/>
  <c r="AC176" i="126"/>
  <c r="Q176" i="126"/>
  <c r="BB175" i="126"/>
  <c r="AP175" i="126"/>
  <c r="AD175" i="126"/>
  <c r="R175" i="126"/>
  <c r="BC174" i="126"/>
  <c r="AQ174" i="126"/>
  <c r="AE174" i="126"/>
  <c r="S174" i="126"/>
  <c r="BD173" i="126"/>
  <c r="AR173" i="126"/>
  <c r="AF173" i="126"/>
  <c r="T173" i="126"/>
  <c r="DE172" i="126"/>
  <c r="CS172" i="126"/>
  <c r="CG172" i="126"/>
  <c r="BU172" i="126"/>
  <c r="BI172" i="126"/>
  <c r="AW172" i="126"/>
  <c r="AK172" i="126"/>
  <c r="Y172" i="126"/>
  <c r="M172" i="126"/>
  <c r="CX171" i="126"/>
  <c r="CL171" i="126"/>
  <c r="BZ171" i="126"/>
  <c r="BN171" i="126"/>
  <c r="BB171" i="126"/>
  <c r="AP171" i="126"/>
  <c r="AD171" i="126"/>
  <c r="R171" i="126"/>
  <c r="BD170" i="126"/>
  <c r="AR170" i="126"/>
  <c r="AF170" i="126"/>
  <c r="T170" i="126"/>
  <c r="DE169" i="126"/>
  <c r="CS169" i="126"/>
  <c r="CG169" i="126"/>
  <c r="BU169" i="126"/>
  <c r="BI169" i="126"/>
  <c r="AW169" i="126"/>
  <c r="AK169" i="126"/>
  <c r="Y169" i="126"/>
  <c r="M169" i="126"/>
  <c r="AY168" i="126"/>
  <c r="AM168" i="126"/>
  <c r="AA168" i="126"/>
  <c r="O168" i="126"/>
  <c r="BA167" i="126"/>
  <c r="AO167" i="126"/>
  <c r="AC167" i="126"/>
  <c r="CC159" i="126" s="1"/>
  <c r="Q167" i="126"/>
  <c r="BC166" i="126"/>
  <c r="AQ166" i="126"/>
  <c r="BB190" i="126"/>
  <c r="BC189" i="126"/>
  <c r="AH187" i="126"/>
  <c r="DF185" i="126"/>
  <c r="AL185" i="126"/>
  <c r="AC183" i="126"/>
  <c r="AT182" i="126"/>
  <c r="AB182" i="126"/>
  <c r="DG181" i="126"/>
  <c r="CO181" i="126"/>
  <c r="BW181" i="126"/>
  <c r="BH181" i="126"/>
  <c r="AQ181" i="126"/>
  <c r="AA181" i="126"/>
  <c r="L181" i="126"/>
  <c r="CR180" i="126"/>
  <c r="CB180" i="126"/>
  <c r="BM180" i="126"/>
  <c r="AV180" i="126"/>
  <c r="AF180" i="126"/>
  <c r="Q180" i="126"/>
  <c r="CW179" i="126"/>
  <c r="CG179" i="126"/>
  <c r="BR179" i="126"/>
  <c r="BA179" i="126"/>
  <c r="AK179" i="126"/>
  <c r="V179" i="126"/>
  <c r="DC178" i="126"/>
  <c r="CN178" i="126"/>
  <c r="CA178" i="126"/>
  <c r="BN178" i="126"/>
  <c r="BA178" i="126"/>
  <c r="AN178" i="126"/>
  <c r="AA178" i="126"/>
  <c r="N178" i="126"/>
  <c r="AY177" i="126"/>
  <c r="AM177" i="126"/>
  <c r="AA177" i="126"/>
  <c r="O177" i="126"/>
  <c r="AZ176" i="126"/>
  <c r="AN176" i="126"/>
  <c r="AB176" i="126"/>
  <c r="P176" i="126"/>
  <c r="BA175" i="126"/>
  <c r="AO175" i="126"/>
  <c r="AC175" i="126"/>
  <c r="Q175" i="126"/>
  <c r="BB174" i="126"/>
  <c r="AP174" i="126"/>
  <c r="AD174" i="126"/>
  <c r="R174" i="126"/>
  <c r="BC173" i="126"/>
  <c r="AQ173" i="126"/>
  <c r="AE173" i="126"/>
  <c r="S173" i="126"/>
  <c r="DD172" i="126"/>
  <c r="CR172" i="126"/>
  <c r="CF172" i="126"/>
  <c r="BT172" i="126"/>
  <c r="BH172" i="126"/>
  <c r="AV172" i="126"/>
  <c r="AJ172" i="126"/>
  <c r="X172" i="126"/>
  <c r="L172" i="126"/>
  <c r="CW171" i="126"/>
  <c r="CK171" i="126"/>
  <c r="BY171" i="126"/>
  <c r="BM171" i="126"/>
  <c r="BA171" i="126"/>
  <c r="AO171" i="126"/>
  <c r="AC171" i="126"/>
  <c r="Q171" i="126"/>
  <c r="BC170" i="126"/>
  <c r="AY190" i="126"/>
  <c r="BB189" i="126"/>
  <c r="AG187" i="126"/>
  <c r="DE185" i="126"/>
  <c r="AK185" i="126"/>
  <c r="U183" i="126"/>
  <c r="AR182" i="126"/>
  <c r="Z182" i="126"/>
  <c r="DE181" i="126"/>
  <c r="CM181" i="126"/>
  <c r="BV181" i="126"/>
  <c r="BF181" i="126"/>
  <c r="AO181" i="126"/>
  <c r="Z181" i="126"/>
  <c r="DG180" i="126"/>
  <c r="CP180" i="126"/>
  <c r="CA180" i="126"/>
  <c r="BK180" i="126"/>
  <c r="AT180" i="126"/>
  <c r="AE180" i="126"/>
  <c r="O180" i="126"/>
  <c r="CU179" i="126"/>
  <c r="CF179" i="126"/>
  <c r="BP179" i="126"/>
  <c r="AY179" i="126"/>
  <c r="AJ179" i="126"/>
  <c r="T179" i="126"/>
  <c r="DB178" i="126"/>
  <c r="CM178" i="126"/>
  <c r="BZ178" i="126"/>
  <c r="BM178" i="126"/>
  <c r="AZ178" i="126"/>
  <c r="AM178" i="126"/>
  <c r="Y178" i="126"/>
  <c r="M178" i="126"/>
  <c r="AX177" i="126"/>
  <c r="AL177" i="126"/>
  <c r="Z177" i="126"/>
  <c r="N177" i="126"/>
  <c r="AY176" i="126"/>
  <c r="AM176" i="126"/>
  <c r="AA176" i="126"/>
  <c r="O176" i="126"/>
  <c r="AZ175" i="126"/>
  <c r="AN175" i="126"/>
  <c r="AB175" i="126"/>
  <c r="P175" i="126"/>
  <c r="BA174" i="126"/>
  <c r="AO174" i="126"/>
  <c r="AC174" i="126"/>
  <c r="Q174" i="126"/>
  <c r="BB173" i="126"/>
  <c r="AP173" i="126"/>
  <c r="AD173" i="126"/>
  <c r="R173" i="126"/>
  <c r="DC172" i="126"/>
  <c r="CQ172" i="126"/>
  <c r="CE172" i="126"/>
  <c r="BS172" i="126"/>
  <c r="BG172" i="126"/>
  <c r="AU172" i="126"/>
  <c r="AI172" i="126"/>
  <c r="W172" i="126"/>
  <c r="K172" i="126"/>
  <c r="CV171" i="126"/>
  <c r="CJ171" i="126"/>
  <c r="BX171" i="126"/>
  <c r="BL171" i="126"/>
  <c r="AZ171" i="126"/>
  <c r="AN171" i="126"/>
  <c r="AB171" i="126"/>
  <c r="P171" i="126"/>
  <c r="BB170" i="126"/>
  <c r="AP170" i="126"/>
  <c r="AD170" i="126"/>
  <c r="R170" i="126"/>
  <c r="AI190" i="126"/>
  <c r="AO189" i="126"/>
  <c r="BA188" i="126"/>
  <c r="U187" i="126"/>
  <c r="CT185" i="126"/>
  <c r="Z185" i="126"/>
  <c r="AZ184" i="126"/>
  <c r="R183" i="126"/>
  <c r="AQ182" i="126"/>
  <c r="X182" i="126"/>
  <c r="DD181" i="126"/>
  <c r="CK181" i="126"/>
  <c r="BU181" i="126"/>
  <c r="BE181" i="126"/>
  <c r="AN181" i="126"/>
  <c r="Y181" i="126"/>
  <c r="DF180" i="126"/>
  <c r="CO180" i="126"/>
  <c r="BZ180" i="126"/>
  <c r="BJ180" i="126"/>
  <c r="AS180" i="126"/>
  <c r="AD180" i="126"/>
  <c r="N180" i="126"/>
  <c r="CT179" i="126"/>
  <c r="CE179" i="126"/>
  <c r="BO179" i="126"/>
  <c r="AX179" i="126"/>
  <c r="AI179" i="126"/>
  <c r="S179" i="126"/>
  <c r="CZ178" i="126"/>
  <c r="CL178" i="126"/>
  <c r="BY178" i="126"/>
  <c r="BL178" i="126"/>
  <c r="AY178" i="126"/>
  <c r="AK178" i="126"/>
  <c r="X178" i="126"/>
  <c r="L178" i="126"/>
  <c r="AW177" i="126"/>
  <c r="AK177" i="126"/>
  <c r="Y177" i="126"/>
  <c r="M177" i="126"/>
  <c r="AX176" i="126"/>
  <c r="AL176" i="126"/>
  <c r="Z176" i="126"/>
  <c r="N176" i="126"/>
  <c r="AY175" i="126"/>
  <c r="AM175" i="126"/>
  <c r="AA175" i="126"/>
  <c r="O175" i="126"/>
  <c r="AZ174" i="126"/>
  <c r="AN174" i="126"/>
  <c r="AB174" i="126"/>
  <c r="P174" i="126"/>
  <c r="BA173" i="126"/>
  <c r="AO173" i="126"/>
  <c r="AC173" i="126"/>
  <c r="Q173" i="126"/>
  <c r="DB172" i="126"/>
  <c r="CP172" i="126"/>
  <c r="CD172" i="126"/>
  <c r="BR172" i="126"/>
  <c r="BF172" i="126"/>
  <c r="AT172" i="126"/>
  <c r="AH172" i="126"/>
  <c r="V172" i="126"/>
  <c r="DG171" i="126"/>
  <c r="CU171" i="126"/>
  <c r="CI171" i="126"/>
  <c r="BW171" i="126"/>
  <c r="BK171" i="126"/>
  <c r="AY171" i="126"/>
  <c r="AM171" i="126"/>
  <c r="AA171" i="126"/>
  <c r="O171" i="126"/>
  <c r="BA170" i="126"/>
  <c r="AO170" i="126"/>
  <c r="AC170" i="126"/>
  <c r="Q170" i="126"/>
  <c r="AH190" i="126"/>
  <c r="AN189" i="126"/>
  <c r="AZ188" i="126"/>
  <c r="T187" i="126"/>
  <c r="CS185" i="126"/>
  <c r="Y185" i="126"/>
  <c r="AY184" i="126"/>
  <c r="Q183" i="126"/>
  <c r="AO182" i="126"/>
  <c r="W182" i="126"/>
  <c r="DB181" i="126"/>
  <c r="CJ181" i="126"/>
  <c r="BT181" i="126"/>
  <c r="BC181" i="126"/>
  <c r="AM181" i="126"/>
  <c r="X181" i="126"/>
  <c r="DD180" i="126"/>
  <c r="CN180" i="126"/>
  <c r="BY180" i="126"/>
  <c r="BH180" i="126"/>
  <c r="AR180" i="126"/>
  <c r="AC180" i="126"/>
  <c r="L180" i="126"/>
  <c r="CS179" i="126"/>
  <c r="CD179" i="126"/>
  <c r="BM179" i="126"/>
  <c r="AW179" i="126"/>
  <c r="AH179" i="126"/>
  <c r="Q179" i="126"/>
  <c r="CY178" i="126"/>
  <c r="CK178" i="126"/>
  <c r="BX178" i="126"/>
  <c r="BK178" i="126"/>
  <c r="AW178" i="126"/>
  <c r="AJ178" i="126"/>
  <c r="W178" i="126"/>
  <c r="K178" i="126"/>
  <c r="AV177" i="126"/>
  <c r="AJ177" i="126"/>
  <c r="X177" i="126"/>
  <c r="L177" i="126"/>
  <c r="AW176" i="126"/>
  <c r="AK176" i="126"/>
  <c r="Y176" i="126"/>
  <c r="M176" i="126"/>
  <c r="AX175" i="126"/>
  <c r="AL175" i="126"/>
  <c r="Z175" i="126"/>
  <c r="N175" i="126"/>
  <c r="AY174" i="126"/>
  <c r="AM174" i="126"/>
  <c r="AA174" i="126"/>
  <c r="O174" i="126"/>
  <c r="AZ173" i="126"/>
  <c r="AN173" i="126"/>
  <c r="AB173" i="126"/>
  <c r="P173" i="126"/>
  <c r="DA172" i="126"/>
  <c r="CO172" i="126"/>
  <c r="CC172" i="126"/>
  <c r="BQ172" i="126"/>
  <c r="BE172" i="126"/>
  <c r="AS172" i="126"/>
  <c r="AG172" i="126"/>
  <c r="U172" i="126"/>
  <c r="DF171" i="126"/>
  <c r="CT171" i="126"/>
  <c r="CH171" i="126"/>
  <c r="BV171" i="126"/>
  <c r="BJ171" i="126"/>
  <c r="AX171" i="126"/>
  <c r="AL171" i="126"/>
  <c r="Z171" i="126"/>
  <c r="N171" i="126"/>
  <c r="R190" i="126"/>
  <c r="AA189" i="126"/>
  <c r="AM188" i="126"/>
  <c r="BE186" i="126"/>
  <c r="CH185" i="126"/>
  <c r="N185" i="126"/>
  <c r="AN184" i="126"/>
  <c r="AN182" i="126"/>
  <c r="V182" i="126"/>
  <c r="DA181" i="126"/>
  <c r="CI181" i="126"/>
  <c r="BR181" i="126"/>
  <c r="BA181" i="126"/>
  <c r="AL181" i="126"/>
  <c r="V181" i="126"/>
  <c r="DB180" i="126"/>
  <c r="CM180" i="126"/>
  <c r="BW180" i="126"/>
  <c r="BF180" i="126"/>
  <c r="AQ180" i="126"/>
  <c r="AA180" i="126"/>
  <c r="DG179" i="126"/>
  <c r="CR179" i="126"/>
  <c r="CB179" i="126"/>
  <c r="BK179" i="126"/>
  <c r="AV179" i="126"/>
  <c r="AF179" i="126"/>
  <c r="O179" i="126"/>
  <c r="CX178" i="126"/>
  <c r="CJ178" i="126"/>
  <c r="BW178" i="126"/>
  <c r="BI178" i="126"/>
  <c r="AV178" i="126"/>
  <c r="AI178" i="126"/>
  <c r="V178" i="126"/>
  <c r="BG177" i="126"/>
  <c r="AU177" i="126"/>
  <c r="AI177" i="126"/>
  <c r="W177" i="126"/>
  <c r="K177" i="126"/>
  <c r="AV176" i="126"/>
  <c r="AJ176" i="126"/>
  <c r="X176" i="126"/>
  <c r="L176" i="126"/>
  <c r="AW175" i="126"/>
  <c r="AK175" i="126"/>
  <c r="Y175" i="126"/>
  <c r="M175" i="126"/>
  <c r="AX174" i="126"/>
  <c r="AL174" i="126"/>
  <c r="Z174" i="126"/>
  <c r="N174" i="126"/>
  <c r="AY173" i="126"/>
  <c r="AM173" i="126"/>
  <c r="AA173" i="126"/>
  <c r="O173" i="126"/>
  <c r="CZ172" i="126"/>
  <c r="CN172" i="126"/>
  <c r="CB172" i="126"/>
  <c r="BP172" i="126"/>
  <c r="BD172" i="126"/>
  <c r="AR172" i="126"/>
  <c r="AF172" i="126"/>
  <c r="T172" i="126"/>
  <c r="DE171" i="126"/>
  <c r="CS171" i="126"/>
  <c r="CG171" i="126"/>
  <c r="BU171" i="126"/>
  <c r="BI171" i="126"/>
  <c r="AW171" i="126"/>
  <c r="AK171" i="126"/>
  <c r="Y171" i="126"/>
  <c r="M171" i="126"/>
  <c r="AY170" i="126"/>
  <c r="AM170" i="126"/>
  <c r="O190" i="126"/>
  <c r="Z189" i="126"/>
  <c r="AK188" i="126"/>
  <c r="BD186" i="126"/>
  <c r="CG185" i="126"/>
  <c r="M185" i="126"/>
  <c r="AM184" i="126"/>
  <c r="BG182" i="126"/>
  <c r="AL182" i="126"/>
  <c r="T182" i="126"/>
  <c r="CY181" i="126"/>
  <c r="CG181" i="126"/>
  <c r="BQ181" i="126"/>
  <c r="AZ181" i="126"/>
  <c r="AK181" i="126"/>
  <c r="U181" i="126"/>
  <c r="DA180" i="126"/>
  <c r="CL180" i="126"/>
  <c r="BV180" i="126"/>
  <c r="BE180" i="126"/>
  <c r="AP180" i="126"/>
  <c r="Z180" i="126"/>
  <c r="DF179" i="126"/>
  <c r="CQ179" i="126"/>
  <c r="CA179" i="126"/>
  <c r="BJ179" i="126"/>
  <c r="AU179" i="126"/>
  <c r="AE179" i="126"/>
  <c r="N179" i="126"/>
  <c r="CW178" i="126"/>
  <c r="CI178" i="126"/>
  <c r="BU178" i="126"/>
  <c r="BH178" i="126"/>
  <c r="AU178" i="126"/>
  <c r="AH178" i="126"/>
  <c r="U178" i="126"/>
  <c r="BF177" i="126"/>
  <c r="AT177" i="126"/>
  <c r="AH177" i="126"/>
  <c r="V177" i="126"/>
  <c r="BG176" i="126"/>
  <c r="AU176" i="126"/>
  <c r="AI176" i="126"/>
  <c r="W176" i="126"/>
  <c r="K176" i="126"/>
  <c r="AV175" i="126"/>
  <c r="AJ175" i="126"/>
  <c r="X175" i="126"/>
  <c r="L175" i="126"/>
  <c r="AW174" i="126"/>
  <c r="AK174" i="126"/>
  <c r="Y174" i="126"/>
  <c r="M174" i="126"/>
  <c r="AX173" i="126"/>
  <c r="AL173" i="126"/>
  <c r="Z173" i="126"/>
  <c r="N173" i="126"/>
  <c r="CY172" i="126"/>
  <c r="CM172" i="126"/>
  <c r="CA172" i="126"/>
  <c r="BO172" i="126"/>
  <c r="BC172" i="126"/>
  <c r="AQ172" i="126"/>
  <c r="AE172" i="126"/>
  <c r="S172" i="126"/>
  <c r="DD171" i="126"/>
  <c r="CR171" i="126"/>
  <c r="CF171" i="126"/>
  <c r="BT171" i="126"/>
  <c r="BH171" i="126"/>
  <c r="AV171" i="126"/>
  <c r="AJ171" i="126"/>
  <c r="X171" i="126"/>
  <c r="L171" i="126"/>
  <c r="AX170" i="126"/>
  <c r="AL170" i="126"/>
  <c r="Z170" i="126"/>
  <c r="BZ162" i="126" s="1"/>
  <c r="N170" i="126"/>
  <c r="BV185" i="126"/>
  <c r="AI182" i="126"/>
  <c r="AH181" i="126"/>
  <c r="AM180" i="126"/>
  <c r="AR179" i="126"/>
  <c r="BF178" i="126"/>
  <c r="AF177" i="126"/>
  <c r="BF175" i="126"/>
  <c r="AI174" i="126"/>
  <c r="L173" i="126"/>
  <c r="AO172" i="126"/>
  <c r="BR171" i="126"/>
  <c r="AV170" i="126"/>
  <c r="P170" i="126"/>
  <c r="CW169" i="126"/>
  <c r="CE169" i="126"/>
  <c r="BP169" i="126"/>
  <c r="BA169" i="126"/>
  <c r="AL169" i="126"/>
  <c r="W169" i="126"/>
  <c r="AW168" i="126"/>
  <c r="AI168" i="126"/>
  <c r="CI160" i="126" s="1"/>
  <c r="U168" i="126"/>
  <c r="BU160" i="126" s="1"/>
  <c r="AU167" i="126"/>
  <c r="AG167" i="126"/>
  <c r="R167" i="126"/>
  <c r="BG166" i="126"/>
  <c r="AR166" i="126"/>
  <c r="AD166" i="126"/>
  <c r="Q166" i="126"/>
  <c r="BQ158" i="126" s="1"/>
  <c r="BA165" i="126"/>
  <c r="AN165" i="126"/>
  <c r="AA165" i="126"/>
  <c r="N165" i="126"/>
  <c r="AX164" i="126"/>
  <c r="AK164" i="126"/>
  <c r="W164" i="126"/>
  <c r="AU163" i="126"/>
  <c r="AH163" i="126"/>
  <c r="U163" i="126"/>
  <c r="BF162" i="126"/>
  <c r="AT162" i="126"/>
  <c r="AH162" i="126"/>
  <c r="V162" i="126"/>
  <c r="BG161" i="126"/>
  <c r="AU161" i="126"/>
  <c r="AI161" i="126"/>
  <c r="W161" i="126"/>
  <c r="K161" i="126"/>
  <c r="AW160" i="126"/>
  <c r="AK160" i="126"/>
  <c r="Y160" i="126"/>
  <c r="M160" i="126"/>
  <c r="AY159" i="126"/>
  <c r="AM159" i="126"/>
  <c r="AA159" i="126"/>
  <c r="O159" i="126"/>
  <c r="BA158" i="126"/>
  <c r="AO158" i="126"/>
  <c r="AC158" i="126"/>
  <c r="Q158" i="126"/>
  <c r="DB157" i="126"/>
  <c r="CP157" i="126"/>
  <c r="CD157" i="126"/>
  <c r="BR157" i="126"/>
  <c r="BF157" i="126"/>
  <c r="AT157" i="126"/>
  <c r="AH157" i="126"/>
  <c r="V157" i="126"/>
  <c r="AV156" i="126"/>
  <c r="AJ156" i="126"/>
  <c r="CJ152" i="126" s="1"/>
  <c r="X156" i="126"/>
  <c r="L156" i="126"/>
  <c r="AX155" i="126"/>
  <c r="AL155" i="126"/>
  <c r="Z155" i="126"/>
  <c r="N155" i="126"/>
  <c r="AZ154" i="126"/>
  <c r="AN154" i="126"/>
  <c r="AB154" i="126"/>
  <c r="P154" i="126"/>
  <c r="BB153" i="126"/>
  <c r="AP153" i="126"/>
  <c r="CP149" i="126" s="1"/>
  <c r="AD153" i="126"/>
  <c r="R153" i="126"/>
  <c r="BD152" i="126"/>
  <c r="AR152" i="126"/>
  <c r="CR148" i="126" s="1"/>
  <c r="AF152" i="126"/>
  <c r="T152" i="126"/>
  <c r="BU185" i="126"/>
  <c r="S182" i="126"/>
  <c r="S181" i="126"/>
  <c r="X180" i="126"/>
  <c r="AC179" i="126"/>
  <c r="AT178" i="126"/>
  <c r="U177" i="126"/>
  <c r="AU175" i="126"/>
  <c r="X174" i="126"/>
  <c r="CX172" i="126"/>
  <c r="AD172" i="126"/>
  <c r="BG171" i="126"/>
  <c r="AQ170" i="126"/>
  <c r="CQ162" i="126" s="1"/>
  <c r="O170" i="126"/>
  <c r="CU169" i="126"/>
  <c r="CD169" i="126"/>
  <c r="BO169" i="126"/>
  <c r="AY169" i="126"/>
  <c r="AJ169" i="126"/>
  <c r="V169" i="126"/>
  <c r="AV168" i="126"/>
  <c r="AH168" i="126"/>
  <c r="T168" i="126"/>
  <c r="AT167" i="126"/>
  <c r="AE167" i="126"/>
  <c r="P167" i="126"/>
  <c r="BE166" i="126"/>
  <c r="AP166" i="126"/>
  <c r="AC166" i="126"/>
  <c r="P166" i="126"/>
  <c r="BP158" i="126" s="1"/>
  <c r="AZ165" i="126"/>
  <c r="AM165" i="126"/>
  <c r="Z165" i="126"/>
  <c r="M165" i="126"/>
  <c r="AW164" i="126"/>
  <c r="AI164" i="126"/>
  <c r="V164" i="126"/>
  <c r="BG163" i="126"/>
  <c r="AT163" i="126"/>
  <c r="AG163" i="126"/>
  <c r="T163" i="126"/>
  <c r="BE162" i="126"/>
  <c r="DE155" i="126" s="1"/>
  <c r="AS162" i="126"/>
  <c r="AG162" i="126"/>
  <c r="U162" i="126"/>
  <c r="BF161" i="126"/>
  <c r="AT161" i="126"/>
  <c r="AH161" i="126"/>
  <c r="V161" i="126"/>
  <c r="AV160" i="126"/>
  <c r="AJ160" i="126"/>
  <c r="X160" i="126"/>
  <c r="L160" i="126"/>
  <c r="AX159" i="126"/>
  <c r="CX153" i="126" s="1"/>
  <c r="AL159" i="126"/>
  <c r="Z159" i="126"/>
  <c r="N159" i="126"/>
  <c r="AZ158" i="126"/>
  <c r="AN158" i="126"/>
  <c r="DC190" i="126"/>
  <c r="Q182" i="126"/>
  <c r="Q181" i="126"/>
  <c r="V180" i="126"/>
  <c r="AA179" i="126"/>
  <c r="AS178" i="126"/>
  <c r="T177" i="126"/>
  <c r="AT175" i="126"/>
  <c r="W174" i="126"/>
  <c r="CW172" i="126"/>
  <c r="AC172" i="126"/>
  <c r="BF171" i="126"/>
  <c r="AN170" i="126"/>
  <c r="M170" i="126"/>
  <c r="CR169" i="126"/>
  <c r="CC169" i="126"/>
  <c r="BN169" i="126"/>
  <c r="AX169" i="126"/>
  <c r="AI169" i="126"/>
  <c r="U169" i="126"/>
  <c r="AU168" i="126"/>
  <c r="AG168" i="126"/>
  <c r="S168" i="126"/>
  <c r="BG167" i="126"/>
  <c r="AS167" i="126"/>
  <c r="AD167" i="126"/>
  <c r="O167" i="126"/>
  <c r="BO159" i="126" s="1"/>
  <c r="BD166" i="126"/>
  <c r="AO166" i="126"/>
  <c r="AB166" i="126"/>
  <c r="O166" i="126"/>
  <c r="BO158" i="126" s="1"/>
  <c r="AY165" i="126"/>
  <c r="AL165" i="126"/>
  <c r="Y165" i="126"/>
  <c r="L165" i="126"/>
  <c r="AU164" i="126"/>
  <c r="AH164" i="126"/>
  <c r="U164" i="126"/>
  <c r="BF163" i="126"/>
  <c r="AS163" i="126"/>
  <c r="AF163" i="126"/>
  <c r="S163" i="126"/>
  <c r="BD162" i="126"/>
  <c r="AR162" i="126"/>
  <c r="AF162" i="126"/>
  <c r="T162" i="126"/>
  <c r="BE161" i="126"/>
  <c r="AS161" i="126"/>
  <c r="AG161" i="126"/>
  <c r="U161" i="126"/>
  <c r="BG160" i="126"/>
  <c r="AU160" i="126"/>
  <c r="AI160" i="126"/>
  <c r="W160" i="126"/>
  <c r="K160" i="126"/>
  <c r="BK154" i="126" s="1"/>
  <c r="AW159" i="126"/>
  <c r="AK159" i="126"/>
  <c r="Y159" i="126"/>
  <c r="M159" i="126"/>
  <c r="AY158" i="126"/>
  <c r="AM158" i="126"/>
  <c r="DB190" i="126"/>
  <c r="CW181" i="126"/>
  <c r="CZ180" i="126"/>
  <c r="DE179" i="126"/>
  <c r="M179" i="126"/>
  <c r="AG178" i="126"/>
  <c r="BF176" i="126"/>
  <c r="AI175" i="126"/>
  <c r="L174" i="126"/>
  <c r="CL172" i="126"/>
  <c r="R172" i="126"/>
  <c r="AU171" i="126"/>
  <c r="AK170" i="126"/>
  <c r="L170" i="126"/>
  <c r="CQ169" i="126"/>
  <c r="CB169" i="126"/>
  <c r="BM169" i="126"/>
  <c r="AV169" i="126"/>
  <c r="AH169" i="126"/>
  <c r="T169" i="126"/>
  <c r="AT168" i="126"/>
  <c r="CT160" i="126" s="1"/>
  <c r="AF168" i="126"/>
  <c r="Q168" i="126"/>
  <c r="BF167" i="126"/>
  <c r="DF159" i="126" s="1"/>
  <c r="AQ167" i="126"/>
  <c r="AB167" i="126"/>
  <c r="N167" i="126"/>
  <c r="BB166" i="126"/>
  <c r="AN166" i="126"/>
  <c r="CN158" i="126" s="1"/>
  <c r="AA166" i="126"/>
  <c r="CA158" i="126" s="1"/>
  <c r="N166" i="126"/>
  <c r="AX165" i="126"/>
  <c r="AK165" i="126"/>
  <c r="X165" i="126"/>
  <c r="BG164" i="126"/>
  <c r="AT164" i="126"/>
  <c r="AG164" i="126"/>
  <c r="T164" i="126"/>
  <c r="BE163" i="126"/>
  <c r="AR163" i="126"/>
  <c r="AE163" i="126"/>
  <c r="CE156" i="126" s="1"/>
  <c r="R163" i="126"/>
  <c r="BR156" i="126" s="1"/>
  <c r="BC162" i="126"/>
  <c r="AQ162" i="126"/>
  <c r="AE162" i="126"/>
  <c r="S162" i="126"/>
  <c r="BD161" i="126"/>
  <c r="AR161" i="126"/>
  <c r="AF161" i="126"/>
  <c r="T161" i="126"/>
  <c r="BF160" i="126"/>
  <c r="AT160" i="126"/>
  <c r="AH160" i="126"/>
  <c r="V160" i="126"/>
  <c r="BV154" i="126" s="1"/>
  <c r="AV159" i="126"/>
  <c r="AJ159" i="126"/>
  <c r="X159" i="126"/>
  <c r="L159" i="126"/>
  <c r="AX158" i="126"/>
  <c r="AL158" i="126"/>
  <c r="Z158" i="126"/>
  <c r="N158" i="126"/>
  <c r="CY157" i="126"/>
  <c r="CM157" i="126"/>
  <c r="CA157" i="126"/>
  <c r="BO157" i="126"/>
  <c r="BC157" i="126"/>
  <c r="AQ157" i="126"/>
  <c r="AE157" i="126"/>
  <c r="S157" i="126"/>
  <c r="BE156" i="126"/>
  <c r="AS156" i="126"/>
  <c r="AG156" i="126"/>
  <c r="U156" i="126"/>
  <c r="BG155" i="126"/>
  <c r="AU155" i="126"/>
  <c r="AI155" i="126"/>
  <c r="W155" i="126"/>
  <c r="BW151" i="126" s="1"/>
  <c r="K155" i="126"/>
  <c r="CV189" i="126"/>
  <c r="AB184" i="126"/>
  <c r="CV181" i="126"/>
  <c r="CY180" i="126"/>
  <c r="DD179" i="126"/>
  <c r="L179" i="126"/>
  <c r="AF178" i="126"/>
  <c r="BE176" i="126"/>
  <c r="AH175" i="126"/>
  <c r="K174" i="126"/>
  <c r="CK172" i="126"/>
  <c r="Q172" i="126"/>
  <c r="AT171" i="126"/>
  <c r="AJ170" i="126"/>
  <c r="DG169" i="126"/>
  <c r="CP169" i="126"/>
  <c r="CA169" i="126"/>
  <c r="BK169" i="126"/>
  <c r="AU169" i="126"/>
  <c r="AG169" i="126"/>
  <c r="S169" i="126"/>
  <c r="BG168" i="126"/>
  <c r="AS168" i="126"/>
  <c r="CS160" i="126" s="1"/>
  <c r="AE168" i="126"/>
  <c r="P168" i="126"/>
  <c r="BE167" i="126"/>
  <c r="DE159" i="126" s="1"/>
  <c r="AP167" i="126"/>
  <c r="AA167" i="126"/>
  <c r="CA159" i="126" s="1"/>
  <c r="M167" i="126"/>
  <c r="BM159" i="126" s="1"/>
  <c r="BA166" i="126"/>
  <c r="DA158" i="126" s="1"/>
  <c r="AM166" i="126"/>
  <c r="CM158" i="126" s="1"/>
  <c r="Z166" i="126"/>
  <c r="M166" i="126"/>
  <c r="AW165" i="126"/>
  <c r="AJ165" i="126"/>
  <c r="V165" i="126"/>
  <c r="BF164" i="126"/>
  <c r="AS164" i="126"/>
  <c r="AF164" i="126"/>
  <c r="S164" i="126"/>
  <c r="BD163" i="126"/>
  <c r="AQ163" i="126"/>
  <c r="CQ156" i="126" s="1"/>
  <c r="AD163" i="126"/>
  <c r="Q163" i="126"/>
  <c r="BB162" i="126"/>
  <c r="AP162" i="126"/>
  <c r="AD162" i="126"/>
  <c r="CD155" i="126" s="1"/>
  <c r="R162" i="126"/>
  <c r="BR155" i="126" s="1"/>
  <c r="BC161" i="126"/>
  <c r="AQ161" i="126"/>
  <c r="AE161" i="126"/>
  <c r="S161" i="126"/>
  <c r="BE160" i="126"/>
  <c r="AS160" i="126"/>
  <c r="AG160" i="126"/>
  <c r="U160" i="126"/>
  <c r="BG159" i="126"/>
  <c r="AU159" i="126"/>
  <c r="AI159" i="126"/>
  <c r="CI153" i="126" s="1"/>
  <c r="W159" i="126"/>
  <c r="K159" i="126"/>
  <c r="CU189" i="126"/>
  <c r="AA184" i="126"/>
  <c r="CF181" i="126"/>
  <c r="CK180" i="126"/>
  <c r="CP179" i="126"/>
  <c r="CV178" i="126"/>
  <c r="T178" i="126"/>
  <c r="AT176" i="126"/>
  <c r="W175" i="126"/>
  <c r="AW173" i="126"/>
  <c r="BZ172" i="126"/>
  <c r="DC171" i="126"/>
  <c r="AI171" i="126"/>
  <c r="AE170" i="126"/>
  <c r="DD169" i="126"/>
  <c r="CO169" i="126"/>
  <c r="BZ169" i="126"/>
  <c r="BH169" i="126"/>
  <c r="AT169" i="126"/>
  <c r="AF169" i="126"/>
  <c r="R169" i="126"/>
  <c r="BF168" i="126"/>
  <c r="DF160" i="126" s="1"/>
  <c r="AR168" i="126"/>
  <c r="AC168" i="126"/>
  <c r="N168" i="126"/>
  <c r="BC167" i="126"/>
  <c r="AN167" i="126"/>
  <c r="Z167" i="126"/>
  <c r="BZ159" i="126" s="1"/>
  <c r="L167" i="126"/>
  <c r="BL159" i="126" s="1"/>
  <c r="AZ166" i="126"/>
  <c r="CZ158" i="126" s="1"/>
  <c r="AL166" i="126"/>
  <c r="Y166" i="126"/>
  <c r="L166" i="126"/>
  <c r="AV165" i="126"/>
  <c r="AH165" i="126"/>
  <c r="U165" i="126"/>
  <c r="BE164" i="126"/>
  <c r="AR164" i="126"/>
  <c r="AE164" i="126"/>
  <c r="R164" i="126"/>
  <c r="BC163" i="126"/>
  <c r="DC156" i="126" s="1"/>
  <c r="AP163" i="126"/>
  <c r="AC163" i="126"/>
  <c r="P163" i="126"/>
  <c r="BA162" i="126"/>
  <c r="DA155" i="126" s="1"/>
  <c r="AO162" i="126"/>
  <c r="AC162" i="126"/>
  <c r="Q162" i="126"/>
  <c r="BB161" i="126"/>
  <c r="AP161" i="126"/>
  <c r="AD161" i="126"/>
  <c r="R161" i="126"/>
  <c r="BD160" i="126"/>
  <c r="AR160" i="126"/>
  <c r="AF160" i="126"/>
  <c r="T160" i="126"/>
  <c r="BF159" i="126"/>
  <c r="AT159" i="126"/>
  <c r="CT153" i="126" s="1"/>
  <c r="AH159" i="126"/>
  <c r="V159" i="126"/>
  <c r="AV158" i="126"/>
  <c r="AJ158" i="126"/>
  <c r="X158" i="126"/>
  <c r="L158" i="126"/>
  <c r="CW157" i="126"/>
  <c r="CK157" i="126"/>
  <c r="BY157" i="126"/>
  <c r="BM157" i="126"/>
  <c r="BA157" i="126"/>
  <c r="AO157" i="126"/>
  <c r="AC157" i="126"/>
  <c r="Q157" i="126"/>
  <c r="BC156" i="126"/>
  <c r="AQ156" i="126"/>
  <c r="AE156" i="126"/>
  <c r="S156" i="126"/>
  <c r="BE155" i="126"/>
  <c r="DE151" i="126" s="1"/>
  <c r="AS155" i="126"/>
  <c r="M189" i="126"/>
  <c r="BB183" i="126"/>
  <c r="CD181" i="126"/>
  <c r="CI180" i="126"/>
  <c r="CN179" i="126"/>
  <c r="CU178" i="126"/>
  <c r="S178" i="126"/>
  <c r="AS176" i="126"/>
  <c r="V175" i="126"/>
  <c r="AV173" i="126"/>
  <c r="BY172" i="126"/>
  <c r="DB171" i="126"/>
  <c r="AH171" i="126"/>
  <c r="AB170" i="126"/>
  <c r="DC169" i="126"/>
  <c r="CN169" i="126"/>
  <c r="BY169" i="126"/>
  <c r="BG169" i="126"/>
  <c r="AS169" i="126"/>
  <c r="AE169" i="126"/>
  <c r="Q169" i="126"/>
  <c r="BE168" i="126"/>
  <c r="DE160" i="126" s="1"/>
  <c r="AQ168" i="126"/>
  <c r="CQ160" i="126" s="1"/>
  <c r="AB168" i="126"/>
  <c r="M168" i="126"/>
  <c r="BB167" i="126"/>
  <c r="AM167" i="126"/>
  <c r="CM159" i="126" s="1"/>
  <c r="Y167" i="126"/>
  <c r="BY159" i="126" s="1"/>
  <c r="K167" i="126"/>
  <c r="BK159" i="126" s="1"/>
  <c r="AY166" i="126"/>
  <c r="CY158" i="126" s="1"/>
  <c r="AK166" i="126"/>
  <c r="X166" i="126"/>
  <c r="K166" i="126"/>
  <c r="AT165" i="126"/>
  <c r="AG165" i="126"/>
  <c r="T165" i="126"/>
  <c r="BD164" i="126"/>
  <c r="AQ164" i="126"/>
  <c r="AD164" i="126"/>
  <c r="Q164" i="126"/>
  <c r="BB163" i="126"/>
  <c r="DB156" i="126" s="1"/>
  <c r="AO163" i="126"/>
  <c r="AB163" i="126"/>
  <c r="O163" i="126"/>
  <c r="AZ162" i="126"/>
  <c r="AN162" i="126"/>
  <c r="AB162" i="126"/>
  <c r="P162" i="126"/>
  <c r="BA161" i="126"/>
  <c r="AO161" i="126"/>
  <c r="AC161" i="126"/>
  <c r="Q161" i="126"/>
  <c r="BC160" i="126"/>
  <c r="AQ160" i="126"/>
  <c r="AE160" i="126"/>
  <c r="S160" i="126"/>
  <c r="BE159" i="126"/>
  <c r="AS159" i="126"/>
  <c r="AG159" i="126"/>
  <c r="U159" i="126"/>
  <c r="BG158" i="126"/>
  <c r="AU158" i="126"/>
  <c r="AI158" i="126"/>
  <c r="W158" i="126"/>
  <c r="K158" i="126"/>
  <c r="CV157" i="126"/>
  <c r="CJ157" i="126"/>
  <c r="BX157" i="126"/>
  <c r="BL157" i="126"/>
  <c r="AZ157" i="126"/>
  <c r="AN157" i="126"/>
  <c r="AB157" i="126"/>
  <c r="P157" i="126"/>
  <c r="BB156" i="126"/>
  <c r="K189" i="126"/>
  <c r="BA183" i="126"/>
  <c r="BO181" i="126"/>
  <c r="BT180" i="126"/>
  <c r="BY179" i="126"/>
  <c r="CG178" i="126"/>
  <c r="BE177" i="126"/>
  <c r="AH176" i="126"/>
  <c r="K175" i="126"/>
  <c r="AK173" i="126"/>
  <c r="BN172" i="126"/>
  <c r="CQ171" i="126"/>
  <c r="W171" i="126"/>
  <c r="AA170" i="126"/>
  <c r="CA162" i="126" s="1"/>
  <c r="DB169" i="126"/>
  <c r="CM169" i="126"/>
  <c r="BW169" i="126"/>
  <c r="BF169" i="126"/>
  <c r="AR169" i="126"/>
  <c r="AD169" i="126"/>
  <c r="O169" i="126"/>
  <c r="BD168" i="126"/>
  <c r="DD160" i="126" s="1"/>
  <c r="AO168" i="126"/>
  <c r="Z168" i="126"/>
  <c r="L168" i="126"/>
  <c r="BL160" i="126" s="1"/>
  <c r="AZ167" i="126"/>
  <c r="CZ159" i="126" s="1"/>
  <c r="AL167" i="126"/>
  <c r="CL159" i="126" s="1"/>
  <c r="X167" i="126"/>
  <c r="AX166" i="126"/>
  <c r="CX158" i="126" s="1"/>
  <c r="AJ166" i="126"/>
  <c r="CJ158" i="126" s="1"/>
  <c r="W166" i="126"/>
  <c r="BF165" i="126"/>
  <c r="AS165" i="126"/>
  <c r="AF165" i="126"/>
  <c r="S165" i="126"/>
  <c r="BC164" i="126"/>
  <c r="AP164" i="126"/>
  <c r="AC164" i="126"/>
  <c r="P164" i="126"/>
  <c r="BA163" i="126"/>
  <c r="AN163" i="126"/>
  <c r="AA163" i="126"/>
  <c r="M163" i="126"/>
  <c r="AY162" i="126"/>
  <c r="AM162" i="126"/>
  <c r="AA162" i="126"/>
  <c r="O162" i="126"/>
  <c r="AZ161" i="126"/>
  <c r="AN161" i="126"/>
  <c r="AB161" i="126"/>
  <c r="P161" i="126"/>
  <c r="BB160" i="126"/>
  <c r="AP160" i="126"/>
  <c r="AD160" i="126"/>
  <c r="R160" i="126"/>
  <c r="BD159" i="126"/>
  <c r="AR159" i="126"/>
  <c r="CR153" i="126" s="1"/>
  <c r="AF159" i="126"/>
  <c r="T159" i="126"/>
  <c r="BW179" i="126"/>
  <c r="AG176" i="126"/>
  <c r="BM172" i="126"/>
  <c r="CL169" i="126"/>
  <c r="AQ169" i="126"/>
  <c r="BC168" i="126"/>
  <c r="DC160" i="126" s="1"/>
  <c r="K168" i="126"/>
  <c r="W167" i="126"/>
  <c r="AI166" i="126"/>
  <c r="CI158" i="126" s="1"/>
  <c r="AR165" i="126"/>
  <c r="BB164" i="126"/>
  <c r="O164" i="126"/>
  <c r="AI163" i="126"/>
  <c r="CI156" i="126" s="1"/>
  <c r="BG162" i="126"/>
  <c r="DG155" i="126" s="1"/>
  <c r="W162" i="126"/>
  <c r="BW155" i="126" s="1"/>
  <c r="AJ161" i="126"/>
  <c r="Z160" i="126"/>
  <c r="AZ159" i="126"/>
  <c r="P159" i="126"/>
  <c r="BD158" i="126"/>
  <c r="AF158" i="126"/>
  <c r="O158" i="126"/>
  <c r="CS157" i="126"/>
  <c r="CB157" i="126"/>
  <c r="BI157" i="126"/>
  <c r="AR157" i="126"/>
  <c r="Y157" i="126"/>
  <c r="AY156" i="126"/>
  <c r="AI156" i="126"/>
  <c r="R156" i="126"/>
  <c r="BR152" i="126" s="1"/>
  <c r="BA155" i="126"/>
  <c r="AK155" i="126"/>
  <c r="V155" i="126"/>
  <c r="AY154" i="126"/>
  <c r="AL154" i="126"/>
  <c r="Y154" i="126"/>
  <c r="L154" i="126"/>
  <c r="BF153" i="126"/>
  <c r="AS153" i="126"/>
  <c r="CS149" i="126" s="1"/>
  <c r="AF153" i="126"/>
  <c r="S153" i="126"/>
  <c r="AY152" i="126"/>
  <c r="AL152" i="126"/>
  <c r="Y152" i="126"/>
  <c r="L152" i="126"/>
  <c r="AX151" i="126"/>
  <c r="AL151" i="126"/>
  <c r="Z151" i="126"/>
  <c r="N151" i="126"/>
  <c r="AZ150" i="126"/>
  <c r="AN150" i="126"/>
  <c r="CN146" i="126" s="1"/>
  <c r="AB150" i="126"/>
  <c r="BF182" i="126"/>
  <c r="BI179" i="126"/>
  <c r="V176" i="126"/>
  <c r="BB172" i="126"/>
  <c r="CK169" i="126"/>
  <c r="AP169" i="126"/>
  <c r="BA168" i="126"/>
  <c r="V167" i="126"/>
  <c r="BV159" i="126" s="1"/>
  <c r="AG166" i="126"/>
  <c r="AQ165" i="126"/>
  <c r="BA164" i="126"/>
  <c r="N164" i="126"/>
  <c r="Y163" i="126"/>
  <c r="AX162" i="126"/>
  <c r="CX155" i="126" s="1"/>
  <c r="N162" i="126"/>
  <c r="AA161" i="126"/>
  <c r="BA160" i="126"/>
  <c r="DA154" i="126" s="1"/>
  <c r="Q160" i="126"/>
  <c r="BQ154" i="126" s="1"/>
  <c r="AQ159" i="126"/>
  <c r="BC158" i="126"/>
  <c r="AE158" i="126"/>
  <c r="M158" i="126"/>
  <c r="CR157" i="126"/>
  <c r="BZ157" i="126"/>
  <c r="BH157" i="126"/>
  <c r="AP157" i="126"/>
  <c r="X157" i="126"/>
  <c r="AX156" i="126"/>
  <c r="AH156" i="126"/>
  <c r="Q156" i="126"/>
  <c r="BQ152" i="126" s="1"/>
  <c r="AZ155" i="126"/>
  <c r="AJ155" i="126"/>
  <c r="U155" i="126"/>
  <c r="AX154" i="126"/>
  <c r="CX150" i="126" s="1"/>
  <c r="AK154" i="126"/>
  <c r="CK150" i="126" s="1"/>
  <c r="X154" i="126"/>
  <c r="K154" i="126"/>
  <c r="BE153" i="126"/>
  <c r="AR153" i="126"/>
  <c r="AE153" i="126"/>
  <c r="Q153" i="126"/>
  <c r="BQ149" i="126" s="1"/>
  <c r="AX152" i="126"/>
  <c r="AK152" i="126"/>
  <c r="X152" i="126"/>
  <c r="K152" i="126"/>
  <c r="AW151" i="126"/>
  <c r="AK151" i="126"/>
  <c r="Y151" i="126"/>
  <c r="BY147" i="126" s="1"/>
  <c r="M151" i="126"/>
  <c r="AY150" i="126"/>
  <c r="AM150" i="126"/>
  <c r="AA150" i="126"/>
  <c r="O150" i="126"/>
  <c r="BA149" i="126"/>
  <c r="AO149" i="126"/>
  <c r="AC149" i="126"/>
  <c r="Q149" i="126"/>
  <c r="BC148" i="126"/>
  <c r="AQ148" i="126"/>
  <c r="CQ144" i="126" s="1"/>
  <c r="AE148" i="126"/>
  <c r="S148" i="126"/>
  <c r="BE147" i="126"/>
  <c r="AS147" i="126"/>
  <c r="BD182" i="126"/>
  <c r="BH179" i="126"/>
  <c r="U176" i="126"/>
  <c r="BA172" i="126"/>
  <c r="AZ170" i="126"/>
  <c r="CZ162" i="126" s="1"/>
  <c r="CI169" i="126"/>
  <c r="AO169" i="126"/>
  <c r="AZ168" i="126"/>
  <c r="CZ160" i="126" s="1"/>
  <c r="U167" i="126"/>
  <c r="BU159" i="126" s="1"/>
  <c r="AF166" i="126"/>
  <c r="AP165" i="126"/>
  <c r="AZ164" i="126"/>
  <c r="M164" i="126"/>
  <c r="X163" i="126"/>
  <c r="BX156" i="126" s="1"/>
  <c r="AW162" i="126"/>
  <c r="M162" i="126"/>
  <c r="Z161" i="126"/>
  <c r="AZ160" i="126"/>
  <c r="CZ154" i="126" s="1"/>
  <c r="P160" i="126"/>
  <c r="BP154" i="126" s="1"/>
  <c r="AP159" i="126"/>
  <c r="CP153" i="126" s="1"/>
  <c r="BB158" i="126"/>
  <c r="AD158" i="126"/>
  <c r="DG157" i="126"/>
  <c r="CQ157" i="126"/>
  <c r="BW157" i="126"/>
  <c r="BG157" i="126"/>
  <c r="AM157" i="126"/>
  <c r="W157" i="126"/>
  <c r="AW156" i="126"/>
  <c r="AF156" i="126"/>
  <c r="CF152" i="126" s="1"/>
  <c r="P156" i="126"/>
  <c r="AY155" i="126"/>
  <c r="CY151" i="126" s="1"/>
  <c r="AH155" i="126"/>
  <c r="CH151" i="126" s="1"/>
  <c r="T155" i="126"/>
  <c r="AW154" i="126"/>
  <c r="AJ154" i="126"/>
  <c r="W154" i="126"/>
  <c r="BD153" i="126"/>
  <c r="AQ153" i="126"/>
  <c r="AC153" i="126"/>
  <c r="CC149" i="126" s="1"/>
  <c r="P153" i="126"/>
  <c r="AW152" i="126"/>
  <c r="AJ152" i="126"/>
  <c r="W152" i="126"/>
  <c r="BW148" i="126" s="1"/>
  <c r="AV151" i="126"/>
  <c r="AJ151" i="126"/>
  <c r="X151" i="126"/>
  <c r="L151" i="126"/>
  <c r="AX150" i="126"/>
  <c r="AL150" i="126"/>
  <c r="Z150" i="126"/>
  <c r="N150" i="126"/>
  <c r="AZ149" i="126"/>
  <c r="AN149" i="126"/>
  <c r="AB149" i="126"/>
  <c r="P149" i="126"/>
  <c r="BB148" i="126"/>
  <c r="AP148" i="126"/>
  <c r="AD148" i="126"/>
  <c r="R148" i="126"/>
  <c r="BD147" i="126"/>
  <c r="AR147" i="126"/>
  <c r="AF147" i="126"/>
  <c r="CF143" i="126" s="1"/>
  <c r="T147" i="126"/>
  <c r="BF146" i="126"/>
  <c r="AT146" i="126"/>
  <c r="AH146" i="126"/>
  <c r="V146" i="126"/>
  <c r="BV142" i="126" s="1"/>
  <c r="AV145" i="126"/>
  <c r="AJ145" i="126"/>
  <c r="X145" i="126"/>
  <c r="L145" i="126"/>
  <c r="AX144" i="126"/>
  <c r="AJ182" i="126"/>
  <c r="AT179" i="126"/>
  <c r="BG175" i="126"/>
  <c r="AP172" i="126"/>
  <c r="AW170" i="126"/>
  <c r="CF169" i="126"/>
  <c r="AM169" i="126"/>
  <c r="AX168" i="126"/>
  <c r="S167" i="126"/>
  <c r="AE166" i="126"/>
  <c r="CE158" i="126" s="1"/>
  <c r="AO165" i="126"/>
  <c r="AY164" i="126"/>
  <c r="K164" i="126"/>
  <c r="W163" i="126"/>
  <c r="AV162" i="126"/>
  <c r="CV155" i="126" s="1"/>
  <c r="L162" i="126"/>
  <c r="Y161" i="126"/>
  <c r="AY160" i="126"/>
  <c r="O160" i="126"/>
  <c r="BO154" i="126" s="1"/>
  <c r="AO159" i="126"/>
  <c r="AW158" i="126"/>
  <c r="AB158" i="126"/>
  <c r="DF157" i="126"/>
  <c r="CO157" i="126"/>
  <c r="BV157" i="126"/>
  <c r="BE157" i="126"/>
  <c r="AL157" i="126"/>
  <c r="U157" i="126"/>
  <c r="AU156" i="126"/>
  <c r="AD156" i="126"/>
  <c r="O156" i="126"/>
  <c r="BO152" i="126" s="1"/>
  <c r="AW155" i="126"/>
  <c r="CW151" i="126" s="1"/>
  <c r="AG155" i="126"/>
  <c r="S155" i="126"/>
  <c r="AV154" i="126"/>
  <c r="AI154" i="126"/>
  <c r="V154" i="126"/>
  <c r="BC153" i="126"/>
  <c r="DC149" i="126" s="1"/>
  <c r="AO153" i="126"/>
  <c r="CO149" i="126" s="1"/>
  <c r="AB153" i="126"/>
  <c r="O153" i="126"/>
  <c r="BO149" i="126" s="1"/>
  <c r="AV152" i="126"/>
  <c r="AI152" i="126"/>
  <c r="CI148" i="126" s="1"/>
  <c r="V152" i="126"/>
  <c r="BG151" i="126"/>
  <c r="AU151" i="126"/>
  <c r="AI151" i="126"/>
  <c r="W151" i="126"/>
  <c r="K151" i="126"/>
  <c r="BK147" i="126" s="1"/>
  <c r="AW150" i="126"/>
  <c r="CW146" i="126" s="1"/>
  <c r="AK150" i="126"/>
  <c r="Y150" i="126"/>
  <c r="M150" i="126"/>
  <c r="AY149" i="126"/>
  <c r="AM149" i="126"/>
  <c r="CM145" i="126" s="1"/>
  <c r="AA149" i="126"/>
  <c r="O149" i="126"/>
  <c r="BA148" i="126"/>
  <c r="AO148" i="126"/>
  <c r="AC148" i="126"/>
  <c r="Q148" i="126"/>
  <c r="BQ144" i="126" s="1"/>
  <c r="BC147" i="126"/>
  <c r="AQ147" i="126"/>
  <c r="AE147" i="126"/>
  <c r="S147" i="126"/>
  <c r="BE146" i="126"/>
  <c r="AS146" i="126"/>
  <c r="CS142" i="126" s="1"/>
  <c r="AG146" i="126"/>
  <c r="CG142" i="126" s="1"/>
  <c r="U146" i="126"/>
  <c r="BG145" i="126"/>
  <c r="AU145" i="126"/>
  <c r="AI145" i="126"/>
  <c r="W145" i="126"/>
  <c r="BW141" i="126" s="1"/>
  <c r="K145" i="126"/>
  <c r="BM181" i="126"/>
  <c r="CF178" i="126"/>
  <c r="BG174" i="126"/>
  <c r="CP171" i="126"/>
  <c r="Y170" i="126"/>
  <c r="BY162" i="126" s="1"/>
  <c r="BT169" i="126"/>
  <c r="AC169" i="126"/>
  <c r="AN168" i="126"/>
  <c r="AY167" i="126"/>
  <c r="CY159" i="126" s="1"/>
  <c r="U166" i="126"/>
  <c r="AE165" i="126"/>
  <c r="AO164" i="126"/>
  <c r="V163" i="126"/>
  <c r="AU162" i="126"/>
  <c r="CU155" i="126" s="1"/>
  <c r="K162" i="126"/>
  <c r="BK155" i="126" s="1"/>
  <c r="X161" i="126"/>
  <c r="AX160" i="126"/>
  <c r="CX154" i="126" s="1"/>
  <c r="N160" i="126"/>
  <c r="AN159" i="126"/>
  <c r="AT158" i="126"/>
  <c r="AA158" i="126"/>
  <c r="DE157" i="126"/>
  <c r="CN157" i="126"/>
  <c r="BU157" i="126"/>
  <c r="BD157" i="126"/>
  <c r="AK157" i="126"/>
  <c r="T157" i="126"/>
  <c r="AT156" i="126"/>
  <c r="AC156" i="126"/>
  <c r="CC152" i="126" s="1"/>
  <c r="N156" i="126"/>
  <c r="AV155" i="126"/>
  <c r="AF155" i="126"/>
  <c r="R155" i="126"/>
  <c r="AU154" i="126"/>
  <c r="AH154" i="126"/>
  <c r="U154" i="126"/>
  <c r="BA153" i="126"/>
  <c r="DA149" i="126" s="1"/>
  <c r="AN153" i="126"/>
  <c r="CN149" i="126" s="1"/>
  <c r="AA153" i="126"/>
  <c r="N153" i="126"/>
  <c r="AU152" i="126"/>
  <c r="CU148" i="126" s="1"/>
  <c r="AH152" i="126"/>
  <c r="U152" i="126"/>
  <c r="BF151" i="126"/>
  <c r="AT151" i="126"/>
  <c r="AH151" i="126"/>
  <c r="V151" i="126"/>
  <c r="BV147" i="126" s="1"/>
  <c r="AY181" i="126"/>
  <c r="BT178" i="126"/>
  <c r="AV174" i="126"/>
  <c r="CE171" i="126"/>
  <c r="X170" i="126"/>
  <c r="BS169" i="126"/>
  <c r="AA169" i="126"/>
  <c r="AL168" i="126"/>
  <c r="AX167" i="126"/>
  <c r="T166" i="126"/>
  <c r="AD165" i="126"/>
  <c r="AN164" i="126"/>
  <c r="AZ163" i="126"/>
  <c r="CZ156" i="126" s="1"/>
  <c r="L163" i="126"/>
  <c r="BL156" i="126" s="1"/>
  <c r="AL162" i="126"/>
  <c r="CL155" i="126" s="1"/>
  <c r="AY161" i="126"/>
  <c r="O161" i="126"/>
  <c r="AO160" i="126"/>
  <c r="CO154" i="126" s="1"/>
  <c r="AE159" i="126"/>
  <c r="CE153" i="126" s="1"/>
  <c r="AS158" i="126"/>
  <c r="Y158" i="126"/>
  <c r="DD157" i="126"/>
  <c r="CL157" i="126"/>
  <c r="BT157" i="126"/>
  <c r="BB157" i="126"/>
  <c r="AJ157" i="126"/>
  <c r="R157" i="126"/>
  <c r="AR156" i="126"/>
  <c r="CR152" i="126" s="1"/>
  <c r="AB156" i="126"/>
  <c r="M156" i="126"/>
  <c r="BM152" i="126" s="1"/>
  <c r="AT155" i="126"/>
  <c r="CT151" i="126" s="1"/>
  <c r="AE155" i="126"/>
  <c r="Q155" i="126"/>
  <c r="BG154" i="126"/>
  <c r="AT154" i="126"/>
  <c r="AG154" i="126"/>
  <c r="T154" i="126"/>
  <c r="AZ153" i="126"/>
  <c r="CZ149" i="126" s="1"/>
  <c r="AM153" i="126"/>
  <c r="Z153" i="126"/>
  <c r="M153" i="126"/>
  <c r="BG152" i="126"/>
  <c r="DG148" i="126" s="1"/>
  <c r="AT152" i="126"/>
  <c r="CT148" i="126" s="1"/>
  <c r="AG152" i="126"/>
  <c r="S152" i="126"/>
  <c r="BS148" i="126" s="1"/>
  <c r="BE151" i="126"/>
  <c r="AS151" i="126"/>
  <c r="CS147" i="126" s="1"/>
  <c r="AG151" i="126"/>
  <c r="U151" i="126"/>
  <c r="BU147" i="126" s="1"/>
  <c r="BG150" i="126"/>
  <c r="AU150" i="126"/>
  <c r="AI150" i="126"/>
  <c r="W150" i="126"/>
  <c r="K150" i="126"/>
  <c r="BK146" i="126" s="1"/>
  <c r="AX181" i="126"/>
  <c r="BS178" i="126"/>
  <c r="AU174" i="126"/>
  <c r="CD171" i="126"/>
  <c r="V170" i="126"/>
  <c r="BV162" i="126" s="1"/>
  <c r="BR169" i="126"/>
  <c r="Z169" i="126"/>
  <c r="AK168" i="126"/>
  <c r="CK160" i="126" s="1"/>
  <c r="AW167" i="126"/>
  <c r="CW159" i="126" s="1"/>
  <c r="S166" i="126"/>
  <c r="AC165" i="126"/>
  <c r="AM164" i="126"/>
  <c r="AY163" i="126"/>
  <c r="CY156" i="126" s="1"/>
  <c r="K163" i="126"/>
  <c r="AK162" i="126"/>
  <c r="CK155" i="126" s="1"/>
  <c r="AX161" i="126"/>
  <c r="N161" i="126"/>
  <c r="AN160" i="126"/>
  <c r="CN154" i="126" s="1"/>
  <c r="AD159" i="126"/>
  <c r="CD153" i="126" s="1"/>
  <c r="AR158" i="126"/>
  <c r="V158" i="126"/>
  <c r="DC157" i="126"/>
  <c r="CI157" i="126"/>
  <c r="BS157" i="126"/>
  <c r="AY157" i="126"/>
  <c r="AI157" i="126"/>
  <c r="O157" i="126"/>
  <c r="AP156" i="126"/>
  <c r="AA156" i="126"/>
  <c r="K156" i="126"/>
  <c r="BK152" i="126" s="1"/>
  <c r="AR155" i="126"/>
  <c r="CR151" i="126" s="1"/>
  <c r="AD155" i="126"/>
  <c r="P155" i="126"/>
  <c r="BF154" i="126"/>
  <c r="AS154" i="126"/>
  <c r="AF154" i="126"/>
  <c r="CF150" i="126" s="1"/>
  <c r="S154" i="126"/>
  <c r="BS150" i="126" s="1"/>
  <c r="AY153" i="126"/>
  <c r="AL153" i="126"/>
  <c r="Y153" i="126"/>
  <c r="L153" i="126"/>
  <c r="BF152" i="126"/>
  <c r="DF148" i="126" s="1"/>
  <c r="AS152" i="126"/>
  <c r="AE152" i="126"/>
  <c r="CE148" i="126" s="1"/>
  <c r="R152" i="126"/>
  <c r="BR148" i="126" s="1"/>
  <c r="BD151" i="126"/>
  <c r="DD147" i="126" s="1"/>
  <c r="AR151" i="126"/>
  <c r="AF151" i="126"/>
  <c r="CF147" i="126" s="1"/>
  <c r="T151" i="126"/>
  <c r="BT147" i="126" s="1"/>
  <c r="AJ181" i="126"/>
  <c r="BG178" i="126"/>
  <c r="AJ174" i="126"/>
  <c r="BS171" i="126"/>
  <c r="S170" i="126"/>
  <c r="BS162" i="126" s="1"/>
  <c r="BQ169" i="126"/>
  <c r="X169" i="126"/>
  <c r="AJ168" i="126"/>
  <c r="CJ160" i="126" s="1"/>
  <c r="AV167" i="126"/>
  <c r="CV159" i="126" s="1"/>
  <c r="R166" i="126"/>
  <c r="AB165" i="126"/>
  <c r="AL164" i="126"/>
  <c r="AW163" i="126"/>
  <c r="CW156" i="126" s="1"/>
  <c r="AJ162" i="126"/>
  <c r="CJ155" i="126" s="1"/>
  <c r="AW161" i="126"/>
  <c r="M161" i="126"/>
  <c r="AM160" i="126"/>
  <c r="CM154" i="126" s="1"/>
  <c r="AC159" i="126"/>
  <c r="CC153" i="126" s="1"/>
  <c r="AQ158" i="126"/>
  <c r="U158" i="126"/>
  <c r="DA157" i="126"/>
  <c r="CH157" i="126"/>
  <c r="BQ157" i="126"/>
  <c r="AX157" i="126"/>
  <c r="AG157" i="126"/>
  <c r="N157" i="126"/>
  <c r="BG156" i="126"/>
  <c r="AO156" i="126"/>
  <c r="Z156" i="126"/>
  <c r="BZ152" i="126" s="1"/>
  <c r="AQ155" i="126"/>
  <c r="CQ151" i="126" s="1"/>
  <c r="AC155" i="126"/>
  <c r="CC151" i="126" s="1"/>
  <c r="O155" i="126"/>
  <c r="BE154" i="126"/>
  <c r="DE150" i="126" s="1"/>
  <c r="AR154" i="126"/>
  <c r="AE154" i="126"/>
  <c r="CE150" i="126" s="1"/>
  <c r="R154" i="126"/>
  <c r="AX153" i="126"/>
  <c r="AK153" i="126"/>
  <c r="CK149" i="126" s="1"/>
  <c r="X153" i="126"/>
  <c r="K153" i="126"/>
  <c r="BE152" i="126"/>
  <c r="AQ152" i="126"/>
  <c r="AD152" i="126"/>
  <c r="CD148" i="126" s="1"/>
  <c r="Q152" i="126"/>
  <c r="BC151" i="126"/>
  <c r="AQ151" i="126"/>
  <c r="AE151" i="126"/>
  <c r="CE147" i="126" s="1"/>
  <c r="S151" i="126"/>
  <c r="BS147" i="126" s="1"/>
  <c r="BE150" i="126"/>
  <c r="DE146" i="126" s="1"/>
  <c r="X188" i="126"/>
  <c r="BX168" i="126" s="1"/>
  <c r="BR180" i="126"/>
  <c r="BD177" i="126"/>
  <c r="AJ173" i="126"/>
  <c r="V171" i="126"/>
  <c r="DA169" i="126"/>
  <c r="BE169" i="126"/>
  <c r="N169" i="126"/>
  <c r="Y168" i="126"/>
  <c r="BY160" i="126" s="1"/>
  <c r="AK167" i="126"/>
  <c r="CK159" i="126" s="1"/>
  <c r="AW166" i="126"/>
  <c r="CW158" i="126" s="1"/>
  <c r="BE165" i="126"/>
  <c r="R165" i="126"/>
  <c r="AB164" i="126"/>
  <c r="AV163" i="126"/>
  <c r="CV156" i="126" s="1"/>
  <c r="AI162" i="126"/>
  <c r="CI155" i="126" s="1"/>
  <c r="AV161" i="126"/>
  <c r="L161" i="126"/>
  <c r="AL160" i="126"/>
  <c r="CL154" i="126" s="1"/>
  <c r="AB159" i="126"/>
  <c r="CB153" i="126" s="1"/>
  <c r="AP158" i="126"/>
  <c r="T158" i="126"/>
  <c r="CZ157" i="126"/>
  <c r="CG157" i="126"/>
  <c r="BP157" i="126"/>
  <c r="AW157" i="126"/>
  <c r="AF157" i="126"/>
  <c r="M157" i="126"/>
  <c r="BF156" i="126"/>
  <c r="AN156" i="126"/>
  <c r="CN152" i="126" s="1"/>
  <c r="Y156" i="126"/>
  <c r="BY152" i="126" s="1"/>
  <c r="BF155" i="126"/>
  <c r="AP155" i="126"/>
  <c r="CP151" i="126" s="1"/>
  <c r="AB155" i="126"/>
  <c r="CB151" i="126" s="1"/>
  <c r="M155" i="126"/>
  <c r="BM151" i="126" s="1"/>
  <c r="BD154" i="126"/>
  <c r="AQ154" i="126"/>
  <c r="CQ150" i="126" s="1"/>
  <c r="AD154" i="126"/>
  <c r="Q154" i="126"/>
  <c r="AW153" i="126"/>
  <c r="AJ153" i="126"/>
  <c r="CJ149" i="126" s="1"/>
  <c r="W153" i="126"/>
  <c r="BC152" i="126"/>
  <c r="DC148" i="126" s="1"/>
  <c r="AP152" i="126"/>
  <c r="CP148" i="126" s="1"/>
  <c r="AC152" i="126"/>
  <c r="CC148" i="126" s="1"/>
  <c r="P152" i="126"/>
  <c r="BP148" i="126" s="1"/>
  <c r="BB151" i="126"/>
  <c r="DB147" i="126" s="1"/>
  <c r="AP151" i="126"/>
  <c r="AD151" i="126"/>
  <c r="R151" i="126"/>
  <c r="BD150" i="126"/>
  <c r="AR150" i="126"/>
  <c r="CR146" i="126" s="1"/>
  <c r="AF150" i="126"/>
  <c r="AR186" i="126"/>
  <c r="AO180" i="126"/>
  <c r="AG177" i="126"/>
  <c r="M173" i="126"/>
  <c r="CX169" i="126"/>
  <c r="BB169" i="126"/>
  <c r="V168" i="126"/>
  <c r="AH167" i="126"/>
  <c r="CH159" i="126" s="1"/>
  <c r="AS166" i="126"/>
  <c r="CS158" i="126" s="1"/>
  <c r="BB165" i="126"/>
  <c r="O165" i="126"/>
  <c r="Y164" i="126"/>
  <c r="AJ163" i="126"/>
  <c r="X162" i="126"/>
  <c r="AK161" i="126"/>
  <c r="AA160" i="126"/>
  <c r="BA159" i="126"/>
  <c r="DA153" i="126" s="1"/>
  <c r="Q159" i="126"/>
  <c r="BQ153" i="126" s="1"/>
  <c r="BE158" i="126"/>
  <c r="AG158" i="126"/>
  <c r="P158" i="126"/>
  <c r="CT157" i="126"/>
  <c r="CC157" i="126"/>
  <c r="BJ157" i="126"/>
  <c r="AS157" i="126"/>
  <c r="Z157" i="126"/>
  <c r="AZ156" i="126"/>
  <c r="AK156" i="126"/>
  <c r="CK152" i="126" s="1"/>
  <c r="T156" i="126"/>
  <c r="BT152" i="126" s="1"/>
  <c r="BB155" i="126"/>
  <c r="DB151" i="126" s="1"/>
  <c r="AM155" i="126"/>
  <c r="X155" i="126"/>
  <c r="BX151" i="126" s="1"/>
  <c r="BA154" i="126"/>
  <c r="AM154" i="126"/>
  <c r="CM150" i="126" s="1"/>
  <c r="Z154" i="126"/>
  <c r="BZ150" i="126" s="1"/>
  <c r="M154" i="126"/>
  <c r="BM150" i="126" s="1"/>
  <c r="BG153" i="126"/>
  <c r="DG149" i="126" s="1"/>
  <c r="AT153" i="126"/>
  <c r="AG153" i="126"/>
  <c r="T153" i="126"/>
  <c r="AZ152" i="126"/>
  <c r="CZ148" i="126" s="1"/>
  <c r="AM152" i="126"/>
  <c r="Z152" i="126"/>
  <c r="M152" i="126"/>
  <c r="BM148" i="126" s="1"/>
  <c r="AY151" i="126"/>
  <c r="AR177" i="126"/>
  <c r="BC165" i="126"/>
  <c r="Z162" i="126"/>
  <c r="BZ155" i="126" s="1"/>
  <c r="BC159" i="126"/>
  <c r="DC153" i="126" s="1"/>
  <c r="CX157" i="126"/>
  <c r="O154" i="126"/>
  <c r="AI153" i="126"/>
  <c r="CI149" i="126" s="1"/>
  <c r="BB152" i="126"/>
  <c r="DB148" i="126" s="1"/>
  <c r="Q151" i="126"/>
  <c r="AV150" i="126"/>
  <c r="X150" i="126"/>
  <c r="BC149" i="126"/>
  <c r="AK149" i="126"/>
  <c r="V149" i="126"/>
  <c r="BV145" i="126" s="1"/>
  <c r="BE148" i="126"/>
  <c r="AM148" i="126"/>
  <c r="X148" i="126"/>
  <c r="BG147" i="126"/>
  <c r="AO147" i="126"/>
  <c r="AA147" i="126"/>
  <c r="CA143" i="126" s="1"/>
  <c r="M147" i="126"/>
  <c r="BA146" i="126"/>
  <c r="AM146" i="126"/>
  <c r="CM142" i="126" s="1"/>
  <c r="Y146" i="126"/>
  <c r="K146" i="126"/>
  <c r="AY145" i="126"/>
  <c r="CY141" i="126" s="1"/>
  <c r="AK145" i="126"/>
  <c r="U145" i="126"/>
  <c r="AV144" i="126"/>
  <c r="AJ144" i="126"/>
  <c r="X144" i="126"/>
  <c r="L144" i="126"/>
  <c r="AX143" i="126"/>
  <c r="AL143" i="126"/>
  <c r="Z143" i="126"/>
  <c r="N143" i="126"/>
  <c r="AZ142" i="126"/>
  <c r="AN142" i="126"/>
  <c r="AB142" i="126"/>
  <c r="P142" i="126"/>
  <c r="BB141" i="126"/>
  <c r="AP141" i="126"/>
  <c r="AD141" i="126"/>
  <c r="R141" i="126"/>
  <c r="Y173" i="126"/>
  <c r="X168" i="126"/>
  <c r="BX160" i="126" s="1"/>
  <c r="Q165" i="126"/>
  <c r="Y162" i="126"/>
  <c r="BB159" i="126"/>
  <c r="DB153" i="126" s="1"/>
  <c r="CU157" i="126"/>
  <c r="N154" i="126"/>
  <c r="BN150" i="126" s="1"/>
  <c r="AH153" i="126"/>
  <c r="CH149" i="126" s="1"/>
  <c r="BA152" i="126"/>
  <c r="P151" i="126"/>
  <c r="AT150" i="126"/>
  <c r="CT146" i="126" s="1"/>
  <c r="V150" i="126"/>
  <c r="BV146" i="126" s="1"/>
  <c r="BB149" i="126"/>
  <c r="DB145" i="126" s="1"/>
  <c r="AJ149" i="126"/>
  <c r="CJ145" i="126" s="1"/>
  <c r="U149" i="126"/>
  <c r="BU145" i="126" s="1"/>
  <c r="BD148" i="126"/>
  <c r="AL148" i="126"/>
  <c r="W148" i="126"/>
  <c r="BW144" i="126" s="1"/>
  <c r="BF147" i="126"/>
  <c r="AN147" i="126"/>
  <c r="CN143" i="126" s="1"/>
  <c r="Z147" i="126"/>
  <c r="L147" i="126"/>
  <c r="AZ146" i="126"/>
  <c r="CZ142" i="126" s="1"/>
  <c r="AL146" i="126"/>
  <c r="CL142" i="126" s="1"/>
  <c r="X146" i="126"/>
  <c r="AX145" i="126"/>
  <c r="AH145" i="126"/>
  <c r="T145" i="126"/>
  <c r="AU144" i="126"/>
  <c r="AI144" i="126"/>
  <c r="W144" i="126"/>
  <c r="K144" i="126"/>
  <c r="AW143" i="126"/>
  <c r="AK143" i="126"/>
  <c r="Y143" i="126"/>
  <c r="M143" i="126"/>
  <c r="AY142" i="126"/>
  <c r="AM142" i="126"/>
  <c r="AA142" i="126"/>
  <c r="O142" i="126"/>
  <c r="BA141" i="126"/>
  <c r="AO141" i="126"/>
  <c r="AC141" i="126"/>
  <c r="Q141" i="126"/>
  <c r="X173" i="126"/>
  <c r="W168" i="126"/>
  <c r="BW160" i="126" s="1"/>
  <c r="P165" i="126"/>
  <c r="AM161" i="126"/>
  <c r="S159" i="126"/>
  <c r="BS153" i="126" s="1"/>
  <c r="CF157" i="126"/>
  <c r="V153" i="126"/>
  <c r="AO152" i="126"/>
  <c r="CO148" i="126" s="1"/>
  <c r="O151" i="126"/>
  <c r="BO147" i="126" s="1"/>
  <c r="AS150" i="126"/>
  <c r="U150" i="126"/>
  <c r="BU146" i="126" s="1"/>
  <c r="AX149" i="126"/>
  <c r="CX145" i="126" s="1"/>
  <c r="AI149" i="126"/>
  <c r="CI145" i="126" s="1"/>
  <c r="T149" i="126"/>
  <c r="BT145" i="126" s="1"/>
  <c r="AZ148" i="126"/>
  <c r="AK148" i="126"/>
  <c r="CK144" i="126" s="1"/>
  <c r="V148" i="126"/>
  <c r="BB147" i="126"/>
  <c r="AM147" i="126"/>
  <c r="CM143" i="126" s="1"/>
  <c r="Y147" i="126"/>
  <c r="K147" i="126"/>
  <c r="AY146" i="126"/>
  <c r="CY142" i="126" s="1"/>
  <c r="AK146" i="126"/>
  <c r="CK142" i="126" s="1"/>
  <c r="W146" i="126"/>
  <c r="AW145" i="126"/>
  <c r="AG145" i="126"/>
  <c r="S145" i="126"/>
  <c r="BG144" i="126"/>
  <c r="DG144" i="126" s="1"/>
  <c r="AT144" i="126"/>
  <c r="AH144" i="126"/>
  <c r="V144" i="126"/>
  <c r="AV143" i="126"/>
  <c r="AJ143" i="126"/>
  <c r="X143" i="126"/>
  <c r="L143" i="126"/>
  <c r="AX142" i="126"/>
  <c r="AL142" i="126"/>
  <c r="Z142" i="126"/>
  <c r="N142" i="126"/>
  <c r="AZ141" i="126"/>
  <c r="AN141" i="126"/>
  <c r="AB141" i="126"/>
  <c r="P141" i="126"/>
  <c r="K171" i="126"/>
  <c r="AA164" i="126"/>
  <c r="AL161" i="126"/>
  <c r="R159" i="126"/>
  <c r="BR153" i="126" s="1"/>
  <c r="CE157" i="126"/>
  <c r="U153" i="126"/>
  <c r="AN152" i="126"/>
  <c r="AQ150" i="126"/>
  <c r="T150" i="126"/>
  <c r="AW149" i="126"/>
  <c r="CW145" i="126" s="1"/>
  <c r="AH149" i="126"/>
  <c r="S149" i="126"/>
  <c r="BS145" i="126" s="1"/>
  <c r="AY148" i="126"/>
  <c r="AJ148" i="126"/>
  <c r="U148" i="126"/>
  <c r="BU144" i="126" s="1"/>
  <c r="BA147" i="126"/>
  <c r="DA143" i="126" s="1"/>
  <c r="AL147" i="126"/>
  <c r="CL143" i="126" s="1"/>
  <c r="X147" i="126"/>
  <c r="AX146" i="126"/>
  <c r="AJ146" i="126"/>
  <c r="CJ142" i="126" s="1"/>
  <c r="T146" i="126"/>
  <c r="BT142" i="126" s="1"/>
  <c r="AT145" i="126"/>
  <c r="CT141" i="126" s="1"/>
  <c r="AF145" i="126"/>
  <c r="R145" i="126"/>
  <c r="BF144" i="126"/>
  <c r="AS144" i="126"/>
  <c r="AG144" i="126"/>
  <c r="U144" i="126"/>
  <c r="BG143" i="126"/>
  <c r="AU143" i="126"/>
  <c r="AI143" i="126"/>
  <c r="W143" i="126"/>
  <c r="K143" i="126"/>
  <c r="AW142" i="126"/>
  <c r="AK142" i="126"/>
  <c r="Y142" i="126"/>
  <c r="M142" i="126"/>
  <c r="AY141" i="126"/>
  <c r="AM141" i="126"/>
  <c r="AA141" i="126"/>
  <c r="O141" i="126"/>
  <c r="Z164" i="126"/>
  <c r="BN157" i="126"/>
  <c r="BD156" i="126"/>
  <c r="DD152" i="126" s="1"/>
  <c r="BD155" i="126"/>
  <c r="DD151" i="126" s="1"/>
  <c r="AB152" i="126"/>
  <c r="BA151" i="126"/>
  <c r="AP150" i="126"/>
  <c r="S150" i="126"/>
  <c r="AV149" i="126"/>
  <c r="CV145" i="126" s="1"/>
  <c r="AG149" i="126"/>
  <c r="CG145" i="126" s="1"/>
  <c r="R149" i="126"/>
  <c r="BR145" i="126" s="1"/>
  <c r="AX148" i="126"/>
  <c r="CX144" i="126" s="1"/>
  <c r="AI148" i="126"/>
  <c r="T148" i="126"/>
  <c r="AZ147" i="126"/>
  <c r="CZ143" i="126" s="1"/>
  <c r="AK147" i="126"/>
  <c r="CK143" i="126" s="1"/>
  <c r="W147" i="126"/>
  <c r="BW143" i="126" s="1"/>
  <c r="AW146" i="126"/>
  <c r="AI146" i="126"/>
  <c r="CI142" i="126" s="1"/>
  <c r="S146" i="126"/>
  <c r="AS145" i="126"/>
  <c r="AE145" i="126"/>
  <c r="Q145" i="126"/>
  <c r="BQ141" i="126" s="1"/>
  <c r="BE144" i="126"/>
  <c r="AR144" i="126"/>
  <c r="CR144" i="126" s="1"/>
  <c r="AF144" i="126"/>
  <c r="T144" i="126"/>
  <c r="BF143" i="126"/>
  <c r="AT143" i="126"/>
  <c r="AH143" i="126"/>
  <c r="V143" i="126"/>
  <c r="AV142" i="126"/>
  <c r="AJ142" i="126"/>
  <c r="X142" i="126"/>
  <c r="L142" i="126"/>
  <c r="AX141" i="126"/>
  <c r="AL141" i="126"/>
  <c r="Z141" i="126"/>
  <c r="N141" i="126"/>
  <c r="CZ169" i="126"/>
  <c r="AJ167" i="126"/>
  <c r="CJ159" i="126" s="1"/>
  <c r="BK157" i="126"/>
  <c r="BA156" i="126"/>
  <c r="DA152" i="126" s="1"/>
  <c r="BC155" i="126"/>
  <c r="DC151" i="126" s="1"/>
  <c r="AA152" i="126"/>
  <c r="AZ151" i="126"/>
  <c r="CZ147" i="126" s="1"/>
  <c r="AO150" i="126"/>
  <c r="CO146" i="126" s="1"/>
  <c r="R150" i="126"/>
  <c r="AU149" i="126"/>
  <c r="CU145" i="126" s="1"/>
  <c r="AF149" i="126"/>
  <c r="CF145" i="126" s="1"/>
  <c r="N149" i="126"/>
  <c r="BN145" i="126" s="1"/>
  <c r="AW148" i="126"/>
  <c r="CW144" i="126" s="1"/>
  <c r="AH148" i="126"/>
  <c r="CH144" i="126" s="1"/>
  <c r="P148" i="126"/>
  <c r="AY147" i="126"/>
  <c r="CY143" i="126" s="1"/>
  <c r="AJ147" i="126"/>
  <c r="V147" i="126"/>
  <c r="AV146" i="126"/>
  <c r="CV142" i="126" s="1"/>
  <c r="AF146" i="126"/>
  <c r="CF142" i="126" s="1"/>
  <c r="R146" i="126"/>
  <c r="BF145" i="126"/>
  <c r="DF141" i="126" s="1"/>
  <c r="AR145" i="126"/>
  <c r="AD145" i="126"/>
  <c r="CD141" i="126" s="1"/>
  <c r="P145" i="126"/>
  <c r="BP141" i="126" s="1"/>
  <c r="BD144" i="126"/>
  <c r="AQ144" i="126"/>
  <c r="AE144" i="126"/>
  <c r="S144" i="126"/>
  <c r="BE143" i="126"/>
  <c r="AS143" i="126"/>
  <c r="AG143" i="126"/>
  <c r="U143" i="126"/>
  <c r="BG142" i="126"/>
  <c r="AU142" i="126"/>
  <c r="AI142" i="126"/>
  <c r="W142" i="126"/>
  <c r="K142" i="126"/>
  <c r="AW141" i="126"/>
  <c r="AK141" i="126"/>
  <c r="Y141" i="126"/>
  <c r="M141" i="126"/>
  <c r="W188" i="126"/>
  <c r="BW168" i="126" s="1"/>
  <c r="CY169" i="126"/>
  <c r="AI167" i="126"/>
  <c r="AM163" i="126"/>
  <c r="AV157" i="126"/>
  <c r="AM156" i="126"/>
  <c r="AO155" i="126"/>
  <c r="CO151" i="126" s="1"/>
  <c r="BC154" i="126"/>
  <c r="O152" i="126"/>
  <c r="AO151" i="126"/>
  <c r="CO147" i="126" s="1"/>
  <c r="AJ150" i="126"/>
  <c r="Q150" i="126"/>
  <c r="AT149" i="126"/>
  <c r="CT145" i="126" s="1"/>
  <c r="AE149" i="126"/>
  <c r="M149" i="126"/>
  <c r="AV148" i="126"/>
  <c r="CV144" i="126" s="1"/>
  <c r="AG148" i="126"/>
  <c r="O148" i="126"/>
  <c r="AX147" i="126"/>
  <c r="CX143" i="126" s="1"/>
  <c r="AI147" i="126"/>
  <c r="CI143" i="126" s="1"/>
  <c r="U147" i="126"/>
  <c r="AU146" i="126"/>
  <c r="CU142" i="126" s="1"/>
  <c r="AE146" i="126"/>
  <c r="Q146" i="126"/>
  <c r="BE145" i="126"/>
  <c r="AQ145" i="126"/>
  <c r="AC145" i="126"/>
  <c r="CC141" i="126" s="1"/>
  <c r="O145" i="126"/>
  <c r="BC144" i="126"/>
  <c r="AP144" i="126"/>
  <c r="AD144" i="126"/>
  <c r="R144" i="126"/>
  <c r="BD143" i="126"/>
  <c r="AR143" i="126"/>
  <c r="AF143" i="126"/>
  <c r="T143" i="126"/>
  <c r="BF142" i="126"/>
  <c r="AT142" i="126"/>
  <c r="AH142" i="126"/>
  <c r="V142" i="126"/>
  <c r="AV141" i="126"/>
  <c r="AJ141" i="126"/>
  <c r="X141" i="126"/>
  <c r="L141" i="126"/>
  <c r="AS186" i="126"/>
  <c r="BD169" i="126"/>
  <c r="AK163" i="126"/>
  <c r="CK156" i="126" s="1"/>
  <c r="BF158" i="126"/>
  <c r="AU157" i="126"/>
  <c r="AL156" i="126"/>
  <c r="CL152" i="126" s="1"/>
  <c r="AN155" i="126"/>
  <c r="CN151" i="126" s="1"/>
  <c r="BB154" i="126"/>
  <c r="DB150" i="126" s="1"/>
  <c r="N152" i="126"/>
  <c r="AN151" i="126"/>
  <c r="AH150" i="126"/>
  <c r="CH146" i="126" s="1"/>
  <c r="P150" i="126"/>
  <c r="AS149" i="126"/>
  <c r="CS145" i="126" s="1"/>
  <c r="AD149" i="126"/>
  <c r="CD145" i="126" s="1"/>
  <c r="L149" i="126"/>
  <c r="BL145" i="126" s="1"/>
  <c r="AU148" i="126"/>
  <c r="CU144" i="126" s="1"/>
  <c r="AF148" i="126"/>
  <c r="CF144" i="126" s="1"/>
  <c r="N148" i="126"/>
  <c r="BN144" i="126" s="1"/>
  <c r="AW147" i="126"/>
  <c r="CW143" i="126" s="1"/>
  <c r="AH147" i="126"/>
  <c r="CH143" i="126" s="1"/>
  <c r="R147" i="126"/>
  <c r="AR146" i="126"/>
  <c r="AD146" i="126"/>
  <c r="CD142" i="126" s="1"/>
  <c r="P146" i="126"/>
  <c r="BP142" i="126" s="1"/>
  <c r="BD145" i="126"/>
  <c r="AP145" i="126"/>
  <c r="CP141" i="126" s="1"/>
  <c r="AB145" i="126"/>
  <c r="CB141" i="126" s="1"/>
  <c r="N145" i="126"/>
  <c r="BB144" i="126"/>
  <c r="AO144" i="126"/>
  <c r="AC144" i="126"/>
  <c r="Q144" i="126"/>
  <c r="BC143" i="126"/>
  <c r="AQ143" i="126"/>
  <c r="AE143" i="126"/>
  <c r="S143" i="126"/>
  <c r="BE142" i="126"/>
  <c r="AS142" i="126"/>
  <c r="AG142" i="126"/>
  <c r="U142" i="126"/>
  <c r="BG141" i="126"/>
  <c r="AU141" i="126"/>
  <c r="AI141" i="126"/>
  <c r="W141" i="126"/>
  <c r="K141" i="126"/>
  <c r="BC169" i="126"/>
  <c r="AC160" i="126"/>
  <c r="AK158" i="126"/>
  <c r="AD157" i="126"/>
  <c r="W156" i="126"/>
  <c r="AA155" i="126"/>
  <c r="AP154" i="126"/>
  <c r="AM151" i="126"/>
  <c r="CM147" i="126" s="1"/>
  <c r="BF150" i="126"/>
  <c r="DF146" i="126" s="1"/>
  <c r="AG150" i="126"/>
  <c r="CG146" i="126" s="1"/>
  <c r="L150" i="126"/>
  <c r="BG149" i="126"/>
  <c r="DG145" i="126" s="1"/>
  <c r="AR149" i="126"/>
  <c r="CR145" i="126" s="1"/>
  <c r="Z149" i="126"/>
  <c r="BZ145" i="126" s="1"/>
  <c r="K149" i="126"/>
  <c r="BK145" i="126" s="1"/>
  <c r="AT148" i="126"/>
  <c r="AB148" i="126"/>
  <c r="M148" i="126"/>
  <c r="AV147" i="126"/>
  <c r="CV143" i="126" s="1"/>
  <c r="AG147" i="126"/>
  <c r="CG143" i="126" s="1"/>
  <c r="Q147" i="126"/>
  <c r="BG146" i="126"/>
  <c r="DG142" i="126" s="1"/>
  <c r="AQ146" i="126"/>
  <c r="AC146" i="126"/>
  <c r="O146" i="126"/>
  <c r="BO142" i="126" s="1"/>
  <c r="BC145" i="126"/>
  <c r="DC141" i="126" s="1"/>
  <c r="AO145" i="126"/>
  <c r="CO141" i="126" s="1"/>
  <c r="AA145" i="126"/>
  <c r="M145" i="126"/>
  <c r="BM141" i="126" s="1"/>
  <c r="BA144" i="126"/>
  <c r="AN144" i="126"/>
  <c r="AB144" i="126"/>
  <c r="P144" i="126"/>
  <c r="BB143" i="126"/>
  <c r="AP143" i="126"/>
  <c r="AD143" i="126"/>
  <c r="R143" i="126"/>
  <c r="BD142" i="126"/>
  <c r="AR142" i="126"/>
  <c r="AF142" i="126"/>
  <c r="T142" i="126"/>
  <c r="BF141" i="126"/>
  <c r="AT141" i="126"/>
  <c r="AH141" i="126"/>
  <c r="V141" i="126"/>
  <c r="BD180" i="126"/>
  <c r="L169" i="126"/>
  <c r="AV166" i="126"/>
  <c r="CV158" i="126" s="1"/>
  <c r="AB160" i="126"/>
  <c r="CB154" i="126" s="1"/>
  <c r="AH158" i="126"/>
  <c r="AA157" i="126"/>
  <c r="V156" i="126"/>
  <c r="BV152" i="126" s="1"/>
  <c r="Y155" i="126"/>
  <c r="BY151" i="126" s="1"/>
  <c r="AO154" i="126"/>
  <c r="AC151" i="126"/>
  <c r="BC150" i="126"/>
  <c r="DC146" i="126" s="1"/>
  <c r="AE150" i="126"/>
  <c r="CE146" i="126" s="1"/>
  <c r="BF149" i="126"/>
  <c r="DF145" i="126" s="1"/>
  <c r="AQ149" i="126"/>
  <c r="Y149" i="126"/>
  <c r="BY145" i="126" s="1"/>
  <c r="AS148" i="126"/>
  <c r="CS144" i="126" s="1"/>
  <c r="AA148" i="126"/>
  <c r="CA144" i="126" s="1"/>
  <c r="L148" i="126"/>
  <c r="AU147" i="126"/>
  <c r="CU143" i="126" s="1"/>
  <c r="AD147" i="126"/>
  <c r="CD143" i="126" s="1"/>
  <c r="P147" i="126"/>
  <c r="BD146" i="126"/>
  <c r="AP146" i="126"/>
  <c r="AB146" i="126"/>
  <c r="CB142" i="126" s="1"/>
  <c r="N146" i="126"/>
  <c r="BN142" i="126" s="1"/>
  <c r="BB145" i="126"/>
  <c r="DB141" i="126" s="1"/>
  <c r="AN145" i="126"/>
  <c r="Z145" i="126"/>
  <c r="BZ141" i="126" s="1"/>
  <c r="AZ144" i="126"/>
  <c r="AM144" i="126"/>
  <c r="AA144" i="126"/>
  <c r="O144" i="126"/>
  <c r="BA143" i="126"/>
  <c r="AO143" i="126"/>
  <c r="AC143" i="126"/>
  <c r="Q143" i="126"/>
  <c r="BC142" i="126"/>
  <c r="DC142" i="126" s="1"/>
  <c r="AQ142" i="126"/>
  <c r="AE142" i="126"/>
  <c r="S142" i="126"/>
  <c r="BE141" i="126"/>
  <c r="AS141" i="126"/>
  <c r="AG141" i="126"/>
  <c r="U141" i="126"/>
  <c r="AS177" i="126"/>
  <c r="BD165" i="126"/>
  <c r="R158" i="126"/>
  <c r="K157" i="126"/>
  <c r="AA154" i="126"/>
  <c r="CA150" i="126" s="1"/>
  <c r="AU153" i="126"/>
  <c r="CU149" i="126" s="1"/>
  <c r="AA151" i="126"/>
  <c r="BA150" i="126"/>
  <c r="DA146" i="126" s="1"/>
  <c r="AC150" i="126"/>
  <c r="CC146" i="126" s="1"/>
  <c r="BD149" i="126"/>
  <c r="DD145" i="126" s="1"/>
  <c r="AL149" i="126"/>
  <c r="W149" i="126"/>
  <c r="BW145" i="126" s="1"/>
  <c r="BF148" i="126"/>
  <c r="DF144" i="126" s="1"/>
  <c r="AN148" i="126"/>
  <c r="CN144" i="126" s="1"/>
  <c r="Y148" i="126"/>
  <c r="BY144" i="126" s="1"/>
  <c r="AP147" i="126"/>
  <c r="CP143" i="126" s="1"/>
  <c r="AB147" i="126"/>
  <c r="CB143" i="126" s="1"/>
  <c r="N147" i="126"/>
  <c r="BN143" i="126" s="1"/>
  <c r="BB146" i="126"/>
  <c r="DB146" i="126" s="1"/>
  <c r="AN146" i="126"/>
  <c r="Z146" i="126"/>
  <c r="BZ142" i="126" s="1"/>
  <c r="L146" i="126"/>
  <c r="BL142" i="126" s="1"/>
  <c r="AZ145" i="126"/>
  <c r="AL145" i="126"/>
  <c r="CL141" i="126" s="1"/>
  <c r="V145" i="126"/>
  <c r="AW144" i="126"/>
  <c r="AK144" i="126"/>
  <c r="Y144" i="126"/>
  <c r="M144" i="126"/>
  <c r="AY143" i="126"/>
  <c r="AM143" i="126"/>
  <c r="AA143" i="126"/>
  <c r="O143" i="126"/>
  <c r="BA142" i="126"/>
  <c r="AO142" i="126"/>
  <c r="AC142" i="126"/>
  <c r="Q142" i="126"/>
  <c r="BC141" i="126"/>
  <c r="AQ141" i="126"/>
  <c r="AE141" i="126"/>
  <c r="S141" i="126"/>
  <c r="BE214" i="126"/>
  <c r="AS214" i="126"/>
  <c r="AG214" i="126"/>
  <c r="U214" i="126"/>
  <c r="I214" i="126"/>
  <c r="BB214" i="126"/>
  <c r="AP214" i="126"/>
  <c r="AD214" i="126"/>
  <c r="BD214" i="126"/>
  <c r="AO214" i="126"/>
  <c r="AA214" i="126"/>
  <c r="N214" i="126"/>
  <c r="BC214" i="126"/>
  <c r="AN214" i="126"/>
  <c r="Z214" i="126"/>
  <c r="M214" i="126"/>
  <c r="BA214" i="126"/>
  <c r="AM214" i="126"/>
  <c r="Y214" i="126"/>
  <c r="L214" i="126"/>
  <c r="AZ214" i="126"/>
  <c r="AL214" i="126"/>
  <c r="X214" i="126"/>
  <c r="K214" i="126"/>
  <c r="AY214" i="126"/>
  <c r="AK214" i="126"/>
  <c r="W214" i="126"/>
  <c r="J214" i="126"/>
  <c r="AX214" i="126"/>
  <c r="AJ214" i="126"/>
  <c r="V214" i="126"/>
  <c r="AW214" i="126"/>
  <c r="AI214" i="126"/>
  <c r="T214" i="126"/>
  <c r="AV214" i="126"/>
  <c r="AH214" i="126"/>
  <c r="S214" i="126"/>
  <c r="AU214" i="126"/>
  <c r="AF214" i="126"/>
  <c r="R214" i="126"/>
  <c r="BF214" i="126"/>
  <c r="AQ214" i="126"/>
  <c r="AB214" i="126"/>
  <c r="O214" i="126"/>
  <c r="BG214" i="126"/>
  <c r="AT214" i="126"/>
  <c r="AR214" i="126"/>
  <c r="AE214" i="126"/>
  <c r="AC214" i="126"/>
  <c r="Q214" i="126"/>
  <c r="P214" i="126"/>
  <c r="AP142" i="126"/>
  <c r="BA145" i="126"/>
  <c r="DA141" i="126" s="1"/>
  <c r="AC147" i="126"/>
  <c r="X149" i="126"/>
  <c r="BX145" i="126" s="1"/>
  <c r="AV153" i="126"/>
  <c r="CV149" i="126" s="1"/>
  <c r="P33" i="126"/>
  <c r="AY215" i="126"/>
  <c r="AM215" i="126"/>
  <c r="AA215" i="126"/>
  <c r="O215" i="126"/>
  <c r="AW215" i="126"/>
  <c r="AK215" i="126"/>
  <c r="Y215" i="126"/>
  <c r="M215" i="126"/>
  <c r="AV215" i="126"/>
  <c r="AJ215" i="126"/>
  <c r="X215" i="126"/>
  <c r="L215" i="126"/>
  <c r="BF215" i="126"/>
  <c r="AT215" i="126"/>
  <c r="AH215" i="126"/>
  <c r="V215" i="126"/>
  <c r="AU215" i="126"/>
  <c r="AD215" i="126"/>
  <c r="K215" i="126"/>
  <c r="AS215" i="126"/>
  <c r="AC215" i="126"/>
  <c r="J215" i="126"/>
  <c r="AR215" i="126"/>
  <c r="AB215" i="126"/>
  <c r="I215" i="126"/>
  <c r="AQ215" i="126"/>
  <c r="Z215" i="126"/>
  <c r="BG215" i="126"/>
  <c r="AP215" i="126"/>
  <c r="W215" i="126"/>
  <c r="BE215" i="126"/>
  <c r="AO215" i="126"/>
  <c r="U215" i="126"/>
  <c r="BD215" i="126"/>
  <c r="AN215" i="126"/>
  <c r="T215" i="126"/>
  <c r="BC215" i="126"/>
  <c r="AL215" i="126"/>
  <c r="S215" i="126"/>
  <c r="BB215" i="126"/>
  <c r="AI215" i="126"/>
  <c r="R215" i="126"/>
  <c r="AX215" i="126"/>
  <c r="AE215" i="126"/>
  <c r="N215" i="126"/>
  <c r="BA215" i="126"/>
  <c r="AZ215" i="126"/>
  <c r="AG215" i="126"/>
  <c r="AF215" i="126"/>
  <c r="Q215" i="126"/>
  <c r="P215" i="126"/>
  <c r="BB142" i="126"/>
  <c r="AT147" i="126"/>
  <c r="AP149" i="126"/>
  <c r="AC154" i="126"/>
  <c r="CC150" i="126" s="1"/>
  <c r="BE195" i="126"/>
  <c r="AS195" i="126"/>
  <c r="AG195" i="126"/>
  <c r="U195" i="126"/>
  <c r="I195" i="126"/>
  <c r="BC195" i="126"/>
  <c r="AQ195" i="126"/>
  <c r="AE195" i="126"/>
  <c r="S195" i="126"/>
  <c r="BB195" i="126"/>
  <c r="AP195" i="126"/>
  <c r="AD195" i="126"/>
  <c r="R195" i="126"/>
  <c r="AZ195" i="126"/>
  <c r="AN195" i="126"/>
  <c r="AB195" i="126"/>
  <c r="P195" i="126"/>
  <c r="BG195" i="126"/>
  <c r="AM195" i="126"/>
  <c r="W195" i="126"/>
  <c r="BF195" i="126"/>
  <c r="AL195" i="126"/>
  <c r="V195" i="126"/>
  <c r="BD195" i="126"/>
  <c r="AK195" i="126"/>
  <c r="T195" i="126"/>
  <c r="BA195" i="126"/>
  <c r="AJ195" i="126"/>
  <c r="Q195" i="126"/>
  <c r="AY195" i="126"/>
  <c r="AI195" i="126"/>
  <c r="O195" i="126"/>
  <c r="AX195" i="126"/>
  <c r="AH195" i="126"/>
  <c r="N195" i="126"/>
  <c r="AW195" i="126"/>
  <c r="AF195" i="126"/>
  <c r="M195" i="126"/>
  <c r="AV195" i="126"/>
  <c r="AC195" i="126"/>
  <c r="L195" i="126"/>
  <c r="AU195" i="126"/>
  <c r="AA195" i="126"/>
  <c r="K195" i="126"/>
  <c r="AT195" i="126"/>
  <c r="Z195" i="126"/>
  <c r="J195" i="126"/>
  <c r="AR195" i="126"/>
  <c r="AO195" i="126"/>
  <c r="Y195" i="126"/>
  <c r="X195" i="126"/>
  <c r="T141" i="126"/>
  <c r="N144" i="126"/>
  <c r="BE149" i="126"/>
  <c r="DE145" i="126" s="1"/>
  <c r="L155" i="126"/>
  <c r="BL151" i="126" s="1"/>
  <c r="AF141" i="126"/>
  <c r="Z144" i="126"/>
  <c r="M30" i="126"/>
  <c r="L30" i="126" s="1"/>
  <c r="L110" i="126"/>
  <c r="M111" i="126"/>
  <c r="R110" i="126"/>
  <c r="Q110" i="126"/>
  <c r="AR141" i="126"/>
  <c r="AL144" i="126"/>
  <c r="M146" i="126"/>
  <c r="BM142" i="126" s="1"/>
  <c r="L157" i="126"/>
  <c r="N110" i="126"/>
  <c r="O110" i="126" s="1"/>
  <c r="BD141" i="126"/>
  <c r="AY144" i="126"/>
  <c r="AA146" i="126"/>
  <c r="CA142" i="126" s="1"/>
  <c r="K148" i="126"/>
  <c r="BK144" i="126" s="1"/>
  <c r="S158" i="126"/>
  <c r="M35" i="126"/>
  <c r="P143" i="126"/>
  <c r="AO146" i="126"/>
  <c r="CO142" i="126" s="1"/>
  <c r="Z148" i="126"/>
  <c r="AD150" i="126"/>
  <c r="CV236" i="126"/>
  <c r="CJ236" i="126"/>
  <c r="BX236" i="126"/>
  <c r="BL236" i="126"/>
  <c r="AZ236" i="126"/>
  <c r="AN236" i="126"/>
  <c r="AB236" i="126"/>
  <c r="DG236" i="126"/>
  <c r="CU236" i="126"/>
  <c r="CI236" i="126"/>
  <c r="BW236" i="126"/>
  <c r="BK236" i="126"/>
  <c r="AY236" i="126"/>
  <c r="AM236" i="126"/>
  <c r="AA236" i="126"/>
  <c r="O236" i="126"/>
  <c r="DF236" i="126"/>
  <c r="CT236" i="126"/>
  <c r="CH236" i="126"/>
  <c r="BV236" i="126"/>
  <c r="BJ236" i="126"/>
  <c r="AX236" i="126"/>
  <c r="AL236" i="126"/>
  <c r="Z236" i="126"/>
  <c r="N236" i="126"/>
  <c r="DE236" i="126"/>
  <c r="CS236" i="126"/>
  <c r="CG236" i="126"/>
  <c r="BU236" i="126"/>
  <c r="BI236" i="126"/>
  <c r="AW236" i="126"/>
  <c r="AK236" i="126"/>
  <c r="Y236" i="126"/>
  <c r="M236" i="126"/>
  <c r="DD236" i="126"/>
  <c r="CR236" i="126"/>
  <c r="CF236" i="126"/>
  <c r="BT236" i="126"/>
  <c r="DC236" i="126"/>
  <c r="CQ236" i="126"/>
  <c r="CE236" i="126"/>
  <c r="BS236" i="126"/>
  <c r="BG236" i="126"/>
  <c r="AU236" i="126"/>
  <c r="DB236" i="126"/>
  <c r="CP236" i="126"/>
  <c r="CD236" i="126"/>
  <c r="BR236" i="126"/>
  <c r="BF236" i="126"/>
  <c r="AT236" i="126"/>
  <c r="AH236" i="126"/>
  <c r="V236" i="126"/>
  <c r="J236" i="126"/>
  <c r="DA236" i="126"/>
  <c r="CO236" i="126"/>
  <c r="CC236" i="126"/>
  <c r="BQ236" i="126"/>
  <c r="CZ236" i="126"/>
  <c r="CN236" i="126"/>
  <c r="CB236" i="126"/>
  <c r="BP236" i="126"/>
  <c r="BM236" i="126"/>
  <c r="AO236" i="126"/>
  <c r="S236" i="126"/>
  <c r="CY236" i="126"/>
  <c r="BH236" i="126"/>
  <c r="AJ236" i="126"/>
  <c r="R236" i="126"/>
  <c r="CX236" i="126"/>
  <c r="BE236" i="126"/>
  <c r="AI236" i="126"/>
  <c r="Q236" i="126"/>
  <c r="CW236" i="126"/>
  <c r="BD236" i="126"/>
  <c r="AG236" i="126"/>
  <c r="P236" i="126"/>
  <c r="CM236" i="126"/>
  <c r="BC236" i="126"/>
  <c r="AF236" i="126"/>
  <c r="L236" i="126"/>
  <c r="CL236" i="126"/>
  <c r="BB236" i="126"/>
  <c r="AE236" i="126"/>
  <c r="K236" i="126"/>
  <c r="CK236" i="126"/>
  <c r="BA236" i="126"/>
  <c r="AD236" i="126"/>
  <c r="I236" i="126"/>
  <c r="CA236" i="126"/>
  <c r="AV236" i="126"/>
  <c r="AC236" i="126"/>
  <c r="BZ236" i="126"/>
  <c r="AS236" i="126"/>
  <c r="X236" i="126"/>
  <c r="BY236" i="126"/>
  <c r="AR236" i="126"/>
  <c r="W236" i="126"/>
  <c r="U236" i="126"/>
  <c r="T236" i="126"/>
  <c r="BO236" i="126"/>
  <c r="AP236" i="126"/>
  <c r="BN236" i="126"/>
  <c r="AQ236" i="126"/>
  <c r="DA237" i="126"/>
  <c r="CO237" i="126"/>
  <c r="CC237" i="126"/>
  <c r="BQ237" i="126"/>
  <c r="BE237" i="126"/>
  <c r="AS237" i="126"/>
  <c r="AG237" i="126"/>
  <c r="U237" i="126"/>
  <c r="I237" i="126"/>
  <c r="CZ237" i="126"/>
  <c r="CN237" i="126"/>
  <c r="CB237" i="126"/>
  <c r="BP237" i="126"/>
  <c r="BD237" i="126"/>
  <c r="AR237" i="126"/>
  <c r="AF237" i="126"/>
  <c r="T237" i="126"/>
  <c r="CY237" i="126"/>
  <c r="CM237" i="126"/>
  <c r="CA237" i="126"/>
  <c r="BO237" i="126"/>
  <c r="BC237" i="126"/>
  <c r="AQ237" i="126"/>
  <c r="AE237" i="126"/>
  <c r="S237" i="126"/>
  <c r="CX237" i="126"/>
  <c r="CL237" i="126"/>
  <c r="BZ237" i="126"/>
  <c r="BN237" i="126"/>
  <c r="BB237" i="126"/>
  <c r="AP237" i="126"/>
  <c r="AD237" i="126"/>
  <c r="R237" i="126"/>
  <c r="CW237" i="126"/>
  <c r="CK237" i="126"/>
  <c r="BY237" i="126"/>
  <c r="BM237" i="126"/>
  <c r="BA237" i="126"/>
  <c r="AO237" i="126"/>
  <c r="AC237" i="126"/>
  <c r="Q237" i="126"/>
  <c r="CV237" i="126"/>
  <c r="CJ237" i="126"/>
  <c r="BX237" i="126"/>
  <c r="BL237" i="126"/>
  <c r="AZ237" i="126"/>
  <c r="AN237" i="126"/>
  <c r="AB237" i="126"/>
  <c r="P237" i="126"/>
  <c r="DG237" i="126"/>
  <c r="CU237" i="126"/>
  <c r="CI237" i="126"/>
  <c r="BW237" i="126"/>
  <c r="BK237" i="126"/>
  <c r="AY237" i="126"/>
  <c r="AM237" i="126"/>
  <c r="AA237" i="126"/>
  <c r="O237" i="126"/>
  <c r="DF237" i="126"/>
  <c r="CT237" i="126"/>
  <c r="CH237" i="126"/>
  <c r="BV237" i="126"/>
  <c r="BJ237" i="126"/>
  <c r="AX237" i="126"/>
  <c r="AL237" i="126"/>
  <c r="Z237" i="126"/>
  <c r="N237" i="126"/>
  <c r="DE237" i="126"/>
  <c r="CS237" i="126"/>
  <c r="CG237" i="126"/>
  <c r="BU237" i="126"/>
  <c r="BI237" i="126"/>
  <c r="AW237" i="126"/>
  <c r="AK237" i="126"/>
  <c r="Y237" i="126"/>
  <c r="M237" i="126"/>
  <c r="DD237" i="126"/>
  <c r="CR237" i="126"/>
  <c r="CF237" i="126"/>
  <c r="BT237" i="126"/>
  <c r="BH237" i="126"/>
  <c r="AV237" i="126"/>
  <c r="BG237" i="126"/>
  <c r="J237" i="126"/>
  <c r="BF237" i="126"/>
  <c r="AU237" i="126"/>
  <c r="AT237" i="126"/>
  <c r="DC237" i="126"/>
  <c r="AJ237" i="126"/>
  <c r="DB237" i="126"/>
  <c r="AI237" i="126"/>
  <c r="CQ237" i="126"/>
  <c r="AH237" i="126"/>
  <c r="CP237" i="126"/>
  <c r="X237" i="126"/>
  <c r="CE237" i="126"/>
  <c r="W237" i="126"/>
  <c r="CD237" i="126"/>
  <c r="V237" i="126"/>
  <c r="BS237" i="126"/>
  <c r="BR237" i="126"/>
  <c r="L237" i="126"/>
  <c r="K237" i="126"/>
  <c r="DD246" i="126"/>
  <c r="CR246" i="126"/>
  <c r="CF246" i="126"/>
  <c r="BT246" i="126"/>
  <c r="BH246" i="126"/>
  <c r="AV246" i="126"/>
  <c r="AJ246" i="126"/>
  <c r="X246" i="126"/>
  <c r="L246" i="126"/>
  <c r="DC246" i="126"/>
  <c r="CQ246" i="126"/>
  <c r="CE246" i="126"/>
  <c r="BS246" i="126"/>
  <c r="BG246" i="126"/>
  <c r="AU246" i="126"/>
  <c r="AI246" i="126"/>
  <c r="W246" i="126"/>
  <c r="K246" i="126"/>
  <c r="DB246" i="126"/>
  <c r="CP246" i="126"/>
  <c r="CD246" i="126"/>
  <c r="BR246" i="126"/>
  <c r="BF246" i="126"/>
  <c r="AT246" i="126"/>
  <c r="AH246" i="126"/>
  <c r="V246" i="126"/>
  <c r="J246" i="126"/>
  <c r="DA246" i="126"/>
  <c r="CO246" i="126"/>
  <c r="CC246" i="126"/>
  <c r="BQ246" i="126"/>
  <c r="BE246" i="126"/>
  <c r="AS246" i="126"/>
  <c r="AG246" i="126"/>
  <c r="U246" i="126"/>
  <c r="I246" i="126"/>
  <c r="CZ246" i="126"/>
  <c r="CN246" i="126"/>
  <c r="CB246" i="126"/>
  <c r="BP246" i="126"/>
  <c r="BD246" i="126"/>
  <c r="AR246" i="126"/>
  <c r="AF246" i="126"/>
  <c r="T246" i="126"/>
  <c r="CY246" i="126"/>
  <c r="CM246" i="126"/>
  <c r="CA246" i="126"/>
  <c r="BO246" i="126"/>
  <c r="BC246" i="126"/>
  <c r="AQ246" i="126"/>
  <c r="AE246" i="126"/>
  <c r="S246" i="126"/>
  <c r="CX246" i="126"/>
  <c r="CL246" i="126"/>
  <c r="BZ246" i="126"/>
  <c r="BN246" i="126"/>
  <c r="BB246" i="126"/>
  <c r="AP246" i="126"/>
  <c r="AD246" i="126"/>
  <c r="R246" i="126"/>
  <c r="CV246" i="126"/>
  <c r="CJ246" i="126"/>
  <c r="BX246" i="126"/>
  <c r="BL246" i="126"/>
  <c r="AZ246" i="126"/>
  <c r="AN246" i="126"/>
  <c r="AB246" i="126"/>
  <c r="P246" i="126"/>
  <c r="DE246" i="126"/>
  <c r="CS246" i="126"/>
  <c r="CG246" i="126"/>
  <c r="BU246" i="126"/>
  <c r="BI246" i="126"/>
  <c r="AW246" i="126"/>
  <c r="AK246" i="126"/>
  <c r="Y246" i="126"/>
  <c r="M246" i="126"/>
  <c r="BY246" i="126"/>
  <c r="AC246" i="126"/>
  <c r="BW246" i="126"/>
  <c r="AA246" i="126"/>
  <c r="BV246" i="126"/>
  <c r="Z246" i="126"/>
  <c r="BM246" i="126"/>
  <c r="Q246" i="126"/>
  <c r="DG246" i="126"/>
  <c r="BK246" i="126"/>
  <c r="O246" i="126"/>
  <c r="DF246" i="126"/>
  <c r="BJ246" i="126"/>
  <c r="N246" i="126"/>
  <c r="CW246" i="126"/>
  <c r="BA246" i="126"/>
  <c r="CU246" i="126"/>
  <c r="AY246" i="126"/>
  <c r="CT246" i="126"/>
  <c r="AX246" i="126"/>
  <c r="CK246" i="126"/>
  <c r="AO246" i="126"/>
  <c r="CI246" i="126"/>
  <c r="CH246" i="126"/>
  <c r="AM246" i="126"/>
  <c r="AL246" i="126"/>
  <c r="DF238" i="126"/>
  <c r="CT238" i="126"/>
  <c r="CH238" i="126"/>
  <c r="BV238" i="126"/>
  <c r="BJ238" i="126"/>
  <c r="AX238" i="126"/>
  <c r="AL238" i="126"/>
  <c r="Z238" i="126"/>
  <c r="N238" i="126"/>
  <c r="DE238" i="126"/>
  <c r="CS238" i="126"/>
  <c r="CG238" i="126"/>
  <c r="BU238" i="126"/>
  <c r="BI238" i="126"/>
  <c r="AW238" i="126"/>
  <c r="AK238" i="126"/>
  <c r="Y238" i="126"/>
  <c r="M238" i="126"/>
  <c r="DD238" i="126"/>
  <c r="CR238" i="126"/>
  <c r="CF238" i="126"/>
  <c r="BT238" i="126"/>
  <c r="BH238" i="126"/>
  <c r="AV238" i="126"/>
  <c r="AJ238" i="126"/>
  <c r="X238" i="126"/>
  <c r="L238" i="126"/>
  <c r="DC238" i="126"/>
  <c r="CQ238" i="126"/>
  <c r="CE238" i="126"/>
  <c r="BS238" i="126"/>
  <c r="BG238" i="126"/>
  <c r="AU238" i="126"/>
  <c r="AI238" i="126"/>
  <c r="W238" i="126"/>
  <c r="K238" i="126"/>
  <c r="DB238" i="126"/>
  <c r="CP238" i="126"/>
  <c r="CD238" i="126"/>
  <c r="BR238" i="126"/>
  <c r="BF238" i="126"/>
  <c r="AT238" i="126"/>
  <c r="AH238" i="126"/>
  <c r="V238" i="126"/>
  <c r="J238" i="126"/>
  <c r="DA238" i="126"/>
  <c r="CO238" i="126"/>
  <c r="CC238" i="126"/>
  <c r="BQ238" i="126"/>
  <c r="BE238" i="126"/>
  <c r="AS238" i="126"/>
  <c r="AG238" i="126"/>
  <c r="U238" i="126"/>
  <c r="I238" i="126"/>
  <c r="CZ238" i="126"/>
  <c r="CN238" i="126"/>
  <c r="CB238" i="126"/>
  <c r="BP238" i="126"/>
  <c r="BD238" i="126"/>
  <c r="AR238" i="126"/>
  <c r="AF238" i="126"/>
  <c r="T238" i="126"/>
  <c r="CY238" i="126"/>
  <c r="CM238" i="126"/>
  <c r="CA238" i="126"/>
  <c r="BO238" i="126"/>
  <c r="BC238" i="126"/>
  <c r="AQ238" i="126"/>
  <c r="AE238" i="126"/>
  <c r="S238" i="126"/>
  <c r="CX238" i="126"/>
  <c r="CL238" i="126"/>
  <c r="BZ238" i="126"/>
  <c r="BN238" i="126"/>
  <c r="BB238" i="126"/>
  <c r="AP238" i="126"/>
  <c r="AD238" i="126"/>
  <c r="R238" i="126"/>
  <c r="CW238" i="126"/>
  <c r="CK238" i="126"/>
  <c r="BY238" i="126"/>
  <c r="BM238" i="126"/>
  <c r="BA238" i="126"/>
  <c r="AO238" i="126"/>
  <c r="AC238" i="126"/>
  <c r="Q238" i="126"/>
  <c r="CV238" i="126"/>
  <c r="AB238" i="126"/>
  <c r="CU238" i="126"/>
  <c r="AA238" i="126"/>
  <c r="CJ238" i="126"/>
  <c r="P238" i="126"/>
  <c r="CI238" i="126"/>
  <c r="O238" i="126"/>
  <c r="BX238" i="126"/>
  <c r="BW238" i="126"/>
  <c r="BL238" i="126"/>
  <c r="BK238" i="126"/>
  <c r="AZ238" i="126"/>
  <c r="AY238" i="126"/>
  <c r="DG238" i="126"/>
  <c r="AN238" i="126"/>
  <c r="AM238" i="126"/>
  <c r="CW247" i="126"/>
  <c r="CK247" i="126"/>
  <c r="BY247" i="126"/>
  <c r="BM247" i="126"/>
  <c r="BA247" i="126"/>
  <c r="DC184" i="126" s="1"/>
  <c r="AO247" i="126"/>
  <c r="CQ184" i="126" s="1"/>
  <c r="AC247" i="126"/>
  <c r="CE184" i="126" s="1"/>
  <c r="Q247" i="126"/>
  <c r="BS184" i="126" s="1"/>
  <c r="CV247" i="126"/>
  <c r="CJ247" i="126"/>
  <c r="BX247" i="126"/>
  <c r="BL247" i="126"/>
  <c r="AZ247" i="126"/>
  <c r="DB184" i="126" s="1"/>
  <c r="AN247" i="126"/>
  <c r="CP184" i="126" s="1"/>
  <c r="AB247" i="126"/>
  <c r="CD184" i="126" s="1"/>
  <c r="P247" i="126"/>
  <c r="BR184" i="126" s="1"/>
  <c r="DG247" i="126"/>
  <c r="CU247" i="126"/>
  <c r="CI247" i="126"/>
  <c r="BW247" i="126"/>
  <c r="BK247" i="126"/>
  <c r="AY247" i="126"/>
  <c r="DA184" i="126" s="1"/>
  <c r="AM247" i="126"/>
  <c r="CO184" i="126" s="1"/>
  <c r="AA247" i="126"/>
  <c r="O247" i="126"/>
  <c r="BQ184" i="126" s="1"/>
  <c r="DF247" i="126"/>
  <c r="CT247" i="126"/>
  <c r="CH247" i="126"/>
  <c r="BV247" i="126"/>
  <c r="BJ247" i="126"/>
  <c r="AX247" i="126"/>
  <c r="CZ184" i="126" s="1"/>
  <c r="AL247" i="126"/>
  <c r="CN184" i="126" s="1"/>
  <c r="Z247" i="126"/>
  <c r="CB184" i="126" s="1"/>
  <c r="N247" i="126"/>
  <c r="BP184" i="126" s="1"/>
  <c r="DE247" i="126"/>
  <c r="CS247" i="126"/>
  <c r="CG247" i="126"/>
  <c r="BU247" i="126"/>
  <c r="BI247" i="126"/>
  <c r="AW247" i="126"/>
  <c r="CY184" i="126" s="1"/>
  <c r="AK247" i="126"/>
  <c r="CM184" i="126" s="1"/>
  <c r="Y247" i="126"/>
  <c r="CA184" i="126" s="1"/>
  <c r="M247" i="126"/>
  <c r="BO184" i="126" s="1"/>
  <c r="DD247" i="126"/>
  <c r="CR247" i="126"/>
  <c r="CF247" i="126"/>
  <c r="BT247" i="126"/>
  <c r="BH247" i="126"/>
  <c r="AV247" i="126"/>
  <c r="CX184" i="126" s="1"/>
  <c r="AJ247" i="126"/>
  <c r="CL184" i="126" s="1"/>
  <c r="X247" i="126"/>
  <c r="BZ184" i="126" s="1"/>
  <c r="L247" i="126"/>
  <c r="BN184" i="126" s="1"/>
  <c r="DC247" i="126"/>
  <c r="CQ247" i="126"/>
  <c r="CE247" i="126"/>
  <c r="BS247" i="126"/>
  <c r="BG247" i="126"/>
  <c r="AU247" i="126"/>
  <c r="AI247" i="126"/>
  <c r="CK184" i="126" s="1"/>
  <c r="W247" i="126"/>
  <c r="BY184" i="126" s="1"/>
  <c r="K247" i="126"/>
  <c r="BM184" i="126" s="1"/>
  <c r="DA247" i="126"/>
  <c r="CO247" i="126"/>
  <c r="CC247" i="126"/>
  <c r="BQ247" i="126"/>
  <c r="BE247" i="126"/>
  <c r="DG184" i="126" s="1"/>
  <c r="AS247" i="126"/>
  <c r="CU184" i="126" s="1"/>
  <c r="AG247" i="126"/>
  <c r="CI184" i="126" s="1"/>
  <c r="U247" i="126"/>
  <c r="BW184" i="126" s="1"/>
  <c r="I247" i="126"/>
  <c r="BK184" i="126" s="1"/>
  <c r="CX247" i="126"/>
  <c r="CL247" i="126"/>
  <c r="BZ247" i="126"/>
  <c r="BN247" i="126"/>
  <c r="BB247" i="126"/>
  <c r="DD184" i="126" s="1"/>
  <c r="AP247" i="126"/>
  <c r="CR184" i="126" s="1"/>
  <c r="AD247" i="126"/>
  <c r="CF184" i="126" s="1"/>
  <c r="R247" i="126"/>
  <c r="BT184" i="126" s="1"/>
  <c r="BR247" i="126"/>
  <c r="V247" i="126"/>
  <c r="BX184" i="126" s="1"/>
  <c r="BP247" i="126"/>
  <c r="T247" i="126"/>
  <c r="BV184" i="126" s="1"/>
  <c r="BO247" i="126"/>
  <c r="S247" i="126"/>
  <c r="BU184" i="126" s="1"/>
  <c r="DB247" i="126"/>
  <c r="BF247" i="126"/>
  <c r="J247" i="126"/>
  <c r="BL184" i="126" s="1"/>
  <c r="CZ247" i="126"/>
  <c r="BD247" i="126"/>
  <c r="DF184" i="126" s="1"/>
  <c r="CY247" i="126"/>
  <c r="BC247" i="126"/>
  <c r="DE184" i="126" s="1"/>
  <c r="CP247" i="126"/>
  <c r="AT247" i="126"/>
  <c r="CV184" i="126" s="1"/>
  <c r="CN247" i="126"/>
  <c r="AR247" i="126"/>
  <c r="CT184" i="126" s="1"/>
  <c r="CM247" i="126"/>
  <c r="AQ247" i="126"/>
  <c r="CS184" i="126" s="1"/>
  <c r="CD247" i="126"/>
  <c r="AH247" i="126"/>
  <c r="CJ184" i="126" s="1"/>
  <c r="CB247" i="126"/>
  <c r="CA247" i="126"/>
  <c r="AF247" i="126"/>
  <c r="CH184" i="126" s="1"/>
  <c r="AE247" i="126"/>
  <c r="CG184" i="126" s="1"/>
  <c r="AZ221" i="126"/>
  <c r="AN221" i="126"/>
  <c r="AB221" i="126"/>
  <c r="AY221" i="126"/>
  <c r="AM221" i="126"/>
  <c r="AA221" i="126"/>
  <c r="AV221" i="126"/>
  <c r="AJ221" i="126"/>
  <c r="X221" i="126"/>
  <c r="AS221" i="126"/>
  <c r="AD221" i="126"/>
  <c r="O221" i="126"/>
  <c r="BG221" i="126"/>
  <c r="AR221" i="126"/>
  <c r="AC221" i="126"/>
  <c r="N221" i="126"/>
  <c r="BF221" i="126"/>
  <c r="AQ221" i="126"/>
  <c r="Z221" i="126"/>
  <c r="M221" i="126"/>
  <c r="BE221" i="126"/>
  <c r="AP221" i="126"/>
  <c r="Y221" i="126"/>
  <c r="L221" i="126"/>
  <c r="BD221" i="126"/>
  <c r="AO221" i="126"/>
  <c r="W221" i="126"/>
  <c r="K221" i="126"/>
  <c r="BC221" i="126"/>
  <c r="AL221" i="126"/>
  <c r="V221" i="126"/>
  <c r="J221" i="126"/>
  <c r="BB221" i="126"/>
  <c r="AK221" i="126"/>
  <c r="U221" i="126"/>
  <c r="I221" i="126"/>
  <c r="BA221" i="126"/>
  <c r="AI221" i="126"/>
  <c r="T221" i="126"/>
  <c r="AX221" i="126"/>
  <c r="AH221" i="126"/>
  <c r="S221" i="126"/>
  <c r="AT221" i="126"/>
  <c r="AE221" i="126"/>
  <c r="P221" i="126"/>
  <c r="AW221" i="126"/>
  <c r="AU221" i="126"/>
  <c r="AG221" i="126"/>
  <c r="AF221" i="126"/>
  <c r="R221" i="126"/>
  <c r="Q221" i="126"/>
  <c r="AY196" i="126"/>
  <c r="AM196" i="126"/>
  <c r="AA196" i="126"/>
  <c r="O196" i="126"/>
  <c r="AW196" i="126"/>
  <c r="AK196" i="126"/>
  <c r="Y196" i="126"/>
  <c r="M196" i="126"/>
  <c r="AV196" i="126"/>
  <c r="AJ196" i="126"/>
  <c r="X196" i="126"/>
  <c r="L196" i="126"/>
  <c r="BF196" i="126"/>
  <c r="AT196" i="126"/>
  <c r="AH196" i="126"/>
  <c r="V196" i="126"/>
  <c r="J196" i="126"/>
  <c r="BE196" i="126"/>
  <c r="AS196" i="126"/>
  <c r="BD196" i="126"/>
  <c r="AU196" i="126"/>
  <c r="AC196" i="126"/>
  <c r="I196" i="126"/>
  <c r="AR196" i="126"/>
  <c r="AB196" i="126"/>
  <c r="AQ196" i="126"/>
  <c r="Z196" i="126"/>
  <c r="AP196" i="126"/>
  <c r="W196" i="126"/>
  <c r="AO196" i="126"/>
  <c r="U196" i="126"/>
  <c r="AN196" i="126"/>
  <c r="T196" i="126"/>
  <c r="BG196" i="126"/>
  <c r="AL196" i="126"/>
  <c r="S196" i="126"/>
  <c r="BC196" i="126"/>
  <c r="AI196" i="126"/>
  <c r="R196" i="126"/>
  <c r="BB196" i="126"/>
  <c r="AG196" i="126"/>
  <c r="Q196" i="126"/>
  <c r="BA196" i="126"/>
  <c r="AF196" i="126"/>
  <c r="P196" i="126"/>
  <c r="AZ196" i="126"/>
  <c r="AX196" i="126"/>
  <c r="AE196" i="126"/>
  <c r="AD196" i="126"/>
  <c r="N196" i="126"/>
  <c r="K196" i="126"/>
  <c r="BB202" i="126"/>
  <c r="AP202" i="126"/>
  <c r="AD202" i="126"/>
  <c r="R202" i="126"/>
  <c r="BA202" i="126"/>
  <c r="AO202" i="126"/>
  <c r="AC202" i="126"/>
  <c r="Q202" i="126"/>
  <c r="AZ202" i="126"/>
  <c r="AN202" i="126"/>
  <c r="AB202" i="126"/>
  <c r="P202" i="126"/>
  <c r="AY202" i="126"/>
  <c r="AM202" i="126"/>
  <c r="AA202" i="126"/>
  <c r="O202" i="126"/>
  <c r="AX202" i="126"/>
  <c r="AL202" i="126"/>
  <c r="Z202" i="126"/>
  <c r="N202" i="126"/>
  <c r="AW202" i="126"/>
  <c r="AK202" i="126"/>
  <c r="Y202" i="126"/>
  <c r="M202" i="126"/>
  <c r="AV202" i="126"/>
  <c r="AJ202" i="126"/>
  <c r="X202" i="126"/>
  <c r="L202" i="126"/>
  <c r="BG202" i="126"/>
  <c r="AU202" i="126"/>
  <c r="AI202" i="126"/>
  <c r="W202" i="126"/>
  <c r="K202" i="126"/>
  <c r="BF202" i="126"/>
  <c r="AT202" i="126"/>
  <c r="AH202" i="126"/>
  <c r="V202" i="126"/>
  <c r="J202" i="126"/>
  <c r="BC202" i="126"/>
  <c r="AQ202" i="126"/>
  <c r="AE202" i="126"/>
  <c r="S202" i="126"/>
  <c r="BE202" i="126"/>
  <c r="BD202" i="126"/>
  <c r="AS202" i="126"/>
  <c r="AR202" i="126"/>
  <c r="AG202" i="126"/>
  <c r="AF202" i="126"/>
  <c r="U202" i="126"/>
  <c r="T202" i="126"/>
  <c r="I202" i="126"/>
  <c r="CY239" i="126"/>
  <c r="CM239" i="126"/>
  <c r="CA239" i="126"/>
  <c r="BO239" i="126"/>
  <c r="BC239" i="126"/>
  <c r="AQ239" i="126"/>
  <c r="AE239" i="126"/>
  <c r="S239" i="126"/>
  <c r="CX239" i="126"/>
  <c r="CL239" i="126"/>
  <c r="BZ239" i="126"/>
  <c r="BN239" i="126"/>
  <c r="BB239" i="126"/>
  <c r="AP239" i="126"/>
  <c r="AD239" i="126"/>
  <c r="R239" i="126"/>
  <c r="CW239" i="126"/>
  <c r="CK239" i="126"/>
  <c r="BY239" i="126"/>
  <c r="BM239" i="126"/>
  <c r="BA239" i="126"/>
  <c r="AO239" i="126"/>
  <c r="AC239" i="126"/>
  <c r="Q239" i="126"/>
  <c r="CV239" i="126"/>
  <c r="CJ239" i="126"/>
  <c r="BX239" i="126"/>
  <c r="BL239" i="126"/>
  <c r="AZ239" i="126"/>
  <c r="AN239" i="126"/>
  <c r="AB239" i="126"/>
  <c r="P239" i="126"/>
  <c r="DG239" i="126"/>
  <c r="CU239" i="126"/>
  <c r="CI239" i="126"/>
  <c r="BW239" i="126"/>
  <c r="BK239" i="126"/>
  <c r="AY239" i="126"/>
  <c r="AM239" i="126"/>
  <c r="AA239" i="126"/>
  <c r="O239" i="126"/>
  <c r="DF239" i="126"/>
  <c r="CT239" i="126"/>
  <c r="CH239" i="126"/>
  <c r="BV239" i="126"/>
  <c r="BJ239" i="126"/>
  <c r="AX239" i="126"/>
  <c r="AL239" i="126"/>
  <c r="Z239" i="126"/>
  <c r="N239" i="126"/>
  <c r="DE239" i="126"/>
  <c r="CS239" i="126"/>
  <c r="CG239" i="126"/>
  <c r="BU239" i="126"/>
  <c r="BI239" i="126"/>
  <c r="AW239" i="126"/>
  <c r="AK239" i="126"/>
  <c r="Y239" i="126"/>
  <c r="M239" i="126"/>
  <c r="DD239" i="126"/>
  <c r="CR239" i="126"/>
  <c r="CF239" i="126"/>
  <c r="BT239" i="126"/>
  <c r="BH239" i="126"/>
  <c r="AV239" i="126"/>
  <c r="AJ239" i="126"/>
  <c r="X239" i="126"/>
  <c r="L239" i="126"/>
  <c r="DC239" i="126"/>
  <c r="CQ239" i="126"/>
  <c r="CE239" i="126"/>
  <c r="BS239" i="126"/>
  <c r="BG239" i="126"/>
  <c r="AU239" i="126"/>
  <c r="AI239" i="126"/>
  <c r="W239" i="126"/>
  <c r="K239" i="126"/>
  <c r="DB239" i="126"/>
  <c r="CP239" i="126"/>
  <c r="CD239" i="126"/>
  <c r="BR239" i="126"/>
  <c r="BF239" i="126"/>
  <c r="AT239" i="126"/>
  <c r="AH239" i="126"/>
  <c r="V239" i="126"/>
  <c r="J239" i="126"/>
  <c r="BQ239" i="126"/>
  <c r="BP239" i="126"/>
  <c r="BE239" i="126"/>
  <c r="BD239" i="126"/>
  <c r="AS239" i="126"/>
  <c r="AR239" i="126"/>
  <c r="DA239" i="126"/>
  <c r="AG239" i="126"/>
  <c r="CZ239" i="126"/>
  <c r="AF239" i="126"/>
  <c r="CO239" i="126"/>
  <c r="U239" i="126"/>
  <c r="CN239" i="126"/>
  <c r="T239" i="126"/>
  <c r="I239" i="126"/>
  <c r="CB239" i="126"/>
  <c r="CC239" i="126"/>
  <c r="DB248" i="126"/>
  <c r="CP248" i="126"/>
  <c r="CD248" i="126"/>
  <c r="BR248" i="126"/>
  <c r="BF248" i="126"/>
  <c r="AT248" i="126"/>
  <c r="AH248" i="126"/>
  <c r="V248" i="126"/>
  <c r="J248" i="126"/>
  <c r="DA248" i="126"/>
  <c r="CO248" i="126"/>
  <c r="CC248" i="126"/>
  <c r="BQ248" i="126"/>
  <c r="BE248" i="126"/>
  <c r="AS248" i="126"/>
  <c r="AG248" i="126"/>
  <c r="U248" i="126"/>
  <c r="I248" i="126"/>
  <c r="CZ248" i="126"/>
  <c r="CN248" i="126"/>
  <c r="CB248" i="126"/>
  <c r="BP248" i="126"/>
  <c r="BD248" i="126"/>
  <c r="AR248" i="126"/>
  <c r="AF248" i="126"/>
  <c r="T248" i="126"/>
  <c r="CY248" i="126"/>
  <c r="CM248" i="126"/>
  <c r="CA248" i="126"/>
  <c r="BO248" i="126"/>
  <c r="BC248" i="126"/>
  <c r="AQ248" i="126"/>
  <c r="AE248" i="126"/>
  <c r="S248" i="126"/>
  <c r="CX248" i="126"/>
  <c r="CL248" i="126"/>
  <c r="BZ248" i="126"/>
  <c r="BN248" i="126"/>
  <c r="BB248" i="126"/>
  <c r="AP248" i="126"/>
  <c r="AD248" i="126"/>
  <c r="R248" i="126"/>
  <c r="CW248" i="126"/>
  <c r="CK248" i="126"/>
  <c r="BY248" i="126"/>
  <c r="BM248" i="126"/>
  <c r="BA248" i="126"/>
  <c r="AO248" i="126"/>
  <c r="AC248" i="126"/>
  <c r="Q248" i="126"/>
  <c r="CV248" i="126"/>
  <c r="CJ248" i="126"/>
  <c r="BX248" i="126"/>
  <c r="BL248" i="126"/>
  <c r="AZ248" i="126"/>
  <c r="AN248" i="126"/>
  <c r="AB248" i="126"/>
  <c r="P248" i="126"/>
  <c r="DF248" i="126"/>
  <c r="CT248" i="126"/>
  <c r="CH248" i="126"/>
  <c r="BV248" i="126"/>
  <c r="BJ248" i="126"/>
  <c r="AX248" i="126"/>
  <c r="AL248" i="126"/>
  <c r="Z248" i="126"/>
  <c r="N248" i="126"/>
  <c r="DC248" i="126"/>
  <c r="CQ248" i="126"/>
  <c r="CE248" i="126"/>
  <c r="BS248" i="126"/>
  <c r="BG248" i="126"/>
  <c r="AU248" i="126"/>
  <c r="AI248" i="126"/>
  <c r="W248" i="126"/>
  <c r="K248" i="126"/>
  <c r="DG248" i="126"/>
  <c r="BK248" i="126"/>
  <c r="O248" i="126"/>
  <c r="DE248" i="126"/>
  <c r="BI248" i="126"/>
  <c r="M248" i="126"/>
  <c r="DD248" i="126"/>
  <c r="BH248" i="126"/>
  <c r="L248" i="126"/>
  <c r="CU248" i="126"/>
  <c r="AY248" i="126"/>
  <c r="CS248" i="126"/>
  <c r="AW248" i="126"/>
  <c r="CR248" i="126"/>
  <c r="AV248" i="126"/>
  <c r="CI248" i="126"/>
  <c r="AM248" i="126"/>
  <c r="CG248" i="126"/>
  <c r="AK248" i="126"/>
  <c r="CF248" i="126"/>
  <c r="AJ248" i="126"/>
  <c r="BW248" i="126"/>
  <c r="AA248" i="126"/>
  <c r="BU248" i="126"/>
  <c r="BT248" i="126"/>
  <c r="Y248" i="126"/>
  <c r="X248" i="126"/>
  <c r="BE216" i="126"/>
  <c r="AS216" i="126"/>
  <c r="CS210" i="126" s="1"/>
  <c r="AG216" i="126"/>
  <c r="CG210" i="126" s="1"/>
  <c r="U216" i="126"/>
  <c r="I216" i="126"/>
  <c r="BC216" i="126"/>
  <c r="AQ216" i="126"/>
  <c r="AE216" i="126"/>
  <c r="CE210" i="126" s="1"/>
  <c r="S216" i="126"/>
  <c r="BS210" i="126" s="1"/>
  <c r="BB216" i="126"/>
  <c r="AP216" i="126"/>
  <c r="CP210" i="126" s="1"/>
  <c r="AD216" i="126"/>
  <c r="R216" i="126"/>
  <c r="AZ216" i="126"/>
  <c r="CZ210" i="126" s="1"/>
  <c r="AN216" i="126"/>
  <c r="CN210" i="126" s="1"/>
  <c r="AB216" i="126"/>
  <c r="CB210" i="126" s="1"/>
  <c r="P216" i="126"/>
  <c r="BA216" i="126"/>
  <c r="AJ216" i="126"/>
  <c r="Q216" i="126"/>
  <c r="BQ210" i="126" s="1"/>
  <c r="AY216" i="126"/>
  <c r="AI216" i="126"/>
  <c r="O216" i="126"/>
  <c r="BO210" i="126" s="1"/>
  <c r="AX216" i="126"/>
  <c r="AH216" i="126"/>
  <c r="N216" i="126"/>
  <c r="AW216" i="126"/>
  <c r="CW210" i="126" s="1"/>
  <c r="AF216" i="126"/>
  <c r="M216" i="126"/>
  <c r="AV216" i="126"/>
  <c r="AC216" i="126"/>
  <c r="CC210" i="126" s="1"/>
  <c r="L216" i="126"/>
  <c r="BL210" i="126" s="1"/>
  <c r="AU216" i="126"/>
  <c r="CU210" i="126" s="1"/>
  <c r="AA216" i="126"/>
  <c r="K216" i="126"/>
  <c r="AT216" i="126"/>
  <c r="Z216" i="126"/>
  <c r="J216" i="126"/>
  <c r="AR216" i="126"/>
  <c r="Y216" i="126"/>
  <c r="BY210" i="126" s="1"/>
  <c r="AO216" i="126"/>
  <c r="X216" i="126"/>
  <c r="BD216" i="126"/>
  <c r="AK216" i="126"/>
  <c r="CK210" i="126" s="1"/>
  <c r="T216" i="126"/>
  <c r="BT210" i="126" s="1"/>
  <c r="BG216" i="126"/>
  <c r="BF216" i="126"/>
  <c r="AM216" i="126"/>
  <c r="AL216" i="126"/>
  <c r="W216" i="126"/>
  <c r="BW210" i="126" s="1"/>
  <c r="V216" i="126"/>
  <c r="BA203" i="126"/>
  <c r="DA203" i="126" s="1"/>
  <c r="AO203" i="126"/>
  <c r="CO203" i="126" s="1"/>
  <c r="AC203" i="126"/>
  <c r="CC203" i="126" s="1"/>
  <c r="Q203" i="126"/>
  <c r="BQ203" i="126" s="1"/>
  <c r="AZ203" i="126"/>
  <c r="CZ203" i="126" s="1"/>
  <c r="AM203" i="126"/>
  <c r="CM203" i="126" s="1"/>
  <c r="Z203" i="126"/>
  <c r="BZ203" i="126" s="1"/>
  <c r="M203" i="126"/>
  <c r="BM203" i="126" s="1"/>
  <c r="AY203" i="126"/>
  <c r="CY203" i="126" s="1"/>
  <c r="AL203" i="126"/>
  <c r="CL203" i="126" s="1"/>
  <c r="Y203" i="126"/>
  <c r="BY203" i="126" s="1"/>
  <c r="L203" i="126"/>
  <c r="BL203" i="126" s="1"/>
  <c r="AX203" i="126"/>
  <c r="CX203" i="126" s="1"/>
  <c r="AK203" i="126"/>
  <c r="CK203" i="126" s="1"/>
  <c r="X203" i="126"/>
  <c r="BX203" i="126" s="1"/>
  <c r="K203" i="126"/>
  <c r="BK203" i="126" s="1"/>
  <c r="AW203" i="126"/>
  <c r="CW203" i="126" s="1"/>
  <c r="AJ203" i="126"/>
  <c r="CJ203" i="126" s="1"/>
  <c r="W203" i="126"/>
  <c r="BW203" i="126" s="1"/>
  <c r="J203" i="126"/>
  <c r="BJ203" i="126" s="1"/>
  <c r="AV203" i="126"/>
  <c r="CV203" i="126" s="1"/>
  <c r="AI203" i="126"/>
  <c r="CI203" i="126" s="1"/>
  <c r="V203" i="126"/>
  <c r="BV203" i="126" s="1"/>
  <c r="I203" i="126"/>
  <c r="BI203" i="126" s="1"/>
  <c r="AU203" i="126"/>
  <c r="CU203" i="126" s="1"/>
  <c r="AH203" i="126"/>
  <c r="CH203" i="126" s="1"/>
  <c r="U203" i="126"/>
  <c r="BU203" i="126" s="1"/>
  <c r="BG203" i="126"/>
  <c r="DG203" i="126" s="1"/>
  <c r="AT203" i="126"/>
  <c r="CT203" i="126" s="1"/>
  <c r="AG203" i="126"/>
  <c r="CG203" i="126" s="1"/>
  <c r="T203" i="126"/>
  <c r="BT203" i="126" s="1"/>
  <c r="BF203" i="126"/>
  <c r="DF203" i="126" s="1"/>
  <c r="AS203" i="126"/>
  <c r="CS203" i="126" s="1"/>
  <c r="AF203" i="126"/>
  <c r="CF203" i="126" s="1"/>
  <c r="S203" i="126"/>
  <c r="BS203" i="126" s="1"/>
  <c r="BE203" i="126"/>
  <c r="DE203" i="126" s="1"/>
  <c r="AR203" i="126"/>
  <c r="CR203" i="126" s="1"/>
  <c r="AE203" i="126"/>
  <c r="CE203" i="126" s="1"/>
  <c r="R203" i="126"/>
  <c r="BR203" i="126" s="1"/>
  <c r="BB203" i="126"/>
  <c r="DB203" i="126" s="1"/>
  <c r="AN203" i="126"/>
  <c r="CN203" i="126" s="1"/>
  <c r="AA203" i="126"/>
  <c r="CA203" i="126" s="1"/>
  <c r="N203" i="126"/>
  <c r="BN203" i="126" s="1"/>
  <c r="AP203" i="126"/>
  <c r="CP203" i="126" s="1"/>
  <c r="AD203" i="126"/>
  <c r="CD203" i="126" s="1"/>
  <c r="AB203" i="126"/>
  <c r="CB203" i="126" s="1"/>
  <c r="P203" i="126"/>
  <c r="BP203" i="126" s="1"/>
  <c r="O203" i="126"/>
  <c r="BO203" i="126" s="1"/>
  <c r="BD203" i="126"/>
  <c r="DD203" i="126" s="1"/>
  <c r="BC203" i="126"/>
  <c r="DC203" i="126" s="1"/>
  <c r="AQ203" i="126"/>
  <c r="CQ203" i="126" s="1"/>
  <c r="N109" i="126"/>
  <c r="O109" i="126" s="1"/>
  <c r="CW240" i="126"/>
  <c r="CK240" i="126"/>
  <c r="BY240" i="126"/>
  <c r="BM240" i="126"/>
  <c r="BA240" i="126"/>
  <c r="AO240" i="126"/>
  <c r="AC240" i="126"/>
  <c r="CY240" i="126"/>
  <c r="CL240" i="126"/>
  <c r="BX240" i="126"/>
  <c r="BK240" i="126"/>
  <c r="AX240" i="126"/>
  <c r="AK240" i="126"/>
  <c r="X240" i="126"/>
  <c r="L240" i="126"/>
  <c r="CX240" i="126"/>
  <c r="CJ240" i="126"/>
  <c r="BW240" i="126"/>
  <c r="BJ240" i="126"/>
  <c r="AW240" i="126"/>
  <c r="AJ240" i="126"/>
  <c r="W240" i="126"/>
  <c r="K240" i="126"/>
  <c r="CV240" i="126"/>
  <c r="CI240" i="126"/>
  <c r="BV240" i="126"/>
  <c r="BI240" i="126"/>
  <c r="AV240" i="126"/>
  <c r="AI240" i="126"/>
  <c r="V240" i="126"/>
  <c r="J240" i="126"/>
  <c r="CU240" i="126"/>
  <c r="CH240" i="126"/>
  <c r="BU240" i="126"/>
  <c r="BH240" i="126"/>
  <c r="AU240" i="126"/>
  <c r="AH240" i="126"/>
  <c r="U240" i="126"/>
  <c r="I240" i="126"/>
  <c r="DG240" i="126"/>
  <c r="CT240" i="126"/>
  <c r="CG240" i="126"/>
  <c r="BT240" i="126"/>
  <c r="BG240" i="126"/>
  <c r="AT240" i="126"/>
  <c r="AG240" i="126"/>
  <c r="T240" i="126"/>
  <c r="DF240" i="126"/>
  <c r="CS240" i="126"/>
  <c r="CF240" i="126"/>
  <c r="BS240" i="126"/>
  <c r="BF240" i="126"/>
  <c r="AS240" i="126"/>
  <c r="AF240" i="126"/>
  <c r="S240" i="126"/>
  <c r="DE240" i="126"/>
  <c r="CR240" i="126"/>
  <c r="CE240" i="126"/>
  <c r="BR240" i="126"/>
  <c r="BE240" i="126"/>
  <c r="AR240" i="126"/>
  <c r="AE240" i="126"/>
  <c r="R240" i="126"/>
  <c r="DD240" i="126"/>
  <c r="CQ240" i="126"/>
  <c r="CD240" i="126"/>
  <c r="BQ240" i="126"/>
  <c r="BD240" i="126"/>
  <c r="AQ240" i="126"/>
  <c r="AD240" i="126"/>
  <c r="Q240" i="126"/>
  <c r="DC240" i="126"/>
  <c r="CP240" i="126"/>
  <c r="CC240" i="126"/>
  <c r="BP240" i="126"/>
  <c r="BC240" i="126"/>
  <c r="AP240" i="126"/>
  <c r="AB240" i="126"/>
  <c r="P240" i="126"/>
  <c r="DB240" i="126"/>
  <c r="CO240" i="126"/>
  <c r="CB240" i="126"/>
  <c r="BO240" i="126"/>
  <c r="BB240" i="126"/>
  <c r="AN240" i="126"/>
  <c r="AA240" i="126"/>
  <c r="O240" i="126"/>
  <c r="AM240" i="126"/>
  <c r="AL240" i="126"/>
  <c r="DA240" i="126"/>
  <c r="Z240" i="126"/>
  <c r="CZ240" i="126"/>
  <c r="Y240" i="126"/>
  <c r="CN240" i="126"/>
  <c r="N240" i="126"/>
  <c r="CM240" i="126"/>
  <c r="M240" i="126"/>
  <c r="CA240" i="126"/>
  <c r="BZ240" i="126"/>
  <c r="BN240" i="126"/>
  <c r="BL240" i="126"/>
  <c r="AZ240" i="126"/>
  <c r="AY240" i="126"/>
  <c r="DG249" i="126"/>
  <c r="CU249" i="126"/>
  <c r="CI249" i="126"/>
  <c r="BW249" i="126"/>
  <c r="BK249" i="126"/>
  <c r="AY249" i="126"/>
  <c r="DA188" i="126" s="1"/>
  <c r="AM249" i="126"/>
  <c r="CO188" i="126" s="1"/>
  <c r="AA249" i="126"/>
  <c r="CC188" i="126" s="1"/>
  <c r="O249" i="126"/>
  <c r="BQ188" i="126" s="1"/>
  <c r="DF249" i="126"/>
  <c r="CT249" i="126"/>
  <c r="CH249" i="126"/>
  <c r="BV249" i="126"/>
  <c r="BJ249" i="126"/>
  <c r="AX249" i="126"/>
  <c r="CZ188" i="126" s="1"/>
  <c r="AL249" i="126"/>
  <c r="CN188" i="126" s="1"/>
  <c r="Z249" i="126"/>
  <c r="CB188" i="126" s="1"/>
  <c r="N249" i="126"/>
  <c r="BP188" i="126" s="1"/>
  <c r="DE249" i="126"/>
  <c r="CS249" i="126"/>
  <c r="CG249" i="126"/>
  <c r="BU249" i="126"/>
  <c r="BI249" i="126"/>
  <c r="AW249" i="126"/>
  <c r="CY188" i="126" s="1"/>
  <c r="AK249" i="126"/>
  <c r="CM188" i="126" s="1"/>
  <c r="Y249" i="126"/>
  <c r="CA188" i="126" s="1"/>
  <c r="M249" i="126"/>
  <c r="BO188" i="126" s="1"/>
  <c r="DD249" i="126"/>
  <c r="CR249" i="126"/>
  <c r="CF249" i="126"/>
  <c r="BT249" i="126"/>
  <c r="BH249" i="126"/>
  <c r="AV249" i="126"/>
  <c r="AJ249" i="126"/>
  <c r="CL188" i="126" s="1"/>
  <c r="X249" i="126"/>
  <c r="BZ188" i="126" s="1"/>
  <c r="L249" i="126"/>
  <c r="BN188" i="126" s="1"/>
  <c r="DC249" i="126"/>
  <c r="CQ249" i="126"/>
  <c r="CE249" i="126"/>
  <c r="BS249" i="126"/>
  <c r="BG249" i="126"/>
  <c r="AU249" i="126"/>
  <c r="CW188" i="126" s="1"/>
  <c r="AI249" i="126"/>
  <c r="CK188" i="126" s="1"/>
  <c r="W249" i="126"/>
  <c r="BY188" i="126" s="1"/>
  <c r="K249" i="126"/>
  <c r="DB249" i="126"/>
  <c r="CP249" i="126"/>
  <c r="CD249" i="126"/>
  <c r="BR249" i="126"/>
  <c r="BF249" i="126"/>
  <c r="AT249" i="126"/>
  <c r="CV188" i="126" s="1"/>
  <c r="AH249" i="126"/>
  <c r="V249" i="126"/>
  <c r="BX188" i="126" s="1"/>
  <c r="J249" i="126"/>
  <c r="BL188" i="126" s="1"/>
  <c r="DA249" i="126"/>
  <c r="CO249" i="126"/>
  <c r="CC249" i="126"/>
  <c r="BQ249" i="126"/>
  <c r="BE249" i="126"/>
  <c r="DG188" i="126" s="1"/>
  <c r="AS249" i="126"/>
  <c r="CU188" i="126" s="1"/>
  <c r="AG249" i="126"/>
  <c r="U249" i="126"/>
  <c r="BW188" i="126" s="1"/>
  <c r="I249" i="126"/>
  <c r="BK188" i="126" s="1"/>
  <c r="CY249" i="126"/>
  <c r="CM249" i="126"/>
  <c r="CA249" i="126"/>
  <c r="BO249" i="126"/>
  <c r="BC249" i="126"/>
  <c r="AQ249" i="126"/>
  <c r="CS188" i="126" s="1"/>
  <c r="AE249" i="126"/>
  <c r="CG188" i="126" s="1"/>
  <c r="S249" i="126"/>
  <c r="BU188" i="126" s="1"/>
  <c r="CV249" i="126"/>
  <c r="CJ249" i="126"/>
  <c r="BX249" i="126"/>
  <c r="BL249" i="126"/>
  <c r="AZ249" i="126"/>
  <c r="DB188" i="126" s="1"/>
  <c r="AN249" i="126"/>
  <c r="CP188" i="126" s="1"/>
  <c r="AB249" i="126"/>
  <c r="CD188" i="126" s="1"/>
  <c r="P249" i="126"/>
  <c r="BR188" i="126" s="1"/>
  <c r="CZ249" i="126"/>
  <c r="BD249" i="126"/>
  <c r="CX249" i="126"/>
  <c r="BB249" i="126"/>
  <c r="DD188" i="126" s="1"/>
  <c r="CW249" i="126"/>
  <c r="BA249" i="126"/>
  <c r="DC188" i="126" s="1"/>
  <c r="CN249" i="126"/>
  <c r="AR249" i="126"/>
  <c r="CL249" i="126"/>
  <c r="AP249" i="126"/>
  <c r="CR188" i="126" s="1"/>
  <c r="CK249" i="126"/>
  <c r="AO249" i="126"/>
  <c r="CQ188" i="126" s="1"/>
  <c r="CB249" i="126"/>
  <c r="AF249" i="126"/>
  <c r="CH188" i="126" s="1"/>
  <c r="BZ249" i="126"/>
  <c r="AD249" i="126"/>
  <c r="CF188" i="126" s="1"/>
  <c r="BY249" i="126"/>
  <c r="AC249" i="126"/>
  <c r="CE188" i="126" s="1"/>
  <c r="BP249" i="126"/>
  <c r="T249" i="126"/>
  <c r="BV188" i="126" s="1"/>
  <c r="BN249" i="126"/>
  <c r="BM249" i="126"/>
  <c r="R249" i="126"/>
  <c r="BT188" i="126" s="1"/>
  <c r="Q249" i="126"/>
  <c r="BS188" i="126" s="1"/>
  <c r="BG222" i="126"/>
  <c r="AU222" i="126"/>
  <c r="AI222" i="126"/>
  <c r="W222" i="126"/>
  <c r="K222" i="126"/>
  <c r="BF222" i="126"/>
  <c r="AT222" i="126"/>
  <c r="AH222" i="126"/>
  <c r="V222" i="126"/>
  <c r="J222" i="126"/>
  <c r="BE222" i="126"/>
  <c r="AS222" i="126"/>
  <c r="AG222" i="126"/>
  <c r="U222" i="126"/>
  <c r="I222" i="126"/>
  <c r="BB222" i="126"/>
  <c r="AP222" i="126"/>
  <c r="AD222" i="126"/>
  <c r="R222" i="126"/>
  <c r="BA222" i="126"/>
  <c r="AO222" i="126"/>
  <c r="AC222" i="126"/>
  <c r="Q222" i="126"/>
  <c r="AY222" i="126"/>
  <c r="AM222" i="126"/>
  <c r="AZ222" i="126"/>
  <c r="AB222" i="126"/>
  <c r="AX222" i="126"/>
  <c r="AA222" i="126"/>
  <c r="AW222" i="126"/>
  <c r="Z222" i="126"/>
  <c r="AV222" i="126"/>
  <c r="Y222" i="126"/>
  <c r="AR222" i="126"/>
  <c r="X222" i="126"/>
  <c r="AQ222" i="126"/>
  <c r="T222" i="126"/>
  <c r="AN222" i="126"/>
  <c r="S222" i="126"/>
  <c r="AL222" i="126"/>
  <c r="P222" i="126"/>
  <c r="AK222" i="126"/>
  <c r="O222" i="126"/>
  <c r="BC222" i="126"/>
  <c r="AE222" i="126"/>
  <c r="L222" i="126"/>
  <c r="BD222" i="126"/>
  <c r="AJ222" i="126"/>
  <c r="AF222" i="126"/>
  <c r="N222" i="126"/>
  <c r="M222" i="126"/>
  <c r="P35" i="126"/>
  <c r="P36" i="126" s="1"/>
  <c r="P37" i="126" s="1"/>
  <c r="P38" i="126" s="1"/>
  <c r="P39" i="126" s="1"/>
  <c r="P40" i="126" s="1"/>
  <c r="BD210" i="126"/>
  <c r="AR210" i="126"/>
  <c r="AF210" i="126"/>
  <c r="T210" i="126"/>
  <c r="BB210" i="126"/>
  <c r="AP210" i="126"/>
  <c r="AD210" i="126"/>
  <c r="R210" i="126"/>
  <c r="BA210" i="126"/>
  <c r="AO210" i="126"/>
  <c r="AC210" i="126"/>
  <c r="Q210" i="126"/>
  <c r="AY210" i="126"/>
  <c r="AM210" i="126"/>
  <c r="AA210" i="126"/>
  <c r="O210" i="126"/>
  <c r="AZ210" i="126"/>
  <c r="AI210" i="126"/>
  <c r="P210" i="126"/>
  <c r="AX210" i="126"/>
  <c r="AH210" i="126"/>
  <c r="N210" i="126"/>
  <c r="AW210" i="126"/>
  <c r="AG210" i="126"/>
  <c r="M210" i="126"/>
  <c r="AV210" i="126"/>
  <c r="AE210" i="126"/>
  <c r="L210" i="126"/>
  <c r="AU210" i="126"/>
  <c r="AB210" i="126"/>
  <c r="K210" i="126"/>
  <c r="AT210" i="126"/>
  <c r="Z210" i="126"/>
  <c r="J210" i="126"/>
  <c r="AS210" i="126"/>
  <c r="Y210" i="126"/>
  <c r="I210" i="126"/>
  <c r="AQ210" i="126"/>
  <c r="X210" i="126"/>
  <c r="BG210" i="126"/>
  <c r="AN210" i="126"/>
  <c r="W210" i="126"/>
  <c r="BC210" i="126"/>
  <c r="AJ210" i="126"/>
  <c r="S210" i="126"/>
  <c r="BF210" i="126"/>
  <c r="BE210" i="126"/>
  <c r="AL210" i="126"/>
  <c r="AK210" i="126"/>
  <c r="V210" i="126"/>
  <c r="U210" i="126"/>
  <c r="BG204" i="126"/>
  <c r="DG204" i="126" s="1"/>
  <c r="AU204" i="126"/>
  <c r="CU204" i="126" s="1"/>
  <c r="AI204" i="126"/>
  <c r="CI204" i="126" s="1"/>
  <c r="W204" i="126"/>
  <c r="BW204" i="126" s="1"/>
  <c r="K204" i="126"/>
  <c r="BK204" i="126" s="1"/>
  <c r="BE204" i="126"/>
  <c r="DE204" i="126" s="1"/>
  <c r="BD204" i="126"/>
  <c r="DD204" i="126" s="1"/>
  <c r="AR204" i="126"/>
  <c r="CR204" i="126" s="1"/>
  <c r="AF204" i="126"/>
  <c r="CF204" i="126" s="1"/>
  <c r="T204" i="126"/>
  <c r="BT204" i="126" s="1"/>
  <c r="BB204" i="126"/>
  <c r="DB204" i="126" s="1"/>
  <c r="AP204" i="126"/>
  <c r="CP204" i="126" s="1"/>
  <c r="AD204" i="126"/>
  <c r="CD204" i="126" s="1"/>
  <c r="R204" i="126"/>
  <c r="BR204" i="126" s="1"/>
  <c r="BC204" i="126"/>
  <c r="DC204" i="126" s="1"/>
  <c r="AM204" i="126"/>
  <c r="CM204" i="126" s="1"/>
  <c r="X204" i="126"/>
  <c r="BX204" i="126" s="1"/>
  <c r="BA204" i="126"/>
  <c r="DA204" i="126" s="1"/>
  <c r="AL204" i="126"/>
  <c r="CL204" i="126" s="1"/>
  <c r="V204" i="126"/>
  <c r="BV204" i="126" s="1"/>
  <c r="AZ204" i="126"/>
  <c r="CZ204" i="126" s="1"/>
  <c r="AK204" i="126"/>
  <c r="CK204" i="126" s="1"/>
  <c r="U204" i="126"/>
  <c r="BU204" i="126" s="1"/>
  <c r="AY204" i="126"/>
  <c r="CY204" i="126" s="1"/>
  <c r="AJ204" i="126"/>
  <c r="CJ204" i="126" s="1"/>
  <c r="S204" i="126"/>
  <c r="BS204" i="126" s="1"/>
  <c r="AX204" i="126"/>
  <c r="CX204" i="126" s="1"/>
  <c r="AH204" i="126"/>
  <c r="CH204" i="126" s="1"/>
  <c r="Q204" i="126"/>
  <c r="BQ204" i="126" s="1"/>
  <c r="AW204" i="126"/>
  <c r="CW204" i="126" s="1"/>
  <c r="AG204" i="126"/>
  <c r="CG204" i="126" s="1"/>
  <c r="P204" i="126"/>
  <c r="BP204" i="126" s="1"/>
  <c r="AV204" i="126"/>
  <c r="CV204" i="126" s="1"/>
  <c r="AE204" i="126"/>
  <c r="CE204" i="126" s="1"/>
  <c r="O204" i="126"/>
  <c r="BO204" i="126" s="1"/>
  <c r="AT204" i="126"/>
  <c r="CT204" i="126" s="1"/>
  <c r="AC204" i="126"/>
  <c r="CC204" i="126" s="1"/>
  <c r="N204" i="126"/>
  <c r="BN204" i="126" s="1"/>
  <c r="AS204" i="126"/>
  <c r="CS204" i="126" s="1"/>
  <c r="AB204" i="126"/>
  <c r="CB204" i="126" s="1"/>
  <c r="M204" i="126"/>
  <c r="BM204" i="126" s="1"/>
  <c r="BF204" i="126"/>
  <c r="DF204" i="126" s="1"/>
  <c r="AN204" i="126"/>
  <c r="CN204" i="126" s="1"/>
  <c r="Y204" i="126"/>
  <c r="BY204" i="126" s="1"/>
  <c r="I204" i="126"/>
  <c r="BI204" i="126" s="1"/>
  <c r="Z204" i="126"/>
  <c r="BZ204" i="126" s="1"/>
  <c r="L204" i="126"/>
  <c r="BL204" i="126" s="1"/>
  <c r="J204" i="126"/>
  <c r="BJ204" i="126" s="1"/>
  <c r="AQ204" i="126"/>
  <c r="CQ204" i="126" s="1"/>
  <c r="AA204" i="126"/>
  <c r="CA204" i="126" s="1"/>
  <c r="AO204" i="126"/>
  <c r="CO204" i="126" s="1"/>
  <c r="BG209" i="126"/>
  <c r="AU209" i="126"/>
  <c r="AI209" i="126"/>
  <c r="W209" i="126"/>
  <c r="K209" i="126"/>
  <c r="BE209" i="126"/>
  <c r="AS209" i="126"/>
  <c r="AG209" i="126"/>
  <c r="U209" i="126"/>
  <c r="I209" i="126"/>
  <c r="BD209" i="126"/>
  <c r="AR209" i="126"/>
  <c r="AF209" i="126"/>
  <c r="T209" i="126"/>
  <c r="BB209" i="126"/>
  <c r="AP209" i="126"/>
  <c r="AD209" i="126"/>
  <c r="R209" i="126"/>
  <c r="AX209" i="126"/>
  <c r="AE209" i="126"/>
  <c r="N209" i="126"/>
  <c r="AW209" i="126"/>
  <c r="AC209" i="126"/>
  <c r="M209" i="126"/>
  <c r="AV209" i="126"/>
  <c r="AB209" i="126"/>
  <c r="L209" i="126"/>
  <c r="AT209" i="126"/>
  <c r="AA209" i="126"/>
  <c r="J209" i="126"/>
  <c r="AQ209" i="126"/>
  <c r="Z209" i="126"/>
  <c r="AO209" i="126"/>
  <c r="Y209" i="126"/>
  <c r="AN209" i="126"/>
  <c r="X209" i="126"/>
  <c r="BF209" i="126"/>
  <c r="AM209" i="126"/>
  <c r="V209" i="126"/>
  <c r="BC209" i="126"/>
  <c r="AL209" i="126"/>
  <c r="S209" i="126"/>
  <c r="AY209" i="126"/>
  <c r="AH209" i="126"/>
  <c r="O209" i="126"/>
  <c r="AJ209" i="126"/>
  <c r="Q209" i="126"/>
  <c r="P209" i="126"/>
  <c r="BA209" i="126"/>
  <c r="AZ209" i="126"/>
  <c r="AK209" i="126"/>
  <c r="BE197" i="126"/>
  <c r="AS197" i="126"/>
  <c r="AG197" i="126"/>
  <c r="U197" i="126"/>
  <c r="I197" i="126"/>
  <c r="BD197" i="126"/>
  <c r="AR197" i="126"/>
  <c r="AF197" i="126"/>
  <c r="T197" i="126"/>
  <c r="BC197" i="126"/>
  <c r="AQ197" i="126"/>
  <c r="AE197" i="126"/>
  <c r="S197" i="126"/>
  <c r="BB197" i="126"/>
  <c r="AP197" i="126"/>
  <c r="AD197" i="126"/>
  <c r="R197" i="126"/>
  <c r="AZ197" i="126"/>
  <c r="AN197" i="126"/>
  <c r="AB197" i="126"/>
  <c r="P197" i="126"/>
  <c r="AY197" i="126"/>
  <c r="AM197" i="126"/>
  <c r="AA197" i="126"/>
  <c r="O197" i="126"/>
  <c r="AX197" i="126"/>
  <c r="AL197" i="126"/>
  <c r="Z197" i="126"/>
  <c r="N197" i="126"/>
  <c r="AW197" i="126"/>
  <c r="AK197" i="126"/>
  <c r="BF197" i="126"/>
  <c r="BG197" i="126"/>
  <c r="W197" i="126"/>
  <c r="BA197" i="126"/>
  <c r="V197" i="126"/>
  <c r="AV197" i="126"/>
  <c r="Q197" i="126"/>
  <c r="AU197" i="126"/>
  <c r="M197" i="126"/>
  <c r="AT197" i="126"/>
  <c r="L197" i="126"/>
  <c r="AO197" i="126"/>
  <c r="K197" i="126"/>
  <c r="AJ197" i="126"/>
  <c r="J197" i="126"/>
  <c r="AI197" i="126"/>
  <c r="AH197" i="126"/>
  <c r="AC197" i="126"/>
  <c r="Y197" i="126"/>
  <c r="X197" i="126"/>
  <c r="BA223" i="126"/>
  <c r="AO223" i="126"/>
  <c r="AC223" i="126"/>
  <c r="Q223" i="126"/>
  <c r="AZ223" i="126"/>
  <c r="AN223" i="126"/>
  <c r="AB223" i="126"/>
  <c r="P223" i="126"/>
  <c r="AY223" i="126"/>
  <c r="AM223" i="126"/>
  <c r="AA223" i="126"/>
  <c r="O223" i="126"/>
  <c r="AX223" i="126"/>
  <c r="AL223" i="126"/>
  <c r="Z223" i="126"/>
  <c r="N223" i="126"/>
  <c r="AW223" i="126"/>
  <c r="AK223" i="126"/>
  <c r="Y223" i="126"/>
  <c r="M223" i="126"/>
  <c r="AV223" i="126"/>
  <c r="AJ223" i="126"/>
  <c r="X223" i="126"/>
  <c r="L223" i="126"/>
  <c r="BG223" i="126"/>
  <c r="AU223" i="126"/>
  <c r="AI223" i="126"/>
  <c r="W223" i="126"/>
  <c r="K223" i="126"/>
  <c r="BF223" i="126"/>
  <c r="AT223" i="126"/>
  <c r="AH223" i="126"/>
  <c r="V223" i="126"/>
  <c r="J223" i="126"/>
  <c r="BE223" i="126"/>
  <c r="AS223" i="126"/>
  <c r="AG223" i="126"/>
  <c r="U223" i="126"/>
  <c r="I223" i="126"/>
  <c r="AD223" i="126"/>
  <c r="T223" i="126"/>
  <c r="S223" i="126"/>
  <c r="R223" i="126"/>
  <c r="BD223" i="126"/>
  <c r="BC223" i="126"/>
  <c r="BB223" i="126"/>
  <c r="AR223" i="126"/>
  <c r="AQ223" i="126"/>
  <c r="AE223" i="126"/>
  <c r="AF223" i="126"/>
  <c r="AP223" i="126"/>
  <c r="AX211" i="126"/>
  <c r="AL211" i="126"/>
  <c r="Z211" i="126"/>
  <c r="N211" i="126"/>
  <c r="AW211" i="126"/>
  <c r="AK211" i="126"/>
  <c r="Y211" i="126"/>
  <c r="M211" i="126"/>
  <c r="AV211" i="126"/>
  <c r="AJ211" i="126"/>
  <c r="X211" i="126"/>
  <c r="L211" i="126"/>
  <c r="BG211" i="126"/>
  <c r="AU211" i="126"/>
  <c r="AI211" i="126"/>
  <c r="W211" i="126"/>
  <c r="K211" i="126"/>
  <c r="BF211" i="126"/>
  <c r="AT211" i="126"/>
  <c r="AH211" i="126"/>
  <c r="V211" i="126"/>
  <c r="BE211" i="126"/>
  <c r="AS211" i="126"/>
  <c r="AG211" i="126"/>
  <c r="U211" i="126"/>
  <c r="I211" i="126"/>
  <c r="BD211" i="126"/>
  <c r="BC211" i="126"/>
  <c r="AQ211" i="126"/>
  <c r="AE211" i="126"/>
  <c r="BB211" i="126"/>
  <c r="AP211" i="126"/>
  <c r="AD211" i="126"/>
  <c r="AB211" i="126"/>
  <c r="AA211" i="126"/>
  <c r="T211" i="126"/>
  <c r="BA211" i="126"/>
  <c r="S211" i="126"/>
  <c r="AZ211" i="126"/>
  <c r="R211" i="126"/>
  <c r="AY211" i="126"/>
  <c r="Q211" i="126"/>
  <c r="AR211" i="126"/>
  <c r="P211" i="126"/>
  <c r="AO211" i="126"/>
  <c r="O211" i="126"/>
  <c r="AN211" i="126"/>
  <c r="J211" i="126"/>
  <c r="AC211" i="126"/>
  <c r="AM211" i="126"/>
  <c r="AF211" i="126"/>
  <c r="AY217" i="126"/>
  <c r="CY211" i="126" s="1"/>
  <c r="AM217" i="126"/>
  <c r="CM211" i="126" s="1"/>
  <c r="AA217" i="126"/>
  <c r="O217" i="126"/>
  <c r="AW217" i="126"/>
  <c r="AK217" i="126"/>
  <c r="CK211" i="126" s="1"/>
  <c r="Y217" i="126"/>
  <c r="BY211" i="126" s="1"/>
  <c r="M217" i="126"/>
  <c r="BM211" i="126" s="1"/>
  <c r="AV217" i="126"/>
  <c r="CV211" i="126" s="1"/>
  <c r="AJ217" i="126"/>
  <c r="X217" i="126"/>
  <c r="L217" i="126"/>
  <c r="BF217" i="126"/>
  <c r="DF211" i="126" s="1"/>
  <c r="AT217" i="126"/>
  <c r="CT211" i="126" s="1"/>
  <c r="AH217" i="126"/>
  <c r="CH211" i="126" s="1"/>
  <c r="V217" i="126"/>
  <c r="BV211" i="126" s="1"/>
  <c r="J217" i="126"/>
  <c r="BG217" i="126"/>
  <c r="AP217" i="126"/>
  <c r="CP211" i="126" s="1"/>
  <c r="W217" i="126"/>
  <c r="BE217" i="126"/>
  <c r="DE211" i="126" s="1"/>
  <c r="AO217" i="126"/>
  <c r="CO211" i="126" s="1"/>
  <c r="U217" i="126"/>
  <c r="BU211" i="126" s="1"/>
  <c r="BD217" i="126"/>
  <c r="DD211" i="126" s="1"/>
  <c r="AN217" i="126"/>
  <c r="CN211" i="126" s="1"/>
  <c r="T217" i="126"/>
  <c r="BC217" i="126"/>
  <c r="AL217" i="126"/>
  <c r="CL211" i="126" s="1"/>
  <c r="S217" i="126"/>
  <c r="BB217" i="126"/>
  <c r="AI217" i="126"/>
  <c r="CI211" i="126" s="1"/>
  <c r="R217" i="126"/>
  <c r="BA217" i="126"/>
  <c r="DA211" i="126" s="1"/>
  <c r="AG217" i="126"/>
  <c r="Q217" i="126"/>
  <c r="BQ211" i="126" s="1"/>
  <c r="AZ217" i="126"/>
  <c r="CZ211" i="126" s="1"/>
  <c r="AF217" i="126"/>
  <c r="CF211" i="126" s="1"/>
  <c r="P217" i="126"/>
  <c r="BP211" i="126" s="1"/>
  <c r="AX217" i="126"/>
  <c r="AE217" i="126"/>
  <c r="CE211" i="126" s="1"/>
  <c r="N217" i="126"/>
  <c r="AU217" i="126"/>
  <c r="AD217" i="126"/>
  <c r="CD211" i="126" s="1"/>
  <c r="K217" i="126"/>
  <c r="BK211" i="126" s="1"/>
  <c r="AQ217" i="126"/>
  <c r="CQ211" i="126" s="1"/>
  <c r="Z217" i="126"/>
  <c r="AS217" i="126"/>
  <c r="AR217" i="126"/>
  <c r="AC217" i="126"/>
  <c r="CC211" i="126" s="1"/>
  <c r="AB217" i="126"/>
  <c r="CB211" i="126" s="1"/>
  <c r="I217" i="126"/>
  <c r="BG224" i="126"/>
  <c r="AU224" i="126"/>
  <c r="AI224" i="126"/>
  <c r="W224" i="126"/>
  <c r="K224" i="126"/>
  <c r="BF224" i="126"/>
  <c r="AT224" i="126"/>
  <c r="AH224" i="126"/>
  <c r="V224" i="126"/>
  <c r="J224" i="126"/>
  <c r="BE224" i="126"/>
  <c r="AS224" i="126"/>
  <c r="AG224" i="126"/>
  <c r="U224" i="126"/>
  <c r="I224" i="126"/>
  <c r="BD224" i="126"/>
  <c r="AR224" i="126"/>
  <c r="AF224" i="126"/>
  <c r="T224" i="126"/>
  <c r="BC224" i="126"/>
  <c r="AQ224" i="126"/>
  <c r="AE224" i="126"/>
  <c r="S224" i="126"/>
  <c r="BB224" i="126"/>
  <c r="AP224" i="126"/>
  <c r="AD224" i="126"/>
  <c r="R224" i="126"/>
  <c r="BA224" i="126"/>
  <c r="AO224" i="126"/>
  <c r="AC224" i="126"/>
  <c r="Q224" i="126"/>
  <c r="AZ224" i="126"/>
  <c r="AN224" i="126"/>
  <c r="AB224" i="126"/>
  <c r="P224" i="126"/>
  <c r="AY224" i="126"/>
  <c r="AM224" i="126"/>
  <c r="AA224" i="126"/>
  <c r="O224" i="126"/>
  <c r="X224" i="126"/>
  <c r="N224" i="126"/>
  <c r="M224" i="126"/>
  <c r="L224" i="126"/>
  <c r="AX224" i="126"/>
  <c r="AW224" i="126"/>
  <c r="AV224" i="126"/>
  <c r="AL224" i="126"/>
  <c r="AK224" i="126"/>
  <c r="Y224" i="126"/>
  <c r="AJ224" i="126"/>
  <c r="Z224" i="126"/>
  <c r="BA205" i="126"/>
  <c r="AO205" i="126"/>
  <c r="AC205" i="126"/>
  <c r="Q205" i="126"/>
  <c r="AY205" i="126"/>
  <c r="AM205" i="126"/>
  <c r="AA205" i="126"/>
  <c r="O205" i="126"/>
  <c r="AX205" i="126"/>
  <c r="AL205" i="126"/>
  <c r="Z205" i="126"/>
  <c r="N205" i="126"/>
  <c r="AV205" i="126"/>
  <c r="AJ205" i="126"/>
  <c r="X205" i="126"/>
  <c r="L205" i="126"/>
  <c r="AR205" i="126"/>
  <c r="Y205" i="126"/>
  <c r="BG205" i="126"/>
  <c r="AQ205" i="126"/>
  <c r="W205" i="126"/>
  <c r="BF205" i="126"/>
  <c r="AP205" i="126"/>
  <c r="V205" i="126"/>
  <c r="BE205" i="126"/>
  <c r="AN205" i="126"/>
  <c r="U205" i="126"/>
  <c r="BD205" i="126"/>
  <c r="AK205" i="126"/>
  <c r="T205" i="126"/>
  <c r="BC205" i="126"/>
  <c r="AI205" i="126"/>
  <c r="S205" i="126"/>
  <c r="BB205" i="126"/>
  <c r="AH205" i="126"/>
  <c r="R205" i="126"/>
  <c r="AZ205" i="126"/>
  <c r="AG205" i="126"/>
  <c r="P205" i="126"/>
  <c r="AW205" i="126"/>
  <c r="AF205" i="126"/>
  <c r="M205" i="126"/>
  <c r="AS205" i="126"/>
  <c r="AB205" i="126"/>
  <c r="I205" i="126"/>
  <c r="AD205" i="126"/>
  <c r="K205" i="126"/>
  <c r="J205" i="126"/>
  <c r="AU205" i="126"/>
  <c r="AT205" i="126"/>
  <c r="AE205" i="126"/>
  <c r="Q109" i="126"/>
  <c r="M118" i="126"/>
  <c r="L118" i="126" s="1"/>
  <c r="M120" i="126"/>
  <c r="M122" i="126"/>
  <c r="BD212" i="126"/>
  <c r="AR212" i="126"/>
  <c r="AF212" i="126"/>
  <c r="T212" i="126"/>
  <c r="BC212" i="126"/>
  <c r="AQ212" i="126"/>
  <c r="AE212" i="126"/>
  <c r="S212" i="126"/>
  <c r="BB212" i="126"/>
  <c r="AP212" i="126"/>
  <c r="AD212" i="126"/>
  <c r="R212" i="126"/>
  <c r="BA212" i="126"/>
  <c r="AO212" i="126"/>
  <c r="AC212" i="126"/>
  <c r="Q212" i="126"/>
  <c r="AZ212" i="126"/>
  <c r="AN212" i="126"/>
  <c r="AB212" i="126"/>
  <c r="P212" i="126"/>
  <c r="AY212" i="126"/>
  <c r="AM212" i="126"/>
  <c r="AA212" i="126"/>
  <c r="O212" i="126"/>
  <c r="AX212" i="126"/>
  <c r="AL212" i="126"/>
  <c r="Z212" i="126"/>
  <c r="N212" i="126"/>
  <c r="AW212" i="126"/>
  <c r="AK212" i="126"/>
  <c r="Y212" i="126"/>
  <c r="M212" i="126"/>
  <c r="AV212" i="126"/>
  <c r="AJ212" i="126"/>
  <c r="X212" i="126"/>
  <c r="L212" i="126"/>
  <c r="BE212" i="126"/>
  <c r="AS212" i="126"/>
  <c r="AG212" i="126"/>
  <c r="U212" i="126"/>
  <c r="I212" i="126"/>
  <c r="AH212" i="126"/>
  <c r="W212" i="126"/>
  <c r="V212" i="126"/>
  <c r="K212" i="126"/>
  <c r="J212" i="126"/>
  <c r="BG212" i="126"/>
  <c r="BF212" i="126"/>
  <c r="AI212" i="126"/>
  <c r="AU212" i="126"/>
  <c r="AT212" i="126"/>
  <c r="BE218" i="126"/>
  <c r="AS218" i="126"/>
  <c r="AG218" i="126"/>
  <c r="U218" i="126"/>
  <c r="I218" i="126"/>
  <c r="BD218" i="126"/>
  <c r="AR218" i="126"/>
  <c r="BC218" i="126"/>
  <c r="AQ218" i="126"/>
  <c r="AE218" i="126"/>
  <c r="S218" i="126"/>
  <c r="BB218" i="126"/>
  <c r="AP218" i="126"/>
  <c r="AD218" i="126"/>
  <c r="R218" i="126"/>
  <c r="BA218" i="126"/>
  <c r="AZ218" i="126"/>
  <c r="AN218" i="126"/>
  <c r="AB218" i="126"/>
  <c r="P218" i="126"/>
  <c r="AX218" i="126"/>
  <c r="AL218" i="126"/>
  <c r="Z218" i="126"/>
  <c r="AW218" i="126"/>
  <c r="AK218" i="126"/>
  <c r="AF218" i="126"/>
  <c r="L218" i="126"/>
  <c r="BG218" i="126"/>
  <c r="AC218" i="126"/>
  <c r="K218" i="126"/>
  <c r="BF218" i="126"/>
  <c r="AA218" i="126"/>
  <c r="J218" i="126"/>
  <c r="AY218" i="126"/>
  <c r="Y218" i="126"/>
  <c r="AV218" i="126"/>
  <c r="X218" i="126"/>
  <c r="AU218" i="126"/>
  <c r="W218" i="126"/>
  <c r="AT218" i="126"/>
  <c r="V218" i="126"/>
  <c r="AO218" i="126"/>
  <c r="T218" i="126"/>
  <c r="AM218" i="126"/>
  <c r="Q218" i="126"/>
  <c r="AH218" i="126"/>
  <c r="M218" i="126"/>
  <c r="AJ218" i="126"/>
  <c r="AI218" i="126"/>
  <c r="O218" i="126"/>
  <c r="N218" i="126"/>
  <c r="AY198" i="126"/>
  <c r="AM198" i="126"/>
  <c r="AA198" i="126"/>
  <c r="O198" i="126"/>
  <c r="AX198" i="126"/>
  <c r="AL198" i="126"/>
  <c r="Z198" i="126"/>
  <c r="N198" i="126"/>
  <c r="AW198" i="126"/>
  <c r="AK198" i="126"/>
  <c r="Y198" i="126"/>
  <c r="M198" i="126"/>
  <c r="AV198" i="126"/>
  <c r="AJ198" i="126"/>
  <c r="X198" i="126"/>
  <c r="L198" i="126"/>
  <c r="BG198" i="126"/>
  <c r="AU198" i="126"/>
  <c r="AI198" i="126"/>
  <c r="W198" i="126"/>
  <c r="K198" i="126"/>
  <c r="BF198" i="126"/>
  <c r="AT198" i="126"/>
  <c r="AH198" i="126"/>
  <c r="V198" i="126"/>
  <c r="J198" i="126"/>
  <c r="BE198" i="126"/>
  <c r="AS198" i="126"/>
  <c r="AG198" i="126"/>
  <c r="U198" i="126"/>
  <c r="I198" i="126"/>
  <c r="BD198" i="126"/>
  <c r="AR198" i="126"/>
  <c r="AF198" i="126"/>
  <c r="T198" i="126"/>
  <c r="BC198" i="126"/>
  <c r="AQ198" i="126"/>
  <c r="AE198" i="126"/>
  <c r="S198" i="126"/>
  <c r="AZ198" i="126"/>
  <c r="AN198" i="126"/>
  <c r="AB198" i="126"/>
  <c r="P198" i="126"/>
  <c r="BB198" i="126"/>
  <c r="BA198" i="126"/>
  <c r="AP198" i="126"/>
  <c r="AO198" i="126"/>
  <c r="AD198" i="126"/>
  <c r="AC198" i="126"/>
  <c r="R198" i="126"/>
  <c r="Q198" i="126"/>
  <c r="DD233" i="126"/>
  <c r="CR233" i="126"/>
  <c r="CF233" i="126"/>
  <c r="BT233" i="126"/>
  <c r="BH233" i="126"/>
  <c r="AV233" i="126"/>
  <c r="AJ233" i="126"/>
  <c r="X233" i="126"/>
  <c r="L233" i="126"/>
  <c r="DG233" i="126"/>
  <c r="CT233" i="126"/>
  <c r="CG233" i="126"/>
  <c r="BS233" i="126"/>
  <c r="BF233" i="126"/>
  <c r="AS233" i="126"/>
  <c r="AF233" i="126"/>
  <c r="S233" i="126"/>
  <c r="DF233" i="126"/>
  <c r="CS233" i="126"/>
  <c r="CE233" i="126"/>
  <c r="BR233" i="126"/>
  <c r="BE233" i="126"/>
  <c r="AR233" i="126"/>
  <c r="AE233" i="126"/>
  <c r="R233" i="126"/>
  <c r="DE233" i="126"/>
  <c r="CQ233" i="126"/>
  <c r="CD233" i="126"/>
  <c r="BQ233" i="126"/>
  <c r="BD233" i="126"/>
  <c r="AQ233" i="126"/>
  <c r="AD233" i="126"/>
  <c r="Q233" i="126"/>
  <c r="DC233" i="126"/>
  <c r="CP233" i="126"/>
  <c r="CC233" i="126"/>
  <c r="BP233" i="126"/>
  <c r="BC233" i="126"/>
  <c r="AP233" i="126"/>
  <c r="AC233" i="126"/>
  <c r="P233" i="126"/>
  <c r="DB233" i="126"/>
  <c r="CO233" i="126"/>
  <c r="CB233" i="126"/>
  <c r="BO233" i="126"/>
  <c r="BB233" i="126"/>
  <c r="AO233" i="126"/>
  <c r="AB233" i="126"/>
  <c r="O233" i="126"/>
  <c r="DA233" i="126"/>
  <c r="CN233" i="126"/>
  <c r="CA233" i="126"/>
  <c r="BN233" i="126"/>
  <c r="BA233" i="126"/>
  <c r="AN233" i="126"/>
  <c r="AA233" i="126"/>
  <c r="N233" i="126"/>
  <c r="CZ233" i="126"/>
  <c r="CM233" i="126"/>
  <c r="BZ233" i="126"/>
  <c r="BM233" i="126"/>
  <c r="AZ233" i="126"/>
  <c r="AM233" i="126"/>
  <c r="Z233" i="126"/>
  <c r="M233" i="126"/>
  <c r="CY233" i="126"/>
  <c r="CL233" i="126"/>
  <c r="BY233" i="126"/>
  <c r="BL233" i="126"/>
  <c r="AY233" i="126"/>
  <c r="AL233" i="126"/>
  <c r="Y233" i="126"/>
  <c r="K233" i="126"/>
  <c r="CX233" i="126"/>
  <c r="CK233" i="126"/>
  <c r="BX233" i="126"/>
  <c r="BK233" i="126"/>
  <c r="AX233" i="126"/>
  <c r="AK233" i="126"/>
  <c r="W233" i="126"/>
  <c r="J233" i="126"/>
  <c r="CW233" i="126"/>
  <c r="CJ233" i="126"/>
  <c r="BW233" i="126"/>
  <c r="BJ233" i="126"/>
  <c r="AW233" i="126"/>
  <c r="AI233" i="126"/>
  <c r="V233" i="126"/>
  <c r="I233" i="126"/>
  <c r="BI233" i="126"/>
  <c r="BG233" i="126"/>
  <c r="AU233" i="126"/>
  <c r="AT233" i="126"/>
  <c r="AH233" i="126"/>
  <c r="AG233" i="126"/>
  <c r="CV233" i="126"/>
  <c r="U233" i="126"/>
  <c r="CU233" i="126"/>
  <c r="T233" i="126"/>
  <c r="CI233" i="126"/>
  <c r="BU233" i="126"/>
  <c r="CH233" i="126"/>
  <c r="BV233" i="126"/>
  <c r="CV242" i="126"/>
  <c r="CJ242" i="126"/>
  <c r="BX242" i="126"/>
  <c r="BL242" i="126"/>
  <c r="AZ242" i="126"/>
  <c r="AN242" i="126"/>
  <c r="AB242" i="126"/>
  <c r="P242" i="126"/>
  <c r="DG242" i="126"/>
  <c r="CU242" i="126"/>
  <c r="CI242" i="126"/>
  <c r="BW242" i="126"/>
  <c r="BK242" i="126"/>
  <c r="AY242" i="126"/>
  <c r="AM242" i="126"/>
  <c r="AA242" i="126"/>
  <c r="O242" i="126"/>
  <c r="DF242" i="126"/>
  <c r="CT242" i="126"/>
  <c r="CH242" i="126"/>
  <c r="BV242" i="126"/>
  <c r="BJ242" i="126"/>
  <c r="AX242" i="126"/>
  <c r="AL242" i="126"/>
  <c r="Z242" i="126"/>
  <c r="N242" i="126"/>
  <c r="DE242" i="126"/>
  <c r="CS242" i="126"/>
  <c r="CG242" i="126"/>
  <c r="BU242" i="126"/>
  <c r="BI242" i="126"/>
  <c r="AW242" i="126"/>
  <c r="AK242" i="126"/>
  <c r="Y242" i="126"/>
  <c r="M242" i="126"/>
  <c r="DD242" i="126"/>
  <c r="CR242" i="126"/>
  <c r="CF242" i="126"/>
  <c r="BT242" i="126"/>
  <c r="BH242" i="126"/>
  <c r="AV242" i="126"/>
  <c r="AJ242" i="126"/>
  <c r="X242" i="126"/>
  <c r="L242" i="126"/>
  <c r="DC242" i="126"/>
  <c r="CQ242" i="126"/>
  <c r="CE242" i="126"/>
  <c r="BS242" i="126"/>
  <c r="BG242" i="126"/>
  <c r="AU242" i="126"/>
  <c r="AI242" i="126"/>
  <c r="W242" i="126"/>
  <c r="K242" i="126"/>
  <c r="DB242" i="126"/>
  <c r="CP242" i="126"/>
  <c r="CD242" i="126"/>
  <c r="BR242" i="126"/>
  <c r="BF242" i="126"/>
  <c r="AT242" i="126"/>
  <c r="CN242" i="126"/>
  <c r="BN242" i="126"/>
  <c r="AH242" i="126"/>
  <c r="J242" i="126"/>
  <c r="CM242" i="126"/>
  <c r="BM242" i="126"/>
  <c r="AG242" i="126"/>
  <c r="I242" i="126"/>
  <c r="CL242" i="126"/>
  <c r="BE242" i="126"/>
  <c r="AF242" i="126"/>
  <c r="CK242" i="126"/>
  <c r="BD242" i="126"/>
  <c r="AE242" i="126"/>
  <c r="CC242" i="126"/>
  <c r="BC242" i="126"/>
  <c r="AD242" i="126"/>
  <c r="CB242" i="126"/>
  <c r="BB242" i="126"/>
  <c r="AC242" i="126"/>
  <c r="DA242" i="126"/>
  <c r="CA242" i="126"/>
  <c r="BA242" i="126"/>
  <c r="V242" i="126"/>
  <c r="CZ242" i="126"/>
  <c r="BZ242" i="126"/>
  <c r="AS242" i="126"/>
  <c r="U242" i="126"/>
  <c r="CY242" i="126"/>
  <c r="BY242" i="126"/>
  <c r="AR242" i="126"/>
  <c r="T242" i="126"/>
  <c r="CX242" i="126"/>
  <c r="BQ242" i="126"/>
  <c r="AQ242" i="126"/>
  <c r="S242" i="126"/>
  <c r="R242" i="126"/>
  <c r="Q242" i="126"/>
  <c r="CW242" i="126"/>
  <c r="CO242" i="126"/>
  <c r="BP242" i="126"/>
  <c r="BO242" i="126"/>
  <c r="AP242" i="126"/>
  <c r="AO242" i="126"/>
  <c r="AY219" i="126"/>
  <c r="AM219" i="126"/>
  <c r="AA219" i="126"/>
  <c r="O219" i="126"/>
  <c r="AX219" i="126"/>
  <c r="AL219" i="126"/>
  <c r="Z219" i="126"/>
  <c r="N219" i="126"/>
  <c r="AW219" i="126"/>
  <c r="AK219" i="126"/>
  <c r="Y219" i="126"/>
  <c r="M219" i="126"/>
  <c r="AV219" i="126"/>
  <c r="AJ219" i="126"/>
  <c r="X219" i="126"/>
  <c r="L219" i="126"/>
  <c r="BG219" i="126"/>
  <c r="AU219" i="126"/>
  <c r="AI219" i="126"/>
  <c r="W219" i="126"/>
  <c r="K219" i="126"/>
  <c r="BF219" i="126"/>
  <c r="AT219" i="126"/>
  <c r="AH219" i="126"/>
  <c r="V219" i="126"/>
  <c r="J219" i="126"/>
  <c r="BE219" i="126"/>
  <c r="AS219" i="126"/>
  <c r="AG219" i="126"/>
  <c r="U219" i="126"/>
  <c r="BD219" i="126"/>
  <c r="AR219" i="126"/>
  <c r="AF219" i="126"/>
  <c r="T219" i="126"/>
  <c r="BC219" i="126"/>
  <c r="AQ219" i="126"/>
  <c r="AE219" i="126"/>
  <c r="S219" i="126"/>
  <c r="AZ219" i="126"/>
  <c r="AN219" i="126"/>
  <c r="AB219" i="126"/>
  <c r="AP219" i="126"/>
  <c r="AO219" i="126"/>
  <c r="AD219" i="126"/>
  <c r="AC219" i="126"/>
  <c r="R219" i="126"/>
  <c r="Q219" i="126"/>
  <c r="P219" i="126"/>
  <c r="I219" i="126"/>
  <c r="BA219" i="126"/>
  <c r="BB219" i="126"/>
  <c r="AV199" i="126"/>
  <c r="AJ199" i="126"/>
  <c r="X199" i="126"/>
  <c r="L199" i="126"/>
  <c r="BG199" i="126"/>
  <c r="AU199" i="126"/>
  <c r="AI199" i="126"/>
  <c r="W199" i="126"/>
  <c r="K199" i="126"/>
  <c r="BF199" i="126"/>
  <c r="AT199" i="126"/>
  <c r="AH199" i="126"/>
  <c r="V199" i="126"/>
  <c r="J199" i="126"/>
  <c r="BE199" i="126"/>
  <c r="AS199" i="126"/>
  <c r="AG199" i="126"/>
  <c r="U199" i="126"/>
  <c r="I199" i="126"/>
  <c r="BD199" i="126"/>
  <c r="AR199" i="126"/>
  <c r="AF199" i="126"/>
  <c r="T199" i="126"/>
  <c r="BC199" i="126"/>
  <c r="AQ199" i="126"/>
  <c r="AE199" i="126"/>
  <c r="S199" i="126"/>
  <c r="BB199" i="126"/>
  <c r="AP199" i="126"/>
  <c r="AD199" i="126"/>
  <c r="R199" i="126"/>
  <c r="BA199" i="126"/>
  <c r="AO199" i="126"/>
  <c r="AC199" i="126"/>
  <c r="Q199" i="126"/>
  <c r="AZ199" i="126"/>
  <c r="AN199" i="126"/>
  <c r="AB199" i="126"/>
  <c r="P199" i="126"/>
  <c r="AW199" i="126"/>
  <c r="AK199" i="126"/>
  <c r="Y199" i="126"/>
  <c r="M199" i="126"/>
  <c r="N199" i="126"/>
  <c r="AY199" i="126"/>
  <c r="AX199" i="126"/>
  <c r="AM199" i="126"/>
  <c r="AL199" i="126"/>
  <c r="AA199" i="126"/>
  <c r="Z199" i="126"/>
  <c r="O199" i="126"/>
  <c r="CW234" i="126"/>
  <c r="CK234" i="126"/>
  <c r="BY234" i="126"/>
  <c r="BM234" i="126"/>
  <c r="BA234" i="126"/>
  <c r="AO234" i="126"/>
  <c r="AC234" i="126"/>
  <c r="Q234" i="126"/>
  <c r="CV234" i="126"/>
  <c r="CJ234" i="126"/>
  <c r="BX234" i="126"/>
  <c r="BL234" i="126"/>
  <c r="AZ234" i="126"/>
  <c r="AN234" i="126"/>
  <c r="AB234" i="126"/>
  <c r="P234" i="126"/>
  <c r="DD234" i="126"/>
  <c r="CR234" i="126"/>
  <c r="DF234" i="126"/>
  <c r="CP234" i="126"/>
  <c r="CB234" i="126"/>
  <c r="BN234" i="126"/>
  <c r="AX234" i="126"/>
  <c r="AJ234" i="126"/>
  <c r="V234" i="126"/>
  <c r="DE234" i="126"/>
  <c r="CO234" i="126"/>
  <c r="CA234" i="126"/>
  <c r="BK234" i="126"/>
  <c r="AW234" i="126"/>
  <c r="AI234" i="126"/>
  <c r="U234" i="126"/>
  <c r="DC234" i="126"/>
  <c r="CN234" i="126"/>
  <c r="BZ234" i="126"/>
  <c r="BJ234" i="126"/>
  <c r="AV234" i="126"/>
  <c r="AH234" i="126"/>
  <c r="T234" i="126"/>
  <c r="DB234" i="126"/>
  <c r="CM234" i="126"/>
  <c r="BW234" i="126"/>
  <c r="BI234" i="126"/>
  <c r="AU234" i="126"/>
  <c r="AG234" i="126"/>
  <c r="S234" i="126"/>
  <c r="DA234" i="126"/>
  <c r="CL234" i="126"/>
  <c r="BV234" i="126"/>
  <c r="BH234" i="126"/>
  <c r="AT234" i="126"/>
  <c r="AF234" i="126"/>
  <c r="R234" i="126"/>
  <c r="CZ234" i="126"/>
  <c r="CI234" i="126"/>
  <c r="BU234" i="126"/>
  <c r="BG234" i="126"/>
  <c r="AS234" i="126"/>
  <c r="AE234" i="126"/>
  <c r="O234" i="126"/>
  <c r="CY234" i="126"/>
  <c r="CH234" i="126"/>
  <c r="BT234" i="126"/>
  <c r="BF234" i="126"/>
  <c r="AR234" i="126"/>
  <c r="AD234" i="126"/>
  <c r="N234" i="126"/>
  <c r="CX234" i="126"/>
  <c r="CG234" i="126"/>
  <c r="BS234" i="126"/>
  <c r="BE234" i="126"/>
  <c r="AQ234" i="126"/>
  <c r="AA234" i="126"/>
  <c r="M234" i="126"/>
  <c r="CU234" i="126"/>
  <c r="CF234" i="126"/>
  <c r="BR234" i="126"/>
  <c r="BD234" i="126"/>
  <c r="AP234" i="126"/>
  <c r="Z234" i="126"/>
  <c r="L234" i="126"/>
  <c r="CT234" i="126"/>
  <c r="CE234" i="126"/>
  <c r="BQ234" i="126"/>
  <c r="BC234" i="126"/>
  <c r="AM234" i="126"/>
  <c r="Y234" i="126"/>
  <c r="K234" i="126"/>
  <c r="AL234" i="126"/>
  <c r="AK234" i="126"/>
  <c r="X234" i="126"/>
  <c r="DG234" i="126"/>
  <c r="W234" i="126"/>
  <c r="CS234" i="126"/>
  <c r="J234" i="126"/>
  <c r="CQ234" i="126"/>
  <c r="I234" i="126"/>
  <c r="CD234" i="126"/>
  <c r="CC234" i="126"/>
  <c r="BP234" i="126"/>
  <c r="AY234" i="126"/>
  <c r="BO234" i="126"/>
  <c r="BB234" i="126"/>
  <c r="DA243" i="126"/>
  <c r="CO243" i="126"/>
  <c r="CC243" i="126"/>
  <c r="BQ243" i="126"/>
  <c r="BE243" i="126"/>
  <c r="AS243" i="126"/>
  <c r="AG243" i="126"/>
  <c r="U243" i="126"/>
  <c r="I243" i="126"/>
  <c r="CZ243" i="126"/>
  <c r="CN243" i="126"/>
  <c r="CB243" i="126"/>
  <c r="BP243" i="126"/>
  <c r="BD243" i="126"/>
  <c r="AR243" i="126"/>
  <c r="AF243" i="126"/>
  <c r="T243" i="126"/>
  <c r="CY243" i="126"/>
  <c r="CM243" i="126"/>
  <c r="CA243" i="126"/>
  <c r="BO243" i="126"/>
  <c r="BC243" i="126"/>
  <c r="AQ243" i="126"/>
  <c r="AE243" i="126"/>
  <c r="S243" i="126"/>
  <c r="CX243" i="126"/>
  <c r="CL243" i="126"/>
  <c r="BZ243" i="126"/>
  <c r="BN243" i="126"/>
  <c r="BB243" i="126"/>
  <c r="AP243" i="126"/>
  <c r="AD243" i="126"/>
  <c r="R243" i="126"/>
  <c r="CW243" i="126"/>
  <c r="CK243" i="126"/>
  <c r="BY243" i="126"/>
  <c r="BM243" i="126"/>
  <c r="BA243" i="126"/>
  <c r="AO243" i="126"/>
  <c r="AC243" i="126"/>
  <c r="Q243" i="126"/>
  <c r="CV243" i="126"/>
  <c r="CJ243" i="126"/>
  <c r="BX243" i="126"/>
  <c r="BL243" i="126"/>
  <c r="AZ243" i="126"/>
  <c r="AN243" i="126"/>
  <c r="AB243" i="126"/>
  <c r="P243" i="126"/>
  <c r="DG243" i="126"/>
  <c r="CU243" i="126"/>
  <c r="CI243" i="126"/>
  <c r="BW243" i="126"/>
  <c r="BK243" i="126"/>
  <c r="AY243" i="126"/>
  <c r="AM243" i="126"/>
  <c r="AA243" i="126"/>
  <c r="O243" i="126"/>
  <c r="DE243" i="126"/>
  <c r="CS243" i="126"/>
  <c r="CG243" i="126"/>
  <c r="BU243" i="126"/>
  <c r="BI243" i="126"/>
  <c r="AW243" i="126"/>
  <c r="AK243" i="126"/>
  <c r="Y243" i="126"/>
  <c r="M243" i="126"/>
  <c r="DB243" i="126"/>
  <c r="CP243" i="126"/>
  <c r="CD243" i="126"/>
  <c r="CT243" i="126"/>
  <c r="BG243" i="126"/>
  <c r="W243" i="126"/>
  <c r="CR243" i="126"/>
  <c r="BF243" i="126"/>
  <c r="V243" i="126"/>
  <c r="CQ243" i="126"/>
  <c r="AX243" i="126"/>
  <c r="N243" i="126"/>
  <c r="CH243" i="126"/>
  <c r="AV243" i="126"/>
  <c r="L243" i="126"/>
  <c r="CF243" i="126"/>
  <c r="AU243" i="126"/>
  <c r="K243" i="126"/>
  <c r="CE243" i="126"/>
  <c r="AT243" i="126"/>
  <c r="J243" i="126"/>
  <c r="BV243" i="126"/>
  <c r="AL243" i="126"/>
  <c r="BT243" i="126"/>
  <c r="AJ243" i="126"/>
  <c r="BS243" i="126"/>
  <c r="AI243" i="126"/>
  <c r="DF243" i="126"/>
  <c r="BR243" i="126"/>
  <c r="AH243" i="126"/>
  <c r="DD243" i="126"/>
  <c r="DC243" i="126"/>
  <c r="BJ243" i="126"/>
  <c r="BH243" i="126"/>
  <c r="Z243" i="126"/>
  <c r="X243" i="126"/>
  <c r="CW228" i="126"/>
  <c r="CK228" i="126"/>
  <c r="BY228" i="126"/>
  <c r="BM228" i="126"/>
  <c r="BA228" i="126"/>
  <c r="AO228" i="126"/>
  <c r="AC228" i="126"/>
  <c r="Q228" i="126"/>
  <c r="CV228" i="126"/>
  <c r="CJ228" i="126"/>
  <c r="BX228" i="126"/>
  <c r="BL228" i="126"/>
  <c r="AZ228" i="126"/>
  <c r="AN228" i="126"/>
  <c r="AB228" i="126"/>
  <c r="P228" i="126"/>
  <c r="DG228" i="126"/>
  <c r="CU228" i="126"/>
  <c r="CI228" i="126"/>
  <c r="BW228" i="126"/>
  <c r="BK228" i="126"/>
  <c r="AY228" i="126"/>
  <c r="AM228" i="126"/>
  <c r="AA228" i="126"/>
  <c r="O228" i="126"/>
  <c r="DF228" i="126"/>
  <c r="CT228" i="126"/>
  <c r="CH228" i="126"/>
  <c r="BV228" i="126"/>
  <c r="BJ228" i="126"/>
  <c r="AX228" i="126"/>
  <c r="AL228" i="126"/>
  <c r="Z228" i="126"/>
  <c r="N228" i="126"/>
  <c r="DE228" i="126"/>
  <c r="CS228" i="126"/>
  <c r="CG228" i="126"/>
  <c r="BU228" i="126"/>
  <c r="BI228" i="126"/>
  <c r="AW228" i="126"/>
  <c r="AK228" i="126"/>
  <c r="Y228" i="126"/>
  <c r="M228" i="126"/>
  <c r="DD228" i="126"/>
  <c r="CR228" i="126"/>
  <c r="CF228" i="126"/>
  <c r="BT228" i="126"/>
  <c r="BH228" i="126"/>
  <c r="AV228" i="126"/>
  <c r="AJ228" i="126"/>
  <c r="X228" i="126"/>
  <c r="L228" i="126"/>
  <c r="DC228" i="126"/>
  <c r="CQ228" i="126"/>
  <c r="CE228" i="126"/>
  <c r="BS228" i="126"/>
  <c r="BG228" i="126"/>
  <c r="AU228" i="126"/>
  <c r="AI228" i="126"/>
  <c r="W228" i="126"/>
  <c r="K228" i="126"/>
  <c r="DB228" i="126"/>
  <c r="CP228" i="126"/>
  <c r="CD228" i="126"/>
  <c r="BR228" i="126"/>
  <c r="BF228" i="126"/>
  <c r="AT228" i="126"/>
  <c r="AH228" i="126"/>
  <c r="V228" i="126"/>
  <c r="J228" i="126"/>
  <c r="DA228" i="126"/>
  <c r="CO228" i="126"/>
  <c r="CC228" i="126"/>
  <c r="BQ228" i="126"/>
  <c r="BE228" i="126"/>
  <c r="AS228" i="126"/>
  <c r="AG228" i="126"/>
  <c r="U228" i="126"/>
  <c r="I228" i="126"/>
  <c r="CZ228" i="126"/>
  <c r="CN228" i="126"/>
  <c r="CB228" i="126"/>
  <c r="BP228" i="126"/>
  <c r="BD228" i="126"/>
  <c r="AR228" i="126"/>
  <c r="AF228" i="126"/>
  <c r="T228" i="126"/>
  <c r="AQ228" i="126"/>
  <c r="AP228" i="126"/>
  <c r="CY228" i="126"/>
  <c r="AE228" i="126"/>
  <c r="CX228" i="126"/>
  <c r="AD228" i="126"/>
  <c r="CM228" i="126"/>
  <c r="S228" i="126"/>
  <c r="CL228" i="126"/>
  <c r="R228" i="126"/>
  <c r="CA228" i="126"/>
  <c r="BZ228" i="126"/>
  <c r="BO228" i="126"/>
  <c r="BB228" i="126"/>
  <c r="BN228" i="126"/>
  <c r="BC228" i="126"/>
  <c r="DB235" i="126"/>
  <c r="CP235" i="126"/>
  <c r="CD235" i="126"/>
  <c r="BR235" i="126"/>
  <c r="BF235" i="126"/>
  <c r="AT235" i="126"/>
  <c r="AH235" i="126"/>
  <c r="V235" i="126"/>
  <c r="J235" i="126"/>
  <c r="DA235" i="126"/>
  <c r="CO235" i="126"/>
  <c r="CC235" i="126"/>
  <c r="BQ235" i="126"/>
  <c r="BE235" i="126"/>
  <c r="AS235" i="126"/>
  <c r="AG235" i="126"/>
  <c r="U235" i="126"/>
  <c r="I235" i="126"/>
  <c r="CZ235" i="126"/>
  <c r="CW235" i="126"/>
  <c r="CK235" i="126"/>
  <c r="BY235" i="126"/>
  <c r="BM235" i="126"/>
  <c r="BA235" i="126"/>
  <c r="AO235" i="126"/>
  <c r="AC235" i="126"/>
  <c r="Q235" i="126"/>
  <c r="CY235" i="126"/>
  <c r="CI235" i="126"/>
  <c r="BT235" i="126"/>
  <c r="BC235" i="126"/>
  <c r="AM235" i="126"/>
  <c r="X235" i="126"/>
  <c r="CX235" i="126"/>
  <c r="CH235" i="126"/>
  <c r="BS235" i="126"/>
  <c r="BB235" i="126"/>
  <c r="AL235" i="126"/>
  <c r="W235" i="126"/>
  <c r="CV235" i="126"/>
  <c r="CG235" i="126"/>
  <c r="BP235" i="126"/>
  <c r="AZ235" i="126"/>
  <c r="AK235" i="126"/>
  <c r="T235" i="126"/>
  <c r="CU235" i="126"/>
  <c r="CF235" i="126"/>
  <c r="BO235" i="126"/>
  <c r="AY235" i="126"/>
  <c r="AJ235" i="126"/>
  <c r="S235" i="126"/>
  <c r="CT235" i="126"/>
  <c r="CE235" i="126"/>
  <c r="BN235" i="126"/>
  <c r="AX235" i="126"/>
  <c r="AI235" i="126"/>
  <c r="R235" i="126"/>
  <c r="CS235" i="126"/>
  <c r="CB235" i="126"/>
  <c r="BL235" i="126"/>
  <c r="AW235" i="126"/>
  <c r="AF235" i="126"/>
  <c r="P235" i="126"/>
  <c r="CR235" i="126"/>
  <c r="CA235" i="126"/>
  <c r="BK235" i="126"/>
  <c r="AV235" i="126"/>
  <c r="AE235" i="126"/>
  <c r="O235" i="126"/>
  <c r="DG235" i="126"/>
  <c r="CQ235" i="126"/>
  <c r="BZ235" i="126"/>
  <c r="BJ235" i="126"/>
  <c r="AU235" i="126"/>
  <c r="AD235" i="126"/>
  <c r="N235" i="126"/>
  <c r="DF235" i="126"/>
  <c r="CN235" i="126"/>
  <c r="BX235" i="126"/>
  <c r="BI235" i="126"/>
  <c r="AR235" i="126"/>
  <c r="AB235" i="126"/>
  <c r="M235" i="126"/>
  <c r="DE235" i="126"/>
  <c r="CM235" i="126"/>
  <c r="BW235" i="126"/>
  <c r="BH235" i="126"/>
  <c r="AQ235" i="126"/>
  <c r="AA235" i="126"/>
  <c r="L235" i="126"/>
  <c r="Z235" i="126"/>
  <c r="Y235" i="126"/>
  <c r="DD235" i="126"/>
  <c r="K235" i="126"/>
  <c r="DC235" i="126"/>
  <c r="CL235" i="126"/>
  <c r="CJ235" i="126"/>
  <c r="BV235" i="126"/>
  <c r="BU235" i="126"/>
  <c r="BG235" i="126"/>
  <c r="AN235" i="126"/>
  <c r="BD235" i="126"/>
  <c r="AP235" i="126"/>
  <c r="DC201" i="126" l="1"/>
  <c r="DC199" i="126"/>
  <c r="DC205" i="126"/>
  <c r="CV196" i="126"/>
  <c r="CV202" i="126"/>
  <c r="BP145" i="126"/>
  <c r="CC170" i="126"/>
  <c r="CC167" i="126"/>
  <c r="DF183" i="126"/>
  <c r="DF166" i="126"/>
  <c r="DD170" i="126"/>
  <c r="DD167" i="126"/>
  <c r="CW183" i="126"/>
  <c r="CW166" i="126"/>
  <c r="BI200" i="126"/>
  <c r="BI195" i="126"/>
  <c r="CN216" i="126"/>
  <c r="CN214" i="126"/>
  <c r="DC241" i="126"/>
  <c r="CQ241" i="126"/>
  <c r="CE241" i="126"/>
  <c r="BS241" i="126"/>
  <c r="BG241" i="126"/>
  <c r="AU241" i="126"/>
  <c r="AI241" i="126"/>
  <c r="W241" i="126"/>
  <c r="K241" i="126"/>
  <c r="DB241" i="126"/>
  <c r="CP241" i="126"/>
  <c r="CD241" i="126"/>
  <c r="BR241" i="126"/>
  <c r="BF241" i="126"/>
  <c r="AT241" i="126"/>
  <c r="AH241" i="126"/>
  <c r="V241" i="126"/>
  <c r="J241" i="126"/>
  <c r="DA241" i="126"/>
  <c r="CZ241" i="126"/>
  <c r="CY241" i="126"/>
  <c r="CM241" i="126"/>
  <c r="CA241" i="126"/>
  <c r="CX241" i="126"/>
  <c r="CL241" i="126"/>
  <c r="BZ241" i="126"/>
  <c r="BN241" i="126"/>
  <c r="BB241" i="126"/>
  <c r="AP241" i="126"/>
  <c r="CO241" i="126"/>
  <c r="BW241" i="126"/>
  <c r="BH241" i="126"/>
  <c r="AQ241" i="126"/>
  <c r="AB241" i="126"/>
  <c r="N241" i="126"/>
  <c r="CN241" i="126"/>
  <c r="BV241" i="126"/>
  <c r="BE241" i="126"/>
  <c r="AO241" i="126"/>
  <c r="AA241" i="126"/>
  <c r="M241" i="126"/>
  <c r="DG241" i="126"/>
  <c r="CK241" i="126"/>
  <c r="BU241" i="126"/>
  <c r="BD241" i="126"/>
  <c r="AN241" i="126"/>
  <c r="Z241" i="126"/>
  <c r="L241" i="126"/>
  <c r="DF241" i="126"/>
  <c r="CJ241" i="126"/>
  <c r="BT241" i="126"/>
  <c r="BC241" i="126"/>
  <c r="AM241" i="126"/>
  <c r="Y241" i="126"/>
  <c r="I241" i="126"/>
  <c r="DE241" i="126"/>
  <c r="CI241" i="126"/>
  <c r="BQ241" i="126"/>
  <c r="BA241" i="126"/>
  <c r="AL241" i="126"/>
  <c r="X241" i="126"/>
  <c r="DD241" i="126"/>
  <c r="CH241" i="126"/>
  <c r="BP241" i="126"/>
  <c r="AZ241" i="126"/>
  <c r="AK241" i="126"/>
  <c r="U241" i="126"/>
  <c r="CW241" i="126"/>
  <c r="CG241" i="126"/>
  <c r="BO241" i="126"/>
  <c r="AY241" i="126"/>
  <c r="AJ241" i="126"/>
  <c r="T241" i="126"/>
  <c r="CV241" i="126"/>
  <c r="CF241" i="126"/>
  <c r="BM241" i="126"/>
  <c r="AX241" i="126"/>
  <c r="AG241" i="126"/>
  <c r="S241" i="126"/>
  <c r="CU241" i="126"/>
  <c r="CC241" i="126"/>
  <c r="BL241" i="126"/>
  <c r="AW241" i="126"/>
  <c r="AF241" i="126"/>
  <c r="R241" i="126"/>
  <c r="CT241" i="126"/>
  <c r="CB241" i="126"/>
  <c r="BK241" i="126"/>
  <c r="AV241" i="126"/>
  <c r="AE241" i="126"/>
  <c r="Q241" i="126"/>
  <c r="P241" i="126"/>
  <c r="O241" i="126"/>
  <c r="CS241" i="126"/>
  <c r="CR241" i="126"/>
  <c r="BY241" i="126"/>
  <c r="BX241" i="126"/>
  <c r="BJ241" i="126"/>
  <c r="BI241" i="126"/>
  <c r="AS241" i="126"/>
  <c r="AR241" i="126"/>
  <c r="AD241" i="126"/>
  <c r="AC241" i="126"/>
  <c r="Q120" i="126"/>
  <c r="L120" i="126"/>
  <c r="BM201" i="126"/>
  <c r="BM199" i="126"/>
  <c r="BM205" i="126"/>
  <c r="BT201" i="126"/>
  <c r="BT199" i="126"/>
  <c r="BT205" i="126"/>
  <c r="BY205" i="126"/>
  <c r="BY201" i="126"/>
  <c r="BY199" i="126"/>
  <c r="CM205" i="126"/>
  <c r="CM201" i="126"/>
  <c r="CM199" i="126"/>
  <c r="CW224" i="126"/>
  <c r="CW220" i="126"/>
  <c r="CN224" i="126"/>
  <c r="CN220" i="126"/>
  <c r="CQ224" i="126"/>
  <c r="CQ220" i="126"/>
  <c r="BV224" i="126"/>
  <c r="BV220" i="126"/>
  <c r="CR211" i="126"/>
  <c r="BL211" i="126"/>
  <c r="BS223" i="126"/>
  <c r="BS219" i="126"/>
  <c r="DF223" i="126"/>
  <c r="DF219" i="126"/>
  <c r="CK223" i="126"/>
  <c r="CK219" i="126"/>
  <c r="CN223" i="126"/>
  <c r="CN219" i="126"/>
  <c r="BL222" i="126"/>
  <c r="BL218" i="126"/>
  <c r="CR222" i="126"/>
  <c r="CR218" i="126"/>
  <c r="CC218" i="126"/>
  <c r="CC222" i="126"/>
  <c r="BJ222" i="126"/>
  <c r="BJ218" i="126"/>
  <c r="DD210" i="126"/>
  <c r="CJ210" i="126"/>
  <c r="CQ210" i="126"/>
  <c r="CF202" i="126"/>
  <c r="CF196" i="126"/>
  <c r="CH196" i="126"/>
  <c r="CH202" i="126"/>
  <c r="BM202" i="126"/>
  <c r="BM196" i="126"/>
  <c r="BP202" i="126"/>
  <c r="BP196" i="126"/>
  <c r="BS221" i="126"/>
  <c r="BS217" i="126"/>
  <c r="BS215" i="126"/>
  <c r="CL221" i="126"/>
  <c r="CL217" i="126"/>
  <c r="CL215" i="126"/>
  <c r="CQ217" i="126"/>
  <c r="CQ215" i="126"/>
  <c r="CQ221" i="126"/>
  <c r="CA221" i="126"/>
  <c r="CA217" i="126"/>
  <c r="CA215" i="126"/>
  <c r="CP145" i="126"/>
  <c r="CN142" i="126"/>
  <c r="CR142" i="126"/>
  <c r="CN147" i="126"/>
  <c r="BO144" i="126"/>
  <c r="CM152" i="126"/>
  <c r="CQ146" i="126"/>
  <c r="BS141" i="126"/>
  <c r="CZ144" i="126"/>
  <c r="CO143" i="126"/>
  <c r="BT149" i="126"/>
  <c r="CA154" i="126"/>
  <c r="CQ147" i="126"/>
  <c r="CR150" i="126"/>
  <c r="BR158" i="126"/>
  <c r="CR147" i="126"/>
  <c r="CS150" i="126"/>
  <c r="BW146" i="126"/>
  <c r="BM149" i="126"/>
  <c r="CB152" i="126"/>
  <c r="BX162" i="126"/>
  <c r="BN149" i="126"/>
  <c r="CT152" i="126"/>
  <c r="DE142" i="126"/>
  <c r="CY145" i="126"/>
  <c r="CV148" i="126"/>
  <c r="CD152" i="126"/>
  <c r="CY154" i="126"/>
  <c r="CH142" i="126"/>
  <c r="CB145" i="126"/>
  <c r="CJ148" i="126"/>
  <c r="BP152" i="126"/>
  <c r="DC144" i="126"/>
  <c r="CW147" i="126"/>
  <c r="CZ146" i="126"/>
  <c r="DF149" i="126"/>
  <c r="DF153" i="126"/>
  <c r="BL158" i="126"/>
  <c r="CU153" i="126"/>
  <c r="CP155" i="126"/>
  <c r="DG160" i="126"/>
  <c r="CI151" i="126"/>
  <c r="CH154" i="126"/>
  <c r="BW154" i="126"/>
  <c r="BS156" i="126"/>
  <c r="CB158" i="126"/>
  <c r="BL154" i="126"/>
  <c r="BT156" i="126"/>
  <c r="CC158" i="126"/>
  <c r="DB149" i="126"/>
  <c r="CV152" i="126"/>
  <c r="CL162" i="126"/>
  <c r="DA162" i="126"/>
  <c r="DA168" i="126"/>
  <c r="CO159" i="126"/>
  <c r="BU162" i="126"/>
  <c r="DF158" i="126"/>
  <c r="CF183" i="126"/>
  <c r="CF166" i="126"/>
  <c r="CA168" i="126"/>
  <c r="CO170" i="126"/>
  <c r="CO167" i="126"/>
  <c r="BL183" i="126"/>
  <c r="BL166" i="126"/>
  <c r="BR168" i="126"/>
  <c r="DF170" i="126"/>
  <c r="DF167" i="126"/>
  <c r="BK167" i="126"/>
  <c r="BK170" i="126"/>
  <c r="CZ183" i="126"/>
  <c r="CZ166" i="126"/>
  <c r="CY168" i="126"/>
  <c r="CU168" i="126"/>
  <c r="BY200" i="126"/>
  <c r="BY195" i="126"/>
  <c r="CD195" i="126"/>
  <c r="CD200" i="126"/>
  <c r="BU200" i="126"/>
  <c r="BU195" i="126"/>
  <c r="CU200" i="126"/>
  <c r="CU195" i="126"/>
  <c r="CV214" i="126"/>
  <c r="CV216" i="126"/>
  <c r="CW216" i="126"/>
  <c r="CW214" i="126"/>
  <c r="CZ216" i="126"/>
  <c r="CZ214" i="126"/>
  <c r="DC216" i="126"/>
  <c r="DC214" i="126"/>
  <c r="DD222" i="126"/>
  <c r="DD218" i="126"/>
  <c r="BV217" i="126"/>
  <c r="BV215" i="126"/>
  <c r="BV221" i="126"/>
  <c r="DG183" i="126"/>
  <c r="DG166" i="126"/>
  <c r="CT170" i="126"/>
  <c r="CT167" i="126"/>
  <c r="CN183" i="126"/>
  <c r="CN166" i="126"/>
  <c r="BM200" i="126"/>
  <c r="BM195" i="126"/>
  <c r="CI200" i="126"/>
  <c r="CI195" i="126"/>
  <c r="CQ214" i="126"/>
  <c r="CQ216" i="126"/>
  <c r="CF201" i="126"/>
  <c r="CF199" i="126"/>
  <c r="CF205" i="126"/>
  <c r="CK205" i="126"/>
  <c r="CK201" i="126"/>
  <c r="CK199" i="126"/>
  <c r="CR205" i="126"/>
  <c r="CR201" i="126"/>
  <c r="CR199" i="126"/>
  <c r="CY201" i="126"/>
  <c r="CY199" i="126"/>
  <c r="CY205" i="126"/>
  <c r="CX224" i="126"/>
  <c r="CX220" i="126"/>
  <c r="CZ224" i="126"/>
  <c r="CZ220" i="126"/>
  <c r="DC224" i="126"/>
  <c r="DC220" i="126"/>
  <c r="CH220" i="126"/>
  <c r="CH224" i="126"/>
  <c r="CS211" i="126"/>
  <c r="BX211" i="126"/>
  <c r="BT223" i="126"/>
  <c r="BT219" i="126"/>
  <c r="BK223" i="126"/>
  <c r="BK219" i="126"/>
  <c r="CW223" i="126"/>
  <c r="CW219" i="126"/>
  <c r="CZ223" i="126"/>
  <c r="CZ219" i="126"/>
  <c r="CE222" i="126"/>
  <c r="CE218" i="126"/>
  <c r="BY222" i="126"/>
  <c r="BY218" i="126"/>
  <c r="CO218" i="126"/>
  <c r="CO222" i="126"/>
  <c r="BV222" i="126"/>
  <c r="BV218" i="126"/>
  <c r="CJ188" i="126"/>
  <c r="BX210" i="126"/>
  <c r="CV210" i="126"/>
  <c r="DA210" i="126"/>
  <c r="DC210" i="126"/>
  <c r="CG196" i="126"/>
  <c r="CG202" i="126"/>
  <c r="CT196" i="126"/>
  <c r="CT202" i="126"/>
  <c r="BY202" i="126"/>
  <c r="BY196" i="126"/>
  <c r="CB202" i="126"/>
  <c r="CB196" i="126"/>
  <c r="CH217" i="126"/>
  <c r="CH215" i="126"/>
  <c r="CH221" i="126"/>
  <c r="DC221" i="126"/>
  <c r="DC217" i="126"/>
  <c r="DC215" i="126"/>
  <c r="DF221" i="126"/>
  <c r="DF217" i="126"/>
  <c r="DF215" i="126"/>
  <c r="CM221" i="126"/>
  <c r="CM217" i="126"/>
  <c r="CM215" i="126"/>
  <c r="CC184" i="126"/>
  <c r="CT143" i="126"/>
  <c r="DB142" i="126"/>
  <c r="CA147" i="126"/>
  <c r="CN141" i="126"/>
  <c r="CC142" i="126"/>
  <c r="BR143" i="126"/>
  <c r="BN148" i="126"/>
  <c r="CG144" i="126"/>
  <c r="CR141" i="126"/>
  <c r="BT144" i="126"/>
  <c r="CX142" i="126"/>
  <c r="CN148" i="126"/>
  <c r="CG141" i="126"/>
  <c r="BL143" i="126"/>
  <c r="BP147" i="126"/>
  <c r="DG143" i="126"/>
  <c r="BO150" i="126"/>
  <c r="CG149" i="126"/>
  <c r="CZ152" i="126"/>
  <c r="DF151" i="126"/>
  <c r="DC147" i="126"/>
  <c r="DF150" i="126"/>
  <c r="BS158" i="126"/>
  <c r="CI146" i="126"/>
  <c r="BZ149" i="126"/>
  <c r="CA149" i="126"/>
  <c r="BS143" i="126"/>
  <c r="BM146" i="126"/>
  <c r="CU152" i="126"/>
  <c r="CW162" i="126"/>
  <c r="CT142" i="126"/>
  <c r="CN145" i="126"/>
  <c r="CW148" i="126"/>
  <c r="BQ145" i="126"/>
  <c r="BK148" i="126"/>
  <c r="BU151" i="126"/>
  <c r="CG158" i="126"/>
  <c r="BN147" i="126"/>
  <c r="BL150" i="126"/>
  <c r="BZ160" i="126"/>
  <c r="DB152" i="126"/>
  <c r="DB159" i="126"/>
  <c r="CB162" i="126"/>
  <c r="DB183" i="126"/>
  <c r="DB166" i="126"/>
  <c r="BT154" i="126"/>
  <c r="BP156" i="126"/>
  <c r="BY158" i="126"/>
  <c r="DG153" i="126"/>
  <c r="DB155" i="126"/>
  <c r="BM158" i="126"/>
  <c r="CU151" i="126"/>
  <c r="CT154" i="126"/>
  <c r="CR156" i="126"/>
  <c r="DB158" i="126"/>
  <c r="CI154" i="126"/>
  <c r="CF156" i="126"/>
  <c r="CO158" i="126"/>
  <c r="BX154" i="126"/>
  <c r="CG156" i="126"/>
  <c r="CP158" i="126"/>
  <c r="BP150" i="126"/>
  <c r="BO153" i="126"/>
  <c r="CW160" i="126"/>
  <c r="CX162" i="126"/>
  <c r="CK168" i="126"/>
  <c r="BN170" i="126"/>
  <c r="BN167" i="126"/>
  <c r="BQ183" i="126"/>
  <c r="BQ166" i="126"/>
  <c r="BU183" i="126"/>
  <c r="BU166" i="126"/>
  <c r="DA159" i="126"/>
  <c r="CD183" i="126"/>
  <c r="CD166" i="126"/>
  <c r="CG162" i="126"/>
  <c r="CO183" i="126"/>
  <c r="CO166" i="126"/>
  <c r="BT159" i="126"/>
  <c r="CR183" i="126"/>
  <c r="CR166" i="126"/>
  <c r="CO168" i="126"/>
  <c r="DA170" i="126"/>
  <c r="DA167" i="126"/>
  <c r="BX183" i="126"/>
  <c r="BX166" i="126"/>
  <c r="CE168" i="126"/>
  <c r="BN183" i="126"/>
  <c r="BN166" i="126"/>
  <c r="BT168" i="126"/>
  <c r="BW167" i="126"/>
  <c r="BW170" i="126"/>
  <c r="DG168" i="126"/>
  <c r="CK200" i="126"/>
  <c r="CK195" i="126"/>
  <c r="CP195" i="126"/>
  <c r="CP200" i="126"/>
  <c r="CG200" i="126"/>
  <c r="CG195" i="126"/>
  <c r="DG200" i="126"/>
  <c r="DG195" i="126"/>
  <c r="CU158" i="126"/>
  <c r="DG214" i="126"/>
  <c r="DG216" i="126"/>
  <c r="BN216" i="126"/>
  <c r="BN214" i="126"/>
  <c r="BQ214" i="126"/>
  <c r="BQ216" i="126"/>
  <c r="BT214" i="126"/>
  <c r="BT216" i="126"/>
  <c r="CV224" i="126"/>
  <c r="CV220" i="126"/>
  <c r="BX222" i="126"/>
  <c r="BX218" i="126"/>
  <c r="CX170" i="126"/>
  <c r="CX167" i="126"/>
  <c r="BT183" i="126"/>
  <c r="BT166" i="126"/>
  <c r="BR195" i="126"/>
  <c r="BR200" i="126"/>
  <c r="CU214" i="126"/>
  <c r="CU216" i="126"/>
  <c r="CK216" i="126"/>
  <c r="CK214" i="126"/>
  <c r="CW201" i="126"/>
  <c r="CW199" i="126"/>
  <c r="CW205" i="126"/>
  <c r="DD201" i="126"/>
  <c r="DD199" i="126"/>
  <c r="DD205" i="126"/>
  <c r="BL205" i="126"/>
  <c r="BL199" i="126"/>
  <c r="BL201" i="126"/>
  <c r="BQ201" i="126"/>
  <c r="BQ199" i="126"/>
  <c r="BQ205" i="126"/>
  <c r="BL224" i="126"/>
  <c r="BL220" i="126"/>
  <c r="BQ224" i="126"/>
  <c r="BQ220" i="126"/>
  <c r="BT224" i="126"/>
  <c r="BT220" i="126"/>
  <c r="CT224" i="126"/>
  <c r="CT220" i="126"/>
  <c r="BZ211" i="126"/>
  <c r="CG211" i="126"/>
  <c r="CJ211" i="126"/>
  <c r="CD223" i="126"/>
  <c r="CD219" i="126"/>
  <c r="BW223" i="126"/>
  <c r="BW219" i="126"/>
  <c r="BN223" i="126"/>
  <c r="BN219" i="126"/>
  <c r="BQ223" i="126"/>
  <c r="BQ219" i="126"/>
  <c r="DC222" i="126"/>
  <c r="DC218" i="126"/>
  <c r="CV222" i="126"/>
  <c r="CV218" i="126"/>
  <c r="DA222" i="126"/>
  <c r="DA218" i="126"/>
  <c r="CH222" i="126"/>
  <c r="CH218" i="126"/>
  <c r="CT188" i="126"/>
  <c r="CO210" i="126"/>
  <c r="BM210" i="126"/>
  <c r="BP210" i="126"/>
  <c r="BI210" i="126"/>
  <c r="CR202" i="126"/>
  <c r="CR196" i="126"/>
  <c r="DF196" i="126"/>
  <c r="DF202" i="126"/>
  <c r="CK202" i="126"/>
  <c r="CK196" i="126"/>
  <c r="CN202" i="126"/>
  <c r="CN196" i="126"/>
  <c r="CX221" i="126"/>
  <c r="CX215" i="126"/>
  <c r="CX217" i="126"/>
  <c r="BK221" i="126"/>
  <c r="BK215" i="126"/>
  <c r="BK217" i="126"/>
  <c r="BN221" i="126"/>
  <c r="BN215" i="126"/>
  <c r="BN217" i="126"/>
  <c r="CY221" i="126"/>
  <c r="CY215" i="126"/>
  <c r="CY217" i="126"/>
  <c r="CQ145" i="126"/>
  <c r="CQ142" i="126"/>
  <c r="BL146" i="126"/>
  <c r="BO141" i="126"/>
  <c r="CM156" i="126"/>
  <c r="CI144" i="126"/>
  <c r="BX143" i="126"/>
  <c r="BU149" i="126"/>
  <c r="CW141" i="126"/>
  <c r="BZ143" i="126"/>
  <c r="DA148" i="126"/>
  <c r="BX144" i="126"/>
  <c r="CT149" i="126"/>
  <c r="BX155" i="126"/>
  <c r="BQ148" i="126"/>
  <c r="BO151" i="126"/>
  <c r="BP151" i="126"/>
  <c r="CU146" i="126"/>
  <c r="CM149" i="126"/>
  <c r="CE143" i="126"/>
  <c r="BY146" i="126"/>
  <c r="CB149" i="126"/>
  <c r="BL155" i="126"/>
  <c r="DF142" i="126"/>
  <c r="CZ145" i="126"/>
  <c r="BP149" i="126"/>
  <c r="CW152" i="126"/>
  <c r="CC145" i="126"/>
  <c r="BX148" i="126"/>
  <c r="CJ151" i="126"/>
  <c r="BZ147" i="126"/>
  <c r="BY150" i="126"/>
  <c r="BT153" i="126"/>
  <c r="BO155" i="126"/>
  <c r="CO160" i="126"/>
  <c r="BM160" i="126"/>
  <c r="CF154" i="126"/>
  <c r="CC156" i="126"/>
  <c r="CL158" i="126"/>
  <c r="BU154" i="126"/>
  <c r="BQ156" i="126"/>
  <c r="BZ158" i="126"/>
  <c r="DG151" i="126"/>
  <c r="DF154" i="126"/>
  <c r="DE156" i="126"/>
  <c r="BN159" i="126"/>
  <c r="CU154" i="126"/>
  <c r="CS156" i="126"/>
  <c r="DD158" i="126"/>
  <c r="CJ154" i="126"/>
  <c r="CT156" i="126"/>
  <c r="DE158" i="126"/>
  <c r="CB150" i="126"/>
  <c r="CA153" i="126"/>
  <c r="BV155" i="126"/>
  <c r="CK170" i="126"/>
  <c r="CK167" i="126"/>
  <c r="CC183" i="126"/>
  <c r="CC166" i="126"/>
  <c r="BO160" i="126"/>
  <c r="CW170" i="126"/>
  <c r="CW167" i="126"/>
  <c r="CS162" i="126"/>
  <c r="CF159" i="126"/>
  <c r="BO170" i="126"/>
  <c r="BO167" i="126"/>
  <c r="DD183" i="126"/>
  <c r="DD166" i="126"/>
  <c r="DC168" i="126"/>
  <c r="BO168" i="126"/>
  <c r="CJ183" i="126"/>
  <c r="CJ166" i="126"/>
  <c r="CS168" i="126"/>
  <c r="BZ183" i="126"/>
  <c r="BZ166" i="126"/>
  <c r="CG168" i="126"/>
  <c r="CI170" i="126"/>
  <c r="CI167" i="126"/>
  <c r="CW200" i="126"/>
  <c r="CW195" i="126"/>
  <c r="DB195" i="126"/>
  <c r="DB200" i="126"/>
  <c r="CS200" i="126"/>
  <c r="CS195" i="126"/>
  <c r="BL200" i="126"/>
  <c r="BL195" i="126"/>
  <c r="CB147" i="126"/>
  <c r="BK216" i="126"/>
  <c r="BK214" i="126"/>
  <c r="BZ214" i="126"/>
  <c r="BZ216" i="126"/>
  <c r="CC214" i="126"/>
  <c r="CC216" i="126"/>
  <c r="CF214" i="126"/>
  <c r="CF216" i="126"/>
  <c r="CS205" i="126"/>
  <c r="CS201" i="126"/>
  <c r="CS199" i="126"/>
  <c r="CT223" i="126"/>
  <c r="CT219" i="126"/>
  <c r="BV196" i="126"/>
  <c r="BV202" i="126"/>
  <c r="CV221" i="126"/>
  <c r="CV217" i="126"/>
  <c r="CV215" i="126"/>
  <c r="CE201" i="126"/>
  <c r="CE199" i="126"/>
  <c r="CE205" i="126"/>
  <c r="BP201" i="126"/>
  <c r="BP199" i="126"/>
  <c r="BP205" i="126"/>
  <c r="BU205" i="126"/>
  <c r="BU201" i="126"/>
  <c r="BU199" i="126"/>
  <c r="BX205" i="126"/>
  <c r="BX199" i="126"/>
  <c r="BX201" i="126"/>
  <c r="CC205" i="126"/>
  <c r="CC201" i="126"/>
  <c r="CC199" i="126"/>
  <c r="BM224" i="126"/>
  <c r="BM220" i="126"/>
  <c r="CC224" i="126"/>
  <c r="CC220" i="126"/>
  <c r="CF224" i="126"/>
  <c r="CF220" i="126"/>
  <c r="DF224" i="126"/>
  <c r="DF220" i="126"/>
  <c r="CP223" i="126"/>
  <c r="CP219" i="126"/>
  <c r="BI223" i="126"/>
  <c r="BI219" i="126"/>
  <c r="CI223" i="126"/>
  <c r="CI219" i="126"/>
  <c r="BZ223" i="126"/>
  <c r="BZ219" i="126"/>
  <c r="CC219" i="126"/>
  <c r="CC223" i="126"/>
  <c r="BO222" i="126"/>
  <c r="BO218" i="126"/>
  <c r="BZ222" i="126"/>
  <c r="BZ218" i="126"/>
  <c r="BR222" i="126"/>
  <c r="BR218" i="126"/>
  <c r="CT222" i="126"/>
  <c r="CT218" i="126"/>
  <c r="CF210" i="126"/>
  <c r="BU210" i="126"/>
  <c r="CS196" i="126"/>
  <c r="CS202" i="126"/>
  <c r="BK202" i="126"/>
  <c r="BK196" i="126"/>
  <c r="CW202" i="126"/>
  <c r="CW196" i="126"/>
  <c r="CZ202" i="126"/>
  <c r="CZ196" i="126"/>
  <c r="BQ221" i="126"/>
  <c r="BQ217" i="126"/>
  <c r="BQ215" i="126"/>
  <c r="BT221" i="126"/>
  <c r="BT217" i="126"/>
  <c r="BT215" i="126"/>
  <c r="BW221" i="126"/>
  <c r="BW217" i="126"/>
  <c r="BW215" i="126"/>
  <c r="CC215" i="126"/>
  <c r="CC221" i="126"/>
  <c r="CC217" i="126"/>
  <c r="CB221" i="126"/>
  <c r="CB215" i="126"/>
  <c r="CB217" i="126"/>
  <c r="CW184" i="126"/>
  <c r="BM145" i="126"/>
  <c r="CI159" i="126"/>
  <c r="BR142" i="126"/>
  <c r="BR146" i="126"/>
  <c r="BW142" i="126"/>
  <c r="BU141" i="126"/>
  <c r="CM144" i="126"/>
  <c r="CJ156" i="126"/>
  <c r="BW149" i="126"/>
  <c r="CD151" i="126"/>
  <c r="DG146" i="126"/>
  <c r="BV156" i="126"/>
  <c r="CQ143" i="126"/>
  <c r="CK146" i="126"/>
  <c r="BT143" i="126"/>
  <c r="BN146" i="126"/>
  <c r="BM155" i="126"/>
  <c r="CO145" i="126"/>
  <c r="CK148" i="126"/>
  <c r="CZ151" i="126"/>
  <c r="CQ153" i="126"/>
  <c r="DA160" i="126"/>
  <c r="CL147" i="126"/>
  <c r="CL150" i="126"/>
  <c r="CF153" i="126"/>
  <c r="CA155" i="126"/>
  <c r="BU153" i="126"/>
  <c r="BP155" i="126"/>
  <c r="CB160" i="126"/>
  <c r="CS151" i="126"/>
  <c r="CR154" i="126"/>
  <c r="CP156" i="126"/>
  <c r="CG154" i="126"/>
  <c r="CD156" i="126"/>
  <c r="BU152" i="126"/>
  <c r="CB159" i="126"/>
  <c r="BL162" i="126"/>
  <c r="DG154" i="126"/>
  <c r="DF156" i="126"/>
  <c r="CV154" i="126"/>
  <c r="DG156" i="126"/>
  <c r="BP159" i="126"/>
  <c r="BO162" i="126"/>
  <c r="CN150" i="126"/>
  <c r="CM153" i="126"/>
  <c r="CH155" i="126"/>
  <c r="BY170" i="126"/>
  <c r="BY167" i="126"/>
  <c r="BR162" i="126"/>
  <c r="CL170" i="126"/>
  <c r="CL167" i="126"/>
  <c r="CA160" i="126"/>
  <c r="BT162" i="126"/>
  <c r="DE162" i="126"/>
  <c r="CR159" i="126"/>
  <c r="CA170" i="126"/>
  <c r="CA167" i="126"/>
  <c r="CB168" i="126"/>
  <c r="CV183" i="126"/>
  <c r="CV166" i="126"/>
  <c r="CL183" i="126"/>
  <c r="CL166" i="126"/>
  <c r="CV168" i="126"/>
  <c r="CU170" i="126"/>
  <c r="CU167" i="126"/>
  <c r="CA200" i="126"/>
  <c r="CA195" i="126"/>
  <c r="BP195" i="126"/>
  <c r="BP200" i="126"/>
  <c r="BS200" i="126"/>
  <c r="BS195" i="126"/>
  <c r="DE200" i="126"/>
  <c r="DE195" i="126"/>
  <c r="BX200" i="126"/>
  <c r="BX195" i="126"/>
  <c r="BL216" i="126"/>
  <c r="BL214" i="126"/>
  <c r="CL216" i="126"/>
  <c r="CL214" i="126"/>
  <c r="CO214" i="126"/>
  <c r="CO216" i="126"/>
  <c r="CR214" i="126"/>
  <c r="CR216" i="126"/>
  <c r="N122" i="126"/>
  <c r="O122" i="126" s="1"/>
  <c r="L122" i="126"/>
  <c r="M123" i="126"/>
  <c r="Q122" i="126"/>
  <c r="R122" i="126"/>
  <c r="BZ221" i="126"/>
  <c r="BZ217" i="126"/>
  <c r="BZ215" i="126"/>
  <c r="CT205" i="126"/>
  <c r="CT201" i="126"/>
  <c r="CT199" i="126"/>
  <c r="CG205" i="126"/>
  <c r="CG201" i="126"/>
  <c r="CG199" i="126"/>
  <c r="CN205" i="126"/>
  <c r="CN201" i="126"/>
  <c r="CN199" i="126"/>
  <c r="CJ205" i="126"/>
  <c r="CJ201" i="126"/>
  <c r="CJ199" i="126"/>
  <c r="CO205" i="126"/>
  <c r="CO201" i="126"/>
  <c r="CO199" i="126"/>
  <c r="BN224" i="126"/>
  <c r="BN220" i="126"/>
  <c r="CO224" i="126"/>
  <c r="CO220" i="126"/>
  <c r="CR224" i="126"/>
  <c r="CR220" i="126"/>
  <c r="BK224" i="126"/>
  <c r="BK220" i="126"/>
  <c r="BR211" i="126"/>
  <c r="BW211" i="126"/>
  <c r="CF223" i="126"/>
  <c r="CF219" i="126"/>
  <c r="BU223" i="126"/>
  <c r="BU219" i="126"/>
  <c r="CU223" i="126"/>
  <c r="CU219" i="126"/>
  <c r="CL223" i="126"/>
  <c r="CL219" i="126"/>
  <c r="CO223" i="126"/>
  <c r="CO219" i="126"/>
  <c r="CK222" i="126"/>
  <c r="CK218" i="126"/>
  <c r="CW222" i="126"/>
  <c r="CW218" i="126"/>
  <c r="CD222" i="126"/>
  <c r="CD218" i="126"/>
  <c r="DF222" i="126"/>
  <c r="DF218" i="126"/>
  <c r="CI188" i="126"/>
  <c r="BV210" i="126"/>
  <c r="CR210" i="126"/>
  <c r="DD202" i="126"/>
  <c r="DD196" i="126"/>
  <c r="BW202" i="126"/>
  <c r="BW196" i="126"/>
  <c r="BN202" i="126"/>
  <c r="BN196" i="126"/>
  <c r="BQ196" i="126"/>
  <c r="BQ202" i="126"/>
  <c r="BR221" i="126"/>
  <c r="BR217" i="126"/>
  <c r="BR215" i="126"/>
  <c r="CI221" i="126"/>
  <c r="CI217" i="126"/>
  <c r="CI215" i="126"/>
  <c r="CO221" i="126"/>
  <c r="CO217" i="126"/>
  <c r="CO215" i="126"/>
  <c r="CR217" i="126"/>
  <c r="CR215" i="126"/>
  <c r="CR221" i="126"/>
  <c r="CN221" i="126"/>
  <c r="CN217" i="126"/>
  <c r="CN215" i="126"/>
  <c r="BQ143" i="126"/>
  <c r="CQ141" i="126"/>
  <c r="CE145" i="126"/>
  <c r="DF143" i="126"/>
  <c r="CK141" i="126"/>
  <c r="DE144" i="126"/>
  <c r="CF146" i="126"/>
  <c r="DF152" i="126"/>
  <c r="CQ148" i="126"/>
  <c r="CS148" i="126"/>
  <c r="BT150" i="126"/>
  <c r="BU150" i="126"/>
  <c r="BK141" i="126"/>
  <c r="DC143" i="126"/>
  <c r="BW156" i="126"/>
  <c r="BZ146" i="126"/>
  <c r="CQ149" i="126"/>
  <c r="CW155" i="126"/>
  <c r="DA145" i="126"/>
  <c r="CX148" i="126"/>
  <c r="CX147" i="126"/>
  <c r="CY150" i="126"/>
  <c r="CM155" i="126"/>
  <c r="CG153" i="126"/>
  <c r="CB155" i="126"/>
  <c r="DD154" i="126"/>
  <c r="CS154" i="126"/>
  <c r="CG152" i="126"/>
  <c r="CQ159" i="126"/>
  <c r="CK162" i="126"/>
  <c r="CD159" i="126"/>
  <c r="BM162" i="126"/>
  <c r="CE159" i="126"/>
  <c r="CZ150" i="126"/>
  <c r="CY153" i="126"/>
  <c r="CT155" i="126"/>
  <c r="CM162" i="126"/>
  <c r="CM168" i="126"/>
  <c r="CD162" i="126"/>
  <c r="CM160" i="126"/>
  <c r="CF162" i="126"/>
  <c r="CH162" i="126"/>
  <c r="DD159" i="126"/>
  <c r="CP183" i="126"/>
  <c r="CP166" i="126"/>
  <c r="CM170" i="126"/>
  <c r="CM167" i="126"/>
  <c r="CS183" i="126"/>
  <c r="CS166" i="126"/>
  <c r="CP168" i="126"/>
  <c r="BR170" i="126"/>
  <c r="BR167" i="126"/>
  <c r="BS167" i="126"/>
  <c r="BS170" i="126"/>
  <c r="CX183" i="126"/>
  <c r="CX166" i="126"/>
  <c r="BO183" i="126"/>
  <c r="BO166" i="126"/>
  <c r="DG167" i="126"/>
  <c r="DG170" i="126"/>
  <c r="CL200" i="126"/>
  <c r="CL195" i="126"/>
  <c r="CB195" i="126"/>
  <c r="CB200" i="126"/>
  <c r="CE200" i="126"/>
  <c r="CE195" i="126"/>
  <c r="BJ200" i="126"/>
  <c r="BJ195" i="126"/>
  <c r="CJ200" i="126"/>
  <c r="CJ195" i="126"/>
  <c r="BJ216" i="126"/>
  <c r="BJ214" i="126"/>
  <c r="CX216" i="126"/>
  <c r="CX214" i="126"/>
  <c r="DA216" i="126"/>
  <c r="DA214" i="126"/>
  <c r="DD216" i="126"/>
  <c r="DD214" i="126"/>
  <c r="BT146" i="126"/>
  <c r="CV205" i="126"/>
  <c r="CV199" i="126"/>
  <c r="CV201" i="126"/>
  <c r="DD224" i="126"/>
  <c r="DD220" i="126"/>
  <c r="CG223" i="126"/>
  <c r="CG219" i="126"/>
  <c r="DA223" i="126"/>
  <c r="DA219" i="126"/>
  <c r="CP222" i="126"/>
  <c r="CP218" i="126"/>
  <c r="BJ210" i="126"/>
  <c r="BN210" i="126"/>
  <c r="DE196" i="126"/>
  <c r="DE202" i="126"/>
  <c r="CI202" i="126"/>
  <c r="CI196" i="126"/>
  <c r="BZ202" i="126"/>
  <c r="BZ196" i="126"/>
  <c r="CC196" i="126"/>
  <c r="CC202" i="126"/>
  <c r="CF221" i="126"/>
  <c r="CF215" i="126"/>
  <c r="CF217" i="126"/>
  <c r="DA221" i="126"/>
  <c r="DA217" i="126"/>
  <c r="DA215" i="126"/>
  <c r="DD221" i="126"/>
  <c r="DD217" i="126"/>
  <c r="DD215" i="126"/>
  <c r="DG221" i="126"/>
  <c r="DG217" i="126"/>
  <c r="DG215" i="126"/>
  <c r="CZ221" i="126"/>
  <c r="CZ217" i="126"/>
  <c r="CZ215" i="126"/>
  <c r="CD146" i="126"/>
  <c r="CP142" i="126"/>
  <c r="DE141" i="126"/>
  <c r="CE141" i="126"/>
  <c r="CS146" i="126"/>
  <c r="CW149" i="126"/>
  <c r="DE148" i="126"/>
  <c r="CG147" i="126"/>
  <c r="CG150" i="126"/>
  <c r="CH150" i="126"/>
  <c r="BV150" i="126"/>
  <c r="CR143" i="126"/>
  <c r="CL146" i="126"/>
  <c r="DD149" i="126"/>
  <c r="BO146" i="126"/>
  <c r="CH152" i="126"/>
  <c r="BL148" i="126"/>
  <c r="BV151" i="126"/>
  <c r="DD153" i="126"/>
  <c r="CY155" i="126"/>
  <c r="CS153" i="126"/>
  <c r="CN155" i="126"/>
  <c r="BS152" i="126"/>
  <c r="DE154" i="126"/>
  <c r="DD156" i="126"/>
  <c r="CS152" i="126"/>
  <c r="CS159" i="126"/>
  <c r="CN162" i="126"/>
  <c r="CT159" i="126"/>
  <c r="BT148" i="126"/>
  <c r="BN151" i="126"/>
  <c r="BM154" i="126"/>
  <c r="DF155" i="126"/>
  <c r="CD158" i="126"/>
  <c r="CY162" i="126"/>
  <c r="CP162" i="126"/>
  <c r="CY160" i="126"/>
  <c r="CR162" i="126"/>
  <c r="CT162" i="126"/>
  <c r="BR160" i="126"/>
  <c r="BK162" i="126"/>
  <c r="CY170" i="126"/>
  <c r="CY167" i="126"/>
  <c r="DE183" i="126"/>
  <c r="DE166" i="126"/>
  <c r="DD168" i="126"/>
  <c r="CD170" i="126"/>
  <c r="CD167" i="126"/>
  <c r="CE167" i="126"/>
  <c r="CE170" i="126"/>
  <c r="BU170" i="126"/>
  <c r="BU167" i="126"/>
  <c r="CA183" i="126"/>
  <c r="CA166" i="126"/>
  <c r="BU168" i="126"/>
  <c r="BL167" i="126"/>
  <c r="BL170" i="126"/>
  <c r="CM200" i="126"/>
  <c r="CM195" i="126"/>
  <c r="CN195" i="126"/>
  <c r="CN200" i="126"/>
  <c r="CQ200" i="126"/>
  <c r="CQ195" i="126"/>
  <c r="BV200" i="126"/>
  <c r="BV195" i="126"/>
  <c r="CV200" i="126"/>
  <c r="CV195" i="126"/>
  <c r="BV216" i="126"/>
  <c r="BV214" i="126"/>
  <c r="BO216" i="126"/>
  <c r="BO214" i="126"/>
  <c r="BR216" i="126"/>
  <c r="BR214" i="126"/>
  <c r="BI216" i="126"/>
  <c r="BI214" i="126"/>
  <c r="DG205" i="126"/>
  <c r="DG199" i="126"/>
  <c r="DG201" i="126"/>
  <c r="DB196" i="126"/>
  <c r="DB202" i="126"/>
  <c r="CK147" i="126"/>
  <c r="CO162" i="126"/>
  <c r="CU205" i="126"/>
  <c r="CU201" i="126"/>
  <c r="CU199" i="126"/>
  <c r="DE205" i="126"/>
  <c r="DE201" i="126"/>
  <c r="DE199" i="126"/>
  <c r="BX224" i="126"/>
  <c r="BX220" i="126"/>
  <c r="BW224" i="126"/>
  <c r="BW220" i="126"/>
  <c r="CE223" i="126"/>
  <c r="CE219" i="126"/>
  <c r="CX223" i="126"/>
  <c r="CX219" i="126"/>
  <c r="BP222" i="126"/>
  <c r="BP218" i="126"/>
  <c r="BK222" i="126"/>
  <c r="BK218" i="126"/>
  <c r="BJ205" i="126"/>
  <c r="BJ201" i="126"/>
  <c r="BJ199" i="126"/>
  <c r="BR201" i="126"/>
  <c r="BR199" i="126"/>
  <c r="BR205" i="126"/>
  <c r="BV205" i="126"/>
  <c r="BV201" i="126"/>
  <c r="BV199" i="126"/>
  <c r="BN205" i="126"/>
  <c r="BN201" i="126"/>
  <c r="BN199" i="126"/>
  <c r="BZ224" i="126"/>
  <c r="BZ220" i="126"/>
  <c r="BO224" i="126"/>
  <c r="BO220" i="126"/>
  <c r="BR224" i="126"/>
  <c r="BR220" i="126"/>
  <c r="BI224" i="126"/>
  <c r="BI220" i="126"/>
  <c r="CI224" i="126"/>
  <c r="CI220" i="126"/>
  <c r="CU211" i="126"/>
  <c r="DB211" i="126"/>
  <c r="DG211" i="126"/>
  <c r="CQ223" i="126"/>
  <c r="CQ219" i="126"/>
  <c r="CS223" i="126"/>
  <c r="CS219" i="126"/>
  <c r="BL223" i="126"/>
  <c r="BL219" i="126"/>
  <c r="BO223" i="126"/>
  <c r="BO219" i="126"/>
  <c r="CL222" i="126"/>
  <c r="CL218" i="126"/>
  <c r="CX222" i="126"/>
  <c r="CX218" i="126"/>
  <c r="DB222" i="126"/>
  <c r="DB218" i="126"/>
  <c r="BW222" i="126"/>
  <c r="BW218" i="126"/>
  <c r="CL210" i="126"/>
  <c r="BZ210" i="126"/>
  <c r="CH210" i="126"/>
  <c r="BR210" i="126"/>
  <c r="DE210" i="126"/>
  <c r="BS196" i="126"/>
  <c r="BS202" i="126"/>
  <c r="CU196" i="126"/>
  <c r="CU202" i="126"/>
  <c r="CL202" i="126"/>
  <c r="CL196" i="126"/>
  <c r="CO196" i="126"/>
  <c r="CO202" i="126"/>
  <c r="CG221" i="126"/>
  <c r="CG217" i="126"/>
  <c r="CG215" i="126"/>
  <c r="BI221" i="126"/>
  <c r="BI217" i="126"/>
  <c r="BI215" i="126"/>
  <c r="BL221" i="126"/>
  <c r="BL217" i="126"/>
  <c r="BL215" i="126"/>
  <c r="BO221" i="126"/>
  <c r="BO215" i="126"/>
  <c r="BO217" i="126"/>
  <c r="BZ144" i="126"/>
  <c r="DD142" i="126"/>
  <c r="CC147" i="126"/>
  <c r="CP150" i="126"/>
  <c r="BN141" i="126"/>
  <c r="BQ142" i="126"/>
  <c r="BQ146" i="126"/>
  <c r="BV143" i="126"/>
  <c r="CA148" i="126"/>
  <c r="CS141" i="126"/>
  <c r="CJ144" i="126"/>
  <c r="BK143" i="126"/>
  <c r="CL144" i="126"/>
  <c r="BK142" i="126"/>
  <c r="CK145" i="126"/>
  <c r="DD146" i="126"/>
  <c r="BQ150" i="126"/>
  <c r="BK149" i="126"/>
  <c r="CO152" i="126"/>
  <c r="BL149" i="126"/>
  <c r="CA152" i="126"/>
  <c r="CT150" i="126"/>
  <c r="CH147" i="126"/>
  <c r="CU150" i="126"/>
  <c r="BU158" i="126"/>
  <c r="CI141" i="126"/>
  <c r="CC144" i="126"/>
  <c r="BW147" i="126"/>
  <c r="CI150" i="126"/>
  <c r="DD143" i="126"/>
  <c r="CX146" i="126"/>
  <c r="BW150" i="126"/>
  <c r="CA146" i="126"/>
  <c r="CE149" i="126"/>
  <c r="CX152" i="126"/>
  <c r="BY148" i="126"/>
  <c r="CK151" i="126"/>
  <c r="BW159" i="126"/>
  <c r="BR154" i="126"/>
  <c r="BM156" i="126"/>
  <c r="BW158" i="126"/>
  <c r="DE153" i="126"/>
  <c r="CZ155" i="126"/>
  <c r="BK158" i="126"/>
  <c r="CE152" i="126"/>
  <c r="CN159" i="126"/>
  <c r="DE152" i="126"/>
  <c r="BQ160" i="126"/>
  <c r="DG159" i="126"/>
  <c r="BT160" i="126"/>
  <c r="CF148" i="126"/>
  <c r="BZ151" i="126"/>
  <c r="BY154" i="126"/>
  <c r="BU156" i="126"/>
  <c r="CR158" i="126"/>
  <c r="CZ168" i="126"/>
  <c r="DB162" i="126"/>
  <c r="DD162" i="126"/>
  <c r="DF162" i="126"/>
  <c r="CD160" i="126"/>
  <c r="BW162" i="126"/>
  <c r="BS183" i="126"/>
  <c r="BS166" i="126"/>
  <c r="BL168" i="126"/>
  <c r="CP170" i="126"/>
  <c r="CP167" i="126"/>
  <c r="CQ167" i="126"/>
  <c r="CQ170" i="126"/>
  <c r="CG170" i="126"/>
  <c r="CG167" i="126"/>
  <c r="CM183" i="126"/>
  <c r="CM166" i="126"/>
  <c r="CH168" i="126"/>
  <c r="BX167" i="126"/>
  <c r="BX170" i="126"/>
  <c r="BO143" i="126"/>
  <c r="CX200" i="126"/>
  <c r="CX195" i="126"/>
  <c r="CZ195" i="126"/>
  <c r="CZ200" i="126"/>
  <c r="DC200" i="126"/>
  <c r="DC195" i="126"/>
  <c r="CH200" i="126"/>
  <c r="CH195" i="126"/>
  <c r="CH214" i="126"/>
  <c r="CH216" i="126"/>
  <c r="CA216" i="126"/>
  <c r="CA214" i="126"/>
  <c r="CD216" i="126"/>
  <c r="CD214" i="126"/>
  <c r="BU216" i="126"/>
  <c r="BU214" i="126"/>
  <c r="CB224" i="126"/>
  <c r="CB220" i="126"/>
  <c r="BY223" i="126"/>
  <c r="BY219" i="126"/>
  <c r="BU196" i="126"/>
  <c r="BU202" i="126"/>
  <c r="CT217" i="126"/>
  <c r="CT215" i="126"/>
  <c r="CT221" i="126"/>
  <c r="CC154" i="126"/>
  <c r="CZ201" i="126"/>
  <c r="CZ199" i="126"/>
  <c r="CZ205" i="126"/>
  <c r="DA201" i="126"/>
  <c r="DA199" i="126"/>
  <c r="DA205" i="126"/>
  <c r="DA224" i="126"/>
  <c r="DA220" i="126"/>
  <c r="DG223" i="126"/>
  <c r="DG219" i="126"/>
  <c r="CA222" i="126"/>
  <c r="CA218" i="126"/>
  <c r="BK205" i="126"/>
  <c r="BK199" i="126"/>
  <c r="BK201" i="126"/>
  <c r="CH205" i="126"/>
  <c r="CH201" i="126"/>
  <c r="CH199" i="126"/>
  <c r="CP205" i="126"/>
  <c r="CP201" i="126"/>
  <c r="CP199" i="126"/>
  <c r="BZ205" i="126"/>
  <c r="BZ201" i="126"/>
  <c r="BZ199" i="126"/>
  <c r="CJ224" i="126"/>
  <c r="CJ220" i="126"/>
  <c r="CA224" i="126"/>
  <c r="CA220" i="126"/>
  <c r="CD224" i="126"/>
  <c r="CD220" i="126"/>
  <c r="BU224" i="126"/>
  <c r="BU220" i="126"/>
  <c r="CU224" i="126"/>
  <c r="CU220" i="126"/>
  <c r="BN211" i="126"/>
  <c r="BS211" i="126"/>
  <c r="BJ211" i="126"/>
  <c r="CW211" i="126"/>
  <c r="CR223" i="126"/>
  <c r="CR219" i="126"/>
  <c r="DE223" i="126"/>
  <c r="DE219" i="126"/>
  <c r="BX223" i="126"/>
  <c r="BX219" i="126"/>
  <c r="CA223" i="126"/>
  <c r="CA219" i="126"/>
  <c r="BM222" i="126"/>
  <c r="BM218" i="126"/>
  <c r="BS222" i="126"/>
  <c r="BS218" i="126"/>
  <c r="CB222" i="126"/>
  <c r="CB218" i="126"/>
  <c r="BI218" i="126"/>
  <c r="BI222" i="126"/>
  <c r="CI218" i="126"/>
  <c r="CI222" i="126"/>
  <c r="CM210" i="126"/>
  <c r="CT210" i="126"/>
  <c r="CX210" i="126"/>
  <c r="CD210" i="126"/>
  <c r="CE196" i="126"/>
  <c r="CE202" i="126"/>
  <c r="DG196" i="126"/>
  <c r="DG202" i="126"/>
  <c r="CX202" i="126"/>
  <c r="CX196" i="126"/>
  <c r="DA196" i="126"/>
  <c r="DA202" i="126"/>
  <c r="CU221" i="126"/>
  <c r="CU215" i="126"/>
  <c r="CU217" i="126"/>
  <c r="BU221" i="126"/>
  <c r="BU217" i="126"/>
  <c r="BU215" i="126"/>
  <c r="BY221" i="126"/>
  <c r="BY217" i="126"/>
  <c r="BY215" i="126"/>
  <c r="CD215" i="126"/>
  <c r="CD221" i="126"/>
  <c r="CD217" i="126"/>
  <c r="BV141" i="126"/>
  <c r="BP143" i="126"/>
  <c r="CO150" i="126"/>
  <c r="BM144" i="126"/>
  <c r="CA151" i="126"/>
  <c r="CE142" i="126"/>
  <c r="CJ146" i="126"/>
  <c r="CJ143" i="126"/>
  <c r="BS142" i="126"/>
  <c r="BS146" i="126"/>
  <c r="CY144" i="126"/>
  <c r="BY143" i="126"/>
  <c r="BT141" i="126"/>
  <c r="DD144" i="126"/>
  <c r="BY155" i="126"/>
  <c r="BY142" i="126"/>
  <c r="DC145" i="126"/>
  <c r="CY147" i="126"/>
  <c r="DA150" i="126"/>
  <c r="BR147" i="126"/>
  <c r="CD150" i="126"/>
  <c r="BX149" i="126"/>
  <c r="DG152" i="126"/>
  <c r="BY149" i="126"/>
  <c r="CP152" i="126"/>
  <c r="DE147" i="126"/>
  <c r="DG150" i="126"/>
  <c r="BT158" i="126"/>
  <c r="CT147" i="126"/>
  <c r="BR151" i="126"/>
  <c r="CU141" i="126"/>
  <c r="CO144" i="126"/>
  <c r="CI147" i="126"/>
  <c r="CV150" i="126"/>
  <c r="BL141" i="126"/>
  <c r="BR144" i="126"/>
  <c r="BL147" i="126"/>
  <c r="CJ150" i="126"/>
  <c r="CS143" i="126"/>
  <c r="CM146" i="126"/>
  <c r="CR149" i="126"/>
  <c r="BN155" i="126"/>
  <c r="CL148" i="126"/>
  <c r="DA151" i="126"/>
  <c r="BP153" i="126"/>
  <c r="BK160" i="126"/>
  <c r="CD154" i="126"/>
  <c r="CA156" i="126"/>
  <c r="BS154" i="126"/>
  <c r="BO156" i="126"/>
  <c r="BX158" i="126"/>
  <c r="CQ152" i="126"/>
  <c r="DC159" i="126"/>
  <c r="CE162" i="126"/>
  <c r="CP159" i="126"/>
  <c r="BL153" i="126"/>
  <c r="BS155" i="126"/>
  <c r="CF160" i="126"/>
  <c r="BM153" i="126"/>
  <c r="BS160" i="126"/>
  <c r="CH160" i="126"/>
  <c r="CL151" i="126"/>
  <c r="CK154" i="126"/>
  <c r="CH156" i="126"/>
  <c r="DG158" i="126"/>
  <c r="BR183" i="126"/>
  <c r="BR166" i="126"/>
  <c r="DC162" i="126"/>
  <c r="CP160" i="126"/>
  <c r="CI162" i="126"/>
  <c r="CE183" i="126"/>
  <c r="CE166" i="126"/>
  <c r="BY168" i="126"/>
  <c r="BP167" i="126"/>
  <c r="BP170" i="126"/>
  <c r="DB170" i="126"/>
  <c r="DB167" i="126"/>
  <c r="BK183" i="126"/>
  <c r="BK166" i="126"/>
  <c r="DC167" i="126"/>
  <c r="DC170" i="126"/>
  <c r="CS170" i="126"/>
  <c r="CS167" i="126"/>
  <c r="CY183" i="126"/>
  <c r="CY166" i="126"/>
  <c r="CW168" i="126"/>
  <c r="CJ170" i="126"/>
  <c r="CJ167" i="126"/>
  <c r="CM141" i="126"/>
  <c r="CY200" i="126"/>
  <c r="CY195" i="126"/>
  <c r="BQ195" i="126"/>
  <c r="BQ200" i="126"/>
  <c r="BT200" i="126"/>
  <c r="BT195" i="126"/>
  <c r="CT200" i="126"/>
  <c r="CT195" i="126"/>
  <c r="BX214" i="126"/>
  <c r="BX216" i="126"/>
  <c r="CT214" i="126"/>
  <c r="CT216" i="126"/>
  <c r="CM216" i="126"/>
  <c r="CM214" i="126"/>
  <c r="CP216" i="126"/>
  <c r="CP214" i="126"/>
  <c r="CG214" i="126"/>
  <c r="CG216" i="126"/>
  <c r="CA205" i="126"/>
  <c r="CA201" i="126"/>
  <c r="CA199" i="126"/>
  <c r="BR223" i="126"/>
  <c r="BR219" i="126"/>
  <c r="DE222" i="126"/>
  <c r="DE218" i="126"/>
  <c r="CY202" i="126"/>
  <c r="CY196" i="126"/>
  <c r="N111" i="126"/>
  <c r="O111" i="126" s="1"/>
  <c r="L111" i="126"/>
  <c r="M112" i="126"/>
  <c r="Q111" i="126"/>
  <c r="R111" i="126"/>
  <c r="CO155" i="126"/>
  <c r="DD155" i="126"/>
  <c r="DB201" i="126"/>
  <c r="DB199" i="126"/>
  <c r="DB205" i="126"/>
  <c r="BY224" i="126"/>
  <c r="BY220" i="126"/>
  <c r="CP224" i="126"/>
  <c r="CP220" i="126"/>
  <c r="BO211" i="126"/>
  <c r="CJ223" i="126"/>
  <c r="CJ219" i="126"/>
  <c r="BN222" i="126"/>
  <c r="BN218" i="126"/>
  <c r="CN222" i="126"/>
  <c r="CN218" i="126"/>
  <c r="CZ222" i="126"/>
  <c r="CZ218" i="126"/>
  <c r="BU222" i="126"/>
  <c r="BU218" i="126"/>
  <c r="CU222" i="126"/>
  <c r="CU218" i="126"/>
  <c r="DF188" i="126"/>
  <c r="BM188" i="126"/>
  <c r="CX188" i="126"/>
  <c r="DF210" i="126"/>
  <c r="BK210" i="126"/>
  <c r="CQ196" i="126"/>
  <c r="CQ202" i="126"/>
  <c r="BL196" i="126"/>
  <c r="BL202" i="126"/>
  <c r="BO202" i="126"/>
  <c r="BO196" i="126"/>
  <c r="BR196" i="126"/>
  <c r="BR202" i="126"/>
  <c r="CW221" i="126"/>
  <c r="CW215" i="126"/>
  <c r="CW217" i="126"/>
  <c r="CK221" i="126"/>
  <c r="CK217" i="126"/>
  <c r="CK215" i="126"/>
  <c r="CP221" i="126"/>
  <c r="CP217" i="126"/>
  <c r="CP215" i="126"/>
  <c r="CS221" i="126"/>
  <c r="CS217" i="126"/>
  <c r="CS215" i="126"/>
  <c r="CB144" i="126"/>
  <c r="BW152" i="126"/>
  <c r="CP146" i="126"/>
  <c r="BR141" i="126"/>
  <c r="BV149" i="126"/>
  <c r="CH141" i="126"/>
  <c r="BX146" i="126"/>
  <c r="CD147" i="126"/>
  <c r="CL149" i="126"/>
  <c r="BQ151" i="126"/>
  <c r="CX159" i="126"/>
  <c r="DF147" i="126"/>
  <c r="CF151" i="126"/>
  <c r="CN160" i="126"/>
  <c r="DG141" i="126"/>
  <c r="DA144" i="126"/>
  <c r="CU147" i="126"/>
  <c r="BS151" i="126"/>
  <c r="BX141" i="126"/>
  <c r="CD144" i="126"/>
  <c r="BX147" i="126"/>
  <c r="CW150" i="126"/>
  <c r="DE143" i="126"/>
  <c r="CY146" i="126"/>
  <c r="DE149" i="126"/>
  <c r="CY148" i="126"/>
  <c r="CZ153" i="126"/>
  <c r="CP154" i="126"/>
  <c r="CN156" i="126"/>
  <c r="CE154" i="126"/>
  <c r="CB156" i="126"/>
  <c r="CK158" i="126"/>
  <c r="DC152" i="126"/>
  <c r="BN160" i="126"/>
  <c r="CJ162" i="126"/>
  <c r="BX153" i="126"/>
  <c r="CE155" i="126"/>
  <c r="BY153" i="126"/>
  <c r="BT155" i="126"/>
  <c r="CG160" i="126"/>
  <c r="BN153" i="126"/>
  <c r="BU155" i="126"/>
  <c r="CV160" i="126"/>
  <c r="DD148" i="126"/>
  <c r="CX151" i="126"/>
  <c r="CW154" i="126"/>
  <c r="CU156" i="126"/>
  <c r="BR159" i="126"/>
  <c r="BP162" i="126"/>
  <c r="CQ158" i="126"/>
  <c r="BN156" i="126"/>
  <c r="DB160" i="126"/>
  <c r="CU162" i="126"/>
  <c r="BK168" i="126"/>
  <c r="CQ183" i="126"/>
  <c r="CQ166" i="126"/>
  <c r="CN168" i="126"/>
  <c r="CB167" i="126"/>
  <c r="CB170" i="126"/>
  <c r="BV183" i="126"/>
  <c r="BV166" i="126"/>
  <c r="BP168" i="126"/>
  <c r="BW183" i="126"/>
  <c r="BW166" i="126"/>
  <c r="BQ168" i="126"/>
  <c r="BT170" i="126"/>
  <c r="BT167" i="126"/>
  <c r="BM183" i="126"/>
  <c r="BM166" i="126"/>
  <c r="DE170" i="126"/>
  <c r="DE167" i="126"/>
  <c r="CV167" i="126"/>
  <c r="CV170" i="126"/>
  <c r="BN168" i="126"/>
  <c r="BN200" i="126"/>
  <c r="BN195" i="126"/>
  <c r="CC200" i="126"/>
  <c r="CC195" i="126"/>
  <c r="CF200" i="126"/>
  <c r="CF195" i="126"/>
  <c r="DF200" i="126"/>
  <c r="DF195" i="126"/>
  <c r="CI216" i="126"/>
  <c r="CI214" i="126"/>
  <c r="DF214" i="126"/>
  <c r="DF216" i="126"/>
  <c r="CY216" i="126"/>
  <c r="CY214" i="126"/>
  <c r="DB216" i="126"/>
  <c r="DB214" i="126"/>
  <c r="CS214" i="126"/>
  <c r="CS216" i="126"/>
  <c r="BJ224" i="126"/>
  <c r="BJ220" i="126"/>
  <c r="CB219" i="126"/>
  <c r="CB223" i="126"/>
  <c r="DA183" i="126"/>
  <c r="DA166" i="126"/>
  <c r="CD201" i="126"/>
  <c r="CD199" i="126"/>
  <c r="CD205" i="126"/>
  <c r="DF205" i="126"/>
  <c r="DF201" i="126"/>
  <c r="DF199" i="126"/>
  <c r="CL205" i="126"/>
  <c r="CL201" i="126"/>
  <c r="CL199" i="126"/>
  <c r="CM224" i="126"/>
  <c r="CM220" i="126"/>
  <c r="CG224" i="126"/>
  <c r="CG220" i="126"/>
  <c r="DG224" i="126"/>
  <c r="DG220" i="126"/>
  <c r="DB223" i="126"/>
  <c r="DB219" i="126"/>
  <c r="BJ223" i="126"/>
  <c r="BJ219" i="126"/>
  <c r="CM219" i="126"/>
  <c r="CM223" i="126"/>
  <c r="BI205" i="126"/>
  <c r="BI201" i="126"/>
  <c r="BI199" i="126"/>
  <c r="BS201" i="126"/>
  <c r="BS199" i="126"/>
  <c r="BS205" i="126"/>
  <c r="BW205" i="126"/>
  <c r="BW199" i="126"/>
  <c r="BW201" i="126"/>
  <c r="CX205" i="126"/>
  <c r="CX201" i="126"/>
  <c r="CX199" i="126"/>
  <c r="CK224" i="126"/>
  <c r="CK220" i="126"/>
  <c r="CY224" i="126"/>
  <c r="CY220" i="126"/>
  <c r="DB224" i="126"/>
  <c r="DB220" i="126"/>
  <c r="CS224" i="126"/>
  <c r="CS220" i="126"/>
  <c r="BI211" i="126"/>
  <c r="CX211" i="126"/>
  <c r="DC211" i="126"/>
  <c r="CA211" i="126"/>
  <c r="DC223" i="126"/>
  <c r="DC219" i="126"/>
  <c r="BV223" i="126"/>
  <c r="BV219" i="126"/>
  <c r="CV223" i="126"/>
  <c r="CV219" i="126"/>
  <c r="CY223" i="126"/>
  <c r="CY219" i="126"/>
  <c r="CF222" i="126"/>
  <c r="CF218" i="126"/>
  <c r="BT222" i="126"/>
  <c r="BT218" i="126"/>
  <c r="CM222" i="126"/>
  <c r="CM218" i="126"/>
  <c r="CG222" i="126"/>
  <c r="CG218" i="126"/>
  <c r="DG222" i="126"/>
  <c r="DG218" i="126"/>
  <c r="DE188" i="126"/>
  <c r="DG210" i="126"/>
  <c r="CA210" i="126"/>
  <c r="CI210" i="126"/>
  <c r="DB210" i="126"/>
  <c r="BI196" i="126"/>
  <c r="BI202" i="126"/>
  <c r="DC196" i="126"/>
  <c r="DC202" i="126"/>
  <c r="BX196" i="126"/>
  <c r="BX202" i="126"/>
  <c r="CA202" i="126"/>
  <c r="CA196" i="126"/>
  <c r="CD196" i="126"/>
  <c r="CD202" i="126"/>
  <c r="BP221" i="126"/>
  <c r="BP217" i="126"/>
  <c r="BP215" i="126"/>
  <c r="DB221" i="126"/>
  <c r="DB217" i="126"/>
  <c r="DB215" i="126"/>
  <c r="DE221" i="126"/>
  <c r="DE217" i="126"/>
  <c r="DE215" i="126"/>
  <c r="BX221" i="126"/>
  <c r="BX217" i="126"/>
  <c r="BX215" i="126"/>
  <c r="L35" i="126"/>
  <c r="M36" i="126"/>
  <c r="CC143" i="126"/>
  <c r="CZ141" i="126"/>
  <c r="CL145" i="126"/>
  <c r="CA141" i="126"/>
  <c r="CT144" i="126"/>
  <c r="DD141" i="126"/>
  <c r="BU143" i="126"/>
  <c r="BO148" i="126"/>
  <c r="BP144" i="126"/>
  <c r="CW142" i="126"/>
  <c r="DA147" i="126"/>
  <c r="CF141" i="126"/>
  <c r="CH145" i="126"/>
  <c r="DB143" i="126"/>
  <c r="CX141" i="126"/>
  <c r="DA142" i="126"/>
  <c r="CV146" i="126"/>
  <c r="BZ148" i="126"/>
  <c r="CM151" i="126"/>
  <c r="BV160" i="126"/>
  <c r="CP147" i="126"/>
  <c r="DD150" i="126"/>
  <c r="CX149" i="126"/>
  <c r="CY149" i="126"/>
  <c r="BK156" i="126"/>
  <c r="CG148" i="126"/>
  <c r="CE151" i="126"/>
  <c r="CL160" i="126"/>
  <c r="BU148" i="126"/>
  <c r="CV151" i="126"/>
  <c r="CN153" i="126"/>
  <c r="BU142" i="126"/>
  <c r="BO145" i="126"/>
  <c r="DG147" i="126"/>
  <c r="CG151" i="126"/>
  <c r="BS159" i="126"/>
  <c r="CJ141" i="126"/>
  <c r="CP144" i="126"/>
  <c r="CJ147" i="126"/>
  <c r="BT151" i="126"/>
  <c r="CF158" i="126"/>
  <c r="BS144" i="126"/>
  <c r="BM147" i="126"/>
  <c r="BK150" i="126"/>
  <c r="BY156" i="126"/>
  <c r="BS149" i="126"/>
  <c r="CI152" i="126"/>
  <c r="BZ154" i="126"/>
  <c r="DB154" i="126"/>
  <c r="DA156" i="126"/>
  <c r="BX159" i="126"/>
  <c r="CQ154" i="126"/>
  <c r="CO156" i="126"/>
  <c r="BV153" i="126"/>
  <c r="BQ155" i="126"/>
  <c r="CC160" i="126"/>
  <c r="BK153" i="126"/>
  <c r="BP160" i="126"/>
  <c r="CJ153" i="126"/>
  <c r="CQ155" i="126"/>
  <c r="CK153" i="126"/>
  <c r="CF155" i="126"/>
  <c r="CU160" i="126"/>
  <c r="BZ153" i="126"/>
  <c r="CG155" i="126"/>
  <c r="BR149" i="126"/>
  <c r="BL152" i="126"/>
  <c r="CG159" i="126"/>
  <c r="CV162" i="126"/>
  <c r="BQ162" i="126"/>
  <c r="BZ170" i="126"/>
  <c r="BZ167" i="126"/>
  <c r="DC158" i="126"/>
  <c r="BZ156" i="126"/>
  <c r="BV158" i="126"/>
  <c r="DG162" i="126"/>
  <c r="DC183" i="126"/>
  <c r="DC166" i="126"/>
  <c r="DB168" i="126"/>
  <c r="CN167" i="126"/>
  <c r="CN170" i="126"/>
  <c r="CH183" i="126"/>
  <c r="CH166" i="126"/>
  <c r="CC168" i="126"/>
  <c r="CI183" i="126"/>
  <c r="CI166" i="126"/>
  <c r="CD168" i="126"/>
  <c r="CF170" i="126"/>
  <c r="CF167" i="126"/>
  <c r="BY183" i="126"/>
  <c r="BY166" i="126"/>
  <c r="BS168" i="126"/>
  <c r="BV170" i="126"/>
  <c r="BV167" i="126"/>
  <c r="BP183" i="126"/>
  <c r="BP166" i="126"/>
  <c r="BZ168" i="126"/>
  <c r="BO200" i="126"/>
  <c r="BO195" i="126"/>
  <c r="CO195" i="126"/>
  <c r="CO200" i="126"/>
  <c r="CR200" i="126"/>
  <c r="CR195" i="126"/>
  <c r="BK200" i="126"/>
  <c r="BK195" i="126"/>
  <c r="BW216" i="126"/>
  <c r="BW214" i="126"/>
  <c r="BM216" i="126"/>
  <c r="BM214" i="126"/>
  <c r="BP216" i="126"/>
  <c r="BP214" i="126"/>
  <c r="BS214" i="126"/>
  <c r="BS216" i="126"/>
  <c r="DE216" i="126"/>
  <c r="DE214" i="126"/>
  <c r="CE224" i="126"/>
  <c r="CE220" i="126"/>
  <c r="BQ218" i="126"/>
  <c r="BQ222" i="126"/>
  <c r="CB205" i="126"/>
  <c r="CB201" i="126"/>
  <c r="CB199" i="126"/>
  <c r="CI205" i="126"/>
  <c r="CI199" i="126"/>
  <c r="CI201" i="126"/>
  <c r="CQ205" i="126"/>
  <c r="CQ201" i="126"/>
  <c r="CQ199" i="126"/>
  <c r="BO201" i="126"/>
  <c r="BO199" i="126"/>
  <c r="BO205" i="126"/>
  <c r="CL224" i="126"/>
  <c r="CL220" i="126"/>
  <c r="BP224" i="126"/>
  <c r="BP220" i="126"/>
  <c r="BS224" i="126"/>
  <c r="BS220" i="126"/>
  <c r="DE224" i="126"/>
  <c r="DE220" i="126"/>
  <c r="BT211" i="126"/>
  <c r="DD223" i="126"/>
  <c r="DD219" i="126"/>
  <c r="CH223" i="126"/>
  <c r="CH219" i="126"/>
  <c r="BM223" i="126"/>
  <c r="BM219" i="126"/>
  <c r="BP223" i="126"/>
  <c r="BP219" i="126"/>
  <c r="CJ222" i="126"/>
  <c r="CJ218" i="126"/>
  <c r="CQ222" i="126"/>
  <c r="CQ218" i="126"/>
  <c r="CY222" i="126"/>
  <c r="CY218" i="126"/>
  <c r="CS222" i="126"/>
  <c r="CS218" i="126"/>
  <c r="CY210" i="126"/>
  <c r="BT202" i="126"/>
  <c r="BT196" i="126"/>
  <c r="BJ196" i="126"/>
  <c r="BJ202" i="126"/>
  <c r="CJ196" i="126"/>
  <c r="CJ202" i="126"/>
  <c r="CM202" i="126"/>
  <c r="CM196" i="126"/>
  <c r="CP196" i="126"/>
  <c r="CP202" i="126"/>
  <c r="CE217" i="126"/>
  <c r="CE215" i="126"/>
  <c r="CE221" i="126"/>
  <c r="BJ221" i="126"/>
  <c r="BJ217" i="126"/>
  <c r="BJ215" i="126"/>
  <c r="BM221" i="126"/>
  <c r="BM215" i="126"/>
  <c r="BM217" i="126"/>
  <c r="CJ221" i="126"/>
  <c r="CJ217" i="126"/>
  <c r="CJ215" i="126"/>
  <c r="BL144" i="126"/>
  <c r="BP146" i="126"/>
  <c r="DC150" i="126"/>
  <c r="CB148" i="126"/>
  <c r="BV144" i="126"/>
  <c r="BX142" i="126"/>
  <c r="BM143" i="126"/>
  <c r="BQ147" i="126"/>
  <c r="CM148" i="126"/>
  <c r="BR150" i="126"/>
  <c r="CH148" i="126"/>
  <c r="BN152" i="126"/>
  <c r="BN154" i="126"/>
  <c r="CA145" i="126"/>
  <c r="BV148" i="126"/>
  <c r="CO153" i="126"/>
  <c r="CX160" i="126"/>
  <c r="CV141" i="126"/>
  <c r="DB144" i="126"/>
  <c r="CV147" i="126"/>
  <c r="CE144" i="126"/>
  <c r="BX150" i="126"/>
  <c r="CB146" i="126"/>
  <c r="CF149" i="126"/>
  <c r="CY152" i="126"/>
  <c r="DC154" i="126"/>
  <c r="CH153" i="126"/>
  <c r="CC155" i="126"/>
  <c r="CR160" i="126"/>
  <c r="BW153" i="126"/>
  <c r="CE160" i="126"/>
  <c r="BK151" i="126"/>
  <c r="CV153" i="126"/>
  <c r="DC155" i="126"/>
  <c r="BN158" i="126"/>
  <c r="CW153" i="126"/>
  <c r="CR155" i="126"/>
  <c r="CL153" i="126"/>
  <c r="CS155" i="126"/>
  <c r="CD149" i="126"/>
  <c r="BX152" i="126"/>
  <c r="CU159" i="126"/>
  <c r="BN162" i="126"/>
  <c r="BM170" i="126"/>
  <c r="BM167" i="126"/>
  <c r="CC162" i="126"/>
  <c r="BQ159" i="126"/>
  <c r="CG183" i="126"/>
  <c r="CG166" i="126"/>
  <c r="CL156" i="126"/>
  <c r="CH158" i="126"/>
  <c r="CZ167" i="126"/>
  <c r="CZ170" i="126"/>
  <c r="BQ170" i="126"/>
  <c r="BQ167" i="126"/>
  <c r="CT183" i="126"/>
  <c r="CT166" i="126"/>
  <c r="CQ168" i="126"/>
  <c r="CU183" i="126"/>
  <c r="CU166" i="126"/>
  <c r="CR168" i="126"/>
  <c r="CR170" i="126"/>
  <c r="CR167" i="126"/>
  <c r="CK183" i="126"/>
  <c r="CK166" i="126"/>
  <c r="CF168" i="126"/>
  <c r="CH170" i="126"/>
  <c r="CH167" i="126"/>
  <c r="CB183" i="126"/>
  <c r="CB166" i="126"/>
  <c r="BV168" i="126"/>
  <c r="CL168" i="126"/>
  <c r="BY141" i="126"/>
  <c r="BZ200" i="126"/>
  <c r="BZ195" i="126"/>
  <c r="DA200" i="126"/>
  <c r="DA195" i="126"/>
  <c r="DD200" i="126"/>
  <c r="DD195" i="126"/>
  <c r="BW200" i="126"/>
  <c r="BW195" i="126"/>
  <c r="CJ216" i="126"/>
  <c r="CJ214" i="126"/>
  <c r="BY216" i="126"/>
  <c r="BY214" i="126"/>
  <c r="CB216" i="126"/>
  <c r="CB214" i="126"/>
  <c r="CE214" i="126"/>
  <c r="CE216" i="126"/>
  <c r="R123" i="126" l="1"/>
  <c r="Q123" i="126"/>
  <c r="N123" i="126"/>
  <c r="O123" i="126" s="1"/>
  <c r="L123" i="126"/>
  <c r="M124" i="126"/>
  <c r="R112" i="126"/>
  <c r="Q112" i="126"/>
  <c r="N112" i="126"/>
  <c r="O112" i="126" s="1"/>
  <c r="L112" i="126"/>
  <c r="M113" i="126"/>
  <c r="M37" i="126"/>
  <c r="T36" i="126"/>
  <c r="R36" i="126"/>
  <c r="N36" i="126"/>
  <c r="O36" i="126" s="1"/>
  <c r="L36" i="126"/>
  <c r="DF244" i="126"/>
  <c r="CT244" i="126"/>
  <c r="CH244" i="126"/>
  <c r="BV244" i="126"/>
  <c r="BJ244" i="126"/>
  <c r="AX244" i="126"/>
  <c r="AL244" i="126"/>
  <c r="Z244" i="126"/>
  <c r="N244" i="126"/>
  <c r="DE244" i="126"/>
  <c r="CS244" i="126"/>
  <c r="CG244" i="126"/>
  <c r="BU244" i="126"/>
  <c r="BI244" i="126"/>
  <c r="AW244" i="126"/>
  <c r="AK244" i="126"/>
  <c r="Y244" i="126"/>
  <c r="M244" i="126"/>
  <c r="DD244" i="126"/>
  <c r="CR244" i="126"/>
  <c r="CF244" i="126"/>
  <c r="BT244" i="126"/>
  <c r="BH244" i="126"/>
  <c r="AV244" i="126"/>
  <c r="AJ244" i="126"/>
  <c r="X244" i="126"/>
  <c r="L244" i="126"/>
  <c r="DC244" i="126"/>
  <c r="CQ244" i="126"/>
  <c r="CE244" i="126"/>
  <c r="BS244" i="126"/>
  <c r="BG244" i="126"/>
  <c r="AU244" i="126"/>
  <c r="AI244" i="126"/>
  <c r="W244" i="126"/>
  <c r="K244" i="126"/>
  <c r="DB244" i="126"/>
  <c r="CP244" i="126"/>
  <c r="CD244" i="126"/>
  <c r="BR244" i="126"/>
  <c r="BF244" i="126"/>
  <c r="AT244" i="126"/>
  <c r="AH244" i="126"/>
  <c r="V244" i="126"/>
  <c r="J244" i="126"/>
  <c r="DA244" i="126"/>
  <c r="CO244" i="126"/>
  <c r="CC244" i="126"/>
  <c r="BQ244" i="126"/>
  <c r="BE244" i="126"/>
  <c r="AS244" i="126"/>
  <c r="AG244" i="126"/>
  <c r="U244" i="126"/>
  <c r="I244" i="126"/>
  <c r="CZ244" i="126"/>
  <c r="CN244" i="126"/>
  <c r="CB244" i="126"/>
  <c r="BP244" i="126"/>
  <c r="BD244" i="126"/>
  <c r="AR244" i="126"/>
  <c r="AF244" i="126"/>
  <c r="T244" i="126"/>
  <c r="CX244" i="126"/>
  <c r="CL244" i="126"/>
  <c r="BZ244" i="126"/>
  <c r="BN244" i="126"/>
  <c r="BB244" i="126"/>
  <c r="AP244" i="126"/>
  <c r="AD244" i="126"/>
  <c r="R244" i="126"/>
  <c r="DG244" i="126"/>
  <c r="CU244" i="126"/>
  <c r="CI244" i="126"/>
  <c r="BW244" i="126"/>
  <c r="BK244" i="126"/>
  <c r="AY244" i="126"/>
  <c r="AM244" i="126"/>
  <c r="AA244" i="126"/>
  <c r="O244" i="126"/>
  <c r="CM244" i="126"/>
  <c r="AQ244" i="126"/>
  <c r="CK244" i="126"/>
  <c r="AO244" i="126"/>
  <c r="CJ244" i="126"/>
  <c r="AN244" i="126"/>
  <c r="CA244" i="126"/>
  <c r="AE244" i="126"/>
  <c r="BY244" i="126"/>
  <c r="AC244" i="126"/>
  <c r="BX244" i="126"/>
  <c r="AB244" i="126"/>
  <c r="BO244" i="126"/>
  <c r="S244" i="126"/>
  <c r="BM244" i="126"/>
  <c r="Q244" i="126"/>
  <c r="BL244" i="126"/>
  <c r="P244" i="126"/>
  <c r="CY244" i="126"/>
  <c r="BC244" i="126"/>
  <c r="CW244" i="126"/>
  <c r="CV244" i="126"/>
  <c r="BA244" i="126"/>
  <c r="AZ244" i="126"/>
  <c r="N37" i="126" l="1"/>
  <c r="O37" i="126" s="1"/>
  <c r="L37" i="126"/>
  <c r="R37" i="126"/>
  <c r="T37" i="126"/>
  <c r="M38" i="126"/>
  <c r="L113" i="126"/>
  <c r="R113" i="126"/>
  <c r="Q113" i="126"/>
  <c r="N113" i="126"/>
  <c r="O113" i="126" s="1"/>
  <c r="L124" i="126"/>
  <c r="M125" i="126"/>
  <c r="R124" i="126"/>
  <c r="Q124" i="126"/>
  <c r="N124" i="126"/>
  <c r="O124" i="126" s="1"/>
  <c r="N125" i="126" l="1"/>
  <c r="O125" i="126" s="1"/>
  <c r="L125" i="126"/>
  <c r="M126" i="126"/>
  <c r="Q125" i="126"/>
  <c r="R125" i="126"/>
  <c r="M39" i="126"/>
  <c r="T38" i="126"/>
  <c r="R38" i="126"/>
  <c r="L38" i="126"/>
  <c r="N38" i="126"/>
  <c r="O38" i="126" s="1"/>
  <c r="N39" i="126" l="1"/>
  <c r="O39" i="126" s="1"/>
  <c r="L39" i="126"/>
  <c r="M40" i="126"/>
  <c r="T39" i="126"/>
  <c r="R39" i="126"/>
  <c r="R126" i="126"/>
  <c r="Q126" i="126"/>
  <c r="N126" i="126"/>
  <c r="O126" i="126" s="1"/>
  <c r="L126" i="126"/>
  <c r="T40" i="126" l="1"/>
  <c r="R40" i="126"/>
  <c r="L40" i="126"/>
  <c r="N40" i="126"/>
  <c r="O40" i="126" s="1"/>
  <c r="BL164" i="104" l="1"/>
  <c r="BL163" i="104"/>
  <c r="F261" i="123"/>
  <c r="D261" i="123"/>
  <c r="B261" i="123"/>
  <c r="F260" i="123"/>
  <c r="D260" i="123"/>
  <c r="B260" i="123"/>
  <c r="F259" i="123"/>
  <c r="D259" i="123"/>
  <c r="B259" i="123"/>
  <c r="F258" i="123"/>
  <c r="D258" i="123"/>
  <c r="B258" i="123"/>
  <c r="F257" i="123"/>
  <c r="D257" i="123"/>
  <c r="B257" i="123"/>
  <c r="F256" i="123"/>
  <c r="D256" i="123"/>
  <c r="B256" i="123"/>
  <c r="F255" i="123"/>
  <c r="D255" i="123"/>
  <c r="B255" i="123"/>
  <c r="F254" i="123"/>
  <c r="D254" i="123"/>
  <c r="B254" i="123"/>
  <c r="F253" i="123"/>
  <c r="D253" i="123"/>
  <c r="B253" i="123"/>
  <c r="F252" i="123"/>
  <c r="D252" i="123"/>
  <c r="B252" i="123"/>
  <c r="F251" i="123"/>
  <c r="D251" i="123"/>
  <c r="B251" i="123"/>
  <c r="F250" i="123"/>
  <c r="D250" i="123"/>
  <c r="B250" i="123"/>
  <c r="F249" i="123"/>
  <c r="D249" i="123"/>
  <c r="B249" i="123"/>
  <c r="F248" i="123"/>
  <c r="D248" i="123"/>
  <c r="B248" i="123"/>
  <c r="F247" i="123"/>
  <c r="D247" i="123"/>
  <c r="B247" i="123"/>
  <c r="F246" i="123"/>
  <c r="D246" i="123"/>
  <c r="B246" i="123"/>
  <c r="F245" i="123"/>
  <c r="D245" i="123"/>
  <c r="B245" i="123"/>
  <c r="F244" i="123"/>
  <c r="D244" i="123"/>
  <c r="B244" i="123"/>
  <c r="F243" i="123"/>
  <c r="D243" i="123"/>
  <c r="B243" i="123"/>
  <c r="F242" i="123"/>
  <c r="D242" i="123"/>
  <c r="B242" i="123"/>
  <c r="F241" i="123"/>
  <c r="D241" i="123"/>
  <c r="B241" i="123"/>
  <c r="F240" i="123"/>
  <c r="D240" i="123"/>
  <c r="B240" i="123"/>
  <c r="F239" i="123"/>
  <c r="D239" i="123"/>
  <c r="B239" i="123"/>
  <c r="F238" i="123"/>
  <c r="D238" i="123"/>
  <c r="B238" i="123"/>
  <c r="F237" i="123"/>
  <c r="D237" i="123"/>
  <c r="B237" i="123"/>
  <c r="F236" i="123"/>
  <c r="D236" i="123"/>
  <c r="B236" i="123"/>
  <c r="F235" i="123"/>
  <c r="D235" i="123"/>
  <c r="B235" i="123"/>
  <c r="F234" i="123"/>
  <c r="D234" i="123"/>
  <c r="B234" i="123"/>
  <c r="F233" i="123"/>
  <c r="D233" i="123"/>
  <c r="B233" i="123"/>
  <c r="F232" i="123"/>
  <c r="D232" i="123"/>
  <c r="B232" i="123"/>
  <c r="F231" i="123"/>
  <c r="D231" i="123"/>
  <c r="B231" i="123"/>
  <c r="F230" i="123"/>
  <c r="D230" i="123"/>
  <c r="B230" i="123"/>
  <c r="F229" i="123"/>
  <c r="D229" i="123"/>
  <c r="B229" i="123"/>
  <c r="F228" i="123"/>
  <c r="D228" i="123"/>
  <c r="B228" i="123"/>
  <c r="F227" i="123"/>
  <c r="D227" i="123"/>
  <c r="B227" i="123"/>
  <c r="F226" i="123"/>
  <c r="D226" i="123"/>
  <c r="B226" i="123"/>
  <c r="F225" i="123"/>
  <c r="D225" i="123"/>
  <c r="B225" i="123"/>
  <c r="F224" i="123"/>
  <c r="D224" i="123"/>
  <c r="B224" i="123"/>
  <c r="F223" i="123"/>
  <c r="D223" i="123"/>
  <c r="B223" i="123"/>
  <c r="F222" i="123"/>
  <c r="D222" i="123"/>
  <c r="B222" i="123"/>
  <c r="F221" i="123"/>
  <c r="D221" i="123"/>
  <c r="B221" i="123"/>
  <c r="F220" i="123"/>
  <c r="D220" i="123"/>
  <c r="B220" i="123"/>
  <c r="F219" i="123"/>
  <c r="D219" i="123"/>
  <c r="B219" i="123"/>
  <c r="F218" i="123"/>
  <c r="D218" i="123"/>
  <c r="B218" i="123"/>
  <c r="F217" i="123"/>
  <c r="D217" i="123"/>
  <c r="B217" i="123"/>
  <c r="F216" i="123"/>
  <c r="D216" i="123"/>
  <c r="B216" i="123"/>
  <c r="F215" i="123"/>
  <c r="D215" i="123"/>
  <c r="B215" i="123"/>
  <c r="F214" i="123"/>
  <c r="D214" i="123"/>
  <c r="B214" i="123"/>
  <c r="F213" i="123"/>
  <c r="D213" i="123"/>
  <c r="B213" i="123"/>
  <c r="F210" i="123"/>
  <c r="D210" i="123"/>
  <c r="B210" i="123"/>
  <c r="F209" i="123"/>
  <c r="D209" i="123"/>
  <c r="B209" i="123"/>
  <c r="F208" i="123"/>
  <c r="D208" i="123"/>
  <c r="B208" i="123"/>
  <c r="F207" i="123"/>
  <c r="D207" i="123"/>
  <c r="B207" i="123"/>
  <c r="F206" i="123"/>
  <c r="D206" i="123"/>
  <c r="B206" i="123"/>
  <c r="F205" i="123"/>
  <c r="D205" i="123"/>
  <c r="B205" i="123"/>
  <c r="F204" i="123"/>
  <c r="D204" i="123"/>
  <c r="B204" i="123"/>
  <c r="F203" i="123"/>
  <c r="D203" i="123"/>
  <c r="B203" i="123"/>
  <c r="F202" i="123"/>
  <c r="D202" i="123"/>
  <c r="B202" i="123"/>
  <c r="F201" i="123"/>
  <c r="D201" i="123"/>
  <c r="B201" i="123"/>
  <c r="F200" i="123"/>
  <c r="D200" i="123"/>
  <c r="B200" i="123"/>
  <c r="F199" i="123"/>
  <c r="D199" i="123"/>
  <c r="B199" i="123"/>
  <c r="F198" i="123"/>
  <c r="D198" i="123"/>
  <c r="B198" i="123"/>
  <c r="F197" i="123"/>
  <c r="D197" i="123"/>
  <c r="B197" i="123"/>
  <c r="F196" i="123"/>
  <c r="D196" i="123"/>
  <c r="B196" i="123"/>
  <c r="F195" i="123"/>
  <c r="D195" i="123"/>
  <c r="B195" i="123"/>
  <c r="F194" i="123"/>
  <c r="D194" i="123"/>
  <c r="B194" i="123"/>
  <c r="F193" i="123"/>
  <c r="D193" i="123"/>
  <c r="B193" i="123"/>
  <c r="F192" i="123"/>
  <c r="D192" i="123"/>
  <c r="B192" i="123"/>
  <c r="F191" i="123"/>
  <c r="D191" i="123"/>
  <c r="B191" i="123"/>
  <c r="F190" i="123"/>
  <c r="D190" i="123"/>
  <c r="B190" i="123"/>
  <c r="F189" i="123"/>
  <c r="D189" i="123"/>
  <c r="B189" i="123"/>
  <c r="F188" i="123"/>
  <c r="D188" i="123"/>
  <c r="B188" i="123"/>
  <c r="F187" i="123"/>
  <c r="D187" i="123"/>
  <c r="B187" i="123"/>
  <c r="F186" i="123"/>
  <c r="D186" i="123"/>
  <c r="B186" i="123"/>
  <c r="F185" i="123"/>
  <c r="D185" i="123"/>
  <c r="B185" i="123"/>
  <c r="F184" i="123"/>
  <c r="D184" i="123"/>
  <c r="B184" i="123"/>
  <c r="F183" i="123"/>
  <c r="D183" i="123"/>
  <c r="B183" i="123"/>
  <c r="F182" i="123"/>
  <c r="D182" i="123"/>
  <c r="B182" i="123"/>
  <c r="F181" i="123"/>
  <c r="D181" i="123"/>
  <c r="B181" i="123"/>
  <c r="F180" i="123"/>
  <c r="D180" i="123"/>
  <c r="B180" i="123"/>
  <c r="F179" i="123"/>
  <c r="D179" i="123"/>
  <c r="B179" i="123"/>
  <c r="F178" i="123"/>
  <c r="D178" i="123"/>
  <c r="B178" i="123"/>
  <c r="F177" i="123"/>
  <c r="D177" i="123"/>
  <c r="B177" i="123"/>
  <c r="F176" i="123"/>
  <c r="D176" i="123"/>
  <c r="B176" i="123"/>
  <c r="F175" i="123"/>
  <c r="D175" i="123"/>
  <c r="B175" i="123"/>
  <c r="F174" i="123"/>
  <c r="D174" i="123"/>
  <c r="B174" i="123"/>
  <c r="F173" i="123"/>
  <c r="D173" i="123"/>
  <c r="B173" i="123"/>
  <c r="F172" i="123"/>
  <c r="D172" i="123"/>
  <c r="B172" i="123"/>
  <c r="F171" i="123"/>
  <c r="D171" i="123"/>
  <c r="B171" i="123"/>
  <c r="F170" i="123"/>
  <c r="D170" i="123"/>
  <c r="B170" i="123"/>
  <c r="F169" i="123"/>
  <c r="D169" i="123"/>
  <c r="B169" i="123"/>
  <c r="F168" i="123"/>
  <c r="D168" i="123"/>
  <c r="B168" i="123"/>
  <c r="F167" i="123"/>
  <c r="D167" i="123"/>
  <c r="B167" i="123"/>
  <c r="F166" i="123"/>
  <c r="D166" i="123"/>
  <c r="B166" i="123"/>
  <c r="F165" i="123"/>
  <c r="D165" i="123"/>
  <c r="B165" i="123"/>
  <c r="F164" i="123"/>
  <c r="D164" i="123"/>
  <c r="B164" i="123"/>
  <c r="F163" i="123"/>
  <c r="D163" i="123"/>
  <c r="B163" i="123"/>
  <c r="F162" i="123"/>
  <c r="D162" i="123"/>
  <c r="B162" i="123"/>
  <c r="F159" i="123"/>
  <c r="D159" i="123"/>
  <c r="B159" i="123"/>
  <c r="F158" i="123"/>
  <c r="D158" i="123"/>
  <c r="B158" i="123"/>
  <c r="F157" i="123"/>
  <c r="D157" i="123"/>
  <c r="B157" i="123"/>
  <c r="F156" i="123"/>
  <c r="D156" i="123"/>
  <c r="B156" i="123"/>
  <c r="F155" i="123"/>
  <c r="D155" i="123"/>
  <c r="B155" i="123"/>
  <c r="F154" i="123"/>
  <c r="D154" i="123"/>
  <c r="B154" i="123"/>
  <c r="F153" i="123"/>
  <c r="D153" i="123"/>
  <c r="B153" i="123"/>
  <c r="F152" i="123"/>
  <c r="D152" i="123"/>
  <c r="B152" i="123"/>
  <c r="F151" i="123"/>
  <c r="D151" i="123"/>
  <c r="B151" i="123"/>
  <c r="F150" i="123"/>
  <c r="D150" i="123"/>
  <c r="B150" i="123"/>
  <c r="F149" i="123"/>
  <c r="D149" i="123"/>
  <c r="B149" i="123"/>
  <c r="F148" i="123"/>
  <c r="D148" i="123"/>
  <c r="B148" i="123"/>
  <c r="F147" i="123"/>
  <c r="D147" i="123"/>
  <c r="B147" i="123"/>
  <c r="F146" i="123"/>
  <c r="D146" i="123"/>
  <c r="B146" i="123"/>
  <c r="F145" i="123"/>
  <c r="D145" i="123"/>
  <c r="B145" i="123"/>
  <c r="F144" i="123"/>
  <c r="D144" i="123"/>
  <c r="B144" i="123"/>
  <c r="F143" i="123"/>
  <c r="D143" i="123"/>
  <c r="B143" i="123"/>
  <c r="F142" i="123"/>
  <c r="D142" i="123"/>
  <c r="B142" i="123"/>
  <c r="F141" i="123"/>
  <c r="D141" i="123"/>
  <c r="B141" i="123"/>
  <c r="F140" i="123"/>
  <c r="D140" i="123"/>
  <c r="B140" i="123"/>
  <c r="F139" i="123"/>
  <c r="D139" i="123"/>
  <c r="B139" i="123"/>
  <c r="F138" i="123"/>
  <c r="D138" i="123"/>
  <c r="B138" i="123"/>
  <c r="F137" i="123"/>
  <c r="D137" i="123"/>
  <c r="B137" i="123"/>
  <c r="F136" i="123"/>
  <c r="D136" i="123"/>
  <c r="B136" i="123"/>
  <c r="F135" i="123"/>
  <c r="D135" i="123"/>
  <c r="B135" i="123"/>
  <c r="F134" i="123"/>
  <c r="D134" i="123"/>
  <c r="B134" i="123"/>
  <c r="F133" i="123"/>
  <c r="D133" i="123"/>
  <c r="B133" i="123"/>
  <c r="F132" i="123"/>
  <c r="D132" i="123"/>
  <c r="B132" i="123"/>
  <c r="F131" i="123"/>
  <c r="D131" i="123"/>
  <c r="B131" i="123"/>
  <c r="F130" i="123"/>
  <c r="D130" i="123"/>
  <c r="B130" i="123"/>
  <c r="F129" i="123"/>
  <c r="D129" i="123"/>
  <c r="B129" i="123"/>
  <c r="F128" i="123"/>
  <c r="D128" i="123"/>
  <c r="B128" i="123"/>
  <c r="F127" i="123"/>
  <c r="D127" i="123"/>
  <c r="B127" i="123"/>
  <c r="F126" i="123"/>
  <c r="D126" i="123"/>
  <c r="B126" i="123"/>
  <c r="F125" i="123"/>
  <c r="D125" i="123"/>
  <c r="B125" i="123"/>
  <c r="F124" i="123"/>
  <c r="D124" i="123"/>
  <c r="B124" i="123"/>
  <c r="F123" i="123"/>
  <c r="D123" i="123"/>
  <c r="B123" i="123"/>
  <c r="F122" i="123"/>
  <c r="D122" i="123"/>
  <c r="B122" i="123"/>
  <c r="F121" i="123"/>
  <c r="D121" i="123"/>
  <c r="B121" i="123"/>
  <c r="F120" i="123"/>
  <c r="D120" i="123"/>
  <c r="B120" i="123"/>
  <c r="F119" i="123"/>
  <c r="D119" i="123"/>
  <c r="B119" i="123"/>
  <c r="F118" i="123"/>
  <c r="D118" i="123"/>
  <c r="B118" i="123"/>
  <c r="F117" i="123"/>
  <c r="D117" i="123"/>
  <c r="B117" i="123"/>
  <c r="F116" i="123"/>
  <c r="D116" i="123"/>
  <c r="B116" i="123"/>
  <c r="F115" i="123"/>
  <c r="D115" i="123"/>
  <c r="B115" i="123"/>
  <c r="F114" i="123"/>
  <c r="D114" i="123"/>
  <c r="B114" i="123"/>
  <c r="F113" i="123"/>
  <c r="D113" i="123"/>
  <c r="B113" i="123"/>
  <c r="F112" i="123"/>
  <c r="D112" i="123"/>
  <c r="B112" i="123"/>
  <c r="F111" i="123"/>
  <c r="D111" i="123"/>
  <c r="B111" i="123"/>
  <c r="F108" i="123"/>
  <c r="D108" i="123"/>
  <c r="B108" i="123"/>
  <c r="F107" i="123"/>
  <c r="D107" i="123"/>
  <c r="B107" i="123"/>
  <c r="F106" i="123"/>
  <c r="D106" i="123"/>
  <c r="B106" i="123"/>
  <c r="F105" i="123"/>
  <c r="D105" i="123"/>
  <c r="B105" i="123"/>
  <c r="F104" i="123"/>
  <c r="D104" i="123"/>
  <c r="B104" i="123"/>
  <c r="F103" i="123"/>
  <c r="D103" i="123"/>
  <c r="B103" i="123"/>
  <c r="F102" i="123"/>
  <c r="D102" i="123"/>
  <c r="B102" i="123"/>
  <c r="F101" i="123"/>
  <c r="D101" i="123"/>
  <c r="B101" i="123"/>
  <c r="F100" i="123"/>
  <c r="D100" i="123"/>
  <c r="B100" i="123"/>
  <c r="F99" i="123"/>
  <c r="D99" i="123"/>
  <c r="B99" i="123"/>
  <c r="F98" i="123"/>
  <c r="D98" i="123"/>
  <c r="B98" i="123"/>
  <c r="F97" i="123"/>
  <c r="D97" i="123"/>
  <c r="B97" i="123"/>
  <c r="F96" i="123"/>
  <c r="D96" i="123"/>
  <c r="B96" i="123"/>
  <c r="F95" i="123"/>
  <c r="D95" i="123"/>
  <c r="B95" i="123"/>
  <c r="F94" i="123"/>
  <c r="D94" i="123"/>
  <c r="B94" i="123"/>
  <c r="F93" i="123"/>
  <c r="D93" i="123"/>
  <c r="B93" i="123"/>
  <c r="F92" i="123"/>
  <c r="D92" i="123"/>
  <c r="B92" i="123"/>
  <c r="F91" i="123"/>
  <c r="D91" i="123"/>
  <c r="B91" i="123"/>
  <c r="F90" i="123"/>
  <c r="D90" i="123"/>
  <c r="B90" i="123"/>
  <c r="F89" i="123"/>
  <c r="D89" i="123"/>
  <c r="B89" i="123"/>
  <c r="F88" i="123"/>
  <c r="D88" i="123"/>
  <c r="B88" i="123"/>
  <c r="F87" i="123"/>
  <c r="D87" i="123"/>
  <c r="B87" i="123"/>
  <c r="F86" i="123"/>
  <c r="D86" i="123"/>
  <c r="B86" i="123"/>
  <c r="F85" i="123"/>
  <c r="D85" i="123"/>
  <c r="B85" i="123"/>
  <c r="F84" i="123"/>
  <c r="D84" i="123"/>
  <c r="B84" i="123"/>
  <c r="F83" i="123"/>
  <c r="D83" i="123"/>
  <c r="B83" i="123"/>
  <c r="F82" i="123"/>
  <c r="D82" i="123"/>
  <c r="B82" i="123"/>
  <c r="F81" i="123"/>
  <c r="D81" i="123"/>
  <c r="B81" i="123"/>
  <c r="F80" i="123"/>
  <c r="D80" i="123"/>
  <c r="B80" i="123"/>
  <c r="F79" i="123"/>
  <c r="D79" i="123"/>
  <c r="B79" i="123"/>
  <c r="F78" i="123"/>
  <c r="D78" i="123"/>
  <c r="B78" i="123"/>
  <c r="F77" i="123"/>
  <c r="D77" i="123"/>
  <c r="B77" i="123"/>
  <c r="F76" i="123"/>
  <c r="D76" i="123"/>
  <c r="B76" i="123"/>
  <c r="F75" i="123"/>
  <c r="D75" i="123"/>
  <c r="B75" i="123"/>
  <c r="F74" i="123"/>
  <c r="D74" i="123"/>
  <c r="B74" i="123"/>
  <c r="F73" i="123"/>
  <c r="D73" i="123"/>
  <c r="B73" i="123"/>
  <c r="F72" i="123"/>
  <c r="D72" i="123"/>
  <c r="B72" i="123"/>
  <c r="F71" i="123"/>
  <c r="D71" i="123"/>
  <c r="B71" i="123"/>
  <c r="F70" i="123"/>
  <c r="D70" i="123"/>
  <c r="B70" i="123"/>
  <c r="F69" i="123"/>
  <c r="D69" i="123"/>
  <c r="B69" i="123"/>
  <c r="F68" i="123"/>
  <c r="D68" i="123"/>
  <c r="B68" i="123"/>
  <c r="F67" i="123"/>
  <c r="D67" i="123"/>
  <c r="B67" i="123"/>
  <c r="F66" i="123"/>
  <c r="D66" i="123"/>
  <c r="B66" i="123"/>
  <c r="F65" i="123"/>
  <c r="D65" i="123"/>
  <c r="B65" i="123"/>
  <c r="F64" i="123"/>
  <c r="D64" i="123"/>
  <c r="B64" i="123"/>
  <c r="F63" i="123"/>
  <c r="D63" i="123"/>
  <c r="B63" i="123"/>
  <c r="F62" i="123"/>
  <c r="D62" i="123"/>
  <c r="B62" i="123"/>
  <c r="F61" i="123"/>
  <c r="D61" i="123"/>
  <c r="B61" i="123"/>
  <c r="F60" i="123"/>
  <c r="D60" i="123"/>
  <c r="B60" i="123"/>
  <c r="F57" i="123"/>
  <c r="D57" i="123"/>
  <c r="B57" i="123"/>
  <c r="F56" i="123"/>
  <c r="D56" i="123"/>
  <c r="B56" i="123"/>
  <c r="F55" i="123"/>
  <c r="D55" i="123"/>
  <c r="B55" i="123"/>
  <c r="F54" i="123"/>
  <c r="D54" i="123"/>
  <c r="B54" i="123"/>
  <c r="F53" i="123"/>
  <c r="D53" i="123"/>
  <c r="B53" i="123"/>
  <c r="F52" i="123"/>
  <c r="D52" i="123"/>
  <c r="B52" i="123"/>
  <c r="F51" i="123"/>
  <c r="D51" i="123"/>
  <c r="B51" i="123"/>
  <c r="F50" i="123"/>
  <c r="D50" i="123"/>
  <c r="B50" i="123"/>
  <c r="F49" i="123"/>
  <c r="D49" i="123"/>
  <c r="B49" i="123"/>
  <c r="F48" i="123"/>
  <c r="D48" i="123"/>
  <c r="B48" i="123"/>
  <c r="F47" i="123"/>
  <c r="D47" i="123"/>
  <c r="B47" i="123"/>
  <c r="F46" i="123"/>
  <c r="D46" i="123"/>
  <c r="B46" i="123"/>
  <c r="F45" i="123"/>
  <c r="D45" i="123"/>
  <c r="B45" i="123"/>
  <c r="F44" i="123"/>
  <c r="D44" i="123"/>
  <c r="B44" i="123"/>
  <c r="F43" i="123"/>
  <c r="D43" i="123"/>
  <c r="B43" i="123"/>
  <c r="F42" i="123"/>
  <c r="D42" i="123"/>
  <c r="B42" i="123"/>
  <c r="F41" i="123"/>
  <c r="D41" i="123"/>
  <c r="B41" i="123"/>
  <c r="F40" i="123"/>
  <c r="D40" i="123"/>
  <c r="B40" i="123"/>
  <c r="F39" i="123"/>
  <c r="D39" i="123"/>
  <c r="B39" i="123"/>
  <c r="F38" i="123"/>
  <c r="D38" i="123"/>
  <c r="B38" i="123"/>
  <c r="F37" i="123"/>
  <c r="D37" i="123"/>
  <c r="B37" i="123"/>
  <c r="F36" i="123"/>
  <c r="D36" i="123"/>
  <c r="B36" i="123"/>
  <c r="F35" i="123"/>
  <c r="D35" i="123"/>
  <c r="B35" i="123"/>
  <c r="F34" i="123"/>
  <c r="D34" i="123"/>
  <c r="B34" i="123"/>
  <c r="F33" i="123"/>
  <c r="D33" i="123"/>
  <c r="B33" i="123"/>
  <c r="F32" i="123"/>
  <c r="D32" i="123"/>
  <c r="B32" i="123"/>
  <c r="F31" i="123"/>
  <c r="D31" i="123"/>
  <c r="B31" i="123"/>
  <c r="F30" i="123"/>
  <c r="D30" i="123"/>
  <c r="B30" i="123"/>
  <c r="F29" i="123"/>
  <c r="D29" i="123"/>
  <c r="B29" i="123"/>
  <c r="F28" i="123"/>
  <c r="D28" i="123"/>
  <c r="B28" i="123"/>
  <c r="F27" i="123"/>
  <c r="D27" i="123"/>
  <c r="B27" i="123"/>
  <c r="F26" i="123"/>
  <c r="D26" i="123"/>
  <c r="B26" i="123"/>
  <c r="F25" i="123"/>
  <c r="D25" i="123"/>
  <c r="B25" i="123"/>
  <c r="F24" i="123"/>
  <c r="D24" i="123"/>
  <c r="B24" i="123"/>
  <c r="F23" i="123"/>
  <c r="D23" i="123"/>
  <c r="B23" i="123"/>
  <c r="F22" i="123"/>
  <c r="D22" i="123"/>
  <c r="B22" i="123"/>
  <c r="F21" i="123"/>
  <c r="D21" i="123"/>
  <c r="B21" i="123"/>
  <c r="F20" i="123"/>
  <c r="D20" i="123"/>
  <c r="B20" i="123"/>
  <c r="F19" i="123"/>
  <c r="D19" i="123"/>
  <c r="B19" i="123"/>
  <c r="F18" i="123"/>
  <c r="D18" i="123"/>
  <c r="B18" i="123"/>
  <c r="F17" i="123"/>
  <c r="D17" i="123"/>
  <c r="B17" i="123"/>
  <c r="F16" i="123"/>
  <c r="D16" i="123"/>
  <c r="B16" i="123"/>
  <c r="F15" i="123"/>
  <c r="D15" i="123"/>
  <c r="B15" i="123"/>
  <c r="F14" i="123"/>
  <c r="D14" i="123"/>
  <c r="B14" i="123"/>
  <c r="F13" i="123"/>
  <c r="D13" i="123"/>
  <c r="B13" i="123"/>
  <c r="F12" i="123"/>
  <c r="D12" i="123"/>
  <c r="B12" i="123"/>
  <c r="F11" i="123"/>
  <c r="D11" i="123"/>
  <c r="B11" i="123"/>
  <c r="F10" i="123"/>
  <c r="D10" i="123"/>
  <c r="B10" i="123"/>
  <c r="F9" i="123"/>
  <c r="D9" i="123"/>
  <c r="B9" i="123"/>
  <c r="F312" i="122"/>
  <c r="D312" i="122"/>
  <c r="B312" i="122"/>
  <c r="F311" i="122"/>
  <c r="D311" i="122"/>
  <c r="B311" i="122"/>
  <c r="F310" i="122"/>
  <c r="D310" i="122"/>
  <c r="B310" i="122"/>
  <c r="F309" i="122"/>
  <c r="D309" i="122"/>
  <c r="B309" i="122"/>
  <c r="F308" i="122"/>
  <c r="D308" i="122"/>
  <c r="B308" i="122"/>
  <c r="F307" i="122"/>
  <c r="D307" i="122"/>
  <c r="B307" i="122"/>
  <c r="F306" i="122"/>
  <c r="D306" i="122"/>
  <c r="B306" i="122"/>
  <c r="F305" i="122"/>
  <c r="D305" i="122"/>
  <c r="B305" i="122"/>
  <c r="F304" i="122"/>
  <c r="D304" i="122"/>
  <c r="B304" i="122"/>
  <c r="F303" i="122"/>
  <c r="D303" i="122"/>
  <c r="B303" i="122"/>
  <c r="F302" i="122"/>
  <c r="D302" i="122"/>
  <c r="B302" i="122"/>
  <c r="F301" i="122"/>
  <c r="D301" i="122"/>
  <c r="B301" i="122"/>
  <c r="F300" i="122"/>
  <c r="D300" i="122"/>
  <c r="B300" i="122"/>
  <c r="F299" i="122"/>
  <c r="D299" i="122"/>
  <c r="B299" i="122"/>
  <c r="F298" i="122"/>
  <c r="D298" i="122"/>
  <c r="B298" i="122"/>
  <c r="F297" i="122"/>
  <c r="D297" i="122"/>
  <c r="B297" i="122"/>
  <c r="F296" i="122"/>
  <c r="D296" i="122"/>
  <c r="B296" i="122"/>
  <c r="F295" i="122"/>
  <c r="D295" i="122"/>
  <c r="B295" i="122"/>
  <c r="F294" i="122"/>
  <c r="D294" i="122"/>
  <c r="B294" i="122"/>
  <c r="F293" i="122"/>
  <c r="D293" i="122"/>
  <c r="B293" i="122"/>
  <c r="F292" i="122"/>
  <c r="D292" i="122"/>
  <c r="B292" i="122"/>
  <c r="F291" i="122"/>
  <c r="D291" i="122"/>
  <c r="B291" i="122"/>
  <c r="F290" i="122"/>
  <c r="D290" i="122"/>
  <c r="B290" i="122"/>
  <c r="F289" i="122"/>
  <c r="D289" i="122"/>
  <c r="B289" i="122"/>
  <c r="F288" i="122"/>
  <c r="D288" i="122"/>
  <c r="B288" i="122"/>
  <c r="F287" i="122"/>
  <c r="D287" i="122"/>
  <c r="B287" i="122"/>
  <c r="F286" i="122"/>
  <c r="D286" i="122"/>
  <c r="B286" i="122"/>
  <c r="F285" i="122"/>
  <c r="D285" i="122"/>
  <c r="B285" i="122"/>
  <c r="F284" i="122"/>
  <c r="D284" i="122"/>
  <c r="B284" i="122"/>
  <c r="F283" i="122"/>
  <c r="D283" i="122"/>
  <c r="B283" i="122"/>
  <c r="F282" i="122"/>
  <c r="D282" i="122"/>
  <c r="B282" i="122"/>
  <c r="F281" i="122"/>
  <c r="D281" i="122"/>
  <c r="B281" i="122"/>
  <c r="F280" i="122"/>
  <c r="D280" i="122"/>
  <c r="B280" i="122"/>
  <c r="F279" i="122"/>
  <c r="D279" i="122"/>
  <c r="B279" i="122"/>
  <c r="F278" i="122"/>
  <c r="D278" i="122"/>
  <c r="B278" i="122"/>
  <c r="F277" i="122"/>
  <c r="D277" i="122"/>
  <c r="B277" i="122"/>
  <c r="F276" i="122"/>
  <c r="D276" i="122"/>
  <c r="B276" i="122"/>
  <c r="F275" i="122"/>
  <c r="D275" i="122"/>
  <c r="B275" i="122"/>
  <c r="F274" i="122"/>
  <c r="D274" i="122"/>
  <c r="B274" i="122"/>
  <c r="F273" i="122"/>
  <c r="D273" i="122"/>
  <c r="B273" i="122"/>
  <c r="F272" i="122"/>
  <c r="D272" i="122"/>
  <c r="B272" i="122"/>
  <c r="F271" i="122"/>
  <c r="D271" i="122"/>
  <c r="B271" i="122"/>
  <c r="F270" i="122"/>
  <c r="D270" i="122"/>
  <c r="B270" i="122"/>
  <c r="F269" i="122"/>
  <c r="D269" i="122"/>
  <c r="B269" i="122"/>
  <c r="F268" i="122"/>
  <c r="D268" i="122"/>
  <c r="B268" i="122"/>
  <c r="F267" i="122"/>
  <c r="D267" i="122"/>
  <c r="B267" i="122"/>
  <c r="F266" i="122"/>
  <c r="D266" i="122"/>
  <c r="B266" i="122"/>
  <c r="F265" i="122"/>
  <c r="D265" i="122"/>
  <c r="B265" i="122"/>
  <c r="F264" i="122"/>
  <c r="D264" i="122"/>
  <c r="B264" i="122"/>
  <c r="F261" i="122"/>
  <c r="D261" i="122"/>
  <c r="B261" i="122"/>
  <c r="F260" i="122"/>
  <c r="D260" i="122"/>
  <c r="B260" i="122"/>
  <c r="F259" i="122"/>
  <c r="D259" i="122"/>
  <c r="B259" i="122"/>
  <c r="F258" i="122"/>
  <c r="D258" i="122"/>
  <c r="B258" i="122"/>
  <c r="F257" i="122"/>
  <c r="D257" i="122"/>
  <c r="B257" i="122"/>
  <c r="F256" i="122"/>
  <c r="D256" i="122"/>
  <c r="B256" i="122"/>
  <c r="F255" i="122"/>
  <c r="D255" i="122"/>
  <c r="B255" i="122"/>
  <c r="F254" i="122"/>
  <c r="D254" i="122"/>
  <c r="B254" i="122"/>
  <c r="F253" i="122"/>
  <c r="D253" i="122"/>
  <c r="B253" i="122"/>
  <c r="F252" i="122"/>
  <c r="D252" i="122"/>
  <c r="B252" i="122"/>
  <c r="F251" i="122"/>
  <c r="D251" i="122"/>
  <c r="B251" i="122"/>
  <c r="F250" i="122"/>
  <c r="D250" i="122"/>
  <c r="B250" i="122"/>
  <c r="F249" i="122"/>
  <c r="D249" i="122"/>
  <c r="B249" i="122"/>
  <c r="F248" i="122"/>
  <c r="D248" i="122"/>
  <c r="B248" i="122"/>
  <c r="F247" i="122"/>
  <c r="D247" i="122"/>
  <c r="B247" i="122"/>
  <c r="F246" i="122"/>
  <c r="D246" i="122"/>
  <c r="B246" i="122"/>
  <c r="F245" i="122"/>
  <c r="D245" i="122"/>
  <c r="B245" i="122"/>
  <c r="F244" i="122"/>
  <c r="D244" i="122"/>
  <c r="B244" i="122"/>
  <c r="F243" i="122"/>
  <c r="D243" i="122"/>
  <c r="B243" i="122"/>
  <c r="F242" i="122"/>
  <c r="D242" i="122"/>
  <c r="B242" i="122"/>
  <c r="F241" i="122"/>
  <c r="D241" i="122"/>
  <c r="B241" i="122"/>
  <c r="F240" i="122"/>
  <c r="D240" i="122"/>
  <c r="B240" i="122"/>
  <c r="F239" i="122"/>
  <c r="D239" i="122"/>
  <c r="B239" i="122"/>
  <c r="F238" i="122"/>
  <c r="D238" i="122"/>
  <c r="B238" i="122"/>
  <c r="F237" i="122"/>
  <c r="D237" i="122"/>
  <c r="B237" i="122"/>
  <c r="F236" i="122"/>
  <c r="D236" i="122"/>
  <c r="B236" i="122"/>
  <c r="F235" i="122"/>
  <c r="D235" i="122"/>
  <c r="B235" i="122"/>
  <c r="F234" i="122"/>
  <c r="D234" i="122"/>
  <c r="B234" i="122"/>
  <c r="F233" i="122"/>
  <c r="D233" i="122"/>
  <c r="B233" i="122"/>
  <c r="F232" i="122"/>
  <c r="D232" i="122"/>
  <c r="B232" i="122"/>
  <c r="F231" i="122"/>
  <c r="D231" i="122"/>
  <c r="B231" i="122"/>
  <c r="F230" i="122"/>
  <c r="D230" i="122"/>
  <c r="B230" i="122"/>
  <c r="F229" i="122"/>
  <c r="D229" i="122"/>
  <c r="B229" i="122"/>
  <c r="F228" i="122"/>
  <c r="D228" i="122"/>
  <c r="B228" i="122"/>
  <c r="F227" i="122"/>
  <c r="D227" i="122"/>
  <c r="B227" i="122"/>
  <c r="F226" i="122"/>
  <c r="D226" i="122"/>
  <c r="B226" i="122"/>
  <c r="F225" i="122"/>
  <c r="D225" i="122"/>
  <c r="B225" i="122"/>
  <c r="F224" i="122"/>
  <c r="D224" i="122"/>
  <c r="B224" i="122"/>
  <c r="F223" i="122"/>
  <c r="D223" i="122"/>
  <c r="B223" i="122"/>
  <c r="F222" i="122"/>
  <c r="D222" i="122"/>
  <c r="B222" i="122"/>
  <c r="F221" i="122"/>
  <c r="D221" i="122"/>
  <c r="B221" i="122"/>
  <c r="F220" i="122"/>
  <c r="D220" i="122"/>
  <c r="B220" i="122"/>
  <c r="F219" i="122"/>
  <c r="D219" i="122"/>
  <c r="B219" i="122"/>
  <c r="F218" i="122"/>
  <c r="D218" i="122"/>
  <c r="B218" i="122"/>
  <c r="F217" i="122"/>
  <c r="D217" i="122"/>
  <c r="B217" i="122"/>
  <c r="F216" i="122"/>
  <c r="D216" i="122"/>
  <c r="B216" i="122"/>
  <c r="F215" i="122"/>
  <c r="D215" i="122"/>
  <c r="B215" i="122"/>
  <c r="F214" i="122"/>
  <c r="D214" i="122"/>
  <c r="B214" i="122"/>
  <c r="F213" i="122"/>
  <c r="D213" i="122"/>
  <c r="B213" i="122"/>
  <c r="F210" i="122"/>
  <c r="D210" i="122"/>
  <c r="B210" i="122"/>
  <c r="F209" i="122"/>
  <c r="D209" i="122"/>
  <c r="B209" i="122"/>
  <c r="F208" i="122"/>
  <c r="D208" i="122"/>
  <c r="B208" i="122"/>
  <c r="F207" i="122"/>
  <c r="D207" i="122"/>
  <c r="B207" i="122"/>
  <c r="F206" i="122"/>
  <c r="D206" i="122"/>
  <c r="B206" i="122"/>
  <c r="F205" i="122"/>
  <c r="D205" i="122"/>
  <c r="B205" i="122"/>
  <c r="F204" i="122"/>
  <c r="D204" i="122"/>
  <c r="B204" i="122"/>
  <c r="F203" i="122"/>
  <c r="D203" i="122"/>
  <c r="B203" i="122"/>
  <c r="F202" i="122"/>
  <c r="D202" i="122"/>
  <c r="B202" i="122"/>
  <c r="F201" i="122"/>
  <c r="D201" i="122"/>
  <c r="B201" i="122"/>
  <c r="F200" i="122"/>
  <c r="D200" i="122"/>
  <c r="B200" i="122"/>
  <c r="F199" i="122"/>
  <c r="D199" i="122"/>
  <c r="B199" i="122"/>
  <c r="F198" i="122"/>
  <c r="D198" i="122"/>
  <c r="B198" i="122"/>
  <c r="F197" i="122"/>
  <c r="D197" i="122"/>
  <c r="B197" i="122"/>
  <c r="F196" i="122"/>
  <c r="D196" i="122"/>
  <c r="B196" i="122"/>
  <c r="F195" i="122"/>
  <c r="D195" i="122"/>
  <c r="B195" i="122"/>
  <c r="F194" i="122"/>
  <c r="D194" i="122"/>
  <c r="B194" i="122"/>
  <c r="F193" i="122"/>
  <c r="D193" i="122"/>
  <c r="B193" i="122"/>
  <c r="F192" i="122"/>
  <c r="D192" i="122"/>
  <c r="B192" i="122"/>
  <c r="F191" i="122"/>
  <c r="D191" i="122"/>
  <c r="B191" i="122"/>
  <c r="F190" i="122"/>
  <c r="D190" i="122"/>
  <c r="B190" i="122"/>
  <c r="F189" i="122"/>
  <c r="D189" i="122"/>
  <c r="B189" i="122"/>
  <c r="F188" i="122"/>
  <c r="D188" i="122"/>
  <c r="B188" i="122"/>
  <c r="F187" i="122"/>
  <c r="D187" i="122"/>
  <c r="B187" i="122"/>
  <c r="F186" i="122"/>
  <c r="D186" i="122"/>
  <c r="B186" i="122"/>
  <c r="F185" i="122"/>
  <c r="D185" i="122"/>
  <c r="B185" i="122"/>
  <c r="F184" i="122"/>
  <c r="D184" i="122"/>
  <c r="B184" i="122"/>
  <c r="F183" i="122"/>
  <c r="D183" i="122"/>
  <c r="B183" i="122"/>
  <c r="F182" i="122"/>
  <c r="D182" i="122"/>
  <c r="B182" i="122"/>
  <c r="F181" i="122"/>
  <c r="D181" i="122"/>
  <c r="B181" i="122"/>
  <c r="F180" i="122"/>
  <c r="D180" i="122"/>
  <c r="B180" i="122"/>
  <c r="F179" i="122"/>
  <c r="D179" i="122"/>
  <c r="B179" i="122"/>
  <c r="F178" i="122"/>
  <c r="D178" i="122"/>
  <c r="B178" i="122"/>
  <c r="F177" i="122"/>
  <c r="D177" i="122"/>
  <c r="B177" i="122"/>
  <c r="F176" i="122"/>
  <c r="D176" i="122"/>
  <c r="B176" i="122"/>
  <c r="F175" i="122"/>
  <c r="D175" i="122"/>
  <c r="B175" i="122"/>
  <c r="F174" i="122"/>
  <c r="D174" i="122"/>
  <c r="B174" i="122"/>
  <c r="F173" i="122"/>
  <c r="D173" i="122"/>
  <c r="B173" i="122"/>
  <c r="F172" i="122"/>
  <c r="D172" i="122"/>
  <c r="B172" i="122"/>
  <c r="F171" i="122"/>
  <c r="D171" i="122"/>
  <c r="B171" i="122"/>
  <c r="F170" i="122"/>
  <c r="D170" i="122"/>
  <c r="B170" i="122"/>
  <c r="F169" i="122"/>
  <c r="D169" i="122"/>
  <c r="B169" i="122"/>
  <c r="F168" i="122"/>
  <c r="D168" i="122"/>
  <c r="B168" i="122"/>
  <c r="F167" i="122"/>
  <c r="D167" i="122"/>
  <c r="B167" i="122"/>
  <c r="F166" i="122"/>
  <c r="D166" i="122"/>
  <c r="B166" i="122"/>
  <c r="F165" i="122"/>
  <c r="D165" i="122"/>
  <c r="B165" i="122"/>
  <c r="F164" i="122"/>
  <c r="D164" i="122"/>
  <c r="B164" i="122"/>
  <c r="F163" i="122"/>
  <c r="D163" i="122"/>
  <c r="B163" i="122"/>
  <c r="F162" i="122"/>
  <c r="D162" i="122"/>
  <c r="B162" i="122"/>
  <c r="F159" i="122"/>
  <c r="D159" i="122"/>
  <c r="B159" i="122"/>
  <c r="F158" i="122"/>
  <c r="D158" i="122"/>
  <c r="B158" i="122"/>
  <c r="F157" i="122"/>
  <c r="D157" i="122"/>
  <c r="B157" i="122"/>
  <c r="F156" i="122"/>
  <c r="D156" i="122"/>
  <c r="B156" i="122"/>
  <c r="F155" i="122"/>
  <c r="D155" i="122"/>
  <c r="B155" i="122"/>
  <c r="F154" i="122"/>
  <c r="D154" i="122"/>
  <c r="B154" i="122"/>
  <c r="F153" i="122"/>
  <c r="D153" i="122"/>
  <c r="B153" i="122"/>
  <c r="F152" i="122"/>
  <c r="D152" i="122"/>
  <c r="B152" i="122"/>
  <c r="F151" i="122"/>
  <c r="D151" i="122"/>
  <c r="B151" i="122"/>
  <c r="F150" i="122"/>
  <c r="D150" i="122"/>
  <c r="B150" i="122"/>
  <c r="F149" i="122"/>
  <c r="D149" i="122"/>
  <c r="B149" i="122"/>
  <c r="F148" i="122"/>
  <c r="D148" i="122"/>
  <c r="B148" i="122"/>
  <c r="F147" i="122"/>
  <c r="D147" i="122"/>
  <c r="B147" i="122"/>
  <c r="F146" i="122"/>
  <c r="D146" i="122"/>
  <c r="B146" i="122"/>
  <c r="F145" i="122"/>
  <c r="D145" i="122"/>
  <c r="B145" i="122"/>
  <c r="F144" i="122"/>
  <c r="D144" i="122"/>
  <c r="B144" i="122"/>
  <c r="F143" i="122"/>
  <c r="D143" i="122"/>
  <c r="B143" i="122"/>
  <c r="F142" i="122"/>
  <c r="D142" i="122"/>
  <c r="B142" i="122"/>
  <c r="F141" i="122"/>
  <c r="D141" i="122"/>
  <c r="B141" i="122"/>
  <c r="F140" i="122"/>
  <c r="D140" i="122"/>
  <c r="B140" i="122"/>
  <c r="F139" i="122"/>
  <c r="D139" i="122"/>
  <c r="B139" i="122"/>
  <c r="F138" i="122"/>
  <c r="D138" i="122"/>
  <c r="B138" i="122"/>
  <c r="F137" i="122"/>
  <c r="D137" i="122"/>
  <c r="B137" i="122"/>
  <c r="F136" i="122"/>
  <c r="D136" i="122"/>
  <c r="B136" i="122"/>
  <c r="F135" i="122"/>
  <c r="D135" i="122"/>
  <c r="B135" i="122"/>
  <c r="F134" i="122"/>
  <c r="D134" i="122"/>
  <c r="B134" i="122"/>
  <c r="F133" i="122"/>
  <c r="D133" i="122"/>
  <c r="B133" i="122"/>
  <c r="F132" i="122"/>
  <c r="D132" i="122"/>
  <c r="B132" i="122"/>
  <c r="F131" i="122"/>
  <c r="D131" i="122"/>
  <c r="B131" i="122"/>
  <c r="F130" i="122"/>
  <c r="D130" i="122"/>
  <c r="B130" i="122"/>
  <c r="F129" i="122"/>
  <c r="D129" i="122"/>
  <c r="B129" i="122"/>
  <c r="F128" i="122"/>
  <c r="D128" i="122"/>
  <c r="B128" i="122"/>
  <c r="F127" i="122"/>
  <c r="D127" i="122"/>
  <c r="B127" i="122"/>
  <c r="F126" i="122"/>
  <c r="D126" i="122"/>
  <c r="B126" i="122"/>
  <c r="F125" i="122"/>
  <c r="D125" i="122"/>
  <c r="B125" i="122"/>
  <c r="F124" i="122"/>
  <c r="D124" i="122"/>
  <c r="B124" i="122"/>
  <c r="F123" i="122"/>
  <c r="D123" i="122"/>
  <c r="B123" i="122"/>
  <c r="F122" i="122"/>
  <c r="D122" i="122"/>
  <c r="B122" i="122"/>
  <c r="F121" i="122"/>
  <c r="D121" i="122"/>
  <c r="B121" i="122"/>
  <c r="F120" i="122"/>
  <c r="D120" i="122"/>
  <c r="B120" i="122"/>
  <c r="F119" i="122"/>
  <c r="D119" i="122"/>
  <c r="B119" i="122"/>
  <c r="F118" i="122"/>
  <c r="D118" i="122"/>
  <c r="B118" i="122"/>
  <c r="F117" i="122"/>
  <c r="D117" i="122"/>
  <c r="B117" i="122"/>
  <c r="F116" i="122"/>
  <c r="D116" i="122"/>
  <c r="B116" i="122"/>
  <c r="F115" i="122"/>
  <c r="D115" i="122"/>
  <c r="B115" i="122"/>
  <c r="F114" i="122"/>
  <c r="D114" i="122"/>
  <c r="B114" i="122"/>
  <c r="F113" i="122"/>
  <c r="D113" i="122"/>
  <c r="B113" i="122"/>
  <c r="F112" i="122"/>
  <c r="D112" i="122"/>
  <c r="B112" i="122"/>
  <c r="F111" i="122"/>
  <c r="D111" i="122"/>
  <c r="B111" i="122"/>
  <c r="F108" i="122"/>
  <c r="D108" i="122"/>
  <c r="B108" i="122"/>
  <c r="F107" i="122"/>
  <c r="D107" i="122"/>
  <c r="B107" i="122"/>
  <c r="F106" i="122"/>
  <c r="D106" i="122"/>
  <c r="B106" i="122"/>
  <c r="F105" i="122"/>
  <c r="D105" i="122"/>
  <c r="B105" i="122"/>
  <c r="F104" i="122"/>
  <c r="D104" i="122"/>
  <c r="B104" i="122"/>
  <c r="F103" i="122"/>
  <c r="D103" i="122"/>
  <c r="B103" i="122"/>
  <c r="F102" i="122"/>
  <c r="D102" i="122"/>
  <c r="B102" i="122"/>
  <c r="F101" i="122"/>
  <c r="D101" i="122"/>
  <c r="B101" i="122"/>
  <c r="F100" i="122"/>
  <c r="D100" i="122"/>
  <c r="B100" i="122"/>
  <c r="F99" i="122"/>
  <c r="D99" i="122"/>
  <c r="B99" i="122"/>
  <c r="F98" i="122"/>
  <c r="D98" i="122"/>
  <c r="B98" i="122"/>
  <c r="F97" i="122"/>
  <c r="D97" i="122"/>
  <c r="B97" i="122"/>
  <c r="F96" i="122"/>
  <c r="D96" i="122"/>
  <c r="B96" i="122"/>
  <c r="F95" i="122"/>
  <c r="D95" i="122"/>
  <c r="B95" i="122"/>
  <c r="F94" i="122"/>
  <c r="D94" i="122"/>
  <c r="B94" i="122"/>
  <c r="F93" i="122"/>
  <c r="D93" i="122"/>
  <c r="B93" i="122"/>
  <c r="F92" i="122"/>
  <c r="D92" i="122"/>
  <c r="B92" i="122"/>
  <c r="F91" i="122"/>
  <c r="D91" i="122"/>
  <c r="B91" i="122"/>
  <c r="F90" i="122"/>
  <c r="D90" i="122"/>
  <c r="B90" i="122"/>
  <c r="F89" i="122"/>
  <c r="D89" i="122"/>
  <c r="B89" i="122"/>
  <c r="F88" i="122"/>
  <c r="D88" i="122"/>
  <c r="B88" i="122"/>
  <c r="F87" i="122"/>
  <c r="D87" i="122"/>
  <c r="B87" i="122"/>
  <c r="F86" i="122"/>
  <c r="D86" i="122"/>
  <c r="B86" i="122"/>
  <c r="F85" i="122"/>
  <c r="D85" i="122"/>
  <c r="B85" i="122"/>
  <c r="F84" i="122"/>
  <c r="D84" i="122"/>
  <c r="B84" i="122"/>
  <c r="F83" i="122"/>
  <c r="D83" i="122"/>
  <c r="B83" i="122"/>
  <c r="F82" i="122"/>
  <c r="D82" i="122"/>
  <c r="B82" i="122"/>
  <c r="F81" i="122"/>
  <c r="D81" i="122"/>
  <c r="B81" i="122"/>
  <c r="F80" i="122"/>
  <c r="D80" i="122"/>
  <c r="B80" i="122"/>
  <c r="F79" i="122"/>
  <c r="D79" i="122"/>
  <c r="B79" i="122"/>
  <c r="F78" i="122"/>
  <c r="D78" i="122"/>
  <c r="B78" i="122"/>
  <c r="F77" i="122"/>
  <c r="D77" i="122"/>
  <c r="B77" i="122"/>
  <c r="F76" i="122"/>
  <c r="D76" i="122"/>
  <c r="B76" i="122"/>
  <c r="F75" i="122"/>
  <c r="D75" i="122"/>
  <c r="B75" i="122"/>
  <c r="F74" i="122"/>
  <c r="D74" i="122"/>
  <c r="B74" i="122"/>
  <c r="F73" i="122"/>
  <c r="D73" i="122"/>
  <c r="B73" i="122"/>
  <c r="F72" i="122"/>
  <c r="D72" i="122"/>
  <c r="B72" i="122"/>
  <c r="F71" i="122"/>
  <c r="D71" i="122"/>
  <c r="B71" i="122"/>
  <c r="F70" i="122"/>
  <c r="D70" i="122"/>
  <c r="B70" i="122"/>
  <c r="F69" i="122"/>
  <c r="D69" i="122"/>
  <c r="B69" i="122"/>
  <c r="F68" i="122"/>
  <c r="D68" i="122"/>
  <c r="B68" i="122"/>
  <c r="F67" i="122"/>
  <c r="D67" i="122"/>
  <c r="B67" i="122"/>
  <c r="F66" i="122"/>
  <c r="D66" i="122"/>
  <c r="B66" i="122"/>
  <c r="F65" i="122"/>
  <c r="D65" i="122"/>
  <c r="B65" i="122"/>
  <c r="F64" i="122"/>
  <c r="D64" i="122"/>
  <c r="B64" i="122"/>
  <c r="F63" i="122"/>
  <c r="D63" i="122"/>
  <c r="B63" i="122"/>
  <c r="F62" i="122"/>
  <c r="D62" i="122"/>
  <c r="B62" i="122"/>
  <c r="F61" i="122"/>
  <c r="D61" i="122"/>
  <c r="B61" i="122"/>
  <c r="F60" i="122"/>
  <c r="D60" i="122"/>
  <c r="B60" i="122"/>
  <c r="F57" i="122"/>
  <c r="D57" i="122"/>
  <c r="B57" i="122"/>
  <c r="F56" i="122"/>
  <c r="D56" i="122"/>
  <c r="B56" i="122"/>
  <c r="F55" i="122"/>
  <c r="D55" i="122"/>
  <c r="B55" i="122"/>
  <c r="F54" i="122"/>
  <c r="D54" i="122"/>
  <c r="B54" i="122"/>
  <c r="F53" i="122"/>
  <c r="D53" i="122"/>
  <c r="B53" i="122"/>
  <c r="F52" i="122"/>
  <c r="D52" i="122"/>
  <c r="B52" i="122"/>
  <c r="F51" i="122"/>
  <c r="D51" i="122"/>
  <c r="B51" i="122"/>
  <c r="F50" i="122"/>
  <c r="D50" i="122"/>
  <c r="B50" i="122"/>
  <c r="F49" i="122"/>
  <c r="D49" i="122"/>
  <c r="B49" i="122"/>
  <c r="F48" i="122"/>
  <c r="D48" i="122"/>
  <c r="B48" i="122"/>
  <c r="F47" i="122"/>
  <c r="D47" i="122"/>
  <c r="B47" i="122"/>
  <c r="F46" i="122"/>
  <c r="D46" i="122"/>
  <c r="B46" i="122"/>
  <c r="F45" i="122"/>
  <c r="D45" i="122"/>
  <c r="B45" i="122"/>
  <c r="F44" i="122"/>
  <c r="D44" i="122"/>
  <c r="B44" i="122"/>
  <c r="F43" i="122"/>
  <c r="D43" i="122"/>
  <c r="B43" i="122"/>
  <c r="F42" i="122"/>
  <c r="D42" i="122"/>
  <c r="B42" i="122"/>
  <c r="F41" i="122"/>
  <c r="D41" i="122"/>
  <c r="B41" i="122"/>
  <c r="F40" i="122"/>
  <c r="D40" i="122"/>
  <c r="B40" i="122"/>
  <c r="F39" i="122"/>
  <c r="D39" i="122"/>
  <c r="B39" i="122"/>
  <c r="F38" i="122"/>
  <c r="D38" i="122"/>
  <c r="B38" i="122"/>
  <c r="F37" i="122"/>
  <c r="D37" i="122"/>
  <c r="B37" i="122"/>
  <c r="F36" i="122"/>
  <c r="D36" i="122"/>
  <c r="B36" i="122"/>
  <c r="F35" i="122"/>
  <c r="D35" i="122"/>
  <c r="B35" i="122"/>
  <c r="F34" i="122"/>
  <c r="D34" i="122"/>
  <c r="B34" i="122"/>
  <c r="F33" i="122"/>
  <c r="D33" i="122"/>
  <c r="B33" i="122"/>
  <c r="F32" i="122"/>
  <c r="D32" i="122"/>
  <c r="B32" i="122"/>
  <c r="F31" i="122"/>
  <c r="D31" i="122"/>
  <c r="B31" i="122"/>
  <c r="F30" i="122"/>
  <c r="D30" i="122"/>
  <c r="B30" i="122"/>
  <c r="F29" i="122"/>
  <c r="D29" i="122"/>
  <c r="B29" i="122"/>
  <c r="F28" i="122"/>
  <c r="D28" i="122"/>
  <c r="B28" i="122"/>
  <c r="F27" i="122"/>
  <c r="D27" i="122"/>
  <c r="B27" i="122"/>
  <c r="F26" i="122"/>
  <c r="D26" i="122"/>
  <c r="B26" i="122"/>
  <c r="F25" i="122"/>
  <c r="D25" i="122"/>
  <c r="B25" i="122"/>
  <c r="F24" i="122"/>
  <c r="D24" i="122"/>
  <c r="B24" i="122"/>
  <c r="F23" i="122"/>
  <c r="D23" i="122"/>
  <c r="B23" i="122"/>
  <c r="F22" i="122"/>
  <c r="D22" i="122"/>
  <c r="B22" i="122"/>
  <c r="F21" i="122"/>
  <c r="D21" i="122"/>
  <c r="B21" i="122"/>
  <c r="F20" i="122"/>
  <c r="D20" i="122"/>
  <c r="B20" i="122"/>
  <c r="F19" i="122"/>
  <c r="D19" i="122"/>
  <c r="B19" i="122"/>
  <c r="F18" i="122"/>
  <c r="D18" i="122"/>
  <c r="B18" i="122"/>
  <c r="F17" i="122"/>
  <c r="D17" i="122"/>
  <c r="B17" i="122"/>
  <c r="F16" i="122"/>
  <c r="D16" i="122"/>
  <c r="B16" i="122"/>
  <c r="F15" i="122"/>
  <c r="D15" i="122"/>
  <c r="B15" i="122"/>
  <c r="F14" i="122"/>
  <c r="D14" i="122"/>
  <c r="B14" i="122"/>
  <c r="F13" i="122"/>
  <c r="D13" i="122"/>
  <c r="B13" i="122"/>
  <c r="F12" i="122"/>
  <c r="D12" i="122"/>
  <c r="B12" i="122"/>
  <c r="F11" i="122"/>
  <c r="D11" i="122"/>
  <c r="B11" i="122"/>
  <c r="F10" i="122"/>
  <c r="D10" i="122"/>
  <c r="B10" i="122"/>
  <c r="F9" i="122"/>
  <c r="D9" i="122"/>
  <c r="B9" i="122"/>
  <c r="F312" i="121"/>
  <c r="D312" i="121"/>
  <c r="B312" i="121"/>
  <c r="F311" i="121"/>
  <c r="D311" i="121"/>
  <c r="B311" i="121"/>
  <c r="F310" i="121"/>
  <c r="D310" i="121"/>
  <c r="B310" i="121"/>
  <c r="F309" i="121"/>
  <c r="D309" i="121"/>
  <c r="B309" i="121"/>
  <c r="F308" i="121"/>
  <c r="D308" i="121"/>
  <c r="B308" i="121"/>
  <c r="F307" i="121"/>
  <c r="D307" i="121"/>
  <c r="B307" i="121"/>
  <c r="F306" i="121"/>
  <c r="D306" i="121"/>
  <c r="B306" i="121"/>
  <c r="F305" i="121"/>
  <c r="D305" i="121"/>
  <c r="B305" i="121"/>
  <c r="F304" i="121"/>
  <c r="D304" i="121"/>
  <c r="B304" i="121"/>
  <c r="F303" i="121"/>
  <c r="D303" i="121"/>
  <c r="B303" i="121"/>
  <c r="F302" i="121"/>
  <c r="D302" i="121"/>
  <c r="B302" i="121"/>
  <c r="F301" i="121"/>
  <c r="D301" i="121"/>
  <c r="B301" i="121"/>
  <c r="F300" i="121"/>
  <c r="D300" i="121"/>
  <c r="B300" i="121"/>
  <c r="F299" i="121"/>
  <c r="D299" i="121"/>
  <c r="B299" i="121"/>
  <c r="F298" i="121"/>
  <c r="D298" i="121"/>
  <c r="B298" i="121"/>
  <c r="F297" i="121"/>
  <c r="D297" i="121"/>
  <c r="B297" i="121"/>
  <c r="F296" i="121"/>
  <c r="D296" i="121"/>
  <c r="B296" i="121"/>
  <c r="F295" i="121"/>
  <c r="D295" i="121"/>
  <c r="B295" i="121"/>
  <c r="F294" i="121"/>
  <c r="D294" i="121"/>
  <c r="B294" i="121"/>
  <c r="F293" i="121"/>
  <c r="D293" i="121"/>
  <c r="B293" i="121"/>
  <c r="F292" i="121"/>
  <c r="D292" i="121"/>
  <c r="B292" i="121"/>
  <c r="F291" i="121"/>
  <c r="D291" i="121"/>
  <c r="B291" i="121"/>
  <c r="F290" i="121"/>
  <c r="D290" i="121"/>
  <c r="B290" i="121"/>
  <c r="F289" i="121"/>
  <c r="D289" i="121"/>
  <c r="B289" i="121"/>
  <c r="F288" i="121"/>
  <c r="D288" i="121"/>
  <c r="B288" i="121"/>
  <c r="F287" i="121"/>
  <c r="D287" i="121"/>
  <c r="B287" i="121"/>
  <c r="F286" i="121"/>
  <c r="D286" i="121"/>
  <c r="B286" i="121"/>
  <c r="F285" i="121"/>
  <c r="D285" i="121"/>
  <c r="B285" i="121"/>
  <c r="F284" i="121"/>
  <c r="D284" i="121"/>
  <c r="B284" i="121"/>
  <c r="F283" i="121"/>
  <c r="D283" i="121"/>
  <c r="B283" i="121"/>
  <c r="F282" i="121"/>
  <c r="D282" i="121"/>
  <c r="B282" i="121"/>
  <c r="F281" i="121"/>
  <c r="D281" i="121"/>
  <c r="B281" i="121"/>
  <c r="F280" i="121"/>
  <c r="D280" i="121"/>
  <c r="B280" i="121"/>
  <c r="F279" i="121"/>
  <c r="D279" i="121"/>
  <c r="B279" i="121"/>
  <c r="F278" i="121"/>
  <c r="D278" i="121"/>
  <c r="B278" i="121"/>
  <c r="F277" i="121"/>
  <c r="D277" i="121"/>
  <c r="B277" i="121"/>
  <c r="F276" i="121"/>
  <c r="D276" i="121"/>
  <c r="B276" i="121"/>
  <c r="F275" i="121"/>
  <c r="D275" i="121"/>
  <c r="B275" i="121"/>
  <c r="F274" i="121"/>
  <c r="D274" i="121"/>
  <c r="B274" i="121"/>
  <c r="F273" i="121"/>
  <c r="D273" i="121"/>
  <c r="B273" i="121"/>
  <c r="F272" i="121"/>
  <c r="D272" i="121"/>
  <c r="B272" i="121"/>
  <c r="F271" i="121"/>
  <c r="D271" i="121"/>
  <c r="B271" i="121"/>
  <c r="F270" i="121"/>
  <c r="D270" i="121"/>
  <c r="B270" i="121"/>
  <c r="F269" i="121"/>
  <c r="D269" i="121"/>
  <c r="B269" i="121"/>
  <c r="F268" i="121"/>
  <c r="D268" i="121"/>
  <c r="B268" i="121"/>
  <c r="F267" i="121"/>
  <c r="D267" i="121"/>
  <c r="B267" i="121"/>
  <c r="F266" i="121"/>
  <c r="D266" i="121"/>
  <c r="B266" i="121"/>
  <c r="F265" i="121"/>
  <c r="D265" i="121"/>
  <c r="B265" i="121"/>
  <c r="F264" i="121"/>
  <c r="D264" i="121"/>
  <c r="B264" i="121"/>
  <c r="F261" i="121"/>
  <c r="D261" i="121"/>
  <c r="B261" i="121"/>
  <c r="F260" i="121"/>
  <c r="D260" i="121"/>
  <c r="B260" i="121"/>
  <c r="F259" i="121"/>
  <c r="D259" i="121"/>
  <c r="B259" i="121"/>
  <c r="F258" i="121"/>
  <c r="D258" i="121"/>
  <c r="B258" i="121"/>
  <c r="F257" i="121"/>
  <c r="D257" i="121"/>
  <c r="B257" i="121"/>
  <c r="F256" i="121"/>
  <c r="D256" i="121"/>
  <c r="B256" i="121"/>
  <c r="F255" i="121"/>
  <c r="D255" i="121"/>
  <c r="B255" i="121"/>
  <c r="F254" i="121"/>
  <c r="D254" i="121"/>
  <c r="B254" i="121"/>
  <c r="F253" i="121"/>
  <c r="D253" i="121"/>
  <c r="B253" i="121"/>
  <c r="F252" i="121"/>
  <c r="D252" i="121"/>
  <c r="B252" i="121"/>
  <c r="F251" i="121"/>
  <c r="D251" i="121"/>
  <c r="B251" i="121"/>
  <c r="F250" i="121"/>
  <c r="D250" i="121"/>
  <c r="B250" i="121"/>
  <c r="F249" i="121"/>
  <c r="D249" i="121"/>
  <c r="B249" i="121"/>
  <c r="F248" i="121"/>
  <c r="D248" i="121"/>
  <c r="B248" i="121"/>
  <c r="F247" i="121"/>
  <c r="D247" i="121"/>
  <c r="B247" i="121"/>
  <c r="F246" i="121"/>
  <c r="D246" i="121"/>
  <c r="B246" i="121"/>
  <c r="F245" i="121"/>
  <c r="D245" i="121"/>
  <c r="B245" i="121"/>
  <c r="F244" i="121"/>
  <c r="D244" i="121"/>
  <c r="B244" i="121"/>
  <c r="F243" i="121"/>
  <c r="D243" i="121"/>
  <c r="B243" i="121"/>
  <c r="F242" i="121"/>
  <c r="D242" i="121"/>
  <c r="B242" i="121"/>
  <c r="F241" i="121"/>
  <c r="D241" i="121"/>
  <c r="B241" i="121"/>
  <c r="F240" i="121"/>
  <c r="D240" i="121"/>
  <c r="B240" i="121"/>
  <c r="F239" i="121"/>
  <c r="D239" i="121"/>
  <c r="B239" i="121"/>
  <c r="F238" i="121"/>
  <c r="D238" i="121"/>
  <c r="B238" i="121"/>
  <c r="F237" i="121"/>
  <c r="D237" i="121"/>
  <c r="B237" i="121"/>
  <c r="F236" i="121"/>
  <c r="D236" i="121"/>
  <c r="B236" i="121"/>
  <c r="F235" i="121"/>
  <c r="D235" i="121"/>
  <c r="B235" i="121"/>
  <c r="F234" i="121"/>
  <c r="D234" i="121"/>
  <c r="B234" i="121"/>
  <c r="F233" i="121"/>
  <c r="D233" i="121"/>
  <c r="B233" i="121"/>
  <c r="F232" i="121"/>
  <c r="D232" i="121"/>
  <c r="B232" i="121"/>
  <c r="F231" i="121"/>
  <c r="D231" i="121"/>
  <c r="B231" i="121"/>
  <c r="F230" i="121"/>
  <c r="D230" i="121"/>
  <c r="B230" i="121"/>
  <c r="F229" i="121"/>
  <c r="D229" i="121"/>
  <c r="B229" i="121"/>
  <c r="F228" i="121"/>
  <c r="D228" i="121"/>
  <c r="B228" i="121"/>
  <c r="F227" i="121"/>
  <c r="D227" i="121"/>
  <c r="B227" i="121"/>
  <c r="F226" i="121"/>
  <c r="D226" i="121"/>
  <c r="B226" i="121"/>
  <c r="F225" i="121"/>
  <c r="D225" i="121"/>
  <c r="B225" i="121"/>
  <c r="F224" i="121"/>
  <c r="D224" i="121"/>
  <c r="B224" i="121"/>
  <c r="F223" i="121"/>
  <c r="D223" i="121"/>
  <c r="B223" i="121"/>
  <c r="F222" i="121"/>
  <c r="D222" i="121"/>
  <c r="B222" i="121"/>
  <c r="F221" i="121"/>
  <c r="D221" i="121"/>
  <c r="B221" i="121"/>
  <c r="F220" i="121"/>
  <c r="D220" i="121"/>
  <c r="B220" i="121"/>
  <c r="F219" i="121"/>
  <c r="D219" i="121"/>
  <c r="B219" i="121"/>
  <c r="F218" i="121"/>
  <c r="D218" i="121"/>
  <c r="B218" i="121"/>
  <c r="F217" i="121"/>
  <c r="D217" i="121"/>
  <c r="B217" i="121"/>
  <c r="F216" i="121"/>
  <c r="D216" i="121"/>
  <c r="B216" i="121"/>
  <c r="F215" i="121"/>
  <c r="D215" i="121"/>
  <c r="B215" i="121"/>
  <c r="F214" i="121"/>
  <c r="D214" i="121"/>
  <c r="B214" i="121"/>
  <c r="F213" i="121"/>
  <c r="D213" i="121"/>
  <c r="B213" i="121"/>
  <c r="F210" i="121"/>
  <c r="D210" i="121"/>
  <c r="B210" i="121"/>
  <c r="F209" i="121"/>
  <c r="D209" i="121"/>
  <c r="B209" i="121"/>
  <c r="F208" i="121"/>
  <c r="D208" i="121"/>
  <c r="B208" i="121"/>
  <c r="F207" i="121"/>
  <c r="D207" i="121"/>
  <c r="B207" i="121"/>
  <c r="F206" i="121"/>
  <c r="D206" i="121"/>
  <c r="B206" i="121"/>
  <c r="F205" i="121"/>
  <c r="D205" i="121"/>
  <c r="B205" i="121"/>
  <c r="F204" i="121"/>
  <c r="D204" i="121"/>
  <c r="B204" i="121"/>
  <c r="F203" i="121"/>
  <c r="D203" i="121"/>
  <c r="B203" i="121"/>
  <c r="F202" i="121"/>
  <c r="D202" i="121"/>
  <c r="B202" i="121"/>
  <c r="F201" i="121"/>
  <c r="D201" i="121"/>
  <c r="B201" i="121"/>
  <c r="F200" i="121"/>
  <c r="D200" i="121"/>
  <c r="B200" i="121"/>
  <c r="F199" i="121"/>
  <c r="D199" i="121"/>
  <c r="B199" i="121"/>
  <c r="F198" i="121"/>
  <c r="D198" i="121"/>
  <c r="B198" i="121"/>
  <c r="F197" i="121"/>
  <c r="D197" i="121"/>
  <c r="B197" i="121"/>
  <c r="F196" i="121"/>
  <c r="D196" i="121"/>
  <c r="B196" i="121"/>
  <c r="F195" i="121"/>
  <c r="D195" i="121"/>
  <c r="B195" i="121"/>
  <c r="F194" i="121"/>
  <c r="D194" i="121"/>
  <c r="B194" i="121"/>
  <c r="F193" i="121"/>
  <c r="D193" i="121"/>
  <c r="B193" i="121"/>
  <c r="F192" i="121"/>
  <c r="D192" i="121"/>
  <c r="B192" i="121"/>
  <c r="F191" i="121"/>
  <c r="D191" i="121"/>
  <c r="B191" i="121"/>
  <c r="F190" i="121"/>
  <c r="D190" i="121"/>
  <c r="B190" i="121"/>
  <c r="F189" i="121"/>
  <c r="D189" i="121"/>
  <c r="B189" i="121"/>
  <c r="F188" i="121"/>
  <c r="D188" i="121"/>
  <c r="B188" i="121"/>
  <c r="F187" i="121"/>
  <c r="D187" i="121"/>
  <c r="B187" i="121"/>
  <c r="F186" i="121"/>
  <c r="D186" i="121"/>
  <c r="B186" i="121"/>
  <c r="F185" i="121"/>
  <c r="D185" i="121"/>
  <c r="B185" i="121"/>
  <c r="F184" i="121"/>
  <c r="D184" i="121"/>
  <c r="B184" i="121"/>
  <c r="F183" i="121"/>
  <c r="D183" i="121"/>
  <c r="B183" i="121"/>
  <c r="F182" i="121"/>
  <c r="D182" i="121"/>
  <c r="B182" i="121"/>
  <c r="F181" i="121"/>
  <c r="D181" i="121"/>
  <c r="B181" i="121"/>
  <c r="F180" i="121"/>
  <c r="D180" i="121"/>
  <c r="B180" i="121"/>
  <c r="F179" i="121"/>
  <c r="D179" i="121"/>
  <c r="B179" i="121"/>
  <c r="F178" i="121"/>
  <c r="D178" i="121"/>
  <c r="B178" i="121"/>
  <c r="F177" i="121"/>
  <c r="D177" i="121"/>
  <c r="B177" i="121"/>
  <c r="F176" i="121"/>
  <c r="D176" i="121"/>
  <c r="B176" i="121"/>
  <c r="F175" i="121"/>
  <c r="D175" i="121"/>
  <c r="B175" i="121"/>
  <c r="F174" i="121"/>
  <c r="D174" i="121"/>
  <c r="B174" i="121"/>
  <c r="F173" i="121"/>
  <c r="D173" i="121"/>
  <c r="B173" i="121"/>
  <c r="F172" i="121"/>
  <c r="D172" i="121"/>
  <c r="B172" i="121"/>
  <c r="F171" i="121"/>
  <c r="D171" i="121"/>
  <c r="B171" i="121"/>
  <c r="F170" i="121"/>
  <c r="D170" i="121"/>
  <c r="B170" i="121"/>
  <c r="F169" i="121"/>
  <c r="D169" i="121"/>
  <c r="B169" i="121"/>
  <c r="F168" i="121"/>
  <c r="D168" i="121"/>
  <c r="B168" i="121"/>
  <c r="F167" i="121"/>
  <c r="D167" i="121"/>
  <c r="B167" i="121"/>
  <c r="F166" i="121"/>
  <c r="D166" i="121"/>
  <c r="B166" i="121"/>
  <c r="F165" i="121"/>
  <c r="D165" i="121"/>
  <c r="B165" i="121"/>
  <c r="F164" i="121"/>
  <c r="D164" i="121"/>
  <c r="B164" i="121"/>
  <c r="F163" i="121"/>
  <c r="D163" i="121"/>
  <c r="B163" i="121"/>
  <c r="F162" i="121"/>
  <c r="D162" i="121"/>
  <c r="B162" i="121"/>
  <c r="F159" i="121"/>
  <c r="D159" i="121"/>
  <c r="B159" i="121"/>
  <c r="F158" i="121"/>
  <c r="D158" i="121"/>
  <c r="B158" i="121"/>
  <c r="F157" i="121"/>
  <c r="D157" i="121"/>
  <c r="B157" i="121"/>
  <c r="F156" i="121"/>
  <c r="D156" i="121"/>
  <c r="B156" i="121"/>
  <c r="F155" i="121"/>
  <c r="D155" i="121"/>
  <c r="B155" i="121"/>
  <c r="F154" i="121"/>
  <c r="D154" i="121"/>
  <c r="B154" i="121"/>
  <c r="F153" i="121"/>
  <c r="D153" i="121"/>
  <c r="B153" i="121"/>
  <c r="F152" i="121"/>
  <c r="D152" i="121"/>
  <c r="B152" i="121"/>
  <c r="F151" i="121"/>
  <c r="D151" i="121"/>
  <c r="B151" i="121"/>
  <c r="F150" i="121"/>
  <c r="D150" i="121"/>
  <c r="B150" i="121"/>
  <c r="F149" i="121"/>
  <c r="D149" i="121"/>
  <c r="B149" i="121"/>
  <c r="F148" i="121"/>
  <c r="D148" i="121"/>
  <c r="B148" i="121"/>
  <c r="F147" i="121"/>
  <c r="D147" i="121"/>
  <c r="B147" i="121"/>
  <c r="F146" i="121"/>
  <c r="D146" i="121"/>
  <c r="B146" i="121"/>
  <c r="F145" i="121"/>
  <c r="D145" i="121"/>
  <c r="B145" i="121"/>
  <c r="F144" i="121"/>
  <c r="D144" i="121"/>
  <c r="B144" i="121"/>
  <c r="F143" i="121"/>
  <c r="D143" i="121"/>
  <c r="B143" i="121"/>
  <c r="F142" i="121"/>
  <c r="D142" i="121"/>
  <c r="B142" i="121"/>
  <c r="F141" i="121"/>
  <c r="D141" i="121"/>
  <c r="B141" i="121"/>
  <c r="F140" i="121"/>
  <c r="D140" i="121"/>
  <c r="B140" i="121"/>
  <c r="F139" i="121"/>
  <c r="D139" i="121"/>
  <c r="B139" i="121"/>
  <c r="F138" i="121"/>
  <c r="D138" i="121"/>
  <c r="B138" i="121"/>
  <c r="F137" i="121"/>
  <c r="D137" i="121"/>
  <c r="B137" i="121"/>
  <c r="F136" i="121"/>
  <c r="D136" i="121"/>
  <c r="B136" i="121"/>
  <c r="F135" i="121"/>
  <c r="D135" i="121"/>
  <c r="B135" i="121"/>
  <c r="F134" i="121"/>
  <c r="D134" i="121"/>
  <c r="B134" i="121"/>
  <c r="F133" i="121"/>
  <c r="D133" i="121"/>
  <c r="B133" i="121"/>
  <c r="F132" i="121"/>
  <c r="D132" i="121"/>
  <c r="B132" i="121"/>
  <c r="F131" i="121"/>
  <c r="D131" i="121"/>
  <c r="B131" i="121"/>
  <c r="F130" i="121"/>
  <c r="D130" i="121"/>
  <c r="B130" i="121"/>
  <c r="F129" i="121"/>
  <c r="D129" i="121"/>
  <c r="B129" i="121"/>
  <c r="F128" i="121"/>
  <c r="D128" i="121"/>
  <c r="B128" i="121"/>
  <c r="F127" i="121"/>
  <c r="D127" i="121"/>
  <c r="B127" i="121"/>
  <c r="F126" i="121"/>
  <c r="D126" i="121"/>
  <c r="B126" i="121"/>
  <c r="F125" i="121"/>
  <c r="D125" i="121"/>
  <c r="B125" i="121"/>
  <c r="F124" i="121"/>
  <c r="D124" i="121"/>
  <c r="B124" i="121"/>
  <c r="F123" i="121"/>
  <c r="D123" i="121"/>
  <c r="B123" i="121"/>
  <c r="F122" i="121"/>
  <c r="D122" i="121"/>
  <c r="B122" i="121"/>
  <c r="F121" i="121"/>
  <c r="D121" i="121"/>
  <c r="B121" i="121"/>
  <c r="F120" i="121"/>
  <c r="D120" i="121"/>
  <c r="B120" i="121"/>
  <c r="F119" i="121"/>
  <c r="D119" i="121"/>
  <c r="B119" i="121"/>
  <c r="F118" i="121"/>
  <c r="D118" i="121"/>
  <c r="B118" i="121"/>
  <c r="F117" i="121"/>
  <c r="D117" i="121"/>
  <c r="B117" i="121"/>
  <c r="F116" i="121"/>
  <c r="D116" i="121"/>
  <c r="B116" i="121"/>
  <c r="F115" i="121"/>
  <c r="D115" i="121"/>
  <c r="B115" i="121"/>
  <c r="F114" i="121"/>
  <c r="D114" i="121"/>
  <c r="B114" i="121"/>
  <c r="F113" i="121"/>
  <c r="D113" i="121"/>
  <c r="B113" i="121"/>
  <c r="F112" i="121"/>
  <c r="D112" i="121"/>
  <c r="B112" i="121"/>
  <c r="F111" i="121"/>
  <c r="D111" i="121"/>
  <c r="B111" i="121"/>
  <c r="F108" i="121"/>
  <c r="D108" i="121"/>
  <c r="B108" i="121"/>
  <c r="F107" i="121"/>
  <c r="D107" i="121"/>
  <c r="B107" i="121"/>
  <c r="F106" i="121"/>
  <c r="D106" i="121"/>
  <c r="B106" i="121"/>
  <c r="F105" i="121"/>
  <c r="D105" i="121"/>
  <c r="B105" i="121"/>
  <c r="F104" i="121"/>
  <c r="D104" i="121"/>
  <c r="B104" i="121"/>
  <c r="F103" i="121"/>
  <c r="D103" i="121"/>
  <c r="B103" i="121"/>
  <c r="F102" i="121"/>
  <c r="D102" i="121"/>
  <c r="B102" i="121"/>
  <c r="F101" i="121"/>
  <c r="D101" i="121"/>
  <c r="B101" i="121"/>
  <c r="F100" i="121"/>
  <c r="D100" i="121"/>
  <c r="B100" i="121"/>
  <c r="F99" i="121"/>
  <c r="D99" i="121"/>
  <c r="B99" i="121"/>
  <c r="F98" i="121"/>
  <c r="D98" i="121"/>
  <c r="B98" i="121"/>
  <c r="F97" i="121"/>
  <c r="D97" i="121"/>
  <c r="B97" i="121"/>
  <c r="F96" i="121"/>
  <c r="D96" i="121"/>
  <c r="B96" i="121"/>
  <c r="F95" i="121"/>
  <c r="D95" i="121"/>
  <c r="B95" i="121"/>
  <c r="F94" i="121"/>
  <c r="D94" i="121"/>
  <c r="B94" i="121"/>
  <c r="F93" i="121"/>
  <c r="D93" i="121"/>
  <c r="B93" i="121"/>
  <c r="F92" i="121"/>
  <c r="D92" i="121"/>
  <c r="B92" i="121"/>
  <c r="F91" i="121"/>
  <c r="D91" i="121"/>
  <c r="B91" i="121"/>
  <c r="F90" i="121"/>
  <c r="D90" i="121"/>
  <c r="B90" i="121"/>
  <c r="F89" i="121"/>
  <c r="D89" i="121"/>
  <c r="B89" i="121"/>
  <c r="F88" i="121"/>
  <c r="D88" i="121"/>
  <c r="B88" i="121"/>
  <c r="F87" i="121"/>
  <c r="D87" i="121"/>
  <c r="B87" i="121"/>
  <c r="F86" i="121"/>
  <c r="D86" i="121"/>
  <c r="B86" i="121"/>
  <c r="F85" i="121"/>
  <c r="D85" i="121"/>
  <c r="B85" i="121"/>
  <c r="F84" i="121"/>
  <c r="D84" i="121"/>
  <c r="B84" i="121"/>
  <c r="F83" i="121"/>
  <c r="D83" i="121"/>
  <c r="B83" i="121"/>
  <c r="F82" i="121"/>
  <c r="D82" i="121"/>
  <c r="B82" i="121"/>
  <c r="F81" i="121"/>
  <c r="D81" i="121"/>
  <c r="B81" i="121"/>
  <c r="F80" i="121"/>
  <c r="D80" i="121"/>
  <c r="B80" i="121"/>
  <c r="F79" i="121"/>
  <c r="D79" i="121"/>
  <c r="B79" i="121"/>
  <c r="F78" i="121"/>
  <c r="D78" i="121"/>
  <c r="B78" i="121"/>
  <c r="F77" i="121"/>
  <c r="D77" i="121"/>
  <c r="B77" i="121"/>
  <c r="F76" i="121"/>
  <c r="D76" i="121"/>
  <c r="B76" i="121"/>
  <c r="F75" i="121"/>
  <c r="D75" i="121"/>
  <c r="B75" i="121"/>
  <c r="F74" i="121"/>
  <c r="D74" i="121"/>
  <c r="B74" i="121"/>
  <c r="F73" i="121"/>
  <c r="D73" i="121"/>
  <c r="B73" i="121"/>
  <c r="F72" i="121"/>
  <c r="D72" i="121"/>
  <c r="B72" i="121"/>
  <c r="F71" i="121"/>
  <c r="D71" i="121"/>
  <c r="B71" i="121"/>
  <c r="F70" i="121"/>
  <c r="D70" i="121"/>
  <c r="B70" i="121"/>
  <c r="F69" i="121"/>
  <c r="D69" i="121"/>
  <c r="B69" i="121"/>
  <c r="F68" i="121"/>
  <c r="D68" i="121"/>
  <c r="B68" i="121"/>
  <c r="F67" i="121"/>
  <c r="D67" i="121"/>
  <c r="B67" i="121"/>
  <c r="F66" i="121"/>
  <c r="D66" i="121"/>
  <c r="B66" i="121"/>
  <c r="F65" i="121"/>
  <c r="D65" i="121"/>
  <c r="B65" i="121"/>
  <c r="F64" i="121"/>
  <c r="D64" i="121"/>
  <c r="B64" i="121"/>
  <c r="F63" i="121"/>
  <c r="D63" i="121"/>
  <c r="B63" i="121"/>
  <c r="F62" i="121"/>
  <c r="D62" i="121"/>
  <c r="B62" i="121"/>
  <c r="F61" i="121"/>
  <c r="D61" i="121"/>
  <c r="B61" i="121"/>
  <c r="F60" i="121"/>
  <c r="D60" i="121"/>
  <c r="B60" i="121"/>
  <c r="F57" i="121"/>
  <c r="D57" i="121"/>
  <c r="B57" i="121"/>
  <c r="F56" i="121"/>
  <c r="D56" i="121"/>
  <c r="B56" i="121"/>
  <c r="F55" i="121"/>
  <c r="D55" i="121"/>
  <c r="B55" i="121"/>
  <c r="F54" i="121"/>
  <c r="D54" i="121"/>
  <c r="B54" i="121"/>
  <c r="F53" i="121"/>
  <c r="D53" i="121"/>
  <c r="B53" i="121"/>
  <c r="F52" i="121"/>
  <c r="D52" i="121"/>
  <c r="B52" i="121"/>
  <c r="F51" i="121"/>
  <c r="D51" i="121"/>
  <c r="B51" i="121"/>
  <c r="F50" i="121"/>
  <c r="D50" i="121"/>
  <c r="B50" i="121"/>
  <c r="F49" i="121"/>
  <c r="D49" i="121"/>
  <c r="B49" i="121"/>
  <c r="F48" i="121"/>
  <c r="D48" i="121"/>
  <c r="B48" i="121"/>
  <c r="F47" i="121"/>
  <c r="D47" i="121"/>
  <c r="B47" i="121"/>
  <c r="F46" i="121"/>
  <c r="D46" i="121"/>
  <c r="B46" i="121"/>
  <c r="F45" i="121"/>
  <c r="D45" i="121"/>
  <c r="B45" i="121"/>
  <c r="F44" i="121"/>
  <c r="D44" i="121"/>
  <c r="B44" i="121"/>
  <c r="F43" i="121"/>
  <c r="D43" i="121"/>
  <c r="B43" i="121"/>
  <c r="F42" i="121"/>
  <c r="D42" i="121"/>
  <c r="B42" i="121"/>
  <c r="F41" i="121"/>
  <c r="D41" i="121"/>
  <c r="B41" i="121"/>
  <c r="F40" i="121"/>
  <c r="D40" i="121"/>
  <c r="B40" i="121"/>
  <c r="F39" i="121"/>
  <c r="D39" i="121"/>
  <c r="B39" i="121"/>
  <c r="F38" i="121"/>
  <c r="D38" i="121"/>
  <c r="B38" i="121"/>
  <c r="F37" i="121"/>
  <c r="D37" i="121"/>
  <c r="B37" i="121"/>
  <c r="F36" i="121"/>
  <c r="D36" i="121"/>
  <c r="B36" i="121"/>
  <c r="F35" i="121"/>
  <c r="D35" i="121"/>
  <c r="B35" i="121"/>
  <c r="F34" i="121"/>
  <c r="D34" i="121"/>
  <c r="B34" i="121"/>
  <c r="F33" i="121"/>
  <c r="D33" i="121"/>
  <c r="B33" i="121"/>
  <c r="F32" i="121"/>
  <c r="D32" i="121"/>
  <c r="B32" i="121"/>
  <c r="F31" i="121"/>
  <c r="D31" i="121"/>
  <c r="B31" i="121"/>
  <c r="F30" i="121"/>
  <c r="D30" i="121"/>
  <c r="B30" i="121"/>
  <c r="F29" i="121"/>
  <c r="D29" i="121"/>
  <c r="B29" i="121"/>
  <c r="F28" i="121"/>
  <c r="D28" i="121"/>
  <c r="B28" i="121"/>
  <c r="F27" i="121"/>
  <c r="D27" i="121"/>
  <c r="B27" i="121"/>
  <c r="F26" i="121"/>
  <c r="D26" i="121"/>
  <c r="B26" i="121"/>
  <c r="F25" i="121"/>
  <c r="D25" i="121"/>
  <c r="B25" i="121"/>
  <c r="F24" i="121"/>
  <c r="D24" i="121"/>
  <c r="B24" i="121"/>
  <c r="F23" i="121"/>
  <c r="D23" i="121"/>
  <c r="B23" i="121"/>
  <c r="F22" i="121"/>
  <c r="D22" i="121"/>
  <c r="B22" i="121"/>
  <c r="F21" i="121"/>
  <c r="D21" i="121"/>
  <c r="B21" i="121"/>
  <c r="F20" i="121"/>
  <c r="D20" i="121"/>
  <c r="B20" i="121"/>
  <c r="F19" i="121"/>
  <c r="D19" i="121"/>
  <c r="B19" i="121"/>
  <c r="F18" i="121"/>
  <c r="D18" i="121"/>
  <c r="B18" i="121"/>
  <c r="F17" i="121"/>
  <c r="D17" i="121"/>
  <c r="B17" i="121"/>
  <c r="F16" i="121"/>
  <c r="D16" i="121"/>
  <c r="B16" i="121"/>
  <c r="F15" i="121"/>
  <c r="D15" i="121"/>
  <c r="B15" i="121"/>
  <c r="F14" i="121"/>
  <c r="D14" i="121"/>
  <c r="B14" i="121"/>
  <c r="F13" i="121"/>
  <c r="D13" i="121"/>
  <c r="B13" i="121"/>
  <c r="F12" i="121"/>
  <c r="D12" i="121"/>
  <c r="B12" i="121"/>
  <c r="F11" i="121"/>
  <c r="D11" i="121"/>
  <c r="B11" i="121"/>
  <c r="F10" i="121"/>
  <c r="D10" i="121"/>
  <c r="B10" i="121"/>
  <c r="F9" i="121"/>
  <c r="D9" i="121"/>
  <c r="B9" i="121"/>
  <c r="F312" i="120"/>
  <c r="D312" i="120"/>
  <c r="B312" i="120"/>
  <c r="F311" i="120"/>
  <c r="D311" i="120"/>
  <c r="B311" i="120"/>
  <c r="F310" i="120"/>
  <c r="D310" i="120"/>
  <c r="B310" i="120"/>
  <c r="F309" i="120"/>
  <c r="D309" i="120"/>
  <c r="B309" i="120"/>
  <c r="F308" i="120"/>
  <c r="D308" i="120"/>
  <c r="B308" i="120"/>
  <c r="F307" i="120"/>
  <c r="D307" i="120"/>
  <c r="B307" i="120"/>
  <c r="F306" i="120"/>
  <c r="D306" i="120"/>
  <c r="B306" i="120"/>
  <c r="F305" i="120"/>
  <c r="D305" i="120"/>
  <c r="B305" i="120"/>
  <c r="F304" i="120"/>
  <c r="D304" i="120"/>
  <c r="B304" i="120"/>
  <c r="F303" i="120"/>
  <c r="D303" i="120"/>
  <c r="B303" i="120"/>
  <c r="F302" i="120"/>
  <c r="D302" i="120"/>
  <c r="B302" i="120"/>
  <c r="F301" i="120"/>
  <c r="D301" i="120"/>
  <c r="B301" i="120"/>
  <c r="F300" i="120"/>
  <c r="D300" i="120"/>
  <c r="B300" i="120"/>
  <c r="F299" i="120"/>
  <c r="D299" i="120"/>
  <c r="B299" i="120"/>
  <c r="F298" i="120"/>
  <c r="D298" i="120"/>
  <c r="B298" i="120"/>
  <c r="F297" i="120"/>
  <c r="D297" i="120"/>
  <c r="B297" i="120"/>
  <c r="F296" i="120"/>
  <c r="D296" i="120"/>
  <c r="B296" i="120"/>
  <c r="F295" i="120"/>
  <c r="D295" i="120"/>
  <c r="B295" i="120"/>
  <c r="F294" i="120"/>
  <c r="D294" i="120"/>
  <c r="B294" i="120"/>
  <c r="F293" i="120"/>
  <c r="D293" i="120"/>
  <c r="B293" i="120"/>
  <c r="F292" i="120"/>
  <c r="D292" i="120"/>
  <c r="B292" i="120"/>
  <c r="F291" i="120"/>
  <c r="D291" i="120"/>
  <c r="B291" i="120"/>
  <c r="F290" i="120"/>
  <c r="D290" i="120"/>
  <c r="B290" i="120"/>
  <c r="F289" i="120"/>
  <c r="D289" i="120"/>
  <c r="B289" i="120"/>
  <c r="F288" i="120"/>
  <c r="D288" i="120"/>
  <c r="B288" i="120"/>
  <c r="F287" i="120"/>
  <c r="D287" i="120"/>
  <c r="B287" i="120"/>
  <c r="F286" i="120"/>
  <c r="D286" i="120"/>
  <c r="B286" i="120"/>
  <c r="F285" i="120"/>
  <c r="D285" i="120"/>
  <c r="B285" i="120"/>
  <c r="F284" i="120"/>
  <c r="D284" i="120"/>
  <c r="B284" i="120"/>
  <c r="F283" i="120"/>
  <c r="D283" i="120"/>
  <c r="B283" i="120"/>
  <c r="F282" i="120"/>
  <c r="D282" i="120"/>
  <c r="B282" i="120"/>
  <c r="F281" i="120"/>
  <c r="D281" i="120"/>
  <c r="B281" i="120"/>
  <c r="F280" i="120"/>
  <c r="D280" i="120"/>
  <c r="B280" i="120"/>
  <c r="F279" i="120"/>
  <c r="D279" i="120"/>
  <c r="B279" i="120"/>
  <c r="F278" i="120"/>
  <c r="D278" i="120"/>
  <c r="B278" i="120"/>
  <c r="F277" i="120"/>
  <c r="D277" i="120"/>
  <c r="B277" i="120"/>
  <c r="F276" i="120"/>
  <c r="D276" i="120"/>
  <c r="B276" i="120"/>
  <c r="F275" i="120"/>
  <c r="D275" i="120"/>
  <c r="B275" i="120"/>
  <c r="F274" i="120"/>
  <c r="D274" i="120"/>
  <c r="B274" i="120"/>
  <c r="F273" i="120"/>
  <c r="D273" i="120"/>
  <c r="B273" i="120"/>
  <c r="F272" i="120"/>
  <c r="D272" i="120"/>
  <c r="B272" i="120"/>
  <c r="F271" i="120"/>
  <c r="D271" i="120"/>
  <c r="B271" i="120"/>
  <c r="F270" i="120"/>
  <c r="D270" i="120"/>
  <c r="B270" i="120"/>
  <c r="F269" i="120"/>
  <c r="D269" i="120"/>
  <c r="B269" i="120"/>
  <c r="F268" i="120"/>
  <c r="D268" i="120"/>
  <c r="B268" i="120"/>
  <c r="F267" i="120"/>
  <c r="D267" i="120"/>
  <c r="B267" i="120"/>
  <c r="F266" i="120"/>
  <c r="D266" i="120"/>
  <c r="B266" i="120"/>
  <c r="F265" i="120"/>
  <c r="D265" i="120"/>
  <c r="B265" i="120"/>
  <c r="F264" i="120"/>
  <c r="D264" i="120"/>
  <c r="B264" i="120"/>
  <c r="F261" i="120"/>
  <c r="D261" i="120"/>
  <c r="B261" i="120"/>
  <c r="F260" i="120"/>
  <c r="D260" i="120"/>
  <c r="B260" i="120"/>
  <c r="F259" i="120"/>
  <c r="D259" i="120"/>
  <c r="B259" i="120"/>
  <c r="F258" i="120"/>
  <c r="D258" i="120"/>
  <c r="B258" i="120"/>
  <c r="F257" i="120"/>
  <c r="D257" i="120"/>
  <c r="B257" i="120"/>
  <c r="F256" i="120"/>
  <c r="D256" i="120"/>
  <c r="B256" i="120"/>
  <c r="F255" i="120"/>
  <c r="D255" i="120"/>
  <c r="B255" i="120"/>
  <c r="F254" i="120"/>
  <c r="D254" i="120"/>
  <c r="B254" i="120"/>
  <c r="F253" i="120"/>
  <c r="D253" i="120"/>
  <c r="B253" i="120"/>
  <c r="F252" i="120"/>
  <c r="D252" i="120"/>
  <c r="B252" i="120"/>
  <c r="F251" i="120"/>
  <c r="D251" i="120"/>
  <c r="B251" i="120"/>
  <c r="F250" i="120"/>
  <c r="D250" i="120"/>
  <c r="B250" i="120"/>
  <c r="F249" i="120"/>
  <c r="D249" i="120"/>
  <c r="B249" i="120"/>
  <c r="F248" i="120"/>
  <c r="D248" i="120"/>
  <c r="B248" i="120"/>
  <c r="F247" i="120"/>
  <c r="D247" i="120"/>
  <c r="B247" i="120"/>
  <c r="F246" i="120"/>
  <c r="D246" i="120"/>
  <c r="B246" i="120"/>
  <c r="F245" i="120"/>
  <c r="D245" i="120"/>
  <c r="B245" i="120"/>
  <c r="F244" i="120"/>
  <c r="D244" i="120"/>
  <c r="B244" i="120"/>
  <c r="F243" i="120"/>
  <c r="D243" i="120"/>
  <c r="B243" i="120"/>
  <c r="F242" i="120"/>
  <c r="D242" i="120"/>
  <c r="B242" i="120"/>
  <c r="F241" i="120"/>
  <c r="D241" i="120"/>
  <c r="B241" i="120"/>
  <c r="F240" i="120"/>
  <c r="D240" i="120"/>
  <c r="B240" i="120"/>
  <c r="F239" i="120"/>
  <c r="D239" i="120"/>
  <c r="B239" i="120"/>
  <c r="F238" i="120"/>
  <c r="D238" i="120"/>
  <c r="B238" i="120"/>
  <c r="F237" i="120"/>
  <c r="D237" i="120"/>
  <c r="B237" i="120"/>
  <c r="F236" i="120"/>
  <c r="D236" i="120"/>
  <c r="B236" i="120"/>
  <c r="F235" i="120"/>
  <c r="D235" i="120"/>
  <c r="B235" i="120"/>
  <c r="F234" i="120"/>
  <c r="D234" i="120"/>
  <c r="B234" i="120"/>
  <c r="F233" i="120"/>
  <c r="D233" i="120"/>
  <c r="B233" i="120"/>
  <c r="F232" i="120"/>
  <c r="D232" i="120"/>
  <c r="B232" i="120"/>
  <c r="F231" i="120"/>
  <c r="D231" i="120"/>
  <c r="B231" i="120"/>
  <c r="F230" i="120"/>
  <c r="D230" i="120"/>
  <c r="B230" i="120"/>
  <c r="F229" i="120"/>
  <c r="D229" i="120"/>
  <c r="B229" i="120"/>
  <c r="F228" i="120"/>
  <c r="D228" i="120"/>
  <c r="B228" i="120"/>
  <c r="F227" i="120"/>
  <c r="D227" i="120"/>
  <c r="B227" i="120"/>
  <c r="F226" i="120"/>
  <c r="D226" i="120"/>
  <c r="B226" i="120"/>
  <c r="F225" i="120"/>
  <c r="D225" i="120"/>
  <c r="B225" i="120"/>
  <c r="F224" i="120"/>
  <c r="D224" i="120"/>
  <c r="B224" i="120"/>
  <c r="F223" i="120"/>
  <c r="D223" i="120"/>
  <c r="B223" i="120"/>
  <c r="F222" i="120"/>
  <c r="D222" i="120"/>
  <c r="B222" i="120"/>
  <c r="F221" i="120"/>
  <c r="D221" i="120"/>
  <c r="B221" i="120"/>
  <c r="F220" i="120"/>
  <c r="D220" i="120"/>
  <c r="B220" i="120"/>
  <c r="F219" i="120"/>
  <c r="D219" i="120"/>
  <c r="B219" i="120"/>
  <c r="F218" i="120"/>
  <c r="D218" i="120"/>
  <c r="B218" i="120"/>
  <c r="F217" i="120"/>
  <c r="D217" i="120"/>
  <c r="B217" i="120"/>
  <c r="F216" i="120"/>
  <c r="D216" i="120"/>
  <c r="B216" i="120"/>
  <c r="F215" i="120"/>
  <c r="D215" i="120"/>
  <c r="B215" i="120"/>
  <c r="F214" i="120"/>
  <c r="D214" i="120"/>
  <c r="B214" i="120"/>
  <c r="F213" i="120"/>
  <c r="D213" i="120"/>
  <c r="B213" i="120"/>
  <c r="F210" i="120"/>
  <c r="D210" i="120"/>
  <c r="B210" i="120"/>
  <c r="F209" i="120"/>
  <c r="D209" i="120"/>
  <c r="B209" i="120"/>
  <c r="F208" i="120"/>
  <c r="D208" i="120"/>
  <c r="B208" i="120"/>
  <c r="F207" i="120"/>
  <c r="D207" i="120"/>
  <c r="B207" i="120"/>
  <c r="F206" i="120"/>
  <c r="D206" i="120"/>
  <c r="B206" i="120"/>
  <c r="F205" i="120"/>
  <c r="D205" i="120"/>
  <c r="B205" i="120"/>
  <c r="F204" i="120"/>
  <c r="D204" i="120"/>
  <c r="B204" i="120"/>
  <c r="F203" i="120"/>
  <c r="D203" i="120"/>
  <c r="B203" i="120"/>
  <c r="F202" i="120"/>
  <c r="D202" i="120"/>
  <c r="B202" i="120"/>
  <c r="F201" i="120"/>
  <c r="D201" i="120"/>
  <c r="B201" i="120"/>
  <c r="F200" i="120"/>
  <c r="D200" i="120"/>
  <c r="B200" i="120"/>
  <c r="F199" i="120"/>
  <c r="D199" i="120"/>
  <c r="B199" i="120"/>
  <c r="F198" i="120"/>
  <c r="D198" i="120"/>
  <c r="B198" i="120"/>
  <c r="F197" i="120"/>
  <c r="D197" i="120"/>
  <c r="B197" i="120"/>
  <c r="F196" i="120"/>
  <c r="D196" i="120"/>
  <c r="B196" i="120"/>
  <c r="F195" i="120"/>
  <c r="D195" i="120"/>
  <c r="B195" i="120"/>
  <c r="F194" i="120"/>
  <c r="D194" i="120"/>
  <c r="B194" i="120"/>
  <c r="F193" i="120"/>
  <c r="D193" i="120"/>
  <c r="B193" i="120"/>
  <c r="F192" i="120"/>
  <c r="D192" i="120"/>
  <c r="B192" i="120"/>
  <c r="F191" i="120"/>
  <c r="D191" i="120"/>
  <c r="B191" i="120"/>
  <c r="F190" i="120"/>
  <c r="D190" i="120"/>
  <c r="B190" i="120"/>
  <c r="F189" i="120"/>
  <c r="D189" i="120"/>
  <c r="B189" i="120"/>
  <c r="F188" i="120"/>
  <c r="D188" i="120"/>
  <c r="B188" i="120"/>
  <c r="F187" i="120"/>
  <c r="D187" i="120"/>
  <c r="B187" i="120"/>
  <c r="F186" i="120"/>
  <c r="D186" i="120"/>
  <c r="B186" i="120"/>
  <c r="F185" i="120"/>
  <c r="D185" i="120"/>
  <c r="B185" i="120"/>
  <c r="F184" i="120"/>
  <c r="D184" i="120"/>
  <c r="B184" i="120"/>
  <c r="F183" i="120"/>
  <c r="D183" i="120"/>
  <c r="B183" i="120"/>
  <c r="F182" i="120"/>
  <c r="D182" i="120"/>
  <c r="B182" i="120"/>
  <c r="F181" i="120"/>
  <c r="D181" i="120"/>
  <c r="B181" i="120"/>
  <c r="F180" i="120"/>
  <c r="D180" i="120"/>
  <c r="B180" i="120"/>
  <c r="F179" i="120"/>
  <c r="D179" i="120"/>
  <c r="B179" i="120"/>
  <c r="F178" i="120"/>
  <c r="D178" i="120"/>
  <c r="B178" i="120"/>
  <c r="F177" i="120"/>
  <c r="D177" i="120"/>
  <c r="B177" i="120"/>
  <c r="F176" i="120"/>
  <c r="D176" i="120"/>
  <c r="B176" i="120"/>
  <c r="F175" i="120"/>
  <c r="D175" i="120"/>
  <c r="B175" i="120"/>
  <c r="F174" i="120"/>
  <c r="D174" i="120"/>
  <c r="B174" i="120"/>
  <c r="F173" i="120"/>
  <c r="D173" i="120"/>
  <c r="B173" i="120"/>
  <c r="F172" i="120"/>
  <c r="D172" i="120"/>
  <c r="B172" i="120"/>
  <c r="F171" i="120"/>
  <c r="D171" i="120"/>
  <c r="B171" i="120"/>
  <c r="F170" i="120"/>
  <c r="D170" i="120"/>
  <c r="B170" i="120"/>
  <c r="F169" i="120"/>
  <c r="D169" i="120"/>
  <c r="B169" i="120"/>
  <c r="F168" i="120"/>
  <c r="D168" i="120"/>
  <c r="B168" i="120"/>
  <c r="F167" i="120"/>
  <c r="D167" i="120"/>
  <c r="B167" i="120"/>
  <c r="F166" i="120"/>
  <c r="D166" i="120"/>
  <c r="B166" i="120"/>
  <c r="F165" i="120"/>
  <c r="D165" i="120"/>
  <c r="B165" i="120"/>
  <c r="F164" i="120"/>
  <c r="D164" i="120"/>
  <c r="B164" i="120"/>
  <c r="F163" i="120"/>
  <c r="D163" i="120"/>
  <c r="B163" i="120"/>
  <c r="F162" i="120"/>
  <c r="D162" i="120"/>
  <c r="B162" i="120"/>
  <c r="F159" i="120"/>
  <c r="D159" i="120"/>
  <c r="B159" i="120"/>
  <c r="F158" i="120"/>
  <c r="D158" i="120"/>
  <c r="B158" i="120"/>
  <c r="F157" i="120"/>
  <c r="D157" i="120"/>
  <c r="B157" i="120"/>
  <c r="F156" i="120"/>
  <c r="D156" i="120"/>
  <c r="B156" i="120"/>
  <c r="F155" i="120"/>
  <c r="D155" i="120"/>
  <c r="B155" i="120"/>
  <c r="F154" i="120"/>
  <c r="D154" i="120"/>
  <c r="B154" i="120"/>
  <c r="F153" i="120"/>
  <c r="D153" i="120"/>
  <c r="B153" i="120"/>
  <c r="F152" i="120"/>
  <c r="D152" i="120"/>
  <c r="B152" i="120"/>
  <c r="F151" i="120"/>
  <c r="D151" i="120"/>
  <c r="B151" i="120"/>
  <c r="F150" i="120"/>
  <c r="D150" i="120"/>
  <c r="B150" i="120"/>
  <c r="F149" i="120"/>
  <c r="D149" i="120"/>
  <c r="B149" i="120"/>
  <c r="F148" i="120"/>
  <c r="D148" i="120"/>
  <c r="B148" i="120"/>
  <c r="F147" i="120"/>
  <c r="D147" i="120"/>
  <c r="B147" i="120"/>
  <c r="F146" i="120"/>
  <c r="D146" i="120"/>
  <c r="B146" i="120"/>
  <c r="F145" i="120"/>
  <c r="D145" i="120"/>
  <c r="B145" i="120"/>
  <c r="F144" i="120"/>
  <c r="D144" i="120"/>
  <c r="B144" i="120"/>
  <c r="F143" i="120"/>
  <c r="D143" i="120"/>
  <c r="B143" i="120"/>
  <c r="F142" i="120"/>
  <c r="D142" i="120"/>
  <c r="B142" i="120"/>
  <c r="F141" i="120"/>
  <c r="D141" i="120"/>
  <c r="B141" i="120"/>
  <c r="F140" i="120"/>
  <c r="D140" i="120"/>
  <c r="B140" i="120"/>
  <c r="F139" i="120"/>
  <c r="D139" i="120"/>
  <c r="B139" i="120"/>
  <c r="F138" i="120"/>
  <c r="D138" i="120"/>
  <c r="B138" i="120"/>
  <c r="F137" i="120"/>
  <c r="D137" i="120"/>
  <c r="B137" i="120"/>
  <c r="F136" i="120"/>
  <c r="D136" i="120"/>
  <c r="B136" i="120"/>
  <c r="F135" i="120"/>
  <c r="D135" i="120"/>
  <c r="B135" i="120"/>
  <c r="F134" i="120"/>
  <c r="D134" i="120"/>
  <c r="B134" i="120"/>
  <c r="F133" i="120"/>
  <c r="D133" i="120"/>
  <c r="B133" i="120"/>
  <c r="F132" i="120"/>
  <c r="D132" i="120"/>
  <c r="B132" i="120"/>
  <c r="F131" i="120"/>
  <c r="D131" i="120"/>
  <c r="B131" i="120"/>
  <c r="F130" i="120"/>
  <c r="D130" i="120"/>
  <c r="B130" i="120"/>
  <c r="F129" i="120"/>
  <c r="D129" i="120"/>
  <c r="B129" i="120"/>
  <c r="F128" i="120"/>
  <c r="D128" i="120"/>
  <c r="B128" i="120"/>
  <c r="F127" i="120"/>
  <c r="D127" i="120"/>
  <c r="B127" i="120"/>
  <c r="F126" i="120"/>
  <c r="D126" i="120"/>
  <c r="B126" i="120"/>
  <c r="F125" i="120"/>
  <c r="D125" i="120"/>
  <c r="B125" i="120"/>
  <c r="F124" i="120"/>
  <c r="D124" i="120"/>
  <c r="B124" i="120"/>
  <c r="F123" i="120"/>
  <c r="D123" i="120"/>
  <c r="B123" i="120"/>
  <c r="F122" i="120"/>
  <c r="D122" i="120"/>
  <c r="B122" i="120"/>
  <c r="F121" i="120"/>
  <c r="D121" i="120"/>
  <c r="B121" i="120"/>
  <c r="F120" i="120"/>
  <c r="D120" i="120"/>
  <c r="B120" i="120"/>
  <c r="F119" i="120"/>
  <c r="D119" i="120"/>
  <c r="B119" i="120"/>
  <c r="F118" i="120"/>
  <c r="D118" i="120"/>
  <c r="B118" i="120"/>
  <c r="F117" i="120"/>
  <c r="D117" i="120"/>
  <c r="B117" i="120"/>
  <c r="F116" i="120"/>
  <c r="D116" i="120"/>
  <c r="B116" i="120"/>
  <c r="F115" i="120"/>
  <c r="D115" i="120"/>
  <c r="B115" i="120"/>
  <c r="F114" i="120"/>
  <c r="D114" i="120"/>
  <c r="B114" i="120"/>
  <c r="F113" i="120"/>
  <c r="D113" i="120"/>
  <c r="B113" i="120"/>
  <c r="F112" i="120"/>
  <c r="D112" i="120"/>
  <c r="B112" i="120"/>
  <c r="F111" i="120"/>
  <c r="D111" i="120"/>
  <c r="B111" i="120"/>
  <c r="F108" i="120"/>
  <c r="D108" i="120"/>
  <c r="B108" i="120"/>
  <c r="F107" i="120"/>
  <c r="D107" i="120"/>
  <c r="B107" i="120"/>
  <c r="F106" i="120"/>
  <c r="D106" i="120"/>
  <c r="B106" i="120"/>
  <c r="F105" i="120"/>
  <c r="D105" i="120"/>
  <c r="B105" i="120"/>
  <c r="F104" i="120"/>
  <c r="D104" i="120"/>
  <c r="B104" i="120"/>
  <c r="F103" i="120"/>
  <c r="D103" i="120"/>
  <c r="B103" i="120"/>
  <c r="F102" i="120"/>
  <c r="D102" i="120"/>
  <c r="B102" i="120"/>
  <c r="F101" i="120"/>
  <c r="D101" i="120"/>
  <c r="B101" i="120"/>
  <c r="F100" i="120"/>
  <c r="D100" i="120"/>
  <c r="B100" i="120"/>
  <c r="F99" i="120"/>
  <c r="D99" i="120"/>
  <c r="B99" i="120"/>
  <c r="F98" i="120"/>
  <c r="D98" i="120"/>
  <c r="B98" i="120"/>
  <c r="F97" i="120"/>
  <c r="D97" i="120"/>
  <c r="B97" i="120"/>
  <c r="F96" i="120"/>
  <c r="D96" i="120"/>
  <c r="B96" i="120"/>
  <c r="F95" i="120"/>
  <c r="D95" i="120"/>
  <c r="B95" i="120"/>
  <c r="F94" i="120"/>
  <c r="D94" i="120"/>
  <c r="B94" i="120"/>
  <c r="F93" i="120"/>
  <c r="D93" i="120"/>
  <c r="B93" i="120"/>
  <c r="F92" i="120"/>
  <c r="D92" i="120"/>
  <c r="B92" i="120"/>
  <c r="F91" i="120"/>
  <c r="D91" i="120"/>
  <c r="B91" i="120"/>
  <c r="F90" i="120"/>
  <c r="D90" i="120"/>
  <c r="B90" i="120"/>
  <c r="F89" i="120"/>
  <c r="D89" i="120"/>
  <c r="B89" i="120"/>
  <c r="F88" i="120"/>
  <c r="D88" i="120"/>
  <c r="B88" i="120"/>
  <c r="F87" i="120"/>
  <c r="D87" i="120"/>
  <c r="B87" i="120"/>
  <c r="F86" i="120"/>
  <c r="D86" i="120"/>
  <c r="B86" i="120"/>
  <c r="F85" i="120"/>
  <c r="D85" i="120"/>
  <c r="B85" i="120"/>
  <c r="F84" i="120"/>
  <c r="D84" i="120"/>
  <c r="B84" i="120"/>
  <c r="F83" i="120"/>
  <c r="D83" i="120"/>
  <c r="B83" i="120"/>
  <c r="F82" i="120"/>
  <c r="D82" i="120"/>
  <c r="B82" i="120"/>
  <c r="F81" i="120"/>
  <c r="D81" i="120"/>
  <c r="B81" i="120"/>
  <c r="F80" i="120"/>
  <c r="D80" i="120"/>
  <c r="B80" i="120"/>
  <c r="F79" i="120"/>
  <c r="D79" i="120"/>
  <c r="B79" i="120"/>
  <c r="F78" i="120"/>
  <c r="D78" i="120"/>
  <c r="B78" i="120"/>
  <c r="F77" i="120"/>
  <c r="D77" i="120"/>
  <c r="B77" i="120"/>
  <c r="F76" i="120"/>
  <c r="D76" i="120"/>
  <c r="B76" i="120"/>
  <c r="F75" i="120"/>
  <c r="D75" i="120"/>
  <c r="B75" i="120"/>
  <c r="F74" i="120"/>
  <c r="D74" i="120"/>
  <c r="B74" i="120"/>
  <c r="F73" i="120"/>
  <c r="D73" i="120"/>
  <c r="B73" i="120"/>
  <c r="F72" i="120"/>
  <c r="D72" i="120"/>
  <c r="B72" i="120"/>
  <c r="F71" i="120"/>
  <c r="D71" i="120"/>
  <c r="B71" i="120"/>
  <c r="F70" i="120"/>
  <c r="D70" i="120"/>
  <c r="B70" i="120"/>
  <c r="F69" i="120"/>
  <c r="D69" i="120"/>
  <c r="B69" i="120"/>
  <c r="F68" i="120"/>
  <c r="D68" i="120"/>
  <c r="B68" i="120"/>
  <c r="F67" i="120"/>
  <c r="D67" i="120"/>
  <c r="B67" i="120"/>
  <c r="F66" i="120"/>
  <c r="D66" i="120"/>
  <c r="B66" i="120"/>
  <c r="F65" i="120"/>
  <c r="D65" i="120"/>
  <c r="B65" i="120"/>
  <c r="F64" i="120"/>
  <c r="D64" i="120"/>
  <c r="B64" i="120"/>
  <c r="F63" i="120"/>
  <c r="D63" i="120"/>
  <c r="B63" i="120"/>
  <c r="F62" i="120"/>
  <c r="D62" i="120"/>
  <c r="B62" i="120"/>
  <c r="F61" i="120"/>
  <c r="D61" i="120"/>
  <c r="B61" i="120"/>
  <c r="F60" i="120"/>
  <c r="D60" i="120"/>
  <c r="B60" i="120"/>
  <c r="F57" i="120"/>
  <c r="D57" i="120"/>
  <c r="B57" i="120"/>
  <c r="F56" i="120"/>
  <c r="D56" i="120"/>
  <c r="B56" i="120"/>
  <c r="F55" i="120"/>
  <c r="D55" i="120"/>
  <c r="B55" i="120"/>
  <c r="F54" i="120"/>
  <c r="D54" i="120"/>
  <c r="B54" i="120"/>
  <c r="F53" i="120"/>
  <c r="D53" i="120"/>
  <c r="B53" i="120"/>
  <c r="F52" i="120"/>
  <c r="D52" i="120"/>
  <c r="B52" i="120"/>
  <c r="F51" i="120"/>
  <c r="D51" i="120"/>
  <c r="B51" i="120"/>
  <c r="F50" i="120"/>
  <c r="D50" i="120"/>
  <c r="B50" i="120"/>
  <c r="F49" i="120"/>
  <c r="D49" i="120"/>
  <c r="B49" i="120"/>
  <c r="F48" i="120"/>
  <c r="D48" i="120"/>
  <c r="B48" i="120"/>
  <c r="F47" i="120"/>
  <c r="D47" i="120"/>
  <c r="B47" i="120"/>
  <c r="F46" i="120"/>
  <c r="D46" i="120"/>
  <c r="B46" i="120"/>
  <c r="F45" i="120"/>
  <c r="D45" i="120"/>
  <c r="B45" i="120"/>
  <c r="F44" i="120"/>
  <c r="D44" i="120"/>
  <c r="B44" i="120"/>
  <c r="F43" i="120"/>
  <c r="D43" i="120"/>
  <c r="B43" i="120"/>
  <c r="F42" i="120"/>
  <c r="D42" i="120"/>
  <c r="B42" i="120"/>
  <c r="F41" i="120"/>
  <c r="D41" i="120"/>
  <c r="B41" i="120"/>
  <c r="F40" i="120"/>
  <c r="D40" i="120"/>
  <c r="B40" i="120"/>
  <c r="F39" i="120"/>
  <c r="D39" i="120"/>
  <c r="B39" i="120"/>
  <c r="F38" i="120"/>
  <c r="D38" i="120"/>
  <c r="B38" i="120"/>
  <c r="F37" i="120"/>
  <c r="D37" i="120"/>
  <c r="B37" i="120"/>
  <c r="F36" i="120"/>
  <c r="D36" i="120"/>
  <c r="B36" i="120"/>
  <c r="F35" i="120"/>
  <c r="D35" i="120"/>
  <c r="B35" i="120"/>
  <c r="F34" i="120"/>
  <c r="D34" i="120"/>
  <c r="B34" i="120"/>
  <c r="F33" i="120"/>
  <c r="D33" i="120"/>
  <c r="B33" i="120"/>
  <c r="F32" i="120"/>
  <c r="D32" i="120"/>
  <c r="B32" i="120"/>
  <c r="F31" i="120"/>
  <c r="D31" i="120"/>
  <c r="B31" i="120"/>
  <c r="F30" i="120"/>
  <c r="D30" i="120"/>
  <c r="B30" i="120"/>
  <c r="F29" i="120"/>
  <c r="D29" i="120"/>
  <c r="B29" i="120"/>
  <c r="F28" i="120"/>
  <c r="D28" i="120"/>
  <c r="B28" i="120"/>
  <c r="F27" i="120"/>
  <c r="D27" i="120"/>
  <c r="B27" i="120"/>
  <c r="F26" i="120"/>
  <c r="D26" i="120"/>
  <c r="B26" i="120"/>
  <c r="F25" i="120"/>
  <c r="D25" i="120"/>
  <c r="B25" i="120"/>
  <c r="F24" i="120"/>
  <c r="D24" i="120"/>
  <c r="B24" i="120"/>
  <c r="F23" i="120"/>
  <c r="D23" i="120"/>
  <c r="B23" i="120"/>
  <c r="F22" i="120"/>
  <c r="D22" i="120"/>
  <c r="B22" i="120"/>
  <c r="F21" i="120"/>
  <c r="D21" i="120"/>
  <c r="B21" i="120"/>
  <c r="F20" i="120"/>
  <c r="D20" i="120"/>
  <c r="B20" i="120"/>
  <c r="F19" i="120"/>
  <c r="D19" i="120"/>
  <c r="B19" i="120"/>
  <c r="F18" i="120"/>
  <c r="D18" i="120"/>
  <c r="B18" i="120"/>
  <c r="F17" i="120"/>
  <c r="D17" i="120"/>
  <c r="B17" i="120"/>
  <c r="F16" i="120"/>
  <c r="D16" i="120"/>
  <c r="B16" i="120"/>
  <c r="F15" i="120"/>
  <c r="D15" i="120"/>
  <c r="B15" i="120"/>
  <c r="F14" i="120"/>
  <c r="D14" i="120"/>
  <c r="B14" i="120"/>
  <c r="F13" i="120"/>
  <c r="D13" i="120"/>
  <c r="B13" i="120"/>
  <c r="F12" i="120"/>
  <c r="D12" i="120"/>
  <c r="B12" i="120"/>
  <c r="F11" i="120"/>
  <c r="D11" i="120"/>
  <c r="B11" i="120"/>
  <c r="F10" i="120"/>
  <c r="D10" i="120"/>
  <c r="B10" i="120"/>
  <c r="F9" i="120"/>
  <c r="D9" i="120"/>
  <c r="B9" i="120"/>
  <c r="F253" i="87"/>
  <c r="D253" i="87"/>
  <c r="B253" i="87"/>
  <c r="F252" i="87"/>
  <c r="D252" i="87"/>
  <c r="B252" i="87"/>
  <c r="F251" i="87"/>
  <c r="D251" i="87"/>
  <c r="B251" i="87"/>
  <c r="F250" i="87"/>
  <c r="D250" i="87"/>
  <c r="B250" i="87"/>
  <c r="F249" i="87"/>
  <c r="D249" i="87"/>
  <c r="B249" i="87"/>
  <c r="F248" i="87"/>
  <c r="D248" i="87"/>
  <c r="B248" i="87"/>
  <c r="F247" i="87"/>
  <c r="D247" i="87"/>
  <c r="B247" i="87"/>
  <c r="F246" i="87"/>
  <c r="D246" i="87"/>
  <c r="B246" i="87"/>
  <c r="F245" i="87"/>
  <c r="D245" i="87"/>
  <c r="B245" i="87"/>
  <c r="F244" i="87"/>
  <c r="D244" i="87"/>
  <c r="B244" i="87"/>
  <c r="F243" i="87"/>
  <c r="D243" i="87"/>
  <c r="B243" i="87"/>
  <c r="F242" i="87"/>
  <c r="D242" i="87"/>
  <c r="B242" i="87"/>
  <c r="F241" i="87"/>
  <c r="D241" i="87"/>
  <c r="B241" i="87"/>
  <c r="F240" i="87"/>
  <c r="D240" i="87"/>
  <c r="B240" i="87"/>
  <c r="F239" i="87"/>
  <c r="D239" i="87"/>
  <c r="B239" i="87"/>
  <c r="F238" i="87"/>
  <c r="D238" i="87"/>
  <c r="B238" i="87"/>
  <c r="F237" i="87"/>
  <c r="D237" i="87"/>
  <c r="B237" i="87"/>
  <c r="F236" i="87"/>
  <c r="D236" i="87"/>
  <c r="B236" i="87"/>
  <c r="F235" i="87"/>
  <c r="D235" i="87"/>
  <c r="B235" i="87"/>
  <c r="F234" i="87"/>
  <c r="D234" i="87"/>
  <c r="B234" i="87"/>
  <c r="F233" i="87"/>
  <c r="D233" i="87"/>
  <c r="B233" i="87"/>
  <c r="F232" i="87"/>
  <c r="D232" i="87"/>
  <c r="B232" i="87"/>
  <c r="F231" i="87"/>
  <c r="D231" i="87"/>
  <c r="B231" i="87"/>
  <c r="F230" i="87"/>
  <c r="D230" i="87"/>
  <c r="B230" i="87"/>
  <c r="F229" i="87"/>
  <c r="D229" i="87"/>
  <c r="B229" i="87"/>
  <c r="F228" i="87"/>
  <c r="D228" i="87"/>
  <c r="B228" i="87"/>
  <c r="F227" i="87"/>
  <c r="D227" i="87"/>
  <c r="B227" i="87"/>
  <c r="F226" i="87"/>
  <c r="D226" i="87"/>
  <c r="B226" i="87"/>
  <c r="F225" i="87"/>
  <c r="D225" i="87"/>
  <c r="B225" i="87"/>
  <c r="F224" i="87"/>
  <c r="D224" i="87"/>
  <c r="B224" i="87"/>
  <c r="F223" i="87"/>
  <c r="D223" i="87"/>
  <c r="B223" i="87"/>
  <c r="F222" i="87"/>
  <c r="D222" i="87"/>
  <c r="B222" i="87"/>
  <c r="F221" i="87"/>
  <c r="D221" i="87"/>
  <c r="B221" i="87"/>
  <c r="F220" i="87"/>
  <c r="D220" i="87"/>
  <c r="B220" i="87"/>
  <c r="F219" i="87"/>
  <c r="D219" i="87"/>
  <c r="B219" i="87"/>
  <c r="F218" i="87"/>
  <c r="D218" i="87"/>
  <c r="B218" i="87"/>
  <c r="F217" i="87"/>
  <c r="D217" i="87"/>
  <c r="B217" i="87"/>
  <c r="F216" i="87"/>
  <c r="D216" i="87"/>
  <c r="B216" i="87"/>
  <c r="F215" i="87"/>
  <c r="D215" i="87"/>
  <c r="B215" i="87"/>
  <c r="F214" i="87"/>
  <c r="D214" i="87"/>
  <c r="B214" i="87"/>
  <c r="F213" i="87"/>
  <c r="D213" i="87"/>
  <c r="B213" i="87"/>
  <c r="F212" i="87"/>
  <c r="D212" i="87"/>
  <c r="B212" i="87"/>
  <c r="F211" i="87"/>
  <c r="D211" i="87"/>
  <c r="B211" i="87"/>
  <c r="F210" i="87"/>
  <c r="D210" i="87"/>
  <c r="B210" i="87"/>
  <c r="F209" i="87"/>
  <c r="D209" i="87"/>
  <c r="B209" i="87"/>
  <c r="F208" i="87"/>
  <c r="D208" i="87"/>
  <c r="B208" i="87"/>
  <c r="F207" i="87"/>
  <c r="D207" i="87"/>
  <c r="B207" i="87"/>
  <c r="F57" i="65" l="1"/>
  <c r="D57" i="65"/>
  <c r="B57" i="65"/>
  <c r="F56" i="65"/>
  <c r="D56" i="65"/>
  <c r="B56" i="65"/>
  <c r="F55" i="65"/>
  <c r="D55" i="65"/>
  <c r="B55" i="65"/>
  <c r="F54" i="65"/>
  <c r="D54" i="65"/>
  <c r="B54" i="65"/>
  <c r="F53" i="65"/>
  <c r="D53" i="65"/>
  <c r="B53" i="65"/>
  <c r="F52" i="65"/>
  <c r="D52" i="65"/>
  <c r="B52" i="65"/>
  <c r="F51" i="65"/>
  <c r="D51" i="65"/>
  <c r="B51" i="65"/>
  <c r="F50" i="65"/>
  <c r="D50" i="65"/>
  <c r="B50" i="65"/>
  <c r="F49" i="65"/>
  <c r="D49" i="65"/>
  <c r="B49" i="65"/>
  <c r="F48" i="65"/>
  <c r="D48" i="65"/>
  <c r="B48" i="65"/>
  <c r="F47" i="65"/>
  <c r="D47" i="65"/>
  <c r="B47" i="65"/>
  <c r="F46" i="65"/>
  <c r="D46" i="65"/>
  <c r="B46" i="65"/>
  <c r="F45" i="65"/>
  <c r="D45" i="65"/>
  <c r="B45" i="65"/>
  <c r="F44" i="65"/>
  <c r="D44" i="65"/>
  <c r="B44" i="65"/>
  <c r="F43" i="65"/>
  <c r="D43" i="65"/>
  <c r="B43" i="65"/>
  <c r="F42" i="65"/>
  <c r="D42" i="65"/>
  <c r="B42" i="65"/>
  <c r="F41" i="65"/>
  <c r="D41" i="65"/>
  <c r="B41" i="65"/>
  <c r="F40" i="65"/>
  <c r="D40" i="65"/>
  <c r="B40" i="65"/>
  <c r="F39" i="65"/>
  <c r="D39" i="65"/>
  <c r="B39" i="65"/>
  <c r="F38" i="65"/>
  <c r="D38" i="65"/>
  <c r="B38" i="65"/>
  <c r="F37" i="65"/>
  <c r="D37" i="65"/>
  <c r="B37" i="65"/>
  <c r="F36" i="65"/>
  <c r="D36" i="65"/>
  <c r="B36" i="65"/>
  <c r="F35" i="65"/>
  <c r="D35" i="65"/>
  <c r="B35" i="65"/>
  <c r="F34" i="65"/>
  <c r="D34" i="65"/>
  <c r="B34" i="65"/>
  <c r="F33" i="65"/>
  <c r="D33" i="65"/>
  <c r="B33" i="65"/>
  <c r="F32" i="65"/>
  <c r="D32" i="65"/>
  <c r="B32" i="65"/>
  <c r="F31" i="65"/>
  <c r="D31" i="65"/>
  <c r="B31" i="65"/>
  <c r="F30" i="65"/>
  <c r="D30" i="65"/>
  <c r="B30" i="65"/>
  <c r="F29" i="65"/>
  <c r="D29" i="65"/>
  <c r="B29" i="65"/>
  <c r="F28" i="65"/>
  <c r="D28" i="65"/>
  <c r="B28" i="65"/>
  <c r="F27" i="65"/>
  <c r="D27" i="65"/>
  <c r="B27" i="65"/>
  <c r="F26" i="65"/>
  <c r="D26" i="65"/>
  <c r="B26" i="65"/>
  <c r="F25" i="65"/>
  <c r="D25" i="65"/>
  <c r="B25" i="65"/>
  <c r="F24" i="65"/>
  <c r="D24" i="65"/>
  <c r="B24" i="65"/>
  <c r="F23" i="65"/>
  <c r="D23" i="65"/>
  <c r="B23" i="65"/>
  <c r="F22" i="65"/>
  <c r="D22" i="65"/>
  <c r="B22" i="65"/>
  <c r="F21" i="65"/>
  <c r="D21" i="65"/>
  <c r="B21" i="65"/>
  <c r="F20" i="65"/>
  <c r="D20" i="65"/>
  <c r="B20" i="65"/>
  <c r="F19" i="65"/>
  <c r="D19" i="65"/>
  <c r="B19" i="65"/>
  <c r="F18" i="65"/>
  <c r="D18" i="65"/>
  <c r="B18" i="65"/>
  <c r="F17" i="65"/>
  <c r="D17" i="65"/>
  <c r="B17" i="65"/>
  <c r="F16" i="65"/>
  <c r="D16" i="65"/>
  <c r="B16" i="65"/>
  <c r="F15" i="65"/>
  <c r="D15" i="65"/>
  <c r="B15" i="65"/>
  <c r="F14" i="65"/>
  <c r="D14" i="65"/>
  <c r="B14" i="65"/>
  <c r="F13" i="65"/>
  <c r="D13" i="65"/>
  <c r="B13" i="65"/>
  <c r="F12" i="65"/>
  <c r="D12" i="65"/>
  <c r="B12" i="65"/>
  <c r="F11" i="65"/>
  <c r="D11" i="65"/>
  <c r="B11" i="65"/>
  <c r="F10" i="65"/>
  <c r="D10" i="65"/>
  <c r="B10" i="65"/>
  <c r="F9" i="65"/>
  <c r="D9" i="65"/>
  <c r="B9" i="65"/>
  <c r="F399" i="88" l="1"/>
  <c r="D399" i="88"/>
  <c r="B399" i="88"/>
  <c r="F398" i="88"/>
  <c r="D398" i="88"/>
  <c r="B398" i="88"/>
  <c r="F397" i="88"/>
  <c r="D397" i="88"/>
  <c r="B397" i="88"/>
  <c r="F396" i="88"/>
  <c r="D396" i="88"/>
  <c r="B396" i="88"/>
  <c r="F395" i="88"/>
  <c r="D395" i="88"/>
  <c r="B395" i="88"/>
  <c r="F394" i="88"/>
  <c r="D394" i="88"/>
  <c r="B394" i="88"/>
  <c r="F393" i="88"/>
  <c r="D393" i="88"/>
  <c r="B393" i="88"/>
  <c r="F392" i="88"/>
  <c r="D392" i="88"/>
  <c r="B392" i="88"/>
  <c r="F391" i="88"/>
  <c r="D391" i="88"/>
  <c r="B391" i="88"/>
  <c r="F390" i="88"/>
  <c r="D390" i="88"/>
  <c r="B390" i="88"/>
  <c r="F389" i="88"/>
  <c r="D389" i="88"/>
  <c r="B389" i="88"/>
  <c r="F388" i="88"/>
  <c r="D388" i="88"/>
  <c r="B388" i="88"/>
  <c r="F387" i="88"/>
  <c r="D387" i="88"/>
  <c r="B387" i="88"/>
  <c r="F386" i="88"/>
  <c r="D386" i="88"/>
  <c r="B386" i="88"/>
  <c r="F385" i="88"/>
  <c r="D385" i="88"/>
  <c r="B385" i="88"/>
  <c r="F384" i="88"/>
  <c r="D384" i="88"/>
  <c r="B384" i="88"/>
  <c r="F383" i="88"/>
  <c r="D383" i="88"/>
  <c r="B383" i="88"/>
  <c r="F382" i="88"/>
  <c r="D382" i="88"/>
  <c r="B382" i="88"/>
  <c r="F381" i="88"/>
  <c r="D381" i="88"/>
  <c r="B381" i="88"/>
  <c r="F380" i="88"/>
  <c r="D380" i="88"/>
  <c r="B380" i="88"/>
  <c r="F379" i="88"/>
  <c r="D379" i="88"/>
  <c r="B379" i="88"/>
  <c r="F378" i="88"/>
  <c r="D378" i="88"/>
  <c r="B378" i="88"/>
  <c r="F377" i="88"/>
  <c r="D377" i="88"/>
  <c r="B377" i="88"/>
  <c r="F376" i="88"/>
  <c r="D376" i="88"/>
  <c r="B376" i="88"/>
  <c r="F375" i="88"/>
  <c r="D375" i="88"/>
  <c r="B375" i="88"/>
  <c r="F374" i="88"/>
  <c r="D374" i="88"/>
  <c r="B374" i="88"/>
  <c r="F373" i="88"/>
  <c r="D373" i="88"/>
  <c r="B373" i="88"/>
  <c r="F372" i="88"/>
  <c r="D372" i="88"/>
  <c r="B372" i="88"/>
  <c r="F371" i="88"/>
  <c r="D371" i="88"/>
  <c r="B371" i="88"/>
  <c r="F370" i="88"/>
  <c r="D370" i="88"/>
  <c r="B370" i="88"/>
  <c r="F369" i="88"/>
  <c r="D369" i="88"/>
  <c r="B369" i="88"/>
  <c r="F368" i="88"/>
  <c r="D368" i="88"/>
  <c r="B368" i="88"/>
  <c r="F367" i="88"/>
  <c r="D367" i="88"/>
  <c r="B367" i="88"/>
  <c r="F366" i="88"/>
  <c r="D366" i="88"/>
  <c r="B366" i="88"/>
  <c r="F365" i="88"/>
  <c r="D365" i="88"/>
  <c r="B365" i="88"/>
  <c r="F364" i="88"/>
  <c r="D364" i="88"/>
  <c r="B364" i="88"/>
  <c r="F363" i="88"/>
  <c r="D363" i="88"/>
  <c r="B363" i="88"/>
  <c r="F362" i="88"/>
  <c r="D362" i="88"/>
  <c r="B362" i="88"/>
  <c r="F361" i="88"/>
  <c r="D361" i="88"/>
  <c r="B361" i="88"/>
  <c r="F360" i="88"/>
  <c r="D360" i="88"/>
  <c r="B360" i="88"/>
  <c r="F359" i="88"/>
  <c r="D359" i="88"/>
  <c r="B359" i="88"/>
  <c r="F358" i="88"/>
  <c r="D358" i="88"/>
  <c r="B358" i="88"/>
  <c r="F357" i="88"/>
  <c r="D357" i="88"/>
  <c r="B357" i="88"/>
  <c r="F356" i="88"/>
  <c r="D356" i="88"/>
  <c r="B356" i="88"/>
  <c r="F355" i="88"/>
  <c r="D355" i="88"/>
  <c r="B355" i="88"/>
  <c r="F354" i="88"/>
  <c r="D354" i="88"/>
  <c r="B354" i="88"/>
  <c r="F353" i="88"/>
  <c r="D353" i="88"/>
  <c r="B353" i="88"/>
  <c r="F350" i="88"/>
  <c r="D350" i="88"/>
  <c r="B350" i="88"/>
  <c r="F349" i="88"/>
  <c r="D349" i="88"/>
  <c r="B349" i="88"/>
  <c r="F348" i="88"/>
  <c r="D348" i="88"/>
  <c r="B348" i="88"/>
  <c r="F347" i="88"/>
  <c r="D347" i="88"/>
  <c r="B347" i="88"/>
  <c r="F346" i="88"/>
  <c r="D346" i="88"/>
  <c r="B346" i="88"/>
  <c r="F345" i="88"/>
  <c r="D345" i="88"/>
  <c r="B345" i="88"/>
  <c r="F344" i="88"/>
  <c r="D344" i="88"/>
  <c r="B344" i="88"/>
  <c r="F343" i="88"/>
  <c r="D343" i="88"/>
  <c r="B343" i="88"/>
  <c r="F342" i="88"/>
  <c r="D342" i="88"/>
  <c r="B342" i="88"/>
  <c r="F341" i="88"/>
  <c r="D341" i="88"/>
  <c r="B341" i="88"/>
  <c r="F340" i="88"/>
  <c r="D340" i="88"/>
  <c r="B340" i="88"/>
  <c r="F339" i="88"/>
  <c r="D339" i="88"/>
  <c r="B339" i="88"/>
  <c r="F338" i="88"/>
  <c r="D338" i="88"/>
  <c r="B338" i="88"/>
  <c r="F337" i="88"/>
  <c r="D337" i="88"/>
  <c r="B337" i="88"/>
  <c r="F336" i="88"/>
  <c r="D336" i="88"/>
  <c r="B336" i="88"/>
  <c r="F335" i="88"/>
  <c r="D335" i="88"/>
  <c r="B335" i="88"/>
  <c r="F334" i="88"/>
  <c r="D334" i="88"/>
  <c r="B334" i="88"/>
  <c r="F333" i="88"/>
  <c r="D333" i="88"/>
  <c r="B333" i="88"/>
  <c r="F332" i="88"/>
  <c r="D332" i="88"/>
  <c r="B332" i="88"/>
  <c r="F331" i="88"/>
  <c r="D331" i="88"/>
  <c r="B331" i="88"/>
  <c r="F330" i="88"/>
  <c r="D330" i="88"/>
  <c r="B330" i="88"/>
  <c r="F329" i="88"/>
  <c r="D329" i="88"/>
  <c r="B329" i="88"/>
  <c r="F328" i="88"/>
  <c r="D328" i="88"/>
  <c r="B328" i="88"/>
  <c r="F327" i="88"/>
  <c r="D327" i="88"/>
  <c r="B327" i="88"/>
  <c r="F326" i="88"/>
  <c r="D326" i="88"/>
  <c r="B326" i="88"/>
  <c r="F325" i="88"/>
  <c r="D325" i="88"/>
  <c r="B325" i="88"/>
  <c r="F324" i="88"/>
  <c r="D324" i="88"/>
  <c r="B324" i="88"/>
  <c r="F323" i="88"/>
  <c r="D323" i="88"/>
  <c r="B323" i="88"/>
  <c r="F322" i="88"/>
  <c r="D322" i="88"/>
  <c r="B322" i="88"/>
  <c r="F321" i="88"/>
  <c r="D321" i="88"/>
  <c r="B321" i="88"/>
  <c r="F320" i="88"/>
  <c r="D320" i="88"/>
  <c r="B320" i="88"/>
  <c r="F319" i="88"/>
  <c r="D319" i="88"/>
  <c r="B319" i="88"/>
  <c r="F318" i="88"/>
  <c r="D318" i="88"/>
  <c r="B318" i="88"/>
  <c r="F317" i="88"/>
  <c r="D317" i="88"/>
  <c r="B317" i="88"/>
  <c r="F316" i="88"/>
  <c r="D316" i="88"/>
  <c r="B316" i="88"/>
  <c r="F315" i="88"/>
  <c r="D315" i="88"/>
  <c r="B315" i="88"/>
  <c r="F314" i="88"/>
  <c r="D314" i="88"/>
  <c r="B314" i="88"/>
  <c r="F313" i="88"/>
  <c r="D313" i="88"/>
  <c r="B313" i="88"/>
  <c r="F312" i="88"/>
  <c r="D312" i="88"/>
  <c r="B312" i="88"/>
  <c r="F311" i="88"/>
  <c r="D311" i="88"/>
  <c r="B311" i="88"/>
  <c r="F310" i="88"/>
  <c r="D310" i="88"/>
  <c r="B310" i="88"/>
  <c r="F309" i="88"/>
  <c r="D309" i="88"/>
  <c r="B309" i="88"/>
  <c r="F308" i="88"/>
  <c r="D308" i="88"/>
  <c r="B308" i="88"/>
  <c r="F307" i="88"/>
  <c r="D307" i="88"/>
  <c r="B307" i="88"/>
  <c r="F306" i="88"/>
  <c r="D306" i="88"/>
  <c r="B306" i="88"/>
  <c r="F305" i="88"/>
  <c r="D305" i="88"/>
  <c r="B305" i="88"/>
  <c r="F304" i="88"/>
  <c r="D304" i="88"/>
  <c r="B304" i="88"/>
  <c r="F252" i="88"/>
  <c r="D252" i="88"/>
  <c r="B252" i="88"/>
  <c r="F251" i="88"/>
  <c r="D251" i="88"/>
  <c r="B251" i="88"/>
  <c r="F250" i="88"/>
  <c r="D250" i="88"/>
  <c r="B250" i="88"/>
  <c r="F249" i="88"/>
  <c r="D249" i="88"/>
  <c r="B249" i="88"/>
  <c r="F248" i="88"/>
  <c r="D248" i="88"/>
  <c r="B248" i="88"/>
  <c r="F247" i="88"/>
  <c r="D247" i="88"/>
  <c r="B247" i="88"/>
  <c r="F246" i="88"/>
  <c r="D246" i="88"/>
  <c r="B246" i="88"/>
  <c r="F245" i="88"/>
  <c r="D245" i="88"/>
  <c r="B245" i="88"/>
  <c r="F244" i="88"/>
  <c r="D244" i="88"/>
  <c r="B244" i="88"/>
  <c r="F243" i="88"/>
  <c r="D243" i="88"/>
  <c r="B243" i="88"/>
  <c r="F242" i="88"/>
  <c r="D242" i="88"/>
  <c r="B242" i="88"/>
  <c r="F241" i="88"/>
  <c r="D241" i="88"/>
  <c r="B241" i="88"/>
  <c r="F240" i="88"/>
  <c r="D240" i="88"/>
  <c r="B240" i="88"/>
  <c r="F239" i="88"/>
  <c r="D239" i="88"/>
  <c r="B239" i="88"/>
  <c r="F238" i="88"/>
  <c r="D238" i="88"/>
  <c r="B238" i="88"/>
  <c r="F237" i="88"/>
  <c r="D237" i="88"/>
  <c r="B237" i="88"/>
  <c r="F236" i="88"/>
  <c r="D236" i="88"/>
  <c r="B236" i="88"/>
  <c r="F235" i="88"/>
  <c r="D235" i="88"/>
  <c r="B235" i="88"/>
  <c r="F234" i="88"/>
  <c r="D234" i="88"/>
  <c r="B234" i="88"/>
  <c r="F233" i="88"/>
  <c r="D233" i="88"/>
  <c r="B233" i="88"/>
  <c r="F232" i="88"/>
  <c r="D232" i="88"/>
  <c r="B232" i="88"/>
  <c r="F231" i="88"/>
  <c r="D231" i="88"/>
  <c r="B231" i="88"/>
  <c r="F230" i="88"/>
  <c r="D230" i="88"/>
  <c r="B230" i="88"/>
  <c r="F229" i="88"/>
  <c r="D229" i="88"/>
  <c r="B229" i="88"/>
  <c r="F228" i="88"/>
  <c r="D228" i="88"/>
  <c r="B228" i="88"/>
  <c r="F227" i="88"/>
  <c r="D227" i="88"/>
  <c r="B227" i="88"/>
  <c r="F226" i="88"/>
  <c r="D226" i="88"/>
  <c r="B226" i="88"/>
  <c r="F225" i="88"/>
  <c r="D225" i="88"/>
  <c r="B225" i="88"/>
  <c r="F224" i="88"/>
  <c r="D224" i="88"/>
  <c r="B224" i="88"/>
  <c r="F223" i="88"/>
  <c r="D223" i="88"/>
  <c r="B223" i="88"/>
  <c r="F222" i="88"/>
  <c r="D222" i="88"/>
  <c r="B222" i="88"/>
  <c r="F221" i="88"/>
  <c r="D221" i="88"/>
  <c r="B221" i="88"/>
  <c r="F220" i="88"/>
  <c r="D220" i="88"/>
  <c r="B220" i="88"/>
  <c r="F219" i="88"/>
  <c r="D219" i="88"/>
  <c r="B219" i="88"/>
  <c r="F218" i="88"/>
  <c r="D218" i="88"/>
  <c r="B218" i="88"/>
  <c r="F217" i="88"/>
  <c r="D217" i="88"/>
  <c r="B217" i="88"/>
  <c r="F216" i="88"/>
  <c r="D216" i="88"/>
  <c r="B216" i="88"/>
  <c r="F215" i="88"/>
  <c r="D215" i="88"/>
  <c r="B215" i="88"/>
  <c r="F214" i="88"/>
  <c r="D214" i="88"/>
  <c r="B214" i="88"/>
  <c r="F213" i="88"/>
  <c r="D213" i="88"/>
  <c r="B213" i="88"/>
  <c r="F212" i="88"/>
  <c r="D212" i="88"/>
  <c r="B212" i="88"/>
  <c r="F211" i="88"/>
  <c r="D211" i="88"/>
  <c r="B211" i="88"/>
  <c r="F210" i="88"/>
  <c r="D210" i="88"/>
  <c r="B210" i="88"/>
  <c r="F209" i="88"/>
  <c r="D209" i="88"/>
  <c r="B209" i="88"/>
  <c r="F208" i="88"/>
  <c r="D208" i="88"/>
  <c r="B208" i="88"/>
  <c r="F207" i="88"/>
  <c r="D207" i="88"/>
  <c r="B207" i="88"/>
  <c r="F206" i="88"/>
  <c r="D206" i="88"/>
  <c r="B206" i="88"/>
  <c r="F399" i="113"/>
  <c r="D399" i="113"/>
  <c r="B399" i="113"/>
  <c r="F398" i="113"/>
  <c r="D398" i="113"/>
  <c r="B398" i="113"/>
  <c r="F397" i="113"/>
  <c r="D397" i="113"/>
  <c r="B397" i="113"/>
  <c r="F396" i="113"/>
  <c r="D396" i="113"/>
  <c r="B396" i="113"/>
  <c r="F395" i="113"/>
  <c r="D395" i="113"/>
  <c r="B395" i="113"/>
  <c r="F394" i="113"/>
  <c r="D394" i="113"/>
  <c r="B394" i="113"/>
  <c r="F393" i="113"/>
  <c r="D393" i="113"/>
  <c r="B393" i="113"/>
  <c r="F392" i="113"/>
  <c r="D392" i="113"/>
  <c r="B392" i="113"/>
  <c r="F391" i="113"/>
  <c r="D391" i="113"/>
  <c r="B391" i="113"/>
  <c r="F390" i="113"/>
  <c r="D390" i="113"/>
  <c r="B390" i="113"/>
  <c r="F389" i="113"/>
  <c r="D389" i="113"/>
  <c r="B389" i="113"/>
  <c r="F388" i="113"/>
  <c r="D388" i="113"/>
  <c r="B388" i="113"/>
  <c r="F387" i="113"/>
  <c r="D387" i="113"/>
  <c r="B387" i="113"/>
  <c r="F386" i="113"/>
  <c r="D386" i="113"/>
  <c r="B386" i="113"/>
  <c r="F385" i="113"/>
  <c r="D385" i="113"/>
  <c r="B385" i="113"/>
  <c r="F384" i="113"/>
  <c r="D384" i="113"/>
  <c r="B384" i="113"/>
  <c r="F383" i="113"/>
  <c r="D383" i="113"/>
  <c r="B383" i="113"/>
  <c r="F382" i="113"/>
  <c r="D382" i="113"/>
  <c r="B382" i="113"/>
  <c r="F381" i="113"/>
  <c r="D381" i="113"/>
  <c r="B381" i="113"/>
  <c r="F380" i="113"/>
  <c r="D380" i="113"/>
  <c r="B380" i="113"/>
  <c r="F379" i="113"/>
  <c r="D379" i="113"/>
  <c r="B379" i="113"/>
  <c r="F378" i="113"/>
  <c r="D378" i="113"/>
  <c r="B378" i="113"/>
  <c r="F377" i="113"/>
  <c r="D377" i="113"/>
  <c r="B377" i="113"/>
  <c r="F376" i="113"/>
  <c r="D376" i="113"/>
  <c r="B376" i="113"/>
  <c r="F375" i="113"/>
  <c r="D375" i="113"/>
  <c r="B375" i="113"/>
  <c r="F374" i="113"/>
  <c r="D374" i="113"/>
  <c r="B374" i="113"/>
  <c r="F373" i="113"/>
  <c r="D373" i="113"/>
  <c r="B373" i="113"/>
  <c r="F372" i="113"/>
  <c r="D372" i="113"/>
  <c r="B372" i="113"/>
  <c r="F371" i="113"/>
  <c r="D371" i="113"/>
  <c r="B371" i="113"/>
  <c r="F370" i="113"/>
  <c r="D370" i="113"/>
  <c r="B370" i="113"/>
  <c r="F369" i="113"/>
  <c r="D369" i="113"/>
  <c r="B369" i="113"/>
  <c r="F368" i="113"/>
  <c r="D368" i="113"/>
  <c r="B368" i="113"/>
  <c r="F367" i="113"/>
  <c r="D367" i="113"/>
  <c r="B367" i="113"/>
  <c r="F366" i="113"/>
  <c r="D366" i="113"/>
  <c r="B366" i="113"/>
  <c r="F365" i="113"/>
  <c r="D365" i="113"/>
  <c r="B365" i="113"/>
  <c r="F364" i="113"/>
  <c r="D364" i="113"/>
  <c r="B364" i="113"/>
  <c r="F363" i="113"/>
  <c r="D363" i="113"/>
  <c r="B363" i="113"/>
  <c r="F362" i="113"/>
  <c r="D362" i="113"/>
  <c r="B362" i="113"/>
  <c r="F361" i="113"/>
  <c r="D361" i="113"/>
  <c r="B361" i="113"/>
  <c r="F360" i="113"/>
  <c r="D360" i="113"/>
  <c r="B360" i="113"/>
  <c r="F359" i="113"/>
  <c r="D359" i="113"/>
  <c r="B359" i="113"/>
  <c r="F358" i="113"/>
  <c r="D358" i="113"/>
  <c r="B358" i="113"/>
  <c r="F357" i="113"/>
  <c r="D357" i="113"/>
  <c r="B357" i="113"/>
  <c r="F356" i="113"/>
  <c r="D356" i="113"/>
  <c r="B356" i="113"/>
  <c r="F355" i="113"/>
  <c r="D355" i="113"/>
  <c r="B355" i="113"/>
  <c r="F354" i="113"/>
  <c r="D354" i="113"/>
  <c r="B354" i="113"/>
  <c r="F353" i="113"/>
  <c r="D353" i="113"/>
  <c r="B353" i="113"/>
  <c r="F350" i="113"/>
  <c r="D350" i="113"/>
  <c r="B350" i="113"/>
  <c r="F349" i="113"/>
  <c r="D349" i="113"/>
  <c r="B349" i="113"/>
  <c r="F348" i="113"/>
  <c r="D348" i="113"/>
  <c r="B348" i="113"/>
  <c r="F347" i="113"/>
  <c r="D347" i="113"/>
  <c r="B347" i="113"/>
  <c r="F346" i="113"/>
  <c r="D346" i="113"/>
  <c r="B346" i="113"/>
  <c r="F345" i="113"/>
  <c r="D345" i="113"/>
  <c r="B345" i="113"/>
  <c r="F344" i="113"/>
  <c r="D344" i="113"/>
  <c r="B344" i="113"/>
  <c r="F343" i="113"/>
  <c r="D343" i="113"/>
  <c r="B343" i="113"/>
  <c r="F342" i="113"/>
  <c r="D342" i="113"/>
  <c r="B342" i="113"/>
  <c r="F341" i="113"/>
  <c r="D341" i="113"/>
  <c r="B341" i="113"/>
  <c r="F340" i="113"/>
  <c r="D340" i="113"/>
  <c r="B340" i="113"/>
  <c r="F339" i="113"/>
  <c r="D339" i="113"/>
  <c r="B339" i="113"/>
  <c r="F338" i="113"/>
  <c r="D338" i="113"/>
  <c r="B338" i="113"/>
  <c r="F337" i="113"/>
  <c r="D337" i="113"/>
  <c r="B337" i="113"/>
  <c r="F336" i="113"/>
  <c r="D336" i="113"/>
  <c r="B336" i="113"/>
  <c r="F335" i="113"/>
  <c r="D335" i="113"/>
  <c r="B335" i="113"/>
  <c r="F334" i="113"/>
  <c r="D334" i="113"/>
  <c r="B334" i="113"/>
  <c r="F333" i="113"/>
  <c r="D333" i="113"/>
  <c r="B333" i="113"/>
  <c r="F332" i="113"/>
  <c r="D332" i="113"/>
  <c r="B332" i="113"/>
  <c r="F331" i="113"/>
  <c r="D331" i="113"/>
  <c r="B331" i="113"/>
  <c r="F330" i="113"/>
  <c r="D330" i="113"/>
  <c r="B330" i="113"/>
  <c r="F329" i="113"/>
  <c r="D329" i="113"/>
  <c r="B329" i="113"/>
  <c r="F328" i="113"/>
  <c r="D328" i="113"/>
  <c r="B328" i="113"/>
  <c r="F327" i="113"/>
  <c r="D327" i="113"/>
  <c r="B327" i="113"/>
  <c r="F326" i="113"/>
  <c r="D326" i="113"/>
  <c r="B326" i="113"/>
  <c r="F325" i="113"/>
  <c r="D325" i="113"/>
  <c r="B325" i="113"/>
  <c r="F324" i="113"/>
  <c r="D324" i="113"/>
  <c r="B324" i="113"/>
  <c r="F323" i="113"/>
  <c r="D323" i="113"/>
  <c r="B323" i="113"/>
  <c r="F322" i="113"/>
  <c r="D322" i="113"/>
  <c r="B322" i="113"/>
  <c r="F321" i="113"/>
  <c r="D321" i="113"/>
  <c r="B321" i="113"/>
  <c r="F320" i="113"/>
  <c r="D320" i="113"/>
  <c r="B320" i="113"/>
  <c r="F319" i="113"/>
  <c r="D319" i="113"/>
  <c r="B319" i="113"/>
  <c r="F318" i="113"/>
  <c r="D318" i="113"/>
  <c r="B318" i="113"/>
  <c r="F317" i="113"/>
  <c r="D317" i="113"/>
  <c r="B317" i="113"/>
  <c r="F316" i="113"/>
  <c r="D316" i="113"/>
  <c r="B316" i="113"/>
  <c r="F315" i="113"/>
  <c r="D315" i="113"/>
  <c r="B315" i="113"/>
  <c r="F314" i="113"/>
  <c r="D314" i="113"/>
  <c r="B314" i="113"/>
  <c r="F313" i="113"/>
  <c r="D313" i="113"/>
  <c r="B313" i="113"/>
  <c r="F312" i="113"/>
  <c r="D312" i="113"/>
  <c r="B312" i="113"/>
  <c r="F311" i="113"/>
  <c r="D311" i="113"/>
  <c r="B311" i="113"/>
  <c r="F310" i="113"/>
  <c r="D310" i="113"/>
  <c r="B310" i="113"/>
  <c r="F309" i="113"/>
  <c r="D309" i="113"/>
  <c r="B309" i="113"/>
  <c r="F308" i="113"/>
  <c r="D308" i="113"/>
  <c r="B308" i="113"/>
  <c r="F307" i="113"/>
  <c r="D307" i="113"/>
  <c r="B307" i="113"/>
  <c r="F306" i="113"/>
  <c r="D306" i="113"/>
  <c r="B306" i="113"/>
  <c r="F305" i="113"/>
  <c r="D305" i="113"/>
  <c r="B305" i="113"/>
  <c r="F304" i="113"/>
  <c r="D304" i="113"/>
  <c r="B304" i="113"/>
  <c r="M206" i="113"/>
  <c r="F252" i="113"/>
  <c r="D252" i="113"/>
  <c r="B252" i="113"/>
  <c r="F251" i="113"/>
  <c r="D251" i="113"/>
  <c r="B251" i="113"/>
  <c r="F250" i="113"/>
  <c r="D250" i="113"/>
  <c r="B250" i="113"/>
  <c r="F249" i="113"/>
  <c r="D249" i="113"/>
  <c r="B249" i="113"/>
  <c r="F248" i="113"/>
  <c r="D248" i="113"/>
  <c r="B248" i="113"/>
  <c r="F247" i="113"/>
  <c r="D247" i="113"/>
  <c r="B247" i="113"/>
  <c r="F246" i="113"/>
  <c r="D246" i="113"/>
  <c r="B246" i="113"/>
  <c r="F245" i="113"/>
  <c r="D245" i="113"/>
  <c r="B245" i="113"/>
  <c r="F244" i="113"/>
  <c r="D244" i="113"/>
  <c r="B244" i="113"/>
  <c r="F243" i="113"/>
  <c r="D243" i="113"/>
  <c r="B243" i="113"/>
  <c r="F242" i="113"/>
  <c r="D242" i="113"/>
  <c r="B242" i="113"/>
  <c r="F241" i="113"/>
  <c r="D241" i="113"/>
  <c r="B241" i="113"/>
  <c r="F240" i="113"/>
  <c r="D240" i="113"/>
  <c r="B240" i="113"/>
  <c r="F239" i="113"/>
  <c r="D239" i="113"/>
  <c r="B239" i="113"/>
  <c r="F238" i="113"/>
  <c r="D238" i="113"/>
  <c r="B238" i="113"/>
  <c r="F237" i="113"/>
  <c r="D237" i="113"/>
  <c r="B237" i="113"/>
  <c r="F236" i="113"/>
  <c r="D236" i="113"/>
  <c r="B236" i="113"/>
  <c r="F235" i="113"/>
  <c r="D235" i="113"/>
  <c r="B235" i="113"/>
  <c r="F234" i="113"/>
  <c r="D234" i="113"/>
  <c r="B234" i="113"/>
  <c r="F233" i="113"/>
  <c r="D233" i="113"/>
  <c r="B233" i="113"/>
  <c r="F232" i="113"/>
  <c r="D232" i="113"/>
  <c r="B232" i="113"/>
  <c r="F231" i="113"/>
  <c r="D231" i="113"/>
  <c r="B231" i="113"/>
  <c r="F230" i="113"/>
  <c r="D230" i="113"/>
  <c r="B230" i="113"/>
  <c r="F229" i="113"/>
  <c r="D229" i="113"/>
  <c r="B229" i="113"/>
  <c r="F228" i="113"/>
  <c r="D228" i="113"/>
  <c r="B228" i="113"/>
  <c r="F227" i="113"/>
  <c r="D227" i="113"/>
  <c r="B227" i="113"/>
  <c r="F226" i="113"/>
  <c r="D226" i="113"/>
  <c r="B226" i="113"/>
  <c r="F225" i="113"/>
  <c r="D225" i="113"/>
  <c r="B225" i="113"/>
  <c r="F224" i="113"/>
  <c r="D224" i="113"/>
  <c r="B224" i="113"/>
  <c r="F223" i="113"/>
  <c r="D223" i="113"/>
  <c r="B223" i="113"/>
  <c r="F222" i="113"/>
  <c r="D222" i="113"/>
  <c r="B222" i="113"/>
  <c r="F221" i="113"/>
  <c r="D221" i="113"/>
  <c r="B221" i="113"/>
  <c r="F220" i="113"/>
  <c r="D220" i="113"/>
  <c r="B220" i="113"/>
  <c r="F219" i="113"/>
  <c r="D219" i="113"/>
  <c r="B219" i="113"/>
  <c r="F218" i="113"/>
  <c r="D218" i="113"/>
  <c r="B218" i="113"/>
  <c r="F217" i="113"/>
  <c r="D217" i="113"/>
  <c r="B217" i="113"/>
  <c r="F216" i="113"/>
  <c r="D216" i="113"/>
  <c r="B216" i="113"/>
  <c r="F215" i="113"/>
  <c r="D215" i="113"/>
  <c r="B215" i="113"/>
  <c r="F214" i="113"/>
  <c r="D214" i="113"/>
  <c r="B214" i="113"/>
  <c r="F213" i="113"/>
  <c r="D213" i="113"/>
  <c r="B213" i="113"/>
  <c r="F212" i="113"/>
  <c r="D212" i="113"/>
  <c r="B212" i="113"/>
  <c r="F211" i="113"/>
  <c r="D211" i="113"/>
  <c r="B211" i="113"/>
  <c r="F210" i="113"/>
  <c r="D210" i="113"/>
  <c r="B210" i="113"/>
  <c r="F209" i="113"/>
  <c r="D209" i="113"/>
  <c r="B209" i="113"/>
  <c r="F208" i="113"/>
  <c r="D208" i="113"/>
  <c r="B208" i="113"/>
  <c r="F207" i="113"/>
  <c r="D207" i="113"/>
  <c r="B207" i="113"/>
  <c r="F206" i="113"/>
  <c r="D206" i="113"/>
  <c r="B206" i="113"/>
  <c r="S30" i="105"/>
  <c r="R30" i="105" s="1"/>
  <c r="R29" i="105" s="1"/>
  <c r="R47" i="105"/>
  <c r="S46" i="105"/>
  <c r="P47" i="105"/>
  <c r="P46" i="105" s="1"/>
  <c r="S29" i="105" l="1"/>
  <c r="R46" i="105"/>
  <c r="F104" i="52" l="1"/>
  <c r="D104" i="52"/>
  <c r="B104" i="52"/>
  <c r="F103" i="52"/>
  <c r="D103" i="52"/>
  <c r="B103" i="52"/>
  <c r="F102" i="52"/>
  <c r="D102" i="52"/>
  <c r="B102" i="52"/>
  <c r="F101" i="52"/>
  <c r="D101" i="52"/>
  <c r="B101" i="52"/>
  <c r="F100" i="52"/>
  <c r="D100" i="52"/>
  <c r="B100" i="52"/>
  <c r="F99" i="52"/>
  <c r="D99" i="52"/>
  <c r="B99" i="52"/>
  <c r="F98" i="52"/>
  <c r="D98" i="52"/>
  <c r="B98" i="52"/>
  <c r="F97" i="52"/>
  <c r="D97" i="52"/>
  <c r="B97" i="52"/>
  <c r="F96" i="52"/>
  <c r="D96" i="52"/>
  <c r="B96" i="52"/>
  <c r="F95" i="52"/>
  <c r="D95" i="52"/>
  <c r="B95" i="52"/>
  <c r="F94" i="52"/>
  <c r="D94" i="52"/>
  <c r="B94" i="52"/>
  <c r="F93" i="52"/>
  <c r="D93" i="52"/>
  <c r="B93" i="52"/>
  <c r="F92" i="52"/>
  <c r="D92" i="52"/>
  <c r="B92" i="52"/>
  <c r="F91" i="52"/>
  <c r="D91" i="52"/>
  <c r="B91" i="52"/>
  <c r="F90" i="52"/>
  <c r="D90" i="52"/>
  <c r="B90" i="52"/>
  <c r="F89" i="52"/>
  <c r="D89" i="52"/>
  <c r="B89" i="52"/>
  <c r="F88" i="52"/>
  <c r="D88" i="52"/>
  <c r="B88" i="52"/>
  <c r="F87" i="52"/>
  <c r="D87" i="52"/>
  <c r="B87" i="52"/>
  <c r="F86" i="52"/>
  <c r="D86" i="52"/>
  <c r="B86" i="52"/>
  <c r="F85" i="52"/>
  <c r="D85" i="52"/>
  <c r="B85" i="52"/>
  <c r="F84" i="52"/>
  <c r="D84" i="52"/>
  <c r="B84" i="52"/>
  <c r="F83" i="52"/>
  <c r="D83" i="52"/>
  <c r="B83" i="52"/>
  <c r="F82" i="52"/>
  <c r="D82" i="52"/>
  <c r="B82" i="52"/>
  <c r="F81" i="52"/>
  <c r="D81" i="52"/>
  <c r="B81" i="52"/>
  <c r="F80" i="52"/>
  <c r="D80" i="52"/>
  <c r="B80" i="52"/>
  <c r="F79" i="52"/>
  <c r="D79" i="52"/>
  <c r="B79" i="52"/>
  <c r="F78" i="52"/>
  <c r="D78" i="52"/>
  <c r="B78" i="52"/>
  <c r="F77" i="52"/>
  <c r="D77" i="52"/>
  <c r="B77" i="52"/>
  <c r="F76" i="52"/>
  <c r="D76" i="52"/>
  <c r="B76" i="52"/>
  <c r="F75" i="52"/>
  <c r="D75" i="52"/>
  <c r="B75" i="52"/>
  <c r="F74" i="52"/>
  <c r="D74" i="52"/>
  <c r="B74" i="52"/>
  <c r="F73" i="52"/>
  <c r="D73" i="52"/>
  <c r="B73" i="52"/>
  <c r="F72" i="52"/>
  <c r="D72" i="52"/>
  <c r="B72" i="52"/>
  <c r="F71" i="52"/>
  <c r="D71" i="52"/>
  <c r="B71" i="52"/>
  <c r="F70" i="52"/>
  <c r="D70" i="52"/>
  <c r="B70" i="52"/>
  <c r="F69" i="52"/>
  <c r="D69" i="52"/>
  <c r="B69" i="52"/>
  <c r="F68" i="52"/>
  <c r="D68" i="52"/>
  <c r="B68" i="52"/>
  <c r="F67" i="52"/>
  <c r="D67" i="52"/>
  <c r="B67" i="52"/>
  <c r="F66" i="52"/>
  <c r="D66" i="52"/>
  <c r="B66" i="52"/>
  <c r="F65" i="52"/>
  <c r="D65" i="52"/>
  <c r="B65" i="52"/>
  <c r="F64" i="52"/>
  <c r="D64" i="52"/>
  <c r="B64" i="52"/>
  <c r="F63" i="52"/>
  <c r="D63" i="52"/>
  <c r="B63" i="52"/>
  <c r="F62" i="52"/>
  <c r="D62" i="52"/>
  <c r="B62" i="52"/>
  <c r="F61" i="52"/>
  <c r="D61" i="52"/>
  <c r="B61" i="52"/>
  <c r="F60" i="52"/>
  <c r="D60" i="52"/>
  <c r="B60" i="52"/>
  <c r="F59" i="52"/>
  <c r="D59" i="52"/>
  <c r="B59" i="52"/>
  <c r="F58" i="52"/>
  <c r="D58" i="52"/>
  <c r="B58" i="52"/>
  <c r="F55" i="52"/>
  <c r="D55" i="52"/>
  <c r="B55" i="52"/>
  <c r="F54" i="52"/>
  <c r="D54" i="52"/>
  <c r="B54" i="52"/>
  <c r="F53" i="52"/>
  <c r="D53" i="52"/>
  <c r="B53" i="52"/>
  <c r="F52" i="52"/>
  <c r="D52" i="52"/>
  <c r="B52" i="52"/>
  <c r="F51" i="52"/>
  <c r="D51" i="52"/>
  <c r="B51" i="52"/>
  <c r="F50" i="52"/>
  <c r="D50" i="52"/>
  <c r="B50" i="52"/>
  <c r="F49" i="52"/>
  <c r="D49" i="52"/>
  <c r="B49" i="52"/>
  <c r="F48" i="52"/>
  <c r="D48" i="52"/>
  <c r="B48" i="52"/>
  <c r="F47" i="52"/>
  <c r="D47" i="52"/>
  <c r="B47" i="52"/>
  <c r="F46" i="52"/>
  <c r="D46" i="52"/>
  <c r="B46" i="52"/>
  <c r="F45" i="52"/>
  <c r="D45" i="52"/>
  <c r="B45" i="52"/>
  <c r="F44" i="52"/>
  <c r="D44" i="52"/>
  <c r="B44" i="52"/>
  <c r="F43" i="52"/>
  <c r="D43" i="52"/>
  <c r="B43" i="52"/>
  <c r="F42" i="52"/>
  <c r="D42" i="52"/>
  <c r="B42" i="52"/>
  <c r="F41" i="52"/>
  <c r="D41" i="52"/>
  <c r="B41" i="52"/>
  <c r="F40" i="52"/>
  <c r="D40" i="52"/>
  <c r="B40" i="52"/>
  <c r="F39" i="52"/>
  <c r="D39" i="52"/>
  <c r="B39" i="52"/>
  <c r="F38" i="52"/>
  <c r="D38" i="52"/>
  <c r="B38" i="52"/>
  <c r="F37" i="52"/>
  <c r="D37" i="52"/>
  <c r="B37" i="52"/>
  <c r="F36" i="52"/>
  <c r="D36" i="52"/>
  <c r="B36" i="52"/>
  <c r="F35" i="52"/>
  <c r="D35" i="52"/>
  <c r="B35" i="52"/>
  <c r="F34" i="52"/>
  <c r="D34" i="52"/>
  <c r="B34" i="52"/>
  <c r="F33" i="52"/>
  <c r="D33" i="52"/>
  <c r="B33" i="52"/>
  <c r="F32" i="52"/>
  <c r="D32" i="52"/>
  <c r="B32" i="52"/>
  <c r="F31" i="52"/>
  <c r="D31" i="52"/>
  <c r="B31" i="52"/>
  <c r="F30" i="52"/>
  <c r="D30" i="52"/>
  <c r="B30" i="52"/>
  <c r="F29" i="52"/>
  <c r="D29" i="52"/>
  <c r="B29" i="52"/>
  <c r="F28" i="52"/>
  <c r="D28" i="52"/>
  <c r="B28" i="52"/>
  <c r="F27" i="52"/>
  <c r="D27" i="52"/>
  <c r="B27" i="52"/>
  <c r="F26" i="52"/>
  <c r="D26" i="52"/>
  <c r="B26" i="52"/>
  <c r="F25" i="52"/>
  <c r="D25" i="52"/>
  <c r="B25" i="52"/>
  <c r="F24" i="52"/>
  <c r="D24" i="52"/>
  <c r="B24" i="52"/>
  <c r="F23" i="52"/>
  <c r="D23" i="52"/>
  <c r="B23" i="52"/>
  <c r="F22" i="52"/>
  <c r="D22" i="52"/>
  <c r="B22" i="52"/>
  <c r="F21" i="52"/>
  <c r="D21" i="52"/>
  <c r="B21" i="52"/>
  <c r="F20" i="52"/>
  <c r="D20" i="52"/>
  <c r="B20" i="52"/>
  <c r="F19" i="52"/>
  <c r="D19" i="52"/>
  <c r="B19" i="52"/>
  <c r="F18" i="52"/>
  <c r="D18" i="52"/>
  <c r="B18" i="52"/>
  <c r="F17" i="52"/>
  <c r="D17" i="52"/>
  <c r="B17" i="52"/>
  <c r="F16" i="52"/>
  <c r="D16" i="52"/>
  <c r="B16" i="52"/>
  <c r="F15" i="52"/>
  <c r="D15" i="52"/>
  <c r="B15" i="52"/>
  <c r="F14" i="52"/>
  <c r="D14" i="52"/>
  <c r="B14" i="52"/>
  <c r="F13" i="52"/>
  <c r="D13" i="52"/>
  <c r="B13" i="52"/>
  <c r="F12" i="52"/>
  <c r="D12" i="52"/>
  <c r="B12" i="52"/>
  <c r="F11" i="52"/>
  <c r="D11" i="52"/>
  <c r="B11" i="52"/>
  <c r="F10" i="52"/>
  <c r="D10" i="52"/>
  <c r="B10" i="52"/>
  <c r="F9" i="52"/>
  <c r="D9" i="52"/>
  <c r="B9" i="52"/>
  <c r="F159" i="68"/>
  <c r="D159" i="68"/>
  <c r="B159" i="68"/>
  <c r="F158" i="68"/>
  <c r="D158" i="68"/>
  <c r="B158" i="68"/>
  <c r="F157" i="68"/>
  <c r="D157" i="68"/>
  <c r="B157" i="68"/>
  <c r="F156" i="68"/>
  <c r="D156" i="68"/>
  <c r="B156" i="68"/>
  <c r="F155" i="68"/>
  <c r="D155" i="68"/>
  <c r="B155" i="68"/>
  <c r="F154" i="68"/>
  <c r="D154" i="68"/>
  <c r="B154" i="68"/>
  <c r="F153" i="68"/>
  <c r="D153" i="68"/>
  <c r="B153" i="68"/>
  <c r="F152" i="68"/>
  <c r="D152" i="68"/>
  <c r="B152" i="68"/>
  <c r="F151" i="68"/>
  <c r="D151" i="68"/>
  <c r="B151" i="68"/>
  <c r="F150" i="68"/>
  <c r="D150" i="68"/>
  <c r="B150" i="68"/>
  <c r="F149" i="68"/>
  <c r="D149" i="68"/>
  <c r="B149" i="68"/>
  <c r="F148" i="68"/>
  <c r="D148" i="68"/>
  <c r="B148" i="68"/>
  <c r="F147" i="68"/>
  <c r="D147" i="68"/>
  <c r="B147" i="68"/>
  <c r="F146" i="68"/>
  <c r="D146" i="68"/>
  <c r="B146" i="68"/>
  <c r="F145" i="68"/>
  <c r="D145" i="68"/>
  <c r="B145" i="68"/>
  <c r="F144" i="68"/>
  <c r="D144" i="68"/>
  <c r="B144" i="68"/>
  <c r="F143" i="68"/>
  <c r="D143" i="68"/>
  <c r="B143" i="68"/>
  <c r="F142" i="68"/>
  <c r="D142" i="68"/>
  <c r="B142" i="68"/>
  <c r="F141" i="68"/>
  <c r="D141" i="68"/>
  <c r="B141" i="68"/>
  <c r="F140" i="68"/>
  <c r="D140" i="68"/>
  <c r="B140" i="68"/>
  <c r="F139" i="68"/>
  <c r="D139" i="68"/>
  <c r="B139" i="68"/>
  <c r="F138" i="68"/>
  <c r="D138" i="68"/>
  <c r="B138" i="68"/>
  <c r="F137" i="68"/>
  <c r="D137" i="68"/>
  <c r="B137" i="68"/>
  <c r="F136" i="68"/>
  <c r="D136" i="68"/>
  <c r="B136" i="68"/>
  <c r="F135" i="68"/>
  <c r="D135" i="68"/>
  <c r="B135" i="68"/>
  <c r="F134" i="68"/>
  <c r="D134" i="68"/>
  <c r="B134" i="68"/>
  <c r="F133" i="68"/>
  <c r="D133" i="68"/>
  <c r="B133" i="68"/>
  <c r="F132" i="68"/>
  <c r="D132" i="68"/>
  <c r="B132" i="68"/>
  <c r="F131" i="68"/>
  <c r="D131" i="68"/>
  <c r="B131" i="68"/>
  <c r="F130" i="68"/>
  <c r="D130" i="68"/>
  <c r="B130" i="68"/>
  <c r="F129" i="68"/>
  <c r="D129" i="68"/>
  <c r="B129" i="68"/>
  <c r="F128" i="68"/>
  <c r="D128" i="68"/>
  <c r="B128" i="68"/>
  <c r="F127" i="68"/>
  <c r="D127" i="68"/>
  <c r="B127" i="68"/>
  <c r="F126" i="68"/>
  <c r="D126" i="68"/>
  <c r="B126" i="68"/>
  <c r="F125" i="68"/>
  <c r="D125" i="68"/>
  <c r="B125" i="68"/>
  <c r="F124" i="68"/>
  <c r="D124" i="68"/>
  <c r="B124" i="68"/>
  <c r="F123" i="68"/>
  <c r="D123" i="68"/>
  <c r="B123" i="68"/>
  <c r="F122" i="68"/>
  <c r="D122" i="68"/>
  <c r="B122" i="68"/>
  <c r="F121" i="68"/>
  <c r="D121" i="68"/>
  <c r="B121" i="68"/>
  <c r="F120" i="68"/>
  <c r="D120" i="68"/>
  <c r="B120" i="68"/>
  <c r="F119" i="68"/>
  <c r="D119" i="68"/>
  <c r="B119" i="68"/>
  <c r="F118" i="68"/>
  <c r="D118" i="68"/>
  <c r="B118" i="68"/>
  <c r="F117" i="68"/>
  <c r="D117" i="68"/>
  <c r="B117" i="68"/>
  <c r="F116" i="68"/>
  <c r="D116" i="68"/>
  <c r="B116" i="68"/>
  <c r="F115" i="68"/>
  <c r="D115" i="68"/>
  <c r="B115" i="68"/>
  <c r="F114" i="68"/>
  <c r="D114" i="68"/>
  <c r="B114" i="68"/>
  <c r="F113" i="68"/>
  <c r="D113" i="68"/>
  <c r="B113" i="68"/>
  <c r="F112" i="68"/>
  <c r="D112" i="68"/>
  <c r="B112" i="68"/>
  <c r="F111" i="68"/>
  <c r="D111" i="68"/>
  <c r="B111" i="68"/>
  <c r="F108" i="68"/>
  <c r="D108" i="68"/>
  <c r="B108" i="68"/>
  <c r="F107" i="68"/>
  <c r="D107" i="68"/>
  <c r="B107" i="68"/>
  <c r="F106" i="68"/>
  <c r="D106" i="68"/>
  <c r="B106" i="68"/>
  <c r="F105" i="68"/>
  <c r="D105" i="68"/>
  <c r="B105" i="68"/>
  <c r="F104" i="68"/>
  <c r="D104" i="68"/>
  <c r="B104" i="68"/>
  <c r="F103" i="68"/>
  <c r="D103" i="68"/>
  <c r="B103" i="68"/>
  <c r="F102" i="68"/>
  <c r="D102" i="68"/>
  <c r="B102" i="68"/>
  <c r="F101" i="68"/>
  <c r="D101" i="68"/>
  <c r="B101" i="68"/>
  <c r="F100" i="68"/>
  <c r="D100" i="68"/>
  <c r="B100" i="68"/>
  <c r="F99" i="68"/>
  <c r="D99" i="68"/>
  <c r="B99" i="68"/>
  <c r="F98" i="68"/>
  <c r="D98" i="68"/>
  <c r="B98" i="68"/>
  <c r="F97" i="68"/>
  <c r="D97" i="68"/>
  <c r="B97" i="68"/>
  <c r="F96" i="68"/>
  <c r="D96" i="68"/>
  <c r="B96" i="68"/>
  <c r="F95" i="68"/>
  <c r="D95" i="68"/>
  <c r="B95" i="68"/>
  <c r="F94" i="68"/>
  <c r="D94" i="68"/>
  <c r="B94" i="68"/>
  <c r="F93" i="68"/>
  <c r="D93" i="68"/>
  <c r="B93" i="68"/>
  <c r="F92" i="68"/>
  <c r="D92" i="68"/>
  <c r="B92" i="68"/>
  <c r="F91" i="68"/>
  <c r="D91" i="68"/>
  <c r="B91" i="68"/>
  <c r="F90" i="68"/>
  <c r="D90" i="68"/>
  <c r="B90" i="68"/>
  <c r="F89" i="68"/>
  <c r="D89" i="68"/>
  <c r="B89" i="68"/>
  <c r="F88" i="68"/>
  <c r="D88" i="68"/>
  <c r="B88" i="68"/>
  <c r="F87" i="68"/>
  <c r="D87" i="68"/>
  <c r="B87" i="68"/>
  <c r="F86" i="68"/>
  <c r="D86" i="68"/>
  <c r="B86" i="68"/>
  <c r="F85" i="68"/>
  <c r="D85" i="68"/>
  <c r="B85" i="68"/>
  <c r="F84" i="68"/>
  <c r="D84" i="68"/>
  <c r="B84" i="68"/>
  <c r="F83" i="68"/>
  <c r="D83" i="68"/>
  <c r="B83" i="68"/>
  <c r="F82" i="68"/>
  <c r="D82" i="68"/>
  <c r="B82" i="68"/>
  <c r="F81" i="68"/>
  <c r="D81" i="68"/>
  <c r="B81" i="68"/>
  <c r="F80" i="68"/>
  <c r="D80" i="68"/>
  <c r="B80" i="68"/>
  <c r="F79" i="68"/>
  <c r="D79" i="68"/>
  <c r="B79" i="68"/>
  <c r="F78" i="68"/>
  <c r="D78" i="68"/>
  <c r="B78" i="68"/>
  <c r="F77" i="68"/>
  <c r="D77" i="68"/>
  <c r="B77" i="68"/>
  <c r="F76" i="68"/>
  <c r="D76" i="68"/>
  <c r="B76" i="68"/>
  <c r="F75" i="68"/>
  <c r="D75" i="68"/>
  <c r="B75" i="68"/>
  <c r="F74" i="68"/>
  <c r="D74" i="68"/>
  <c r="B74" i="68"/>
  <c r="F73" i="68"/>
  <c r="D73" i="68"/>
  <c r="B73" i="68"/>
  <c r="F72" i="68"/>
  <c r="D72" i="68"/>
  <c r="B72" i="68"/>
  <c r="F71" i="68"/>
  <c r="D71" i="68"/>
  <c r="B71" i="68"/>
  <c r="F70" i="68"/>
  <c r="D70" i="68"/>
  <c r="B70" i="68"/>
  <c r="F69" i="68"/>
  <c r="D69" i="68"/>
  <c r="B69" i="68"/>
  <c r="F68" i="68"/>
  <c r="D68" i="68"/>
  <c r="B68" i="68"/>
  <c r="F67" i="68"/>
  <c r="D67" i="68"/>
  <c r="B67" i="68"/>
  <c r="F66" i="68"/>
  <c r="D66" i="68"/>
  <c r="B66" i="68"/>
  <c r="F65" i="68"/>
  <c r="D65" i="68"/>
  <c r="B65" i="68"/>
  <c r="F64" i="68"/>
  <c r="D64" i="68"/>
  <c r="B64" i="68"/>
  <c r="F63" i="68"/>
  <c r="D63" i="68"/>
  <c r="B63" i="68"/>
  <c r="F62" i="68"/>
  <c r="D62" i="68"/>
  <c r="B62" i="68"/>
  <c r="F61" i="68"/>
  <c r="D61" i="68"/>
  <c r="B61" i="68"/>
  <c r="F60" i="68"/>
  <c r="D60" i="68"/>
  <c r="B60" i="68"/>
  <c r="F57" i="68"/>
  <c r="D57" i="68"/>
  <c r="B57" i="68"/>
  <c r="F56" i="68"/>
  <c r="D56" i="68"/>
  <c r="B56" i="68"/>
  <c r="F55" i="68"/>
  <c r="D55" i="68"/>
  <c r="B55" i="68"/>
  <c r="F54" i="68"/>
  <c r="D54" i="68"/>
  <c r="B54" i="68"/>
  <c r="F53" i="68"/>
  <c r="D53" i="68"/>
  <c r="B53" i="68"/>
  <c r="F52" i="68"/>
  <c r="D52" i="68"/>
  <c r="B52" i="68"/>
  <c r="F51" i="68"/>
  <c r="D51" i="68"/>
  <c r="B51" i="68"/>
  <c r="F50" i="68"/>
  <c r="D50" i="68"/>
  <c r="B50" i="68"/>
  <c r="F49" i="68"/>
  <c r="D49" i="68"/>
  <c r="B49" i="68"/>
  <c r="F48" i="68"/>
  <c r="D48" i="68"/>
  <c r="B48" i="68"/>
  <c r="F47" i="68"/>
  <c r="D47" i="68"/>
  <c r="B47" i="68"/>
  <c r="F46" i="68"/>
  <c r="D46" i="68"/>
  <c r="B46" i="68"/>
  <c r="F45" i="68"/>
  <c r="D45" i="68"/>
  <c r="B45" i="68"/>
  <c r="F44" i="68"/>
  <c r="D44" i="68"/>
  <c r="B44" i="68"/>
  <c r="F43" i="68"/>
  <c r="D43" i="68"/>
  <c r="B43" i="68"/>
  <c r="F42" i="68"/>
  <c r="D42" i="68"/>
  <c r="B42" i="68"/>
  <c r="F41" i="68"/>
  <c r="D41" i="68"/>
  <c r="B41" i="68"/>
  <c r="F40" i="68"/>
  <c r="D40" i="68"/>
  <c r="B40" i="68"/>
  <c r="F39" i="68"/>
  <c r="D39" i="68"/>
  <c r="B39" i="68"/>
  <c r="F38" i="68"/>
  <c r="D38" i="68"/>
  <c r="B38" i="68"/>
  <c r="F37" i="68"/>
  <c r="D37" i="68"/>
  <c r="B37" i="68"/>
  <c r="F36" i="68"/>
  <c r="D36" i="68"/>
  <c r="B36" i="68"/>
  <c r="F35" i="68"/>
  <c r="D35" i="68"/>
  <c r="B35" i="68"/>
  <c r="F34" i="68"/>
  <c r="D34" i="68"/>
  <c r="B34" i="68"/>
  <c r="F33" i="68"/>
  <c r="D33" i="68"/>
  <c r="B33" i="68"/>
  <c r="F32" i="68"/>
  <c r="D32" i="68"/>
  <c r="B32" i="68"/>
  <c r="F31" i="68"/>
  <c r="D31" i="68"/>
  <c r="B31" i="68"/>
  <c r="F30" i="68"/>
  <c r="D30" i="68"/>
  <c r="B30" i="68"/>
  <c r="F29" i="68"/>
  <c r="D29" i="68"/>
  <c r="B29" i="68"/>
  <c r="F28" i="68"/>
  <c r="D28" i="68"/>
  <c r="B28" i="68"/>
  <c r="F27" i="68"/>
  <c r="D27" i="68"/>
  <c r="B27" i="68"/>
  <c r="F26" i="68"/>
  <c r="D26" i="68"/>
  <c r="B26" i="68"/>
  <c r="F25" i="68"/>
  <c r="D25" i="68"/>
  <c r="B25" i="68"/>
  <c r="F24" i="68"/>
  <c r="D24" i="68"/>
  <c r="B24" i="68"/>
  <c r="F23" i="68"/>
  <c r="D23" i="68"/>
  <c r="B23" i="68"/>
  <c r="F22" i="68"/>
  <c r="D22" i="68"/>
  <c r="B22" i="68"/>
  <c r="F21" i="68"/>
  <c r="D21" i="68"/>
  <c r="B21" i="68"/>
  <c r="F20" i="68"/>
  <c r="D20" i="68"/>
  <c r="B20" i="68"/>
  <c r="F19" i="68"/>
  <c r="D19" i="68"/>
  <c r="B19" i="68"/>
  <c r="F18" i="68"/>
  <c r="D18" i="68"/>
  <c r="B18" i="68"/>
  <c r="F17" i="68"/>
  <c r="D17" i="68"/>
  <c r="B17" i="68"/>
  <c r="F16" i="68"/>
  <c r="D16" i="68"/>
  <c r="B16" i="68"/>
  <c r="F15" i="68"/>
  <c r="D15" i="68"/>
  <c r="B15" i="68"/>
  <c r="F14" i="68"/>
  <c r="D14" i="68"/>
  <c r="B14" i="68"/>
  <c r="F13" i="68"/>
  <c r="D13" i="68"/>
  <c r="B13" i="68"/>
  <c r="F12" i="68"/>
  <c r="D12" i="68"/>
  <c r="B12" i="68"/>
  <c r="F11" i="68"/>
  <c r="D11" i="68"/>
  <c r="B11" i="68"/>
  <c r="F10" i="68"/>
  <c r="D10" i="68"/>
  <c r="B10" i="68"/>
  <c r="F9" i="68"/>
  <c r="D9" i="68"/>
  <c r="B9" i="68"/>
  <c r="F159" i="67"/>
  <c r="D159" i="67"/>
  <c r="B159" i="67"/>
  <c r="F158" i="67"/>
  <c r="D158" i="67"/>
  <c r="B158" i="67"/>
  <c r="F157" i="67"/>
  <c r="D157" i="67"/>
  <c r="B157" i="67"/>
  <c r="F156" i="67"/>
  <c r="D156" i="67"/>
  <c r="B156" i="67"/>
  <c r="F155" i="67"/>
  <c r="D155" i="67"/>
  <c r="B155" i="67"/>
  <c r="F154" i="67"/>
  <c r="D154" i="67"/>
  <c r="B154" i="67"/>
  <c r="F153" i="67"/>
  <c r="D153" i="67"/>
  <c r="B153" i="67"/>
  <c r="F152" i="67"/>
  <c r="D152" i="67"/>
  <c r="B152" i="67"/>
  <c r="F151" i="67"/>
  <c r="D151" i="67"/>
  <c r="B151" i="67"/>
  <c r="F150" i="67"/>
  <c r="D150" i="67"/>
  <c r="B150" i="67"/>
  <c r="F149" i="67"/>
  <c r="D149" i="67"/>
  <c r="B149" i="67"/>
  <c r="F148" i="67"/>
  <c r="D148" i="67"/>
  <c r="B148" i="67"/>
  <c r="F147" i="67"/>
  <c r="D147" i="67"/>
  <c r="B147" i="67"/>
  <c r="F146" i="67"/>
  <c r="D146" i="67"/>
  <c r="B146" i="67"/>
  <c r="F145" i="67"/>
  <c r="D145" i="67"/>
  <c r="B145" i="67"/>
  <c r="F144" i="67"/>
  <c r="D144" i="67"/>
  <c r="B144" i="67"/>
  <c r="F143" i="67"/>
  <c r="D143" i="67"/>
  <c r="B143" i="67"/>
  <c r="F142" i="67"/>
  <c r="D142" i="67"/>
  <c r="B142" i="67"/>
  <c r="F141" i="67"/>
  <c r="D141" i="67"/>
  <c r="B141" i="67"/>
  <c r="F140" i="67"/>
  <c r="D140" i="67"/>
  <c r="B140" i="67"/>
  <c r="F139" i="67"/>
  <c r="D139" i="67"/>
  <c r="B139" i="67"/>
  <c r="F138" i="67"/>
  <c r="D138" i="67"/>
  <c r="B138" i="67"/>
  <c r="F137" i="67"/>
  <c r="D137" i="67"/>
  <c r="B137" i="67"/>
  <c r="F136" i="67"/>
  <c r="D136" i="67"/>
  <c r="B136" i="67"/>
  <c r="F135" i="67"/>
  <c r="D135" i="67"/>
  <c r="B135" i="67"/>
  <c r="F134" i="67"/>
  <c r="D134" i="67"/>
  <c r="B134" i="67"/>
  <c r="F133" i="67"/>
  <c r="D133" i="67"/>
  <c r="B133" i="67"/>
  <c r="F132" i="67"/>
  <c r="D132" i="67"/>
  <c r="B132" i="67"/>
  <c r="F131" i="67"/>
  <c r="D131" i="67"/>
  <c r="B131" i="67"/>
  <c r="F130" i="67"/>
  <c r="D130" i="67"/>
  <c r="B130" i="67"/>
  <c r="F129" i="67"/>
  <c r="D129" i="67"/>
  <c r="B129" i="67"/>
  <c r="F128" i="67"/>
  <c r="D128" i="67"/>
  <c r="B128" i="67"/>
  <c r="F127" i="67"/>
  <c r="D127" i="67"/>
  <c r="B127" i="67"/>
  <c r="F126" i="67"/>
  <c r="D126" i="67"/>
  <c r="B126" i="67"/>
  <c r="F125" i="67"/>
  <c r="D125" i="67"/>
  <c r="B125" i="67"/>
  <c r="F124" i="67"/>
  <c r="D124" i="67"/>
  <c r="B124" i="67"/>
  <c r="F123" i="67"/>
  <c r="D123" i="67"/>
  <c r="B123" i="67"/>
  <c r="F122" i="67"/>
  <c r="D122" i="67"/>
  <c r="B122" i="67"/>
  <c r="F121" i="67"/>
  <c r="D121" i="67"/>
  <c r="B121" i="67"/>
  <c r="F120" i="67"/>
  <c r="D120" i="67"/>
  <c r="B120" i="67"/>
  <c r="F119" i="67"/>
  <c r="D119" i="67"/>
  <c r="B119" i="67"/>
  <c r="F118" i="67"/>
  <c r="D118" i="67"/>
  <c r="B118" i="67"/>
  <c r="F117" i="67"/>
  <c r="D117" i="67"/>
  <c r="B117" i="67"/>
  <c r="F116" i="67"/>
  <c r="D116" i="67"/>
  <c r="B116" i="67"/>
  <c r="F115" i="67"/>
  <c r="D115" i="67"/>
  <c r="B115" i="67"/>
  <c r="F114" i="67"/>
  <c r="D114" i="67"/>
  <c r="B114" i="67"/>
  <c r="F113" i="67"/>
  <c r="D113" i="67"/>
  <c r="B113" i="67"/>
  <c r="F112" i="67"/>
  <c r="D112" i="67"/>
  <c r="B112" i="67"/>
  <c r="F111" i="67"/>
  <c r="D111" i="67"/>
  <c r="B111" i="67"/>
  <c r="F108" i="67"/>
  <c r="D108" i="67"/>
  <c r="B108" i="67"/>
  <c r="F107" i="67"/>
  <c r="D107" i="67"/>
  <c r="B107" i="67"/>
  <c r="F106" i="67"/>
  <c r="D106" i="67"/>
  <c r="B106" i="67"/>
  <c r="F105" i="67"/>
  <c r="D105" i="67"/>
  <c r="B105" i="67"/>
  <c r="F104" i="67"/>
  <c r="D104" i="67"/>
  <c r="B104" i="67"/>
  <c r="F103" i="67"/>
  <c r="D103" i="67"/>
  <c r="B103" i="67"/>
  <c r="F102" i="67"/>
  <c r="D102" i="67"/>
  <c r="B102" i="67"/>
  <c r="F101" i="67"/>
  <c r="D101" i="67"/>
  <c r="B101" i="67"/>
  <c r="F100" i="67"/>
  <c r="D100" i="67"/>
  <c r="B100" i="67"/>
  <c r="F99" i="67"/>
  <c r="D99" i="67"/>
  <c r="B99" i="67"/>
  <c r="F98" i="67"/>
  <c r="D98" i="67"/>
  <c r="B98" i="67"/>
  <c r="F97" i="67"/>
  <c r="D97" i="67"/>
  <c r="B97" i="67"/>
  <c r="F96" i="67"/>
  <c r="D96" i="67"/>
  <c r="B96" i="67"/>
  <c r="F95" i="67"/>
  <c r="D95" i="67"/>
  <c r="B95" i="67"/>
  <c r="F94" i="67"/>
  <c r="D94" i="67"/>
  <c r="B94" i="67"/>
  <c r="F93" i="67"/>
  <c r="D93" i="67"/>
  <c r="B93" i="67"/>
  <c r="F92" i="67"/>
  <c r="D92" i="67"/>
  <c r="B92" i="67"/>
  <c r="F91" i="67"/>
  <c r="D91" i="67"/>
  <c r="B91" i="67"/>
  <c r="F90" i="67"/>
  <c r="D90" i="67"/>
  <c r="B90" i="67"/>
  <c r="F89" i="67"/>
  <c r="D89" i="67"/>
  <c r="B89" i="67"/>
  <c r="F88" i="67"/>
  <c r="D88" i="67"/>
  <c r="B88" i="67"/>
  <c r="F87" i="67"/>
  <c r="D87" i="67"/>
  <c r="B87" i="67"/>
  <c r="F86" i="67"/>
  <c r="D86" i="67"/>
  <c r="B86" i="67"/>
  <c r="F85" i="67"/>
  <c r="D85" i="67"/>
  <c r="B85" i="67"/>
  <c r="F84" i="67"/>
  <c r="D84" i="67"/>
  <c r="B84" i="67"/>
  <c r="F83" i="67"/>
  <c r="D83" i="67"/>
  <c r="B83" i="67"/>
  <c r="F82" i="67"/>
  <c r="D82" i="67"/>
  <c r="B82" i="67"/>
  <c r="F81" i="67"/>
  <c r="D81" i="67"/>
  <c r="B81" i="67"/>
  <c r="F80" i="67"/>
  <c r="D80" i="67"/>
  <c r="B80" i="67"/>
  <c r="F79" i="67"/>
  <c r="D79" i="67"/>
  <c r="B79" i="67"/>
  <c r="F78" i="67"/>
  <c r="D78" i="67"/>
  <c r="B78" i="67"/>
  <c r="F77" i="67"/>
  <c r="D77" i="67"/>
  <c r="B77" i="67"/>
  <c r="F76" i="67"/>
  <c r="D76" i="67"/>
  <c r="B76" i="67"/>
  <c r="F75" i="67"/>
  <c r="D75" i="67"/>
  <c r="B75" i="67"/>
  <c r="F74" i="67"/>
  <c r="D74" i="67"/>
  <c r="B74" i="67"/>
  <c r="F73" i="67"/>
  <c r="D73" i="67"/>
  <c r="B73" i="67"/>
  <c r="F72" i="67"/>
  <c r="D72" i="67"/>
  <c r="B72" i="67"/>
  <c r="F71" i="67"/>
  <c r="D71" i="67"/>
  <c r="B71" i="67"/>
  <c r="F70" i="67"/>
  <c r="D70" i="67"/>
  <c r="B70" i="67"/>
  <c r="F69" i="67"/>
  <c r="D69" i="67"/>
  <c r="B69" i="67"/>
  <c r="F68" i="67"/>
  <c r="D68" i="67"/>
  <c r="B68" i="67"/>
  <c r="F67" i="67"/>
  <c r="D67" i="67"/>
  <c r="B67" i="67"/>
  <c r="F66" i="67"/>
  <c r="D66" i="67"/>
  <c r="B66" i="67"/>
  <c r="F65" i="67"/>
  <c r="D65" i="67"/>
  <c r="B65" i="67"/>
  <c r="F64" i="67"/>
  <c r="D64" i="67"/>
  <c r="B64" i="67"/>
  <c r="F63" i="67"/>
  <c r="D63" i="67"/>
  <c r="B63" i="67"/>
  <c r="F62" i="67"/>
  <c r="D62" i="67"/>
  <c r="B62" i="67"/>
  <c r="F61" i="67"/>
  <c r="D61" i="67"/>
  <c r="B61" i="67"/>
  <c r="F60" i="67"/>
  <c r="D60" i="67"/>
  <c r="B60" i="67"/>
  <c r="F57" i="67"/>
  <c r="D57" i="67"/>
  <c r="B57" i="67"/>
  <c r="F56" i="67"/>
  <c r="D56" i="67"/>
  <c r="B56" i="67"/>
  <c r="F55" i="67"/>
  <c r="D55" i="67"/>
  <c r="B55" i="67"/>
  <c r="F54" i="67"/>
  <c r="D54" i="67"/>
  <c r="B54" i="67"/>
  <c r="F53" i="67"/>
  <c r="D53" i="67"/>
  <c r="B53" i="67"/>
  <c r="F52" i="67"/>
  <c r="D52" i="67"/>
  <c r="B52" i="67"/>
  <c r="F51" i="67"/>
  <c r="D51" i="67"/>
  <c r="B51" i="67"/>
  <c r="F50" i="67"/>
  <c r="D50" i="67"/>
  <c r="B50" i="67"/>
  <c r="F49" i="67"/>
  <c r="D49" i="67"/>
  <c r="B49" i="67"/>
  <c r="F48" i="67"/>
  <c r="D48" i="67"/>
  <c r="B48" i="67"/>
  <c r="F47" i="67"/>
  <c r="D47" i="67"/>
  <c r="B47" i="67"/>
  <c r="F46" i="67"/>
  <c r="D46" i="67"/>
  <c r="B46" i="67"/>
  <c r="F45" i="67"/>
  <c r="D45" i="67"/>
  <c r="B45" i="67"/>
  <c r="F44" i="67"/>
  <c r="D44" i="67"/>
  <c r="B44" i="67"/>
  <c r="F43" i="67"/>
  <c r="D43" i="67"/>
  <c r="B43" i="67"/>
  <c r="F42" i="67"/>
  <c r="D42" i="67"/>
  <c r="B42" i="67"/>
  <c r="F41" i="67"/>
  <c r="D41" i="67"/>
  <c r="B41" i="67"/>
  <c r="F40" i="67"/>
  <c r="D40" i="67"/>
  <c r="B40" i="67"/>
  <c r="F39" i="67"/>
  <c r="D39" i="67"/>
  <c r="B39" i="67"/>
  <c r="F38" i="67"/>
  <c r="D38" i="67"/>
  <c r="B38" i="67"/>
  <c r="F37" i="67"/>
  <c r="D37" i="67"/>
  <c r="B37" i="67"/>
  <c r="F36" i="67"/>
  <c r="D36" i="67"/>
  <c r="B36" i="67"/>
  <c r="F35" i="67"/>
  <c r="D35" i="67"/>
  <c r="B35" i="67"/>
  <c r="F34" i="67"/>
  <c r="D34" i="67"/>
  <c r="B34" i="67"/>
  <c r="F33" i="67"/>
  <c r="D33" i="67"/>
  <c r="B33" i="67"/>
  <c r="F32" i="67"/>
  <c r="D32" i="67"/>
  <c r="B32" i="67"/>
  <c r="F31" i="67"/>
  <c r="D31" i="67"/>
  <c r="B31" i="67"/>
  <c r="F30" i="67"/>
  <c r="D30" i="67"/>
  <c r="B30" i="67"/>
  <c r="F29" i="67"/>
  <c r="D29" i="67"/>
  <c r="B29" i="67"/>
  <c r="F28" i="67"/>
  <c r="D28" i="67"/>
  <c r="B28" i="67"/>
  <c r="F27" i="67"/>
  <c r="D27" i="67"/>
  <c r="B27" i="67"/>
  <c r="F26" i="67"/>
  <c r="D26" i="67"/>
  <c r="B26" i="67"/>
  <c r="F25" i="67"/>
  <c r="D25" i="67"/>
  <c r="B25" i="67"/>
  <c r="F24" i="67"/>
  <c r="D24" i="67"/>
  <c r="B24" i="67"/>
  <c r="F23" i="67"/>
  <c r="D23" i="67"/>
  <c r="B23" i="67"/>
  <c r="F22" i="67"/>
  <c r="D22" i="67"/>
  <c r="B22" i="67"/>
  <c r="F21" i="67"/>
  <c r="D21" i="67"/>
  <c r="B21" i="67"/>
  <c r="F20" i="67"/>
  <c r="D20" i="67"/>
  <c r="B20" i="67"/>
  <c r="F19" i="67"/>
  <c r="D19" i="67"/>
  <c r="B19" i="67"/>
  <c r="F18" i="67"/>
  <c r="D18" i="67"/>
  <c r="B18" i="67"/>
  <c r="F17" i="67"/>
  <c r="D17" i="67"/>
  <c r="B17" i="67"/>
  <c r="F16" i="67"/>
  <c r="D16" i="67"/>
  <c r="B16" i="67"/>
  <c r="F15" i="67"/>
  <c r="D15" i="67"/>
  <c r="B15" i="67"/>
  <c r="F14" i="67"/>
  <c r="D14" i="67"/>
  <c r="B14" i="67"/>
  <c r="F13" i="67"/>
  <c r="D13" i="67"/>
  <c r="B13" i="67"/>
  <c r="F12" i="67"/>
  <c r="D12" i="67"/>
  <c r="B12" i="67"/>
  <c r="F11" i="67"/>
  <c r="D11" i="67"/>
  <c r="B11" i="67"/>
  <c r="F10" i="67"/>
  <c r="D10" i="67"/>
  <c r="B10" i="67"/>
  <c r="F9" i="67"/>
  <c r="D9" i="67"/>
  <c r="B9" i="67"/>
  <c r="F159" i="69"/>
  <c r="D159" i="69"/>
  <c r="B159" i="69"/>
  <c r="F158" i="69"/>
  <c r="D158" i="69"/>
  <c r="B158" i="69"/>
  <c r="F157" i="69"/>
  <c r="D157" i="69"/>
  <c r="B157" i="69"/>
  <c r="F156" i="69"/>
  <c r="D156" i="69"/>
  <c r="B156" i="69"/>
  <c r="F155" i="69"/>
  <c r="D155" i="69"/>
  <c r="B155" i="69"/>
  <c r="F154" i="69"/>
  <c r="D154" i="69"/>
  <c r="B154" i="69"/>
  <c r="F153" i="69"/>
  <c r="D153" i="69"/>
  <c r="B153" i="69"/>
  <c r="F152" i="69"/>
  <c r="D152" i="69"/>
  <c r="B152" i="69"/>
  <c r="F151" i="69"/>
  <c r="D151" i="69"/>
  <c r="B151" i="69"/>
  <c r="F150" i="69"/>
  <c r="D150" i="69"/>
  <c r="B150" i="69"/>
  <c r="F149" i="69"/>
  <c r="D149" i="69"/>
  <c r="B149" i="69"/>
  <c r="F148" i="69"/>
  <c r="D148" i="69"/>
  <c r="B148" i="69"/>
  <c r="F147" i="69"/>
  <c r="D147" i="69"/>
  <c r="B147" i="69"/>
  <c r="F146" i="69"/>
  <c r="D146" i="69"/>
  <c r="B146" i="69"/>
  <c r="F145" i="69"/>
  <c r="D145" i="69"/>
  <c r="B145" i="69"/>
  <c r="F144" i="69"/>
  <c r="D144" i="69"/>
  <c r="B144" i="69"/>
  <c r="F143" i="69"/>
  <c r="D143" i="69"/>
  <c r="B143" i="69"/>
  <c r="F142" i="69"/>
  <c r="D142" i="69"/>
  <c r="B142" i="69"/>
  <c r="F141" i="69"/>
  <c r="D141" i="69"/>
  <c r="B141" i="69"/>
  <c r="F140" i="69"/>
  <c r="D140" i="69"/>
  <c r="B140" i="69"/>
  <c r="F139" i="69"/>
  <c r="D139" i="69"/>
  <c r="B139" i="69"/>
  <c r="F138" i="69"/>
  <c r="D138" i="69"/>
  <c r="B138" i="69"/>
  <c r="F137" i="69"/>
  <c r="D137" i="69"/>
  <c r="B137" i="69"/>
  <c r="F136" i="69"/>
  <c r="D136" i="69"/>
  <c r="B136" i="69"/>
  <c r="F135" i="69"/>
  <c r="D135" i="69"/>
  <c r="B135" i="69"/>
  <c r="F134" i="69"/>
  <c r="D134" i="69"/>
  <c r="B134" i="69"/>
  <c r="F133" i="69"/>
  <c r="D133" i="69"/>
  <c r="B133" i="69"/>
  <c r="F132" i="69"/>
  <c r="D132" i="69"/>
  <c r="B132" i="69"/>
  <c r="F131" i="69"/>
  <c r="D131" i="69"/>
  <c r="B131" i="69"/>
  <c r="F130" i="69"/>
  <c r="D130" i="69"/>
  <c r="B130" i="69"/>
  <c r="F129" i="69"/>
  <c r="D129" i="69"/>
  <c r="B129" i="69"/>
  <c r="F128" i="69"/>
  <c r="D128" i="69"/>
  <c r="B128" i="69"/>
  <c r="F127" i="69"/>
  <c r="D127" i="69"/>
  <c r="B127" i="69"/>
  <c r="F126" i="69"/>
  <c r="D126" i="69"/>
  <c r="B126" i="69"/>
  <c r="F125" i="69"/>
  <c r="D125" i="69"/>
  <c r="B125" i="69"/>
  <c r="F124" i="69"/>
  <c r="D124" i="69"/>
  <c r="B124" i="69"/>
  <c r="F123" i="69"/>
  <c r="D123" i="69"/>
  <c r="B123" i="69"/>
  <c r="F122" i="69"/>
  <c r="D122" i="69"/>
  <c r="B122" i="69"/>
  <c r="F121" i="69"/>
  <c r="D121" i="69"/>
  <c r="B121" i="69"/>
  <c r="F120" i="69"/>
  <c r="D120" i="69"/>
  <c r="B120" i="69"/>
  <c r="F119" i="69"/>
  <c r="D119" i="69"/>
  <c r="B119" i="69"/>
  <c r="F118" i="69"/>
  <c r="D118" i="69"/>
  <c r="B118" i="69"/>
  <c r="F117" i="69"/>
  <c r="D117" i="69"/>
  <c r="B117" i="69"/>
  <c r="F116" i="69"/>
  <c r="D116" i="69"/>
  <c r="B116" i="69"/>
  <c r="F115" i="69"/>
  <c r="D115" i="69"/>
  <c r="B115" i="69"/>
  <c r="F114" i="69"/>
  <c r="D114" i="69"/>
  <c r="B114" i="69"/>
  <c r="F113" i="69"/>
  <c r="D113" i="69"/>
  <c r="B113" i="69"/>
  <c r="F112" i="69"/>
  <c r="D112" i="69"/>
  <c r="B112" i="69"/>
  <c r="F111" i="69"/>
  <c r="D111" i="69"/>
  <c r="B111" i="69"/>
  <c r="F108" i="69"/>
  <c r="D108" i="69"/>
  <c r="B108" i="69"/>
  <c r="F107" i="69"/>
  <c r="D107" i="69"/>
  <c r="B107" i="69"/>
  <c r="F106" i="69"/>
  <c r="D106" i="69"/>
  <c r="B106" i="69"/>
  <c r="F105" i="69"/>
  <c r="D105" i="69"/>
  <c r="B105" i="69"/>
  <c r="F104" i="69"/>
  <c r="D104" i="69"/>
  <c r="B104" i="69"/>
  <c r="F103" i="69"/>
  <c r="D103" i="69"/>
  <c r="B103" i="69"/>
  <c r="F102" i="69"/>
  <c r="D102" i="69"/>
  <c r="B102" i="69"/>
  <c r="F101" i="69"/>
  <c r="D101" i="69"/>
  <c r="B101" i="69"/>
  <c r="F100" i="69"/>
  <c r="D100" i="69"/>
  <c r="B100" i="69"/>
  <c r="F99" i="69"/>
  <c r="D99" i="69"/>
  <c r="B99" i="69"/>
  <c r="F98" i="69"/>
  <c r="D98" i="69"/>
  <c r="B98" i="69"/>
  <c r="F97" i="69"/>
  <c r="D97" i="69"/>
  <c r="B97" i="69"/>
  <c r="F96" i="69"/>
  <c r="D96" i="69"/>
  <c r="B96" i="69"/>
  <c r="F95" i="69"/>
  <c r="D95" i="69"/>
  <c r="B95" i="69"/>
  <c r="F94" i="69"/>
  <c r="D94" i="69"/>
  <c r="B94" i="69"/>
  <c r="F93" i="69"/>
  <c r="D93" i="69"/>
  <c r="B93" i="69"/>
  <c r="F92" i="69"/>
  <c r="D92" i="69"/>
  <c r="B92" i="69"/>
  <c r="F91" i="69"/>
  <c r="D91" i="69"/>
  <c r="B91" i="69"/>
  <c r="F90" i="69"/>
  <c r="D90" i="69"/>
  <c r="B90" i="69"/>
  <c r="F89" i="69"/>
  <c r="D89" i="69"/>
  <c r="B89" i="69"/>
  <c r="F88" i="69"/>
  <c r="D88" i="69"/>
  <c r="B88" i="69"/>
  <c r="F87" i="69"/>
  <c r="D87" i="69"/>
  <c r="B87" i="69"/>
  <c r="F86" i="69"/>
  <c r="D86" i="69"/>
  <c r="B86" i="69"/>
  <c r="F85" i="69"/>
  <c r="D85" i="69"/>
  <c r="B85" i="69"/>
  <c r="F84" i="69"/>
  <c r="D84" i="69"/>
  <c r="B84" i="69"/>
  <c r="F83" i="69"/>
  <c r="D83" i="69"/>
  <c r="B83" i="69"/>
  <c r="F82" i="69"/>
  <c r="D82" i="69"/>
  <c r="B82" i="69"/>
  <c r="F81" i="69"/>
  <c r="D81" i="69"/>
  <c r="B81" i="69"/>
  <c r="F80" i="69"/>
  <c r="D80" i="69"/>
  <c r="B80" i="69"/>
  <c r="F79" i="69"/>
  <c r="D79" i="69"/>
  <c r="B79" i="69"/>
  <c r="F78" i="69"/>
  <c r="D78" i="69"/>
  <c r="B78" i="69"/>
  <c r="F77" i="69"/>
  <c r="D77" i="69"/>
  <c r="B77" i="69"/>
  <c r="F76" i="69"/>
  <c r="D76" i="69"/>
  <c r="B76" i="69"/>
  <c r="F75" i="69"/>
  <c r="D75" i="69"/>
  <c r="B75" i="69"/>
  <c r="F74" i="69"/>
  <c r="D74" i="69"/>
  <c r="B74" i="69"/>
  <c r="F73" i="69"/>
  <c r="D73" i="69"/>
  <c r="B73" i="69"/>
  <c r="F72" i="69"/>
  <c r="D72" i="69"/>
  <c r="B72" i="69"/>
  <c r="F71" i="69"/>
  <c r="D71" i="69"/>
  <c r="B71" i="69"/>
  <c r="F70" i="69"/>
  <c r="D70" i="69"/>
  <c r="B70" i="69"/>
  <c r="F69" i="69"/>
  <c r="D69" i="69"/>
  <c r="B69" i="69"/>
  <c r="F68" i="69"/>
  <c r="D68" i="69"/>
  <c r="B68" i="69"/>
  <c r="F67" i="69"/>
  <c r="D67" i="69"/>
  <c r="B67" i="69"/>
  <c r="F66" i="69"/>
  <c r="D66" i="69"/>
  <c r="B66" i="69"/>
  <c r="F65" i="69"/>
  <c r="D65" i="69"/>
  <c r="B65" i="69"/>
  <c r="F64" i="69"/>
  <c r="D64" i="69"/>
  <c r="B64" i="69"/>
  <c r="F63" i="69"/>
  <c r="D63" i="69"/>
  <c r="B63" i="69"/>
  <c r="F62" i="69"/>
  <c r="D62" i="69"/>
  <c r="B62" i="69"/>
  <c r="F61" i="69"/>
  <c r="D61" i="69"/>
  <c r="B61" i="69"/>
  <c r="F60" i="69"/>
  <c r="D60" i="69"/>
  <c r="B60" i="69"/>
  <c r="F57" i="69"/>
  <c r="D57" i="69"/>
  <c r="B57" i="69"/>
  <c r="F56" i="69"/>
  <c r="D56" i="69"/>
  <c r="B56" i="69"/>
  <c r="F55" i="69"/>
  <c r="D55" i="69"/>
  <c r="B55" i="69"/>
  <c r="F54" i="69"/>
  <c r="D54" i="69"/>
  <c r="B54" i="69"/>
  <c r="F53" i="69"/>
  <c r="D53" i="69"/>
  <c r="B53" i="69"/>
  <c r="F52" i="69"/>
  <c r="D52" i="69"/>
  <c r="B52" i="69"/>
  <c r="F51" i="69"/>
  <c r="D51" i="69"/>
  <c r="B51" i="69"/>
  <c r="F50" i="69"/>
  <c r="D50" i="69"/>
  <c r="B50" i="69"/>
  <c r="F49" i="69"/>
  <c r="D49" i="69"/>
  <c r="B49" i="69"/>
  <c r="F48" i="69"/>
  <c r="D48" i="69"/>
  <c r="B48" i="69"/>
  <c r="F47" i="69"/>
  <c r="D47" i="69"/>
  <c r="B47" i="69"/>
  <c r="F46" i="69"/>
  <c r="D46" i="69"/>
  <c r="B46" i="69"/>
  <c r="F45" i="69"/>
  <c r="D45" i="69"/>
  <c r="B45" i="69"/>
  <c r="F44" i="69"/>
  <c r="D44" i="69"/>
  <c r="B44" i="69"/>
  <c r="F43" i="69"/>
  <c r="D43" i="69"/>
  <c r="B43" i="69"/>
  <c r="F42" i="69"/>
  <c r="D42" i="69"/>
  <c r="B42" i="69"/>
  <c r="F41" i="69"/>
  <c r="D41" i="69"/>
  <c r="B41" i="69"/>
  <c r="F40" i="69"/>
  <c r="D40" i="69"/>
  <c r="B40" i="69"/>
  <c r="F39" i="69"/>
  <c r="D39" i="69"/>
  <c r="B39" i="69"/>
  <c r="F38" i="69"/>
  <c r="D38" i="69"/>
  <c r="B38" i="69"/>
  <c r="F37" i="69"/>
  <c r="D37" i="69"/>
  <c r="B37" i="69"/>
  <c r="F36" i="69"/>
  <c r="D36" i="69"/>
  <c r="B36" i="69"/>
  <c r="F35" i="69"/>
  <c r="D35" i="69"/>
  <c r="B35" i="69"/>
  <c r="F34" i="69"/>
  <c r="D34" i="69"/>
  <c r="B34" i="69"/>
  <c r="F33" i="69"/>
  <c r="D33" i="69"/>
  <c r="B33" i="69"/>
  <c r="F32" i="69"/>
  <c r="D32" i="69"/>
  <c r="B32" i="69"/>
  <c r="F31" i="69"/>
  <c r="D31" i="69"/>
  <c r="B31" i="69"/>
  <c r="F30" i="69"/>
  <c r="D30" i="69"/>
  <c r="B30" i="69"/>
  <c r="F29" i="69"/>
  <c r="D29" i="69"/>
  <c r="B29" i="69"/>
  <c r="F28" i="69"/>
  <c r="D28" i="69"/>
  <c r="B28" i="69"/>
  <c r="F27" i="69"/>
  <c r="D27" i="69"/>
  <c r="B27" i="69"/>
  <c r="F26" i="69"/>
  <c r="D26" i="69"/>
  <c r="B26" i="69"/>
  <c r="F25" i="69"/>
  <c r="D25" i="69"/>
  <c r="B25" i="69"/>
  <c r="F24" i="69"/>
  <c r="D24" i="69"/>
  <c r="B24" i="69"/>
  <c r="F23" i="69"/>
  <c r="D23" i="69"/>
  <c r="B23" i="69"/>
  <c r="F22" i="69"/>
  <c r="D22" i="69"/>
  <c r="B22" i="69"/>
  <c r="F21" i="69"/>
  <c r="D21" i="69"/>
  <c r="B21" i="69"/>
  <c r="F20" i="69"/>
  <c r="D20" i="69"/>
  <c r="B20" i="69"/>
  <c r="F19" i="69"/>
  <c r="D19" i="69"/>
  <c r="B19" i="69"/>
  <c r="F18" i="69"/>
  <c r="D18" i="69"/>
  <c r="B18" i="69"/>
  <c r="F17" i="69"/>
  <c r="D17" i="69"/>
  <c r="B17" i="69"/>
  <c r="F16" i="69"/>
  <c r="D16" i="69"/>
  <c r="B16" i="69"/>
  <c r="F15" i="69"/>
  <c r="D15" i="69"/>
  <c r="B15" i="69"/>
  <c r="F14" i="69"/>
  <c r="D14" i="69"/>
  <c r="B14" i="69"/>
  <c r="F13" i="69"/>
  <c r="D13" i="69"/>
  <c r="B13" i="69"/>
  <c r="F12" i="69"/>
  <c r="D12" i="69"/>
  <c r="B12" i="69"/>
  <c r="F11" i="69"/>
  <c r="D11" i="69"/>
  <c r="B11" i="69"/>
  <c r="F10" i="69"/>
  <c r="D10" i="69"/>
  <c r="B10" i="69"/>
  <c r="F9" i="69"/>
  <c r="D9" i="69"/>
  <c r="B9" i="69"/>
  <c r="F159" i="66"/>
  <c r="D159" i="66"/>
  <c r="B159" i="66"/>
  <c r="F158" i="66"/>
  <c r="D158" i="66"/>
  <c r="B158" i="66"/>
  <c r="F157" i="66"/>
  <c r="D157" i="66"/>
  <c r="B157" i="66"/>
  <c r="F156" i="66"/>
  <c r="D156" i="66"/>
  <c r="B156" i="66"/>
  <c r="F155" i="66"/>
  <c r="D155" i="66"/>
  <c r="B155" i="66"/>
  <c r="F154" i="66"/>
  <c r="D154" i="66"/>
  <c r="B154" i="66"/>
  <c r="F153" i="66"/>
  <c r="D153" i="66"/>
  <c r="B153" i="66"/>
  <c r="F152" i="66"/>
  <c r="D152" i="66"/>
  <c r="B152" i="66"/>
  <c r="F151" i="66"/>
  <c r="D151" i="66"/>
  <c r="B151" i="66"/>
  <c r="F150" i="66"/>
  <c r="D150" i="66"/>
  <c r="B150" i="66"/>
  <c r="F149" i="66"/>
  <c r="D149" i="66"/>
  <c r="B149" i="66"/>
  <c r="F148" i="66"/>
  <c r="D148" i="66"/>
  <c r="B148" i="66"/>
  <c r="F147" i="66"/>
  <c r="D147" i="66"/>
  <c r="B147" i="66"/>
  <c r="F146" i="66"/>
  <c r="D146" i="66"/>
  <c r="B146" i="66"/>
  <c r="F145" i="66"/>
  <c r="D145" i="66"/>
  <c r="B145" i="66"/>
  <c r="F144" i="66"/>
  <c r="D144" i="66"/>
  <c r="B144" i="66"/>
  <c r="F143" i="66"/>
  <c r="D143" i="66"/>
  <c r="B143" i="66"/>
  <c r="F142" i="66"/>
  <c r="D142" i="66"/>
  <c r="B142" i="66"/>
  <c r="F141" i="66"/>
  <c r="D141" i="66"/>
  <c r="B141" i="66"/>
  <c r="F140" i="66"/>
  <c r="D140" i="66"/>
  <c r="B140" i="66"/>
  <c r="F139" i="66"/>
  <c r="D139" i="66"/>
  <c r="B139" i="66"/>
  <c r="F138" i="66"/>
  <c r="D138" i="66"/>
  <c r="B138" i="66"/>
  <c r="F137" i="66"/>
  <c r="D137" i="66"/>
  <c r="B137" i="66"/>
  <c r="F136" i="66"/>
  <c r="D136" i="66"/>
  <c r="B136" i="66"/>
  <c r="F135" i="66"/>
  <c r="D135" i="66"/>
  <c r="B135" i="66"/>
  <c r="F134" i="66"/>
  <c r="D134" i="66"/>
  <c r="B134" i="66"/>
  <c r="F133" i="66"/>
  <c r="D133" i="66"/>
  <c r="B133" i="66"/>
  <c r="F132" i="66"/>
  <c r="D132" i="66"/>
  <c r="B132" i="66"/>
  <c r="F131" i="66"/>
  <c r="D131" i="66"/>
  <c r="B131" i="66"/>
  <c r="F130" i="66"/>
  <c r="D130" i="66"/>
  <c r="B130" i="66"/>
  <c r="F129" i="66"/>
  <c r="D129" i="66"/>
  <c r="B129" i="66"/>
  <c r="F128" i="66"/>
  <c r="D128" i="66"/>
  <c r="B128" i="66"/>
  <c r="F127" i="66"/>
  <c r="D127" i="66"/>
  <c r="B127" i="66"/>
  <c r="F126" i="66"/>
  <c r="D126" i="66"/>
  <c r="B126" i="66"/>
  <c r="F125" i="66"/>
  <c r="D125" i="66"/>
  <c r="B125" i="66"/>
  <c r="F124" i="66"/>
  <c r="D124" i="66"/>
  <c r="B124" i="66"/>
  <c r="F123" i="66"/>
  <c r="D123" i="66"/>
  <c r="B123" i="66"/>
  <c r="F122" i="66"/>
  <c r="D122" i="66"/>
  <c r="B122" i="66"/>
  <c r="F121" i="66"/>
  <c r="D121" i="66"/>
  <c r="B121" i="66"/>
  <c r="F120" i="66"/>
  <c r="D120" i="66"/>
  <c r="B120" i="66"/>
  <c r="F119" i="66"/>
  <c r="D119" i="66"/>
  <c r="B119" i="66"/>
  <c r="F118" i="66"/>
  <c r="D118" i="66"/>
  <c r="B118" i="66"/>
  <c r="F117" i="66"/>
  <c r="D117" i="66"/>
  <c r="B117" i="66"/>
  <c r="F116" i="66"/>
  <c r="D116" i="66"/>
  <c r="B116" i="66"/>
  <c r="F115" i="66"/>
  <c r="D115" i="66"/>
  <c r="B115" i="66"/>
  <c r="F114" i="66"/>
  <c r="D114" i="66"/>
  <c r="B114" i="66"/>
  <c r="F113" i="66"/>
  <c r="D113" i="66"/>
  <c r="B113" i="66"/>
  <c r="F112" i="66"/>
  <c r="D112" i="66"/>
  <c r="B112" i="66"/>
  <c r="F111" i="66"/>
  <c r="D111" i="66"/>
  <c r="B111" i="66"/>
  <c r="F108" i="66"/>
  <c r="D108" i="66"/>
  <c r="B108" i="66"/>
  <c r="F107" i="66"/>
  <c r="D107" i="66"/>
  <c r="B107" i="66"/>
  <c r="F106" i="66"/>
  <c r="D106" i="66"/>
  <c r="B106" i="66"/>
  <c r="F105" i="66"/>
  <c r="D105" i="66"/>
  <c r="B105" i="66"/>
  <c r="F104" i="66"/>
  <c r="D104" i="66"/>
  <c r="B104" i="66"/>
  <c r="F103" i="66"/>
  <c r="D103" i="66"/>
  <c r="B103" i="66"/>
  <c r="F102" i="66"/>
  <c r="D102" i="66"/>
  <c r="B102" i="66"/>
  <c r="F101" i="66"/>
  <c r="D101" i="66"/>
  <c r="B101" i="66"/>
  <c r="F100" i="66"/>
  <c r="D100" i="66"/>
  <c r="B100" i="66"/>
  <c r="F99" i="66"/>
  <c r="D99" i="66"/>
  <c r="B99" i="66"/>
  <c r="F98" i="66"/>
  <c r="D98" i="66"/>
  <c r="B98" i="66"/>
  <c r="F97" i="66"/>
  <c r="D97" i="66"/>
  <c r="B97" i="66"/>
  <c r="F96" i="66"/>
  <c r="D96" i="66"/>
  <c r="B96" i="66"/>
  <c r="F95" i="66"/>
  <c r="D95" i="66"/>
  <c r="B95" i="66"/>
  <c r="F94" i="66"/>
  <c r="D94" i="66"/>
  <c r="B94" i="66"/>
  <c r="F93" i="66"/>
  <c r="D93" i="66"/>
  <c r="B93" i="66"/>
  <c r="F92" i="66"/>
  <c r="D92" i="66"/>
  <c r="B92" i="66"/>
  <c r="F91" i="66"/>
  <c r="D91" i="66"/>
  <c r="B91" i="66"/>
  <c r="F90" i="66"/>
  <c r="D90" i="66"/>
  <c r="B90" i="66"/>
  <c r="F89" i="66"/>
  <c r="D89" i="66"/>
  <c r="B89" i="66"/>
  <c r="F88" i="66"/>
  <c r="D88" i="66"/>
  <c r="B88" i="66"/>
  <c r="F87" i="66"/>
  <c r="D87" i="66"/>
  <c r="B87" i="66"/>
  <c r="F86" i="66"/>
  <c r="D86" i="66"/>
  <c r="B86" i="66"/>
  <c r="F85" i="66"/>
  <c r="D85" i="66"/>
  <c r="B85" i="66"/>
  <c r="F84" i="66"/>
  <c r="D84" i="66"/>
  <c r="B84" i="66"/>
  <c r="F83" i="66"/>
  <c r="D83" i="66"/>
  <c r="B83" i="66"/>
  <c r="F82" i="66"/>
  <c r="D82" i="66"/>
  <c r="B82" i="66"/>
  <c r="F81" i="66"/>
  <c r="D81" i="66"/>
  <c r="B81" i="66"/>
  <c r="F80" i="66"/>
  <c r="D80" i="66"/>
  <c r="B80" i="66"/>
  <c r="F79" i="66"/>
  <c r="D79" i="66"/>
  <c r="B79" i="66"/>
  <c r="F78" i="66"/>
  <c r="D78" i="66"/>
  <c r="B78" i="66"/>
  <c r="F77" i="66"/>
  <c r="D77" i="66"/>
  <c r="B77" i="66"/>
  <c r="F76" i="66"/>
  <c r="D76" i="66"/>
  <c r="B76" i="66"/>
  <c r="F75" i="66"/>
  <c r="D75" i="66"/>
  <c r="B75" i="66"/>
  <c r="F74" i="66"/>
  <c r="D74" i="66"/>
  <c r="B74" i="66"/>
  <c r="F73" i="66"/>
  <c r="D73" i="66"/>
  <c r="B73" i="66"/>
  <c r="F72" i="66"/>
  <c r="D72" i="66"/>
  <c r="B72" i="66"/>
  <c r="F71" i="66"/>
  <c r="D71" i="66"/>
  <c r="B71" i="66"/>
  <c r="F70" i="66"/>
  <c r="D70" i="66"/>
  <c r="B70" i="66"/>
  <c r="F69" i="66"/>
  <c r="D69" i="66"/>
  <c r="B69" i="66"/>
  <c r="F68" i="66"/>
  <c r="D68" i="66"/>
  <c r="B68" i="66"/>
  <c r="F67" i="66"/>
  <c r="D67" i="66"/>
  <c r="B67" i="66"/>
  <c r="F66" i="66"/>
  <c r="D66" i="66"/>
  <c r="B66" i="66"/>
  <c r="F65" i="66"/>
  <c r="D65" i="66"/>
  <c r="B65" i="66"/>
  <c r="F64" i="66"/>
  <c r="D64" i="66"/>
  <c r="B64" i="66"/>
  <c r="F63" i="66"/>
  <c r="D63" i="66"/>
  <c r="B63" i="66"/>
  <c r="F62" i="66"/>
  <c r="D62" i="66"/>
  <c r="B62" i="66"/>
  <c r="F61" i="66"/>
  <c r="D61" i="66"/>
  <c r="B61" i="66"/>
  <c r="F60" i="66"/>
  <c r="D60" i="66"/>
  <c r="B60" i="66"/>
  <c r="F57" i="66"/>
  <c r="D57" i="66"/>
  <c r="B57" i="66"/>
  <c r="F56" i="66"/>
  <c r="D56" i="66"/>
  <c r="B56" i="66"/>
  <c r="F55" i="66"/>
  <c r="D55" i="66"/>
  <c r="B55" i="66"/>
  <c r="F54" i="66"/>
  <c r="D54" i="66"/>
  <c r="B54" i="66"/>
  <c r="F53" i="66"/>
  <c r="D53" i="66"/>
  <c r="B53" i="66"/>
  <c r="F52" i="66"/>
  <c r="D52" i="66"/>
  <c r="B52" i="66"/>
  <c r="F51" i="66"/>
  <c r="D51" i="66"/>
  <c r="B51" i="66"/>
  <c r="F50" i="66"/>
  <c r="D50" i="66"/>
  <c r="B50" i="66"/>
  <c r="F49" i="66"/>
  <c r="D49" i="66"/>
  <c r="B49" i="66"/>
  <c r="F48" i="66"/>
  <c r="D48" i="66"/>
  <c r="B48" i="66"/>
  <c r="F47" i="66"/>
  <c r="D47" i="66"/>
  <c r="B47" i="66"/>
  <c r="F46" i="66"/>
  <c r="D46" i="66"/>
  <c r="B46" i="66"/>
  <c r="F45" i="66"/>
  <c r="D45" i="66"/>
  <c r="B45" i="66"/>
  <c r="F44" i="66"/>
  <c r="D44" i="66"/>
  <c r="B44" i="66"/>
  <c r="F43" i="66"/>
  <c r="D43" i="66"/>
  <c r="B43" i="66"/>
  <c r="F42" i="66"/>
  <c r="D42" i="66"/>
  <c r="B42" i="66"/>
  <c r="F41" i="66"/>
  <c r="D41" i="66"/>
  <c r="B41" i="66"/>
  <c r="F40" i="66"/>
  <c r="D40" i="66"/>
  <c r="B40" i="66"/>
  <c r="F39" i="66"/>
  <c r="D39" i="66"/>
  <c r="B39" i="66"/>
  <c r="F38" i="66"/>
  <c r="D38" i="66"/>
  <c r="B38" i="66"/>
  <c r="F37" i="66"/>
  <c r="D37" i="66"/>
  <c r="B37" i="66"/>
  <c r="F36" i="66"/>
  <c r="D36" i="66"/>
  <c r="B36" i="66"/>
  <c r="F35" i="66"/>
  <c r="D35" i="66"/>
  <c r="B35" i="66"/>
  <c r="F34" i="66"/>
  <c r="D34" i="66"/>
  <c r="B34" i="66"/>
  <c r="F33" i="66"/>
  <c r="D33" i="66"/>
  <c r="B33" i="66"/>
  <c r="F32" i="66"/>
  <c r="D32" i="66"/>
  <c r="B32" i="66"/>
  <c r="F31" i="66"/>
  <c r="D31" i="66"/>
  <c r="B31" i="66"/>
  <c r="F30" i="66"/>
  <c r="D30" i="66"/>
  <c r="B30" i="66"/>
  <c r="F29" i="66"/>
  <c r="D29" i="66"/>
  <c r="B29" i="66"/>
  <c r="F28" i="66"/>
  <c r="D28" i="66"/>
  <c r="B28" i="66"/>
  <c r="F27" i="66"/>
  <c r="D27" i="66"/>
  <c r="B27" i="66"/>
  <c r="F26" i="66"/>
  <c r="D26" i="66"/>
  <c r="B26" i="66"/>
  <c r="F25" i="66"/>
  <c r="D25" i="66"/>
  <c r="B25" i="66"/>
  <c r="F24" i="66"/>
  <c r="D24" i="66"/>
  <c r="B24" i="66"/>
  <c r="F23" i="66"/>
  <c r="D23" i="66"/>
  <c r="B23" i="66"/>
  <c r="F22" i="66"/>
  <c r="D22" i="66"/>
  <c r="B22" i="66"/>
  <c r="F21" i="66"/>
  <c r="D21" i="66"/>
  <c r="B21" i="66"/>
  <c r="F20" i="66"/>
  <c r="D20" i="66"/>
  <c r="B20" i="66"/>
  <c r="F19" i="66"/>
  <c r="D19" i="66"/>
  <c r="B19" i="66"/>
  <c r="F18" i="66"/>
  <c r="D18" i="66"/>
  <c r="B18" i="66"/>
  <c r="F17" i="66"/>
  <c r="D17" i="66"/>
  <c r="B17" i="66"/>
  <c r="F16" i="66"/>
  <c r="D16" i="66"/>
  <c r="B16" i="66"/>
  <c r="F15" i="66"/>
  <c r="D15" i="66"/>
  <c r="B15" i="66"/>
  <c r="F14" i="66"/>
  <c r="D14" i="66"/>
  <c r="B14" i="66"/>
  <c r="F13" i="66"/>
  <c r="D13" i="66"/>
  <c r="B13" i="66"/>
  <c r="F12" i="66"/>
  <c r="D12" i="66"/>
  <c r="B12" i="66"/>
  <c r="F11" i="66"/>
  <c r="D11" i="66"/>
  <c r="B11" i="66"/>
  <c r="F10" i="66"/>
  <c r="D10" i="66"/>
  <c r="B10" i="66"/>
  <c r="F9" i="66"/>
  <c r="D9" i="66"/>
  <c r="B9" i="66"/>
  <c r="F210" i="65"/>
  <c r="D210" i="65"/>
  <c r="B210" i="65"/>
  <c r="F209" i="65"/>
  <c r="D209" i="65"/>
  <c r="B209" i="65"/>
  <c r="F208" i="65"/>
  <c r="D208" i="65"/>
  <c r="B208" i="65"/>
  <c r="F207" i="65"/>
  <c r="D207" i="65"/>
  <c r="B207" i="65"/>
  <c r="F206" i="65"/>
  <c r="D206" i="65"/>
  <c r="B206" i="65"/>
  <c r="F205" i="65"/>
  <c r="D205" i="65"/>
  <c r="B205" i="65"/>
  <c r="F204" i="65"/>
  <c r="D204" i="65"/>
  <c r="B204" i="65"/>
  <c r="F203" i="65"/>
  <c r="D203" i="65"/>
  <c r="B203" i="65"/>
  <c r="F202" i="65"/>
  <c r="D202" i="65"/>
  <c r="B202" i="65"/>
  <c r="F201" i="65"/>
  <c r="D201" i="65"/>
  <c r="B201" i="65"/>
  <c r="F200" i="65"/>
  <c r="D200" i="65"/>
  <c r="B200" i="65"/>
  <c r="F199" i="65"/>
  <c r="D199" i="65"/>
  <c r="B199" i="65"/>
  <c r="F198" i="65"/>
  <c r="D198" i="65"/>
  <c r="B198" i="65"/>
  <c r="F197" i="65"/>
  <c r="D197" i="65"/>
  <c r="B197" i="65"/>
  <c r="F196" i="65"/>
  <c r="D196" i="65"/>
  <c r="B196" i="65"/>
  <c r="F195" i="65"/>
  <c r="D195" i="65"/>
  <c r="B195" i="65"/>
  <c r="F194" i="65"/>
  <c r="D194" i="65"/>
  <c r="B194" i="65"/>
  <c r="F193" i="65"/>
  <c r="D193" i="65"/>
  <c r="B193" i="65"/>
  <c r="F192" i="65"/>
  <c r="D192" i="65"/>
  <c r="B192" i="65"/>
  <c r="F191" i="65"/>
  <c r="D191" i="65"/>
  <c r="B191" i="65"/>
  <c r="F190" i="65"/>
  <c r="D190" i="65"/>
  <c r="B190" i="65"/>
  <c r="F189" i="65"/>
  <c r="D189" i="65"/>
  <c r="B189" i="65"/>
  <c r="F188" i="65"/>
  <c r="D188" i="65"/>
  <c r="B188" i="65"/>
  <c r="F187" i="65"/>
  <c r="D187" i="65"/>
  <c r="B187" i="65"/>
  <c r="F186" i="65"/>
  <c r="D186" i="65"/>
  <c r="B186" i="65"/>
  <c r="F185" i="65"/>
  <c r="D185" i="65"/>
  <c r="B185" i="65"/>
  <c r="F184" i="65"/>
  <c r="D184" i="65"/>
  <c r="B184" i="65"/>
  <c r="F183" i="65"/>
  <c r="D183" i="65"/>
  <c r="B183" i="65"/>
  <c r="F182" i="65"/>
  <c r="D182" i="65"/>
  <c r="B182" i="65"/>
  <c r="F181" i="65"/>
  <c r="D181" i="65"/>
  <c r="B181" i="65"/>
  <c r="F180" i="65"/>
  <c r="D180" i="65"/>
  <c r="B180" i="65"/>
  <c r="F179" i="65"/>
  <c r="D179" i="65"/>
  <c r="B179" i="65"/>
  <c r="F178" i="65"/>
  <c r="D178" i="65"/>
  <c r="B178" i="65"/>
  <c r="F177" i="65"/>
  <c r="D177" i="65"/>
  <c r="B177" i="65"/>
  <c r="F176" i="65"/>
  <c r="D176" i="65"/>
  <c r="B176" i="65"/>
  <c r="F175" i="65"/>
  <c r="D175" i="65"/>
  <c r="B175" i="65"/>
  <c r="F174" i="65"/>
  <c r="D174" i="65"/>
  <c r="B174" i="65"/>
  <c r="F173" i="65"/>
  <c r="D173" i="65"/>
  <c r="B173" i="65"/>
  <c r="F172" i="65"/>
  <c r="D172" i="65"/>
  <c r="B172" i="65"/>
  <c r="F171" i="65"/>
  <c r="D171" i="65"/>
  <c r="B171" i="65"/>
  <c r="F170" i="65"/>
  <c r="D170" i="65"/>
  <c r="B170" i="65"/>
  <c r="F169" i="65"/>
  <c r="D169" i="65"/>
  <c r="B169" i="65"/>
  <c r="F168" i="65"/>
  <c r="D168" i="65"/>
  <c r="B168" i="65"/>
  <c r="F167" i="65"/>
  <c r="D167" i="65"/>
  <c r="B167" i="65"/>
  <c r="F166" i="65"/>
  <c r="D166" i="65"/>
  <c r="B166" i="65"/>
  <c r="F165" i="65"/>
  <c r="D165" i="65"/>
  <c r="B165" i="65"/>
  <c r="F164" i="65"/>
  <c r="D164" i="65"/>
  <c r="B164" i="65"/>
  <c r="F163" i="65"/>
  <c r="D163" i="65"/>
  <c r="B163" i="65"/>
  <c r="F162" i="65"/>
  <c r="D162" i="65"/>
  <c r="B162" i="65"/>
  <c r="F159" i="65"/>
  <c r="D159" i="65"/>
  <c r="B159" i="65"/>
  <c r="F158" i="65"/>
  <c r="D158" i="65"/>
  <c r="B158" i="65"/>
  <c r="F157" i="65"/>
  <c r="D157" i="65"/>
  <c r="B157" i="65"/>
  <c r="F156" i="65"/>
  <c r="D156" i="65"/>
  <c r="B156" i="65"/>
  <c r="F155" i="65"/>
  <c r="D155" i="65"/>
  <c r="B155" i="65"/>
  <c r="F154" i="65"/>
  <c r="D154" i="65"/>
  <c r="B154" i="65"/>
  <c r="F153" i="65"/>
  <c r="D153" i="65"/>
  <c r="B153" i="65"/>
  <c r="F152" i="65"/>
  <c r="D152" i="65"/>
  <c r="B152" i="65"/>
  <c r="F151" i="65"/>
  <c r="D151" i="65"/>
  <c r="B151" i="65"/>
  <c r="F150" i="65"/>
  <c r="D150" i="65"/>
  <c r="B150" i="65"/>
  <c r="F149" i="65"/>
  <c r="D149" i="65"/>
  <c r="B149" i="65"/>
  <c r="F148" i="65"/>
  <c r="D148" i="65"/>
  <c r="B148" i="65"/>
  <c r="F147" i="65"/>
  <c r="D147" i="65"/>
  <c r="B147" i="65"/>
  <c r="F146" i="65"/>
  <c r="D146" i="65"/>
  <c r="B146" i="65"/>
  <c r="F145" i="65"/>
  <c r="D145" i="65"/>
  <c r="B145" i="65"/>
  <c r="F144" i="65"/>
  <c r="D144" i="65"/>
  <c r="B144" i="65"/>
  <c r="F143" i="65"/>
  <c r="D143" i="65"/>
  <c r="B143" i="65"/>
  <c r="F142" i="65"/>
  <c r="D142" i="65"/>
  <c r="B142" i="65"/>
  <c r="F141" i="65"/>
  <c r="D141" i="65"/>
  <c r="B141" i="65"/>
  <c r="F140" i="65"/>
  <c r="D140" i="65"/>
  <c r="B140" i="65"/>
  <c r="F139" i="65"/>
  <c r="D139" i="65"/>
  <c r="B139" i="65"/>
  <c r="F138" i="65"/>
  <c r="D138" i="65"/>
  <c r="B138" i="65"/>
  <c r="F137" i="65"/>
  <c r="D137" i="65"/>
  <c r="B137" i="65"/>
  <c r="F136" i="65"/>
  <c r="D136" i="65"/>
  <c r="B136" i="65"/>
  <c r="F135" i="65"/>
  <c r="D135" i="65"/>
  <c r="B135" i="65"/>
  <c r="F134" i="65"/>
  <c r="D134" i="65"/>
  <c r="B134" i="65"/>
  <c r="F133" i="65"/>
  <c r="D133" i="65"/>
  <c r="B133" i="65"/>
  <c r="F132" i="65"/>
  <c r="D132" i="65"/>
  <c r="B132" i="65"/>
  <c r="F131" i="65"/>
  <c r="D131" i="65"/>
  <c r="B131" i="65"/>
  <c r="F130" i="65"/>
  <c r="D130" i="65"/>
  <c r="B130" i="65"/>
  <c r="F129" i="65"/>
  <c r="D129" i="65"/>
  <c r="B129" i="65"/>
  <c r="F128" i="65"/>
  <c r="D128" i="65"/>
  <c r="B128" i="65"/>
  <c r="F127" i="65"/>
  <c r="D127" i="65"/>
  <c r="B127" i="65"/>
  <c r="F126" i="65"/>
  <c r="D126" i="65"/>
  <c r="B126" i="65"/>
  <c r="F125" i="65"/>
  <c r="D125" i="65"/>
  <c r="B125" i="65"/>
  <c r="F124" i="65"/>
  <c r="D124" i="65"/>
  <c r="B124" i="65"/>
  <c r="F123" i="65"/>
  <c r="D123" i="65"/>
  <c r="B123" i="65"/>
  <c r="F122" i="65"/>
  <c r="D122" i="65"/>
  <c r="B122" i="65"/>
  <c r="F121" i="65"/>
  <c r="D121" i="65"/>
  <c r="B121" i="65"/>
  <c r="F120" i="65"/>
  <c r="D120" i="65"/>
  <c r="B120" i="65"/>
  <c r="F119" i="65"/>
  <c r="D119" i="65"/>
  <c r="B119" i="65"/>
  <c r="F118" i="65"/>
  <c r="D118" i="65"/>
  <c r="B118" i="65"/>
  <c r="F117" i="65"/>
  <c r="D117" i="65"/>
  <c r="B117" i="65"/>
  <c r="F116" i="65"/>
  <c r="D116" i="65"/>
  <c r="B116" i="65"/>
  <c r="F115" i="65"/>
  <c r="D115" i="65"/>
  <c r="B115" i="65"/>
  <c r="F114" i="65"/>
  <c r="D114" i="65"/>
  <c r="B114" i="65"/>
  <c r="F113" i="65"/>
  <c r="D113" i="65"/>
  <c r="B113" i="65"/>
  <c r="F112" i="65"/>
  <c r="D112" i="65"/>
  <c r="B112" i="65"/>
  <c r="F111" i="65"/>
  <c r="D111" i="65"/>
  <c r="B111" i="65"/>
  <c r="F108" i="65"/>
  <c r="D108" i="65"/>
  <c r="B108" i="65"/>
  <c r="F107" i="65"/>
  <c r="D107" i="65"/>
  <c r="B107" i="65"/>
  <c r="F106" i="65"/>
  <c r="D106" i="65"/>
  <c r="B106" i="65"/>
  <c r="F105" i="65"/>
  <c r="D105" i="65"/>
  <c r="B105" i="65"/>
  <c r="F104" i="65"/>
  <c r="D104" i="65"/>
  <c r="B104" i="65"/>
  <c r="F103" i="65"/>
  <c r="D103" i="65"/>
  <c r="B103" i="65"/>
  <c r="F102" i="65"/>
  <c r="D102" i="65"/>
  <c r="B102" i="65"/>
  <c r="F101" i="65"/>
  <c r="D101" i="65"/>
  <c r="B101" i="65"/>
  <c r="F100" i="65"/>
  <c r="D100" i="65"/>
  <c r="B100" i="65"/>
  <c r="F99" i="65"/>
  <c r="D99" i="65"/>
  <c r="B99" i="65"/>
  <c r="F98" i="65"/>
  <c r="D98" i="65"/>
  <c r="B98" i="65"/>
  <c r="F97" i="65"/>
  <c r="D97" i="65"/>
  <c r="B97" i="65"/>
  <c r="F96" i="65"/>
  <c r="D96" i="65"/>
  <c r="B96" i="65"/>
  <c r="F95" i="65"/>
  <c r="D95" i="65"/>
  <c r="B95" i="65"/>
  <c r="F94" i="65"/>
  <c r="D94" i="65"/>
  <c r="B94" i="65"/>
  <c r="F93" i="65"/>
  <c r="D93" i="65"/>
  <c r="B93" i="65"/>
  <c r="F92" i="65"/>
  <c r="D92" i="65"/>
  <c r="B92" i="65"/>
  <c r="F91" i="65"/>
  <c r="D91" i="65"/>
  <c r="B91" i="65"/>
  <c r="F90" i="65"/>
  <c r="D90" i="65"/>
  <c r="B90" i="65"/>
  <c r="F89" i="65"/>
  <c r="D89" i="65"/>
  <c r="B89" i="65"/>
  <c r="F88" i="65"/>
  <c r="D88" i="65"/>
  <c r="B88" i="65"/>
  <c r="F87" i="65"/>
  <c r="D87" i="65"/>
  <c r="B87" i="65"/>
  <c r="F86" i="65"/>
  <c r="D86" i="65"/>
  <c r="B86" i="65"/>
  <c r="F85" i="65"/>
  <c r="D85" i="65"/>
  <c r="B85" i="65"/>
  <c r="F84" i="65"/>
  <c r="D84" i="65"/>
  <c r="B84" i="65"/>
  <c r="F83" i="65"/>
  <c r="D83" i="65"/>
  <c r="B83" i="65"/>
  <c r="F82" i="65"/>
  <c r="D82" i="65"/>
  <c r="B82" i="65"/>
  <c r="F81" i="65"/>
  <c r="D81" i="65"/>
  <c r="B81" i="65"/>
  <c r="F80" i="65"/>
  <c r="D80" i="65"/>
  <c r="B80" i="65"/>
  <c r="F79" i="65"/>
  <c r="D79" i="65"/>
  <c r="B79" i="65"/>
  <c r="F78" i="65"/>
  <c r="D78" i="65"/>
  <c r="B78" i="65"/>
  <c r="F77" i="65"/>
  <c r="D77" i="65"/>
  <c r="B77" i="65"/>
  <c r="F76" i="65"/>
  <c r="D76" i="65"/>
  <c r="B76" i="65"/>
  <c r="F75" i="65"/>
  <c r="D75" i="65"/>
  <c r="B75" i="65"/>
  <c r="F74" i="65"/>
  <c r="D74" i="65"/>
  <c r="B74" i="65"/>
  <c r="F73" i="65"/>
  <c r="D73" i="65"/>
  <c r="B73" i="65"/>
  <c r="F72" i="65"/>
  <c r="D72" i="65"/>
  <c r="B72" i="65"/>
  <c r="F71" i="65"/>
  <c r="D71" i="65"/>
  <c r="B71" i="65"/>
  <c r="F70" i="65"/>
  <c r="D70" i="65"/>
  <c r="B70" i="65"/>
  <c r="F69" i="65"/>
  <c r="D69" i="65"/>
  <c r="B69" i="65"/>
  <c r="F68" i="65"/>
  <c r="D68" i="65"/>
  <c r="B68" i="65"/>
  <c r="F67" i="65"/>
  <c r="D67" i="65"/>
  <c r="B67" i="65"/>
  <c r="F66" i="65"/>
  <c r="D66" i="65"/>
  <c r="B66" i="65"/>
  <c r="F65" i="65"/>
  <c r="D65" i="65"/>
  <c r="B65" i="65"/>
  <c r="F64" i="65"/>
  <c r="D64" i="65"/>
  <c r="B64" i="65"/>
  <c r="F63" i="65"/>
  <c r="D63" i="65"/>
  <c r="B63" i="65"/>
  <c r="F62" i="65"/>
  <c r="D62" i="65"/>
  <c r="B62" i="65"/>
  <c r="F61" i="65"/>
  <c r="D61" i="65"/>
  <c r="B61" i="65"/>
  <c r="F60" i="65"/>
  <c r="D60" i="65"/>
  <c r="B60" i="65"/>
  <c r="F466" i="47"/>
  <c r="D466" i="47"/>
  <c r="B466" i="47"/>
  <c r="F465" i="47"/>
  <c r="D465" i="47"/>
  <c r="B465" i="47"/>
  <c r="F464" i="47"/>
  <c r="D464" i="47"/>
  <c r="B464" i="47"/>
  <c r="F463" i="47"/>
  <c r="D463" i="47"/>
  <c r="B463" i="47"/>
  <c r="F462" i="47"/>
  <c r="D462" i="47"/>
  <c r="B462" i="47"/>
  <c r="F461" i="47"/>
  <c r="D461" i="47"/>
  <c r="B461" i="47"/>
  <c r="F460" i="47"/>
  <c r="D460" i="47"/>
  <c r="B460" i="47"/>
  <c r="F459" i="47"/>
  <c r="D459" i="47"/>
  <c r="B459" i="47"/>
  <c r="F458" i="47"/>
  <c r="D458" i="47"/>
  <c r="B458" i="47"/>
  <c r="F457" i="47"/>
  <c r="D457" i="47"/>
  <c r="B457" i="47"/>
  <c r="F456" i="47"/>
  <c r="D456" i="47"/>
  <c r="B456" i="47"/>
  <c r="F455" i="47"/>
  <c r="D455" i="47"/>
  <c r="B455" i="47"/>
  <c r="F454" i="47"/>
  <c r="D454" i="47"/>
  <c r="B454" i="47"/>
  <c r="F453" i="47"/>
  <c r="D453" i="47"/>
  <c r="B453" i="47"/>
  <c r="F452" i="47"/>
  <c r="D452" i="47"/>
  <c r="B452" i="47"/>
  <c r="F451" i="47"/>
  <c r="D451" i="47"/>
  <c r="B451" i="47"/>
  <c r="F450" i="47"/>
  <c r="D450" i="47"/>
  <c r="B450" i="47"/>
  <c r="F449" i="47"/>
  <c r="D449" i="47"/>
  <c r="B449" i="47"/>
  <c r="F448" i="47"/>
  <c r="D448" i="47"/>
  <c r="B448" i="47"/>
  <c r="F447" i="47"/>
  <c r="D447" i="47"/>
  <c r="B447" i="47"/>
  <c r="F446" i="47"/>
  <c r="D446" i="47"/>
  <c r="B446" i="47"/>
  <c r="F445" i="47"/>
  <c r="D445" i="47"/>
  <c r="B445" i="47"/>
  <c r="F444" i="47"/>
  <c r="D444" i="47"/>
  <c r="B444" i="47"/>
  <c r="F443" i="47"/>
  <c r="D443" i="47"/>
  <c r="B443" i="47"/>
  <c r="F442" i="47"/>
  <c r="D442" i="47"/>
  <c r="B442" i="47"/>
  <c r="F441" i="47"/>
  <c r="D441" i="47"/>
  <c r="B441" i="47"/>
  <c r="F440" i="47"/>
  <c r="D440" i="47"/>
  <c r="B440" i="47"/>
  <c r="F439" i="47"/>
  <c r="D439" i="47"/>
  <c r="B439" i="47"/>
  <c r="F438" i="47"/>
  <c r="D438" i="47"/>
  <c r="B438" i="47"/>
  <c r="F437" i="47"/>
  <c r="D437" i="47"/>
  <c r="B437" i="47"/>
  <c r="F436" i="47"/>
  <c r="D436" i="47"/>
  <c r="B436" i="47"/>
  <c r="F435" i="47"/>
  <c r="D435" i="47"/>
  <c r="B435" i="47"/>
  <c r="F434" i="47"/>
  <c r="D434" i="47"/>
  <c r="B434" i="47"/>
  <c r="F433" i="47"/>
  <c r="D433" i="47"/>
  <c r="B433" i="47"/>
  <c r="F432" i="47"/>
  <c r="D432" i="47"/>
  <c r="B432" i="47"/>
  <c r="F431" i="47"/>
  <c r="D431" i="47"/>
  <c r="B431" i="47"/>
  <c r="F430" i="47"/>
  <c r="D430" i="47"/>
  <c r="B430" i="47"/>
  <c r="F429" i="47"/>
  <c r="D429" i="47"/>
  <c r="B429" i="47"/>
  <c r="F428" i="47"/>
  <c r="D428" i="47"/>
  <c r="B428" i="47"/>
  <c r="F427" i="47"/>
  <c r="D427" i="47"/>
  <c r="B427" i="47"/>
  <c r="F426" i="47"/>
  <c r="D426" i="47"/>
  <c r="B426" i="47"/>
  <c r="F425" i="47"/>
  <c r="D425" i="47"/>
  <c r="B425" i="47"/>
  <c r="F424" i="47"/>
  <c r="D424" i="47"/>
  <c r="B424" i="47"/>
  <c r="F423" i="47"/>
  <c r="D423" i="47"/>
  <c r="B423" i="47"/>
  <c r="F422" i="47"/>
  <c r="D422" i="47"/>
  <c r="B422" i="47"/>
  <c r="F421" i="47"/>
  <c r="D421" i="47"/>
  <c r="B421" i="47"/>
  <c r="F420" i="47"/>
  <c r="D420" i="47"/>
  <c r="B420" i="47"/>
  <c r="F419" i="47"/>
  <c r="D419" i="47"/>
  <c r="B419" i="47"/>
  <c r="F418" i="47"/>
  <c r="D418" i="47"/>
  <c r="B418" i="47"/>
  <c r="F415" i="47"/>
  <c r="D415" i="47"/>
  <c r="B415" i="47"/>
  <c r="F414" i="47"/>
  <c r="D414" i="47"/>
  <c r="B414" i="47"/>
  <c r="F413" i="47"/>
  <c r="D413" i="47"/>
  <c r="B413" i="47"/>
  <c r="F412" i="47"/>
  <c r="D412" i="47"/>
  <c r="B412" i="47"/>
  <c r="F411" i="47"/>
  <c r="D411" i="47"/>
  <c r="B411" i="47"/>
  <c r="F410" i="47"/>
  <c r="D410" i="47"/>
  <c r="B410" i="47"/>
  <c r="F409" i="47"/>
  <c r="D409" i="47"/>
  <c r="B409" i="47"/>
  <c r="F408" i="47"/>
  <c r="D408" i="47"/>
  <c r="B408" i="47"/>
  <c r="F407" i="47"/>
  <c r="D407" i="47"/>
  <c r="B407" i="47"/>
  <c r="F406" i="47"/>
  <c r="D406" i="47"/>
  <c r="B406" i="47"/>
  <c r="F405" i="47"/>
  <c r="D405" i="47"/>
  <c r="B405" i="47"/>
  <c r="F404" i="47"/>
  <c r="D404" i="47"/>
  <c r="B404" i="47"/>
  <c r="F403" i="47"/>
  <c r="D403" i="47"/>
  <c r="B403" i="47"/>
  <c r="F402" i="47"/>
  <c r="D402" i="47"/>
  <c r="B402" i="47"/>
  <c r="F401" i="47"/>
  <c r="D401" i="47"/>
  <c r="B401" i="47"/>
  <c r="F400" i="47"/>
  <c r="D400" i="47"/>
  <c r="B400" i="47"/>
  <c r="F399" i="47"/>
  <c r="D399" i="47"/>
  <c r="B399" i="47"/>
  <c r="F398" i="47"/>
  <c r="D398" i="47"/>
  <c r="B398" i="47"/>
  <c r="F397" i="47"/>
  <c r="D397" i="47"/>
  <c r="B397" i="47"/>
  <c r="F396" i="47"/>
  <c r="D396" i="47"/>
  <c r="B396" i="47"/>
  <c r="F395" i="47"/>
  <c r="D395" i="47"/>
  <c r="B395" i="47"/>
  <c r="F394" i="47"/>
  <c r="D394" i="47"/>
  <c r="B394" i="47"/>
  <c r="F393" i="47"/>
  <c r="D393" i="47"/>
  <c r="B393" i="47"/>
  <c r="F392" i="47"/>
  <c r="D392" i="47"/>
  <c r="B392" i="47"/>
  <c r="F391" i="47"/>
  <c r="D391" i="47"/>
  <c r="B391" i="47"/>
  <c r="F390" i="47"/>
  <c r="D390" i="47"/>
  <c r="B390" i="47"/>
  <c r="F389" i="47"/>
  <c r="D389" i="47"/>
  <c r="B389" i="47"/>
  <c r="F388" i="47"/>
  <c r="D388" i="47"/>
  <c r="B388" i="47"/>
  <c r="F387" i="47"/>
  <c r="D387" i="47"/>
  <c r="B387" i="47"/>
  <c r="F386" i="47"/>
  <c r="D386" i="47"/>
  <c r="B386" i="47"/>
  <c r="F385" i="47"/>
  <c r="D385" i="47"/>
  <c r="B385" i="47"/>
  <c r="F384" i="47"/>
  <c r="D384" i="47"/>
  <c r="B384" i="47"/>
  <c r="F383" i="47"/>
  <c r="D383" i="47"/>
  <c r="B383" i="47"/>
  <c r="F382" i="47"/>
  <c r="D382" i="47"/>
  <c r="B382" i="47"/>
  <c r="F381" i="47"/>
  <c r="D381" i="47"/>
  <c r="B381" i="47"/>
  <c r="F380" i="47"/>
  <c r="D380" i="47"/>
  <c r="B380" i="47"/>
  <c r="F379" i="47"/>
  <c r="D379" i="47"/>
  <c r="B379" i="47"/>
  <c r="F378" i="47"/>
  <c r="D378" i="47"/>
  <c r="B378" i="47"/>
  <c r="F377" i="47"/>
  <c r="D377" i="47"/>
  <c r="B377" i="47"/>
  <c r="F376" i="47"/>
  <c r="D376" i="47"/>
  <c r="B376" i="47"/>
  <c r="F375" i="47"/>
  <c r="D375" i="47"/>
  <c r="B375" i="47"/>
  <c r="F374" i="47"/>
  <c r="D374" i="47"/>
  <c r="B374" i="47"/>
  <c r="F373" i="47"/>
  <c r="D373" i="47"/>
  <c r="B373" i="47"/>
  <c r="F372" i="47"/>
  <c r="D372" i="47"/>
  <c r="B372" i="47"/>
  <c r="F371" i="47"/>
  <c r="D371" i="47"/>
  <c r="B371" i="47"/>
  <c r="F370" i="47"/>
  <c r="D370" i="47"/>
  <c r="B370" i="47"/>
  <c r="F369" i="47"/>
  <c r="D369" i="47"/>
  <c r="B369" i="47"/>
  <c r="F368" i="47"/>
  <c r="D368" i="47"/>
  <c r="B368" i="47"/>
  <c r="F367" i="47"/>
  <c r="D367" i="47"/>
  <c r="B367" i="47"/>
  <c r="F364" i="47"/>
  <c r="D364" i="47"/>
  <c r="B364" i="47"/>
  <c r="F363" i="47"/>
  <c r="D363" i="47"/>
  <c r="B363" i="47"/>
  <c r="F362" i="47"/>
  <c r="D362" i="47"/>
  <c r="B362" i="47"/>
  <c r="F361" i="47"/>
  <c r="D361" i="47"/>
  <c r="B361" i="47"/>
  <c r="F360" i="47"/>
  <c r="D360" i="47"/>
  <c r="B360" i="47"/>
  <c r="F359" i="47"/>
  <c r="D359" i="47"/>
  <c r="B359" i="47"/>
  <c r="F358" i="47"/>
  <c r="D358" i="47"/>
  <c r="B358" i="47"/>
  <c r="F357" i="47"/>
  <c r="D357" i="47"/>
  <c r="B357" i="47"/>
  <c r="F356" i="47"/>
  <c r="D356" i="47"/>
  <c r="B356" i="47"/>
  <c r="F355" i="47"/>
  <c r="D355" i="47"/>
  <c r="B355" i="47"/>
  <c r="F354" i="47"/>
  <c r="D354" i="47"/>
  <c r="B354" i="47"/>
  <c r="F353" i="47"/>
  <c r="D353" i="47"/>
  <c r="B353" i="47"/>
  <c r="F352" i="47"/>
  <c r="D352" i="47"/>
  <c r="B352" i="47"/>
  <c r="F351" i="47"/>
  <c r="D351" i="47"/>
  <c r="B351" i="47"/>
  <c r="F350" i="47"/>
  <c r="D350" i="47"/>
  <c r="B350" i="47"/>
  <c r="F349" i="47"/>
  <c r="D349" i="47"/>
  <c r="B349" i="47"/>
  <c r="F348" i="47"/>
  <c r="D348" i="47"/>
  <c r="B348" i="47"/>
  <c r="F347" i="47"/>
  <c r="D347" i="47"/>
  <c r="B347" i="47"/>
  <c r="F346" i="47"/>
  <c r="D346" i="47"/>
  <c r="B346" i="47"/>
  <c r="F345" i="47"/>
  <c r="D345" i="47"/>
  <c r="B345" i="47"/>
  <c r="F344" i="47"/>
  <c r="D344" i="47"/>
  <c r="B344" i="47"/>
  <c r="F343" i="47"/>
  <c r="D343" i="47"/>
  <c r="B343" i="47"/>
  <c r="F342" i="47"/>
  <c r="D342" i="47"/>
  <c r="B342" i="47"/>
  <c r="F341" i="47"/>
  <c r="D341" i="47"/>
  <c r="B341" i="47"/>
  <c r="F340" i="47"/>
  <c r="D340" i="47"/>
  <c r="B340" i="47"/>
  <c r="F339" i="47"/>
  <c r="D339" i="47"/>
  <c r="B339" i="47"/>
  <c r="F338" i="47"/>
  <c r="D338" i="47"/>
  <c r="B338" i="47"/>
  <c r="F337" i="47"/>
  <c r="D337" i="47"/>
  <c r="B337" i="47"/>
  <c r="F336" i="47"/>
  <c r="D336" i="47"/>
  <c r="B336" i="47"/>
  <c r="F335" i="47"/>
  <c r="D335" i="47"/>
  <c r="B335" i="47"/>
  <c r="F334" i="47"/>
  <c r="D334" i="47"/>
  <c r="B334" i="47"/>
  <c r="F333" i="47"/>
  <c r="D333" i="47"/>
  <c r="B333" i="47"/>
  <c r="F332" i="47"/>
  <c r="D332" i="47"/>
  <c r="B332" i="47"/>
  <c r="F331" i="47"/>
  <c r="D331" i="47"/>
  <c r="B331" i="47"/>
  <c r="F330" i="47"/>
  <c r="D330" i="47"/>
  <c r="B330" i="47"/>
  <c r="F329" i="47"/>
  <c r="D329" i="47"/>
  <c r="B329" i="47"/>
  <c r="F328" i="47"/>
  <c r="D328" i="47"/>
  <c r="B328" i="47"/>
  <c r="F327" i="47"/>
  <c r="D327" i="47"/>
  <c r="B327" i="47"/>
  <c r="F326" i="47"/>
  <c r="D326" i="47"/>
  <c r="B326" i="47"/>
  <c r="F325" i="47"/>
  <c r="D325" i="47"/>
  <c r="B325" i="47"/>
  <c r="F324" i="47"/>
  <c r="D324" i="47"/>
  <c r="B324" i="47"/>
  <c r="F323" i="47"/>
  <c r="D323" i="47"/>
  <c r="B323" i="47"/>
  <c r="F322" i="47"/>
  <c r="D322" i="47"/>
  <c r="B322" i="47"/>
  <c r="F321" i="47"/>
  <c r="D321" i="47"/>
  <c r="B321" i="47"/>
  <c r="F320" i="47"/>
  <c r="D320" i="47"/>
  <c r="B320" i="47"/>
  <c r="F319" i="47"/>
  <c r="D319" i="47"/>
  <c r="B319" i="47"/>
  <c r="F318" i="47"/>
  <c r="D318" i="47"/>
  <c r="B318" i="47"/>
  <c r="F317" i="47"/>
  <c r="D317" i="47"/>
  <c r="B317" i="47"/>
  <c r="F316" i="47"/>
  <c r="D316" i="47"/>
  <c r="B316" i="47"/>
  <c r="F313" i="47"/>
  <c r="D313" i="47"/>
  <c r="B313" i="47"/>
  <c r="F312" i="47"/>
  <c r="D312" i="47"/>
  <c r="B312" i="47"/>
  <c r="F311" i="47"/>
  <c r="D311" i="47"/>
  <c r="B311" i="47"/>
  <c r="F310" i="47"/>
  <c r="D310" i="47"/>
  <c r="B310" i="47"/>
  <c r="F309" i="47"/>
  <c r="D309" i="47"/>
  <c r="B309" i="47"/>
  <c r="F308" i="47"/>
  <c r="D308" i="47"/>
  <c r="B308" i="47"/>
  <c r="F307" i="47"/>
  <c r="D307" i="47"/>
  <c r="B307" i="47"/>
  <c r="F306" i="47"/>
  <c r="D306" i="47"/>
  <c r="B306" i="47"/>
  <c r="F305" i="47"/>
  <c r="D305" i="47"/>
  <c r="B305" i="47"/>
  <c r="F304" i="47"/>
  <c r="D304" i="47"/>
  <c r="B304" i="47"/>
  <c r="F303" i="47"/>
  <c r="D303" i="47"/>
  <c r="B303" i="47"/>
  <c r="F302" i="47"/>
  <c r="D302" i="47"/>
  <c r="B302" i="47"/>
  <c r="F301" i="47"/>
  <c r="D301" i="47"/>
  <c r="B301" i="47"/>
  <c r="F300" i="47"/>
  <c r="D300" i="47"/>
  <c r="B300" i="47"/>
  <c r="F299" i="47"/>
  <c r="D299" i="47"/>
  <c r="B299" i="47"/>
  <c r="F298" i="47"/>
  <c r="D298" i="47"/>
  <c r="B298" i="47"/>
  <c r="F297" i="47"/>
  <c r="D297" i="47"/>
  <c r="B297" i="47"/>
  <c r="F296" i="47"/>
  <c r="D296" i="47"/>
  <c r="B296" i="47"/>
  <c r="F295" i="47"/>
  <c r="D295" i="47"/>
  <c r="B295" i="47"/>
  <c r="F294" i="47"/>
  <c r="D294" i="47"/>
  <c r="B294" i="47"/>
  <c r="F293" i="47"/>
  <c r="D293" i="47"/>
  <c r="B293" i="47"/>
  <c r="F292" i="47"/>
  <c r="D292" i="47"/>
  <c r="B292" i="47"/>
  <c r="F291" i="47"/>
  <c r="D291" i="47"/>
  <c r="B291" i="47"/>
  <c r="F290" i="47"/>
  <c r="D290" i="47"/>
  <c r="B290" i="47"/>
  <c r="F289" i="47"/>
  <c r="D289" i="47"/>
  <c r="B289" i="47"/>
  <c r="F288" i="47"/>
  <c r="D288" i="47"/>
  <c r="B288" i="47"/>
  <c r="F287" i="47"/>
  <c r="D287" i="47"/>
  <c r="B287" i="47"/>
  <c r="F286" i="47"/>
  <c r="D286" i="47"/>
  <c r="B286" i="47"/>
  <c r="F285" i="47"/>
  <c r="D285" i="47"/>
  <c r="B285" i="47"/>
  <c r="F284" i="47"/>
  <c r="D284" i="47"/>
  <c r="B284" i="47"/>
  <c r="F283" i="47"/>
  <c r="D283" i="47"/>
  <c r="B283" i="47"/>
  <c r="F282" i="47"/>
  <c r="D282" i="47"/>
  <c r="B282" i="47"/>
  <c r="F281" i="47"/>
  <c r="D281" i="47"/>
  <c r="B281" i="47"/>
  <c r="F280" i="47"/>
  <c r="D280" i="47"/>
  <c r="B280" i="47"/>
  <c r="F279" i="47"/>
  <c r="D279" i="47"/>
  <c r="B279" i="47"/>
  <c r="F278" i="47"/>
  <c r="D278" i="47"/>
  <c r="B278" i="47"/>
  <c r="F277" i="47"/>
  <c r="D277" i="47"/>
  <c r="B277" i="47"/>
  <c r="F276" i="47"/>
  <c r="D276" i="47"/>
  <c r="B276" i="47"/>
  <c r="F275" i="47"/>
  <c r="D275" i="47"/>
  <c r="B275" i="47"/>
  <c r="F274" i="47"/>
  <c r="D274" i="47"/>
  <c r="B274" i="47"/>
  <c r="F273" i="47"/>
  <c r="D273" i="47"/>
  <c r="B273" i="47"/>
  <c r="F272" i="47"/>
  <c r="D272" i="47"/>
  <c r="B272" i="47"/>
  <c r="F271" i="47"/>
  <c r="D271" i="47"/>
  <c r="B271" i="47"/>
  <c r="F270" i="47"/>
  <c r="D270" i="47"/>
  <c r="B270" i="47"/>
  <c r="F269" i="47"/>
  <c r="D269" i="47"/>
  <c r="B269" i="47"/>
  <c r="F268" i="47"/>
  <c r="D268" i="47"/>
  <c r="B268" i="47"/>
  <c r="F267" i="47"/>
  <c r="D267" i="47"/>
  <c r="B267" i="47"/>
  <c r="F266" i="47"/>
  <c r="D266" i="47"/>
  <c r="B266" i="47"/>
  <c r="F265" i="47"/>
  <c r="D265" i="47"/>
  <c r="B265" i="47"/>
  <c r="F262" i="47"/>
  <c r="D262" i="47"/>
  <c r="B262" i="47"/>
  <c r="F261" i="47"/>
  <c r="D261" i="47"/>
  <c r="B261" i="47"/>
  <c r="F260" i="47"/>
  <c r="D260" i="47"/>
  <c r="B260" i="47"/>
  <c r="F259" i="47"/>
  <c r="D259" i="47"/>
  <c r="B259" i="47"/>
  <c r="F258" i="47"/>
  <c r="D258" i="47"/>
  <c r="B258" i="47"/>
  <c r="F257" i="47"/>
  <c r="D257" i="47"/>
  <c r="B257" i="47"/>
  <c r="F256" i="47"/>
  <c r="D256" i="47"/>
  <c r="B256" i="47"/>
  <c r="F255" i="47"/>
  <c r="D255" i="47"/>
  <c r="B255" i="47"/>
  <c r="F254" i="47"/>
  <c r="D254" i="47"/>
  <c r="B254" i="47"/>
  <c r="F253" i="47"/>
  <c r="D253" i="47"/>
  <c r="B253" i="47"/>
  <c r="F252" i="47"/>
  <c r="D252" i="47"/>
  <c r="B252" i="47"/>
  <c r="F251" i="47"/>
  <c r="D251" i="47"/>
  <c r="B251" i="47"/>
  <c r="F250" i="47"/>
  <c r="D250" i="47"/>
  <c r="B250" i="47"/>
  <c r="F249" i="47"/>
  <c r="D249" i="47"/>
  <c r="B249" i="47"/>
  <c r="F248" i="47"/>
  <c r="D248" i="47"/>
  <c r="B248" i="47"/>
  <c r="F247" i="47"/>
  <c r="D247" i="47"/>
  <c r="B247" i="47"/>
  <c r="F246" i="47"/>
  <c r="D246" i="47"/>
  <c r="B246" i="47"/>
  <c r="F245" i="47"/>
  <c r="D245" i="47"/>
  <c r="B245" i="47"/>
  <c r="F244" i="47"/>
  <c r="D244" i="47"/>
  <c r="B244" i="47"/>
  <c r="F243" i="47"/>
  <c r="D243" i="47"/>
  <c r="B243" i="47"/>
  <c r="F242" i="47"/>
  <c r="D242" i="47"/>
  <c r="B242" i="47"/>
  <c r="F241" i="47"/>
  <c r="D241" i="47"/>
  <c r="B241" i="47"/>
  <c r="F240" i="47"/>
  <c r="D240" i="47"/>
  <c r="B240" i="47"/>
  <c r="F239" i="47"/>
  <c r="D239" i="47"/>
  <c r="B239" i="47"/>
  <c r="F238" i="47"/>
  <c r="D238" i="47"/>
  <c r="B238" i="47"/>
  <c r="F237" i="47"/>
  <c r="D237" i="47"/>
  <c r="B237" i="47"/>
  <c r="F236" i="47"/>
  <c r="D236" i="47"/>
  <c r="B236" i="47"/>
  <c r="F235" i="47"/>
  <c r="D235" i="47"/>
  <c r="B235" i="47"/>
  <c r="F234" i="47"/>
  <c r="D234" i="47"/>
  <c r="B234" i="47"/>
  <c r="F233" i="47"/>
  <c r="D233" i="47"/>
  <c r="B233" i="47"/>
  <c r="F232" i="47"/>
  <c r="D232" i="47"/>
  <c r="B232" i="47"/>
  <c r="F231" i="47"/>
  <c r="D231" i="47"/>
  <c r="B231" i="47"/>
  <c r="F230" i="47"/>
  <c r="D230" i="47"/>
  <c r="B230" i="47"/>
  <c r="F229" i="47"/>
  <c r="D229" i="47"/>
  <c r="B229" i="47"/>
  <c r="F228" i="47"/>
  <c r="D228" i="47"/>
  <c r="B228" i="47"/>
  <c r="F227" i="47"/>
  <c r="D227" i="47"/>
  <c r="B227" i="47"/>
  <c r="F226" i="47"/>
  <c r="D226" i="47"/>
  <c r="B226" i="47"/>
  <c r="F225" i="47"/>
  <c r="D225" i="47"/>
  <c r="B225" i="47"/>
  <c r="F224" i="47"/>
  <c r="D224" i="47"/>
  <c r="B224" i="47"/>
  <c r="F223" i="47"/>
  <c r="D223" i="47"/>
  <c r="B223" i="47"/>
  <c r="F222" i="47"/>
  <c r="D222" i="47"/>
  <c r="B222" i="47"/>
  <c r="F221" i="47"/>
  <c r="D221" i="47"/>
  <c r="B221" i="47"/>
  <c r="F220" i="47"/>
  <c r="D220" i="47"/>
  <c r="B220" i="47"/>
  <c r="F219" i="47"/>
  <c r="D219" i="47"/>
  <c r="B219" i="47"/>
  <c r="F218" i="47"/>
  <c r="D218" i="47"/>
  <c r="B218" i="47"/>
  <c r="F217" i="47"/>
  <c r="D217" i="47"/>
  <c r="B217" i="47"/>
  <c r="F216" i="47"/>
  <c r="D216" i="47"/>
  <c r="B216" i="47"/>
  <c r="F215" i="47"/>
  <c r="D215" i="47"/>
  <c r="B215" i="47"/>
  <c r="F214" i="47"/>
  <c r="D214" i="47"/>
  <c r="B214" i="47"/>
  <c r="F211" i="47"/>
  <c r="D211" i="47"/>
  <c r="B211" i="47"/>
  <c r="F210" i="47"/>
  <c r="D210" i="47"/>
  <c r="B210" i="47"/>
  <c r="F209" i="47"/>
  <c r="D209" i="47"/>
  <c r="B209" i="47"/>
  <c r="F208" i="47"/>
  <c r="D208" i="47"/>
  <c r="B208" i="47"/>
  <c r="F207" i="47"/>
  <c r="D207" i="47"/>
  <c r="B207" i="47"/>
  <c r="F206" i="47"/>
  <c r="D206" i="47"/>
  <c r="B206" i="47"/>
  <c r="F205" i="47"/>
  <c r="D205" i="47"/>
  <c r="B205" i="47"/>
  <c r="F204" i="47"/>
  <c r="D204" i="47"/>
  <c r="B204" i="47"/>
  <c r="F203" i="47"/>
  <c r="D203" i="47"/>
  <c r="B203" i="47"/>
  <c r="F202" i="47"/>
  <c r="D202" i="47"/>
  <c r="B202" i="47"/>
  <c r="F201" i="47"/>
  <c r="D201" i="47"/>
  <c r="B201" i="47"/>
  <c r="F200" i="47"/>
  <c r="D200" i="47"/>
  <c r="B200" i="47"/>
  <c r="F199" i="47"/>
  <c r="D199" i="47"/>
  <c r="B199" i="47"/>
  <c r="F198" i="47"/>
  <c r="D198" i="47"/>
  <c r="B198" i="47"/>
  <c r="F197" i="47"/>
  <c r="D197" i="47"/>
  <c r="B197" i="47"/>
  <c r="F196" i="47"/>
  <c r="D196" i="47"/>
  <c r="B196" i="47"/>
  <c r="F195" i="47"/>
  <c r="D195" i="47"/>
  <c r="B195" i="47"/>
  <c r="F194" i="47"/>
  <c r="D194" i="47"/>
  <c r="B194" i="47"/>
  <c r="F193" i="47"/>
  <c r="D193" i="47"/>
  <c r="B193" i="47"/>
  <c r="F192" i="47"/>
  <c r="D192" i="47"/>
  <c r="B192" i="47"/>
  <c r="F191" i="47"/>
  <c r="D191" i="47"/>
  <c r="B191" i="47"/>
  <c r="F190" i="47"/>
  <c r="D190" i="47"/>
  <c r="B190" i="47"/>
  <c r="F189" i="47"/>
  <c r="D189" i="47"/>
  <c r="B189" i="47"/>
  <c r="F188" i="47"/>
  <c r="D188" i="47"/>
  <c r="B188" i="47"/>
  <c r="F187" i="47"/>
  <c r="D187" i="47"/>
  <c r="B187" i="47"/>
  <c r="F186" i="47"/>
  <c r="D186" i="47"/>
  <c r="B186" i="47"/>
  <c r="F185" i="47"/>
  <c r="D185" i="47"/>
  <c r="B185" i="47"/>
  <c r="F184" i="47"/>
  <c r="D184" i="47"/>
  <c r="B184" i="47"/>
  <c r="F183" i="47"/>
  <c r="D183" i="47"/>
  <c r="B183" i="47"/>
  <c r="F182" i="47"/>
  <c r="D182" i="47"/>
  <c r="B182" i="47"/>
  <c r="F181" i="47"/>
  <c r="D181" i="47"/>
  <c r="B181" i="47"/>
  <c r="F180" i="47"/>
  <c r="D180" i="47"/>
  <c r="B180" i="47"/>
  <c r="F179" i="47"/>
  <c r="D179" i="47"/>
  <c r="B179" i="47"/>
  <c r="F178" i="47"/>
  <c r="D178" i="47"/>
  <c r="B178" i="47"/>
  <c r="F177" i="47"/>
  <c r="D177" i="47"/>
  <c r="B177" i="47"/>
  <c r="F176" i="47"/>
  <c r="D176" i="47"/>
  <c r="B176" i="47"/>
  <c r="F175" i="47"/>
  <c r="D175" i="47"/>
  <c r="B175" i="47"/>
  <c r="F174" i="47"/>
  <c r="D174" i="47"/>
  <c r="B174" i="47"/>
  <c r="F173" i="47"/>
  <c r="D173" i="47"/>
  <c r="B173" i="47"/>
  <c r="F172" i="47"/>
  <c r="D172" i="47"/>
  <c r="B172" i="47"/>
  <c r="F171" i="47"/>
  <c r="D171" i="47"/>
  <c r="B171" i="47"/>
  <c r="F170" i="47"/>
  <c r="D170" i="47"/>
  <c r="B170" i="47"/>
  <c r="F169" i="47"/>
  <c r="D169" i="47"/>
  <c r="B169" i="47"/>
  <c r="F168" i="47"/>
  <c r="D168" i="47"/>
  <c r="B168" i="47"/>
  <c r="F167" i="47"/>
  <c r="D167" i="47"/>
  <c r="B167" i="47"/>
  <c r="F166" i="47"/>
  <c r="D166" i="47"/>
  <c r="B166" i="47"/>
  <c r="F165" i="47"/>
  <c r="D165" i="47"/>
  <c r="B165" i="47"/>
  <c r="F164" i="47"/>
  <c r="D164" i="47"/>
  <c r="B164" i="47"/>
  <c r="F163" i="47"/>
  <c r="D163" i="47"/>
  <c r="B163" i="47"/>
  <c r="F160" i="47"/>
  <c r="D160" i="47"/>
  <c r="B160" i="47"/>
  <c r="F159" i="47"/>
  <c r="D159" i="47"/>
  <c r="B159" i="47"/>
  <c r="F158" i="47"/>
  <c r="D158" i="47"/>
  <c r="B158" i="47"/>
  <c r="F157" i="47"/>
  <c r="D157" i="47"/>
  <c r="B157" i="47"/>
  <c r="F156" i="47"/>
  <c r="D156" i="47"/>
  <c r="B156" i="47"/>
  <c r="F155" i="47"/>
  <c r="D155" i="47"/>
  <c r="B155" i="47"/>
  <c r="F154" i="47"/>
  <c r="D154" i="47"/>
  <c r="B154" i="47"/>
  <c r="F153" i="47"/>
  <c r="D153" i="47"/>
  <c r="B153" i="47"/>
  <c r="F152" i="47"/>
  <c r="D152" i="47"/>
  <c r="B152" i="47"/>
  <c r="F151" i="47"/>
  <c r="D151" i="47"/>
  <c r="B151" i="47"/>
  <c r="F150" i="47"/>
  <c r="D150" i="47"/>
  <c r="B150" i="47"/>
  <c r="F149" i="47"/>
  <c r="D149" i="47"/>
  <c r="B149" i="47"/>
  <c r="F148" i="47"/>
  <c r="D148" i="47"/>
  <c r="B148" i="47"/>
  <c r="F147" i="47"/>
  <c r="D147" i="47"/>
  <c r="B147" i="47"/>
  <c r="F146" i="47"/>
  <c r="D146" i="47"/>
  <c r="B146" i="47"/>
  <c r="F145" i="47"/>
  <c r="D145" i="47"/>
  <c r="B145" i="47"/>
  <c r="F144" i="47"/>
  <c r="D144" i="47"/>
  <c r="B144" i="47"/>
  <c r="F143" i="47"/>
  <c r="D143" i="47"/>
  <c r="B143" i="47"/>
  <c r="F142" i="47"/>
  <c r="D142" i="47"/>
  <c r="B142" i="47"/>
  <c r="F141" i="47"/>
  <c r="D141" i="47"/>
  <c r="B141" i="47"/>
  <c r="F140" i="47"/>
  <c r="D140" i="47"/>
  <c r="B140" i="47"/>
  <c r="F139" i="47"/>
  <c r="D139" i="47"/>
  <c r="B139" i="47"/>
  <c r="F138" i="47"/>
  <c r="D138" i="47"/>
  <c r="B138" i="47"/>
  <c r="F137" i="47"/>
  <c r="D137" i="47"/>
  <c r="B137" i="47"/>
  <c r="F136" i="47"/>
  <c r="D136" i="47"/>
  <c r="B136" i="47"/>
  <c r="F135" i="47"/>
  <c r="D135" i="47"/>
  <c r="B135" i="47"/>
  <c r="F134" i="47"/>
  <c r="D134" i="47"/>
  <c r="B134" i="47"/>
  <c r="F133" i="47"/>
  <c r="D133" i="47"/>
  <c r="B133" i="47"/>
  <c r="F132" i="47"/>
  <c r="D132" i="47"/>
  <c r="B132" i="47"/>
  <c r="F131" i="47"/>
  <c r="D131" i="47"/>
  <c r="B131" i="47"/>
  <c r="F130" i="47"/>
  <c r="D130" i="47"/>
  <c r="B130" i="47"/>
  <c r="F129" i="47"/>
  <c r="D129" i="47"/>
  <c r="B129" i="47"/>
  <c r="F128" i="47"/>
  <c r="D128" i="47"/>
  <c r="B128" i="47"/>
  <c r="F127" i="47"/>
  <c r="D127" i="47"/>
  <c r="B127" i="47"/>
  <c r="F126" i="47"/>
  <c r="D126" i="47"/>
  <c r="B126" i="47"/>
  <c r="F125" i="47"/>
  <c r="D125" i="47"/>
  <c r="B125" i="47"/>
  <c r="F124" i="47"/>
  <c r="D124" i="47"/>
  <c r="B124" i="47"/>
  <c r="F123" i="47"/>
  <c r="D123" i="47"/>
  <c r="B123" i="47"/>
  <c r="F122" i="47"/>
  <c r="D122" i="47"/>
  <c r="B122" i="47"/>
  <c r="F121" i="47"/>
  <c r="D121" i="47"/>
  <c r="B121" i="47"/>
  <c r="F120" i="47"/>
  <c r="D120" i="47"/>
  <c r="B120" i="47"/>
  <c r="F119" i="47"/>
  <c r="D119" i="47"/>
  <c r="B119" i="47"/>
  <c r="F118" i="47"/>
  <c r="D118" i="47"/>
  <c r="B118" i="47"/>
  <c r="F117" i="47"/>
  <c r="D117" i="47"/>
  <c r="B117" i="47"/>
  <c r="F116" i="47"/>
  <c r="D116" i="47"/>
  <c r="B116" i="47"/>
  <c r="F115" i="47"/>
  <c r="D115" i="47"/>
  <c r="B115" i="47"/>
  <c r="F114" i="47"/>
  <c r="D114" i="47"/>
  <c r="B114" i="47"/>
  <c r="F113" i="47"/>
  <c r="D113" i="47"/>
  <c r="B113" i="47"/>
  <c r="F112" i="47"/>
  <c r="D112" i="47"/>
  <c r="B112" i="47"/>
  <c r="F109" i="47"/>
  <c r="D109" i="47"/>
  <c r="B109" i="47"/>
  <c r="F108" i="47"/>
  <c r="D108" i="47"/>
  <c r="B108" i="47"/>
  <c r="F107" i="47"/>
  <c r="D107" i="47"/>
  <c r="B107" i="47"/>
  <c r="F106" i="47"/>
  <c r="D106" i="47"/>
  <c r="B106" i="47"/>
  <c r="F105" i="47"/>
  <c r="D105" i="47"/>
  <c r="B105" i="47"/>
  <c r="F104" i="47"/>
  <c r="D104" i="47"/>
  <c r="B104" i="47"/>
  <c r="F103" i="47"/>
  <c r="D103" i="47"/>
  <c r="B103" i="47"/>
  <c r="F102" i="47"/>
  <c r="D102" i="47"/>
  <c r="B102" i="47"/>
  <c r="F101" i="47"/>
  <c r="D101" i="47"/>
  <c r="B101" i="47"/>
  <c r="F100" i="47"/>
  <c r="D100" i="47"/>
  <c r="B100" i="47"/>
  <c r="F99" i="47"/>
  <c r="D99" i="47"/>
  <c r="B99" i="47"/>
  <c r="F98" i="47"/>
  <c r="D98" i="47"/>
  <c r="B98" i="47"/>
  <c r="F97" i="47"/>
  <c r="D97" i="47"/>
  <c r="B97" i="47"/>
  <c r="F96" i="47"/>
  <c r="D96" i="47"/>
  <c r="B96" i="47"/>
  <c r="F95" i="47"/>
  <c r="D95" i="47"/>
  <c r="B95" i="47"/>
  <c r="F94" i="47"/>
  <c r="D94" i="47"/>
  <c r="B94" i="47"/>
  <c r="F93" i="47"/>
  <c r="D93" i="47"/>
  <c r="B93" i="47"/>
  <c r="F92" i="47"/>
  <c r="D92" i="47"/>
  <c r="B92" i="47"/>
  <c r="F91" i="47"/>
  <c r="D91" i="47"/>
  <c r="B91" i="47"/>
  <c r="F90" i="47"/>
  <c r="D90" i="47"/>
  <c r="B90" i="47"/>
  <c r="F89" i="47"/>
  <c r="D89" i="47"/>
  <c r="B89" i="47"/>
  <c r="F88" i="47"/>
  <c r="D88" i="47"/>
  <c r="B88" i="47"/>
  <c r="F87" i="47"/>
  <c r="D87" i="47"/>
  <c r="B87" i="47"/>
  <c r="F86" i="47"/>
  <c r="D86" i="47"/>
  <c r="B86" i="47"/>
  <c r="F85" i="47"/>
  <c r="D85" i="47"/>
  <c r="B85" i="47"/>
  <c r="F84" i="47"/>
  <c r="D84" i="47"/>
  <c r="B84" i="47"/>
  <c r="F83" i="47"/>
  <c r="D83" i="47"/>
  <c r="B83" i="47"/>
  <c r="F82" i="47"/>
  <c r="D82" i="47"/>
  <c r="B82" i="47"/>
  <c r="F81" i="47"/>
  <c r="D81" i="47"/>
  <c r="B81" i="47"/>
  <c r="F80" i="47"/>
  <c r="D80" i="47"/>
  <c r="B80" i="47"/>
  <c r="F79" i="47"/>
  <c r="D79" i="47"/>
  <c r="B79" i="47"/>
  <c r="F78" i="47"/>
  <c r="D78" i="47"/>
  <c r="B78" i="47"/>
  <c r="F77" i="47"/>
  <c r="D77" i="47"/>
  <c r="B77" i="47"/>
  <c r="F76" i="47"/>
  <c r="D76" i="47"/>
  <c r="B76" i="47"/>
  <c r="F75" i="47"/>
  <c r="D75" i="47"/>
  <c r="B75" i="47"/>
  <c r="F74" i="47"/>
  <c r="D74" i="47"/>
  <c r="B74" i="47"/>
  <c r="F73" i="47"/>
  <c r="D73" i="47"/>
  <c r="B73" i="47"/>
  <c r="F72" i="47"/>
  <c r="D72" i="47"/>
  <c r="B72" i="47"/>
  <c r="F71" i="47"/>
  <c r="D71" i="47"/>
  <c r="B71" i="47"/>
  <c r="F70" i="47"/>
  <c r="D70" i="47"/>
  <c r="B70" i="47"/>
  <c r="F69" i="47"/>
  <c r="D69" i="47"/>
  <c r="B69" i="47"/>
  <c r="F68" i="47"/>
  <c r="D68" i="47"/>
  <c r="B68" i="47"/>
  <c r="F67" i="47"/>
  <c r="D67" i="47"/>
  <c r="B67" i="47"/>
  <c r="F66" i="47"/>
  <c r="D66" i="47"/>
  <c r="B66" i="47"/>
  <c r="F65" i="47"/>
  <c r="D65" i="47"/>
  <c r="B65" i="47"/>
  <c r="F64" i="47"/>
  <c r="D64" i="47"/>
  <c r="B64" i="47"/>
  <c r="F63" i="47"/>
  <c r="D63" i="47"/>
  <c r="B63" i="47"/>
  <c r="F62" i="47"/>
  <c r="D62" i="47"/>
  <c r="B62" i="47"/>
  <c r="F61" i="47"/>
  <c r="D61" i="47"/>
  <c r="B61" i="47"/>
  <c r="F58" i="47"/>
  <c r="D58" i="47"/>
  <c r="B58" i="47"/>
  <c r="F57" i="47"/>
  <c r="D57" i="47"/>
  <c r="B57" i="47"/>
  <c r="F56" i="47"/>
  <c r="D56" i="47"/>
  <c r="B56" i="47"/>
  <c r="F55" i="47"/>
  <c r="D55" i="47"/>
  <c r="B55" i="47"/>
  <c r="F54" i="47"/>
  <c r="D54" i="47"/>
  <c r="B54" i="47"/>
  <c r="F53" i="47"/>
  <c r="D53" i="47"/>
  <c r="B53" i="47"/>
  <c r="F52" i="47"/>
  <c r="D52" i="47"/>
  <c r="B52" i="47"/>
  <c r="F51" i="47"/>
  <c r="D51" i="47"/>
  <c r="B51" i="47"/>
  <c r="F50" i="47"/>
  <c r="D50" i="47"/>
  <c r="B50" i="47"/>
  <c r="F49" i="47"/>
  <c r="D49" i="47"/>
  <c r="B49" i="47"/>
  <c r="F48" i="47"/>
  <c r="D48" i="47"/>
  <c r="B48" i="47"/>
  <c r="F47" i="47"/>
  <c r="D47" i="47"/>
  <c r="B47" i="47"/>
  <c r="F46" i="47"/>
  <c r="D46" i="47"/>
  <c r="B46" i="47"/>
  <c r="F45" i="47"/>
  <c r="D45" i="47"/>
  <c r="B45" i="47"/>
  <c r="F44" i="47"/>
  <c r="D44" i="47"/>
  <c r="B44" i="47"/>
  <c r="F43" i="47"/>
  <c r="D43" i="47"/>
  <c r="B43" i="47"/>
  <c r="F42" i="47"/>
  <c r="D42" i="47"/>
  <c r="B42" i="47"/>
  <c r="F41" i="47"/>
  <c r="D41" i="47"/>
  <c r="B41" i="47"/>
  <c r="F40" i="47"/>
  <c r="D40" i="47"/>
  <c r="B40" i="47"/>
  <c r="F39" i="47"/>
  <c r="D39" i="47"/>
  <c r="B39" i="47"/>
  <c r="F38" i="47"/>
  <c r="D38" i="47"/>
  <c r="B38" i="47"/>
  <c r="F37" i="47"/>
  <c r="D37" i="47"/>
  <c r="B37" i="47"/>
  <c r="F36" i="47"/>
  <c r="D36" i="47"/>
  <c r="B36" i="47"/>
  <c r="F35" i="47"/>
  <c r="D35" i="47"/>
  <c r="B35" i="47"/>
  <c r="F34" i="47"/>
  <c r="D34" i="47"/>
  <c r="B34" i="47"/>
  <c r="F33" i="47"/>
  <c r="D33" i="47"/>
  <c r="B33" i="47"/>
  <c r="F32" i="47"/>
  <c r="D32" i="47"/>
  <c r="B32" i="47"/>
  <c r="F31" i="47"/>
  <c r="D31" i="47"/>
  <c r="B31" i="47"/>
  <c r="F30" i="47"/>
  <c r="D30" i="47"/>
  <c r="B30" i="47"/>
  <c r="F29" i="47"/>
  <c r="D29" i="47"/>
  <c r="B29" i="47"/>
  <c r="F28" i="47"/>
  <c r="D28" i="47"/>
  <c r="B28" i="47"/>
  <c r="F27" i="47"/>
  <c r="D27" i="47"/>
  <c r="B27" i="47"/>
  <c r="F26" i="47"/>
  <c r="D26" i="47"/>
  <c r="B26" i="47"/>
  <c r="F25" i="47"/>
  <c r="D25" i="47"/>
  <c r="B25" i="47"/>
  <c r="F24" i="47"/>
  <c r="D24" i="47"/>
  <c r="B24" i="47"/>
  <c r="F23" i="47"/>
  <c r="D23" i="47"/>
  <c r="B23" i="47"/>
  <c r="F22" i="47"/>
  <c r="D22" i="47"/>
  <c r="B22" i="47"/>
  <c r="F21" i="47"/>
  <c r="D21" i="47"/>
  <c r="B21" i="47"/>
  <c r="F20" i="47"/>
  <c r="D20" i="47"/>
  <c r="B20" i="47"/>
  <c r="F19" i="47"/>
  <c r="D19" i="47"/>
  <c r="B19" i="47"/>
  <c r="F18" i="47"/>
  <c r="D18" i="47"/>
  <c r="B18" i="47"/>
  <c r="F17" i="47"/>
  <c r="D17" i="47"/>
  <c r="B17" i="47"/>
  <c r="F16" i="47"/>
  <c r="D16" i="47"/>
  <c r="B16" i="47"/>
  <c r="F15" i="47"/>
  <c r="D15" i="47"/>
  <c r="B15" i="47"/>
  <c r="F14" i="47"/>
  <c r="D14" i="47"/>
  <c r="B14" i="47"/>
  <c r="F13" i="47"/>
  <c r="D13" i="47"/>
  <c r="B13" i="47"/>
  <c r="F12" i="47"/>
  <c r="D12" i="47"/>
  <c r="B12" i="47"/>
  <c r="F11" i="47"/>
  <c r="D11" i="47"/>
  <c r="B11" i="47"/>
  <c r="F10" i="47"/>
  <c r="D10" i="47"/>
  <c r="B10" i="47"/>
  <c r="F466" i="107"/>
  <c r="D466" i="107"/>
  <c r="B466" i="107"/>
  <c r="F465" i="107"/>
  <c r="D465" i="107"/>
  <c r="B465" i="107"/>
  <c r="F464" i="107"/>
  <c r="D464" i="107"/>
  <c r="B464" i="107"/>
  <c r="F463" i="107"/>
  <c r="D463" i="107"/>
  <c r="B463" i="107"/>
  <c r="F462" i="107"/>
  <c r="D462" i="107"/>
  <c r="B462" i="107"/>
  <c r="F461" i="107"/>
  <c r="D461" i="107"/>
  <c r="B461" i="107"/>
  <c r="F460" i="107"/>
  <c r="D460" i="107"/>
  <c r="B460" i="107"/>
  <c r="F459" i="107"/>
  <c r="D459" i="107"/>
  <c r="B459" i="107"/>
  <c r="F458" i="107"/>
  <c r="D458" i="107"/>
  <c r="B458" i="107"/>
  <c r="F457" i="107"/>
  <c r="D457" i="107"/>
  <c r="B457" i="107"/>
  <c r="F456" i="107"/>
  <c r="D456" i="107"/>
  <c r="B456" i="107"/>
  <c r="F455" i="107"/>
  <c r="D455" i="107"/>
  <c r="B455" i="107"/>
  <c r="F454" i="107"/>
  <c r="D454" i="107"/>
  <c r="B454" i="107"/>
  <c r="F453" i="107"/>
  <c r="D453" i="107"/>
  <c r="B453" i="107"/>
  <c r="F452" i="107"/>
  <c r="D452" i="107"/>
  <c r="B452" i="107"/>
  <c r="F451" i="107"/>
  <c r="D451" i="107"/>
  <c r="B451" i="107"/>
  <c r="F450" i="107"/>
  <c r="D450" i="107"/>
  <c r="B450" i="107"/>
  <c r="F449" i="107"/>
  <c r="D449" i="107"/>
  <c r="B449" i="107"/>
  <c r="F448" i="107"/>
  <c r="D448" i="107"/>
  <c r="B448" i="107"/>
  <c r="F447" i="107"/>
  <c r="D447" i="107"/>
  <c r="B447" i="107"/>
  <c r="F446" i="107"/>
  <c r="D446" i="107"/>
  <c r="B446" i="107"/>
  <c r="F445" i="107"/>
  <c r="D445" i="107"/>
  <c r="B445" i="107"/>
  <c r="F444" i="107"/>
  <c r="D444" i="107"/>
  <c r="B444" i="107"/>
  <c r="F443" i="107"/>
  <c r="D443" i="107"/>
  <c r="B443" i="107"/>
  <c r="F442" i="107"/>
  <c r="D442" i="107"/>
  <c r="B442" i="107"/>
  <c r="F441" i="107"/>
  <c r="D441" i="107"/>
  <c r="B441" i="107"/>
  <c r="F440" i="107"/>
  <c r="D440" i="107"/>
  <c r="B440" i="107"/>
  <c r="F439" i="107"/>
  <c r="D439" i="107"/>
  <c r="B439" i="107"/>
  <c r="F438" i="107"/>
  <c r="D438" i="107"/>
  <c r="B438" i="107"/>
  <c r="F437" i="107"/>
  <c r="D437" i="107"/>
  <c r="B437" i="107"/>
  <c r="F436" i="107"/>
  <c r="D436" i="107"/>
  <c r="B436" i="107"/>
  <c r="F435" i="107"/>
  <c r="D435" i="107"/>
  <c r="B435" i="107"/>
  <c r="F434" i="107"/>
  <c r="D434" i="107"/>
  <c r="B434" i="107"/>
  <c r="F433" i="107"/>
  <c r="D433" i="107"/>
  <c r="B433" i="107"/>
  <c r="F432" i="107"/>
  <c r="D432" i="107"/>
  <c r="B432" i="107"/>
  <c r="F431" i="107"/>
  <c r="D431" i="107"/>
  <c r="B431" i="107"/>
  <c r="F430" i="107"/>
  <c r="D430" i="107"/>
  <c r="B430" i="107"/>
  <c r="F429" i="107"/>
  <c r="D429" i="107"/>
  <c r="B429" i="107"/>
  <c r="F428" i="107"/>
  <c r="D428" i="107"/>
  <c r="B428" i="107"/>
  <c r="F427" i="107"/>
  <c r="D427" i="107"/>
  <c r="B427" i="107"/>
  <c r="F426" i="107"/>
  <c r="D426" i="107"/>
  <c r="B426" i="107"/>
  <c r="F425" i="107"/>
  <c r="D425" i="107"/>
  <c r="B425" i="107"/>
  <c r="F424" i="107"/>
  <c r="D424" i="107"/>
  <c r="B424" i="107"/>
  <c r="F423" i="107"/>
  <c r="D423" i="107"/>
  <c r="B423" i="107"/>
  <c r="F422" i="107"/>
  <c r="D422" i="107"/>
  <c r="B422" i="107"/>
  <c r="F421" i="107"/>
  <c r="D421" i="107"/>
  <c r="B421" i="107"/>
  <c r="F420" i="107"/>
  <c r="D420" i="107"/>
  <c r="B420" i="107"/>
  <c r="F419" i="107"/>
  <c r="D419" i="107"/>
  <c r="B419" i="107"/>
  <c r="F418" i="107"/>
  <c r="D418" i="107"/>
  <c r="B418" i="107"/>
  <c r="F415" i="107"/>
  <c r="D415" i="107"/>
  <c r="B415" i="107"/>
  <c r="F414" i="107"/>
  <c r="D414" i="107"/>
  <c r="B414" i="107"/>
  <c r="F413" i="107"/>
  <c r="D413" i="107"/>
  <c r="B413" i="107"/>
  <c r="F412" i="107"/>
  <c r="D412" i="107"/>
  <c r="B412" i="107"/>
  <c r="F411" i="107"/>
  <c r="D411" i="107"/>
  <c r="B411" i="107"/>
  <c r="F410" i="107"/>
  <c r="D410" i="107"/>
  <c r="B410" i="107"/>
  <c r="F409" i="107"/>
  <c r="D409" i="107"/>
  <c r="B409" i="107"/>
  <c r="F408" i="107"/>
  <c r="D408" i="107"/>
  <c r="B408" i="107"/>
  <c r="F407" i="107"/>
  <c r="D407" i="107"/>
  <c r="B407" i="107"/>
  <c r="F406" i="107"/>
  <c r="D406" i="107"/>
  <c r="B406" i="107"/>
  <c r="F405" i="107"/>
  <c r="D405" i="107"/>
  <c r="B405" i="107"/>
  <c r="F404" i="107"/>
  <c r="D404" i="107"/>
  <c r="B404" i="107"/>
  <c r="F403" i="107"/>
  <c r="D403" i="107"/>
  <c r="B403" i="107"/>
  <c r="F402" i="107"/>
  <c r="D402" i="107"/>
  <c r="B402" i="107"/>
  <c r="F401" i="107"/>
  <c r="D401" i="107"/>
  <c r="B401" i="107"/>
  <c r="F400" i="107"/>
  <c r="D400" i="107"/>
  <c r="B400" i="107"/>
  <c r="F399" i="107"/>
  <c r="D399" i="107"/>
  <c r="B399" i="107"/>
  <c r="F398" i="107"/>
  <c r="D398" i="107"/>
  <c r="B398" i="107"/>
  <c r="F397" i="107"/>
  <c r="D397" i="107"/>
  <c r="B397" i="107"/>
  <c r="F396" i="107"/>
  <c r="D396" i="107"/>
  <c r="B396" i="107"/>
  <c r="F395" i="107"/>
  <c r="D395" i="107"/>
  <c r="B395" i="107"/>
  <c r="F394" i="107"/>
  <c r="D394" i="107"/>
  <c r="B394" i="107"/>
  <c r="F393" i="107"/>
  <c r="D393" i="107"/>
  <c r="B393" i="107"/>
  <c r="F392" i="107"/>
  <c r="D392" i="107"/>
  <c r="B392" i="107"/>
  <c r="F391" i="107"/>
  <c r="D391" i="107"/>
  <c r="B391" i="107"/>
  <c r="F390" i="107"/>
  <c r="D390" i="107"/>
  <c r="B390" i="107"/>
  <c r="F389" i="107"/>
  <c r="D389" i="107"/>
  <c r="B389" i="107"/>
  <c r="F388" i="107"/>
  <c r="D388" i="107"/>
  <c r="B388" i="107"/>
  <c r="F387" i="107"/>
  <c r="D387" i="107"/>
  <c r="B387" i="107"/>
  <c r="F386" i="107"/>
  <c r="D386" i="107"/>
  <c r="B386" i="107"/>
  <c r="F385" i="107"/>
  <c r="D385" i="107"/>
  <c r="B385" i="107"/>
  <c r="F384" i="107"/>
  <c r="D384" i="107"/>
  <c r="B384" i="107"/>
  <c r="F383" i="107"/>
  <c r="D383" i="107"/>
  <c r="B383" i="107"/>
  <c r="F382" i="107"/>
  <c r="D382" i="107"/>
  <c r="B382" i="107"/>
  <c r="F381" i="107"/>
  <c r="D381" i="107"/>
  <c r="B381" i="107"/>
  <c r="F380" i="107"/>
  <c r="D380" i="107"/>
  <c r="B380" i="107"/>
  <c r="F379" i="107"/>
  <c r="D379" i="107"/>
  <c r="B379" i="107"/>
  <c r="F378" i="107"/>
  <c r="D378" i="107"/>
  <c r="B378" i="107"/>
  <c r="F377" i="107"/>
  <c r="D377" i="107"/>
  <c r="B377" i="107"/>
  <c r="F376" i="107"/>
  <c r="D376" i="107"/>
  <c r="B376" i="107"/>
  <c r="F375" i="107"/>
  <c r="D375" i="107"/>
  <c r="B375" i="107"/>
  <c r="F374" i="107"/>
  <c r="D374" i="107"/>
  <c r="B374" i="107"/>
  <c r="F373" i="107"/>
  <c r="D373" i="107"/>
  <c r="B373" i="107"/>
  <c r="F372" i="107"/>
  <c r="D372" i="107"/>
  <c r="B372" i="107"/>
  <c r="F371" i="107"/>
  <c r="D371" i="107"/>
  <c r="B371" i="107"/>
  <c r="F370" i="107"/>
  <c r="D370" i="107"/>
  <c r="B370" i="107"/>
  <c r="F369" i="107"/>
  <c r="D369" i="107"/>
  <c r="B369" i="107"/>
  <c r="F368" i="107"/>
  <c r="D368" i="107"/>
  <c r="B368" i="107"/>
  <c r="F367" i="107"/>
  <c r="D367" i="107"/>
  <c r="B367" i="107"/>
  <c r="F364" i="107"/>
  <c r="D364" i="107"/>
  <c r="B364" i="107"/>
  <c r="F363" i="107"/>
  <c r="D363" i="107"/>
  <c r="B363" i="107"/>
  <c r="F362" i="107"/>
  <c r="D362" i="107"/>
  <c r="B362" i="107"/>
  <c r="F361" i="107"/>
  <c r="D361" i="107"/>
  <c r="B361" i="107"/>
  <c r="F360" i="107"/>
  <c r="D360" i="107"/>
  <c r="B360" i="107"/>
  <c r="F359" i="107"/>
  <c r="D359" i="107"/>
  <c r="B359" i="107"/>
  <c r="F358" i="107"/>
  <c r="D358" i="107"/>
  <c r="B358" i="107"/>
  <c r="F357" i="107"/>
  <c r="D357" i="107"/>
  <c r="B357" i="107"/>
  <c r="F356" i="107"/>
  <c r="D356" i="107"/>
  <c r="B356" i="107"/>
  <c r="F355" i="107"/>
  <c r="D355" i="107"/>
  <c r="B355" i="107"/>
  <c r="F354" i="107"/>
  <c r="D354" i="107"/>
  <c r="B354" i="107"/>
  <c r="F353" i="107"/>
  <c r="D353" i="107"/>
  <c r="B353" i="107"/>
  <c r="F352" i="107"/>
  <c r="D352" i="107"/>
  <c r="B352" i="107"/>
  <c r="F351" i="107"/>
  <c r="D351" i="107"/>
  <c r="B351" i="107"/>
  <c r="F350" i="107"/>
  <c r="D350" i="107"/>
  <c r="B350" i="107"/>
  <c r="F349" i="107"/>
  <c r="D349" i="107"/>
  <c r="B349" i="107"/>
  <c r="F348" i="107"/>
  <c r="D348" i="107"/>
  <c r="B348" i="107"/>
  <c r="F347" i="107"/>
  <c r="D347" i="107"/>
  <c r="B347" i="107"/>
  <c r="F346" i="107"/>
  <c r="D346" i="107"/>
  <c r="B346" i="107"/>
  <c r="F345" i="107"/>
  <c r="D345" i="107"/>
  <c r="B345" i="107"/>
  <c r="F344" i="107"/>
  <c r="D344" i="107"/>
  <c r="B344" i="107"/>
  <c r="F343" i="107"/>
  <c r="D343" i="107"/>
  <c r="B343" i="107"/>
  <c r="F342" i="107"/>
  <c r="D342" i="107"/>
  <c r="B342" i="107"/>
  <c r="F341" i="107"/>
  <c r="D341" i="107"/>
  <c r="B341" i="107"/>
  <c r="F340" i="107"/>
  <c r="D340" i="107"/>
  <c r="B340" i="107"/>
  <c r="F339" i="107"/>
  <c r="D339" i="107"/>
  <c r="B339" i="107"/>
  <c r="F338" i="107"/>
  <c r="D338" i="107"/>
  <c r="B338" i="107"/>
  <c r="F337" i="107"/>
  <c r="D337" i="107"/>
  <c r="B337" i="107"/>
  <c r="F336" i="107"/>
  <c r="D336" i="107"/>
  <c r="B336" i="107"/>
  <c r="F335" i="107"/>
  <c r="D335" i="107"/>
  <c r="B335" i="107"/>
  <c r="F334" i="107"/>
  <c r="D334" i="107"/>
  <c r="B334" i="107"/>
  <c r="F333" i="107"/>
  <c r="D333" i="107"/>
  <c r="B333" i="107"/>
  <c r="F332" i="107"/>
  <c r="D332" i="107"/>
  <c r="B332" i="107"/>
  <c r="F331" i="107"/>
  <c r="D331" i="107"/>
  <c r="B331" i="107"/>
  <c r="F330" i="107"/>
  <c r="D330" i="107"/>
  <c r="B330" i="107"/>
  <c r="F329" i="107"/>
  <c r="D329" i="107"/>
  <c r="B329" i="107"/>
  <c r="F328" i="107"/>
  <c r="D328" i="107"/>
  <c r="B328" i="107"/>
  <c r="F327" i="107"/>
  <c r="D327" i="107"/>
  <c r="B327" i="107"/>
  <c r="F326" i="107"/>
  <c r="D326" i="107"/>
  <c r="B326" i="107"/>
  <c r="F325" i="107"/>
  <c r="D325" i="107"/>
  <c r="B325" i="107"/>
  <c r="F324" i="107"/>
  <c r="D324" i="107"/>
  <c r="B324" i="107"/>
  <c r="F323" i="107"/>
  <c r="D323" i="107"/>
  <c r="B323" i="107"/>
  <c r="F322" i="107"/>
  <c r="D322" i="107"/>
  <c r="B322" i="107"/>
  <c r="F321" i="107"/>
  <c r="D321" i="107"/>
  <c r="B321" i="107"/>
  <c r="F320" i="107"/>
  <c r="D320" i="107"/>
  <c r="B320" i="107"/>
  <c r="F319" i="107"/>
  <c r="D319" i="107"/>
  <c r="B319" i="107"/>
  <c r="F318" i="107"/>
  <c r="D318" i="107"/>
  <c r="B318" i="107"/>
  <c r="F317" i="107"/>
  <c r="D317" i="107"/>
  <c r="B317" i="107"/>
  <c r="F316" i="107"/>
  <c r="D316" i="107"/>
  <c r="B316" i="107"/>
  <c r="F313" i="107"/>
  <c r="D313" i="107"/>
  <c r="B313" i="107"/>
  <c r="F312" i="107"/>
  <c r="D312" i="107"/>
  <c r="B312" i="107"/>
  <c r="F311" i="107"/>
  <c r="D311" i="107"/>
  <c r="B311" i="107"/>
  <c r="F310" i="107"/>
  <c r="D310" i="107"/>
  <c r="B310" i="107"/>
  <c r="F309" i="107"/>
  <c r="D309" i="107"/>
  <c r="B309" i="107"/>
  <c r="F308" i="107"/>
  <c r="D308" i="107"/>
  <c r="B308" i="107"/>
  <c r="F307" i="107"/>
  <c r="D307" i="107"/>
  <c r="B307" i="107"/>
  <c r="F306" i="107"/>
  <c r="D306" i="107"/>
  <c r="B306" i="107"/>
  <c r="F305" i="107"/>
  <c r="D305" i="107"/>
  <c r="B305" i="107"/>
  <c r="F304" i="107"/>
  <c r="D304" i="107"/>
  <c r="B304" i="107"/>
  <c r="F303" i="107"/>
  <c r="D303" i="107"/>
  <c r="B303" i="107"/>
  <c r="F302" i="107"/>
  <c r="D302" i="107"/>
  <c r="B302" i="107"/>
  <c r="F301" i="107"/>
  <c r="D301" i="107"/>
  <c r="B301" i="107"/>
  <c r="F300" i="107"/>
  <c r="D300" i="107"/>
  <c r="B300" i="107"/>
  <c r="F299" i="107"/>
  <c r="D299" i="107"/>
  <c r="B299" i="107"/>
  <c r="F298" i="107"/>
  <c r="D298" i="107"/>
  <c r="B298" i="107"/>
  <c r="F297" i="107"/>
  <c r="D297" i="107"/>
  <c r="B297" i="107"/>
  <c r="F296" i="107"/>
  <c r="D296" i="107"/>
  <c r="B296" i="107"/>
  <c r="F295" i="107"/>
  <c r="D295" i="107"/>
  <c r="B295" i="107"/>
  <c r="F294" i="107"/>
  <c r="D294" i="107"/>
  <c r="B294" i="107"/>
  <c r="F293" i="107"/>
  <c r="D293" i="107"/>
  <c r="B293" i="107"/>
  <c r="F292" i="107"/>
  <c r="D292" i="107"/>
  <c r="B292" i="107"/>
  <c r="F291" i="107"/>
  <c r="D291" i="107"/>
  <c r="B291" i="107"/>
  <c r="F290" i="107"/>
  <c r="D290" i="107"/>
  <c r="B290" i="107"/>
  <c r="F289" i="107"/>
  <c r="D289" i="107"/>
  <c r="B289" i="107"/>
  <c r="F288" i="107"/>
  <c r="D288" i="107"/>
  <c r="B288" i="107"/>
  <c r="F287" i="107"/>
  <c r="D287" i="107"/>
  <c r="B287" i="107"/>
  <c r="F286" i="107"/>
  <c r="D286" i="107"/>
  <c r="B286" i="107"/>
  <c r="F285" i="107"/>
  <c r="D285" i="107"/>
  <c r="B285" i="107"/>
  <c r="F284" i="107"/>
  <c r="D284" i="107"/>
  <c r="B284" i="107"/>
  <c r="F283" i="107"/>
  <c r="D283" i="107"/>
  <c r="B283" i="107"/>
  <c r="F282" i="107"/>
  <c r="D282" i="107"/>
  <c r="B282" i="107"/>
  <c r="F281" i="107"/>
  <c r="D281" i="107"/>
  <c r="B281" i="107"/>
  <c r="F280" i="107"/>
  <c r="D280" i="107"/>
  <c r="B280" i="107"/>
  <c r="F279" i="107"/>
  <c r="D279" i="107"/>
  <c r="B279" i="107"/>
  <c r="F278" i="107"/>
  <c r="D278" i="107"/>
  <c r="B278" i="107"/>
  <c r="F277" i="107"/>
  <c r="D277" i="107"/>
  <c r="B277" i="107"/>
  <c r="F276" i="107"/>
  <c r="D276" i="107"/>
  <c r="B276" i="107"/>
  <c r="F275" i="107"/>
  <c r="D275" i="107"/>
  <c r="B275" i="107"/>
  <c r="F274" i="107"/>
  <c r="D274" i="107"/>
  <c r="B274" i="107"/>
  <c r="F273" i="107"/>
  <c r="D273" i="107"/>
  <c r="B273" i="107"/>
  <c r="F272" i="107"/>
  <c r="D272" i="107"/>
  <c r="B272" i="107"/>
  <c r="F271" i="107"/>
  <c r="D271" i="107"/>
  <c r="B271" i="107"/>
  <c r="F270" i="107"/>
  <c r="D270" i="107"/>
  <c r="B270" i="107"/>
  <c r="F269" i="107"/>
  <c r="D269" i="107"/>
  <c r="B269" i="107"/>
  <c r="F268" i="107"/>
  <c r="D268" i="107"/>
  <c r="B268" i="107"/>
  <c r="F267" i="107"/>
  <c r="D267" i="107"/>
  <c r="B267" i="107"/>
  <c r="F266" i="107"/>
  <c r="D266" i="107"/>
  <c r="B266" i="107"/>
  <c r="F265" i="107"/>
  <c r="D265" i="107"/>
  <c r="B265" i="107"/>
  <c r="F262" i="107"/>
  <c r="D262" i="107"/>
  <c r="B262" i="107"/>
  <c r="F261" i="107"/>
  <c r="D261" i="107"/>
  <c r="B261" i="107"/>
  <c r="F260" i="107"/>
  <c r="D260" i="107"/>
  <c r="B260" i="107"/>
  <c r="F259" i="107"/>
  <c r="D259" i="107"/>
  <c r="B259" i="107"/>
  <c r="F258" i="107"/>
  <c r="D258" i="107"/>
  <c r="B258" i="107"/>
  <c r="F257" i="107"/>
  <c r="D257" i="107"/>
  <c r="B257" i="107"/>
  <c r="F256" i="107"/>
  <c r="D256" i="107"/>
  <c r="B256" i="107"/>
  <c r="F255" i="107"/>
  <c r="D255" i="107"/>
  <c r="B255" i="107"/>
  <c r="F254" i="107"/>
  <c r="D254" i="107"/>
  <c r="B254" i="107"/>
  <c r="F253" i="107"/>
  <c r="D253" i="107"/>
  <c r="B253" i="107"/>
  <c r="F252" i="107"/>
  <c r="D252" i="107"/>
  <c r="B252" i="107"/>
  <c r="F251" i="107"/>
  <c r="D251" i="107"/>
  <c r="B251" i="107"/>
  <c r="F250" i="107"/>
  <c r="D250" i="107"/>
  <c r="B250" i="107"/>
  <c r="F249" i="107"/>
  <c r="D249" i="107"/>
  <c r="B249" i="107"/>
  <c r="F248" i="107"/>
  <c r="D248" i="107"/>
  <c r="B248" i="107"/>
  <c r="F247" i="107"/>
  <c r="D247" i="107"/>
  <c r="B247" i="107"/>
  <c r="F246" i="107"/>
  <c r="D246" i="107"/>
  <c r="B246" i="107"/>
  <c r="F245" i="107"/>
  <c r="D245" i="107"/>
  <c r="B245" i="107"/>
  <c r="F244" i="107"/>
  <c r="D244" i="107"/>
  <c r="B244" i="107"/>
  <c r="F243" i="107"/>
  <c r="D243" i="107"/>
  <c r="B243" i="107"/>
  <c r="F242" i="107"/>
  <c r="D242" i="107"/>
  <c r="B242" i="107"/>
  <c r="F241" i="107"/>
  <c r="D241" i="107"/>
  <c r="B241" i="107"/>
  <c r="F240" i="107"/>
  <c r="D240" i="107"/>
  <c r="B240" i="107"/>
  <c r="F239" i="107"/>
  <c r="D239" i="107"/>
  <c r="B239" i="107"/>
  <c r="F238" i="107"/>
  <c r="D238" i="107"/>
  <c r="B238" i="107"/>
  <c r="F237" i="107"/>
  <c r="D237" i="107"/>
  <c r="B237" i="107"/>
  <c r="F236" i="107"/>
  <c r="D236" i="107"/>
  <c r="B236" i="107"/>
  <c r="F235" i="107"/>
  <c r="D235" i="107"/>
  <c r="B235" i="107"/>
  <c r="F234" i="107"/>
  <c r="D234" i="107"/>
  <c r="B234" i="107"/>
  <c r="F233" i="107"/>
  <c r="D233" i="107"/>
  <c r="B233" i="107"/>
  <c r="F232" i="107"/>
  <c r="D232" i="107"/>
  <c r="B232" i="107"/>
  <c r="F231" i="107"/>
  <c r="D231" i="107"/>
  <c r="B231" i="107"/>
  <c r="F230" i="107"/>
  <c r="D230" i="107"/>
  <c r="B230" i="107"/>
  <c r="F229" i="107"/>
  <c r="D229" i="107"/>
  <c r="B229" i="107"/>
  <c r="F228" i="107"/>
  <c r="D228" i="107"/>
  <c r="B228" i="107"/>
  <c r="F227" i="107"/>
  <c r="D227" i="107"/>
  <c r="B227" i="107"/>
  <c r="F226" i="107"/>
  <c r="D226" i="107"/>
  <c r="B226" i="107"/>
  <c r="F225" i="107"/>
  <c r="D225" i="107"/>
  <c r="B225" i="107"/>
  <c r="F224" i="107"/>
  <c r="D224" i="107"/>
  <c r="B224" i="107"/>
  <c r="F223" i="107"/>
  <c r="D223" i="107"/>
  <c r="B223" i="107"/>
  <c r="F222" i="107"/>
  <c r="D222" i="107"/>
  <c r="B222" i="107"/>
  <c r="F221" i="107"/>
  <c r="D221" i="107"/>
  <c r="B221" i="107"/>
  <c r="F220" i="107"/>
  <c r="D220" i="107"/>
  <c r="B220" i="107"/>
  <c r="F219" i="107"/>
  <c r="D219" i="107"/>
  <c r="B219" i="107"/>
  <c r="F218" i="107"/>
  <c r="D218" i="107"/>
  <c r="B218" i="107"/>
  <c r="F217" i="107"/>
  <c r="D217" i="107"/>
  <c r="B217" i="107"/>
  <c r="F216" i="107"/>
  <c r="D216" i="107"/>
  <c r="B216" i="107"/>
  <c r="F215" i="107"/>
  <c r="D215" i="107"/>
  <c r="B215" i="107"/>
  <c r="F214" i="107"/>
  <c r="D214" i="107"/>
  <c r="B214" i="107"/>
  <c r="F211" i="107"/>
  <c r="D211" i="107"/>
  <c r="B211" i="107"/>
  <c r="F210" i="107"/>
  <c r="D210" i="107"/>
  <c r="B210" i="107"/>
  <c r="F209" i="107"/>
  <c r="D209" i="107"/>
  <c r="B209" i="107"/>
  <c r="F208" i="107"/>
  <c r="D208" i="107"/>
  <c r="B208" i="107"/>
  <c r="F207" i="107"/>
  <c r="D207" i="107"/>
  <c r="B207" i="107"/>
  <c r="F206" i="107"/>
  <c r="D206" i="107"/>
  <c r="B206" i="107"/>
  <c r="F205" i="107"/>
  <c r="D205" i="107"/>
  <c r="B205" i="107"/>
  <c r="F204" i="107"/>
  <c r="D204" i="107"/>
  <c r="B204" i="107"/>
  <c r="F203" i="107"/>
  <c r="D203" i="107"/>
  <c r="B203" i="107"/>
  <c r="F202" i="107"/>
  <c r="D202" i="107"/>
  <c r="B202" i="107"/>
  <c r="F201" i="107"/>
  <c r="D201" i="107"/>
  <c r="B201" i="107"/>
  <c r="F200" i="107"/>
  <c r="D200" i="107"/>
  <c r="B200" i="107"/>
  <c r="F199" i="107"/>
  <c r="D199" i="107"/>
  <c r="B199" i="107"/>
  <c r="F198" i="107"/>
  <c r="D198" i="107"/>
  <c r="B198" i="107"/>
  <c r="F197" i="107"/>
  <c r="D197" i="107"/>
  <c r="B197" i="107"/>
  <c r="F196" i="107"/>
  <c r="D196" i="107"/>
  <c r="B196" i="107"/>
  <c r="F195" i="107"/>
  <c r="D195" i="107"/>
  <c r="B195" i="107"/>
  <c r="F194" i="107"/>
  <c r="D194" i="107"/>
  <c r="B194" i="107"/>
  <c r="F193" i="107"/>
  <c r="D193" i="107"/>
  <c r="B193" i="107"/>
  <c r="F192" i="107"/>
  <c r="D192" i="107"/>
  <c r="B192" i="107"/>
  <c r="F191" i="107"/>
  <c r="D191" i="107"/>
  <c r="B191" i="107"/>
  <c r="F190" i="107"/>
  <c r="D190" i="107"/>
  <c r="B190" i="107"/>
  <c r="F189" i="107"/>
  <c r="D189" i="107"/>
  <c r="B189" i="107"/>
  <c r="F188" i="107"/>
  <c r="D188" i="107"/>
  <c r="B188" i="107"/>
  <c r="F187" i="107"/>
  <c r="D187" i="107"/>
  <c r="B187" i="107"/>
  <c r="F186" i="107"/>
  <c r="D186" i="107"/>
  <c r="B186" i="107"/>
  <c r="F185" i="107"/>
  <c r="D185" i="107"/>
  <c r="B185" i="107"/>
  <c r="F184" i="107"/>
  <c r="D184" i="107"/>
  <c r="B184" i="107"/>
  <c r="F183" i="107"/>
  <c r="D183" i="107"/>
  <c r="B183" i="107"/>
  <c r="F182" i="107"/>
  <c r="D182" i="107"/>
  <c r="B182" i="107"/>
  <c r="F181" i="107"/>
  <c r="D181" i="107"/>
  <c r="B181" i="107"/>
  <c r="F180" i="107"/>
  <c r="D180" i="107"/>
  <c r="B180" i="107"/>
  <c r="F179" i="107"/>
  <c r="D179" i="107"/>
  <c r="B179" i="107"/>
  <c r="F178" i="107"/>
  <c r="D178" i="107"/>
  <c r="B178" i="107"/>
  <c r="F177" i="107"/>
  <c r="D177" i="107"/>
  <c r="B177" i="107"/>
  <c r="F176" i="107"/>
  <c r="D176" i="107"/>
  <c r="B176" i="107"/>
  <c r="F175" i="107"/>
  <c r="D175" i="107"/>
  <c r="B175" i="107"/>
  <c r="F174" i="107"/>
  <c r="D174" i="107"/>
  <c r="B174" i="107"/>
  <c r="F173" i="107"/>
  <c r="D173" i="107"/>
  <c r="B173" i="107"/>
  <c r="F172" i="107"/>
  <c r="D172" i="107"/>
  <c r="B172" i="107"/>
  <c r="F171" i="107"/>
  <c r="D171" i="107"/>
  <c r="B171" i="107"/>
  <c r="F170" i="107"/>
  <c r="D170" i="107"/>
  <c r="B170" i="107"/>
  <c r="F169" i="107"/>
  <c r="D169" i="107"/>
  <c r="B169" i="107"/>
  <c r="F168" i="107"/>
  <c r="D168" i="107"/>
  <c r="B168" i="107"/>
  <c r="F167" i="107"/>
  <c r="D167" i="107"/>
  <c r="B167" i="107"/>
  <c r="F166" i="107"/>
  <c r="D166" i="107"/>
  <c r="B166" i="107"/>
  <c r="F165" i="107"/>
  <c r="D165" i="107"/>
  <c r="B165" i="107"/>
  <c r="F164" i="107"/>
  <c r="D164" i="107"/>
  <c r="B164" i="107"/>
  <c r="F163" i="107"/>
  <c r="D163" i="107"/>
  <c r="B163" i="107"/>
  <c r="F160" i="107"/>
  <c r="D160" i="107"/>
  <c r="B160" i="107"/>
  <c r="F159" i="107"/>
  <c r="D159" i="107"/>
  <c r="B159" i="107"/>
  <c r="F158" i="107"/>
  <c r="D158" i="107"/>
  <c r="B158" i="107"/>
  <c r="F157" i="107"/>
  <c r="D157" i="107"/>
  <c r="B157" i="107"/>
  <c r="F156" i="107"/>
  <c r="D156" i="107"/>
  <c r="B156" i="107"/>
  <c r="F155" i="107"/>
  <c r="D155" i="107"/>
  <c r="B155" i="107"/>
  <c r="F154" i="107"/>
  <c r="D154" i="107"/>
  <c r="B154" i="107"/>
  <c r="F153" i="107"/>
  <c r="D153" i="107"/>
  <c r="B153" i="107"/>
  <c r="F152" i="107"/>
  <c r="D152" i="107"/>
  <c r="B152" i="107"/>
  <c r="F151" i="107"/>
  <c r="D151" i="107"/>
  <c r="B151" i="107"/>
  <c r="F150" i="107"/>
  <c r="D150" i="107"/>
  <c r="B150" i="107"/>
  <c r="F149" i="107"/>
  <c r="D149" i="107"/>
  <c r="B149" i="107"/>
  <c r="F148" i="107"/>
  <c r="D148" i="107"/>
  <c r="B148" i="107"/>
  <c r="F147" i="107"/>
  <c r="D147" i="107"/>
  <c r="B147" i="107"/>
  <c r="F146" i="107"/>
  <c r="D146" i="107"/>
  <c r="B146" i="107"/>
  <c r="F145" i="107"/>
  <c r="D145" i="107"/>
  <c r="B145" i="107"/>
  <c r="F144" i="107"/>
  <c r="D144" i="107"/>
  <c r="B144" i="107"/>
  <c r="F143" i="107"/>
  <c r="D143" i="107"/>
  <c r="B143" i="107"/>
  <c r="F142" i="107"/>
  <c r="D142" i="107"/>
  <c r="B142" i="107"/>
  <c r="F141" i="107"/>
  <c r="D141" i="107"/>
  <c r="B141" i="107"/>
  <c r="F140" i="107"/>
  <c r="D140" i="107"/>
  <c r="B140" i="107"/>
  <c r="F139" i="107"/>
  <c r="D139" i="107"/>
  <c r="B139" i="107"/>
  <c r="F138" i="107"/>
  <c r="D138" i="107"/>
  <c r="B138" i="107"/>
  <c r="F137" i="107"/>
  <c r="D137" i="107"/>
  <c r="B137" i="107"/>
  <c r="F136" i="107"/>
  <c r="D136" i="107"/>
  <c r="B136" i="107"/>
  <c r="F135" i="107"/>
  <c r="D135" i="107"/>
  <c r="B135" i="107"/>
  <c r="F134" i="107"/>
  <c r="D134" i="107"/>
  <c r="B134" i="107"/>
  <c r="F133" i="107"/>
  <c r="D133" i="107"/>
  <c r="B133" i="107"/>
  <c r="F132" i="107"/>
  <c r="D132" i="107"/>
  <c r="B132" i="107"/>
  <c r="F131" i="107"/>
  <c r="D131" i="107"/>
  <c r="B131" i="107"/>
  <c r="F130" i="107"/>
  <c r="D130" i="107"/>
  <c r="B130" i="107"/>
  <c r="F129" i="107"/>
  <c r="D129" i="107"/>
  <c r="B129" i="107"/>
  <c r="F128" i="107"/>
  <c r="D128" i="107"/>
  <c r="B128" i="107"/>
  <c r="F127" i="107"/>
  <c r="D127" i="107"/>
  <c r="B127" i="107"/>
  <c r="F126" i="107"/>
  <c r="D126" i="107"/>
  <c r="B126" i="107"/>
  <c r="F125" i="107"/>
  <c r="D125" i="107"/>
  <c r="B125" i="107"/>
  <c r="F124" i="107"/>
  <c r="D124" i="107"/>
  <c r="B124" i="107"/>
  <c r="F123" i="107"/>
  <c r="D123" i="107"/>
  <c r="B123" i="107"/>
  <c r="F122" i="107"/>
  <c r="D122" i="107"/>
  <c r="B122" i="107"/>
  <c r="F121" i="107"/>
  <c r="D121" i="107"/>
  <c r="B121" i="107"/>
  <c r="F120" i="107"/>
  <c r="D120" i="107"/>
  <c r="B120" i="107"/>
  <c r="F119" i="107"/>
  <c r="D119" i="107"/>
  <c r="B119" i="107"/>
  <c r="F118" i="107"/>
  <c r="D118" i="107"/>
  <c r="B118" i="107"/>
  <c r="F117" i="107"/>
  <c r="D117" i="107"/>
  <c r="B117" i="107"/>
  <c r="F116" i="107"/>
  <c r="D116" i="107"/>
  <c r="B116" i="107"/>
  <c r="F115" i="107"/>
  <c r="D115" i="107"/>
  <c r="B115" i="107"/>
  <c r="F114" i="107"/>
  <c r="D114" i="107"/>
  <c r="B114" i="107"/>
  <c r="F113" i="107"/>
  <c r="D113" i="107"/>
  <c r="B113" i="107"/>
  <c r="F112" i="107"/>
  <c r="D112" i="107"/>
  <c r="B112" i="107"/>
  <c r="F109" i="107"/>
  <c r="D109" i="107"/>
  <c r="B109" i="107"/>
  <c r="F108" i="107"/>
  <c r="D108" i="107"/>
  <c r="B108" i="107"/>
  <c r="F107" i="107"/>
  <c r="D107" i="107"/>
  <c r="B107" i="107"/>
  <c r="F106" i="107"/>
  <c r="D106" i="107"/>
  <c r="B106" i="107"/>
  <c r="F105" i="107"/>
  <c r="D105" i="107"/>
  <c r="B105" i="107"/>
  <c r="F104" i="107"/>
  <c r="D104" i="107"/>
  <c r="B104" i="107"/>
  <c r="F103" i="107"/>
  <c r="D103" i="107"/>
  <c r="B103" i="107"/>
  <c r="F102" i="107"/>
  <c r="D102" i="107"/>
  <c r="B102" i="107"/>
  <c r="F101" i="107"/>
  <c r="D101" i="107"/>
  <c r="B101" i="107"/>
  <c r="F100" i="107"/>
  <c r="D100" i="107"/>
  <c r="B100" i="107"/>
  <c r="F99" i="107"/>
  <c r="D99" i="107"/>
  <c r="B99" i="107"/>
  <c r="F98" i="107"/>
  <c r="D98" i="107"/>
  <c r="B98" i="107"/>
  <c r="F97" i="107"/>
  <c r="D97" i="107"/>
  <c r="B97" i="107"/>
  <c r="F96" i="107"/>
  <c r="D96" i="107"/>
  <c r="B96" i="107"/>
  <c r="F95" i="107"/>
  <c r="D95" i="107"/>
  <c r="B95" i="107"/>
  <c r="F94" i="107"/>
  <c r="D94" i="107"/>
  <c r="B94" i="107"/>
  <c r="F93" i="107"/>
  <c r="D93" i="107"/>
  <c r="B93" i="107"/>
  <c r="F92" i="107"/>
  <c r="D92" i="107"/>
  <c r="B92" i="107"/>
  <c r="F91" i="107"/>
  <c r="D91" i="107"/>
  <c r="B91" i="107"/>
  <c r="F90" i="107"/>
  <c r="D90" i="107"/>
  <c r="B90" i="107"/>
  <c r="F89" i="107"/>
  <c r="D89" i="107"/>
  <c r="B89" i="107"/>
  <c r="F88" i="107"/>
  <c r="D88" i="107"/>
  <c r="B88" i="107"/>
  <c r="F87" i="107"/>
  <c r="D87" i="107"/>
  <c r="B87" i="107"/>
  <c r="F86" i="107"/>
  <c r="D86" i="107"/>
  <c r="B86" i="107"/>
  <c r="F85" i="107"/>
  <c r="D85" i="107"/>
  <c r="B85" i="107"/>
  <c r="F84" i="107"/>
  <c r="D84" i="107"/>
  <c r="B84" i="107"/>
  <c r="F83" i="107"/>
  <c r="D83" i="107"/>
  <c r="B83" i="107"/>
  <c r="F82" i="107"/>
  <c r="D82" i="107"/>
  <c r="B82" i="107"/>
  <c r="F81" i="107"/>
  <c r="D81" i="107"/>
  <c r="B81" i="107"/>
  <c r="F80" i="107"/>
  <c r="D80" i="107"/>
  <c r="B80" i="107"/>
  <c r="F79" i="107"/>
  <c r="D79" i="107"/>
  <c r="B79" i="107"/>
  <c r="F78" i="107"/>
  <c r="D78" i="107"/>
  <c r="B78" i="107"/>
  <c r="F77" i="107"/>
  <c r="D77" i="107"/>
  <c r="B77" i="107"/>
  <c r="F76" i="107"/>
  <c r="D76" i="107"/>
  <c r="B76" i="107"/>
  <c r="F75" i="107"/>
  <c r="D75" i="107"/>
  <c r="B75" i="107"/>
  <c r="F74" i="107"/>
  <c r="D74" i="107"/>
  <c r="B74" i="107"/>
  <c r="F73" i="107"/>
  <c r="D73" i="107"/>
  <c r="B73" i="107"/>
  <c r="F72" i="107"/>
  <c r="D72" i="107"/>
  <c r="B72" i="107"/>
  <c r="F71" i="107"/>
  <c r="D71" i="107"/>
  <c r="B71" i="107"/>
  <c r="F70" i="107"/>
  <c r="D70" i="107"/>
  <c r="B70" i="107"/>
  <c r="F69" i="107"/>
  <c r="D69" i="107"/>
  <c r="B69" i="107"/>
  <c r="F68" i="107"/>
  <c r="D68" i="107"/>
  <c r="B68" i="107"/>
  <c r="F67" i="107"/>
  <c r="D67" i="107"/>
  <c r="B67" i="107"/>
  <c r="F66" i="107"/>
  <c r="D66" i="107"/>
  <c r="B66" i="107"/>
  <c r="F65" i="107"/>
  <c r="D65" i="107"/>
  <c r="B65" i="107"/>
  <c r="F64" i="107"/>
  <c r="D64" i="107"/>
  <c r="B64" i="107"/>
  <c r="F63" i="107"/>
  <c r="D63" i="107"/>
  <c r="B63" i="107"/>
  <c r="F62" i="107"/>
  <c r="D62" i="107"/>
  <c r="B62" i="107"/>
  <c r="F61" i="107"/>
  <c r="D61" i="107"/>
  <c r="B61" i="107"/>
  <c r="F58" i="107"/>
  <c r="D58" i="107"/>
  <c r="B58" i="107"/>
  <c r="F57" i="107"/>
  <c r="D57" i="107"/>
  <c r="B57" i="107"/>
  <c r="F56" i="107"/>
  <c r="D56" i="107"/>
  <c r="B56" i="107"/>
  <c r="F55" i="107"/>
  <c r="D55" i="107"/>
  <c r="B55" i="107"/>
  <c r="F54" i="107"/>
  <c r="D54" i="107"/>
  <c r="B54" i="107"/>
  <c r="F53" i="107"/>
  <c r="D53" i="107"/>
  <c r="B53" i="107"/>
  <c r="F52" i="107"/>
  <c r="D52" i="107"/>
  <c r="B52" i="107"/>
  <c r="F51" i="107"/>
  <c r="D51" i="107"/>
  <c r="B51" i="107"/>
  <c r="F50" i="107"/>
  <c r="D50" i="107"/>
  <c r="B50" i="107"/>
  <c r="F49" i="107"/>
  <c r="D49" i="107"/>
  <c r="B49" i="107"/>
  <c r="F48" i="107"/>
  <c r="D48" i="107"/>
  <c r="B48" i="107"/>
  <c r="F47" i="107"/>
  <c r="D47" i="107"/>
  <c r="B47" i="107"/>
  <c r="F46" i="107"/>
  <c r="D46" i="107"/>
  <c r="B46" i="107"/>
  <c r="F45" i="107"/>
  <c r="D45" i="107"/>
  <c r="B45" i="107"/>
  <c r="F44" i="107"/>
  <c r="D44" i="107"/>
  <c r="B44" i="107"/>
  <c r="F43" i="107"/>
  <c r="D43" i="107"/>
  <c r="B43" i="107"/>
  <c r="F42" i="107"/>
  <c r="D42" i="107"/>
  <c r="B42" i="107"/>
  <c r="F41" i="107"/>
  <c r="D41" i="107"/>
  <c r="B41" i="107"/>
  <c r="F40" i="107"/>
  <c r="D40" i="107"/>
  <c r="B40" i="107"/>
  <c r="F39" i="107"/>
  <c r="D39" i="107"/>
  <c r="B39" i="107"/>
  <c r="F38" i="107"/>
  <c r="D38" i="107"/>
  <c r="B38" i="107"/>
  <c r="F37" i="107"/>
  <c r="D37" i="107"/>
  <c r="B37" i="107"/>
  <c r="F36" i="107"/>
  <c r="D36" i="107"/>
  <c r="B36" i="107"/>
  <c r="F35" i="107"/>
  <c r="D35" i="107"/>
  <c r="B35" i="107"/>
  <c r="F34" i="107"/>
  <c r="D34" i="107"/>
  <c r="B34" i="107"/>
  <c r="F33" i="107"/>
  <c r="D33" i="107"/>
  <c r="B33" i="107"/>
  <c r="F32" i="107"/>
  <c r="D32" i="107"/>
  <c r="B32" i="107"/>
  <c r="F31" i="107"/>
  <c r="D31" i="107"/>
  <c r="B31" i="107"/>
  <c r="F30" i="107"/>
  <c r="D30" i="107"/>
  <c r="B30" i="107"/>
  <c r="F29" i="107"/>
  <c r="D29" i="107"/>
  <c r="B29" i="107"/>
  <c r="F28" i="107"/>
  <c r="D28" i="107"/>
  <c r="B28" i="107"/>
  <c r="F27" i="107"/>
  <c r="D27" i="107"/>
  <c r="B27" i="107"/>
  <c r="F26" i="107"/>
  <c r="D26" i="107"/>
  <c r="B26" i="107"/>
  <c r="F25" i="107"/>
  <c r="D25" i="107"/>
  <c r="B25" i="107"/>
  <c r="F24" i="107"/>
  <c r="D24" i="107"/>
  <c r="B24" i="107"/>
  <c r="F23" i="107"/>
  <c r="D23" i="107"/>
  <c r="B23" i="107"/>
  <c r="F22" i="107"/>
  <c r="D22" i="107"/>
  <c r="B22" i="107"/>
  <c r="F21" i="107"/>
  <c r="D21" i="107"/>
  <c r="B21" i="107"/>
  <c r="F20" i="107"/>
  <c r="D20" i="107"/>
  <c r="B20" i="107"/>
  <c r="F19" i="107"/>
  <c r="D19" i="107"/>
  <c r="B19" i="107"/>
  <c r="F18" i="107"/>
  <c r="D18" i="107"/>
  <c r="B18" i="107"/>
  <c r="F17" i="107"/>
  <c r="D17" i="107"/>
  <c r="B17" i="107"/>
  <c r="F16" i="107"/>
  <c r="D16" i="107"/>
  <c r="B16" i="107"/>
  <c r="F15" i="107"/>
  <c r="D15" i="107"/>
  <c r="B15" i="107"/>
  <c r="F14" i="107"/>
  <c r="D14" i="107"/>
  <c r="B14" i="107"/>
  <c r="F13" i="107"/>
  <c r="D13" i="107"/>
  <c r="B13" i="107"/>
  <c r="F12" i="107"/>
  <c r="D12" i="107"/>
  <c r="B12" i="107"/>
  <c r="F11" i="107"/>
  <c r="D11" i="107"/>
  <c r="B11" i="107"/>
  <c r="F10" i="107"/>
  <c r="D10" i="107"/>
  <c r="B10" i="107"/>
  <c r="F413" i="46"/>
  <c r="D413" i="46"/>
  <c r="B413" i="46"/>
  <c r="F412" i="46"/>
  <c r="D412" i="46"/>
  <c r="B412" i="46"/>
  <c r="F411" i="46"/>
  <c r="D411" i="46"/>
  <c r="B411" i="46"/>
  <c r="F410" i="46"/>
  <c r="D410" i="46"/>
  <c r="B410" i="46"/>
  <c r="F409" i="46"/>
  <c r="D409" i="46"/>
  <c r="B409" i="46"/>
  <c r="F408" i="46"/>
  <c r="D408" i="46"/>
  <c r="B408" i="46"/>
  <c r="F407" i="46"/>
  <c r="D407" i="46"/>
  <c r="B407" i="46"/>
  <c r="F406" i="46"/>
  <c r="D406" i="46"/>
  <c r="B406" i="46"/>
  <c r="F405" i="46"/>
  <c r="D405" i="46"/>
  <c r="B405" i="46"/>
  <c r="F404" i="46"/>
  <c r="D404" i="46"/>
  <c r="B404" i="46"/>
  <c r="F403" i="46"/>
  <c r="D403" i="46"/>
  <c r="B403" i="46"/>
  <c r="F402" i="46"/>
  <c r="D402" i="46"/>
  <c r="B402" i="46"/>
  <c r="F401" i="46"/>
  <c r="D401" i="46"/>
  <c r="B401" i="46"/>
  <c r="F400" i="46"/>
  <c r="D400" i="46"/>
  <c r="B400" i="46"/>
  <c r="F399" i="46"/>
  <c r="D399" i="46"/>
  <c r="B399" i="46"/>
  <c r="F398" i="46"/>
  <c r="D398" i="46"/>
  <c r="B398" i="46"/>
  <c r="F397" i="46"/>
  <c r="D397" i="46"/>
  <c r="B397" i="46"/>
  <c r="F396" i="46"/>
  <c r="D396" i="46"/>
  <c r="B396" i="46"/>
  <c r="F395" i="46"/>
  <c r="D395" i="46"/>
  <c r="B395" i="46"/>
  <c r="F394" i="46"/>
  <c r="D394" i="46"/>
  <c r="B394" i="46"/>
  <c r="F393" i="46"/>
  <c r="D393" i="46"/>
  <c r="B393" i="46"/>
  <c r="F392" i="46"/>
  <c r="D392" i="46"/>
  <c r="B392" i="46"/>
  <c r="F391" i="46"/>
  <c r="D391" i="46"/>
  <c r="B391" i="46"/>
  <c r="F390" i="46"/>
  <c r="D390" i="46"/>
  <c r="B390" i="46"/>
  <c r="F389" i="46"/>
  <c r="D389" i="46"/>
  <c r="B389" i="46"/>
  <c r="F388" i="46"/>
  <c r="D388" i="46"/>
  <c r="B388" i="46"/>
  <c r="F387" i="46"/>
  <c r="D387" i="46"/>
  <c r="B387" i="46"/>
  <c r="F386" i="46"/>
  <c r="D386" i="46"/>
  <c r="B386" i="46"/>
  <c r="F385" i="46"/>
  <c r="D385" i="46"/>
  <c r="B385" i="46"/>
  <c r="F384" i="46"/>
  <c r="D384" i="46"/>
  <c r="B384" i="46"/>
  <c r="F383" i="46"/>
  <c r="D383" i="46"/>
  <c r="B383" i="46"/>
  <c r="F382" i="46"/>
  <c r="D382" i="46"/>
  <c r="B382" i="46"/>
  <c r="F381" i="46"/>
  <c r="D381" i="46"/>
  <c r="B381" i="46"/>
  <c r="F380" i="46"/>
  <c r="D380" i="46"/>
  <c r="B380" i="46"/>
  <c r="F379" i="46"/>
  <c r="D379" i="46"/>
  <c r="B379" i="46"/>
  <c r="F378" i="46"/>
  <c r="D378" i="46"/>
  <c r="B378" i="46"/>
  <c r="F377" i="46"/>
  <c r="D377" i="46"/>
  <c r="B377" i="46"/>
  <c r="F376" i="46"/>
  <c r="D376" i="46"/>
  <c r="B376" i="46"/>
  <c r="F375" i="46"/>
  <c r="D375" i="46"/>
  <c r="B375" i="46"/>
  <c r="F374" i="46"/>
  <c r="D374" i="46"/>
  <c r="B374" i="46"/>
  <c r="F373" i="46"/>
  <c r="D373" i="46"/>
  <c r="B373" i="46"/>
  <c r="F372" i="46"/>
  <c r="D372" i="46"/>
  <c r="B372" i="46"/>
  <c r="F371" i="46"/>
  <c r="D371" i="46"/>
  <c r="B371" i="46"/>
  <c r="F370" i="46"/>
  <c r="D370" i="46"/>
  <c r="B370" i="46"/>
  <c r="F369" i="46"/>
  <c r="D369" i="46"/>
  <c r="B369" i="46"/>
  <c r="F368" i="46"/>
  <c r="D368" i="46"/>
  <c r="B368" i="46"/>
  <c r="F367" i="46"/>
  <c r="D367" i="46"/>
  <c r="B367" i="46"/>
  <c r="F366" i="46"/>
  <c r="D366" i="46"/>
  <c r="B366" i="46"/>
  <c r="F365" i="46"/>
  <c r="D365" i="46"/>
  <c r="B365" i="46"/>
  <c r="F363" i="46"/>
  <c r="D363" i="46"/>
  <c r="B363" i="46"/>
  <c r="F362" i="46"/>
  <c r="D362" i="46"/>
  <c r="B362" i="46"/>
  <c r="F361" i="46"/>
  <c r="D361" i="46"/>
  <c r="B361" i="46"/>
  <c r="F360" i="46"/>
  <c r="D360" i="46"/>
  <c r="B360" i="46"/>
  <c r="F359" i="46"/>
  <c r="D359" i="46"/>
  <c r="B359" i="46"/>
  <c r="F358" i="46"/>
  <c r="D358" i="46"/>
  <c r="B358" i="46"/>
  <c r="F357" i="46"/>
  <c r="D357" i="46"/>
  <c r="B357" i="46"/>
  <c r="F356" i="46"/>
  <c r="D356" i="46"/>
  <c r="B356" i="46"/>
  <c r="F355" i="46"/>
  <c r="D355" i="46"/>
  <c r="B355" i="46"/>
  <c r="F354" i="46"/>
  <c r="D354" i="46"/>
  <c r="B354" i="46"/>
  <c r="F353" i="46"/>
  <c r="D353" i="46"/>
  <c r="B353" i="46"/>
  <c r="F352" i="46"/>
  <c r="D352" i="46"/>
  <c r="B352" i="46"/>
  <c r="F351" i="46"/>
  <c r="D351" i="46"/>
  <c r="B351" i="46"/>
  <c r="F350" i="46"/>
  <c r="D350" i="46"/>
  <c r="B350" i="46"/>
  <c r="F349" i="46"/>
  <c r="D349" i="46"/>
  <c r="B349" i="46"/>
  <c r="F348" i="46"/>
  <c r="D348" i="46"/>
  <c r="B348" i="46"/>
  <c r="F347" i="46"/>
  <c r="D347" i="46"/>
  <c r="B347" i="46"/>
  <c r="F346" i="46"/>
  <c r="D346" i="46"/>
  <c r="B346" i="46"/>
  <c r="F345" i="46"/>
  <c r="D345" i="46"/>
  <c r="B345" i="46"/>
  <c r="F344" i="46"/>
  <c r="D344" i="46"/>
  <c r="B344" i="46"/>
  <c r="F343" i="46"/>
  <c r="D343" i="46"/>
  <c r="B343" i="46"/>
  <c r="F342" i="46"/>
  <c r="D342" i="46"/>
  <c r="B342" i="46"/>
  <c r="F341" i="46"/>
  <c r="D341" i="46"/>
  <c r="B341" i="46"/>
  <c r="F340" i="46"/>
  <c r="D340" i="46"/>
  <c r="B340" i="46"/>
  <c r="F339" i="46"/>
  <c r="D339" i="46"/>
  <c r="B339" i="46"/>
  <c r="F338" i="46"/>
  <c r="D338" i="46"/>
  <c r="B338" i="46"/>
  <c r="F337" i="46"/>
  <c r="D337" i="46"/>
  <c r="B337" i="46"/>
  <c r="F336" i="46"/>
  <c r="D336" i="46"/>
  <c r="B336" i="46"/>
  <c r="F335" i="46"/>
  <c r="D335" i="46"/>
  <c r="B335" i="46"/>
  <c r="F334" i="46"/>
  <c r="D334" i="46"/>
  <c r="B334" i="46"/>
  <c r="F333" i="46"/>
  <c r="D333" i="46"/>
  <c r="B333" i="46"/>
  <c r="F332" i="46"/>
  <c r="D332" i="46"/>
  <c r="B332" i="46"/>
  <c r="F331" i="46"/>
  <c r="D331" i="46"/>
  <c r="B331" i="46"/>
  <c r="F330" i="46"/>
  <c r="D330" i="46"/>
  <c r="B330" i="46"/>
  <c r="F329" i="46"/>
  <c r="D329" i="46"/>
  <c r="B329" i="46"/>
  <c r="F328" i="46"/>
  <c r="D328" i="46"/>
  <c r="B328" i="46"/>
  <c r="F327" i="46"/>
  <c r="D327" i="46"/>
  <c r="B327" i="46"/>
  <c r="F326" i="46"/>
  <c r="D326" i="46"/>
  <c r="B326" i="46"/>
  <c r="F325" i="46"/>
  <c r="D325" i="46"/>
  <c r="B325" i="46"/>
  <c r="F324" i="46"/>
  <c r="D324" i="46"/>
  <c r="B324" i="46"/>
  <c r="F323" i="46"/>
  <c r="D323" i="46"/>
  <c r="B323" i="46"/>
  <c r="F322" i="46"/>
  <c r="D322" i="46"/>
  <c r="B322" i="46"/>
  <c r="F321" i="46"/>
  <c r="D321" i="46"/>
  <c r="B321" i="46"/>
  <c r="F320" i="46"/>
  <c r="D320" i="46"/>
  <c r="B320" i="46"/>
  <c r="F319" i="46"/>
  <c r="D319" i="46"/>
  <c r="B319" i="46"/>
  <c r="F318" i="46"/>
  <c r="D318" i="46"/>
  <c r="B318" i="46"/>
  <c r="F317" i="46"/>
  <c r="D317" i="46"/>
  <c r="B317" i="46"/>
  <c r="F316" i="46"/>
  <c r="D316" i="46"/>
  <c r="B316" i="46"/>
  <c r="F315" i="46"/>
  <c r="D315" i="46"/>
  <c r="B315" i="46"/>
  <c r="F312" i="46"/>
  <c r="D312" i="46"/>
  <c r="B312" i="46"/>
  <c r="F311" i="46"/>
  <c r="D311" i="46"/>
  <c r="B311" i="46"/>
  <c r="F310" i="46"/>
  <c r="D310" i="46"/>
  <c r="B310" i="46"/>
  <c r="F309" i="46"/>
  <c r="D309" i="46"/>
  <c r="B309" i="46"/>
  <c r="F308" i="46"/>
  <c r="D308" i="46"/>
  <c r="B308" i="46"/>
  <c r="F307" i="46"/>
  <c r="D307" i="46"/>
  <c r="B307" i="46"/>
  <c r="F306" i="46"/>
  <c r="D306" i="46"/>
  <c r="B306" i="46"/>
  <c r="F305" i="46"/>
  <c r="D305" i="46"/>
  <c r="B305" i="46"/>
  <c r="F304" i="46"/>
  <c r="D304" i="46"/>
  <c r="B304" i="46"/>
  <c r="F303" i="46"/>
  <c r="D303" i="46"/>
  <c r="B303" i="46"/>
  <c r="F302" i="46"/>
  <c r="D302" i="46"/>
  <c r="B302" i="46"/>
  <c r="F301" i="46"/>
  <c r="D301" i="46"/>
  <c r="B301" i="46"/>
  <c r="F300" i="46"/>
  <c r="D300" i="46"/>
  <c r="B300" i="46"/>
  <c r="F299" i="46"/>
  <c r="D299" i="46"/>
  <c r="B299" i="46"/>
  <c r="F298" i="46"/>
  <c r="D298" i="46"/>
  <c r="B298" i="46"/>
  <c r="F297" i="46"/>
  <c r="D297" i="46"/>
  <c r="B297" i="46"/>
  <c r="F296" i="46"/>
  <c r="D296" i="46"/>
  <c r="B296" i="46"/>
  <c r="F295" i="46"/>
  <c r="D295" i="46"/>
  <c r="B295" i="46"/>
  <c r="F294" i="46"/>
  <c r="D294" i="46"/>
  <c r="B294" i="46"/>
  <c r="F293" i="46"/>
  <c r="D293" i="46"/>
  <c r="B293" i="46"/>
  <c r="F292" i="46"/>
  <c r="D292" i="46"/>
  <c r="B292" i="46"/>
  <c r="F291" i="46"/>
  <c r="D291" i="46"/>
  <c r="B291" i="46"/>
  <c r="F290" i="46"/>
  <c r="D290" i="46"/>
  <c r="B290" i="46"/>
  <c r="F289" i="46"/>
  <c r="D289" i="46"/>
  <c r="B289" i="46"/>
  <c r="F288" i="46"/>
  <c r="D288" i="46"/>
  <c r="B288" i="46"/>
  <c r="F287" i="46"/>
  <c r="D287" i="46"/>
  <c r="B287" i="46"/>
  <c r="F286" i="46"/>
  <c r="D286" i="46"/>
  <c r="B286" i="46"/>
  <c r="F285" i="46"/>
  <c r="D285" i="46"/>
  <c r="B285" i="46"/>
  <c r="F284" i="46"/>
  <c r="D284" i="46"/>
  <c r="B284" i="46"/>
  <c r="F283" i="46"/>
  <c r="D283" i="46"/>
  <c r="B283" i="46"/>
  <c r="F282" i="46"/>
  <c r="D282" i="46"/>
  <c r="B282" i="46"/>
  <c r="F281" i="46"/>
  <c r="D281" i="46"/>
  <c r="B281" i="46"/>
  <c r="F280" i="46"/>
  <c r="D280" i="46"/>
  <c r="B280" i="46"/>
  <c r="F279" i="46"/>
  <c r="D279" i="46"/>
  <c r="B279" i="46"/>
  <c r="F278" i="46"/>
  <c r="D278" i="46"/>
  <c r="B278" i="46"/>
  <c r="F277" i="46"/>
  <c r="D277" i="46"/>
  <c r="B277" i="46"/>
  <c r="F276" i="46"/>
  <c r="D276" i="46"/>
  <c r="B276" i="46"/>
  <c r="F275" i="46"/>
  <c r="D275" i="46"/>
  <c r="B275" i="46"/>
  <c r="F274" i="46"/>
  <c r="D274" i="46"/>
  <c r="B274" i="46"/>
  <c r="F273" i="46"/>
  <c r="D273" i="46"/>
  <c r="B273" i="46"/>
  <c r="F272" i="46"/>
  <c r="D272" i="46"/>
  <c r="B272" i="46"/>
  <c r="F271" i="46"/>
  <c r="D271" i="46"/>
  <c r="B271" i="46"/>
  <c r="F270" i="46"/>
  <c r="D270" i="46"/>
  <c r="B270" i="46"/>
  <c r="F269" i="46"/>
  <c r="D269" i="46"/>
  <c r="B269" i="46"/>
  <c r="F268" i="46"/>
  <c r="D268" i="46"/>
  <c r="B268" i="46"/>
  <c r="F267" i="46"/>
  <c r="D267" i="46"/>
  <c r="B267" i="46"/>
  <c r="F266" i="46"/>
  <c r="D266" i="46"/>
  <c r="B266" i="46"/>
  <c r="F265" i="46"/>
  <c r="D265" i="46"/>
  <c r="B265" i="46"/>
  <c r="F264" i="46"/>
  <c r="D264" i="46"/>
  <c r="B264" i="46"/>
  <c r="F261" i="46"/>
  <c r="D261" i="46"/>
  <c r="B261" i="46"/>
  <c r="F260" i="46"/>
  <c r="D260" i="46"/>
  <c r="B260" i="46"/>
  <c r="F259" i="46"/>
  <c r="D259" i="46"/>
  <c r="B259" i="46"/>
  <c r="F258" i="46"/>
  <c r="D258" i="46"/>
  <c r="B258" i="46"/>
  <c r="F257" i="46"/>
  <c r="D257" i="46"/>
  <c r="B257" i="46"/>
  <c r="F256" i="46"/>
  <c r="D256" i="46"/>
  <c r="B256" i="46"/>
  <c r="F255" i="46"/>
  <c r="D255" i="46"/>
  <c r="B255" i="46"/>
  <c r="F254" i="46"/>
  <c r="D254" i="46"/>
  <c r="B254" i="46"/>
  <c r="F253" i="46"/>
  <c r="D253" i="46"/>
  <c r="B253" i="46"/>
  <c r="F252" i="46"/>
  <c r="D252" i="46"/>
  <c r="B252" i="46"/>
  <c r="F251" i="46"/>
  <c r="D251" i="46"/>
  <c r="B251" i="46"/>
  <c r="F250" i="46"/>
  <c r="D250" i="46"/>
  <c r="B250" i="46"/>
  <c r="F249" i="46"/>
  <c r="D249" i="46"/>
  <c r="B249" i="46"/>
  <c r="F248" i="46"/>
  <c r="D248" i="46"/>
  <c r="B248" i="46"/>
  <c r="F247" i="46"/>
  <c r="D247" i="46"/>
  <c r="B247" i="46"/>
  <c r="F246" i="46"/>
  <c r="D246" i="46"/>
  <c r="B246" i="46"/>
  <c r="F245" i="46"/>
  <c r="D245" i="46"/>
  <c r="B245" i="46"/>
  <c r="F244" i="46"/>
  <c r="D244" i="46"/>
  <c r="B244" i="46"/>
  <c r="F243" i="46"/>
  <c r="D243" i="46"/>
  <c r="B243" i="46"/>
  <c r="F242" i="46"/>
  <c r="D242" i="46"/>
  <c r="B242" i="46"/>
  <c r="F241" i="46"/>
  <c r="D241" i="46"/>
  <c r="B241" i="46"/>
  <c r="F240" i="46"/>
  <c r="D240" i="46"/>
  <c r="B240" i="46"/>
  <c r="F239" i="46"/>
  <c r="D239" i="46"/>
  <c r="B239" i="46"/>
  <c r="F238" i="46"/>
  <c r="D238" i="46"/>
  <c r="B238" i="46"/>
  <c r="F237" i="46"/>
  <c r="D237" i="46"/>
  <c r="B237" i="46"/>
  <c r="F236" i="46"/>
  <c r="D236" i="46"/>
  <c r="B236" i="46"/>
  <c r="F235" i="46"/>
  <c r="D235" i="46"/>
  <c r="B235" i="46"/>
  <c r="F234" i="46"/>
  <c r="D234" i="46"/>
  <c r="B234" i="46"/>
  <c r="F233" i="46"/>
  <c r="D233" i="46"/>
  <c r="B233" i="46"/>
  <c r="F232" i="46"/>
  <c r="D232" i="46"/>
  <c r="B232" i="46"/>
  <c r="F231" i="46"/>
  <c r="D231" i="46"/>
  <c r="B231" i="46"/>
  <c r="F230" i="46"/>
  <c r="D230" i="46"/>
  <c r="B230" i="46"/>
  <c r="F229" i="46"/>
  <c r="D229" i="46"/>
  <c r="B229" i="46"/>
  <c r="F228" i="46"/>
  <c r="D228" i="46"/>
  <c r="B228" i="46"/>
  <c r="F227" i="46"/>
  <c r="D227" i="46"/>
  <c r="B227" i="46"/>
  <c r="F226" i="46"/>
  <c r="D226" i="46"/>
  <c r="B226" i="46"/>
  <c r="F225" i="46"/>
  <c r="D225" i="46"/>
  <c r="B225" i="46"/>
  <c r="F224" i="46"/>
  <c r="D224" i="46"/>
  <c r="B224" i="46"/>
  <c r="F223" i="46"/>
  <c r="D223" i="46"/>
  <c r="B223" i="46"/>
  <c r="F222" i="46"/>
  <c r="D222" i="46"/>
  <c r="B222" i="46"/>
  <c r="F221" i="46"/>
  <c r="D221" i="46"/>
  <c r="B221" i="46"/>
  <c r="F220" i="46"/>
  <c r="D220" i="46"/>
  <c r="B220" i="46"/>
  <c r="F219" i="46"/>
  <c r="D219" i="46"/>
  <c r="B219" i="46"/>
  <c r="F218" i="46"/>
  <c r="D218" i="46"/>
  <c r="B218" i="46"/>
  <c r="F217" i="46"/>
  <c r="D217" i="46"/>
  <c r="B217" i="46"/>
  <c r="F216" i="46"/>
  <c r="D216" i="46"/>
  <c r="B216" i="46"/>
  <c r="F215" i="46"/>
  <c r="D215" i="46"/>
  <c r="B215" i="46"/>
  <c r="F214" i="46"/>
  <c r="D214" i="46"/>
  <c r="B214" i="46"/>
  <c r="F213" i="46"/>
  <c r="D213" i="46"/>
  <c r="B213" i="46"/>
  <c r="F211" i="46"/>
  <c r="D211" i="46"/>
  <c r="B211" i="46"/>
  <c r="F210" i="46"/>
  <c r="D210" i="46"/>
  <c r="B210" i="46"/>
  <c r="F209" i="46"/>
  <c r="D209" i="46"/>
  <c r="B209" i="46"/>
  <c r="F208" i="46"/>
  <c r="D208" i="46"/>
  <c r="B208" i="46"/>
  <c r="F207" i="46"/>
  <c r="D207" i="46"/>
  <c r="B207" i="46"/>
  <c r="F206" i="46"/>
  <c r="D206" i="46"/>
  <c r="B206" i="46"/>
  <c r="F205" i="46"/>
  <c r="D205" i="46"/>
  <c r="B205" i="46"/>
  <c r="F204" i="46"/>
  <c r="D204" i="46"/>
  <c r="B204" i="46"/>
  <c r="F203" i="46"/>
  <c r="D203" i="46"/>
  <c r="B203" i="46"/>
  <c r="F202" i="46"/>
  <c r="D202" i="46"/>
  <c r="B202" i="46"/>
  <c r="F201" i="46"/>
  <c r="D201" i="46"/>
  <c r="B201" i="46"/>
  <c r="F200" i="46"/>
  <c r="D200" i="46"/>
  <c r="B200" i="46"/>
  <c r="F199" i="46"/>
  <c r="D199" i="46"/>
  <c r="B199" i="46"/>
  <c r="F198" i="46"/>
  <c r="D198" i="46"/>
  <c r="B198" i="46"/>
  <c r="F197" i="46"/>
  <c r="D197" i="46"/>
  <c r="B197" i="46"/>
  <c r="F196" i="46"/>
  <c r="D196" i="46"/>
  <c r="B196" i="46"/>
  <c r="F195" i="46"/>
  <c r="D195" i="46"/>
  <c r="B195" i="46"/>
  <c r="F194" i="46"/>
  <c r="D194" i="46"/>
  <c r="B194" i="46"/>
  <c r="F193" i="46"/>
  <c r="D193" i="46"/>
  <c r="B193" i="46"/>
  <c r="F192" i="46"/>
  <c r="D192" i="46"/>
  <c r="B192" i="46"/>
  <c r="F191" i="46"/>
  <c r="D191" i="46"/>
  <c r="B191" i="46"/>
  <c r="F190" i="46"/>
  <c r="D190" i="46"/>
  <c r="B190" i="46"/>
  <c r="F189" i="46"/>
  <c r="D189" i="46"/>
  <c r="B189" i="46"/>
  <c r="F188" i="46"/>
  <c r="D188" i="46"/>
  <c r="B188" i="46"/>
  <c r="F187" i="46"/>
  <c r="D187" i="46"/>
  <c r="B187" i="46"/>
  <c r="F186" i="46"/>
  <c r="D186" i="46"/>
  <c r="B186" i="46"/>
  <c r="F185" i="46"/>
  <c r="D185" i="46"/>
  <c r="B185" i="46"/>
  <c r="F184" i="46"/>
  <c r="D184" i="46"/>
  <c r="B184" i="46"/>
  <c r="F183" i="46"/>
  <c r="D183" i="46"/>
  <c r="B183" i="46"/>
  <c r="F182" i="46"/>
  <c r="D182" i="46"/>
  <c r="B182" i="46"/>
  <c r="F181" i="46"/>
  <c r="D181" i="46"/>
  <c r="B181" i="46"/>
  <c r="F180" i="46"/>
  <c r="D180" i="46"/>
  <c r="B180" i="46"/>
  <c r="F179" i="46"/>
  <c r="D179" i="46"/>
  <c r="B179" i="46"/>
  <c r="F178" i="46"/>
  <c r="D178" i="46"/>
  <c r="B178" i="46"/>
  <c r="F177" i="46"/>
  <c r="D177" i="46"/>
  <c r="B177" i="46"/>
  <c r="F176" i="46"/>
  <c r="D176" i="46"/>
  <c r="B176" i="46"/>
  <c r="F175" i="46"/>
  <c r="D175" i="46"/>
  <c r="B175" i="46"/>
  <c r="F174" i="46"/>
  <c r="D174" i="46"/>
  <c r="B174" i="46"/>
  <c r="F173" i="46"/>
  <c r="D173" i="46"/>
  <c r="B173" i="46"/>
  <c r="F172" i="46"/>
  <c r="D172" i="46"/>
  <c r="B172" i="46"/>
  <c r="F171" i="46"/>
  <c r="D171" i="46"/>
  <c r="B171" i="46"/>
  <c r="F170" i="46"/>
  <c r="D170" i="46"/>
  <c r="B170" i="46"/>
  <c r="F169" i="46"/>
  <c r="D169" i="46"/>
  <c r="B169" i="46"/>
  <c r="F168" i="46"/>
  <c r="D168" i="46"/>
  <c r="B168" i="46"/>
  <c r="F167" i="46"/>
  <c r="D167" i="46"/>
  <c r="B167" i="46"/>
  <c r="F166" i="46"/>
  <c r="D166" i="46"/>
  <c r="B166" i="46"/>
  <c r="F165" i="46"/>
  <c r="D165" i="46"/>
  <c r="B165" i="46"/>
  <c r="F164" i="46"/>
  <c r="D164" i="46"/>
  <c r="B164" i="46"/>
  <c r="F163" i="46"/>
  <c r="D163" i="46"/>
  <c r="B163" i="46"/>
  <c r="F160" i="46"/>
  <c r="D160" i="46"/>
  <c r="B160" i="46"/>
  <c r="F159" i="46"/>
  <c r="D159" i="46"/>
  <c r="B159" i="46"/>
  <c r="F158" i="46"/>
  <c r="D158" i="46"/>
  <c r="B158" i="46"/>
  <c r="F157" i="46"/>
  <c r="D157" i="46"/>
  <c r="B157" i="46"/>
  <c r="F156" i="46"/>
  <c r="D156" i="46"/>
  <c r="B156" i="46"/>
  <c r="F155" i="46"/>
  <c r="D155" i="46"/>
  <c r="B155" i="46"/>
  <c r="F154" i="46"/>
  <c r="D154" i="46"/>
  <c r="B154" i="46"/>
  <c r="F153" i="46"/>
  <c r="D153" i="46"/>
  <c r="B153" i="46"/>
  <c r="F152" i="46"/>
  <c r="D152" i="46"/>
  <c r="B152" i="46"/>
  <c r="F151" i="46"/>
  <c r="D151" i="46"/>
  <c r="B151" i="46"/>
  <c r="F150" i="46"/>
  <c r="D150" i="46"/>
  <c r="B150" i="46"/>
  <c r="F149" i="46"/>
  <c r="D149" i="46"/>
  <c r="B149" i="46"/>
  <c r="F148" i="46"/>
  <c r="D148" i="46"/>
  <c r="B148" i="46"/>
  <c r="F147" i="46"/>
  <c r="D147" i="46"/>
  <c r="B147" i="46"/>
  <c r="F146" i="46"/>
  <c r="D146" i="46"/>
  <c r="B146" i="46"/>
  <c r="F145" i="46"/>
  <c r="D145" i="46"/>
  <c r="B145" i="46"/>
  <c r="F144" i="46"/>
  <c r="D144" i="46"/>
  <c r="B144" i="46"/>
  <c r="F143" i="46"/>
  <c r="D143" i="46"/>
  <c r="B143" i="46"/>
  <c r="F142" i="46"/>
  <c r="D142" i="46"/>
  <c r="B142" i="46"/>
  <c r="F141" i="46"/>
  <c r="D141" i="46"/>
  <c r="B141" i="46"/>
  <c r="F140" i="46"/>
  <c r="D140" i="46"/>
  <c r="B140" i="46"/>
  <c r="F139" i="46"/>
  <c r="D139" i="46"/>
  <c r="B139" i="46"/>
  <c r="F138" i="46"/>
  <c r="D138" i="46"/>
  <c r="B138" i="46"/>
  <c r="F137" i="46"/>
  <c r="D137" i="46"/>
  <c r="B137" i="46"/>
  <c r="F136" i="46"/>
  <c r="D136" i="46"/>
  <c r="B136" i="46"/>
  <c r="F135" i="46"/>
  <c r="D135" i="46"/>
  <c r="B135" i="46"/>
  <c r="F134" i="46"/>
  <c r="D134" i="46"/>
  <c r="B134" i="46"/>
  <c r="F133" i="46"/>
  <c r="D133" i="46"/>
  <c r="B133" i="46"/>
  <c r="F132" i="46"/>
  <c r="D132" i="46"/>
  <c r="B132" i="46"/>
  <c r="F131" i="46"/>
  <c r="D131" i="46"/>
  <c r="B131" i="46"/>
  <c r="F130" i="46"/>
  <c r="D130" i="46"/>
  <c r="B130" i="46"/>
  <c r="F129" i="46"/>
  <c r="D129" i="46"/>
  <c r="B129" i="46"/>
  <c r="F128" i="46"/>
  <c r="D128" i="46"/>
  <c r="B128" i="46"/>
  <c r="F127" i="46"/>
  <c r="D127" i="46"/>
  <c r="B127" i="46"/>
  <c r="F126" i="46"/>
  <c r="D126" i="46"/>
  <c r="B126" i="46"/>
  <c r="F125" i="46"/>
  <c r="D125" i="46"/>
  <c r="B125" i="46"/>
  <c r="F124" i="46"/>
  <c r="D124" i="46"/>
  <c r="B124" i="46"/>
  <c r="F123" i="46"/>
  <c r="D123" i="46"/>
  <c r="B123" i="46"/>
  <c r="F122" i="46"/>
  <c r="D122" i="46"/>
  <c r="B122" i="46"/>
  <c r="F121" i="46"/>
  <c r="D121" i="46"/>
  <c r="B121" i="46"/>
  <c r="F120" i="46"/>
  <c r="D120" i="46"/>
  <c r="B120" i="46"/>
  <c r="F119" i="46"/>
  <c r="D119" i="46"/>
  <c r="B119" i="46"/>
  <c r="F118" i="46"/>
  <c r="D118" i="46"/>
  <c r="B118" i="46"/>
  <c r="F117" i="46"/>
  <c r="D117" i="46"/>
  <c r="B117" i="46"/>
  <c r="F116" i="46"/>
  <c r="D116" i="46"/>
  <c r="B116" i="46"/>
  <c r="F115" i="46"/>
  <c r="D115" i="46"/>
  <c r="B115" i="46"/>
  <c r="F114" i="46"/>
  <c r="D114" i="46"/>
  <c r="B114" i="46"/>
  <c r="F113" i="46"/>
  <c r="D113" i="46"/>
  <c r="B113" i="46"/>
  <c r="F112" i="46"/>
  <c r="D112" i="46"/>
  <c r="B112" i="46"/>
  <c r="F109" i="46"/>
  <c r="D109" i="46"/>
  <c r="B109" i="46"/>
  <c r="F108" i="46"/>
  <c r="D108" i="46"/>
  <c r="B108" i="46"/>
  <c r="F107" i="46"/>
  <c r="D107" i="46"/>
  <c r="B107" i="46"/>
  <c r="F106" i="46"/>
  <c r="D106" i="46"/>
  <c r="B106" i="46"/>
  <c r="F105" i="46"/>
  <c r="D105" i="46"/>
  <c r="B105" i="46"/>
  <c r="F104" i="46"/>
  <c r="D104" i="46"/>
  <c r="B104" i="46"/>
  <c r="F103" i="46"/>
  <c r="D103" i="46"/>
  <c r="B103" i="46"/>
  <c r="F102" i="46"/>
  <c r="D102" i="46"/>
  <c r="B102" i="46"/>
  <c r="F101" i="46"/>
  <c r="D101" i="46"/>
  <c r="B101" i="46"/>
  <c r="F100" i="46"/>
  <c r="D100" i="46"/>
  <c r="B100" i="46"/>
  <c r="F99" i="46"/>
  <c r="D99" i="46"/>
  <c r="B99" i="46"/>
  <c r="F98" i="46"/>
  <c r="D98" i="46"/>
  <c r="B98" i="46"/>
  <c r="F97" i="46"/>
  <c r="D97" i="46"/>
  <c r="B97" i="46"/>
  <c r="F96" i="46"/>
  <c r="D96" i="46"/>
  <c r="B96" i="46"/>
  <c r="F95" i="46"/>
  <c r="D95" i="46"/>
  <c r="B95" i="46"/>
  <c r="F94" i="46"/>
  <c r="D94" i="46"/>
  <c r="B94" i="46"/>
  <c r="F93" i="46"/>
  <c r="D93" i="46"/>
  <c r="B93" i="46"/>
  <c r="F92" i="46"/>
  <c r="D92" i="46"/>
  <c r="B92" i="46"/>
  <c r="F91" i="46"/>
  <c r="D91" i="46"/>
  <c r="B91" i="46"/>
  <c r="F90" i="46"/>
  <c r="D90" i="46"/>
  <c r="B90" i="46"/>
  <c r="F89" i="46"/>
  <c r="D89" i="46"/>
  <c r="B89" i="46"/>
  <c r="F88" i="46"/>
  <c r="D88" i="46"/>
  <c r="B88" i="46"/>
  <c r="F87" i="46"/>
  <c r="D87" i="46"/>
  <c r="B87" i="46"/>
  <c r="F86" i="46"/>
  <c r="D86" i="46"/>
  <c r="B86" i="46"/>
  <c r="F85" i="46"/>
  <c r="D85" i="46"/>
  <c r="B85" i="46"/>
  <c r="F84" i="46"/>
  <c r="D84" i="46"/>
  <c r="B84" i="46"/>
  <c r="F83" i="46"/>
  <c r="D83" i="46"/>
  <c r="B83" i="46"/>
  <c r="F82" i="46"/>
  <c r="D82" i="46"/>
  <c r="B82" i="46"/>
  <c r="F81" i="46"/>
  <c r="D81" i="46"/>
  <c r="B81" i="46"/>
  <c r="F80" i="46"/>
  <c r="D80" i="46"/>
  <c r="B80" i="46"/>
  <c r="F79" i="46"/>
  <c r="D79" i="46"/>
  <c r="B79" i="46"/>
  <c r="F78" i="46"/>
  <c r="D78" i="46"/>
  <c r="B78" i="46"/>
  <c r="F77" i="46"/>
  <c r="D77" i="46"/>
  <c r="B77" i="46"/>
  <c r="F76" i="46"/>
  <c r="D76" i="46"/>
  <c r="B76" i="46"/>
  <c r="F75" i="46"/>
  <c r="D75" i="46"/>
  <c r="B75" i="46"/>
  <c r="F74" i="46"/>
  <c r="D74" i="46"/>
  <c r="B74" i="46"/>
  <c r="F73" i="46"/>
  <c r="D73" i="46"/>
  <c r="B73" i="46"/>
  <c r="F72" i="46"/>
  <c r="D72" i="46"/>
  <c r="B72" i="46"/>
  <c r="F71" i="46"/>
  <c r="D71" i="46"/>
  <c r="B71" i="46"/>
  <c r="F70" i="46"/>
  <c r="D70" i="46"/>
  <c r="B70" i="46"/>
  <c r="F69" i="46"/>
  <c r="D69" i="46"/>
  <c r="B69" i="46"/>
  <c r="F68" i="46"/>
  <c r="D68" i="46"/>
  <c r="B68" i="46"/>
  <c r="F67" i="46"/>
  <c r="D67" i="46"/>
  <c r="B67" i="46"/>
  <c r="F66" i="46"/>
  <c r="D66" i="46"/>
  <c r="B66" i="46"/>
  <c r="F65" i="46"/>
  <c r="D65" i="46"/>
  <c r="B65" i="46"/>
  <c r="F64" i="46"/>
  <c r="D64" i="46"/>
  <c r="B64" i="46"/>
  <c r="F63" i="46"/>
  <c r="D63" i="46"/>
  <c r="B63" i="46"/>
  <c r="F62" i="46"/>
  <c r="D62" i="46"/>
  <c r="B62" i="46"/>
  <c r="F61" i="46"/>
  <c r="D61" i="46"/>
  <c r="B61" i="46"/>
  <c r="F58" i="46"/>
  <c r="D58" i="46"/>
  <c r="B58" i="46"/>
  <c r="F57" i="46"/>
  <c r="D57" i="46"/>
  <c r="B57" i="46"/>
  <c r="F56" i="46"/>
  <c r="D56" i="46"/>
  <c r="B56" i="46"/>
  <c r="F55" i="46"/>
  <c r="D55" i="46"/>
  <c r="B55" i="46"/>
  <c r="F54" i="46"/>
  <c r="D54" i="46"/>
  <c r="B54" i="46"/>
  <c r="F53" i="46"/>
  <c r="D53" i="46"/>
  <c r="B53" i="46"/>
  <c r="F52" i="46"/>
  <c r="D52" i="46"/>
  <c r="B52" i="46"/>
  <c r="F51" i="46"/>
  <c r="D51" i="46"/>
  <c r="B51" i="46"/>
  <c r="F50" i="46"/>
  <c r="D50" i="46"/>
  <c r="B50" i="46"/>
  <c r="F49" i="46"/>
  <c r="D49" i="46"/>
  <c r="B49" i="46"/>
  <c r="F48" i="46"/>
  <c r="D48" i="46"/>
  <c r="B48" i="46"/>
  <c r="F47" i="46"/>
  <c r="D47" i="46"/>
  <c r="B47" i="46"/>
  <c r="F46" i="46"/>
  <c r="D46" i="46"/>
  <c r="B46" i="46"/>
  <c r="F45" i="46"/>
  <c r="D45" i="46"/>
  <c r="B45" i="46"/>
  <c r="F44" i="46"/>
  <c r="D44" i="46"/>
  <c r="B44" i="46"/>
  <c r="F43" i="46"/>
  <c r="D43" i="46"/>
  <c r="B43" i="46"/>
  <c r="F42" i="46"/>
  <c r="D42" i="46"/>
  <c r="B42" i="46"/>
  <c r="F41" i="46"/>
  <c r="D41" i="46"/>
  <c r="B41" i="46"/>
  <c r="F40" i="46"/>
  <c r="D40" i="46"/>
  <c r="B40" i="46"/>
  <c r="F39" i="46"/>
  <c r="D39" i="46"/>
  <c r="B39" i="46"/>
  <c r="F38" i="46"/>
  <c r="D38" i="46"/>
  <c r="B38" i="46"/>
  <c r="F37" i="46"/>
  <c r="D37" i="46"/>
  <c r="B37" i="46"/>
  <c r="F36" i="46"/>
  <c r="D36" i="46"/>
  <c r="B36" i="46"/>
  <c r="F35" i="46"/>
  <c r="D35" i="46"/>
  <c r="B35" i="46"/>
  <c r="F34" i="46"/>
  <c r="D34" i="46"/>
  <c r="B34" i="46"/>
  <c r="F33" i="46"/>
  <c r="D33" i="46"/>
  <c r="B33" i="46"/>
  <c r="F32" i="46"/>
  <c r="D32" i="46"/>
  <c r="B32" i="46"/>
  <c r="F31" i="46"/>
  <c r="D31" i="46"/>
  <c r="B31" i="46"/>
  <c r="F30" i="46"/>
  <c r="D30" i="46"/>
  <c r="B30" i="46"/>
  <c r="F29" i="46"/>
  <c r="D29" i="46"/>
  <c r="B29" i="46"/>
  <c r="F28" i="46"/>
  <c r="D28" i="46"/>
  <c r="B28" i="46"/>
  <c r="F27" i="46"/>
  <c r="D27" i="46"/>
  <c r="B27" i="46"/>
  <c r="F26" i="46"/>
  <c r="D26" i="46"/>
  <c r="B26" i="46"/>
  <c r="F25" i="46"/>
  <c r="D25" i="46"/>
  <c r="B25" i="46"/>
  <c r="F24" i="46"/>
  <c r="D24" i="46"/>
  <c r="B24" i="46"/>
  <c r="F23" i="46"/>
  <c r="D23" i="46"/>
  <c r="B23" i="46"/>
  <c r="F22" i="46"/>
  <c r="D22" i="46"/>
  <c r="B22" i="46"/>
  <c r="F21" i="46"/>
  <c r="D21" i="46"/>
  <c r="B21" i="46"/>
  <c r="F20" i="46"/>
  <c r="D20" i="46"/>
  <c r="B20" i="46"/>
  <c r="F19" i="46"/>
  <c r="D19" i="46"/>
  <c r="B19" i="46"/>
  <c r="F18" i="46"/>
  <c r="D18" i="46"/>
  <c r="B18" i="46"/>
  <c r="F17" i="46"/>
  <c r="D17" i="46"/>
  <c r="B17" i="46"/>
  <c r="F16" i="46"/>
  <c r="D16" i="46"/>
  <c r="B16" i="46"/>
  <c r="F15" i="46"/>
  <c r="D15" i="46"/>
  <c r="B15" i="46"/>
  <c r="F14" i="46"/>
  <c r="D14" i="46"/>
  <c r="B14" i="46"/>
  <c r="F13" i="46"/>
  <c r="D13" i="46"/>
  <c r="B13" i="46"/>
  <c r="F12" i="46"/>
  <c r="D12" i="46"/>
  <c r="B12" i="46"/>
  <c r="F11" i="46"/>
  <c r="D11" i="46"/>
  <c r="B11" i="46"/>
  <c r="F10" i="46"/>
  <c r="D10" i="46"/>
  <c r="B10" i="46"/>
  <c r="F413" i="42"/>
  <c r="D413" i="42"/>
  <c r="B413" i="42"/>
  <c r="F412" i="42"/>
  <c r="D412" i="42"/>
  <c r="B412" i="42"/>
  <c r="F411" i="42"/>
  <c r="D411" i="42"/>
  <c r="B411" i="42"/>
  <c r="F410" i="42"/>
  <c r="D410" i="42"/>
  <c r="B410" i="42"/>
  <c r="F409" i="42"/>
  <c r="D409" i="42"/>
  <c r="B409" i="42"/>
  <c r="F408" i="42"/>
  <c r="D408" i="42"/>
  <c r="B408" i="42"/>
  <c r="F407" i="42"/>
  <c r="D407" i="42"/>
  <c r="B407" i="42"/>
  <c r="F406" i="42"/>
  <c r="D406" i="42"/>
  <c r="B406" i="42"/>
  <c r="F405" i="42"/>
  <c r="D405" i="42"/>
  <c r="B405" i="42"/>
  <c r="F404" i="42"/>
  <c r="D404" i="42"/>
  <c r="B404" i="42"/>
  <c r="F403" i="42"/>
  <c r="D403" i="42"/>
  <c r="B403" i="42"/>
  <c r="F402" i="42"/>
  <c r="D402" i="42"/>
  <c r="B402" i="42"/>
  <c r="F401" i="42"/>
  <c r="D401" i="42"/>
  <c r="B401" i="42"/>
  <c r="F400" i="42"/>
  <c r="D400" i="42"/>
  <c r="B400" i="42"/>
  <c r="F399" i="42"/>
  <c r="D399" i="42"/>
  <c r="B399" i="42"/>
  <c r="F398" i="42"/>
  <c r="D398" i="42"/>
  <c r="B398" i="42"/>
  <c r="F397" i="42"/>
  <c r="D397" i="42"/>
  <c r="B397" i="42"/>
  <c r="F396" i="42"/>
  <c r="D396" i="42"/>
  <c r="B396" i="42"/>
  <c r="F395" i="42"/>
  <c r="D395" i="42"/>
  <c r="B395" i="42"/>
  <c r="F394" i="42"/>
  <c r="D394" i="42"/>
  <c r="B394" i="42"/>
  <c r="F393" i="42"/>
  <c r="D393" i="42"/>
  <c r="B393" i="42"/>
  <c r="F392" i="42"/>
  <c r="D392" i="42"/>
  <c r="B392" i="42"/>
  <c r="F391" i="42"/>
  <c r="D391" i="42"/>
  <c r="B391" i="42"/>
  <c r="F390" i="42"/>
  <c r="D390" i="42"/>
  <c r="B390" i="42"/>
  <c r="F389" i="42"/>
  <c r="D389" i="42"/>
  <c r="B389" i="42"/>
  <c r="F388" i="42"/>
  <c r="D388" i="42"/>
  <c r="B388" i="42"/>
  <c r="F387" i="42"/>
  <c r="D387" i="42"/>
  <c r="B387" i="42"/>
  <c r="F386" i="42"/>
  <c r="D386" i="42"/>
  <c r="B386" i="42"/>
  <c r="F385" i="42"/>
  <c r="D385" i="42"/>
  <c r="B385" i="42"/>
  <c r="F384" i="42"/>
  <c r="D384" i="42"/>
  <c r="B384" i="42"/>
  <c r="F383" i="42"/>
  <c r="D383" i="42"/>
  <c r="B383" i="42"/>
  <c r="F382" i="42"/>
  <c r="D382" i="42"/>
  <c r="B382" i="42"/>
  <c r="F381" i="42"/>
  <c r="D381" i="42"/>
  <c r="B381" i="42"/>
  <c r="F380" i="42"/>
  <c r="D380" i="42"/>
  <c r="B380" i="42"/>
  <c r="F379" i="42"/>
  <c r="D379" i="42"/>
  <c r="B379" i="42"/>
  <c r="F378" i="42"/>
  <c r="D378" i="42"/>
  <c r="B378" i="42"/>
  <c r="F377" i="42"/>
  <c r="D377" i="42"/>
  <c r="B377" i="42"/>
  <c r="F376" i="42"/>
  <c r="D376" i="42"/>
  <c r="B376" i="42"/>
  <c r="F375" i="42"/>
  <c r="D375" i="42"/>
  <c r="B375" i="42"/>
  <c r="F374" i="42"/>
  <c r="D374" i="42"/>
  <c r="B374" i="42"/>
  <c r="F373" i="42"/>
  <c r="D373" i="42"/>
  <c r="B373" i="42"/>
  <c r="F372" i="42"/>
  <c r="D372" i="42"/>
  <c r="B372" i="42"/>
  <c r="F371" i="42"/>
  <c r="D371" i="42"/>
  <c r="B371" i="42"/>
  <c r="F370" i="42"/>
  <c r="D370" i="42"/>
  <c r="B370" i="42"/>
  <c r="F369" i="42"/>
  <c r="D369" i="42"/>
  <c r="B369" i="42"/>
  <c r="F368" i="42"/>
  <c r="D368" i="42"/>
  <c r="B368" i="42"/>
  <c r="F367" i="42"/>
  <c r="D367" i="42"/>
  <c r="B367" i="42"/>
  <c r="F366" i="42"/>
  <c r="D366" i="42"/>
  <c r="B366" i="42"/>
  <c r="F365" i="42"/>
  <c r="D365" i="42"/>
  <c r="B365" i="42"/>
  <c r="F363" i="42"/>
  <c r="D363" i="42"/>
  <c r="B363" i="42"/>
  <c r="F362" i="42"/>
  <c r="D362" i="42"/>
  <c r="B362" i="42"/>
  <c r="F361" i="42"/>
  <c r="D361" i="42"/>
  <c r="B361" i="42"/>
  <c r="F360" i="42"/>
  <c r="D360" i="42"/>
  <c r="B360" i="42"/>
  <c r="F359" i="42"/>
  <c r="D359" i="42"/>
  <c r="B359" i="42"/>
  <c r="F358" i="42"/>
  <c r="D358" i="42"/>
  <c r="B358" i="42"/>
  <c r="F357" i="42"/>
  <c r="D357" i="42"/>
  <c r="B357" i="42"/>
  <c r="F356" i="42"/>
  <c r="D356" i="42"/>
  <c r="B356" i="42"/>
  <c r="F355" i="42"/>
  <c r="D355" i="42"/>
  <c r="B355" i="42"/>
  <c r="F354" i="42"/>
  <c r="D354" i="42"/>
  <c r="B354" i="42"/>
  <c r="F353" i="42"/>
  <c r="D353" i="42"/>
  <c r="B353" i="42"/>
  <c r="F352" i="42"/>
  <c r="D352" i="42"/>
  <c r="B352" i="42"/>
  <c r="F351" i="42"/>
  <c r="D351" i="42"/>
  <c r="B351" i="42"/>
  <c r="F350" i="42"/>
  <c r="D350" i="42"/>
  <c r="B350" i="42"/>
  <c r="F349" i="42"/>
  <c r="D349" i="42"/>
  <c r="B349" i="42"/>
  <c r="F348" i="42"/>
  <c r="D348" i="42"/>
  <c r="B348" i="42"/>
  <c r="F347" i="42"/>
  <c r="D347" i="42"/>
  <c r="B347" i="42"/>
  <c r="F346" i="42"/>
  <c r="D346" i="42"/>
  <c r="B346" i="42"/>
  <c r="F345" i="42"/>
  <c r="D345" i="42"/>
  <c r="B345" i="42"/>
  <c r="F344" i="42"/>
  <c r="D344" i="42"/>
  <c r="B344" i="42"/>
  <c r="F343" i="42"/>
  <c r="D343" i="42"/>
  <c r="B343" i="42"/>
  <c r="F342" i="42"/>
  <c r="D342" i="42"/>
  <c r="B342" i="42"/>
  <c r="F341" i="42"/>
  <c r="D341" i="42"/>
  <c r="B341" i="42"/>
  <c r="F340" i="42"/>
  <c r="D340" i="42"/>
  <c r="B340" i="42"/>
  <c r="F339" i="42"/>
  <c r="D339" i="42"/>
  <c r="B339" i="42"/>
  <c r="F338" i="42"/>
  <c r="D338" i="42"/>
  <c r="B338" i="42"/>
  <c r="F337" i="42"/>
  <c r="D337" i="42"/>
  <c r="B337" i="42"/>
  <c r="F336" i="42"/>
  <c r="D336" i="42"/>
  <c r="B336" i="42"/>
  <c r="F335" i="42"/>
  <c r="D335" i="42"/>
  <c r="B335" i="42"/>
  <c r="F334" i="42"/>
  <c r="D334" i="42"/>
  <c r="B334" i="42"/>
  <c r="F333" i="42"/>
  <c r="D333" i="42"/>
  <c r="B333" i="42"/>
  <c r="F332" i="42"/>
  <c r="D332" i="42"/>
  <c r="B332" i="42"/>
  <c r="F331" i="42"/>
  <c r="D331" i="42"/>
  <c r="B331" i="42"/>
  <c r="F330" i="42"/>
  <c r="D330" i="42"/>
  <c r="B330" i="42"/>
  <c r="F329" i="42"/>
  <c r="D329" i="42"/>
  <c r="B329" i="42"/>
  <c r="F328" i="42"/>
  <c r="D328" i="42"/>
  <c r="B328" i="42"/>
  <c r="F327" i="42"/>
  <c r="D327" i="42"/>
  <c r="B327" i="42"/>
  <c r="F326" i="42"/>
  <c r="D326" i="42"/>
  <c r="B326" i="42"/>
  <c r="F325" i="42"/>
  <c r="D325" i="42"/>
  <c r="B325" i="42"/>
  <c r="F324" i="42"/>
  <c r="D324" i="42"/>
  <c r="B324" i="42"/>
  <c r="F323" i="42"/>
  <c r="D323" i="42"/>
  <c r="B323" i="42"/>
  <c r="F322" i="42"/>
  <c r="D322" i="42"/>
  <c r="B322" i="42"/>
  <c r="F321" i="42"/>
  <c r="D321" i="42"/>
  <c r="B321" i="42"/>
  <c r="F320" i="42"/>
  <c r="D320" i="42"/>
  <c r="B320" i="42"/>
  <c r="F319" i="42"/>
  <c r="D319" i="42"/>
  <c r="B319" i="42"/>
  <c r="F318" i="42"/>
  <c r="D318" i="42"/>
  <c r="B318" i="42"/>
  <c r="F317" i="42"/>
  <c r="D317" i="42"/>
  <c r="B317" i="42"/>
  <c r="F316" i="42"/>
  <c r="D316" i="42"/>
  <c r="B316" i="42"/>
  <c r="F315" i="42"/>
  <c r="D315" i="42"/>
  <c r="B315" i="42"/>
  <c r="F312" i="42"/>
  <c r="D312" i="42"/>
  <c r="B312" i="42"/>
  <c r="F311" i="42"/>
  <c r="D311" i="42"/>
  <c r="B311" i="42"/>
  <c r="F310" i="42"/>
  <c r="D310" i="42"/>
  <c r="B310" i="42"/>
  <c r="F309" i="42"/>
  <c r="D309" i="42"/>
  <c r="B309" i="42"/>
  <c r="F308" i="42"/>
  <c r="D308" i="42"/>
  <c r="B308" i="42"/>
  <c r="F307" i="42"/>
  <c r="D307" i="42"/>
  <c r="B307" i="42"/>
  <c r="F306" i="42"/>
  <c r="D306" i="42"/>
  <c r="B306" i="42"/>
  <c r="F305" i="42"/>
  <c r="D305" i="42"/>
  <c r="B305" i="42"/>
  <c r="F304" i="42"/>
  <c r="D304" i="42"/>
  <c r="B304" i="42"/>
  <c r="F303" i="42"/>
  <c r="D303" i="42"/>
  <c r="B303" i="42"/>
  <c r="F302" i="42"/>
  <c r="D302" i="42"/>
  <c r="B302" i="42"/>
  <c r="F301" i="42"/>
  <c r="D301" i="42"/>
  <c r="B301" i="42"/>
  <c r="F300" i="42"/>
  <c r="D300" i="42"/>
  <c r="B300" i="42"/>
  <c r="F299" i="42"/>
  <c r="D299" i="42"/>
  <c r="B299" i="42"/>
  <c r="F298" i="42"/>
  <c r="D298" i="42"/>
  <c r="B298" i="42"/>
  <c r="F297" i="42"/>
  <c r="D297" i="42"/>
  <c r="B297" i="42"/>
  <c r="F296" i="42"/>
  <c r="D296" i="42"/>
  <c r="B296" i="42"/>
  <c r="F295" i="42"/>
  <c r="D295" i="42"/>
  <c r="B295" i="42"/>
  <c r="F294" i="42"/>
  <c r="D294" i="42"/>
  <c r="B294" i="42"/>
  <c r="F293" i="42"/>
  <c r="D293" i="42"/>
  <c r="B293" i="42"/>
  <c r="F292" i="42"/>
  <c r="D292" i="42"/>
  <c r="B292" i="42"/>
  <c r="F291" i="42"/>
  <c r="D291" i="42"/>
  <c r="B291" i="42"/>
  <c r="F290" i="42"/>
  <c r="D290" i="42"/>
  <c r="B290" i="42"/>
  <c r="F289" i="42"/>
  <c r="D289" i="42"/>
  <c r="B289" i="42"/>
  <c r="F288" i="42"/>
  <c r="D288" i="42"/>
  <c r="B288" i="42"/>
  <c r="F287" i="42"/>
  <c r="D287" i="42"/>
  <c r="B287" i="42"/>
  <c r="F286" i="42"/>
  <c r="D286" i="42"/>
  <c r="B286" i="42"/>
  <c r="F285" i="42"/>
  <c r="D285" i="42"/>
  <c r="B285" i="42"/>
  <c r="F284" i="42"/>
  <c r="D284" i="42"/>
  <c r="B284" i="42"/>
  <c r="F283" i="42"/>
  <c r="D283" i="42"/>
  <c r="B283" i="42"/>
  <c r="F282" i="42"/>
  <c r="D282" i="42"/>
  <c r="B282" i="42"/>
  <c r="F281" i="42"/>
  <c r="D281" i="42"/>
  <c r="B281" i="42"/>
  <c r="F280" i="42"/>
  <c r="D280" i="42"/>
  <c r="B280" i="42"/>
  <c r="F279" i="42"/>
  <c r="D279" i="42"/>
  <c r="B279" i="42"/>
  <c r="F278" i="42"/>
  <c r="D278" i="42"/>
  <c r="B278" i="42"/>
  <c r="F277" i="42"/>
  <c r="D277" i="42"/>
  <c r="B277" i="42"/>
  <c r="F276" i="42"/>
  <c r="D276" i="42"/>
  <c r="B276" i="42"/>
  <c r="F275" i="42"/>
  <c r="D275" i="42"/>
  <c r="B275" i="42"/>
  <c r="F274" i="42"/>
  <c r="D274" i="42"/>
  <c r="B274" i="42"/>
  <c r="F273" i="42"/>
  <c r="D273" i="42"/>
  <c r="B273" i="42"/>
  <c r="F272" i="42"/>
  <c r="D272" i="42"/>
  <c r="B272" i="42"/>
  <c r="F271" i="42"/>
  <c r="D271" i="42"/>
  <c r="B271" i="42"/>
  <c r="F270" i="42"/>
  <c r="D270" i="42"/>
  <c r="B270" i="42"/>
  <c r="F269" i="42"/>
  <c r="D269" i="42"/>
  <c r="B269" i="42"/>
  <c r="F268" i="42"/>
  <c r="D268" i="42"/>
  <c r="B268" i="42"/>
  <c r="F267" i="42"/>
  <c r="D267" i="42"/>
  <c r="B267" i="42"/>
  <c r="F266" i="42"/>
  <c r="D266" i="42"/>
  <c r="B266" i="42"/>
  <c r="F265" i="42"/>
  <c r="D265" i="42"/>
  <c r="B265" i="42"/>
  <c r="F264" i="42"/>
  <c r="D264" i="42"/>
  <c r="B264" i="42"/>
  <c r="F261" i="42"/>
  <c r="D261" i="42"/>
  <c r="B261" i="42"/>
  <c r="F260" i="42"/>
  <c r="D260" i="42"/>
  <c r="B260" i="42"/>
  <c r="F259" i="42"/>
  <c r="D259" i="42"/>
  <c r="B259" i="42"/>
  <c r="F258" i="42"/>
  <c r="D258" i="42"/>
  <c r="B258" i="42"/>
  <c r="F257" i="42"/>
  <c r="D257" i="42"/>
  <c r="B257" i="42"/>
  <c r="F256" i="42"/>
  <c r="D256" i="42"/>
  <c r="B256" i="42"/>
  <c r="F255" i="42"/>
  <c r="D255" i="42"/>
  <c r="B255" i="42"/>
  <c r="F254" i="42"/>
  <c r="D254" i="42"/>
  <c r="B254" i="42"/>
  <c r="F253" i="42"/>
  <c r="D253" i="42"/>
  <c r="B253" i="42"/>
  <c r="F252" i="42"/>
  <c r="D252" i="42"/>
  <c r="B252" i="42"/>
  <c r="F251" i="42"/>
  <c r="D251" i="42"/>
  <c r="B251" i="42"/>
  <c r="F250" i="42"/>
  <c r="D250" i="42"/>
  <c r="B250" i="42"/>
  <c r="F249" i="42"/>
  <c r="D249" i="42"/>
  <c r="B249" i="42"/>
  <c r="F248" i="42"/>
  <c r="D248" i="42"/>
  <c r="B248" i="42"/>
  <c r="F247" i="42"/>
  <c r="D247" i="42"/>
  <c r="B247" i="42"/>
  <c r="F246" i="42"/>
  <c r="D246" i="42"/>
  <c r="B246" i="42"/>
  <c r="F245" i="42"/>
  <c r="D245" i="42"/>
  <c r="B245" i="42"/>
  <c r="F244" i="42"/>
  <c r="D244" i="42"/>
  <c r="B244" i="42"/>
  <c r="F243" i="42"/>
  <c r="D243" i="42"/>
  <c r="B243" i="42"/>
  <c r="F242" i="42"/>
  <c r="D242" i="42"/>
  <c r="B242" i="42"/>
  <c r="F241" i="42"/>
  <c r="D241" i="42"/>
  <c r="B241" i="42"/>
  <c r="F240" i="42"/>
  <c r="D240" i="42"/>
  <c r="B240" i="42"/>
  <c r="F239" i="42"/>
  <c r="D239" i="42"/>
  <c r="B239" i="42"/>
  <c r="F238" i="42"/>
  <c r="D238" i="42"/>
  <c r="B238" i="42"/>
  <c r="F237" i="42"/>
  <c r="D237" i="42"/>
  <c r="B237" i="42"/>
  <c r="F236" i="42"/>
  <c r="D236" i="42"/>
  <c r="B236" i="42"/>
  <c r="F235" i="42"/>
  <c r="D235" i="42"/>
  <c r="B235" i="42"/>
  <c r="F234" i="42"/>
  <c r="D234" i="42"/>
  <c r="B234" i="42"/>
  <c r="F233" i="42"/>
  <c r="D233" i="42"/>
  <c r="B233" i="42"/>
  <c r="F232" i="42"/>
  <c r="D232" i="42"/>
  <c r="B232" i="42"/>
  <c r="F231" i="42"/>
  <c r="D231" i="42"/>
  <c r="B231" i="42"/>
  <c r="F230" i="42"/>
  <c r="D230" i="42"/>
  <c r="B230" i="42"/>
  <c r="F229" i="42"/>
  <c r="D229" i="42"/>
  <c r="B229" i="42"/>
  <c r="F228" i="42"/>
  <c r="D228" i="42"/>
  <c r="B228" i="42"/>
  <c r="F227" i="42"/>
  <c r="D227" i="42"/>
  <c r="B227" i="42"/>
  <c r="F226" i="42"/>
  <c r="D226" i="42"/>
  <c r="B226" i="42"/>
  <c r="F225" i="42"/>
  <c r="D225" i="42"/>
  <c r="B225" i="42"/>
  <c r="F224" i="42"/>
  <c r="D224" i="42"/>
  <c r="B224" i="42"/>
  <c r="F223" i="42"/>
  <c r="D223" i="42"/>
  <c r="B223" i="42"/>
  <c r="F222" i="42"/>
  <c r="D222" i="42"/>
  <c r="B222" i="42"/>
  <c r="F221" i="42"/>
  <c r="D221" i="42"/>
  <c r="B221" i="42"/>
  <c r="F220" i="42"/>
  <c r="D220" i="42"/>
  <c r="B220" i="42"/>
  <c r="F219" i="42"/>
  <c r="D219" i="42"/>
  <c r="B219" i="42"/>
  <c r="F218" i="42"/>
  <c r="D218" i="42"/>
  <c r="B218" i="42"/>
  <c r="F217" i="42"/>
  <c r="D217" i="42"/>
  <c r="B217" i="42"/>
  <c r="F216" i="42"/>
  <c r="D216" i="42"/>
  <c r="B216" i="42"/>
  <c r="F215" i="42"/>
  <c r="D215" i="42"/>
  <c r="B215" i="42"/>
  <c r="F214" i="42"/>
  <c r="D214" i="42"/>
  <c r="B214" i="42"/>
  <c r="F213" i="42"/>
  <c r="D213" i="42"/>
  <c r="B213" i="42"/>
  <c r="F211" i="42"/>
  <c r="D211" i="42"/>
  <c r="B211" i="42"/>
  <c r="F210" i="42"/>
  <c r="D210" i="42"/>
  <c r="B210" i="42"/>
  <c r="F209" i="42"/>
  <c r="D209" i="42"/>
  <c r="B209" i="42"/>
  <c r="F208" i="42"/>
  <c r="D208" i="42"/>
  <c r="B208" i="42"/>
  <c r="F207" i="42"/>
  <c r="D207" i="42"/>
  <c r="B207" i="42"/>
  <c r="F206" i="42"/>
  <c r="D206" i="42"/>
  <c r="B206" i="42"/>
  <c r="F205" i="42"/>
  <c r="D205" i="42"/>
  <c r="B205" i="42"/>
  <c r="F204" i="42"/>
  <c r="D204" i="42"/>
  <c r="B204" i="42"/>
  <c r="F203" i="42"/>
  <c r="D203" i="42"/>
  <c r="B203" i="42"/>
  <c r="F202" i="42"/>
  <c r="D202" i="42"/>
  <c r="B202" i="42"/>
  <c r="F201" i="42"/>
  <c r="D201" i="42"/>
  <c r="B201" i="42"/>
  <c r="F200" i="42"/>
  <c r="D200" i="42"/>
  <c r="B200" i="42"/>
  <c r="F199" i="42"/>
  <c r="D199" i="42"/>
  <c r="B199" i="42"/>
  <c r="F198" i="42"/>
  <c r="D198" i="42"/>
  <c r="B198" i="42"/>
  <c r="F197" i="42"/>
  <c r="D197" i="42"/>
  <c r="B197" i="42"/>
  <c r="F196" i="42"/>
  <c r="D196" i="42"/>
  <c r="B196" i="42"/>
  <c r="F195" i="42"/>
  <c r="D195" i="42"/>
  <c r="B195" i="42"/>
  <c r="F194" i="42"/>
  <c r="D194" i="42"/>
  <c r="B194" i="42"/>
  <c r="F193" i="42"/>
  <c r="D193" i="42"/>
  <c r="B193" i="42"/>
  <c r="F192" i="42"/>
  <c r="D192" i="42"/>
  <c r="B192" i="42"/>
  <c r="F191" i="42"/>
  <c r="D191" i="42"/>
  <c r="B191" i="42"/>
  <c r="F190" i="42"/>
  <c r="D190" i="42"/>
  <c r="B190" i="42"/>
  <c r="F189" i="42"/>
  <c r="D189" i="42"/>
  <c r="B189" i="42"/>
  <c r="F188" i="42"/>
  <c r="D188" i="42"/>
  <c r="B188" i="42"/>
  <c r="F187" i="42"/>
  <c r="D187" i="42"/>
  <c r="B187" i="42"/>
  <c r="F186" i="42"/>
  <c r="D186" i="42"/>
  <c r="B186" i="42"/>
  <c r="F185" i="42"/>
  <c r="D185" i="42"/>
  <c r="B185" i="42"/>
  <c r="F184" i="42"/>
  <c r="D184" i="42"/>
  <c r="B184" i="42"/>
  <c r="F183" i="42"/>
  <c r="D183" i="42"/>
  <c r="B183" i="42"/>
  <c r="F182" i="42"/>
  <c r="D182" i="42"/>
  <c r="B182" i="42"/>
  <c r="F181" i="42"/>
  <c r="D181" i="42"/>
  <c r="B181" i="42"/>
  <c r="F180" i="42"/>
  <c r="D180" i="42"/>
  <c r="B180" i="42"/>
  <c r="F179" i="42"/>
  <c r="D179" i="42"/>
  <c r="B179" i="42"/>
  <c r="F178" i="42"/>
  <c r="D178" i="42"/>
  <c r="B178" i="42"/>
  <c r="F177" i="42"/>
  <c r="D177" i="42"/>
  <c r="B177" i="42"/>
  <c r="F176" i="42"/>
  <c r="D176" i="42"/>
  <c r="B176" i="42"/>
  <c r="F175" i="42"/>
  <c r="D175" i="42"/>
  <c r="B175" i="42"/>
  <c r="F174" i="42"/>
  <c r="D174" i="42"/>
  <c r="B174" i="42"/>
  <c r="F173" i="42"/>
  <c r="D173" i="42"/>
  <c r="B173" i="42"/>
  <c r="F172" i="42"/>
  <c r="D172" i="42"/>
  <c r="B172" i="42"/>
  <c r="F171" i="42"/>
  <c r="D171" i="42"/>
  <c r="B171" i="42"/>
  <c r="F170" i="42"/>
  <c r="D170" i="42"/>
  <c r="B170" i="42"/>
  <c r="F169" i="42"/>
  <c r="D169" i="42"/>
  <c r="B169" i="42"/>
  <c r="F168" i="42"/>
  <c r="D168" i="42"/>
  <c r="B168" i="42"/>
  <c r="F167" i="42"/>
  <c r="D167" i="42"/>
  <c r="B167" i="42"/>
  <c r="F166" i="42"/>
  <c r="D166" i="42"/>
  <c r="B166" i="42"/>
  <c r="F165" i="42"/>
  <c r="D165" i="42"/>
  <c r="B165" i="42"/>
  <c r="F164" i="42"/>
  <c r="D164" i="42"/>
  <c r="B164" i="42"/>
  <c r="F163" i="42"/>
  <c r="D163" i="42"/>
  <c r="B163" i="42"/>
  <c r="F160" i="42"/>
  <c r="D160" i="42"/>
  <c r="B160" i="42"/>
  <c r="F159" i="42"/>
  <c r="D159" i="42"/>
  <c r="B159" i="42"/>
  <c r="F158" i="42"/>
  <c r="D158" i="42"/>
  <c r="B158" i="42"/>
  <c r="F157" i="42"/>
  <c r="D157" i="42"/>
  <c r="B157" i="42"/>
  <c r="F156" i="42"/>
  <c r="D156" i="42"/>
  <c r="B156" i="42"/>
  <c r="F155" i="42"/>
  <c r="D155" i="42"/>
  <c r="B155" i="42"/>
  <c r="F154" i="42"/>
  <c r="D154" i="42"/>
  <c r="B154" i="42"/>
  <c r="F153" i="42"/>
  <c r="D153" i="42"/>
  <c r="B153" i="42"/>
  <c r="F152" i="42"/>
  <c r="D152" i="42"/>
  <c r="B152" i="42"/>
  <c r="F151" i="42"/>
  <c r="D151" i="42"/>
  <c r="B151" i="42"/>
  <c r="F150" i="42"/>
  <c r="D150" i="42"/>
  <c r="B150" i="42"/>
  <c r="F149" i="42"/>
  <c r="D149" i="42"/>
  <c r="B149" i="42"/>
  <c r="F148" i="42"/>
  <c r="D148" i="42"/>
  <c r="B148" i="42"/>
  <c r="F147" i="42"/>
  <c r="D147" i="42"/>
  <c r="B147" i="42"/>
  <c r="F146" i="42"/>
  <c r="D146" i="42"/>
  <c r="B146" i="42"/>
  <c r="F145" i="42"/>
  <c r="D145" i="42"/>
  <c r="B145" i="42"/>
  <c r="F144" i="42"/>
  <c r="D144" i="42"/>
  <c r="B144" i="42"/>
  <c r="F143" i="42"/>
  <c r="D143" i="42"/>
  <c r="B143" i="42"/>
  <c r="F142" i="42"/>
  <c r="D142" i="42"/>
  <c r="B142" i="42"/>
  <c r="F141" i="42"/>
  <c r="D141" i="42"/>
  <c r="B141" i="42"/>
  <c r="F140" i="42"/>
  <c r="D140" i="42"/>
  <c r="B140" i="42"/>
  <c r="F139" i="42"/>
  <c r="D139" i="42"/>
  <c r="B139" i="42"/>
  <c r="F138" i="42"/>
  <c r="D138" i="42"/>
  <c r="B138" i="42"/>
  <c r="F137" i="42"/>
  <c r="D137" i="42"/>
  <c r="B137" i="42"/>
  <c r="F136" i="42"/>
  <c r="D136" i="42"/>
  <c r="B136" i="42"/>
  <c r="F135" i="42"/>
  <c r="D135" i="42"/>
  <c r="B135" i="42"/>
  <c r="F134" i="42"/>
  <c r="D134" i="42"/>
  <c r="B134" i="42"/>
  <c r="F133" i="42"/>
  <c r="D133" i="42"/>
  <c r="B133" i="42"/>
  <c r="F132" i="42"/>
  <c r="D132" i="42"/>
  <c r="B132" i="42"/>
  <c r="F131" i="42"/>
  <c r="D131" i="42"/>
  <c r="B131" i="42"/>
  <c r="F130" i="42"/>
  <c r="D130" i="42"/>
  <c r="B130" i="42"/>
  <c r="F129" i="42"/>
  <c r="D129" i="42"/>
  <c r="B129" i="42"/>
  <c r="F128" i="42"/>
  <c r="D128" i="42"/>
  <c r="B128" i="42"/>
  <c r="F127" i="42"/>
  <c r="D127" i="42"/>
  <c r="B127" i="42"/>
  <c r="F126" i="42"/>
  <c r="D126" i="42"/>
  <c r="B126" i="42"/>
  <c r="F125" i="42"/>
  <c r="D125" i="42"/>
  <c r="B125" i="42"/>
  <c r="F124" i="42"/>
  <c r="D124" i="42"/>
  <c r="B124" i="42"/>
  <c r="F123" i="42"/>
  <c r="D123" i="42"/>
  <c r="B123" i="42"/>
  <c r="F122" i="42"/>
  <c r="D122" i="42"/>
  <c r="B122" i="42"/>
  <c r="F121" i="42"/>
  <c r="D121" i="42"/>
  <c r="B121" i="42"/>
  <c r="F120" i="42"/>
  <c r="D120" i="42"/>
  <c r="B120" i="42"/>
  <c r="F119" i="42"/>
  <c r="D119" i="42"/>
  <c r="B119" i="42"/>
  <c r="F118" i="42"/>
  <c r="D118" i="42"/>
  <c r="B118" i="42"/>
  <c r="F117" i="42"/>
  <c r="D117" i="42"/>
  <c r="B117" i="42"/>
  <c r="F116" i="42"/>
  <c r="D116" i="42"/>
  <c r="B116" i="42"/>
  <c r="F115" i="42"/>
  <c r="D115" i="42"/>
  <c r="B115" i="42"/>
  <c r="F114" i="42"/>
  <c r="D114" i="42"/>
  <c r="B114" i="42"/>
  <c r="F113" i="42"/>
  <c r="D113" i="42"/>
  <c r="B113" i="42"/>
  <c r="F112" i="42"/>
  <c r="D112" i="42"/>
  <c r="B112" i="42"/>
  <c r="F109" i="42"/>
  <c r="D109" i="42"/>
  <c r="B109" i="42"/>
  <c r="F108" i="42"/>
  <c r="D108" i="42"/>
  <c r="B108" i="42"/>
  <c r="F107" i="42"/>
  <c r="D107" i="42"/>
  <c r="B107" i="42"/>
  <c r="F106" i="42"/>
  <c r="D106" i="42"/>
  <c r="B106" i="42"/>
  <c r="F105" i="42"/>
  <c r="D105" i="42"/>
  <c r="B105" i="42"/>
  <c r="F104" i="42"/>
  <c r="D104" i="42"/>
  <c r="B104" i="42"/>
  <c r="F103" i="42"/>
  <c r="D103" i="42"/>
  <c r="B103" i="42"/>
  <c r="F102" i="42"/>
  <c r="D102" i="42"/>
  <c r="B102" i="42"/>
  <c r="F101" i="42"/>
  <c r="D101" i="42"/>
  <c r="B101" i="42"/>
  <c r="F100" i="42"/>
  <c r="D100" i="42"/>
  <c r="B100" i="42"/>
  <c r="F99" i="42"/>
  <c r="D99" i="42"/>
  <c r="B99" i="42"/>
  <c r="F98" i="42"/>
  <c r="D98" i="42"/>
  <c r="B98" i="42"/>
  <c r="F97" i="42"/>
  <c r="D97" i="42"/>
  <c r="B97" i="42"/>
  <c r="F96" i="42"/>
  <c r="D96" i="42"/>
  <c r="B96" i="42"/>
  <c r="F95" i="42"/>
  <c r="D95" i="42"/>
  <c r="B95" i="42"/>
  <c r="F94" i="42"/>
  <c r="D94" i="42"/>
  <c r="B94" i="42"/>
  <c r="F93" i="42"/>
  <c r="D93" i="42"/>
  <c r="B93" i="42"/>
  <c r="F92" i="42"/>
  <c r="D92" i="42"/>
  <c r="B92" i="42"/>
  <c r="F91" i="42"/>
  <c r="D91" i="42"/>
  <c r="B91" i="42"/>
  <c r="F90" i="42"/>
  <c r="D90" i="42"/>
  <c r="B90" i="42"/>
  <c r="F89" i="42"/>
  <c r="D89" i="42"/>
  <c r="B89" i="42"/>
  <c r="F88" i="42"/>
  <c r="D88" i="42"/>
  <c r="B88" i="42"/>
  <c r="F87" i="42"/>
  <c r="D87" i="42"/>
  <c r="B87" i="42"/>
  <c r="F86" i="42"/>
  <c r="D86" i="42"/>
  <c r="B86" i="42"/>
  <c r="F85" i="42"/>
  <c r="D85" i="42"/>
  <c r="B85" i="42"/>
  <c r="F84" i="42"/>
  <c r="D84" i="42"/>
  <c r="B84" i="42"/>
  <c r="F83" i="42"/>
  <c r="D83" i="42"/>
  <c r="B83" i="42"/>
  <c r="F82" i="42"/>
  <c r="D82" i="42"/>
  <c r="B82" i="42"/>
  <c r="F81" i="42"/>
  <c r="D81" i="42"/>
  <c r="B81" i="42"/>
  <c r="F80" i="42"/>
  <c r="D80" i="42"/>
  <c r="B80" i="42"/>
  <c r="F79" i="42"/>
  <c r="D79" i="42"/>
  <c r="B79" i="42"/>
  <c r="F78" i="42"/>
  <c r="D78" i="42"/>
  <c r="B78" i="42"/>
  <c r="F77" i="42"/>
  <c r="D77" i="42"/>
  <c r="B77" i="42"/>
  <c r="F76" i="42"/>
  <c r="D76" i="42"/>
  <c r="B76" i="42"/>
  <c r="F75" i="42"/>
  <c r="D75" i="42"/>
  <c r="B75" i="42"/>
  <c r="F74" i="42"/>
  <c r="D74" i="42"/>
  <c r="B74" i="42"/>
  <c r="F73" i="42"/>
  <c r="D73" i="42"/>
  <c r="B73" i="42"/>
  <c r="F72" i="42"/>
  <c r="D72" i="42"/>
  <c r="B72" i="42"/>
  <c r="F71" i="42"/>
  <c r="D71" i="42"/>
  <c r="B71" i="42"/>
  <c r="F70" i="42"/>
  <c r="D70" i="42"/>
  <c r="B70" i="42"/>
  <c r="F69" i="42"/>
  <c r="D69" i="42"/>
  <c r="B69" i="42"/>
  <c r="F68" i="42"/>
  <c r="D68" i="42"/>
  <c r="B68" i="42"/>
  <c r="F67" i="42"/>
  <c r="D67" i="42"/>
  <c r="B67" i="42"/>
  <c r="F66" i="42"/>
  <c r="D66" i="42"/>
  <c r="B66" i="42"/>
  <c r="F65" i="42"/>
  <c r="D65" i="42"/>
  <c r="B65" i="42"/>
  <c r="F64" i="42"/>
  <c r="D64" i="42"/>
  <c r="B64" i="42"/>
  <c r="F63" i="42"/>
  <c r="D63" i="42"/>
  <c r="B63" i="42"/>
  <c r="F62" i="42"/>
  <c r="D62" i="42"/>
  <c r="B62" i="42"/>
  <c r="F61" i="42"/>
  <c r="D61" i="42"/>
  <c r="B61" i="42"/>
  <c r="F58" i="42"/>
  <c r="D58" i="42"/>
  <c r="B58" i="42"/>
  <c r="F57" i="42"/>
  <c r="D57" i="42"/>
  <c r="B57" i="42"/>
  <c r="F56" i="42"/>
  <c r="D56" i="42"/>
  <c r="B56" i="42"/>
  <c r="F55" i="42"/>
  <c r="D55" i="42"/>
  <c r="B55" i="42"/>
  <c r="F54" i="42"/>
  <c r="D54" i="42"/>
  <c r="B54" i="42"/>
  <c r="F53" i="42"/>
  <c r="D53" i="42"/>
  <c r="B53" i="42"/>
  <c r="F52" i="42"/>
  <c r="D52" i="42"/>
  <c r="B52" i="42"/>
  <c r="F51" i="42"/>
  <c r="D51" i="42"/>
  <c r="B51" i="42"/>
  <c r="F50" i="42"/>
  <c r="D50" i="42"/>
  <c r="B50" i="42"/>
  <c r="F49" i="42"/>
  <c r="D49" i="42"/>
  <c r="B49" i="42"/>
  <c r="F48" i="42"/>
  <c r="D48" i="42"/>
  <c r="B48" i="42"/>
  <c r="F47" i="42"/>
  <c r="D47" i="42"/>
  <c r="B47" i="42"/>
  <c r="F46" i="42"/>
  <c r="D46" i="42"/>
  <c r="B46" i="42"/>
  <c r="F45" i="42"/>
  <c r="D45" i="42"/>
  <c r="B45" i="42"/>
  <c r="F44" i="42"/>
  <c r="D44" i="42"/>
  <c r="B44" i="42"/>
  <c r="F43" i="42"/>
  <c r="D43" i="42"/>
  <c r="B43" i="42"/>
  <c r="F42" i="42"/>
  <c r="D42" i="42"/>
  <c r="B42" i="42"/>
  <c r="F41" i="42"/>
  <c r="D41" i="42"/>
  <c r="B41" i="42"/>
  <c r="F40" i="42"/>
  <c r="D40" i="42"/>
  <c r="B40" i="42"/>
  <c r="F39" i="42"/>
  <c r="D39" i="42"/>
  <c r="B39" i="42"/>
  <c r="F38" i="42"/>
  <c r="D38" i="42"/>
  <c r="B38" i="42"/>
  <c r="F37" i="42"/>
  <c r="D37" i="42"/>
  <c r="B37" i="42"/>
  <c r="F36" i="42"/>
  <c r="D36" i="42"/>
  <c r="B36" i="42"/>
  <c r="F35" i="42"/>
  <c r="D35" i="42"/>
  <c r="B35" i="42"/>
  <c r="F34" i="42"/>
  <c r="D34" i="42"/>
  <c r="B34" i="42"/>
  <c r="F33" i="42"/>
  <c r="D33" i="42"/>
  <c r="B33" i="42"/>
  <c r="F32" i="42"/>
  <c r="D32" i="42"/>
  <c r="B32" i="42"/>
  <c r="F31" i="42"/>
  <c r="D31" i="42"/>
  <c r="B31" i="42"/>
  <c r="F30" i="42"/>
  <c r="D30" i="42"/>
  <c r="B30" i="42"/>
  <c r="F29" i="42"/>
  <c r="D29" i="42"/>
  <c r="B29" i="42"/>
  <c r="F28" i="42"/>
  <c r="D28" i="42"/>
  <c r="B28" i="42"/>
  <c r="F27" i="42"/>
  <c r="D27" i="42"/>
  <c r="B27" i="42"/>
  <c r="F26" i="42"/>
  <c r="D26" i="42"/>
  <c r="B26" i="42"/>
  <c r="F25" i="42"/>
  <c r="D25" i="42"/>
  <c r="B25" i="42"/>
  <c r="F24" i="42"/>
  <c r="D24" i="42"/>
  <c r="B24" i="42"/>
  <c r="F23" i="42"/>
  <c r="D23" i="42"/>
  <c r="B23" i="42"/>
  <c r="F22" i="42"/>
  <c r="D22" i="42"/>
  <c r="B22" i="42"/>
  <c r="F21" i="42"/>
  <c r="D21" i="42"/>
  <c r="B21" i="42"/>
  <c r="F20" i="42"/>
  <c r="D20" i="42"/>
  <c r="B20" i="42"/>
  <c r="F19" i="42"/>
  <c r="D19" i="42"/>
  <c r="B19" i="42"/>
  <c r="F18" i="42"/>
  <c r="D18" i="42"/>
  <c r="B18" i="42"/>
  <c r="F17" i="42"/>
  <c r="D17" i="42"/>
  <c r="B17" i="42"/>
  <c r="F16" i="42"/>
  <c r="D16" i="42"/>
  <c r="B16" i="42"/>
  <c r="F15" i="42"/>
  <c r="D15" i="42"/>
  <c r="B15" i="42"/>
  <c r="F14" i="42"/>
  <c r="D14" i="42"/>
  <c r="B14" i="42"/>
  <c r="F13" i="42"/>
  <c r="D13" i="42"/>
  <c r="B13" i="42"/>
  <c r="F12" i="42"/>
  <c r="D12" i="42"/>
  <c r="B12" i="42"/>
  <c r="F11" i="42"/>
  <c r="D11" i="42"/>
  <c r="B11" i="42"/>
  <c r="F10" i="42"/>
  <c r="D10" i="42"/>
  <c r="B10" i="42"/>
  <c r="F413" i="75"/>
  <c r="D413" i="75"/>
  <c r="B413" i="75"/>
  <c r="F412" i="75"/>
  <c r="D412" i="75"/>
  <c r="B412" i="75"/>
  <c r="F411" i="75"/>
  <c r="D411" i="75"/>
  <c r="B411" i="75"/>
  <c r="F410" i="75"/>
  <c r="D410" i="75"/>
  <c r="B410" i="75"/>
  <c r="F409" i="75"/>
  <c r="D409" i="75"/>
  <c r="B409" i="75"/>
  <c r="F408" i="75"/>
  <c r="D408" i="75"/>
  <c r="B408" i="75"/>
  <c r="F407" i="75"/>
  <c r="D407" i="75"/>
  <c r="B407" i="75"/>
  <c r="F406" i="75"/>
  <c r="D406" i="75"/>
  <c r="B406" i="75"/>
  <c r="F405" i="75"/>
  <c r="D405" i="75"/>
  <c r="B405" i="75"/>
  <c r="F404" i="75"/>
  <c r="D404" i="75"/>
  <c r="B404" i="75"/>
  <c r="F403" i="75"/>
  <c r="D403" i="75"/>
  <c r="B403" i="75"/>
  <c r="F402" i="75"/>
  <c r="D402" i="75"/>
  <c r="B402" i="75"/>
  <c r="F401" i="75"/>
  <c r="D401" i="75"/>
  <c r="B401" i="75"/>
  <c r="F400" i="75"/>
  <c r="D400" i="75"/>
  <c r="B400" i="75"/>
  <c r="F399" i="75"/>
  <c r="D399" i="75"/>
  <c r="B399" i="75"/>
  <c r="F398" i="75"/>
  <c r="D398" i="75"/>
  <c r="B398" i="75"/>
  <c r="F397" i="75"/>
  <c r="D397" i="75"/>
  <c r="B397" i="75"/>
  <c r="F396" i="75"/>
  <c r="D396" i="75"/>
  <c r="B396" i="75"/>
  <c r="F395" i="75"/>
  <c r="D395" i="75"/>
  <c r="B395" i="75"/>
  <c r="F394" i="75"/>
  <c r="D394" i="75"/>
  <c r="B394" i="75"/>
  <c r="F393" i="75"/>
  <c r="D393" i="75"/>
  <c r="B393" i="75"/>
  <c r="F392" i="75"/>
  <c r="D392" i="75"/>
  <c r="B392" i="75"/>
  <c r="F391" i="75"/>
  <c r="D391" i="75"/>
  <c r="B391" i="75"/>
  <c r="F390" i="75"/>
  <c r="D390" i="75"/>
  <c r="B390" i="75"/>
  <c r="F389" i="75"/>
  <c r="D389" i="75"/>
  <c r="B389" i="75"/>
  <c r="F388" i="75"/>
  <c r="D388" i="75"/>
  <c r="B388" i="75"/>
  <c r="F387" i="75"/>
  <c r="D387" i="75"/>
  <c r="B387" i="75"/>
  <c r="F386" i="75"/>
  <c r="D386" i="75"/>
  <c r="B386" i="75"/>
  <c r="F385" i="75"/>
  <c r="D385" i="75"/>
  <c r="B385" i="75"/>
  <c r="F384" i="75"/>
  <c r="D384" i="75"/>
  <c r="B384" i="75"/>
  <c r="F383" i="75"/>
  <c r="D383" i="75"/>
  <c r="B383" i="75"/>
  <c r="F382" i="75"/>
  <c r="D382" i="75"/>
  <c r="B382" i="75"/>
  <c r="F381" i="75"/>
  <c r="D381" i="75"/>
  <c r="B381" i="75"/>
  <c r="F380" i="75"/>
  <c r="D380" i="75"/>
  <c r="B380" i="75"/>
  <c r="F379" i="75"/>
  <c r="D379" i="75"/>
  <c r="B379" i="75"/>
  <c r="F378" i="75"/>
  <c r="D378" i="75"/>
  <c r="B378" i="75"/>
  <c r="F377" i="75"/>
  <c r="D377" i="75"/>
  <c r="B377" i="75"/>
  <c r="F376" i="75"/>
  <c r="D376" i="75"/>
  <c r="B376" i="75"/>
  <c r="F375" i="75"/>
  <c r="D375" i="75"/>
  <c r="B375" i="75"/>
  <c r="F374" i="75"/>
  <c r="D374" i="75"/>
  <c r="B374" i="75"/>
  <c r="F373" i="75"/>
  <c r="D373" i="75"/>
  <c r="B373" i="75"/>
  <c r="F372" i="75"/>
  <c r="D372" i="75"/>
  <c r="B372" i="75"/>
  <c r="F371" i="75"/>
  <c r="D371" i="75"/>
  <c r="B371" i="75"/>
  <c r="F370" i="75"/>
  <c r="D370" i="75"/>
  <c r="B370" i="75"/>
  <c r="F369" i="75"/>
  <c r="D369" i="75"/>
  <c r="B369" i="75"/>
  <c r="F368" i="75"/>
  <c r="D368" i="75"/>
  <c r="B368" i="75"/>
  <c r="F367" i="75"/>
  <c r="D367" i="75"/>
  <c r="B367" i="75"/>
  <c r="F366" i="75"/>
  <c r="D366" i="75"/>
  <c r="B366" i="75"/>
  <c r="F365" i="75"/>
  <c r="D365" i="75"/>
  <c r="B365" i="75"/>
  <c r="F363" i="75"/>
  <c r="D363" i="75"/>
  <c r="B363" i="75"/>
  <c r="F362" i="75"/>
  <c r="D362" i="75"/>
  <c r="B362" i="75"/>
  <c r="F361" i="75"/>
  <c r="D361" i="75"/>
  <c r="B361" i="75"/>
  <c r="F360" i="75"/>
  <c r="D360" i="75"/>
  <c r="B360" i="75"/>
  <c r="F359" i="75"/>
  <c r="D359" i="75"/>
  <c r="B359" i="75"/>
  <c r="F358" i="75"/>
  <c r="D358" i="75"/>
  <c r="B358" i="75"/>
  <c r="F357" i="75"/>
  <c r="D357" i="75"/>
  <c r="B357" i="75"/>
  <c r="F356" i="75"/>
  <c r="D356" i="75"/>
  <c r="B356" i="75"/>
  <c r="F355" i="75"/>
  <c r="D355" i="75"/>
  <c r="B355" i="75"/>
  <c r="F354" i="75"/>
  <c r="D354" i="75"/>
  <c r="B354" i="75"/>
  <c r="F353" i="75"/>
  <c r="D353" i="75"/>
  <c r="B353" i="75"/>
  <c r="F352" i="75"/>
  <c r="D352" i="75"/>
  <c r="B352" i="75"/>
  <c r="F351" i="75"/>
  <c r="D351" i="75"/>
  <c r="B351" i="75"/>
  <c r="F350" i="75"/>
  <c r="D350" i="75"/>
  <c r="B350" i="75"/>
  <c r="F349" i="75"/>
  <c r="D349" i="75"/>
  <c r="B349" i="75"/>
  <c r="F348" i="75"/>
  <c r="D348" i="75"/>
  <c r="B348" i="75"/>
  <c r="F347" i="75"/>
  <c r="D347" i="75"/>
  <c r="B347" i="75"/>
  <c r="F346" i="75"/>
  <c r="D346" i="75"/>
  <c r="B346" i="75"/>
  <c r="F345" i="75"/>
  <c r="D345" i="75"/>
  <c r="B345" i="75"/>
  <c r="F344" i="75"/>
  <c r="D344" i="75"/>
  <c r="B344" i="75"/>
  <c r="F343" i="75"/>
  <c r="D343" i="75"/>
  <c r="B343" i="75"/>
  <c r="F342" i="75"/>
  <c r="D342" i="75"/>
  <c r="B342" i="75"/>
  <c r="F341" i="75"/>
  <c r="D341" i="75"/>
  <c r="B341" i="75"/>
  <c r="F340" i="75"/>
  <c r="D340" i="75"/>
  <c r="B340" i="75"/>
  <c r="F339" i="75"/>
  <c r="D339" i="75"/>
  <c r="B339" i="75"/>
  <c r="F338" i="75"/>
  <c r="D338" i="75"/>
  <c r="B338" i="75"/>
  <c r="F337" i="75"/>
  <c r="D337" i="75"/>
  <c r="B337" i="75"/>
  <c r="F336" i="75"/>
  <c r="D336" i="75"/>
  <c r="B336" i="75"/>
  <c r="F335" i="75"/>
  <c r="D335" i="75"/>
  <c r="B335" i="75"/>
  <c r="F334" i="75"/>
  <c r="D334" i="75"/>
  <c r="B334" i="75"/>
  <c r="F333" i="75"/>
  <c r="D333" i="75"/>
  <c r="B333" i="75"/>
  <c r="F332" i="75"/>
  <c r="D332" i="75"/>
  <c r="B332" i="75"/>
  <c r="F331" i="75"/>
  <c r="D331" i="75"/>
  <c r="B331" i="75"/>
  <c r="F330" i="75"/>
  <c r="D330" i="75"/>
  <c r="B330" i="75"/>
  <c r="F329" i="75"/>
  <c r="D329" i="75"/>
  <c r="B329" i="75"/>
  <c r="F328" i="75"/>
  <c r="D328" i="75"/>
  <c r="B328" i="75"/>
  <c r="F327" i="75"/>
  <c r="D327" i="75"/>
  <c r="B327" i="75"/>
  <c r="F326" i="75"/>
  <c r="D326" i="75"/>
  <c r="B326" i="75"/>
  <c r="F325" i="75"/>
  <c r="D325" i="75"/>
  <c r="B325" i="75"/>
  <c r="F324" i="75"/>
  <c r="D324" i="75"/>
  <c r="B324" i="75"/>
  <c r="F323" i="75"/>
  <c r="D323" i="75"/>
  <c r="B323" i="75"/>
  <c r="F322" i="75"/>
  <c r="D322" i="75"/>
  <c r="B322" i="75"/>
  <c r="F321" i="75"/>
  <c r="D321" i="75"/>
  <c r="B321" i="75"/>
  <c r="F320" i="75"/>
  <c r="D320" i="75"/>
  <c r="B320" i="75"/>
  <c r="F319" i="75"/>
  <c r="D319" i="75"/>
  <c r="B319" i="75"/>
  <c r="F318" i="75"/>
  <c r="D318" i="75"/>
  <c r="B318" i="75"/>
  <c r="F317" i="75"/>
  <c r="D317" i="75"/>
  <c r="B317" i="75"/>
  <c r="F316" i="75"/>
  <c r="D316" i="75"/>
  <c r="B316" i="75"/>
  <c r="F315" i="75"/>
  <c r="D315" i="75"/>
  <c r="B315" i="75"/>
  <c r="F312" i="75"/>
  <c r="D312" i="75"/>
  <c r="B312" i="75"/>
  <c r="F311" i="75"/>
  <c r="D311" i="75"/>
  <c r="B311" i="75"/>
  <c r="F310" i="75"/>
  <c r="D310" i="75"/>
  <c r="B310" i="75"/>
  <c r="F309" i="75"/>
  <c r="D309" i="75"/>
  <c r="B309" i="75"/>
  <c r="F308" i="75"/>
  <c r="D308" i="75"/>
  <c r="B308" i="75"/>
  <c r="F307" i="75"/>
  <c r="D307" i="75"/>
  <c r="B307" i="75"/>
  <c r="F306" i="75"/>
  <c r="D306" i="75"/>
  <c r="B306" i="75"/>
  <c r="F305" i="75"/>
  <c r="D305" i="75"/>
  <c r="B305" i="75"/>
  <c r="F304" i="75"/>
  <c r="D304" i="75"/>
  <c r="B304" i="75"/>
  <c r="F303" i="75"/>
  <c r="D303" i="75"/>
  <c r="B303" i="75"/>
  <c r="F302" i="75"/>
  <c r="D302" i="75"/>
  <c r="B302" i="75"/>
  <c r="F301" i="75"/>
  <c r="D301" i="75"/>
  <c r="B301" i="75"/>
  <c r="F300" i="75"/>
  <c r="D300" i="75"/>
  <c r="B300" i="75"/>
  <c r="F299" i="75"/>
  <c r="D299" i="75"/>
  <c r="B299" i="75"/>
  <c r="F298" i="75"/>
  <c r="D298" i="75"/>
  <c r="B298" i="75"/>
  <c r="F297" i="75"/>
  <c r="D297" i="75"/>
  <c r="B297" i="75"/>
  <c r="F296" i="75"/>
  <c r="D296" i="75"/>
  <c r="B296" i="75"/>
  <c r="F295" i="75"/>
  <c r="D295" i="75"/>
  <c r="B295" i="75"/>
  <c r="F294" i="75"/>
  <c r="D294" i="75"/>
  <c r="B294" i="75"/>
  <c r="F293" i="75"/>
  <c r="D293" i="75"/>
  <c r="B293" i="75"/>
  <c r="F292" i="75"/>
  <c r="D292" i="75"/>
  <c r="B292" i="75"/>
  <c r="F291" i="75"/>
  <c r="D291" i="75"/>
  <c r="B291" i="75"/>
  <c r="F290" i="75"/>
  <c r="D290" i="75"/>
  <c r="B290" i="75"/>
  <c r="F289" i="75"/>
  <c r="D289" i="75"/>
  <c r="B289" i="75"/>
  <c r="F288" i="75"/>
  <c r="D288" i="75"/>
  <c r="B288" i="75"/>
  <c r="F287" i="75"/>
  <c r="D287" i="75"/>
  <c r="B287" i="75"/>
  <c r="F286" i="75"/>
  <c r="D286" i="75"/>
  <c r="B286" i="75"/>
  <c r="F285" i="75"/>
  <c r="D285" i="75"/>
  <c r="B285" i="75"/>
  <c r="F284" i="75"/>
  <c r="D284" i="75"/>
  <c r="B284" i="75"/>
  <c r="F283" i="75"/>
  <c r="D283" i="75"/>
  <c r="B283" i="75"/>
  <c r="F282" i="75"/>
  <c r="D282" i="75"/>
  <c r="B282" i="75"/>
  <c r="F281" i="75"/>
  <c r="D281" i="75"/>
  <c r="B281" i="75"/>
  <c r="F280" i="75"/>
  <c r="D280" i="75"/>
  <c r="B280" i="75"/>
  <c r="F279" i="75"/>
  <c r="D279" i="75"/>
  <c r="B279" i="75"/>
  <c r="F278" i="75"/>
  <c r="D278" i="75"/>
  <c r="B278" i="75"/>
  <c r="F277" i="75"/>
  <c r="D277" i="75"/>
  <c r="B277" i="75"/>
  <c r="F276" i="75"/>
  <c r="D276" i="75"/>
  <c r="B276" i="75"/>
  <c r="F275" i="75"/>
  <c r="D275" i="75"/>
  <c r="B275" i="75"/>
  <c r="F274" i="75"/>
  <c r="D274" i="75"/>
  <c r="B274" i="75"/>
  <c r="F273" i="75"/>
  <c r="D273" i="75"/>
  <c r="B273" i="75"/>
  <c r="F272" i="75"/>
  <c r="D272" i="75"/>
  <c r="B272" i="75"/>
  <c r="F271" i="75"/>
  <c r="D271" i="75"/>
  <c r="B271" i="75"/>
  <c r="F270" i="75"/>
  <c r="D270" i="75"/>
  <c r="B270" i="75"/>
  <c r="F269" i="75"/>
  <c r="D269" i="75"/>
  <c r="B269" i="75"/>
  <c r="F268" i="75"/>
  <c r="D268" i="75"/>
  <c r="B268" i="75"/>
  <c r="F267" i="75"/>
  <c r="D267" i="75"/>
  <c r="B267" i="75"/>
  <c r="F266" i="75"/>
  <c r="D266" i="75"/>
  <c r="B266" i="75"/>
  <c r="F265" i="75"/>
  <c r="D265" i="75"/>
  <c r="B265" i="75"/>
  <c r="F264" i="75"/>
  <c r="D264" i="75"/>
  <c r="B264" i="75"/>
  <c r="F261" i="75"/>
  <c r="D261" i="75"/>
  <c r="B261" i="75"/>
  <c r="F260" i="75"/>
  <c r="D260" i="75"/>
  <c r="B260" i="75"/>
  <c r="F259" i="75"/>
  <c r="D259" i="75"/>
  <c r="B259" i="75"/>
  <c r="F258" i="75"/>
  <c r="D258" i="75"/>
  <c r="B258" i="75"/>
  <c r="F257" i="75"/>
  <c r="D257" i="75"/>
  <c r="B257" i="75"/>
  <c r="F256" i="75"/>
  <c r="D256" i="75"/>
  <c r="B256" i="75"/>
  <c r="F255" i="75"/>
  <c r="D255" i="75"/>
  <c r="B255" i="75"/>
  <c r="F254" i="75"/>
  <c r="D254" i="75"/>
  <c r="B254" i="75"/>
  <c r="F253" i="75"/>
  <c r="D253" i="75"/>
  <c r="B253" i="75"/>
  <c r="F252" i="75"/>
  <c r="D252" i="75"/>
  <c r="B252" i="75"/>
  <c r="F251" i="75"/>
  <c r="D251" i="75"/>
  <c r="B251" i="75"/>
  <c r="F250" i="75"/>
  <c r="D250" i="75"/>
  <c r="B250" i="75"/>
  <c r="F249" i="75"/>
  <c r="D249" i="75"/>
  <c r="B249" i="75"/>
  <c r="F248" i="75"/>
  <c r="D248" i="75"/>
  <c r="B248" i="75"/>
  <c r="F247" i="75"/>
  <c r="D247" i="75"/>
  <c r="B247" i="75"/>
  <c r="F246" i="75"/>
  <c r="D246" i="75"/>
  <c r="B246" i="75"/>
  <c r="F245" i="75"/>
  <c r="D245" i="75"/>
  <c r="B245" i="75"/>
  <c r="F244" i="75"/>
  <c r="D244" i="75"/>
  <c r="B244" i="75"/>
  <c r="F243" i="75"/>
  <c r="D243" i="75"/>
  <c r="B243" i="75"/>
  <c r="F242" i="75"/>
  <c r="D242" i="75"/>
  <c r="B242" i="75"/>
  <c r="F241" i="75"/>
  <c r="D241" i="75"/>
  <c r="B241" i="75"/>
  <c r="F240" i="75"/>
  <c r="D240" i="75"/>
  <c r="B240" i="75"/>
  <c r="F239" i="75"/>
  <c r="D239" i="75"/>
  <c r="B239" i="75"/>
  <c r="F238" i="75"/>
  <c r="D238" i="75"/>
  <c r="B238" i="75"/>
  <c r="F237" i="75"/>
  <c r="D237" i="75"/>
  <c r="B237" i="75"/>
  <c r="F236" i="75"/>
  <c r="D236" i="75"/>
  <c r="B236" i="75"/>
  <c r="F235" i="75"/>
  <c r="D235" i="75"/>
  <c r="B235" i="75"/>
  <c r="F234" i="75"/>
  <c r="D234" i="75"/>
  <c r="B234" i="75"/>
  <c r="F233" i="75"/>
  <c r="D233" i="75"/>
  <c r="B233" i="75"/>
  <c r="F232" i="75"/>
  <c r="D232" i="75"/>
  <c r="B232" i="75"/>
  <c r="F231" i="75"/>
  <c r="D231" i="75"/>
  <c r="B231" i="75"/>
  <c r="F230" i="75"/>
  <c r="D230" i="75"/>
  <c r="B230" i="75"/>
  <c r="F229" i="75"/>
  <c r="D229" i="75"/>
  <c r="B229" i="75"/>
  <c r="F228" i="75"/>
  <c r="D228" i="75"/>
  <c r="B228" i="75"/>
  <c r="F227" i="75"/>
  <c r="D227" i="75"/>
  <c r="B227" i="75"/>
  <c r="F226" i="75"/>
  <c r="D226" i="75"/>
  <c r="B226" i="75"/>
  <c r="F225" i="75"/>
  <c r="D225" i="75"/>
  <c r="B225" i="75"/>
  <c r="F224" i="75"/>
  <c r="D224" i="75"/>
  <c r="B224" i="75"/>
  <c r="F223" i="75"/>
  <c r="D223" i="75"/>
  <c r="B223" i="75"/>
  <c r="F222" i="75"/>
  <c r="D222" i="75"/>
  <c r="B222" i="75"/>
  <c r="F221" i="75"/>
  <c r="D221" i="75"/>
  <c r="B221" i="75"/>
  <c r="F220" i="75"/>
  <c r="D220" i="75"/>
  <c r="B220" i="75"/>
  <c r="F219" i="75"/>
  <c r="D219" i="75"/>
  <c r="B219" i="75"/>
  <c r="F218" i="75"/>
  <c r="D218" i="75"/>
  <c r="B218" i="75"/>
  <c r="F217" i="75"/>
  <c r="D217" i="75"/>
  <c r="B217" i="75"/>
  <c r="F216" i="75"/>
  <c r="D216" i="75"/>
  <c r="B216" i="75"/>
  <c r="F215" i="75"/>
  <c r="D215" i="75"/>
  <c r="B215" i="75"/>
  <c r="F214" i="75"/>
  <c r="D214" i="75"/>
  <c r="B214" i="75"/>
  <c r="F213" i="75"/>
  <c r="D213" i="75"/>
  <c r="B213" i="75"/>
  <c r="F211" i="75"/>
  <c r="D211" i="75"/>
  <c r="B211" i="75"/>
  <c r="F210" i="75"/>
  <c r="D210" i="75"/>
  <c r="B210" i="75"/>
  <c r="F209" i="75"/>
  <c r="D209" i="75"/>
  <c r="B209" i="75"/>
  <c r="F208" i="75"/>
  <c r="D208" i="75"/>
  <c r="B208" i="75"/>
  <c r="F207" i="75"/>
  <c r="D207" i="75"/>
  <c r="B207" i="75"/>
  <c r="F206" i="75"/>
  <c r="D206" i="75"/>
  <c r="B206" i="75"/>
  <c r="F205" i="75"/>
  <c r="D205" i="75"/>
  <c r="B205" i="75"/>
  <c r="F204" i="75"/>
  <c r="D204" i="75"/>
  <c r="B204" i="75"/>
  <c r="F203" i="75"/>
  <c r="D203" i="75"/>
  <c r="B203" i="75"/>
  <c r="F202" i="75"/>
  <c r="D202" i="75"/>
  <c r="B202" i="75"/>
  <c r="F201" i="75"/>
  <c r="D201" i="75"/>
  <c r="B201" i="75"/>
  <c r="F200" i="75"/>
  <c r="D200" i="75"/>
  <c r="B200" i="75"/>
  <c r="F199" i="75"/>
  <c r="D199" i="75"/>
  <c r="B199" i="75"/>
  <c r="F198" i="75"/>
  <c r="D198" i="75"/>
  <c r="B198" i="75"/>
  <c r="F197" i="75"/>
  <c r="D197" i="75"/>
  <c r="B197" i="75"/>
  <c r="F196" i="75"/>
  <c r="D196" i="75"/>
  <c r="B196" i="75"/>
  <c r="F195" i="75"/>
  <c r="D195" i="75"/>
  <c r="B195" i="75"/>
  <c r="F194" i="75"/>
  <c r="D194" i="75"/>
  <c r="B194" i="75"/>
  <c r="F193" i="75"/>
  <c r="D193" i="75"/>
  <c r="B193" i="75"/>
  <c r="F192" i="75"/>
  <c r="D192" i="75"/>
  <c r="B192" i="75"/>
  <c r="F191" i="75"/>
  <c r="D191" i="75"/>
  <c r="B191" i="75"/>
  <c r="F190" i="75"/>
  <c r="D190" i="75"/>
  <c r="B190" i="75"/>
  <c r="F189" i="75"/>
  <c r="D189" i="75"/>
  <c r="B189" i="75"/>
  <c r="F188" i="75"/>
  <c r="D188" i="75"/>
  <c r="B188" i="75"/>
  <c r="F187" i="75"/>
  <c r="D187" i="75"/>
  <c r="B187" i="75"/>
  <c r="F186" i="75"/>
  <c r="D186" i="75"/>
  <c r="B186" i="75"/>
  <c r="F185" i="75"/>
  <c r="D185" i="75"/>
  <c r="B185" i="75"/>
  <c r="F184" i="75"/>
  <c r="D184" i="75"/>
  <c r="B184" i="75"/>
  <c r="F183" i="75"/>
  <c r="D183" i="75"/>
  <c r="B183" i="75"/>
  <c r="F182" i="75"/>
  <c r="D182" i="75"/>
  <c r="B182" i="75"/>
  <c r="F181" i="75"/>
  <c r="D181" i="75"/>
  <c r="B181" i="75"/>
  <c r="F180" i="75"/>
  <c r="D180" i="75"/>
  <c r="B180" i="75"/>
  <c r="F179" i="75"/>
  <c r="D179" i="75"/>
  <c r="B179" i="75"/>
  <c r="F178" i="75"/>
  <c r="D178" i="75"/>
  <c r="B178" i="75"/>
  <c r="F177" i="75"/>
  <c r="D177" i="75"/>
  <c r="B177" i="75"/>
  <c r="F176" i="75"/>
  <c r="D176" i="75"/>
  <c r="B176" i="75"/>
  <c r="F175" i="75"/>
  <c r="D175" i="75"/>
  <c r="B175" i="75"/>
  <c r="F174" i="75"/>
  <c r="D174" i="75"/>
  <c r="B174" i="75"/>
  <c r="F173" i="75"/>
  <c r="D173" i="75"/>
  <c r="B173" i="75"/>
  <c r="F172" i="75"/>
  <c r="D172" i="75"/>
  <c r="B172" i="75"/>
  <c r="F171" i="75"/>
  <c r="D171" i="75"/>
  <c r="B171" i="75"/>
  <c r="F170" i="75"/>
  <c r="D170" i="75"/>
  <c r="B170" i="75"/>
  <c r="F169" i="75"/>
  <c r="D169" i="75"/>
  <c r="B169" i="75"/>
  <c r="F168" i="75"/>
  <c r="D168" i="75"/>
  <c r="B168" i="75"/>
  <c r="F167" i="75"/>
  <c r="D167" i="75"/>
  <c r="B167" i="75"/>
  <c r="F166" i="75"/>
  <c r="D166" i="75"/>
  <c r="B166" i="75"/>
  <c r="F165" i="75"/>
  <c r="D165" i="75"/>
  <c r="B165" i="75"/>
  <c r="F164" i="75"/>
  <c r="D164" i="75"/>
  <c r="B164" i="75"/>
  <c r="F163" i="75"/>
  <c r="D163" i="75"/>
  <c r="B163" i="75"/>
  <c r="F160" i="75"/>
  <c r="D160" i="75"/>
  <c r="B160" i="75"/>
  <c r="F159" i="75"/>
  <c r="D159" i="75"/>
  <c r="B159" i="75"/>
  <c r="F158" i="75"/>
  <c r="D158" i="75"/>
  <c r="B158" i="75"/>
  <c r="F157" i="75"/>
  <c r="D157" i="75"/>
  <c r="B157" i="75"/>
  <c r="F156" i="75"/>
  <c r="D156" i="75"/>
  <c r="B156" i="75"/>
  <c r="F155" i="75"/>
  <c r="D155" i="75"/>
  <c r="B155" i="75"/>
  <c r="F154" i="75"/>
  <c r="D154" i="75"/>
  <c r="B154" i="75"/>
  <c r="F153" i="75"/>
  <c r="D153" i="75"/>
  <c r="B153" i="75"/>
  <c r="F152" i="75"/>
  <c r="D152" i="75"/>
  <c r="B152" i="75"/>
  <c r="F151" i="75"/>
  <c r="D151" i="75"/>
  <c r="B151" i="75"/>
  <c r="F150" i="75"/>
  <c r="D150" i="75"/>
  <c r="B150" i="75"/>
  <c r="F149" i="75"/>
  <c r="D149" i="75"/>
  <c r="B149" i="75"/>
  <c r="F148" i="75"/>
  <c r="D148" i="75"/>
  <c r="B148" i="75"/>
  <c r="F147" i="75"/>
  <c r="D147" i="75"/>
  <c r="B147" i="75"/>
  <c r="F146" i="75"/>
  <c r="D146" i="75"/>
  <c r="B146" i="75"/>
  <c r="F145" i="75"/>
  <c r="D145" i="75"/>
  <c r="B145" i="75"/>
  <c r="F144" i="75"/>
  <c r="D144" i="75"/>
  <c r="B144" i="75"/>
  <c r="F143" i="75"/>
  <c r="D143" i="75"/>
  <c r="B143" i="75"/>
  <c r="F142" i="75"/>
  <c r="D142" i="75"/>
  <c r="B142" i="75"/>
  <c r="F141" i="75"/>
  <c r="D141" i="75"/>
  <c r="B141" i="75"/>
  <c r="F140" i="75"/>
  <c r="D140" i="75"/>
  <c r="B140" i="75"/>
  <c r="F139" i="75"/>
  <c r="D139" i="75"/>
  <c r="B139" i="75"/>
  <c r="F138" i="75"/>
  <c r="D138" i="75"/>
  <c r="B138" i="75"/>
  <c r="F137" i="75"/>
  <c r="D137" i="75"/>
  <c r="B137" i="75"/>
  <c r="F136" i="75"/>
  <c r="D136" i="75"/>
  <c r="B136" i="75"/>
  <c r="F135" i="75"/>
  <c r="D135" i="75"/>
  <c r="B135" i="75"/>
  <c r="F134" i="75"/>
  <c r="D134" i="75"/>
  <c r="B134" i="75"/>
  <c r="F133" i="75"/>
  <c r="D133" i="75"/>
  <c r="B133" i="75"/>
  <c r="F132" i="75"/>
  <c r="D132" i="75"/>
  <c r="B132" i="75"/>
  <c r="F131" i="75"/>
  <c r="D131" i="75"/>
  <c r="B131" i="75"/>
  <c r="F130" i="75"/>
  <c r="D130" i="75"/>
  <c r="B130" i="75"/>
  <c r="F129" i="75"/>
  <c r="D129" i="75"/>
  <c r="B129" i="75"/>
  <c r="F128" i="75"/>
  <c r="D128" i="75"/>
  <c r="B128" i="75"/>
  <c r="F127" i="75"/>
  <c r="D127" i="75"/>
  <c r="B127" i="75"/>
  <c r="F126" i="75"/>
  <c r="D126" i="75"/>
  <c r="B126" i="75"/>
  <c r="F125" i="75"/>
  <c r="D125" i="75"/>
  <c r="B125" i="75"/>
  <c r="F124" i="75"/>
  <c r="D124" i="75"/>
  <c r="B124" i="75"/>
  <c r="F123" i="75"/>
  <c r="D123" i="75"/>
  <c r="B123" i="75"/>
  <c r="F122" i="75"/>
  <c r="D122" i="75"/>
  <c r="B122" i="75"/>
  <c r="F121" i="75"/>
  <c r="D121" i="75"/>
  <c r="B121" i="75"/>
  <c r="F120" i="75"/>
  <c r="D120" i="75"/>
  <c r="B120" i="75"/>
  <c r="F119" i="75"/>
  <c r="D119" i="75"/>
  <c r="B119" i="75"/>
  <c r="F118" i="75"/>
  <c r="D118" i="75"/>
  <c r="B118" i="75"/>
  <c r="F117" i="75"/>
  <c r="D117" i="75"/>
  <c r="B117" i="75"/>
  <c r="F116" i="75"/>
  <c r="D116" i="75"/>
  <c r="B116" i="75"/>
  <c r="F115" i="75"/>
  <c r="D115" i="75"/>
  <c r="B115" i="75"/>
  <c r="F114" i="75"/>
  <c r="D114" i="75"/>
  <c r="B114" i="75"/>
  <c r="F113" i="75"/>
  <c r="D113" i="75"/>
  <c r="B113" i="75"/>
  <c r="F112" i="75"/>
  <c r="D112" i="75"/>
  <c r="B112" i="75"/>
  <c r="F109" i="75"/>
  <c r="D109" i="75"/>
  <c r="B109" i="75"/>
  <c r="F108" i="75"/>
  <c r="D108" i="75"/>
  <c r="B108" i="75"/>
  <c r="F107" i="75"/>
  <c r="D107" i="75"/>
  <c r="B107" i="75"/>
  <c r="F106" i="75"/>
  <c r="D106" i="75"/>
  <c r="B106" i="75"/>
  <c r="F105" i="75"/>
  <c r="D105" i="75"/>
  <c r="B105" i="75"/>
  <c r="F104" i="75"/>
  <c r="D104" i="75"/>
  <c r="B104" i="75"/>
  <c r="F103" i="75"/>
  <c r="D103" i="75"/>
  <c r="B103" i="75"/>
  <c r="F102" i="75"/>
  <c r="D102" i="75"/>
  <c r="B102" i="75"/>
  <c r="F101" i="75"/>
  <c r="D101" i="75"/>
  <c r="B101" i="75"/>
  <c r="F100" i="75"/>
  <c r="D100" i="75"/>
  <c r="B100" i="75"/>
  <c r="F99" i="75"/>
  <c r="D99" i="75"/>
  <c r="B99" i="75"/>
  <c r="F98" i="75"/>
  <c r="D98" i="75"/>
  <c r="B98" i="75"/>
  <c r="F97" i="75"/>
  <c r="D97" i="75"/>
  <c r="B97" i="75"/>
  <c r="F96" i="75"/>
  <c r="D96" i="75"/>
  <c r="B96" i="75"/>
  <c r="F95" i="75"/>
  <c r="D95" i="75"/>
  <c r="B95" i="75"/>
  <c r="F94" i="75"/>
  <c r="D94" i="75"/>
  <c r="B94" i="75"/>
  <c r="F93" i="75"/>
  <c r="D93" i="75"/>
  <c r="B93" i="75"/>
  <c r="F92" i="75"/>
  <c r="D92" i="75"/>
  <c r="B92" i="75"/>
  <c r="F91" i="75"/>
  <c r="D91" i="75"/>
  <c r="B91" i="75"/>
  <c r="F90" i="75"/>
  <c r="D90" i="75"/>
  <c r="B90" i="75"/>
  <c r="F89" i="75"/>
  <c r="D89" i="75"/>
  <c r="B89" i="75"/>
  <c r="F88" i="75"/>
  <c r="D88" i="75"/>
  <c r="B88" i="75"/>
  <c r="F87" i="75"/>
  <c r="D87" i="75"/>
  <c r="B87" i="75"/>
  <c r="F86" i="75"/>
  <c r="D86" i="75"/>
  <c r="B86" i="75"/>
  <c r="F85" i="75"/>
  <c r="D85" i="75"/>
  <c r="B85" i="75"/>
  <c r="F84" i="75"/>
  <c r="D84" i="75"/>
  <c r="B84" i="75"/>
  <c r="F83" i="75"/>
  <c r="D83" i="75"/>
  <c r="B83" i="75"/>
  <c r="F82" i="75"/>
  <c r="D82" i="75"/>
  <c r="B82" i="75"/>
  <c r="F81" i="75"/>
  <c r="D81" i="75"/>
  <c r="B81" i="75"/>
  <c r="F80" i="75"/>
  <c r="D80" i="75"/>
  <c r="B80" i="75"/>
  <c r="F79" i="75"/>
  <c r="D79" i="75"/>
  <c r="B79" i="75"/>
  <c r="F78" i="75"/>
  <c r="D78" i="75"/>
  <c r="B78" i="75"/>
  <c r="F77" i="75"/>
  <c r="D77" i="75"/>
  <c r="B77" i="75"/>
  <c r="F76" i="75"/>
  <c r="D76" i="75"/>
  <c r="B76" i="75"/>
  <c r="F75" i="75"/>
  <c r="D75" i="75"/>
  <c r="B75" i="75"/>
  <c r="F74" i="75"/>
  <c r="D74" i="75"/>
  <c r="B74" i="75"/>
  <c r="F73" i="75"/>
  <c r="D73" i="75"/>
  <c r="B73" i="75"/>
  <c r="F72" i="75"/>
  <c r="D72" i="75"/>
  <c r="B72" i="75"/>
  <c r="F71" i="75"/>
  <c r="D71" i="75"/>
  <c r="B71" i="75"/>
  <c r="F70" i="75"/>
  <c r="D70" i="75"/>
  <c r="B70" i="75"/>
  <c r="F69" i="75"/>
  <c r="D69" i="75"/>
  <c r="B69" i="75"/>
  <c r="F68" i="75"/>
  <c r="D68" i="75"/>
  <c r="B68" i="75"/>
  <c r="F67" i="75"/>
  <c r="D67" i="75"/>
  <c r="B67" i="75"/>
  <c r="F66" i="75"/>
  <c r="D66" i="75"/>
  <c r="B66" i="75"/>
  <c r="F65" i="75"/>
  <c r="D65" i="75"/>
  <c r="B65" i="75"/>
  <c r="F64" i="75"/>
  <c r="D64" i="75"/>
  <c r="B64" i="75"/>
  <c r="F63" i="75"/>
  <c r="D63" i="75"/>
  <c r="B63" i="75"/>
  <c r="F62" i="75"/>
  <c r="D62" i="75"/>
  <c r="B62" i="75"/>
  <c r="F61" i="75"/>
  <c r="D61" i="75"/>
  <c r="B61" i="75"/>
  <c r="F58" i="75"/>
  <c r="D58" i="75"/>
  <c r="B58" i="75"/>
  <c r="F57" i="75"/>
  <c r="D57" i="75"/>
  <c r="B57" i="75"/>
  <c r="F56" i="75"/>
  <c r="D56" i="75"/>
  <c r="B56" i="75"/>
  <c r="F55" i="75"/>
  <c r="D55" i="75"/>
  <c r="B55" i="75"/>
  <c r="F54" i="75"/>
  <c r="D54" i="75"/>
  <c r="B54" i="75"/>
  <c r="F53" i="75"/>
  <c r="D53" i="75"/>
  <c r="B53" i="75"/>
  <c r="F52" i="75"/>
  <c r="D52" i="75"/>
  <c r="B52" i="75"/>
  <c r="F51" i="75"/>
  <c r="D51" i="75"/>
  <c r="B51" i="75"/>
  <c r="F50" i="75"/>
  <c r="D50" i="75"/>
  <c r="B50" i="75"/>
  <c r="F49" i="75"/>
  <c r="D49" i="75"/>
  <c r="B49" i="75"/>
  <c r="F48" i="75"/>
  <c r="D48" i="75"/>
  <c r="B48" i="75"/>
  <c r="F47" i="75"/>
  <c r="D47" i="75"/>
  <c r="B47" i="75"/>
  <c r="F46" i="75"/>
  <c r="D46" i="75"/>
  <c r="B46" i="75"/>
  <c r="F45" i="75"/>
  <c r="D45" i="75"/>
  <c r="B45" i="75"/>
  <c r="F44" i="75"/>
  <c r="D44" i="75"/>
  <c r="B44" i="75"/>
  <c r="F43" i="75"/>
  <c r="D43" i="75"/>
  <c r="B43" i="75"/>
  <c r="F42" i="75"/>
  <c r="D42" i="75"/>
  <c r="B42" i="75"/>
  <c r="F41" i="75"/>
  <c r="D41" i="75"/>
  <c r="B41" i="75"/>
  <c r="F40" i="75"/>
  <c r="D40" i="75"/>
  <c r="B40" i="75"/>
  <c r="F39" i="75"/>
  <c r="D39" i="75"/>
  <c r="B39" i="75"/>
  <c r="F38" i="75"/>
  <c r="D38" i="75"/>
  <c r="B38" i="75"/>
  <c r="F37" i="75"/>
  <c r="D37" i="75"/>
  <c r="B37" i="75"/>
  <c r="F36" i="75"/>
  <c r="D36" i="75"/>
  <c r="B36" i="75"/>
  <c r="F35" i="75"/>
  <c r="D35" i="75"/>
  <c r="B35" i="75"/>
  <c r="F34" i="75"/>
  <c r="D34" i="75"/>
  <c r="B34" i="75"/>
  <c r="F33" i="75"/>
  <c r="D33" i="75"/>
  <c r="B33" i="75"/>
  <c r="F32" i="75"/>
  <c r="D32" i="75"/>
  <c r="B32" i="75"/>
  <c r="F31" i="75"/>
  <c r="D31" i="75"/>
  <c r="B31" i="75"/>
  <c r="F30" i="75"/>
  <c r="D30" i="75"/>
  <c r="B30" i="75"/>
  <c r="F29" i="75"/>
  <c r="D29" i="75"/>
  <c r="B29" i="75"/>
  <c r="F28" i="75"/>
  <c r="D28" i="75"/>
  <c r="B28" i="75"/>
  <c r="F27" i="75"/>
  <c r="D27" i="75"/>
  <c r="B27" i="75"/>
  <c r="F26" i="75"/>
  <c r="D26" i="75"/>
  <c r="B26" i="75"/>
  <c r="F25" i="75"/>
  <c r="D25" i="75"/>
  <c r="B25" i="75"/>
  <c r="F24" i="75"/>
  <c r="D24" i="75"/>
  <c r="B24" i="75"/>
  <c r="F23" i="75"/>
  <c r="D23" i="75"/>
  <c r="B23" i="75"/>
  <c r="F22" i="75"/>
  <c r="D22" i="75"/>
  <c r="B22" i="75"/>
  <c r="F21" i="75"/>
  <c r="D21" i="75"/>
  <c r="B21" i="75"/>
  <c r="F20" i="75"/>
  <c r="D20" i="75"/>
  <c r="B20" i="75"/>
  <c r="F19" i="75"/>
  <c r="D19" i="75"/>
  <c r="B19" i="75"/>
  <c r="F18" i="75"/>
  <c r="D18" i="75"/>
  <c r="B18" i="75"/>
  <c r="F17" i="75"/>
  <c r="D17" i="75"/>
  <c r="B17" i="75"/>
  <c r="F16" i="75"/>
  <c r="D16" i="75"/>
  <c r="B16" i="75"/>
  <c r="F15" i="75"/>
  <c r="D15" i="75"/>
  <c r="B15" i="75"/>
  <c r="F14" i="75"/>
  <c r="D14" i="75"/>
  <c r="B14" i="75"/>
  <c r="F13" i="75"/>
  <c r="D13" i="75"/>
  <c r="B13" i="75"/>
  <c r="F12" i="75"/>
  <c r="D12" i="75"/>
  <c r="B12" i="75"/>
  <c r="F11" i="75"/>
  <c r="D11" i="75"/>
  <c r="B11" i="75"/>
  <c r="F10" i="75"/>
  <c r="D10" i="75"/>
  <c r="B10" i="75"/>
  <c r="F413" i="45"/>
  <c r="D413" i="45"/>
  <c r="B413" i="45"/>
  <c r="F412" i="45"/>
  <c r="D412" i="45"/>
  <c r="B412" i="45"/>
  <c r="F411" i="45"/>
  <c r="D411" i="45"/>
  <c r="B411" i="45"/>
  <c r="F410" i="45"/>
  <c r="D410" i="45"/>
  <c r="B410" i="45"/>
  <c r="F409" i="45"/>
  <c r="D409" i="45"/>
  <c r="B409" i="45"/>
  <c r="F408" i="45"/>
  <c r="D408" i="45"/>
  <c r="B408" i="45"/>
  <c r="F407" i="45"/>
  <c r="D407" i="45"/>
  <c r="B407" i="45"/>
  <c r="F406" i="45"/>
  <c r="D406" i="45"/>
  <c r="B406" i="45"/>
  <c r="F405" i="45"/>
  <c r="D405" i="45"/>
  <c r="B405" i="45"/>
  <c r="F404" i="45"/>
  <c r="D404" i="45"/>
  <c r="B404" i="45"/>
  <c r="F403" i="45"/>
  <c r="D403" i="45"/>
  <c r="B403" i="45"/>
  <c r="F402" i="45"/>
  <c r="D402" i="45"/>
  <c r="B402" i="45"/>
  <c r="F401" i="45"/>
  <c r="D401" i="45"/>
  <c r="B401" i="45"/>
  <c r="F400" i="45"/>
  <c r="D400" i="45"/>
  <c r="B400" i="45"/>
  <c r="F399" i="45"/>
  <c r="D399" i="45"/>
  <c r="B399" i="45"/>
  <c r="F398" i="45"/>
  <c r="D398" i="45"/>
  <c r="B398" i="45"/>
  <c r="F397" i="45"/>
  <c r="D397" i="45"/>
  <c r="B397" i="45"/>
  <c r="F396" i="45"/>
  <c r="D396" i="45"/>
  <c r="B396" i="45"/>
  <c r="F395" i="45"/>
  <c r="D395" i="45"/>
  <c r="B395" i="45"/>
  <c r="F394" i="45"/>
  <c r="D394" i="45"/>
  <c r="B394" i="45"/>
  <c r="F393" i="45"/>
  <c r="D393" i="45"/>
  <c r="B393" i="45"/>
  <c r="F392" i="45"/>
  <c r="D392" i="45"/>
  <c r="B392" i="45"/>
  <c r="F391" i="45"/>
  <c r="D391" i="45"/>
  <c r="B391" i="45"/>
  <c r="F390" i="45"/>
  <c r="D390" i="45"/>
  <c r="B390" i="45"/>
  <c r="F389" i="45"/>
  <c r="D389" i="45"/>
  <c r="B389" i="45"/>
  <c r="F388" i="45"/>
  <c r="D388" i="45"/>
  <c r="B388" i="45"/>
  <c r="F387" i="45"/>
  <c r="D387" i="45"/>
  <c r="B387" i="45"/>
  <c r="F386" i="45"/>
  <c r="D386" i="45"/>
  <c r="B386" i="45"/>
  <c r="F385" i="45"/>
  <c r="D385" i="45"/>
  <c r="B385" i="45"/>
  <c r="F384" i="45"/>
  <c r="D384" i="45"/>
  <c r="B384" i="45"/>
  <c r="F383" i="45"/>
  <c r="D383" i="45"/>
  <c r="B383" i="45"/>
  <c r="F382" i="45"/>
  <c r="D382" i="45"/>
  <c r="B382" i="45"/>
  <c r="F381" i="45"/>
  <c r="D381" i="45"/>
  <c r="B381" i="45"/>
  <c r="F380" i="45"/>
  <c r="D380" i="45"/>
  <c r="B380" i="45"/>
  <c r="F379" i="45"/>
  <c r="D379" i="45"/>
  <c r="B379" i="45"/>
  <c r="F378" i="45"/>
  <c r="D378" i="45"/>
  <c r="B378" i="45"/>
  <c r="F377" i="45"/>
  <c r="D377" i="45"/>
  <c r="B377" i="45"/>
  <c r="F376" i="45"/>
  <c r="D376" i="45"/>
  <c r="B376" i="45"/>
  <c r="F375" i="45"/>
  <c r="D375" i="45"/>
  <c r="B375" i="45"/>
  <c r="F374" i="45"/>
  <c r="D374" i="45"/>
  <c r="B374" i="45"/>
  <c r="F373" i="45"/>
  <c r="D373" i="45"/>
  <c r="B373" i="45"/>
  <c r="F372" i="45"/>
  <c r="D372" i="45"/>
  <c r="B372" i="45"/>
  <c r="F371" i="45"/>
  <c r="D371" i="45"/>
  <c r="B371" i="45"/>
  <c r="F370" i="45"/>
  <c r="D370" i="45"/>
  <c r="B370" i="45"/>
  <c r="F369" i="45"/>
  <c r="D369" i="45"/>
  <c r="B369" i="45"/>
  <c r="F368" i="45"/>
  <c r="D368" i="45"/>
  <c r="B368" i="45"/>
  <c r="F367" i="45"/>
  <c r="D367" i="45"/>
  <c r="B367" i="45"/>
  <c r="F366" i="45"/>
  <c r="D366" i="45"/>
  <c r="B366" i="45"/>
  <c r="F365" i="45"/>
  <c r="D365" i="45"/>
  <c r="B365" i="45"/>
  <c r="F363" i="45"/>
  <c r="D363" i="45"/>
  <c r="B363" i="45"/>
  <c r="F362" i="45"/>
  <c r="D362" i="45"/>
  <c r="B362" i="45"/>
  <c r="F361" i="45"/>
  <c r="D361" i="45"/>
  <c r="B361" i="45"/>
  <c r="F360" i="45"/>
  <c r="D360" i="45"/>
  <c r="B360" i="45"/>
  <c r="F359" i="45"/>
  <c r="D359" i="45"/>
  <c r="B359" i="45"/>
  <c r="F358" i="45"/>
  <c r="D358" i="45"/>
  <c r="B358" i="45"/>
  <c r="F357" i="45"/>
  <c r="D357" i="45"/>
  <c r="B357" i="45"/>
  <c r="F356" i="45"/>
  <c r="D356" i="45"/>
  <c r="B356" i="45"/>
  <c r="F355" i="45"/>
  <c r="D355" i="45"/>
  <c r="B355" i="45"/>
  <c r="F354" i="45"/>
  <c r="D354" i="45"/>
  <c r="B354" i="45"/>
  <c r="F353" i="45"/>
  <c r="D353" i="45"/>
  <c r="B353" i="45"/>
  <c r="F352" i="45"/>
  <c r="D352" i="45"/>
  <c r="B352" i="45"/>
  <c r="F351" i="45"/>
  <c r="D351" i="45"/>
  <c r="B351" i="45"/>
  <c r="F350" i="45"/>
  <c r="D350" i="45"/>
  <c r="B350" i="45"/>
  <c r="F349" i="45"/>
  <c r="D349" i="45"/>
  <c r="B349" i="45"/>
  <c r="F348" i="45"/>
  <c r="D348" i="45"/>
  <c r="B348" i="45"/>
  <c r="F347" i="45"/>
  <c r="D347" i="45"/>
  <c r="B347" i="45"/>
  <c r="F346" i="45"/>
  <c r="D346" i="45"/>
  <c r="B346" i="45"/>
  <c r="F345" i="45"/>
  <c r="D345" i="45"/>
  <c r="B345" i="45"/>
  <c r="F344" i="45"/>
  <c r="D344" i="45"/>
  <c r="B344" i="45"/>
  <c r="F343" i="45"/>
  <c r="D343" i="45"/>
  <c r="B343" i="45"/>
  <c r="F342" i="45"/>
  <c r="D342" i="45"/>
  <c r="B342" i="45"/>
  <c r="F341" i="45"/>
  <c r="D341" i="45"/>
  <c r="B341" i="45"/>
  <c r="F340" i="45"/>
  <c r="D340" i="45"/>
  <c r="B340" i="45"/>
  <c r="F339" i="45"/>
  <c r="D339" i="45"/>
  <c r="B339" i="45"/>
  <c r="F338" i="45"/>
  <c r="D338" i="45"/>
  <c r="B338" i="45"/>
  <c r="F337" i="45"/>
  <c r="D337" i="45"/>
  <c r="B337" i="45"/>
  <c r="F336" i="45"/>
  <c r="D336" i="45"/>
  <c r="B336" i="45"/>
  <c r="F335" i="45"/>
  <c r="D335" i="45"/>
  <c r="B335" i="45"/>
  <c r="F334" i="45"/>
  <c r="D334" i="45"/>
  <c r="B334" i="45"/>
  <c r="F333" i="45"/>
  <c r="D333" i="45"/>
  <c r="B333" i="45"/>
  <c r="F332" i="45"/>
  <c r="D332" i="45"/>
  <c r="B332" i="45"/>
  <c r="F331" i="45"/>
  <c r="D331" i="45"/>
  <c r="B331" i="45"/>
  <c r="F330" i="45"/>
  <c r="D330" i="45"/>
  <c r="B330" i="45"/>
  <c r="F329" i="45"/>
  <c r="D329" i="45"/>
  <c r="B329" i="45"/>
  <c r="F328" i="45"/>
  <c r="D328" i="45"/>
  <c r="B328" i="45"/>
  <c r="F327" i="45"/>
  <c r="D327" i="45"/>
  <c r="B327" i="45"/>
  <c r="F326" i="45"/>
  <c r="D326" i="45"/>
  <c r="B326" i="45"/>
  <c r="F325" i="45"/>
  <c r="D325" i="45"/>
  <c r="B325" i="45"/>
  <c r="F324" i="45"/>
  <c r="D324" i="45"/>
  <c r="B324" i="45"/>
  <c r="F323" i="45"/>
  <c r="D323" i="45"/>
  <c r="B323" i="45"/>
  <c r="F322" i="45"/>
  <c r="D322" i="45"/>
  <c r="B322" i="45"/>
  <c r="F321" i="45"/>
  <c r="D321" i="45"/>
  <c r="B321" i="45"/>
  <c r="F320" i="45"/>
  <c r="D320" i="45"/>
  <c r="B320" i="45"/>
  <c r="F319" i="45"/>
  <c r="D319" i="45"/>
  <c r="B319" i="45"/>
  <c r="F318" i="45"/>
  <c r="D318" i="45"/>
  <c r="B318" i="45"/>
  <c r="F317" i="45"/>
  <c r="D317" i="45"/>
  <c r="B317" i="45"/>
  <c r="F316" i="45"/>
  <c r="D316" i="45"/>
  <c r="B316" i="45"/>
  <c r="F315" i="45"/>
  <c r="D315" i="45"/>
  <c r="B315" i="45"/>
  <c r="F312" i="45"/>
  <c r="D312" i="45"/>
  <c r="B312" i="45"/>
  <c r="F311" i="45"/>
  <c r="D311" i="45"/>
  <c r="B311" i="45"/>
  <c r="F310" i="45"/>
  <c r="D310" i="45"/>
  <c r="B310" i="45"/>
  <c r="F309" i="45"/>
  <c r="D309" i="45"/>
  <c r="B309" i="45"/>
  <c r="F308" i="45"/>
  <c r="D308" i="45"/>
  <c r="B308" i="45"/>
  <c r="F307" i="45"/>
  <c r="D307" i="45"/>
  <c r="B307" i="45"/>
  <c r="F306" i="45"/>
  <c r="D306" i="45"/>
  <c r="B306" i="45"/>
  <c r="F305" i="45"/>
  <c r="D305" i="45"/>
  <c r="B305" i="45"/>
  <c r="F304" i="45"/>
  <c r="D304" i="45"/>
  <c r="B304" i="45"/>
  <c r="F303" i="45"/>
  <c r="D303" i="45"/>
  <c r="B303" i="45"/>
  <c r="F302" i="45"/>
  <c r="D302" i="45"/>
  <c r="B302" i="45"/>
  <c r="F301" i="45"/>
  <c r="D301" i="45"/>
  <c r="B301" i="45"/>
  <c r="F300" i="45"/>
  <c r="D300" i="45"/>
  <c r="B300" i="45"/>
  <c r="F299" i="45"/>
  <c r="D299" i="45"/>
  <c r="B299" i="45"/>
  <c r="F298" i="45"/>
  <c r="D298" i="45"/>
  <c r="B298" i="45"/>
  <c r="F297" i="45"/>
  <c r="D297" i="45"/>
  <c r="B297" i="45"/>
  <c r="F296" i="45"/>
  <c r="D296" i="45"/>
  <c r="B296" i="45"/>
  <c r="F295" i="45"/>
  <c r="D295" i="45"/>
  <c r="B295" i="45"/>
  <c r="F294" i="45"/>
  <c r="D294" i="45"/>
  <c r="B294" i="45"/>
  <c r="F293" i="45"/>
  <c r="D293" i="45"/>
  <c r="B293" i="45"/>
  <c r="F292" i="45"/>
  <c r="D292" i="45"/>
  <c r="B292" i="45"/>
  <c r="F291" i="45"/>
  <c r="D291" i="45"/>
  <c r="B291" i="45"/>
  <c r="F290" i="45"/>
  <c r="D290" i="45"/>
  <c r="B290" i="45"/>
  <c r="F289" i="45"/>
  <c r="D289" i="45"/>
  <c r="B289" i="45"/>
  <c r="F288" i="45"/>
  <c r="D288" i="45"/>
  <c r="B288" i="45"/>
  <c r="F287" i="45"/>
  <c r="D287" i="45"/>
  <c r="B287" i="45"/>
  <c r="F286" i="45"/>
  <c r="D286" i="45"/>
  <c r="B286" i="45"/>
  <c r="F285" i="45"/>
  <c r="D285" i="45"/>
  <c r="B285" i="45"/>
  <c r="F284" i="45"/>
  <c r="D284" i="45"/>
  <c r="B284" i="45"/>
  <c r="F283" i="45"/>
  <c r="D283" i="45"/>
  <c r="B283" i="45"/>
  <c r="F282" i="45"/>
  <c r="D282" i="45"/>
  <c r="B282" i="45"/>
  <c r="F281" i="45"/>
  <c r="D281" i="45"/>
  <c r="B281" i="45"/>
  <c r="F280" i="45"/>
  <c r="D280" i="45"/>
  <c r="B280" i="45"/>
  <c r="F279" i="45"/>
  <c r="D279" i="45"/>
  <c r="B279" i="45"/>
  <c r="F278" i="45"/>
  <c r="D278" i="45"/>
  <c r="B278" i="45"/>
  <c r="F277" i="45"/>
  <c r="D277" i="45"/>
  <c r="B277" i="45"/>
  <c r="F276" i="45"/>
  <c r="D276" i="45"/>
  <c r="B276" i="45"/>
  <c r="F275" i="45"/>
  <c r="D275" i="45"/>
  <c r="B275" i="45"/>
  <c r="F274" i="45"/>
  <c r="D274" i="45"/>
  <c r="B274" i="45"/>
  <c r="F273" i="45"/>
  <c r="D273" i="45"/>
  <c r="B273" i="45"/>
  <c r="F272" i="45"/>
  <c r="D272" i="45"/>
  <c r="B272" i="45"/>
  <c r="F271" i="45"/>
  <c r="D271" i="45"/>
  <c r="B271" i="45"/>
  <c r="F270" i="45"/>
  <c r="D270" i="45"/>
  <c r="B270" i="45"/>
  <c r="F269" i="45"/>
  <c r="D269" i="45"/>
  <c r="B269" i="45"/>
  <c r="F268" i="45"/>
  <c r="D268" i="45"/>
  <c r="B268" i="45"/>
  <c r="F267" i="45"/>
  <c r="D267" i="45"/>
  <c r="B267" i="45"/>
  <c r="F266" i="45"/>
  <c r="D266" i="45"/>
  <c r="B266" i="45"/>
  <c r="F265" i="45"/>
  <c r="D265" i="45"/>
  <c r="B265" i="45"/>
  <c r="F264" i="45"/>
  <c r="D264" i="45"/>
  <c r="B264" i="45"/>
  <c r="F261" i="45"/>
  <c r="D261" i="45"/>
  <c r="B261" i="45"/>
  <c r="F260" i="45"/>
  <c r="D260" i="45"/>
  <c r="B260" i="45"/>
  <c r="F259" i="45"/>
  <c r="D259" i="45"/>
  <c r="B259" i="45"/>
  <c r="F258" i="45"/>
  <c r="D258" i="45"/>
  <c r="B258" i="45"/>
  <c r="F257" i="45"/>
  <c r="D257" i="45"/>
  <c r="B257" i="45"/>
  <c r="F256" i="45"/>
  <c r="D256" i="45"/>
  <c r="B256" i="45"/>
  <c r="F255" i="45"/>
  <c r="D255" i="45"/>
  <c r="B255" i="45"/>
  <c r="F254" i="45"/>
  <c r="D254" i="45"/>
  <c r="B254" i="45"/>
  <c r="F253" i="45"/>
  <c r="D253" i="45"/>
  <c r="B253" i="45"/>
  <c r="F252" i="45"/>
  <c r="D252" i="45"/>
  <c r="B252" i="45"/>
  <c r="F251" i="45"/>
  <c r="D251" i="45"/>
  <c r="B251" i="45"/>
  <c r="F250" i="45"/>
  <c r="D250" i="45"/>
  <c r="B250" i="45"/>
  <c r="F249" i="45"/>
  <c r="D249" i="45"/>
  <c r="B249" i="45"/>
  <c r="F248" i="45"/>
  <c r="D248" i="45"/>
  <c r="B248" i="45"/>
  <c r="F247" i="45"/>
  <c r="D247" i="45"/>
  <c r="B247" i="45"/>
  <c r="F246" i="45"/>
  <c r="D246" i="45"/>
  <c r="B246" i="45"/>
  <c r="F245" i="45"/>
  <c r="D245" i="45"/>
  <c r="B245" i="45"/>
  <c r="F244" i="45"/>
  <c r="D244" i="45"/>
  <c r="B244" i="45"/>
  <c r="F243" i="45"/>
  <c r="D243" i="45"/>
  <c r="B243" i="45"/>
  <c r="F242" i="45"/>
  <c r="D242" i="45"/>
  <c r="B242" i="45"/>
  <c r="F241" i="45"/>
  <c r="D241" i="45"/>
  <c r="B241" i="45"/>
  <c r="F240" i="45"/>
  <c r="D240" i="45"/>
  <c r="B240" i="45"/>
  <c r="F239" i="45"/>
  <c r="D239" i="45"/>
  <c r="B239" i="45"/>
  <c r="F238" i="45"/>
  <c r="D238" i="45"/>
  <c r="B238" i="45"/>
  <c r="F237" i="45"/>
  <c r="D237" i="45"/>
  <c r="B237" i="45"/>
  <c r="F236" i="45"/>
  <c r="D236" i="45"/>
  <c r="B236" i="45"/>
  <c r="F235" i="45"/>
  <c r="D235" i="45"/>
  <c r="B235" i="45"/>
  <c r="F234" i="45"/>
  <c r="D234" i="45"/>
  <c r="B234" i="45"/>
  <c r="F233" i="45"/>
  <c r="D233" i="45"/>
  <c r="B233" i="45"/>
  <c r="F232" i="45"/>
  <c r="D232" i="45"/>
  <c r="B232" i="45"/>
  <c r="F231" i="45"/>
  <c r="D231" i="45"/>
  <c r="B231" i="45"/>
  <c r="F230" i="45"/>
  <c r="D230" i="45"/>
  <c r="B230" i="45"/>
  <c r="F229" i="45"/>
  <c r="D229" i="45"/>
  <c r="B229" i="45"/>
  <c r="F228" i="45"/>
  <c r="D228" i="45"/>
  <c r="B228" i="45"/>
  <c r="F227" i="45"/>
  <c r="D227" i="45"/>
  <c r="B227" i="45"/>
  <c r="F226" i="45"/>
  <c r="D226" i="45"/>
  <c r="B226" i="45"/>
  <c r="F225" i="45"/>
  <c r="D225" i="45"/>
  <c r="B225" i="45"/>
  <c r="F224" i="45"/>
  <c r="D224" i="45"/>
  <c r="B224" i="45"/>
  <c r="F223" i="45"/>
  <c r="D223" i="45"/>
  <c r="B223" i="45"/>
  <c r="F222" i="45"/>
  <c r="D222" i="45"/>
  <c r="B222" i="45"/>
  <c r="F221" i="45"/>
  <c r="D221" i="45"/>
  <c r="B221" i="45"/>
  <c r="F220" i="45"/>
  <c r="D220" i="45"/>
  <c r="B220" i="45"/>
  <c r="F219" i="45"/>
  <c r="D219" i="45"/>
  <c r="B219" i="45"/>
  <c r="F218" i="45"/>
  <c r="D218" i="45"/>
  <c r="B218" i="45"/>
  <c r="F217" i="45"/>
  <c r="D217" i="45"/>
  <c r="B217" i="45"/>
  <c r="F216" i="45"/>
  <c r="D216" i="45"/>
  <c r="B216" i="45"/>
  <c r="F215" i="45"/>
  <c r="D215" i="45"/>
  <c r="B215" i="45"/>
  <c r="F214" i="45"/>
  <c r="D214" i="45"/>
  <c r="B214" i="45"/>
  <c r="F213" i="45"/>
  <c r="D213" i="45"/>
  <c r="B213" i="45"/>
  <c r="F211" i="45"/>
  <c r="D211" i="45"/>
  <c r="B211" i="45"/>
  <c r="F210" i="45"/>
  <c r="D210" i="45"/>
  <c r="B210" i="45"/>
  <c r="F209" i="45"/>
  <c r="D209" i="45"/>
  <c r="B209" i="45"/>
  <c r="F208" i="45"/>
  <c r="D208" i="45"/>
  <c r="B208" i="45"/>
  <c r="F207" i="45"/>
  <c r="D207" i="45"/>
  <c r="B207" i="45"/>
  <c r="F206" i="45"/>
  <c r="D206" i="45"/>
  <c r="B206" i="45"/>
  <c r="F205" i="45"/>
  <c r="D205" i="45"/>
  <c r="B205" i="45"/>
  <c r="F204" i="45"/>
  <c r="D204" i="45"/>
  <c r="B204" i="45"/>
  <c r="F203" i="45"/>
  <c r="D203" i="45"/>
  <c r="B203" i="45"/>
  <c r="F202" i="45"/>
  <c r="D202" i="45"/>
  <c r="B202" i="45"/>
  <c r="F201" i="45"/>
  <c r="D201" i="45"/>
  <c r="B201" i="45"/>
  <c r="F200" i="45"/>
  <c r="D200" i="45"/>
  <c r="B200" i="45"/>
  <c r="F199" i="45"/>
  <c r="D199" i="45"/>
  <c r="B199" i="45"/>
  <c r="F198" i="45"/>
  <c r="D198" i="45"/>
  <c r="B198" i="45"/>
  <c r="F197" i="45"/>
  <c r="D197" i="45"/>
  <c r="B197" i="45"/>
  <c r="F196" i="45"/>
  <c r="D196" i="45"/>
  <c r="B196" i="45"/>
  <c r="F195" i="45"/>
  <c r="D195" i="45"/>
  <c r="B195" i="45"/>
  <c r="F194" i="45"/>
  <c r="D194" i="45"/>
  <c r="B194" i="45"/>
  <c r="F193" i="45"/>
  <c r="D193" i="45"/>
  <c r="B193" i="45"/>
  <c r="F192" i="45"/>
  <c r="D192" i="45"/>
  <c r="B192" i="45"/>
  <c r="F191" i="45"/>
  <c r="D191" i="45"/>
  <c r="B191" i="45"/>
  <c r="F190" i="45"/>
  <c r="D190" i="45"/>
  <c r="B190" i="45"/>
  <c r="F189" i="45"/>
  <c r="D189" i="45"/>
  <c r="B189" i="45"/>
  <c r="F188" i="45"/>
  <c r="D188" i="45"/>
  <c r="B188" i="45"/>
  <c r="F187" i="45"/>
  <c r="D187" i="45"/>
  <c r="B187" i="45"/>
  <c r="F186" i="45"/>
  <c r="D186" i="45"/>
  <c r="B186" i="45"/>
  <c r="F185" i="45"/>
  <c r="D185" i="45"/>
  <c r="B185" i="45"/>
  <c r="F184" i="45"/>
  <c r="D184" i="45"/>
  <c r="B184" i="45"/>
  <c r="F183" i="45"/>
  <c r="D183" i="45"/>
  <c r="B183" i="45"/>
  <c r="F182" i="45"/>
  <c r="D182" i="45"/>
  <c r="B182" i="45"/>
  <c r="F181" i="45"/>
  <c r="D181" i="45"/>
  <c r="B181" i="45"/>
  <c r="F180" i="45"/>
  <c r="D180" i="45"/>
  <c r="B180" i="45"/>
  <c r="F179" i="45"/>
  <c r="D179" i="45"/>
  <c r="B179" i="45"/>
  <c r="F178" i="45"/>
  <c r="D178" i="45"/>
  <c r="B178" i="45"/>
  <c r="F177" i="45"/>
  <c r="D177" i="45"/>
  <c r="B177" i="45"/>
  <c r="F176" i="45"/>
  <c r="D176" i="45"/>
  <c r="B176" i="45"/>
  <c r="F175" i="45"/>
  <c r="D175" i="45"/>
  <c r="B175" i="45"/>
  <c r="F174" i="45"/>
  <c r="D174" i="45"/>
  <c r="B174" i="45"/>
  <c r="F173" i="45"/>
  <c r="D173" i="45"/>
  <c r="B173" i="45"/>
  <c r="F172" i="45"/>
  <c r="D172" i="45"/>
  <c r="B172" i="45"/>
  <c r="F171" i="45"/>
  <c r="D171" i="45"/>
  <c r="B171" i="45"/>
  <c r="F170" i="45"/>
  <c r="D170" i="45"/>
  <c r="B170" i="45"/>
  <c r="F169" i="45"/>
  <c r="D169" i="45"/>
  <c r="B169" i="45"/>
  <c r="F168" i="45"/>
  <c r="D168" i="45"/>
  <c r="B168" i="45"/>
  <c r="F167" i="45"/>
  <c r="D167" i="45"/>
  <c r="B167" i="45"/>
  <c r="F166" i="45"/>
  <c r="D166" i="45"/>
  <c r="B166" i="45"/>
  <c r="F165" i="45"/>
  <c r="D165" i="45"/>
  <c r="B165" i="45"/>
  <c r="F164" i="45"/>
  <c r="D164" i="45"/>
  <c r="B164" i="45"/>
  <c r="F163" i="45"/>
  <c r="D163" i="45"/>
  <c r="B163" i="45"/>
  <c r="F160" i="45"/>
  <c r="D160" i="45"/>
  <c r="B160" i="45"/>
  <c r="F159" i="45"/>
  <c r="D159" i="45"/>
  <c r="B159" i="45"/>
  <c r="F158" i="45"/>
  <c r="D158" i="45"/>
  <c r="B158" i="45"/>
  <c r="F157" i="45"/>
  <c r="D157" i="45"/>
  <c r="B157" i="45"/>
  <c r="F156" i="45"/>
  <c r="D156" i="45"/>
  <c r="B156" i="45"/>
  <c r="F155" i="45"/>
  <c r="D155" i="45"/>
  <c r="B155" i="45"/>
  <c r="F154" i="45"/>
  <c r="D154" i="45"/>
  <c r="B154" i="45"/>
  <c r="F153" i="45"/>
  <c r="D153" i="45"/>
  <c r="B153" i="45"/>
  <c r="F152" i="45"/>
  <c r="D152" i="45"/>
  <c r="B152" i="45"/>
  <c r="F151" i="45"/>
  <c r="D151" i="45"/>
  <c r="B151" i="45"/>
  <c r="F150" i="45"/>
  <c r="D150" i="45"/>
  <c r="B150" i="45"/>
  <c r="F149" i="45"/>
  <c r="D149" i="45"/>
  <c r="B149" i="45"/>
  <c r="F148" i="45"/>
  <c r="D148" i="45"/>
  <c r="B148" i="45"/>
  <c r="F147" i="45"/>
  <c r="D147" i="45"/>
  <c r="B147" i="45"/>
  <c r="F146" i="45"/>
  <c r="D146" i="45"/>
  <c r="B146" i="45"/>
  <c r="F145" i="45"/>
  <c r="D145" i="45"/>
  <c r="B145" i="45"/>
  <c r="F144" i="45"/>
  <c r="D144" i="45"/>
  <c r="B144" i="45"/>
  <c r="F143" i="45"/>
  <c r="D143" i="45"/>
  <c r="B143" i="45"/>
  <c r="F142" i="45"/>
  <c r="D142" i="45"/>
  <c r="B142" i="45"/>
  <c r="F141" i="45"/>
  <c r="D141" i="45"/>
  <c r="B141" i="45"/>
  <c r="F140" i="45"/>
  <c r="D140" i="45"/>
  <c r="B140" i="45"/>
  <c r="F139" i="45"/>
  <c r="D139" i="45"/>
  <c r="B139" i="45"/>
  <c r="F138" i="45"/>
  <c r="D138" i="45"/>
  <c r="B138" i="45"/>
  <c r="F137" i="45"/>
  <c r="D137" i="45"/>
  <c r="B137" i="45"/>
  <c r="F136" i="45"/>
  <c r="D136" i="45"/>
  <c r="B136" i="45"/>
  <c r="F135" i="45"/>
  <c r="D135" i="45"/>
  <c r="B135" i="45"/>
  <c r="F134" i="45"/>
  <c r="D134" i="45"/>
  <c r="B134" i="45"/>
  <c r="F133" i="45"/>
  <c r="D133" i="45"/>
  <c r="B133" i="45"/>
  <c r="F132" i="45"/>
  <c r="D132" i="45"/>
  <c r="B132" i="45"/>
  <c r="F131" i="45"/>
  <c r="D131" i="45"/>
  <c r="B131" i="45"/>
  <c r="F130" i="45"/>
  <c r="D130" i="45"/>
  <c r="B130" i="45"/>
  <c r="F129" i="45"/>
  <c r="D129" i="45"/>
  <c r="B129" i="45"/>
  <c r="F128" i="45"/>
  <c r="D128" i="45"/>
  <c r="B128" i="45"/>
  <c r="F127" i="45"/>
  <c r="D127" i="45"/>
  <c r="B127" i="45"/>
  <c r="F126" i="45"/>
  <c r="D126" i="45"/>
  <c r="B126" i="45"/>
  <c r="F125" i="45"/>
  <c r="D125" i="45"/>
  <c r="B125" i="45"/>
  <c r="F124" i="45"/>
  <c r="D124" i="45"/>
  <c r="B124" i="45"/>
  <c r="F123" i="45"/>
  <c r="D123" i="45"/>
  <c r="B123" i="45"/>
  <c r="F122" i="45"/>
  <c r="D122" i="45"/>
  <c r="B122" i="45"/>
  <c r="F121" i="45"/>
  <c r="D121" i="45"/>
  <c r="B121" i="45"/>
  <c r="F120" i="45"/>
  <c r="D120" i="45"/>
  <c r="B120" i="45"/>
  <c r="F119" i="45"/>
  <c r="D119" i="45"/>
  <c r="B119" i="45"/>
  <c r="F118" i="45"/>
  <c r="D118" i="45"/>
  <c r="B118" i="45"/>
  <c r="F117" i="45"/>
  <c r="D117" i="45"/>
  <c r="B117" i="45"/>
  <c r="F116" i="45"/>
  <c r="D116" i="45"/>
  <c r="B116" i="45"/>
  <c r="F115" i="45"/>
  <c r="D115" i="45"/>
  <c r="B115" i="45"/>
  <c r="F114" i="45"/>
  <c r="D114" i="45"/>
  <c r="B114" i="45"/>
  <c r="F113" i="45"/>
  <c r="D113" i="45"/>
  <c r="B113" i="45"/>
  <c r="F112" i="45"/>
  <c r="D112" i="45"/>
  <c r="B112" i="45"/>
  <c r="F109" i="45"/>
  <c r="D109" i="45"/>
  <c r="B109" i="45"/>
  <c r="F108" i="45"/>
  <c r="D108" i="45"/>
  <c r="B108" i="45"/>
  <c r="F107" i="45"/>
  <c r="D107" i="45"/>
  <c r="B107" i="45"/>
  <c r="F106" i="45"/>
  <c r="D106" i="45"/>
  <c r="B106" i="45"/>
  <c r="F105" i="45"/>
  <c r="D105" i="45"/>
  <c r="B105" i="45"/>
  <c r="F104" i="45"/>
  <c r="D104" i="45"/>
  <c r="B104" i="45"/>
  <c r="F103" i="45"/>
  <c r="D103" i="45"/>
  <c r="B103" i="45"/>
  <c r="F102" i="45"/>
  <c r="D102" i="45"/>
  <c r="B102" i="45"/>
  <c r="F101" i="45"/>
  <c r="D101" i="45"/>
  <c r="B101" i="45"/>
  <c r="F100" i="45"/>
  <c r="D100" i="45"/>
  <c r="B100" i="45"/>
  <c r="F99" i="45"/>
  <c r="D99" i="45"/>
  <c r="B99" i="45"/>
  <c r="F98" i="45"/>
  <c r="D98" i="45"/>
  <c r="B98" i="45"/>
  <c r="F97" i="45"/>
  <c r="D97" i="45"/>
  <c r="B97" i="45"/>
  <c r="F96" i="45"/>
  <c r="D96" i="45"/>
  <c r="B96" i="45"/>
  <c r="F95" i="45"/>
  <c r="D95" i="45"/>
  <c r="B95" i="45"/>
  <c r="F94" i="45"/>
  <c r="D94" i="45"/>
  <c r="B94" i="45"/>
  <c r="F93" i="45"/>
  <c r="D93" i="45"/>
  <c r="B93" i="45"/>
  <c r="F92" i="45"/>
  <c r="D92" i="45"/>
  <c r="B92" i="45"/>
  <c r="F91" i="45"/>
  <c r="D91" i="45"/>
  <c r="B91" i="45"/>
  <c r="F90" i="45"/>
  <c r="D90" i="45"/>
  <c r="B90" i="45"/>
  <c r="F89" i="45"/>
  <c r="D89" i="45"/>
  <c r="B89" i="45"/>
  <c r="F88" i="45"/>
  <c r="D88" i="45"/>
  <c r="B88" i="45"/>
  <c r="F87" i="45"/>
  <c r="D87" i="45"/>
  <c r="B87" i="45"/>
  <c r="F86" i="45"/>
  <c r="D86" i="45"/>
  <c r="B86" i="45"/>
  <c r="F85" i="45"/>
  <c r="D85" i="45"/>
  <c r="B85" i="45"/>
  <c r="F84" i="45"/>
  <c r="D84" i="45"/>
  <c r="B84" i="45"/>
  <c r="F83" i="45"/>
  <c r="D83" i="45"/>
  <c r="B83" i="45"/>
  <c r="F82" i="45"/>
  <c r="D82" i="45"/>
  <c r="B82" i="45"/>
  <c r="F81" i="45"/>
  <c r="D81" i="45"/>
  <c r="B81" i="45"/>
  <c r="F80" i="45"/>
  <c r="D80" i="45"/>
  <c r="B80" i="45"/>
  <c r="F79" i="45"/>
  <c r="D79" i="45"/>
  <c r="B79" i="45"/>
  <c r="F78" i="45"/>
  <c r="D78" i="45"/>
  <c r="B78" i="45"/>
  <c r="F77" i="45"/>
  <c r="D77" i="45"/>
  <c r="B77" i="45"/>
  <c r="F76" i="45"/>
  <c r="D76" i="45"/>
  <c r="B76" i="45"/>
  <c r="F75" i="45"/>
  <c r="D75" i="45"/>
  <c r="B75" i="45"/>
  <c r="F74" i="45"/>
  <c r="D74" i="45"/>
  <c r="B74" i="45"/>
  <c r="F73" i="45"/>
  <c r="D73" i="45"/>
  <c r="B73" i="45"/>
  <c r="F72" i="45"/>
  <c r="D72" i="45"/>
  <c r="B72" i="45"/>
  <c r="F71" i="45"/>
  <c r="D71" i="45"/>
  <c r="B71" i="45"/>
  <c r="F70" i="45"/>
  <c r="D70" i="45"/>
  <c r="B70" i="45"/>
  <c r="F69" i="45"/>
  <c r="D69" i="45"/>
  <c r="B69" i="45"/>
  <c r="F68" i="45"/>
  <c r="D68" i="45"/>
  <c r="B68" i="45"/>
  <c r="F67" i="45"/>
  <c r="D67" i="45"/>
  <c r="B67" i="45"/>
  <c r="F66" i="45"/>
  <c r="D66" i="45"/>
  <c r="B66" i="45"/>
  <c r="F65" i="45"/>
  <c r="D65" i="45"/>
  <c r="B65" i="45"/>
  <c r="F64" i="45"/>
  <c r="D64" i="45"/>
  <c r="B64" i="45"/>
  <c r="F63" i="45"/>
  <c r="D63" i="45"/>
  <c r="B63" i="45"/>
  <c r="F62" i="45"/>
  <c r="D62" i="45"/>
  <c r="B62" i="45"/>
  <c r="F61" i="45"/>
  <c r="D61" i="45"/>
  <c r="B61" i="45"/>
  <c r="F58" i="45"/>
  <c r="D58" i="45"/>
  <c r="B58" i="45"/>
  <c r="F57" i="45"/>
  <c r="D57" i="45"/>
  <c r="B57" i="45"/>
  <c r="F56" i="45"/>
  <c r="D56" i="45"/>
  <c r="B56" i="45"/>
  <c r="F55" i="45"/>
  <c r="D55" i="45"/>
  <c r="B55" i="45"/>
  <c r="F54" i="45"/>
  <c r="D54" i="45"/>
  <c r="B54" i="45"/>
  <c r="F53" i="45"/>
  <c r="D53" i="45"/>
  <c r="B53" i="45"/>
  <c r="F52" i="45"/>
  <c r="D52" i="45"/>
  <c r="B52" i="45"/>
  <c r="F51" i="45"/>
  <c r="D51" i="45"/>
  <c r="B51" i="45"/>
  <c r="F50" i="45"/>
  <c r="D50" i="45"/>
  <c r="B50" i="45"/>
  <c r="F49" i="45"/>
  <c r="D49" i="45"/>
  <c r="B49" i="45"/>
  <c r="F48" i="45"/>
  <c r="D48" i="45"/>
  <c r="B48" i="45"/>
  <c r="F47" i="45"/>
  <c r="D47" i="45"/>
  <c r="B47" i="45"/>
  <c r="F46" i="45"/>
  <c r="D46" i="45"/>
  <c r="B46" i="45"/>
  <c r="F45" i="45"/>
  <c r="D45" i="45"/>
  <c r="B45" i="45"/>
  <c r="F44" i="45"/>
  <c r="D44" i="45"/>
  <c r="B44" i="45"/>
  <c r="F43" i="45"/>
  <c r="D43" i="45"/>
  <c r="B43" i="45"/>
  <c r="F42" i="45"/>
  <c r="D42" i="45"/>
  <c r="B42" i="45"/>
  <c r="F41" i="45"/>
  <c r="D41" i="45"/>
  <c r="B41" i="45"/>
  <c r="F40" i="45"/>
  <c r="D40" i="45"/>
  <c r="B40" i="45"/>
  <c r="F39" i="45"/>
  <c r="D39" i="45"/>
  <c r="B39" i="45"/>
  <c r="F38" i="45"/>
  <c r="D38" i="45"/>
  <c r="B38" i="45"/>
  <c r="F37" i="45"/>
  <c r="D37" i="45"/>
  <c r="B37" i="45"/>
  <c r="F36" i="45"/>
  <c r="D36" i="45"/>
  <c r="B36" i="45"/>
  <c r="F35" i="45"/>
  <c r="D35" i="45"/>
  <c r="B35" i="45"/>
  <c r="F34" i="45"/>
  <c r="D34" i="45"/>
  <c r="B34" i="45"/>
  <c r="F33" i="45"/>
  <c r="D33" i="45"/>
  <c r="B33" i="45"/>
  <c r="F32" i="45"/>
  <c r="D32" i="45"/>
  <c r="B32" i="45"/>
  <c r="F31" i="45"/>
  <c r="D31" i="45"/>
  <c r="B31" i="45"/>
  <c r="F30" i="45"/>
  <c r="D30" i="45"/>
  <c r="B30" i="45"/>
  <c r="F29" i="45"/>
  <c r="D29" i="45"/>
  <c r="B29" i="45"/>
  <c r="F28" i="45"/>
  <c r="D28" i="45"/>
  <c r="B28" i="45"/>
  <c r="F27" i="45"/>
  <c r="D27" i="45"/>
  <c r="B27" i="45"/>
  <c r="F26" i="45"/>
  <c r="D26" i="45"/>
  <c r="B26" i="45"/>
  <c r="F25" i="45"/>
  <c r="D25" i="45"/>
  <c r="B25" i="45"/>
  <c r="F24" i="45"/>
  <c r="D24" i="45"/>
  <c r="B24" i="45"/>
  <c r="F23" i="45"/>
  <c r="D23" i="45"/>
  <c r="B23" i="45"/>
  <c r="F22" i="45"/>
  <c r="D22" i="45"/>
  <c r="B22" i="45"/>
  <c r="F21" i="45"/>
  <c r="D21" i="45"/>
  <c r="B21" i="45"/>
  <c r="F20" i="45"/>
  <c r="D20" i="45"/>
  <c r="B20" i="45"/>
  <c r="F19" i="45"/>
  <c r="D19" i="45"/>
  <c r="B19" i="45"/>
  <c r="F18" i="45"/>
  <c r="D18" i="45"/>
  <c r="B18" i="45"/>
  <c r="F17" i="45"/>
  <c r="D17" i="45"/>
  <c r="B17" i="45"/>
  <c r="F16" i="45"/>
  <c r="D16" i="45"/>
  <c r="B16" i="45"/>
  <c r="F15" i="45"/>
  <c r="D15" i="45"/>
  <c r="B15" i="45"/>
  <c r="F14" i="45"/>
  <c r="D14" i="45"/>
  <c r="B14" i="45"/>
  <c r="F13" i="45"/>
  <c r="D13" i="45"/>
  <c r="B13" i="45"/>
  <c r="F12" i="45"/>
  <c r="D12" i="45"/>
  <c r="B12" i="45"/>
  <c r="F11" i="45"/>
  <c r="D11" i="45"/>
  <c r="B11" i="45"/>
  <c r="F10" i="45"/>
  <c r="D10" i="45"/>
  <c r="B10" i="45"/>
  <c r="F264" i="74"/>
  <c r="D264" i="74"/>
  <c r="B264" i="74"/>
  <c r="F263" i="74"/>
  <c r="D263" i="74"/>
  <c r="B263" i="74"/>
  <c r="F262" i="74"/>
  <c r="D262" i="74"/>
  <c r="B262" i="74"/>
  <c r="F261" i="74"/>
  <c r="D261" i="74"/>
  <c r="B261" i="74"/>
  <c r="F260" i="74"/>
  <c r="D260" i="74"/>
  <c r="B260" i="74"/>
  <c r="F259" i="74"/>
  <c r="D259" i="74"/>
  <c r="B259" i="74"/>
  <c r="F258" i="74"/>
  <c r="D258" i="74"/>
  <c r="B258" i="74"/>
  <c r="F257" i="74"/>
  <c r="D257" i="74"/>
  <c r="B257" i="74"/>
  <c r="F256" i="74"/>
  <c r="D256" i="74"/>
  <c r="B256" i="74"/>
  <c r="F255" i="74"/>
  <c r="D255" i="74"/>
  <c r="B255" i="74"/>
  <c r="F254" i="74"/>
  <c r="D254" i="74"/>
  <c r="B254" i="74"/>
  <c r="F253" i="74"/>
  <c r="D253" i="74"/>
  <c r="B253" i="74"/>
  <c r="F252" i="74"/>
  <c r="D252" i="74"/>
  <c r="B252" i="74"/>
  <c r="F251" i="74"/>
  <c r="D251" i="74"/>
  <c r="B251" i="74"/>
  <c r="F250" i="74"/>
  <c r="D250" i="74"/>
  <c r="B250" i="74"/>
  <c r="F249" i="74"/>
  <c r="D249" i="74"/>
  <c r="B249" i="74"/>
  <c r="F248" i="74"/>
  <c r="D248" i="74"/>
  <c r="B248" i="74"/>
  <c r="F247" i="74"/>
  <c r="D247" i="74"/>
  <c r="B247" i="74"/>
  <c r="F246" i="74"/>
  <c r="D246" i="74"/>
  <c r="B246" i="74"/>
  <c r="F245" i="74"/>
  <c r="D245" i="74"/>
  <c r="B245" i="74"/>
  <c r="F244" i="74"/>
  <c r="D244" i="74"/>
  <c r="B244" i="74"/>
  <c r="F243" i="74"/>
  <c r="D243" i="74"/>
  <c r="B243" i="74"/>
  <c r="F242" i="74"/>
  <c r="D242" i="74"/>
  <c r="B242" i="74"/>
  <c r="F241" i="74"/>
  <c r="D241" i="74"/>
  <c r="B241" i="74"/>
  <c r="F240" i="74"/>
  <c r="D240" i="74"/>
  <c r="B240" i="74"/>
  <c r="F239" i="74"/>
  <c r="D239" i="74"/>
  <c r="B239" i="74"/>
  <c r="F238" i="74"/>
  <c r="D238" i="74"/>
  <c r="B238" i="74"/>
  <c r="F237" i="74"/>
  <c r="D237" i="74"/>
  <c r="B237" i="74"/>
  <c r="F236" i="74"/>
  <c r="D236" i="74"/>
  <c r="B236" i="74"/>
  <c r="F235" i="74"/>
  <c r="D235" i="74"/>
  <c r="B235" i="74"/>
  <c r="F234" i="74"/>
  <c r="D234" i="74"/>
  <c r="B234" i="74"/>
  <c r="F233" i="74"/>
  <c r="D233" i="74"/>
  <c r="B233" i="74"/>
  <c r="F232" i="74"/>
  <c r="D232" i="74"/>
  <c r="B232" i="74"/>
  <c r="F231" i="74"/>
  <c r="D231" i="74"/>
  <c r="B231" i="74"/>
  <c r="F230" i="74"/>
  <c r="D230" i="74"/>
  <c r="B230" i="74"/>
  <c r="F229" i="74"/>
  <c r="D229" i="74"/>
  <c r="B229" i="74"/>
  <c r="F228" i="74"/>
  <c r="D228" i="74"/>
  <c r="B228" i="74"/>
  <c r="F227" i="74"/>
  <c r="D227" i="74"/>
  <c r="B227" i="74"/>
  <c r="F226" i="74"/>
  <c r="D226" i="74"/>
  <c r="B226" i="74"/>
  <c r="F225" i="74"/>
  <c r="D225" i="74"/>
  <c r="B225" i="74"/>
  <c r="F224" i="74"/>
  <c r="D224" i="74"/>
  <c r="B224" i="74"/>
  <c r="F223" i="74"/>
  <c r="D223" i="74"/>
  <c r="B223" i="74"/>
  <c r="F222" i="74"/>
  <c r="D222" i="74"/>
  <c r="B222" i="74"/>
  <c r="F221" i="74"/>
  <c r="D221" i="74"/>
  <c r="B221" i="74"/>
  <c r="F220" i="74"/>
  <c r="D220" i="74"/>
  <c r="B220" i="74"/>
  <c r="F219" i="74"/>
  <c r="D219" i="74"/>
  <c r="B219" i="74"/>
  <c r="F218" i="74"/>
  <c r="D218" i="74"/>
  <c r="B218" i="74"/>
  <c r="F217" i="74"/>
  <c r="D217" i="74"/>
  <c r="B217" i="74"/>
  <c r="F216" i="74"/>
  <c r="D216" i="74"/>
  <c r="B216" i="74"/>
  <c r="F214" i="74"/>
  <c r="D214" i="74"/>
  <c r="B214" i="74"/>
  <c r="F213" i="74"/>
  <c r="D213" i="74"/>
  <c r="B213" i="74"/>
  <c r="F212" i="74"/>
  <c r="D212" i="74"/>
  <c r="B212" i="74"/>
  <c r="F211" i="74"/>
  <c r="D211" i="74"/>
  <c r="B211" i="74"/>
  <c r="F210" i="74"/>
  <c r="D210" i="74"/>
  <c r="B210" i="74"/>
  <c r="F209" i="74"/>
  <c r="D209" i="74"/>
  <c r="B209" i="74"/>
  <c r="F208" i="74"/>
  <c r="D208" i="74"/>
  <c r="B208" i="74"/>
  <c r="F207" i="74"/>
  <c r="D207" i="74"/>
  <c r="B207" i="74"/>
  <c r="F206" i="74"/>
  <c r="D206" i="74"/>
  <c r="B206" i="74"/>
  <c r="F205" i="74"/>
  <c r="D205" i="74"/>
  <c r="B205" i="74"/>
  <c r="F204" i="74"/>
  <c r="D204" i="74"/>
  <c r="B204" i="74"/>
  <c r="F203" i="74"/>
  <c r="D203" i="74"/>
  <c r="B203" i="74"/>
  <c r="F202" i="74"/>
  <c r="D202" i="74"/>
  <c r="B202" i="74"/>
  <c r="F201" i="74"/>
  <c r="D201" i="74"/>
  <c r="B201" i="74"/>
  <c r="F200" i="74"/>
  <c r="D200" i="74"/>
  <c r="B200" i="74"/>
  <c r="F199" i="74"/>
  <c r="D199" i="74"/>
  <c r="B199" i="74"/>
  <c r="F198" i="74"/>
  <c r="D198" i="74"/>
  <c r="B198" i="74"/>
  <c r="F197" i="74"/>
  <c r="D197" i="74"/>
  <c r="B197" i="74"/>
  <c r="F196" i="74"/>
  <c r="D196" i="74"/>
  <c r="B196" i="74"/>
  <c r="F195" i="74"/>
  <c r="D195" i="74"/>
  <c r="B195" i="74"/>
  <c r="F194" i="74"/>
  <c r="D194" i="74"/>
  <c r="B194" i="74"/>
  <c r="F193" i="74"/>
  <c r="D193" i="74"/>
  <c r="B193" i="74"/>
  <c r="F192" i="74"/>
  <c r="D192" i="74"/>
  <c r="B192" i="74"/>
  <c r="F191" i="74"/>
  <c r="D191" i="74"/>
  <c r="B191" i="74"/>
  <c r="F190" i="74"/>
  <c r="D190" i="74"/>
  <c r="B190" i="74"/>
  <c r="F189" i="74"/>
  <c r="D189" i="74"/>
  <c r="B189" i="74"/>
  <c r="F188" i="74"/>
  <c r="D188" i="74"/>
  <c r="B188" i="74"/>
  <c r="F187" i="74"/>
  <c r="D187" i="74"/>
  <c r="B187" i="74"/>
  <c r="F186" i="74"/>
  <c r="D186" i="74"/>
  <c r="B186" i="74"/>
  <c r="F185" i="74"/>
  <c r="D185" i="74"/>
  <c r="B185" i="74"/>
  <c r="F184" i="74"/>
  <c r="D184" i="74"/>
  <c r="B184" i="74"/>
  <c r="F183" i="74"/>
  <c r="D183" i="74"/>
  <c r="B183" i="74"/>
  <c r="F182" i="74"/>
  <c r="D182" i="74"/>
  <c r="B182" i="74"/>
  <c r="F181" i="74"/>
  <c r="D181" i="74"/>
  <c r="B181" i="74"/>
  <c r="F180" i="74"/>
  <c r="D180" i="74"/>
  <c r="B180" i="74"/>
  <c r="F179" i="74"/>
  <c r="D179" i="74"/>
  <c r="B179" i="74"/>
  <c r="F178" i="74"/>
  <c r="D178" i="74"/>
  <c r="B178" i="74"/>
  <c r="F177" i="74"/>
  <c r="D177" i="74"/>
  <c r="B177" i="74"/>
  <c r="F176" i="74"/>
  <c r="D176" i="74"/>
  <c r="B176" i="74"/>
  <c r="F175" i="74"/>
  <c r="D175" i="74"/>
  <c r="B175" i="74"/>
  <c r="F174" i="74"/>
  <c r="D174" i="74"/>
  <c r="B174" i="74"/>
  <c r="F173" i="74"/>
  <c r="D173" i="74"/>
  <c r="B173" i="74"/>
  <c r="F172" i="74"/>
  <c r="D172" i="74"/>
  <c r="B172" i="74"/>
  <c r="F171" i="74"/>
  <c r="D171" i="74"/>
  <c r="B171" i="74"/>
  <c r="F170" i="74"/>
  <c r="D170" i="74"/>
  <c r="B170" i="74"/>
  <c r="F169" i="74"/>
  <c r="D169" i="74"/>
  <c r="B169" i="74"/>
  <c r="F168" i="74"/>
  <c r="D168" i="74"/>
  <c r="B168" i="74"/>
  <c r="F167" i="74"/>
  <c r="D167" i="74"/>
  <c r="B167" i="74"/>
  <c r="F166" i="74"/>
  <c r="D166" i="74"/>
  <c r="B166" i="74"/>
  <c r="F162" i="74"/>
  <c r="D162" i="74"/>
  <c r="B162" i="74"/>
  <c r="F161" i="74"/>
  <c r="D161" i="74"/>
  <c r="B161" i="74"/>
  <c r="F160" i="74"/>
  <c r="D160" i="74"/>
  <c r="B160" i="74"/>
  <c r="F159" i="74"/>
  <c r="D159" i="74"/>
  <c r="B159" i="74"/>
  <c r="F158" i="74"/>
  <c r="D158" i="74"/>
  <c r="B158" i="74"/>
  <c r="F157" i="74"/>
  <c r="D157" i="74"/>
  <c r="B157" i="74"/>
  <c r="F156" i="74"/>
  <c r="D156" i="74"/>
  <c r="B156" i="74"/>
  <c r="F155" i="74"/>
  <c r="D155" i="74"/>
  <c r="B155" i="74"/>
  <c r="F154" i="74"/>
  <c r="D154" i="74"/>
  <c r="B154" i="74"/>
  <c r="F153" i="74"/>
  <c r="D153" i="74"/>
  <c r="B153" i="74"/>
  <c r="F152" i="74"/>
  <c r="D152" i="74"/>
  <c r="B152" i="74"/>
  <c r="F151" i="74"/>
  <c r="D151" i="74"/>
  <c r="B151" i="74"/>
  <c r="F150" i="74"/>
  <c r="D150" i="74"/>
  <c r="B150" i="74"/>
  <c r="F149" i="74"/>
  <c r="D149" i="74"/>
  <c r="B149" i="74"/>
  <c r="F148" i="74"/>
  <c r="D148" i="74"/>
  <c r="B148" i="74"/>
  <c r="F147" i="74"/>
  <c r="D147" i="74"/>
  <c r="B147" i="74"/>
  <c r="F146" i="74"/>
  <c r="D146" i="74"/>
  <c r="B146" i="74"/>
  <c r="F145" i="74"/>
  <c r="D145" i="74"/>
  <c r="B145" i="74"/>
  <c r="F144" i="74"/>
  <c r="D144" i="74"/>
  <c r="B144" i="74"/>
  <c r="F143" i="74"/>
  <c r="D143" i="74"/>
  <c r="B143" i="74"/>
  <c r="F142" i="74"/>
  <c r="D142" i="74"/>
  <c r="B142" i="74"/>
  <c r="F141" i="74"/>
  <c r="D141" i="74"/>
  <c r="B141" i="74"/>
  <c r="F140" i="74"/>
  <c r="D140" i="74"/>
  <c r="B140" i="74"/>
  <c r="F139" i="74"/>
  <c r="D139" i="74"/>
  <c r="B139" i="74"/>
  <c r="F138" i="74"/>
  <c r="D138" i="74"/>
  <c r="B138" i="74"/>
  <c r="F137" i="74"/>
  <c r="D137" i="74"/>
  <c r="B137" i="74"/>
  <c r="F136" i="74"/>
  <c r="D136" i="74"/>
  <c r="B136" i="74"/>
  <c r="F135" i="74"/>
  <c r="D135" i="74"/>
  <c r="B135" i="74"/>
  <c r="F134" i="74"/>
  <c r="D134" i="74"/>
  <c r="B134" i="74"/>
  <c r="F133" i="74"/>
  <c r="D133" i="74"/>
  <c r="B133" i="74"/>
  <c r="F132" i="74"/>
  <c r="D132" i="74"/>
  <c r="B132" i="74"/>
  <c r="F131" i="74"/>
  <c r="D131" i="74"/>
  <c r="B131" i="74"/>
  <c r="F130" i="74"/>
  <c r="D130" i="74"/>
  <c r="B130" i="74"/>
  <c r="F129" i="74"/>
  <c r="D129" i="74"/>
  <c r="B129" i="74"/>
  <c r="F128" i="74"/>
  <c r="D128" i="74"/>
  <c r="B128" i="74"/>
  <c r="F127" i="74"/>
  <c r="D127" i="74"/>
  <c r="B127" i="74"/>
  <c r="F126" i="74"/>
  <c r="D126" i="74"/>
  <c r="B126" i="74"/>
  <c r="F125" i="74"/>
  <c r="D125" i="74"/>
  <c r="B125" i="74"/>
  <c r="F124" i="74"/>
  <c r="D124" i="74"/>
  <c r="B124" i="74"/>
  <c r="F123" i="74"/>
  <c r="D123" i="74"/>
  <c r="B123" i="74"/>
  <c r="F122" i="74"/>
  <c r="D122" i="74"/>
  <c r="B122" i="74"/>
  <c r="F121" i="74"/>
  <c r="D121" i="74"/>
  <c r="B121" i="74"/>
  <c r="F120" i="74"/>
  <c r="D120" i="74"/>
  <c r="B120" i="74"/>
  <c r="F119" i="74"/>
  <c r="D119" i="74"/>
  <c r="B119" i="74"/>
  <c r="F118" i="74"/>
  <c r="D118" i="74"/>
  <c r="B118" i="74"/>
  <c r="F117" i="74"/>
  <c r="D117" i="74"/>
  <c r="B117" i="74"/>
  <c r="F116" i="74"/>
  <c r="D116" i="74"/>
  <c r="B116" i="74"/>
  <c r="F115" i="74"/>
  <c r="D115" i="74"/>
  <c r="B115" i="74"/>
  <c r="F114" i="74"/>
  <c r="D114" i="74"/>
  <c r="B114" i="74"/>
  <c r="F110" i="74"/>
  <c r="D110" i="74"/>
  <c r="B110" i="74"/>
  <c r="F109" i="74"/>
  <c r="D109" i="74"/>
  <c r="B109" i="74"/>
  <c r="F108" i="74"/>
  <c r="D108" i="74"/>
  <c r="B108" i="74"/>
  <c r="F107" i="74"/>
  <c r="D107" i="74"/>
  <c r="B107" i="74"/>
  <c r="F106" i="74"/>
  <c r="D106" i="74"/>
  <c r="B106" i="74"/>
  <c r="F105" i="74"/>
  <c r="D105" i="74"/>
  <c r="B105" i="74"/>
  <c r="F104" i="74"/>
  <c r="D104" i="74"/>
  <c r="B104" i="74"/>
  <c r="F103" i="74"/>
  <c r="D103" i="74"/>
  <c r="B103" i="74"/>
  <c r="F102" i="74"/>
  <c r="D102" i="74"/>
  <c r="B102" i="74"/>
  <c r="F101" i="74"/>
  <c r="D101" i="74"/>
  <c r="B101" i="74"/>
  <c r="F100" i="74"/>
  <c r="D100" i="74"/>
  <c r="B100" i="74"/>
  <c r="F99" i="74"/>
  <c r="D99" i="74"/>
  <c r="B99" i="74"/>
  <c r="F98" i="74"/>
  <c r="D98" i="74"/>
  <c r="B98" i="74"/>
  <c r="F97" i="74"/>
  <c r="D97" i="74"/>
  <c r="B97" i="74"/>
  <c r="F96" i="74"/>
  <c r="D96" i="74"/>
  <c r="B96" i="74"/>
  <c r="F95" i="74"/>
  <c r="D95" i="74"/>
  <c r="B95" i="74"/>
  <c r="F94" i="74"/>
  <c r="D94" i="74"/>
  <c r="B94" i="74"/>
  <c r="F93" i="74"/>
  <c r="D93" i="74"/>
  <c r="B93" i="74"/>
  <c r="F92" i="74"/>
  <c r="D92" i="74"/>
  <c r="B92" i="74"/>
  <c r="F91" i="74"/>
  <c r="D91" i="74"/>
  <c r="B91" i="74"/>
  <c r="F90" i="74"/>
  <c r="D90" i="74"/>
  <c r="B90" i="74"/>
  <c r="F89" i="74"/>
  <c r="D89" i="74"/>
  <c r="B89" i="74"/>
  <c r="F88" i="74"/>
  <c r="D88" i="74"/>
  <c r="B88" i="74"/>
  <c r="F87" i="74"/>
  <c r="D87" i="74"/>
  <c r="B87" i="74"/>
  <c r="F86" i="74"/>
  <c r="D86" i="74"/>
  <c r="B86" i="74"/>
  <c r="F85" i="74"/>
  <c r="D85" i="74"/>
  <c r="B85" i="74"/>
  <c r="F84" i="74"/>
  <c r="D84" i="74"/>
  <c r="B84" i="74"/>
  <c r="F83" i="74"/>
  <c r="D83" i="74"/>
  <c r="B83" i="74"/>
  <c r="F82" i="74"/>
  <c r="D82" i="74"/>
  <c r="B82" i="74"/>
  <c r="F81" i="74"/>
  <c r="D81" i="74"/>
  <c r="B81" i="74"/>
  <c r="F80" i="74"/>
  <c r="D80" i="74"/>
  <c r="B80" i="74"/>
  <c r="F79" i="74"/>
  <c r="D79" i="74"/>
  <c r="B79" i="74"/>
  <c r="F78" i="74"/>
  <c r="D78" i="74"/>
  <c r="B78" i="74"/>
  <c r="F77" i="74"/>
  <c r="D77" i="74"/>
  <c r="B77" i="74"/>
  <c r="F76" i="74"/>
  <c r="D76" i="74"/>
  <c r="B76" i="74"/>
  <c r="F75" i="74"/>
  <c r="D75" i="74"/>
  <c r="B75" i="74"/>
  <c r="F74" i="74"/>
  <c r="D74" i="74"/>
  <c r="B74" i="74"/>
  <c r="F73" i="74"/>
  <c r="D73" i="74"/>
  <c r="B73" i="74"/>
  <c r="F72" i="74"/>
  <c r="D72" i="74"/>
  <c r="B72" i="74"/>
  <c r="F71" i="74"/>
  <c r="D71" i="74"/>
  <c r="B71" i="74"/>
  <c r="F70" i="74"/>
  <c r="D70" i="74"/>
  <c r="B70" i="74"/>
  <c r="F69" i="74"/>
  <c r="D69" i="74"/>
  <c r="B69" i="74"/>
  <c r="F68" i="74"/>
  <c r="D68" i="74"/>
  <c r="B68" i="74"/>
  <c r="F67" i="74"/>
  <c r="D67" i="74"/>
  <c r="B67" i="74"/>
  <c r="F66" i="74"/>
  <c r="D66" i="74"/>
  <c r="B66" i="74"/>
  <c r="F65" i="74"/>
  <c r="D65" i="74"/>
  <c r="B65" i="74"/>
  <c r="F64" i="74"/>
  <c r="D64" i="74"/>
  <c r="B64" i="74"/>
  <c r="F63" i="74"/>
  <c r="D63" i="74"/>
  <c r="B63" i="74"/>
  <c r="F62" i="74"/>
  <c r="D62" i="74"/>
  <c r="B62" i="74"/>
  <c r="F58" i="74"/>
  <c r="D58" i="74"/>
  <c r="B58" i="74"/>
  <c r="F57" i="74"/>
  <c r="D57" i="74"/>
  <c r="B57" i="74"/>
  <c r="F56" i="74"/>
  <c r="D56" i="74"/>
  <c r="B56" i="74"/>
  <c r="F55" i="74"/>
  <c r="D55" i="74"/>
  <c r="B55" i="74"/>
  <c r="F54" i="74"/>
  <c r="D54" i="74"/>
  <c r="B54" i="74"/>
  <c r="F53" i="74"/>
  <c r="D53" i="74"/>
  <c r="B53" i="74"/>
  <c r="F52" i="74"/>
  <c r="D52" i="74"/>
  <c r="B52" i="74"/>
  <c r="F51" i="74"/>
  <c r="D51" i="74"/>
  <c r="B51" i="74"/>
  <c r="F50" i="74"/>
  <c r="D50" i="74"/>
  <c r="B50" i="74"/>
  <c r="F49" i="74"/>
  <c r="D49" i="74"/>
  <c r="B49" i="74"/>
  <c r="F48" i="74"/>
  <c r="D48" i="74"/>
  <c r="B48" i="74"/>
  <c r="F47" i="74"/>
  <c r="D47" i="74"/>
  <c r="B47" i="74"/>
  <c r="F46" i="74"/>
  <c r="D46" i="74"/>
  <c r="B46" i="74"/>
  <c r="F45" i="74"/>
  <c r="D45" i="74"/>
  <c r="B45" i="74"/>
  <c r="F44" i="74"/>
  <c r="D44" i="74"/>
  <c r="B44" i="74"/>
  <c r="F43" i="74"/>
  <c r="D43" i="74"/>
  <c r="B43" i="74"/>
  <c r="F42" i="74"/>
  <c r="D42" i="74"/>
  <c r="B42" i="74"/>
  <c r="F41" i="74"/>
  <c r="D41" i="74"/>
  <c r="B41" i="74"/>
  <c r="F40" i="74"/>
  <c r="D40" i="74"/>
  <c r="B40" i="74"/>
  <c r="F39" i="74"/>
  <c r="D39" i="74"/>
  <c r="B39" i="74"/>
  <c r="F38" i="74"/>
  <c r="D38" i="74"/>
  <c r="B38" i="74"/>
  <c r="F37" i="74"/>
  <c r="D37" i="74"/>
  <c r="B37" i="74"/>
  <c r="F36" i="74"/>
  <c r="D36" i="74"/>
  <c r="B36" i="74"/>
  <c r="F35" i="74"/>
  <c r="D35" i="74"/>
  <c r="B35" i="74"/>
  <c r="F34" i="74"/>
  <c r="D34" i="74"/>
  <c r="B34" i="74"/>
  <c r="F33" i="74"/>
  <c r="D33" i="74"/>
  <c r="B33" i="74"/>
  <c r="F32" i="74"/>
  <c r="D32" i="74"/>
  <c r="B32" i="74"/>
  <c r="F31" i="74"/>
  <c r="D31" i="74"/>
  <c r="B31" i="74"/>
  <c r="F30" i="74"/>
  <c r="D30" i="74"/>
  <c r="B30" i="74"/>
  <c r="F29" i="74"/>
  <c r="D29" i="74"/>
  <c r="B29" i="74"/>
  <c r="F28" i="74"/>
  <c r="D28" i="74"/>
  <c r="B28" i="74"/>
  <c r="F27" i="74"/>
  <c r="D27" i="74"/>
  <c r="B27" i="74"/>
  <c r="F26" i="74"/>
  <c r="D26" i="74"/>
  <c r="B26" i="74"/>
  <c r="F25" i="74"/>
  <c r="D25" i="74"/>
  <c r="B25" i="74"/>
  <c r="F24" i="74"/>
  <c r="D24" i="74"/>
  <c r="B24" i="74"/>
  <c r="F23" i="74"/>
  <c r="D23" i="74"/>
  <c r="B23" i="74"/>
  <c r="F22" i="74"/>
  <c r="D22" i="74"/>
  <c r="B22" i="74"/>
  <c r="F21" i="74"/>
  <c r="D21" i="74"/>
  <c r="B21" i="74"/>
  <c r="F20" i="74"/>
  <c r="D20" i="74"/>
  <c r="B20" i="74"/>
  <c r="F19" i="74"/>
  <c r="D19" i="74"/>
  <c r="B19" i="74"/>
  <c r="F18" i="74"/>
  <c r="D18" i="74"/>
  <c r="B18" i="74"/>
  <c r="F17" i="74"/>
  <c r="D17" i="74"/>
  <c r="B17" i="74"/>
  <c r="F16" i="74"/>
  <c r="D16" i="74"/>
  <c r="B16" i="74"/>
  <c r="F15" i="74"/>
  <c r="D15" i="74"/>
  <c r="B15" i="74"/>
  <c r="F14" i="74"/>
  <c r="D14" i="74"/>
  <c r="B14" i="74"/>
  <c r="F13" i="74"/>
  <c r="D13" i="74"/>
  <c r="B13" i="74"/>
  <c r="F12" i="74"/>
  <c r="D12" i="74"/>
  <c r="B12" i="74"/>
  <c r="F11" i="74"/>
  <c r="D11" i="74"/>
  <c r="B11" i="74"/>
  <c r="F10" i="74"/>
  <c r="D10" i="74"/>
  <c r="B10" i="74"/>
  <c r="F264" i="73"/>
  <c r="D264" i="73"/>
  <c r="B264" i="73"/>
  <c r="F263" i="73"/>
  <c r="D263" i="73"/>
  <c r="B263" i="73"/>
  <c r="F262" i="73"/>
  <c r="D262" i="73"/>
  <c r="B262" i="73"/>
  <c r="F261" i="73"/>
  <c r="D261" i="73"/>
  <c r="B261" i="73"/>
  <c r="F260" i="73"/>
  <c r="D260" i="73"/>
  <c r="B260" i="73"/>
  <c r="F259" i="73"/>
  <c r="D259" i="73"/>
  <c r="B259" i="73"/>
  <c r="F258" i="73"/>
  <c r="D258" i="73"/>
  <c r="B258" i="73"/>
  <c r="F257" i="73"/>
  <c r="D257" i="73"/>
  <c r="B257" i="73"/>
  <c r="F256" i="73"/>
  <c r="D256" i="73"/>
  <c r="B256" i="73"/>
  <c r="F255" i="73"/>
  <c r="D255" i="73"/>
  <c r="B255" i="73"/>
  <c r="F254" i="73"/>
  <c r="D254" i="73"/>
  <c r="B254" i="73"/>
  <c r="F253" i="73"/>
  <c r="D253" i="73"/>
  <c r="B253" i="73"/>
  <c r="F252" i="73"/>
  <c r="D252" i="73"/>
  <c r="B252" i="73"/>
  <c r="F251" i="73"/>
  <c r="D251" i="73"/>
  <c r="B251" i="73"/>
  <c r="F250" i="73"/>
  <c r="D250" i="73"/>
  <c r="B250" i="73"/>
  <c r="F249" i="73"/>
  <c r="D249" i="73"/>
  <c r="B249" i="73"/>
  <c r="F248" i="73"/>
  <c r="D248" i="73"/>
  <c r="B248" i="73"/>
  <c r="F247" i="73"/>
  <c r="D247" i="73"/>
  <c r="B247" i="73"/>
  <c r="F246" i="73"/>
  <c r="D246" i="73"/>
  <c r="B246" i="73"/>
  <c r="F245" i="73"/>
  <c r="D245" i="73"/>
  <c r="B245" i="73"/>
  <c r="F244" i="73"/>
  <c r="D244" i="73"/>
  <c r="B244" i="73"/>
  <c r="F243" i="73"/>
  <c r="D243" i="73"/>
  <c r="B243" i="73"/>
  <c r="F242" i="73"/>
  <c r="D242" i="73"/>
  <c r="B242" i="73"/>
  <c r="F241" i="73"/>
  <c r="D241" i="73"/>
  <c r="B241" i="73"/>
  <c r="F240" i="73"/>
  <c r="D240" i="73"/>
  <c r="B240" i="73"/>
  <c r="F239" i="73"/>
  <c r="D239" i="73"/>
  <c r="B239" i="73"/>
  <c r="F238" i="73"/>
  <c r="D238" i="73"/>
  <c r="B238" i="73"/>
  <c r="F237" i="73"/>
  <c r="D237" i="73"/>
  <c r="B237" i="73"/>
  <c r="F236" i="73"/>
  <c r="D236" i="73"/>
  <c r="B236" i="73"/>
  <c r="F235" i="73"/>
  <c r="D235" i="73"/>
  <c r="B235" i="73"/>
  <c r="F234" i="73"/>
  <c r="D234" i="73"/>
  <c r="B234" i="73"/>
  <c r="F233" i="73"/>
  <c r="D233" i="73"/>
  <c r="B233" i="73"/>
  <c r="F232" i="73"/>
  <c r="D232" i="73"/>
  <c r="B232" i="73"/>
  <c r="F231" i="73"/>
  <c r="D231" i="73"/>
  <c r="B231" i="73"/>
  <c r="F230" i="73"/>
  <c r="D230" i="73"/>
  <c r="B230" i="73"/>
  <c r="F229" i="73"/>
  <c r="D229" i="73"/>
  <c r="B229" i="73"/>
  <c r="F228" i="73"/>
  <c r="D228" i="73"/>
  <c r="B228" i="73"/>
  <c r="F227" i="73"/>
  <c r="D227" i="73"/>
  <c r="B227" i="73"/>
  <c r="F226" i="73"/>
  <c r="D226" i="73"/>
  <c r="B226" i="73"/>
  <c r="F225" i="73"/>
  <c r="D225" i="73"/>
  <c r="B225" i="73"/>
  <c r="F224" i="73"/>
  <c r="D224" i="73"/>
  <c r="B224" i="73"/>
  <c r="F223" i="73"/>
  <c r="D223" i="73"/>
  <c r="B223" i="73"/>
  <c r="F222" i="73"/>
  <c r="D222" i="73"/>
  <c r="B222" i="73"/>
  <c r="F221" i="73"/>
  <c r="D221" i="73"/>
  <c r="B221" i="73"/>
  <c r="F220" i="73"/>
  <c r="D220" i="73"/>
  <c r="B220" i="73"/>
  <c r="F219" i="73"/>
  <c r="D219" i="73"/>
  <c r="B219" i="73"/>
  <c r="F218" i="73"/>
  <c r="D218" i="73"/>
  <c r="B218" i="73"/>
  <c r="F217" i="73"/>
  <c r="D217" i="73"/>
  <c r="B217" i="73"/>
  <c r="F216" i="73"/>
  <c r="D216" i="73"/>
  <c r="B216" i="73"/>
  <c r="F214" i="73"/>
  <c r="D214" i="73"/>
  <c r="B214" i="73"/>
  <c r="F213" i="73"/>
  <c r="D213" i="73"/>
  <c r="B213" i="73"/>
  <c r="F212" i="73"/>
  <c r="D212" i="73"/>
  <c r="B212" i="73"/>
  <c r="F211" i="73"/>
  <c r="D211" i="73"/>
  <c r="B211" i="73"/>
  <c r="F210" i="73"/>
  <c r="D210" i="73"/>
  <c r="B210" i="73"/>
  <c r="F209" i="73"/>
  <c r="D209" i="73"/>
  <c r="B209" i="73"/>
  <c r="F208" i="73"/>
  <c r="D208" i="73"/>
  <c r="B208" i="73"/>
  <c r="F207" i="73"/>
  <c r="D207" i="73"/>
  <c r="B207" i="73"/>
  <c r="F206" i="73"/>
  <c r="D206" i="73"/>
  <c r="B206" i="73"/>
  <c r="F205" i="73"/>
  <c r="D205" i="73"/>
  <c r="B205" i="73"/>
  <c r="F204" i="73"/>
  <c r="D204" i="73"/>
  <c r="B204" i="73"/>
  <c r="F203" i="73"/>
  <c r="D203" i="73"/>
  <c r="B203" i="73"/>
  <c r="F202" i="73"/>
  <c r="D202" i="73"/>
  <c r="B202" i="73"/>
  <c r="F201" i="73"/>
  <c r="D201" i="73"/>
  <c r="B201" i="73"/>
  <c r="F200" i="73"/>
  <c r="D200" i="73"/>
  <c r="B200" i="73"/>
  <c r="F199" i="73"/>
  <c r="D199" i="73"/>
  <c r="B199" i="73"/>
  <c r="F198" i="73"/>
  <c r="D198" i="73"/>
  <c r="B198" i="73"/>
  <c r="F197" i="73"/>
  <c r="D197" i="73"/>
  <c r="B197" i="73"/>
  <c r="F196" i="73"/>
  <c r="D196" i="73"/>
  <c r="B196" i="73"/>
  <c r="F195" i="73"/>
  <c r="D195" i="73"/>
  <c r="B195" i="73"/>
  <c r="F194" i="73"/>
  <c r="D194" i="73"/>
  <c r="B194" i="73"/>
  <c r="F193" i="73"/>
  <c r="D193" i="73"/>
  <c r="B193" i="73"/>
  <c r="F192" i="73"/>
  <c r="D192" i="73"/>
  <c r="B192" i="73"/>
  <c r="F191" i="73"/>
  <c r="D191" i="73"/>
  <c r="B191" i="73"/>
  <c r="F190" i="73"/>
  <c r="D190" i="73"/>
  <c r="B190" i="73"/>
  <c r="F189" i="73"/>
  <c r="D189" i="73"/>
  <c r="B189" i="73"/>
  <c r="F188" i="73"/>
  <c r="D188" i="73"/>
  <c r="B188" i="73"/>
  <c r="F187" i="73"/>
  <c r="D187" i="73"/>
  <c r="B187" i="73"/>
  <c r="F186" i="73"/>
  <c r="D186" i="73"/>
  <c r="B186" i="73"/>
  <c r="F185" i="73"/>
  <c r="D185" i="73"/>
  <c r="B185" i="73"/>
  <c r="F184" i="73"/>
  <c r="D184" i="73"/>
  <c r="B184" i="73"/>
  <c r="F183" i="73"/>
  <c r="D183" i="73"/>
  <c r="B183" i="73"/>
  <c r="F182" i="73"/>
  <c r="D182" i="73"/>
  <c r="B182" i="73"/>
  <c r="F181" i="73"/>
  <c r="D181" i="73"/>
  <c r="B181" i="73"/>
  <c r="F180" i="73"/>
  <c r="D180" i="73"/>
  <c r="B180" i="73"/>
  <c r="F179" i="73"/>
  <c r="D179" i="73"/>
  <c r="B179" i="73"/>
  <c r="F178" i="73"/>
  <c r="D178" i="73"/>
  <c r="B178" i="73"/>
  <c r="F177" i="73"/>
  <c r="D177" i="73"/>
  <c r="B177" i="73"/>
  <c r="F176" i="73"/>
  <c r="D176" i="73"/>
  <c r="B176" i="73"/>
  <c r="F175" i="73"/>
  <c r="D175" i="73"/>
  <c r="B175" i="73"/>
  <c r="F174" i="73"/>
  <c r="D174" i="73"/>
  <c r="B174" i="73"/>
  <c r="F173" i="73"/>
  <c r="D173" i="73"/>
  <c r="B173" i="73"/>
  <c r="F172" i="73"/>
  <c r="D172" i="73"/>
  <c r="B172" i="73"/>
  <c r="F171" i="73"/>
  <c r="D171" i="73"/>
  <c r="B171" i="73"/>
  <c r="F170" i="73"/>
  <c r="D170" i="73"/>
  <c r="B170" i="73"/>
  <c r="F169" i="73"/>
  <c r="D169" i="73"/>
  <c r="B169" i="73"/>
  <c r="F168" i="73"/>
  <c r="D168" i="73"/>
  <c r="B168" i="73"/>
  <c r="F167" i="73"/>
  <c r="D167" i="73"/>
  <c r="B167" i="73"/>
  <c r="F166" i="73"/>
  <c r="D166" i="73"/>
  <c r="B166" i="73"/>
  <c r="F162" i="73"/>
  <c r="D162" i="73"/>
  <c r="B162" i="73"/>
  <c r="F161" i="73"/>
  <c r="D161" i="73"/>
  <c r="B161" i="73"/>
  <c r="F160" i="73"/>
  <c r="D160" i="73"/>
  <c r="B160" i="73"/>
  <c r="F159" i="73"/>
  <c r="D159" i="73"/>
  <c r="B159" i="73"/>
  <c r="F158" i="73"/>
  <c r="D158" i="73"/>
  <c r="B158" i="73"/>
  <c r="F157" i="73"/>
  <c r="D157" i="73"/>
  <c r="B157" i="73"/>
  <c r="F156" i="73"/>
  <c r="D156" i="73"/>
  <c r="B156" i="73"/>
  <c r="F155" i="73"/>
  <c r="D155" i="73"/>
  <c r="B155" i="73"/>
  <c r="F154" i="73"/>
  <c r="D154" i="73"/>
  <c r="B154" i="73"/>
  <c r="F153" i="73"/>
  <c r="D153" i="73"/>
  <c r="B153" i="73"/>
  <c r="F152" i="73"/>
  <c r="D152" i="73"/>
  <c r="B152" i="73"/>
  <c r="F151" i="73"/>
  <c r="D151" i="73"/>
  <c r="B151" i="73"/>
  <c r="F150" i="73"/>
  <c r="D150" i="73"/>
  <c r="B150" i="73"/>
  <c r="F149" i="73"/>
  <c r="D149" i="73"/>
  <c r="B149" i="73"/>
  <c r="F148" i="73"/>
  <c r="D148" i="73"/>
  <c r="B148" i="73"/>
  <c r="F147" i="73"/>
  <c r="D147" i="73"/>
  <c r="B147" i="73"/>
  <c r="F146" i="73"/>
  <c r="D146" i="73"/>
  <c r="B146" i="73"/>
  <c r="F145" i="73"/>
  <c r="D145" i="73"/>
  <c r="B145" i="73"/>
  <c r="F144" i="73"/>
  <c r="D144" i="73"/>
  <c r="B144" i="73"/>
  <c r="F143" i="73"/>
  <c r="D143" i="73"/>
  <c r="B143" i="73"/>
  <c r="F142" i="73"/>
  <c r="D142" i="73"/>
  <c r="B142" i="73"/>
  <c r="F141" i="73"/>
  <c r="D141" i="73"/>
  <c r="B141" i="73"/>
  <c r="F140" i="73"/>
  <c r="D140" i="73"/>
  <c r="B140" i="73"/>
  <c r="F139" i="73"/>
  <c r="D139" i="73"/>
  <c r="B139" i="73"/>
  <c r="F138" i="73"/>
  <c r="D138" i="73"/>
  <c r="B138" i="73"/>
  <c r="F137" i="73"/>
  <c r="D137" i="73"/>
  <c r="B137" i="73"/>
  <c r="F136" i="73"/>
  <c r="D136" i="73"/>
  <c r="B136" i="73"/>
  <c r="F135" i="73"/>
  <c r="D135" i="73"/>
  <c r="B135" i="73"/>
  <c r="F134" i="73"/>
  <c r="D134" i="73"/>
  <c r="B134" i="73"/>
  <c r="F133" i="73"/>
  <c r="D133" i="73"/>
  <c r="B133" i="73"/>
  <c r="F132" i="73"/>
  <c r="D132" i="73"/>
  <c r="B132" i="73"/>
  <c r="F131" i="73"/>
  <c r="D131" i="73"/>
  <c r="B131" i="73"/>
  <c r="F130" i="73"/>
  <c r="D130" i="73"/>
  <c r="B130" i="73"/>
  <c r="F129" i="73"/>
  <c r="D129" i="73"/>
  <c r="B129" i="73"/>
  <c r="F128" i="73"/>
  <c r="D128" i="73"/>
  <c r="B128" i="73"/>
  <c r="F127" i="73"/>
  <c r="D127" i="73"/>
  <c r="B127" i="73"/>
  <c r="F126" i="73"/>
  <c r="D126" i="73"/>
  <c r="B126" i="73"/>
  <c r="F125" i="73"/>
  <c r="D125" i="73"/>
  <c r="B125" i="73"/>
  <c r="F124" i="73"/>
  <c r="D124" i="73"/>
  <c r="B124" i="73"/>
  <c r="F123" i="73"/>
  <c r="D123" i="73"/>
  <c r="B123" i="73"/>
  <c r="F122" i="73"/>
  <c r="D122" i="73"/>
  <c r="B122" i="73"/>
  <c r="F121" i="73"/>
  <c r="D121" i="73"/>
  <c r="B121" i="73"/>
  <c r="F120" i="73"/>
  <c r="D120" i="73"/>
  <c r="B120" i="73"/>
  <c r="F119" i="73"/>
  <c r="D119" i="73"/>
  <c r="B119" i="73"/>
  <c r="F118" i="73"/>
  <c r="D118" i="73"/>
  <c r="B118" i="73"/>
  <c r="F117" i="73"/>
  <c r="D117" i="73"/>
  <c r="B117" i="73"/>
  <c r="F116" i="73"/>
  <c r="D116" i="73"/>
  <c r="B116" i="73"/>
  <c r="F115" i="73"/>
  <c r="D115" i="73"/>
  <c r="B115" i="73"/>
  <c r="F114" i="73"/>
  <c r="D114" i="73"/>
  <c r="B114" i="73"/>
  <c r="F110" i="73"/>
  <c r="D110" i="73"/>
  <c r="B110" i="73"/>
  <c r="F109" i="73"/>
  <c r="D109" i="73"/>
  <c r="B109" i="73"/>
  <c r="F108" i="73"/>
  <c r="D108" i="73"/>
  <c r="B108" i="73"/>
  <c r="F107" i="73"/>
  <c r="D107" i="73"/>
  <c r="B107" i="73"/>
  <c r="F106" i="73"/>
  <c r="D106" i="73"/>
  <c r="B106" i="73"/>
  <c r="F105" i="73"/>
  <c r="D105" i="73"/>
  <c r="B105" i="73"/>
  <c r="F104" i="73"/>
  <c r="D104" i="73"/>
  <c r="B104" i="73"/>
  <c r="F103" i="73"/>
  <c r="D103" i="73"/>
  <c r="B103" i="73"/>
  <c r="F102" i="73"/>
  <c r="D102" i="73"/>
  <c r="B102" i="73"/>
  <c r="F101" i="73"/>
  <c r="D101" i="73"/>
  <c r="B101" i="73"/>
  <c r="F100" i="73"/>
  <c r="D100" i="73"/>
  <c r="B100" i="73"/>
  <c r="F99" i="73"/>
  <c r="D99" i="73"/>
  <c r="B99" i="73"/>
  <c r="F98" i="73"/>
  <c r="D98" i="73"/>
  <c r="B98" i="73"/>
  <c r="F97" i="73"/>
  <c r="D97" i="73"/>
  <c r="B97" i="73"/>
  <c r="F96" i="73"/>
  <c r="D96" i="73"/>
  <c r="B96" i="73"/>
  <c r="F95" i="73"/>
  <c r="D95" i="73"/>
  <c r="B95" i="73"/>
  <c r="F94" i="73"/>
  <c r="D94" i="73"/>
  <c r="B94" i="73"/>
  <c r="F93" i="73"/>
  <c r="D93" i="73"/>
  <c r="B93" i="73"/>
  <c r="F92" i="73"/>
  <c r="D92" i="73"/>
  <c r="B92" i="73"/>
  <c r="F91" i="73"/>
  <c r="D91" i="73"/>
  <c r="B91" i="73"/>
  <c r="F90" i="73"/>
  <c r="D90" i="73"/>
  <c r="B90" i="73"/>
  <c r="F89" i="73"/>
  <c r="D89" i="73"/>
  <c r="B89" i="73"/>
  <c r="F88" i="73"/>
  <c r="D88" i="73"/>
  <c r="B88" i="73"/>
  <c r="F87" i="73"/>
  <c r="D87" i="73"/>
  <c r="B87" i="73"/>
  <c r="F86" i="73"/>
  <c r="D86" i="73"/>
  <c r="B86" i="73"/>
  <c r="F85" i="73"/>
  <c r="D85" i="73"/>
  <c r="B85" i="73"/>
  <c r="F84" i="73"/>
  <c r="D84" i="73"/>
  <c r="B84" i="73"/>
  <c r="F83" i="73"/>
  <c r="D83" i="73"/>
  <c r="B83" i="73"/>
  <c r="F82" i="73"/>
  <c r="D82" i="73"/>
  <c r="B82" i="73"/>
  <c r="F81" i="73"/>
  <c r="D81" i="73"/>
  <c r="B81" i="73"/>
  <c r="F80" i="73"/>
  <c r="D80" i="73"/>
  <c r="B80" i="73"/>
  <c r="F79" i="73"/>
  <c r="D79" i="73"/>
  <c r="B79" i="73"/>
  <c r="F78" i="73"/>
  <c r="D78" i="73"/>
  <c r="B78" i="73"/>
  <c r="F77" i="73"/>
  <c r="D77" i="73"/>
  <c r="B77" i="73"/>
  <c r="F76" i="73"/>
  <c r="D76" i="73"/>
  <c r="B76" i="73"/>
  <c r="F75" i="73"/>
  <c r="D75" i="73"/>
  <c r="B75" i="73"/>
  <c r="F74" i="73"/>
  <c r="D74" i="73"/>
  <c r="B74" i="73"/>
  <c r="F73" i="73"/>
  <c r="D73" i="73"/>
  <c r="B73" i="73"/>
  <c r="F72" i="73"/>
  <c r="D72" i="73"/>
  <c r="B72" i="73"/>
  <c r="F71" i="73"/>
  <c r="D71" i="73"/>
  <c r="B71" i="73"/>
  <c r="F70" i="73"/>
  <c r="D70" i="73"/>
  <c r="B70" i="73"/>
  <c r="F69" i="73"/>
  <c r="D69" i="73"/>
  <c r="B69" i="73"/>
  <c r="F68" i="73"/>
  <c r="D68" i="73"/>
  <c r="B68" i="73"/>
  <c r="F67" i="73"/>
  <c r="D67" i="73"/>
  <c r="B67" i="73"/>
  <c r="F66" i="73"/>
  <c r="D66" i="73"/>
  <c r="B66" i="73"/>
  <c r="F65" i="73"/>
  <c r="D65" i="73"/>
  <c r="B65" i="73"/>
  <c r="F64" i="73"/>
  <c r="D64" i="73"/>
  <c r="B64" i="73"/>
  <c r="F63" i="73"/>
  <c r="D63" i="73"/>
  <c r="B63" i="73"/>
  <c r="F62" i="73"/>
  <c r="D62" i="73"/>
  <c r="B62" i="73"/>
  <c r="F58" i="73"/>
  <c r="D58" i="73"/>
  <c r="B58" i="73"/>
  <c r="F57" i="73"/>
  <c r="D57" i="73"/>
  <c r="B57" i="73"/>
  <c r="F56" i="73"/>
  <c r="D56" i="73"/>
  <c r="B56" i="73"/>
  <c r="F55" i="73"/>
  <c r="D55" i="73"/>
  <c r="B55" i="73"/>
  <c r="F54" i="73"/>
  <c r="D54" i="73"/>
  <c r="B54" i="73"/>
  <c r="F53" i="73"/>
  <c r="D53" i="73"/>
  <c r="B53" i="73"/>
  <c r="F52" i="73"/>
  <c r="D52" i="73"/>
  <c r="B52" i="73"/>
  <c r="F51" i="73"/>
  <c r="D51" i="73"/>
  <c r="B51" i="73"/>
  <c r="F50" i="73"/>
  <c r="D50" i="73"/>
  <c r="B50" i="73"/>
  <c r="F49" i="73"/>
  <c r="D49" i="73"/>
  <c r="B49" i="73"/>
  <c r="F48" i="73"/>
  <c r="D48" i="73"/>
  <c r="B48" i="73"/>
  <c r="F47" i="73"/>
  <c r="D47" i="73"/>
  <c r="B47" i="73"/>
  <c r="F46" i="73"/>
  <c r="D46" i="73"/>
  <c r="B46" i="73"/>
  <c r="F45" i="73"/>
  <c r="D45" i="73"/>
  <c r="B45" i="73"/>
  <c r="F44" i="73"/>
  <c r="D44" i="73"/>
  <c r="B44" i="73"/>
  <c r="F43" i="73"/>
  <c r="D43" i="73"/>
  <c r="B43" i="73"/>
  <c r="F42" i="73"/>
  <c r="D42" i="73"/>
  <c r="B42" i="73"/>
  <c r="F41" i="73"/>
  <c r="D41" i="73"/>
  <c r="B41" i="73"/>
  <c r="F40" i="73"/>
  <c r="D40" i="73"/>
  <c r="B40" i="73"/>
  <c r="F39" i="73"/>
  <c r="D39" i="73"/>
  <c r="B39" i="73"/>
  <c r="F38" i="73"/>
  <c r="D38" i="73"/>
  <c r="B38" i="73"/>
  <c r="F37" i="73"/>
  <c r="D37" i="73"/>
  <c r="B37" i="73"/>
  <c r="F36" i="73"/>
  <c r="D36" i="73"/>
  <c r="B36" i="73"/>
  <c r="F35" i="73"/>
  <c r="D35" i="73"/>
  <c r="B35" i="73"/>
  <c r="F34" i="73"/>
  <c r="D34" i="73"/>
  <c r="B34" i="73"/>
  <c r="F33" i="73"/>
  <c r="D33" i="73"/>
  <c r="B33" i="73"/>
  <c r="F32" i="73"/>
  <c r="D32" i="73"/>
  <c r="B32" i="73"/>
  <c r="F31" i="73"/>
  <c r="D31" i="73"/>
  <c r="B31" i="73"/>
  <c r="F30" i="73"/>
  <c r="D30" i="73"/>
  <c r="B30" i="73"/>
  <c r="F29" i="73"/>
  <c r="D29" i="73"/>
  <c r="B29" i="73"/>
  <c r="F28" i="73"/>
  <c r="D28" i="73"/>
  <c r="B28" i="73"/>
  <c r="F27" i="73"/>
  <c r="D27" i="73"/>
  <c r="B27" i="73"/>
  <c r="F26" i="73"/>
  <c r="D26" i="73"/>
  <c r="B26" i="73"/>
  <c r="F25" i="73"/>
  <c r="D25" i="73"/>
  <c r="B25" i="73"/>
  <c r="F24" i="73"/>
  <c r="D24" i="73"/>
  <c r="B24" i="73"/>
  <c r="F23" i="73"/>
  <c r="D23" i="73"/>
  <c r="B23" i="73"/>
  <c r="F22" i="73"/>
  <c r="D22" i="73"/>
  <c r="B22" i="73"/>
  <c r="F21" i="73"/>
  <c r="D21" i="73"/>
  <c r="B21" i="73"/>
  <c r="F20" i="73"/>
  <c r="D20" i="73"/>
  <c r="B20" i="73"/>
  <c r="F19" i="73"/>
  <c r="D19" i="73"/>
  <c r="B19" i="73"/>
  <c r="F18" i="73"/>
  <c r="D18" i="73"/>
  <c r="B18" i="73"/>
  <c r="F17" i="73"/>
  <c r="D17" i="73"/>
  <c r="B17" i="73"/>
  <c r="F16" i="73"/>
  <c r="D16" i="73"/>
  <c r="B16" i="73"/>
  <c r="F15" i="73"/>
  <c r="D15" i="73"/>
  <c r="B15" i="73"/>
  <c r="F14" i="73"/>
  <c r="D14" i="73"/>
  <c r="B14" i="73"/>
  <c r="F13" i="73"/>
  <c r="D13" i="73"/>
  <c r="B13" i="73"/>
  <c r="F12" i="73"/>
  <c r="D12" i="73"/>
  <c r="B12" i="73"/>
  <c r="F11" i="73"/>
  <c r="D11" i="73"/>
  <c r="B11" i="73"/>
  <c r="F10" i="73"/>
  <c r="D10" i="73"/>
  <c r="B10" i="73"/>
  <c r="F264" i="79"/>
  <c r="D264" i="79"/>
  <c r="B264" i="79"/>
  <c r="F263" i="79"/>
  <c r="D263" i="79"/>
  <c r="B263" i="79"/>
  <c r="F262" i="79"/>
  <c r="D262" i="79"/>
  <c r="B262" i="79"/>
  <c r="F261" i="79"/>
  <c r="D261" i="79"/>
  <c r="B261" i="79"/>
  <c r="F260" i="79"/>
  <c r="D260" i="79"/>
  <c r="B260" i="79"/>
  <c r="F259" i="79"/>
  <c r="D259" i="79"/>
  <c r="B259" i="79"/>
  <c r="F258" i="79"/>
  <c r="D258" i="79"/>
  <c r="B258" i="79"/>
  <c r="F257" i="79"/>
  <c r="D257" i="79"/>
  <c r="B257" i="79"/>
  <c r="F256" i="79"/>
  <c r="D256" i="79"/>
  <c r="B256" i="79"/>
  <c r="F255" i="79"/>
  <c r="D255" i="79"/>
  <c r="B255" i="79"/>
  <c r="F254" i="79"/>
  <c r="D254" i="79"/>
  <c r="B254" i="79"/>
  <c r="F253" i="79"/>
  <c r="D253" i="79"/>
  <c r="B253" i="79"/>
  <c r="F252" i="79"/>
  <c r="D252" i="79"/>
  <c r="B252" i="79"/>
  <c r="F251" i="79"/>
  <c r="D251" i="79"/>
  <c r="B251" i="79"/>
  <c r="F250" i="79"/>
  <c r="D250" i="79"/>
  <c r="B250" i="79"/>
  <c r="F249" i="79"/>
  <c r="D249" i="79"/>
  <c r="B249" i="79"/>
  <c r="F248" i="79"/>
  <c r="D248" i="79"/>
  <c r="B248" i="79"/>
  <c r="F247" i="79"/>
  <c r="D247" i="79"/>
  <c r="B247" i="79"/>
  <c r="F246" i="79"/>
  <c r="D246" i="79"/>
  <c r="B246" i="79"/>
  <c r="F245" i="79"/>
  <c r="D245" i="79"/>
  <c r="B245" i="79"/>
  <c r="F244" i="79"/>
  <c r="D244" i="79"/>
  <c r="B244" i="79"/>
  <c r="F243" i="79"/>
  <c r="D243" i="79"/>
  <c r="B243" i="79"/>
  <c r="F242" i="79"/>
  <c r="D242" i="79"/>
  <c r="B242" i="79"/>
  <c r="F241" i="79"/>
  <c r="D241" i="79"/>
  <c r="B241" i="79"/>
  <c r="F240" i="79"/>
  <c r="D240" i="79"/>
  <c r="B240" i="79"/>
  <c r="F239" i="79"/>
  <c r="D239" i="79"/>
  <c r="B239" i="79"/>
  <c r="F238" i="79"/>
  <c r="D238" i="79"/>
  <c r="B238" i="79"/>
  <c r="F237" i="79"/>
  <c r="D237" i="79"/>
  <c r="B237" i="79"/>
  <c r="F236" i="79"/>
  <c r="D236" i="79"/>
  <c r="B236" i="79"/>
  <c r="F235" i="79"/>
  <c r="D235" i="79"/>
  <c r="B235" i="79"/>
  <c r="F234" i="79"/>
  <c r="D234" i="79"/>
  <c r="B234" i="79"/>
  <c r="F233" i="79"/>
  <c r="D233" i="79"/>
  <c r="B233" i="79"/>
  <c r="F232" i="79"/>
  <c r="D232" i="79"/>
  <c r="B232" i="79"/>
  <c r="F231" i="79"/>
  <c r="D231" i="79"/>
  <c r="B231" i="79"/>
  <c r="F230" i="79"/>
  <c r="D230" i="79"/>
  <c r="B230" i="79"/>
  <c r="F229" i="79"/>
  <c r="D229" i="79"/>
  <c r="B229" i="79"/>
  <c r="F228" i="79"/>
  <c r="D228" i="79"/>
  <c r="B228" i="79"/>
  <c r="F227" i="79"/>
  <c r="D227" i="79"/>
  <c r="B227" i="79"/>
  <c r="F226" i="79"/>
  <c r="D226" i="79"/>
  <c r="B226" i="79"/>
  <c r="F225" i="79"/>
  <c r="D225" i="79"/>
  <c r="B225" i="79"/>
  <c r="F224" i="79"/>
  <c r="D224" i="79"/>
  <c r="B224" i="79"/>
  <c r="F223" i="79"/>
  <c r="D223" i="79"/>
  <c r="B223" i="79"/>
  <c r="F222" i="79"/>
  <c r="D222" i="79"/>
  <c r="B222" i="79"/>
  <c r="F221" i="79"/>
  <c r="D221" i="79"/>
  <c r="B221" i="79"/>
  <c r="F220" i="79"/>
  <c r="D220" i="79"/>
  <c r="B220" i="79"/>
  <c r="F219" i="79"/>
  <c r="D219" i="79"/>
  <c r="B219" i="79"/>
  <c r="F218" i="79"/>
  <c r="D218" i="79"/>
  <c r="B218" i="79"/>
  <c r="F217" i="79"/>
  <c r="D217" i="79"/>
  <c r="B217" i="79"/>
  <c r="F216" i="79"/>
  <c r="D216" i="79"/>
  <c r="B216" i="79"/>
  <c r="F214" i="79"/>
  <c r="D214" i="79"/>
  <c r="B214" i="79"/>
  <c r="F213" i="79"/>
  <c r="D213" i="79"/>
  <c r="B213" i="79"/>
  <c r="F212" i="79"/>
  <c r="D212" i="79"/>
  <c r="B212" i="79"/>
  <c r="F211" i="79"/>
  <c r="D211" i="79"/>
  <c r="B211" i="79"/>
  <c r="F210" i="79"/>
  <c r="D210" i="79"/>
  <c r="B210" i="79"/>
  <c r="F209" i="79"/>
  <c r="D209" i="79"/>
  <c r="B209" i="79"/>
  <c r="F208" i="79"/>
  <c r="D208" i="79"/>
  <c r="B208" i="79"/>
  <c r="F207" i="79"/>
  <c r="D207" i="79"/>
  <c r="B207" i="79"/>
  <c r="F206" i="79"/>
  <c r="D206" i="79"/>
  <c r="B206" i="79"/>
  <c r="F205" i="79"/>
  <c r="D205" i="79"/>
  <c r="B205" i="79"/>
  <c r="F204" i="79"/>
  <c r="D204" i="79"/>
  <c r="B204" i="79"/>
  <c r="F203" i="79"/>
  <c r="D203" i="79"/>
  <c r="B203" i="79"/>
  <c r="F202" i="79"/>
  <c r="D202" i="79"/>
  <c r="B202" i="79"/>
  <c r="F201" i="79"/>
  <c r="D201" i="79"/>
  <c r="B201" i="79"/>
  <c r="F200" i="79"/>
  <c r="D200" i="79"/>
  <c r="B200" i="79"/>
  <c r="F199" i="79"/>
  <c r="D199" i="79"/>
  <c r="B199" i="79"/>
  <c r="F198" i="79"/>
  <c r="D198" i="79"/>
  <c r="B198" i="79"/>
  <c r="F197" i="79"/>
  <c r="D197" i="79"/>
  <c r="B197" i="79"/>
  <c r="F196" i="79"/>
  <c r="D196" i="79"/>
  <c r="B196" i="79"/>
  <c r="F195" i="79"/>
  <c r="D195" i="79"/>
  <c r="B195" i="79"/>
  <c r="F194" i="79"/>
  <c r="D194" i="79"/>
  <c r="B194" i="79"/>
  <c r="F193" i="79"/>
  <c r="D193" i="79"/>
  <c r="B193" i="79"/>
  <c r="F192" i="79"/>
  <c r="D192" i="79"/>
  <c r="B192" i="79"/>
  <c r="F191" i="79"/>
  <c r="D191" i="79"/>
  <c r="B191" i="79"/>
  <c r="F190" i="79"/>
  <c r="D190" i="79"/>
  <c r="B190" i="79"/>
  <c r="F189" i="79"/>
  <c r="D189" i="79"/>
  <c r="B189" i="79"/>
  <c r="F188" i="79"/>
  <c r="D188" i="79"/>
  <c r="B188" i="79"/>
  <c r="F187" i="79"/>
  <c r="D187" i="79"/>
  <c r="B187" i="79"/>
  <c r="F186" i="79"/>
  <c r="D186" i="79"/>
  <c r="B186" i="79"/>
  <c r="F185" i="79"/>
  <c r="D185" i="79"/>
  <c r="B185" i="79"/>
  <c r="F184" i="79"/>
  <c r="D184" i="79"/>
  <c r="B184" i="79"/>
  <c r="F183" i="79"/>
  <c r="D183" i="79"/>
  <c r="B183" i="79"/>
  <c r="F182" i="79"/>
  <c r="D182" i="79"/>
  <c r="B182" i="79"/>
  <c r="F181" i="79"/>
  <c r="D181" i="79"/>
  <c r="B181" i="79"/>
  <c r="F180" i="79"/>
  <c r="D180" i="79"/>
  <c r="B180" i="79"/>
  <c r="F179" i="79"/>
  <c r="D179" i="79"/>
  <c r="B179" i="79"/>
  <c r="F178" i="79"/>
  <c r="D178" i="79"/>
  <c r="B178" i="79"/>
  <c r="F177" i="79"/>
  <c r="D177" i="79"/>
  <c r="B177" i="79"/>
  <c r="F176" i="79"/>
  <c r="D176" i="79"/>
  <c r="B176" i="79"/>
  <c r="F175" i="79"/>
  <c r="D175" i="79"/>
  <c r="B175" i="79"/>
  <c r="F174" i="79"/>
  <c r="D174" i="79"/>
  <c r="B174" i="79"/>
  <c r="F173" i="79"/>
  <c r="D173" i="79"/>
  <c r="B173" i="79"/>
  <c r="F172" i="79"/>
  <c r="D172" i="79"/>
  <c r="B172" i="79"/>
  <c r="F171" i="79"/>
  <c r="D171" i="79"/>
  <c r="B171" i="79"/>
  <c r="F170" i="79"/>
  <c r="D170" i="79"/>
  <c r="B170" i="79"/>
  <c r="F169" i="79"/>
  <c r="D169" i="79"/>
  <c r="B169" i="79"/>
  <c r="F168" i="79"/>
  <c r="D168" i="79"/>
  <c r="B168" i="79"/>
  <c r="F167" i="79"/>
  <c r="D167" i="79"/>
  <c r="B167" i="79"/>
  <c r="F166" i="79"/>
  <c r="D166" i="79"/>
  <c r="B166" i="79"/>
  <c r="F162" i="79"/>
  <c r="D162" i="79"/>
  <c r="B162" i="79"/>
  <c r="F161" i="79"/>
  <c r="D161" i="79"/>
  <c r="B161" i="79"/>
  <c r="F160" i="79"/>
  <c r="D160" i="79"/>
  <c r="B160" i="79"/>
  <c r="F159" i="79"/>
  <c r="D159" i="79"/>
  <c r="B159" i="79"/>
  <c r="F158" i="79"/>
  <c r="D158" i="79"/>
  <c r="B158" i="79"/>
  <c r="F157" i="79"/>
  <c r="D157" i="79"/>
  <c r="B157" i="79"/>
  <c r="F156" i="79"/>
  <c r="D156" i="79"/>
  <c r="B156" i="79"/>
  <c r="F155" i="79"/>
  <c r="D155" i="79"/>
  <c r="B155" i="79"/>
  <c r="F154" i="79"/>
  <c r="D154" i="79"/>
  <c r="B154" i="79"/>
  <c r="F153" i="79"/>
  <c r="D153" i="79"/>
  <c r="B153" i="79"/>
  <c r="F152" i="79"/>
  <c r="D152" i="79"/>
  <c r="B152" i="79"/>
  <c r="F151" i="79"/>
  <c r="D151" i="79"/>
  <c r="B151" i="79"/>
  <c r="F150" i="79"/>
  <c r="D150" i="79"/>
  <c r="B150" i="79"/>
  <c r="F149" i="79"/>
  <c r="D149" i="79"/>
  <c r="B149" i="79"/>
  <c r="F148" i="79"/>
  <c r="D148" i="79"/>
  <c r="B148" i="79"/>
  <c r="F147" i="79"/>
  <c r="D147" i="79"/>
  <c r="B147" i="79"/>
  <c r="F146" i="79"/>
  <c r="D146" i="79"/>
  <c r="B146" i="79"/>
  <c r="F145" i="79"/>
  <c r="D145" i="79"/>
  <c r="B145" i="79"/>
  <c r="F144" i="79"/>
  <c r="D144" i="79"/>
  <c r="B144" i="79"/>
  <c r="F143" i="79"/>
  <c r="D143" i="79"/>
  <c r="B143" i="79"/>
  <c r="F142" i="79"/>
  <c r="D142" i="79"/>
  <c r="B142" i="79"/>
  <c r="F141" i="79"/>
  <c r="D141" i="79"/>
  <c r="B141" i="79"/>
  <c r="F140" i="79"/>
  <c r="D140" i="79"/>
  <c r="B140" i="79"/>
  <c r="F139" i="79"/>
  <c r="D139" i="79"/>
  <c r="B139" i="79"/>
  <c r="F138" i="79"/>
  <c r="D138" i="79"/>
  <c r="B138" i="79"/>
  <c r="F137" i="79"/>
  <c r="D137" i="79"/>
  <c r="B137" i="79"/>
  <c r="F136" i="79"/>
  <c r="D136" i="79"/>
  <c r="B136" i="79"/>
  <c r="F135" i="79"/>
  <c r="D135" i="79"/>
  <c r="B135" i="79"/>
  <c r="F134" i="79"/>
  <c r="D134" i="79"/>
  <c r="B134" i="79"/>
  <c r="F133" i="79"/>
  <c r="D133" i="79"/>
  <c r="B133" i="79"/>
  <c r="F132" i="79"/>
  <c r="D132" i="79"/>
  <c r="B132" i="79"/>
  <c r="F131" i="79"/>
  <c r="D131" i="79"/>
  <c r="B131" i="79"/>
  <c r="F130" i="79"/>
  <c r="D130" i="79"/>
  <c r="B130" i="79"/>
  <c r="F129" i="79"/>
  <c r="D129" i="79"/>
  <c r="B129" i="79"/>
  <c r="F128" i="79"/>
  <c r="D128" i="79"/>
  <c r="B128" i="79"/>
  <c r="F127" i="79"/>
  <c r="D127" i="79"/>
  <c r="B127" i="79"/>
  <c r="F126" i="79"/>
  <c r="D126" i="79"/>
  <c r="B126" i="79"/>
  <c r="F125" i="79"/>
  <c r="D125" i="79"/>
  <c r="B125" i="79"/>
  <c r="F124" i="79"/>
  <c r="D124" i="79"/>
  <c r="B124" i="79"/>
  <c r="F123" i="79"/>
  <c r="D123" i="79"/>
  <c r="B123" i="79"/>
  <c r="F122" i="79"/>
  <c r="D122" i="79"/>
  <c r="B122" i="79"/>
  <c r="F121" i="79"/>
  <c r="D121" i="79"/>
  <c r="B121" i="79"/>
  <c r="F120" i="79"/>
  <c r="D120" i="79"/>
  <c r="B120" i="79"/>
  <c r="F119" i="79"/>
  <c r="D119" i="79"/>
  <c r="B119" i="79"/>
  <c r="F118" i="79"/>
  <c r="D118" i="79"/>
  <c r="B118" i="79"/>
  <c r="F117" i="79"/>
  <c r="D117" i="79"/>
  <c r="B117" i="79"/>
  <c r="F116" i="79"/>
  <c r="D116" i="79"/>
  <c r="B116" i="79"/>
  <c r="F115" i="79"/>
  <c r="D115" i="79"/>
  <c r="B115" i="79"/>
  <c r="F114" i="79"/>
  <c r="D114" i="79"/>
  <c r="B114" i="79"/>
  <c r="F110" i="79"/>
  <c r="D110" i="79"/>
  <c r="B110" i="79"/>
  <c r="F109" i="79"/>
  <c r="D109" i="79"/>
  <c r="B109" i="79"/>
  <c r="F108" i="79"/>
  <c r="D108" i="79"/>
  <c r="B108" i="79"/>
  <c r="F107" i="79"/>
  <c r="D107" i="79"/>
  <c r="B107" i="79"/>
  <c r="F106" i="79"/>
  <c r="D106" i="79"/>
  <c r="B106" i="79"/>
  <c r="F105" i="79"/>
  <c r="D105" i="79"/>
  <c r="B105" i="79"/>
  <c r="F104" i="79"/>
  <c r="D104" i="79"/>
  <c r="B104" i="79"/>
  <c r="F103" i="79"/>
  <c r="D103" i="79"/>
  <c r="B103" i="79"/>
  <c r="F102" i="79"/>
  <c r="D102" i="79"/>
  <c r="B102" i="79"/>
  <c r="F101" i="79"/>
  <c r="D101" i="79"/>
  <c r="B101" i="79"/>
  <c r="F100" i="79"/>
  <c r="D100" i="79"/>
  <c r="B100" i="79"/>
  <c r="F99" i="79"/>
  <c r="D99" i="79"/>
  <c r="B99" i="79"/>
  <c r="F98" i="79"/>
  <c r="D98" i="79"/>
  <c r="B98" i="79"/>
  <c r="F97" i="79"/>
  <c r="D97" i="79"/>
  <c r="B97" i="79"/>
  <c r="F96" i="79"/>
  <c r="D96" i="79"/>
  <c r="B96" i="79"/>
  <c r="F95" i="79"/>
  <c r="D95" i="79"/>
  <c r="B95" i="79"/>
  <c r="F94" i="79"/>
  <c r="D94" i="79"/>
  <c r="B94" i="79"/>
  <c r="F93" i="79"/>
  <c r="D93" i="79"/>
  <c r="B93" i="79"/>
  <c r="F92" i="79"/>
  <c r="D92" i="79"/>
  <c r="B92" i="79"/>
  <c r="F91" i="79"/>
  <c r="D91" i="79"/>
  <c r="B91" i="79"/>
  <c r="F90" i="79"/>
  <c r="D90" i="79"/>
  <c r="B90" i="79"/>
  <c r="F89" i="79"/>
  <c r="D89" i="79"/>
  <c r="B89" i="79"/>
  <c r="F88" i="79"/>
  <c r="D88" i="79"/>
  <c r="B88" i="79"/>
  <c r="F87" i="79"/>
  <c r="D87" i="79"/>
  <c r="B87" i="79"/>
  <c r="F86" i="79"/>
  <c r="D86" i="79"/>
  <c r="B86" i="79"/>
  <c r="F85" i="79"/>
  <c r="D85" i="79"/>
  <c r="B85" i="79"/>
  <c r="F84" i="79"/>
  <c r="D84" i="79"/>
  <c r="B84" i="79"/>
  <c r="F83" i="79"/>
  <c r="D83" i="79"/>
  <c r="B83" i="79"/>
  <c r="F82" i="79"/>
  <c r="D82" i="79"/>
  <c r="B82" i="79"/>
  <c r="F81" i="79"/>
  <c r="D81" i="79"/>
  <c r="B81" i="79"/>
  <c r="F80" i="79"/>
  <c r="D80" i="79"/>
  <c r="B80" i="79"/>
  <c r="F79" i="79"/>
  <c r="D79" i="79"/>
  <c r="B79" i="79"/>
  <c r="F78" i="79"/>
  <c r="D78" i="79"/>
  <c r="B78" i="79"/>
  <c r="F77" i="79"/>
  <c r="D77" i="79"/>
  <c r="B77" i="79"/>
  <c r="F76" i="79"/>
  <c r="D76" i="79"/>
  <c r="B76" i="79"/>
  <c r="F75" i="79"/>
  <c r="D75" i="79"/>
  <c r="B75" i="79"/>
  <c r="F74" i="79"/>
  <c r="D74" i="79"/>
  <c r="B74" i="79"/>
  <c r="F73" i="79"/>
  <c r="D73" i="79"/>
  <c r="B73" i="79"/>
  <c r="F72" i="79"/>
  <c r="D72" i="79"/>
  <c r="B72" i="79"/>
  <c r="F71" i="79"/>
  <c r="D71" i="79"/>
  <c r="B71" i="79"/>
  <c r="F70" i="79"/>
  <c r="D70" i="79"/>
  <c r="B70" i="79"/>
  <c r="F69" i="79"/>
  <c r="D69" i="79"/>
  <c r="B69" i="79"/>
  <c r="F68" i="79"/>
  <c r="D68" i="79"/>
  <c r="B68" i="79"/>
  <c r="F67" i="79"/>
  <c r="D67" i="79"/>
  <c r="B67" i="79"/>
  <c r="F66" i="79"/>
  <c r="D66" i="79"/>
  <c r="B66" i="79"/>
  <c r="F65" i="79"/>
  <c r="D65" i="79"/>
  <c r="B65" i="79"/>
  <c r="F64" i="79"/>
  <c r="D64" i="79"/>
  <c r="B64" i="79"/>
  <c r="F63" i="79"/>
  <c r="D63" i="79"/>
  <c r="B63" i="79"/>
  <c r="F62" i="79"/>
  <c r="D62" i="79"/>
  <c r="B62" i="79"/>
  <c r="F58" i="79"/>
  <c r="D58" i="79"/>
  <c r="B58" i="79"/>
  <c r="F57" i="79"/>
  <c r="D57" i="79"/>
  <c r="B57" i="79"/>
  <c r="F56" i="79"/>
  <c r="D56" i="79"/>
  <c r="B56" i="79"/>
  <c r="F55" i="79"/>
  <c r="D55" i="79"/>
  <c r="B55" i="79"/>
  <c r="F54" i="79"/>
  <c r="D54" i="79"/>
  <c r="B54" i="79"/>
  <c r="F53" i="79"/>
  <c r="D53" i="79"/>
  <c r="B53" i="79"/>
  <c r="F52" i="79"/>
  <c r="D52" i="79"/>
  <c r="B52" i="79"/>
  <c r="F51" i="79"/>
  <c r="D51" i="79"/>
  <c r="B51" i="79"/>
  <c r="F50" i="79"/>
  <c r="D50" i="79"/>
  <c r="B50" i="79"/>
  <c r="F49" i="79"/>
  <c r="D49" i="79"/>
  <c r="B49" i="79"/>
  <c r="F48" i="79"/>
  <c r="D48" i="79"/>
  <c r="B48" i="79"/>
  <c r="F47" i="79"/>
  <c r="D47" i="79"/>
  <c r="B47" i="79"/>
  <c r="F46" i="79"/>
  <c r="D46" i="79"/>
  <c r="B46" i="79"/>
  <c r="F45" i="79"/>
  <c r="D45" i="79"/>
  <c r="B45" i="79"/>
  <c r="F44" i="79"/>
  <c r="D44" i="79"/>
  <c r="B44" i="79"/>
  <c r="F43" i="79"/>
  <c r="D43" i="79"/>
  <c r="B43" i="79"/>
  <c r="F42" i="79"/>
  <c r="D42" i="79"/>
  <c r="B42" i="79"/>
  <c r="F41" i="79"/>
  <c r="D41" i="79"/>
  <c r="B41" i="79"/>
  <c r="F40" i="79"/>
  <c r="D40" i="79"/>
  <c r="B40" i="79"/>
  <c r="F39" i="79"/>
  <c r="D39" i="79"/>
  <c r="B39" i="79"/>
  <c r="F38" i="79"/>
  <c r="D38" i="79"/>
  <c r="B38" i="79"/>
  <c r="F37" i="79"/>
  <c r="D37" i="79"/>
  <c r="B37" i="79"/>
  <c r="F36" i="79"/>
  <c r="D36" i="79"/>
  <c r="B36" i="79"/>
  <c r="F35" i="79"/>
  <c r="D35" i="79"/>
  <c r="B35" i="79"/>
  <c r="F34" i="79"/>
  <c r="D34" i="79"/>
  <c r="B34" i="79"/>
  <c r="F33" i="79"/>
  <c r="D33" i="79"/>
  <c r="B33" i="79"/>
  <c r="F32" i="79"/>
  <c r="D32" i="79"/>
  <c r="B32" i="79"/>
  <c r="F31" i="79"/>
  <c r="D31" i="79"/>
  <c r="B31" i="79"/>
  <c r="F30" i="79"/>
  <c r="D30" i="79"/>
  <c r="B30" i="79"/>
  <c r="F29" i="79"/>
  <c r="D29" i="79"/>
  <c r="B29" i="79"/>
  <c r="F28" i="79"/>
  <c r="D28" i="79"/>
  <c r="B28" i="79"/>
  <c r="F27" i="79"/>
  <c r="D27" i="79"/>
  <c r="B27" i="79"/>
  <c r="F26" i="79"/>
  <c r="D26" i="79"/>
  <c r="B26" i="79"/>
  <c r="F25" i="79"/>
  <c r="D25" i="79"/>
  <c r="B25" i="79"/>
  <c r="F24" i="79"/>
  <c r="D24" i="79"/>
  <c r="B24" i="79"/>
  <c r="F23" i="79"/>
  <c r="D23" i="79"/>
  <c r="B23" i="79"/>
  <c r="F22" i="79"/>
  <c r="D22" i="79"/>
  <c r="B22" i="79"/>
  <c r="F21" i="79"/>
  <c r="D21" i="79"/>
  <c r="B21" i="79"/>
  <c r="F20" i="79"/>
  <c r="D20" i="79"/>
  <c r="B20" i="79"/>
  <c r="F19" i="79"/>
  <c r="D19" i="79"/>
  <c r="B19" i="79"/>
  <c r="F18" i="79"/>
  <c r="D18" i="79"/>
  <c r="B18" i="79"/>
  <c r="F17" i="79"/>
  <c r="D17" i="79"/>
  <c r="B17" i="79"/>
  <c r="F16" i="79"/>
  <c r="D16" i="79"/>
  <c r="B16" i="79"/>
  <c r="F15" i="79"/>
  <c r="D15" i="79"/>
  <c r="B15" i="79"/>
  <c r="F14" i="79"/>
  <c r="D14" i="79"/>
  <c r="B14" i="79"/>
  <c r="F13" i="79"/>
  <c r="D13" i="79"/>
  <c r="B13" i="79"/>
  <c r="F12" i="79"/>
  <c r="D12" i="79"/>
  <c r="B12" i="79"/>
  <c r="F11" i="79"/>
  <c r="D11" i="79"/>
  <c r="B11" i="79"/>
  <c r="F10" i="79"/>
  <c r="D10" i="79"/>
  <c r="B10" i="79"/>
  <c r="F301" i="88"/>
  <c r="D301" i="88"/>
  <c r="B301" i="88"/>
  <c r="F300" i="88"/>
  <c r="D300" i="88"/>
  <c r="B300" i="88"/>
  <c r="F299" i="88"/>
  <c r="D299" i="88"/>
  <c r="B299" i="88"/>
  <c r="F298" i="88"/>
  <c r="D298" i="88"/>
  <c r="B298" i="88"/>
  <c r="F297" i="88"/>
  <c r="D297" i="88"/>
  <c r="B297" i="88"/>
  <c r="F296" i="88"/>
  <c r="D296" i="88"/>
  <c r="B296" i="88"/>
  <c r="F295" i="88"/>
  <c r="D295" i="88"/>
  <c r="B295" i="88"/>
  <c r="F294" i="88"/>
  <c r="D294" i="88"/>
  <c r="B294" i="88"/>
  <c r="F293" i="88"/>
  <c r="D293" i="88"/>
  <c r="B293" i="88"/>
  <c r="F292" i="88"/>
  <c r="D292" i="88"/>
  <c r="B292" i="88"/>
  <c r="F291" i="88"/>
  <c r="D291" i="88"/>
  <c r="B291" i="88"/>
  <c r="F290" i="88"/>
  <c r="D290" i="88"/>
  <c r="B290" i="88"/>
  <c r="F289" i="88"/>
  <c r="D289" i="88"/>
  <c r="B289" i="88"/>
  <c r="F288" i="88"/>
  <c r="D288" i="88"/>
  <c r="B288" i="88"/>
  <c r="F287" i="88"/>
  <c r="D287" i="88"/>
  <c r="B287" i="88"/>
  <c r="F286" i="88"/>
  <c r="D286" i="88"/>
  <c r="B286" i="88"/>
  <c r="F285" i="88"/>
  <c r="D285" i="88"/>
  <c r="B285" i="88"/>
  <c r="F284" i="88"/>
  <c r="D284" i="88"/>
  <c r="B284" i="88"/>
  <c r="F283" i="88"/>
  <c r="D283" i="88"/>
  <c r="B283" i="88"/>
  <c r="F282" i="88"/>
  <c r="D282" i="88"/>
  <c r="B282" i="88"/>
  <c r="F281" i="88"/>
  <c r="D281" i="88"/>
  <c r="B281" i="88"/>
  <c r="F280" i="88"/>
  <c r="D280" i="88"/>
  <c r="B280" i="88"/>
  <c r="F279" i="88"/>
  <c r="D279" i="88"/>
  <c r="B279" i="88"/>
  <c r="F278" i="88"/>
  <c r="D278" i="88"/>
  <c r="B278" i="88"/>
  <c r="F277" i="88"/>
  <c r="D277" i="88"/>
  <c r="B277" i="88"/>
  <c r="F276" i="88"/>
  <c r="D276" i="88"/>
  <c r="B276" i="88"/>
  <c r="F275" i="88"/>
  <c r="D275" i="88"/>
  <c r="B275" i="88"/>
  <c r="F274" i="88"/>
  <c r="D274" i="88"/>
  <c r="B274" i="88"/>
  <c r="F273" i="88"/>
  <c r="D273" i="88"/>
  <c r="B273" i="88"/>
  <c r="F272" i="88"/>
  <c r="D272" i="88"/>
  <c r="B272" i="88"/>
  <c r="F271" i="88"/>
  <c r="D271" i="88"/>
  <c r="B271" i="88"/>
  <c r="F270" i="88"/>
  <c r="D270" i="88"/>
  <c r="B270" i="88"/>
  <c r="F269" i="88"/>
  <c r="D269" i="88"/>
  <c r="B269" i="88"/>
  <c r="F268" i="88"/>
  <c r="D268" i="88"/>
  <c r="B268" i="88"/>
  <c r="F267" i="88"/>
  <c r="D267" i="88"/>
  <c r="B267" i="88"/>
  <c r="F266" i="88"/>
  <c r="D266" i="88"/>
  <c r="B266" i="88"/>
  <c r="F265" i="88"/>
  <c r="D265" i="88"/>
  <c r="B265" i="88"/>
  <c r="F264" i="88"/>
  <c r="D264" i="88"/>
  <c r="B264" i="88"/>
  <c r="F263" i="88"/>
  <c r="D263" i="88"/>
  <c r="B263" i="88"/>
  <c r="F262" i="88"/>
  <c r="D262" i="88"/>
  <c r="B262" i="88"/>
  <c r="F261" i="88"/>
  <c r="D261" i="88"/>
  <c r="B261" i="88"/>
  <c r="F260" i="88"/>
  <c r="D260" i="88"/>
  <c r="B260" i="88"/>
  <c r="F259" i="88"/>
  <c r="D259" i="88"/>
  <c r="B259" i="88"/>
  <c r="F258" i="88"/>
  <c r="D258" i="88"/>
  <c r="B258" i="88"/>
  <c r="F257" i="88"/>
  <c r="D257" i="88"/>
  <c r="B257" i="88"/>
  <c r="F256" i="88"/>
  <c r="D256" i="88"/>
  <c r="B256" i="88"/>
  <c r="F255" i="88"/>
  <c r="D255" i="88"/>
  <c r="B255" i="88"/>
  <c r="F203" i="88"/>
  <c r="D203" i="88"/>
  <c r="B203" i="88"/>
  <c r="F202" i="88"/>
  <c r="D202" i="88"/>
  <c r="B202" i="88"/>
  <c r="F201" i="88"/>
  <c r="D201" i="88"/>
  <c r="B201" i="88"/>
  <c r="F200" i="88"/>
  <c r="D200" i="88"/>
  <c r="B200" i="88"/>
  <c r="F199" i="88"/>
  <c r="D199" i="88"/>
  <c r="B199" i="88"/>
  <c r="F198" i="88"/>
  <c r="D198" i="88"/>
  <c r="B198" i="88"/>
  <c r="F197" i="88"/>
  <c r="D197" i="88"/>
  <c r="B197" i="88"/>
  <c r="F196" i="88"/>
  <c r="D196" i="88"/>
  <c r="B196" i="88"/>
  <c r="F195" i="88"/>
  <c r="D195" i="88"/>
  <c r="B195" i="88"/>
  <c r="F194" i="88"/>
  <c r="D194" i="88"/>
  <c r="B194" i="88"/>
  <c r="F193" i="88"/>
  <c r="D193" i="88"/>
  <c r="B193" i="88"/>
  <c r="F192" i="88"/>
  <c r="D192" i="88"/>
  <c r="B192" i="88"/>
  <c r="F191" i="88"/>
  <c r="D191" i="88"/>
  <c r="B191" i="88"/>
  <c r="F190" i="88"/>
  <c r="D190" i="88"/>
  <c r="B190" i="88"/>
  <c r="F189" i="88"/>
  <c r="D189" i="88"/>
  <c r="B189" i="88"/>
  <c r="F188" i="88"/>
  <c r="D188" i="88"/>
  <c r="B188" i="88"/>
  <c r="F187" i="88"/>
  <c r="D187" i="88"/>
  <c r="B187" i="88"/>
  <c r="F186" i="88"/>
  <c r="D186" i="88"/>
  <c r="B186" i="88"/>
  <c r="F185" i="88"/>
  <c r="D185" i="88"/>
  <c r="B185" i="88"/>
  <c r="F184" i="88"/>
  <c r="D184" i="88"/>
  <c r="B184" i="88"/>
  <c r="F183" i="88"/>
  <c r="D183" i="88"/>
  <c r="B183" i="88"/>
  <c r="F182" i="88"/>
  <c r="D182" i="88"/>
  <c r="B182" i="88"/>
  <c r="F181" i="88"/>
  <c r="D181" i="88"/>
  <c r="B181" i="88"/>
  <c r="F180" i="88"/>
  <c r="D180" i="88"/>
  <c r="B180" i="88"/>
  <c r="F179" i="88"/>
  <c r="D179" i="88"/>
  <c r="B179" i="88"/>
  <c r="F178" i="88"/>
  <c r="D178" i="88"/>
  <c r="B178" i="88"/>
  <c r="F177" i="88"/>
  <c r="D177" i="88"/>
  <c r="B177" i="88"/>
  <c r="F176" i="88"/>
  <c r="D176" i="88"/>
  <c r="B176" i="88"/>
  <c r="F175" i="88"/>
  <c r="D175" i="88"/>
  <c r="B175" i="88"/>
  <c r="F174" i="88"/>
  <c r="D174" i="88"/>
  <c r="B174" i="88"/>
  <c r="F173" i="88"/>
  <c r="D173" i="88"/>
  <c r="B173" i="88"/>
  <c r="F172" i="88"/>
  <c r="D172" i="88"/>
  <c r="B172" i="88"/>
  <c r="F171" i="88"/>
  <c r="D171" i="88"/>
  <c r="B171" i="88"/>
  <c r="F170" i="88"/>
  <c r="D170" i="88"/>
  <c r="B170" i="88"/>
  <c r="F169" i="88"/>
  <c r="D169" i="88"/>
  <c r="B169" i="88"/>
  <c r="F168" i="88"/>
  <c r="D168" i="88"/>
  <c r="B168" i="88"/>
  <c r="F167" i="88"/>
  <c r="D167" i="88"/>
  <c r="B167" i="88"/>
  <c r="F166" i="88"/>
  <c r="D166" i="88"/>
  <c r="B166" i="88"/>
  <c r="F165" i="88"/>
  <c r="D165" i="88"/>
  <c r="B165" i="88"/>
  <c r="F164" i="88"/>
  <c r="D164" i="88"/>
  <c r="B164" i="88"/>
  <c r="F163" i="88"/>
  <c r="D163" i="88"/>
  <c r="B163" i="88"/>
  <c r="F162" i="88"/>
  <c r="D162" i="88"/>
  <c r="B162" i="88"/>
  <c r="F161" i="88"/>
  <c r="D161" i="88"/>
  <c r="B161" i="88"/>
  <c r="F160" i="88"/>
  <c r="D160" i="88"/>
  <c r="B160" i="88"/>
  <c r="F159" i="88"/>
  <c r="D159" i="88"/>
  <c r="B159" i="88"/>
  <c r="F158" i="88"/>
  <c r="D158" i="88"/>
  <c r="B158" i="88"/>
  <c r="F157" i="88"/>
  <c r="D157" i="88"/>
  <c r="B157" i="88"/>
  <c r="F154" i="88"/>
  <c r="D154" i="88"/>
  <c r="B154" i="88"/>
  <c r="F153" i="88"/>
  <c r="D153" i="88"/>
  <c r="B153" i="88"/>
  <c r="F152" i="88"/>
  <c r="D152" i="88"/>
  <c r="B152" i="88"/>
  <c r="F151" i="88"/>
  <c r="D151" i="88"/>
  <c r="B151" i="88"/>
  <c r="F150" i="88"/>
  <c r="D150" i="88"/>
  <c r="B150" i="88"/>
  <c r="F149" i="88"/>
  <c r="D149" i="88"/>
  <c r="B149" i="88"/>
  <c r="F148" i="88"/>
  <c r="D148" i="88"/>
  <c r="B148" i="88"/>
  <c r="F147" i="88"/>
  <c r="D147" i="88"/>
  <c r="B147" i="88"/>
  <c r="F146" i="88"/>
  <c r="D146" i="88"/>
  <c r="B146" i="88"/>
  <c r="F145" i="88"/>
  <c r="D145" i="88"/>
  <c r="B145" i="88"/>
  <c r="F144" i="88"/>
  <c r="D144" i="88"/>
  <c r="B144" i="88"/>
  <c r="F143" i="88"/>
  <c r="D143" i="88"/>
  <c r="B143" i="88"/>
  <c r="F142" i="88"/>
  <c r="D142" i="88"/>
  <c r="B142" i="88"/>
  <c r="F141" i="88"/>
  <c r="D141" i="88"/>
  <c r="B141" i="88"/>
  <c r="F140" i="88"/>
  <c r="D140" i="88"/>
  <c r="B140" i="88"/>
  <c r="F139" i="88"/>
  <c r="D139" i="88"/>
  <c r="B139" i="88"/>
  <c r="F138" i="88"/>
  <c r="D138" i="88"/>
  <c r="B138" i="88"/>
  <c r="F137" i="88"/>
  <c r="D137" i="88"/>
  <c r="B137" i="88"/>
  <c r="F136" i="88"/>
  <c r="D136" i="88"/>
  <c r="B136" i="88"/>
  <c r="F135" i="88"/>
  <c r="D135" i="88"/>
  <c r="B135" i="88"/>
  <c r="F134" i="88"/>
  <c r="D134" i="88"/>
  <c r="B134" i="88"/>
  <c r="F133" i="88"/>
  <c r="D133" i="88"/>
  <c r="B133" i="88"/>
  <c r="F132" i="88"/>
  <c r="D132" i="88"/>
  <c r="B132" i="88"/>
  <c r="F131" i="88"/>
  <c r="D131" i="88"/>
  <c r="B131" i="88"/>
  <c r="F130" i="88"/>
  <c r="D130" i="88"/>
  <c r="B130" i="88"/>
  <c r="F129" i="88"/>
  <c r="D129" i="88"/>
  <c r="B129" i="88"/>
  <c r="F128" i="88"/>
  <c r="D128" i="88"/>
  <c r="B128" i="88"/>
  <c r="F127" i="88"/>
  <c r="D127" i="88"/>
  <c r="B127" i="88"/>
  <c r="F126" i="88"/>
  <c r="D126" i="88"/>
  <c r="B126" i="88"/>
  <c r="F125" i="88"/>
  <c r="D125" i="88"/>
  <c r="B125" i="88"/>
  <c r="F124" i="88"/>
  <c r="D124" i="88"/>
  <c r="B124" i="88"/>
  <c r="F123" i="88"/>
  <c r="D123" i="88"/>
  <c r="B123" i="88"/>
  <c r="F122" i="88"/>
  <c r="D122" i="88"/>
  <c r="B122" i="88"/>
  <c r="F121" i="88"/>
  <c r="D121" i="88"/>
  <c r="B121" i="88"/>
  <c r="F120" i="88"/>
  <c r="D120" i="88"/>
  <c r="B120" i="88"/>
  <c r="F119" i="88"/>
  <c r="D119" i="88"/>
  <c r="B119" i="88"/>
  <c r="F118" i="88"/>
  <c r="D118" i="88"/>
  <c r="B118" i="88"/>
  <c r="F117" i="88"/>
  <c r="D117" i="88"/>
  <c r="B117" i="88"/>
  <c r="F116" i="88"/>
  <c r="D116" i="88"/>
  <c r="B116" i="88"/>
  <c r="F115" i="88"/>
  <c r="D115" i="88"/>
  <c r="B115" i="88"/>
  <c r="F114" i="88"/>
  <c r="D114" i="88"/>
  <c r="B114" i="88"/>
  <c r="F113" i="88"/>
  <c r="D113" i="88"/>
  <c r="B113" i="88"/>
  <c r="F112" i="88"/>
  <c r="D112" i="88"/>
  <c r="B112" i="88"/>
  <c r="F111" i="88"/>
  <c r="D111" i="88"/>
  <c r="B111" i="88"/>
  <c r="F110" i="88"/>
  <c r="D110" i="88"/>
  <c r="B110" i="88"/>
  <c r="F109" i="88"/>
  <c r="D109" i="88"/>
  <c r="B109" i="88"/>
  <c r="F108" i="88"/>
  <c r="D108" i="88"/>
  <c r="B108" i="88"/>
  <c r="F105" i="88"/>
  <c r="D105" i="88"/>
  <c r="B105" i="88"/>
  <c r="F104" i="88"/>
  <c r="D104" i="88"/>
  <c r="B104" i="88"/>
  <c r="F103" i="88"/>
  <c r="D103" i="88"/>
  <c r="B103" i="88"/>
  <c r="F102" i="88"/>
  <c r="D102" i="88"/>
  <c r="B102" i="88"/>
  <c r="F101" i="88"/>
  <c r="D101" i="88"/>
  <c r="B101" i="88"/>
  <c r="F100" i="88"/>
  <c r="D100" i="88"/>
  <c r="B100" i="88"/>
  <c r="F99" i="88"/>
  <c r="D99" i="88"/>
  <c r="B99" i="88"/>
  <c r="F98" i="88"/>
  <c r="D98" i="88"/>
  <c r="B98" i="88"/>
  <c r="F97" i="88"/>
  <c r="D97" i="88"/>
  <c r="B97" i="88"/>
  <c r="F96" i="88"/>
  <c r="D96" i="88"/>
  <c r="B96" i="88"/>
  <c r="F95" i="88"/>
  <c r="D95" i="88"/>
  <c r="B95" i="88"/>
  <c r="F94" i="88"/>
  <c r="D94" i="88"/>
  <c r="B94" i="88"/>
  <c r="F93" i="88"/>
  <c r="D93" i="88"/>
  <c r="B93" i="88"/>
  <c r="F92" i="88"/>
  <c r="D92" i="88"/>
  <c r="B92" i="88"/>
  <c r="F91" i="88"/>
  <c r="D91" i="88"/>
  <c r="B91" i="88"/>
  <c r="F90" i="88"/>
  <c r="D90" i="88"/>
  <c r="B90" i="88"/>
  <c r="F89" i="88"/>
  <c r="D89" i="88"/>
  <c r="B89" i="88"/>
  <c r="F88" i="88"/>
  <c r="D88" i="88"/>
  <c r="B88" i="88"/>
  <c r="F87" i="88"/>
  <c r="D87" i="88"/>
  <c r="B87" i="88"/>
  <c r="F86" i="88"/>
  <c r="D86" i="88"/>
  <c r="B86" i="88"/>
  <c r="F85" i="88"/>
  <c r="D85" i="88"/>
  <c r="B85" i="88"/>
  <c r="F84" i="88"/>
  <c r="D84" i="88"/>
  <c r="B84" i="88"/>
  <c r="F83" i="88"/>
  <c r="D83" i="88"/>
  <c r="B83" i="88"/>
  <c r="F82" i="88"/>
  <c r="D82" i="88"/>
  <c r="B82" i="88"/>
  <c r="F81" i="88"/>
  <c r="D81" i="88"/>
  <c r="B81" i="88"/>
  <c r="F80" i="88"/>
  <c r="D80" i="88"/>
  <c r="B80" i="88"/>
  <c r="F79" i="88"/>
  <c r="D79" i="88"/>
  <c r="B79" i="88"/>
  <c r="F78" i="88"/>
  <c r="D78" i="88"/>
  <c r="B78" i="88"/>
  <c r="F77" i="88"/>
  <c r="D77" i="88"/>
  <c r="B77" i="88"/>
  <c r="F76" i="88"/>
  <c r="D76" i="88"/>
  <c r="B76" i="88"/>
  <c r="F75" i="88"/>
  <c r="D75" i="88"/>
  <c r="B75" i="88"/>
  <c r="F74" i="88"/>
  <c r="D74" i="88"/>
  <c r="B74" i="88"/>
  <c r="F73" i="88"/>
  <c r="D73" i="88"/>
  <c r="B73" i="88"/>
  <c r="F72" i="88"/>
  <c r="D72" i="88"/>
  <c r="B72" i="88"/>
  <c r="F71" i="88"/>
  <c r="D71" i="88"/>
  <c r="B71" i="88"/>
  <c r="F70" i="88"/>
  <c r="D70" i="88"/>
  <c r="B70" i="88"/>
  <c r="F69" i="88"/>
  <c r="D69" i="88"/>
  <c r="B69" i="88"/>
  <c r="F68" i="88"/>
  <c r="D68" i="88"/>
  <c r="B68" i="88"/>
  <c r="F67" i="88"/>
  <c r="D67" i="88"/>
  <c r="B67" i="88"/>
  <c r="F66" i="88"/>
  <c r="D66" i="88"/>
  <c r="B66" i="88"/>
  <c r="F65" i="88"/>
  <c r="D65" i="88"/>
  <c r="B65" i="88"/>
  <c r="F64" i="88"/>
  <c r="D64" i="88"/>
  <c r="B64" i="88"/>
  <c r="F63" i="88"/>
  <c r="D63" i="88"/>
  <c r="B63" i="88"/>
  <c r="F62" i="88"/>
  <c r="D62" i="88"/>
  <c r="B62" i="88"/>
  <c r="F61" i="88"/>
  <c r="D61" i="88"/>
  <c r="B61" i="88"/>
  <c r="F60" i="88"/>
  <c r="D60" i="88"/>
  <c r="B60" i="88"/>
  <c r="F59" i="88"/>
  <c r="D59" i="88"/>
  <c r="B59" i="88"/>
  <c r="F56" i="88"/>
  <c r="D56" i="88"/>
  <c r="B56" i="88"/>
  <c r="F55" i="88"/>
  <c r="D55" i="88"/>
  <c r="B55" i="88"/>
  <c r="F54" i="88"/>
  <c r="D54" i="88"/>
  <c r="B54" i="88"/>
  <c r="F53" i="88"/>
  <c r="D53" i="88"/>
  <c r="B53" i="88"/>
  <c r="F52" i="88"/>
  <c r="D52" i="88"/>
  <c r="B52" i="88"/>
  <c r="F51" i="88"/>
  <c r="D51" i="88"/>
  <c r="B51" i="88"/>
  <c r="F50" i="88"/>
  <c r="D50" i="88"/>
  <c r="B50" i="88"/>
  <c r="F49" i="88"/>
  <c r="D49" i="88"/>
  <c r="B49" i="88"/>
  <c r="F48" i="88"/>
  <c r="D48" i="88"/>
  <c r="B48" i="88"/>
  <c r="F47" i="88"/>
  <c r="D47" i="88"/>
  <c r="B47" i="88"/>
  <c r="F46" i="88"/>
  <c r="D46" i="88"/>
  <c r="B46" i="88"/>
  <c r="F45" i="88"/>
  <c r="D45" i="88"/>
  <c r="B45" i="88"/>
  <c r="F44" i="88"/>
  <c r="D44" i="88"/>
  <c r="B44" i="88"/>
  <c r="F43" i="88"/>
  <c r="D43" i="88"/>
  <c r="B43" i="88"/>
  <c r="F42" i="88"/>
  <c r="D42" i="88"/>
  <c r="B42" i="88"/>
  <c r="F41" i="88"/>
  <c r="D41" i="88"/>
  <c r="B41" i="88"/>
  <c r="F40" i="88"/>
  <c r="D40" i="88"/>
  <c r="B40" i="88"/>
  <c r="F39" i="88"/>
  <c r="D39" i="88"/>
  <c r="B39" i="88"/>
  <c r="F38" i="88"/>
  <c r="D38" i="88"/>
  <c r="B38" i="88"/>
  <c r="F37" i="88"/>
  <c r="D37" i="88"/>
  <c r="B37" i="88"/>
  <c r="F36" i="88"/>
  <c r="D36" i="88"/>
  <c r="B36" i="88"/>
  <c r="F35" i="88"/>
  <c r="D35" i="88"/>
  <c r="B35" i="88"/>
  <c r="F34" i="88"/>
  <c r="D34" i="88"/>
  <c r="B34" i="88"/>
  <c r="F33" i="88"/>
  <c r="D33" i="88"/>
  <c r="B33" i="88"/>
  <c r="F32" i="88"/>
  <c r="D32" i="88"/>
  <c r="B32" i="88"/>
  <c r="F31" i="88"/>
  <c r="D31" i="88"/>
  <c r="B31" i="88"/>
  <c r="F30" i="88"/>
  <c r="D30" i="88"/>
  <c r="B30" i="88"/>
  <c r="F29" i="88"/>
  <c r="D29" i="88"/>
  <c r="B29" i="88"/>
  <c r="F28" i="88"/>
  <c r="D28" i="88"/>
  <c r="B28" i="88"/>
  <c r="F27" i="88"/>
  <c r="D27" i="88"/>
  <c r="B27" i="88"/>
  <c r="F26" i="88"/>
  <c r="D26" i="88"/>
  <c r="B26" i="88"/>
  <c r="F25" i="88"/>
  <c r="D25" i="88"/>
  <c r="B25" i="88"/>
  <c r="F24" i="88"/>
  <c r="D24" i="88"/>
  <c r="B24" i="88"/>
  <c r="F23" i="88"/>
  <c r="D23" i="88"/>
  <c r="B23" i="88"/>
  <c r="F22" i="88"/>
  <c r="D22" i="88"/>
  <c r="B22" i="88"/>
  <c r="F21" i="88"/>
  <c r="D21" i="88"/>
  <c r="B21" i="88"/>
  <c r="F20" i="88"/>
  <c r="D20" i="88"/>
  <c r="B20" i="88"/>
  <c r="F19" i="88"/>
  <c r="D19" i="88"/>
  <c r="B19" i="88"/>
  <c r="F18" i="88"/>
  <c r="D18" i="88"/>
  <c r="B18" i="88"/>
  <c r="F17" i="88"/>
  <c r="D17" i="88"/>
  <c r="B17" i="88"/>
  <c r="F16" i="88"/>
  <c r="D16" i="88"/>
  <c r="B16" i="88"/>
  <c r="F15" i="88"/>
  <c r="D15" i="88"/>
  <c r="B15" i="88"/>
  <c r="F14" i="88"/>
  <c r="D14" i="88"/>
  <c r="B14" i="88"/>
  <c r="F13" i="88"/>
  <c r="D13" i="88"/>
  <c r="B13" i="88"/>
  <c r="F12" i="88"/>
  <c r="D12" i="88"/>
  <c r="B12" i="88"/>
  <c r="F11" i="88"/>
  <c r="D11" i="88"/>
  <c r="B11" i="88"/>
  <c r="F10" i="88"/>
  <c r="D10" i="88"/>
  <c r="B10" i="88"/>
  <c r="F301" i="113"/>
  <c r="D301" i="113"/>
  <c r="B301" i="113"/>
  <c r="F300" i="113"/>
  <c r="D300" i="113"/>
  <c r="B300" i="113"/>
  <c r="F299" i="113"/>
  <c r="D299" i="113"/>
  <c r="B299" i="113"/>
  <c r="F298" i="113"/>
  <c r="D298" i="113"/>
  <c r="B298" i="113"/>
  <c r="F297" i="113"/>
  <c r="D297" i="113"/>
  <c r="B297" i="113"/>
  <c r="F296" i="113"/>
  <c r="D296" i="113"/>
  <c r="B296" i="113"/>
  <c r="F295" i="113"/>
  <c r="D295" i="113"/>
  <c r="B295" i="113"/>
  <c r="F294" i="113"/>
  <c r="D294" i="113"/>
  <c r="B294" i="113"/>
  <c r="F293" i="113"/>
  <c r="D293" i="113"/>
  <c r="B293" i="113"/>
  <c r="F292" i="113"/>
  <c r="D292" i="113"/>
  <c r="B292" i="113"/>
  <c r="F291" i="113"/>
  <c r="D291" i="113"/>
  <c r="B291" i="113"/>
  <c r="F290" i="113"/>
  <c r="D290" i="113"/>
  <c r="B290" i="113"/>
  <c r="F289" i="113"/>
  <c r="D289" i="113"/>
  <c r="B289" i="113"/>
  <c r="F288" i="113"/>
  <c r="D288" i="113"/>
  <c r="B288" i="113"/>
  <c r="F287" i="113"/>
  <c r="D287" i="113"/>
  <c r="B287" i="113"/>
  <c r="F286" i="113"/>
  <c r="D286" i="113"/>
  <c r="B286" i="113"/>
  <c r="F285" i="113"/>
  <c r="D285" i="113"/>
  <c r="B285" i="113"/>
  <c r="F284" i="113"/>
  <c r="D284" i="113"/>
  <c r="B284" i="113"/>
  <c r="F283" i="113"/>
  <c r="D283" i="113"/>
  <c r="B283" i="113"/>
  <c r="F282" i="113"/>
  <c r="D282" i="113"/>
  <c r="B282" i="113"/>
  <c r="F281" i="113"/>
  <c r="D281" i="113"/>
  <c r="B281" i="113"/>
  <c r="F280" i="113"/>
  <c r="D280" i="113"/>
  <c r="B280" i="113"/>
  <c r="F279" i="113"/>
  <c r="D279" i="113"/>
  <c r="B279" i="113"/>
  <c r="F278" i="113"/>
  <c r="D278" i="113"/>
  <c r="B278" i="113"/>
  <c r="F277" i="113"/>
  <c r="D277" i="113"/>
  <c r="B277" i="113"/>
  <c r="F276" i="113"/>
  <c r="D276" i="113"/>
  <c r="B276" i="113"/>
  <c r="F275" i="113"/>
  <c r="D275" i="113"/>
  <c r="B275" i="113"/>
  <c r="F274" i="113"/>
  <c r="D274" i="113"/>
  <c r="B274" i="113"/>
  <c r="F273" i="113"/>
  <c r="D273" i="113"/>
  <c r="B273" i="113"/>
  <c r="F272" i="113"/>
  <c r="D272" i="113"/>
  <c r="B272" i="113"/>
  <c r="F271" i="113"/>
  <c r="D271" i="113"/>
  <c r="B271" i="113"/>
  <c r="F270" i="113"/>
  <c r="D270" i="113"/>
  <c r="B270" i="113"/>
  <c r="F269" i="113"/>
  <c r="D269" i="113"/>
  <c r="B269" i="113"/>
  <c r="F268" i="113"/>
  <c r="D268" i="113"/>
  <c r="B268" i="113"/>
  <c r="F267" i="113"/>
  <c r="D267" i="113"/>
  <c r="B267" i="113"/>
  <c r="F266" i="113"/>
  <c r="D266" i="113"/>
  <c r="B266" i="113"/>
  <c r="F265" i="113"/>
  <c r="D265" i="113"/>
  <c r="B265" i="113"/>
  <c r="F264" i="113"/>
  <c r="D264" i="113"/>
  <c r="B264" i="113"/>
  <c r="F263" i="113"/>
  <c r="D263" i="113"/>
  <c r="B263" i="113"/>
  <c r="F262" i="113"/>
  <c r="D262" i="113"/>
  <c r="B262" i="113"/>
  <c r="F261" i="113"/>
  <c r="D261" i="113"/>
  <c r="B261" i="113"/>
  <c r="F260" i="113"/>
  <c r="D260" i="113"/>
  <c r="B260" i="113"/>
  <c r="F259" i="113"/>
  <c r="D259" i="113"/>
  <c r="B259" i="113"/>
  <c r="F258" i="113"/>
  <c r="D258" i="113"/>
  <c r="B258" i="113"/>
  <c r="F257" i="113"/>
  <c r="D257" i="113"/>
  <c r="B257" i="113"/>
  <c r="F256" i="113"/>
  <c r="D256" i="113"/>
  <c r="B256" i="113"/>
  <c r="F255" i="113"/>
  <c r="D255" i="113"/>
  <c r="B255" i="113"/>
  <c r="F203" i="113"/>
  <c r="D203" i="113"/>
  <c r="B203" i="113"/>
  <c r="F202" i="113"/>
  <c r="D202" i="113"/>
  <c r="B202" i="113"/>
  <c r="F201" i="113"/>
  <c r="D201" i="113"/>
  <c r="B201" i="113"/>
  <c r="F200" i="113"/>
  <c r="D200" i="113"/>
  <c r="B200" i="113"/>
  <c r="F199" i="113"/>
  <c r="D199" i="113"/>
  <c r="B199" i="113"/>
  <c r="F198" i="113"/>
  <c r="D198" i="113"/>
  <c r="B198" i="113"/>
  <c r="F197" i="113"/>
  <c r="D197" i="113"/>
  <c r="B197" i="113"/>
  <c r="F196" i="113"/>
  <c r="D196" i="113"/>
  <c r="B196" i="113"/>
  <c r="F195" i="113"/>
  <c r="D195" i="113"/>
  <c r="B195" i="113"/>
  <c r="F194" i="113"/>
  <c r="D194" i="113"/>
  <c r="B194" i="113"/>
  <c r="F193" i="113"/>
  <c r="D193" i="113"/>
  <c r="B193" i="113"/>
  <c r="F192" i="113"/>
  <c r="D192" i="113"/>
  <c r="B192" i="113"/>
  <c r="F191" i="113"/>
  <c r="D191" i="113"/>
  <c r="B191" i="113"/>
  <c r="F190" i="113"/>
  <c r="D190" i="113"/>
  <c r="B190" i="113"/>
  <c r="F189" i="113"/>
  <c r="D189" i="113"/>
  <c r="B189" i="113"/>
  <c r="F188" i="113"/>
  <c r="D188" i="113"/>
  <c r="B188" i="113"/>
  <c r="F187" i="113"/>
  <c r="D187" i="113"/>
  <c r="B187" i="113"/>
  <c r="F186" i="113"/>
  <c r="D186" i="113"/>
  <c r="B186" i="113"/>
  <c r="F185" i="113"/>
  <c r="D185" i="113"/>
  <c r="B185" i="113"/>
  <c r="F184" i="113"/>
  <c r="D184" i="113"/>
  <c r="B184" i="113"/>
  <c r="F183" i="113"/>
  <c r="D183" i="113"/>
  <c r="B183" i="113"/>
  <c r="F182" i="113"/>
  <c r="D182" i="113"/>
  <c r="B182" i="113"/>
  <c r="F181" i="113"/>
  <c r="D181" i="113"/>
  <c r="B181" i="113"/>
  <c r="F180" i="113"/>
  <c r="D180" i="113"/>
  <c r="B180" i="113"/>
  <c r="F179" i="113"/>
  <c r="D179" i="113"/>
  <c r="B179" i="113"/>
  <c r="F178" i="113"/>
  <c r="D178" i="113"/>
  <c r="B178" i="113"/>
  <c r="F177" i="113"/>
  <c r="D177" i="113"/>
  <c r="B177" i="113"/>
  <c r="F176" i="113"/>
  <c r="D176" i="113"/>
  <c r="B176" i="113"/>
  <c r="F175" i="113"/>
  <c r="D175" i="113"/>
  <c r="B175" i="113"/>
  <c r="F174" i="113"/>
  <c r="D174" i="113"/>
  <c r="B174" i="113"/>
  <c r="F173" i="113"/>
  <c r="D173" i="113"/>
  <c r="B173" i="113"/>
  <c r="F172" i="113"/>
  <c r="D172" i="113"/>
  <c r="B172" i="113"/>
  <c r="F171" i="113"/>
  <c r="D171" i="113"/>
  <c r="B171" i="113"/>
  <c r="F170" i="113"/>
  <c r="D170" i="113"/>
  <c r="B170" i="113"/>
  <c r="F169" i="113"/>
  <c r="D169" i="113"/>
  <c r="B169" i="113"/>
  <c r="F168" i="113"/>
  <c r="D168" i="113"/>
  <c r="B168" i="113"/>
  <c r="F167" i="113"/>
  <c r="D167" i="113"/>
  <c r="B167" i="113"/>
  <c r="F166" i="113"/>
  <c r="D166" i="113"/>
  <c r="B166" i="113"/>
  <c r="F165" i="113"/>
  <c r="D165" i="113"/>
  <c r="B165" i="113"/>
  <c r="F164" i="113"/>
  <c r="D164" i="113"/>
  <c r="B164" i="113"/>
  <c r="F163" i="113"/>
  <c r="D163" i="113"/>
  <c r="B163" i="113"/>
  <c r="F162" i="113"/>
  <c r="D162" i="113"/>
  <c r="B162" i="113"/>
  <c r="F161" i="113"/>
  <c r="D161" i="113"/>
  <c r="B161" i="113"/>
  <c r="F160" i="113"/>
  <c r="D160" i="113"/>
  <c r="B160" i="113"/>
  <c r="F159" i="113"/>
  <c r="D159" i="113"/>
  <c r="B159" i="113"/>
  <c r="F158" i="113"/>
  <c r="D158" i="113"/>
  <c r="B158" i="113"/>
  <c r="F157" i="113"/>
  <c r="D157" i="113"/>
  <c r="B157" i="113"/>
  <c r="F154" i="113"/>
  <c r="D154" i="113"/>
  <c r="B154" i="113"/>
  <c r="F153" i="113"/>
  <c r="D153" i="113"/>
  <c r="B153" i="113"/>
  <c r="F152" i="113"/>
  <c r="D152" i="113"/>
  <c r="B152" i="113"/>
  <c r="F151" i="113"/>
  <c r="D151" i="113"/>
  <c r="B151" i="113"/>
  <c r="F150" i="113"/>
  <c r="D150" i="113"/>
  <c r="B150" i="113"/>
  <c r="F149" i="113"/>
  <c r="D149" i="113"/>
  <c r="B149" i="113"/>
  <c r="F148" i="113"/>
  <c r="D148" i="113"/>
  <c r="B148" i="113"/>
  <c r="F147" i="113"/>
  <c r="D147" i="113"/>
  <c r="B147" i="113"/>
  <c r="F146" i="113"/>
  <c r="D146" i="113"/>
  <c r="B146" i="113"/>
  <c r="F145" i="113"/>
  <c r="D145" i="113"/>
  <c r="B145" i="113"/>
  <c r="F144" i="113"/>
  <c r="D144" i="113"/>
  <c r="B144" i="113"/>
  <c r="F143" i="113"/>
  <c r="D143" i="113"/>
  <c r="B143" i="113"/>
  <c r="F142" i="113"/>
  <c r="D142" i="113"/>
  <c r="B142" i="113"/>
  <c r="F141" i="113"/>
  <c r="D141" i="113"/>
  <c r="B141" i="113"/>
  <c r="F140" i="113"/>
  <c r="D140" i="113"/>
  <c r="B140" i="113"/>
  <c r="F139" i="113"/>
  <c r="D139" i="113"/>
  <c r="B139" i="113"/>
  <c r="F138" i="113"/>
  <c r="D138" i="113"/>
  <c r="B138" i="113"/>
  <c r="F137" i="113"/>
  <c r="D137" i="113"/>
  <c r="B137" i="113"/>
  <c r="F136" i="113"/>
  <c r="D136" i="113"/>
  <c r="B136" i="113"/>
  <c r="F135" i="113"/>
  <c r="D135" i="113"/>
  <c r="B135" i="113"/>
  <c r="F134" i="113"/>
  <c r="D134" i="113"/>
  <c r="B134" i="113"/>
  <c r="F133" i="113"/>
  <c r="D133" i="113"/>
  <c r="B133" i="113"/>
  <c r="F132" i="113"/>
  <c r="D132" i="113"/>
  <c r="B132" i="113"/>
  <c r="F131" i="113"/>
  <c r="D131" i="113"/>
  <c r="B131" i="113"/>
  <c r="F130" i="113"/>
  <c r="D130" i="113"/>
  <c r="B130" i="113"/>
  <c r="F129" i="113"/>
  <c r="D129" i="113"/>
  <c r="B129" i="113"/>
  <c r="F128" i="113"/>
  <c r="D128" i="113"/>
  <c r="B128" i="113"/>
  <c r="F127" i="113"/>
  <c r="D127" i="113"/>
  <c r="B127" i="113"/>
  <c r="F126" i="113"/>
  <c r="D126" i="113"/>
  <c r="B126" i="113"/>
  <c r="F125" i="113"/>
  <c r="D125" i="113"/>
  <c r="B125" i="113"/>
  <c r="F124" i="113"/>
  <c r="D124" i="113"/>
  <c r="B124" i="113"/>
  <c r="F123" i="113"/>
  <c r="D123" i="113"/>
  <c r="B123" i="113"/>
  <c r="F122" i="113"/>
  <c r="D122" i="113"/>
  <c r="B122" i="113"/>
  <c r="F121" i="113"/>
  <c r="D121" i="113"/>
  <c r="B121" i="113"/>
  <c r="F120" i="113"/>
  <c r="D120" i="113"/>
  <c r="B120" i="113"/>
  <c r="F119" i="113"/>
  <c r="D119" i="113"/>
  <c r="B119" i="113"/>
  <c r="F118" i="113"/>
  <c r="D118" i="113"/>
  <c r="B118" i="113"/>
  <c r="F117" i="113"/>
  <c r="D117" i="113"/>
  <c r="B117" i="113"/>
  <c r="F116" i="113"/>
  <c r="D116" i="113"/>
  <c r="B116" i="113"/>
  <c r="F115" i="113"/>
  <c r="D115" i="113"/>
  <c r="B115" i="113"/>
  <c r="F114" i="113"/>
  <c r="D114" i="113"/>
  <c r="B114" i="113"/>
  <c r="F113" i="113"/>
  <c r="D113" i="113"/>
  <c r="B113" i="113"/>
  <c r="F112" i="113"/>
  <c r="D112" i="113"/>
  <c r="B112" i="113"/>
  <c r="F111" i="113"/>
  <c r="D111" i="113"/>
  <c r="B111" i="113"/>
  <c r="F110" i="113"/>
  <c r="D110" i="113"/>
  <c r="B110" i="113"/>
  <c r="F109" i="113"/>
  <c r="D109" i="113"/>
  <c r="B109" i="113"/>
  <c r="F108" i="113"/>
  <c r="D108" i="113"/>
  <c r="B108" i="113"/>
  <c r="F105" i="113"/>
  <c r="D105" i="113"/>
  <c r="B105" i="113"/>
  <c r="F104" i="113"/>
  <c r="D104" i="113"/>
  <c r="B104" i="113"/>
  <c r="F103" i="113"/>
  <c r="D103" i="113"/>
  <c r="B103" i="113"/>
  <c r="F102" i="113"/>
  <c r="D102" i="113"/>
  <c r="B102" i="113"/>
  <c r="F101" i="113"/>
  <c r="D101" i="113"/>
  <c r="B101" i="113"/>
  <c r="F100" i="113"/>
  <c r="D100" i="113"/>
  <c r="B100" i="113"/>
  <c r="F99" i="113"/>
  <c r="D99" i="113"/>
  <c r="B99" i="113"/>
  <c r="F98" i="113"/>
  <c r="D98" i="113"/>
  <c r="B98" i="113"/>
  <c r="F97" i="113"/>
  <c r="D97" i="113"/>
  <c r="B97" i="113"/>
  <c r="F96" i="113"/>
  <c r="D96" i="113"/>
  <c r="B96" i="113"/>
  <c r="F95" i="113"/>
  <c r="D95" i="113"/>
  <c r="B95" i="113"/>
  <c r="F94" i="113"/>
  <c r="D94" i="113"/>
  <c r="B94" i="113"/>
  <c r="F93" i="113"/>
  <c r="D93" i="113"/>
  <c r="B93" i="113"/>
  <c r="F92" i="113"/>
  <c r="D92" i="113"/>
  <c r="B92" i="113"/>
  <c r="F91" i="113"/>
  <c r="D91" i="113"/>
  <c r="B91" i="113"/>
  <c r="F90" i="113"/>
  <c r="D90" i="113"/>
  <c r="B90" i="113"/>
  <c r="F89" i="113"/>
  <c r="D89" i="113"/>
  <c r="B89" i="113"/>
  <c r="F88" i="113"/>
  <c r="D88" i="113"/>
  <c r="B88" i="113"/>
  <c r="F87" i="113"/>
  <c r="D87" i="113"/>
  <c r="B87" i="113"/>
  <c r="F86" i="113"/>
  <c r="D86" i="113"/>
  <c r="B86" i="113"/>
  <c r="F85" i="113"/>
  <c r="D85" i="113"/>
  <c r="B85" i="113"/>
  <c r="F84" i="113"/>
  <c r="D84" i="113"/>
  <c r="B84" i="113"/>
  <c r="F83" i="113"/>
  <c r="D83" i="113"/>
  <c r="B83" i="113"/>
  <c r="F82" i="113"/>
  <c r="D82" i="113"/>
  <c r="B82" i="113"/>
  <c r="F81" i="113"/>
  <c r="D81" i="113"/>
  <c r="B81" i="113"/>
  <c r="F80" i="113"/>
  <c r="D80" i="113"/>
  <c r="B80" i="113"/>
  <c r="F79" i="113"/>
  <c r="D79" i="113"/>
  <c r="B79" i="113"/>
  <c r="F78" i="113"/>
  <c r="D78" i="113"/>
  <c r="B78" i="113"/>
  <c r="F77" i="113"/>
  <c r="D77" i="113"/>
  <c r="B77" i="113"/>
  <c r="F76" i="113"/>
  <c r="D76" i="113"/>
  <c r="B76" i="113"/>
  <c r="F75" i="113"/>
  <c r="D75" i="113"/>
  <c r="B75" i="113"/>
  <c r="F74" i="113"/>
  <c r="D74" i="113"/>
  <c r="B74" i="113"/>
  <c r="F73" i="113"/>
  <c r="D73" i="113"/>
  <c r="B73" i="113"/>
  <c r="F72" i="113"/>
  <c r="D72" i="113"/>
  <c r="B72" i="113"/>
  <c r="F71" i="113"/>
  <c r="D71" i="113"/>
  <c r="B71" i="113"/>
  <c r="F70" i="113"/>
  <c r="D70" i="113"/>
  <c r="B70" i="113"/>
  <c r="F69" i="113"/>
  <c r="D69" i="113"/>
  <c r="B69" i="113"/>
  <c r="F68" i="113"/>
  <c r="D68" i="113"/>
  <c r="B68" i="113"/>
  <c r="F67" i="113"/>
  <c r="D67" i="113"/>
  <c r="B67" i="113"/>
  <c r="F66" i="113"/>
  <c r="D66" i="113"/>
  <c r="B66" i="113"/>
  <c r="F65" i="113"/>
  <c r="D65" i="113"/>
  <c r="B65" i="113"/>
  <c r="F64" i="113"/>
  <c r="D64" i="113"/>
  <c r="B64" i="113"/>
  <c r="F63" i="113"/>
  <c r="D63" i="113"/>
  <c r="B63" i="113"/>
  <c r="F62" i="113"/>
  <c r="D62" i="113"/>
  <c r="B62" i="113"/>
  <c r="F61" i="113"/>
  <c r="D61" i="113"/>
  <c r="B61" i="113"/>
  <c r="F60" i="113"/>
  <c r="D60" i="113"/>
  <c r="B60" i="113"/>
  <c r="F59" i="113"/>
  <c r="D59" i="113"/>
  <c r="B59" i="113"/>
  <c r="F56" i="113"/>
  <c r="D56" i="113"/>
  <c r="B56" i="113"/>
  <c r="F55" i="113"/>
  <c r="D55" i="113"/>
  <c r="B55" i="113"/>
  <c r="F54" i="113"/>
  <c r="D54" i="113"/>
  <c r="B54" i="113"/>
  <c r="F53" i="113"/>
  <c r="D53" i="113"/>
  <c r="B53" i="113"/>
  <c r="F52" i="113"/>
  <c r="D52" i="113"/>
  <c r="B52" i="113"/>
  <c r="F51" i="113"/>
  <c r="D51" i="113"/>
  <c r="B51" i="113"/>
  <c r="F50" i="113"/>
  <c r="D50" i="113"/>
  <c r="B50" i="113"/>
  <c r="F49" i="113"/>
  <c r="D49" i="113"/>
  <c r="B49" i="113"/>
  <c r="F48" i="113"/>
  <c r="D48" i="113"/>
  <c r="B48" i="113"/>
  <c r="F47" i="113"/>
  <c r="D47" i="113"/>
  <c r="B47" i="113"/>
  <c r="F46" i="113"/>
  <c r="D46" i="113"/>
  <c r="B46" i="113"/>
  <c r="F45" i="113"/>
  <c r="D45" i="113"/>
  <c r="B45" i="113"/>
  <c r="F44" i="113"/>
  <c r="D44" i="113"/>
  <c r="B44" i="113"/>
  <c r="F43" i="113"/>
  <c r="D43" i="113"/>
  <c r="B43" i="113"/>
  <c r="F42" i="113"/>
  <c r="D42" i="113"/>
  <c r="B42" i="113"/>
  <c r="F41" i="113"/>
  <c r="D41" i="113"/>
  <c r="B41" i="113"/>
  <c r="F40" i="113"/>
  <c r="D40" i="113"/>
  <c r="B40" i="113"/>
  <c r="F39" i="113"/>
  <c r="D39" i="113"/>
  <c r="B39" i="113"/>
  <c r="F38" i="113"/>
  <c r="D38" i="113"/>
  <c r="B38" i="113"/>
  <c r="F37" i="113"/>
  <c r="D37" i="113"/>
  <c r="B37" i="113"/>
  <c r="F36" i="113"/>
  <c r="D36" i="113"/>
  <c r="B36" i="113"/>
  <c r="F35" i="113"/>
  <c r="D35" i="113"/>
  <c r="B35" i="113"/>
  <c r="F34" i="113"/>
  <c r="D34" i="113"/>
  <c r="B34" i="113"/>
  <c r="F33" i="113"/>
  <c r="D33" i="113"/>
  <c r="B33" i="113"/>
  <c r="F32" i="113"/>
  <c r="D32" i="113"/>
  <c r="B32" i="113"/>
  <c r="F31" i="113"/>
  <c r="D31" i="113"/>
  <c r="B31" i="113"/>
  <c r="F30" i="113"/>
  <c r="D30" i="113"/>
  <c r="B30" i="113"/>
  <c r="F29" i="113"/>
  <c r="D29" i="113"/>
  <c r="B29" i="113"/>
  <c r="F28" i="113"/>
  <c r="D28" i="113"/>
  <c r="B28" i="113"/>
  <c r="F27" i="113"/>
  <c r="D27" i="113"/>
  <c r="B27" i="113"/>
  <c r="F26" i="113"/>
  <c r="D26" i="113"/>
  <c r="B26" i="113"/>
  <c r="F25" i="113"/>
  <c r="D25" i="113"/>
  <c r="B25" i="113"/>
  <c r="F24" i="113"/>
  <c r="D24" i="113"/>
  <c r="B24" i="113"/>
  <c r="F23" i="113"/>
  <c r="D23" i="113"/>
  <c r="B23" i="113"/>
  <c r="F22" i="113"/>
  <c r="D22" i="113"/>
  <c r="B22" i="113"/>
  <c r="F21" i="113"/>
  <c r="D21" i="113"/>
  <c r="B21" i="113"/>
  <c r="F20" i="113"/>
  <c r="D20" i="113"/>
  <c r="B20" i="113"/>
  <c r="F19" i="113"/>
  <c r="D19" i="113"/>
  <c r="B19" i="113"/>
  <c r="F18" i="113"/>
  <c r="D18" i="113"/>
  <c r="B18" i="113"/>
  <c r="F17" i="113"/>
  <c r="D17" i="113"/>
  <c r="B17" i="113"/>
  <c r="F16" i="113"/>
  <c r="D16" i="113"/>
  <c r="B16" i="113"/>
  <c r="F15" i="113"/>
  <c r="D15" i="113"/>
  <c r="B15" i="113"/>
  <c r="F14" i="113"/>
  <c r="D14" i="113"/>
  <c r="B14" i="113"/>
  <c r="F13" i="113"/>
  <c r="D13" i="113"/>
  <c r="B13" i="113"/>
  <c r="F12" i="113"/>
  <c r="D12" i="113"/>
  <c r="B12" i="113"/>
  <c r="F11" i="113"/>
  <c r="D11" i="113"/>
  <c r="B11" i="113"/>
  <c r="F10" i="113"/>
  <c r="D10" i="113"/>
  <c r="B10" i="113"/>
  <c r="F204" i="87"/>
  <c r="D204" i="87"/>
  <c r="B204" i="87"/>
  <c r="F203" i="87"/>
  <c r="D203" i="87"/>
  <c r="B203" i="87"/>
  <c r="F202" i="87"/>
  <c r="D202" i="87"/>
  <c r="B202" i="87"/>
  <c r="F201" i="87"/>
  <c r="D201" i="87"/>
  <c r="B201" i="87"/>
  <c r="F200" i="87"/>
  <c r="D200" i="87"/>
  <c r="B200" i="87"/>
  <c r="F199" i="87"/>
  <c r="D199" i="87"/>
  <c r="B199" i="87"/>
  <c r="F198" i="87"/>
  <c r="D198" i="87"/>
  <c r="B198" i="87"/>
  <c r="F197" i="87"/>
  <c r="D197" i="87"/>
  <c r="B197" i="87"/>
  <c r="F196" i="87"/>
  <c r="D196" i="87"/>
  <c r="B196" i="87"/>
  <c r="F195" i="87"/>
  <c r="D195" i="87"/>
  <c r="B195" i="87"/>
  <c r="F194" i="87"/>
  <c r="D194" i="87"/>
  <c r="B194" i="87"/>
  <c r="F193" i="87"/>
  <c r="D193" i="87"/>
  <c r="B193" i="87"/>
  <c r="F192" i="87"/>
  <c r="D192" i="87"/>
  <c r="B192" i="87"/>
  <c r="F191" i="87"/>
  <c r="D191" i="87"/>
  <c r="B191" i="87"/>
  <c r="F190" i="87"/>
  <c r="D190" i="87"/>
  <c r="B190" i="87"/>
  <c r="F189" i="87"/>
  <c r="D189" i="87"/>
  <c r="B189" i="87"/>
  <c r="F188" i="87"/>
  <c r="D188" i="87"/>
  <c r="B188" i="87"/>
  <c r="F187" i="87"/>
  <c r="D187" i="87"/>
  <c r="B187" i="87"/>
  <c r="F186" i="87"/>
  <c r="D186" i="87"/>
  <c r="B186" i="87"/>
  <c r="F185" i="87"/>
  <c r="D185" i="87"/>
  <c r="B185" i="87"/>
  <c r="F184" i="87"/>
  <c r="D184" i="87"/>
  <c r="B184" i="87"/>
  <c r="F183" i="87"/>
  <c r="D183" i="87"/>
  <c r="B183" i="87"/>
  <c r="F182" i="87"/>
  <c r="D182" i="87"/>
  <c r="B182" i="87"/>
  <c r="F181" i="87"/>
  <c r="D181" i="87"/>
  <c r="B181" i="87"/>
  <c r="F180" i="87"/>
  <c r="D180" i="87"/>
  <c r="B180" i="87"/>
  <c r="F179" i="87"/>
  <c r="D179" i="87"/>
  <c r="B179" i="87"/>
  <c r="F178" i="87"/>
  <c r="D178" i="87"/>
  <c r="B178" i="87"/>
  <c r="F177" i="87"/>
  <c r="D177" i="87"/>
  <c r="B177" i="87"/>
  <c r="F176" i="87"/>
  <c r="D176" i="87"/>
  <c r="B176" i="87"/>
  <c r="F175" i="87"/>
  <c r="D175" i="87"/>
  <c r="B175" i="87"/>
  <c r="F174" i="87"/>
  <c r="D174" i="87"/>
  <c r="B174" i="87"/>
  <c r="F173" i="87"/>
  <c r="D173" i="87"/>
  <c r="B173" i="87"/>
  <c r="F172" i="87"/>
  <c r="D172" i="87"/>
  <c r="B172" i="87"/>
  <c r="F171" i="87"/>
  <c r="D171" i="87"/>
  <c r="B171" i="87"/>
  <c r="F170" i="87"/>
  <c r="D170" i="87"/>
  <c r="B170" i="87"/>
  <c r="F169" i="87"/>
  <c r="D169" i="87"/>
  <c r="B169" i="87"/>
  <c r="F168" i="87"/>
  <c r="D168" i="87"/>
  <c r="B168" i="87"/>
  <c r="F167" i="87"/>
  <c r="D167" i="87"/>
  <c r="B167" i="87"/>
  <c r="F166" i="87"/>
  <c r="D166" i="87"/>
  <c r="B166" i="87"/>
  <c r="F165" i="87"/>
  <c r="D165" i="87"/>
  <c r="B165" i="87"/>
  <c r="F164" i="87"/>
  <c r="D164" i="87"/>
  <c r="B164" i="87"/>
  <c r="F163" i="87"/>
  <c r="D163" i="87"/>
  <c r="B163" i="87"/>
  <c r="F162" i="87"/>
  <c r="D162" i="87"/>
  <c r="B162" i="87"/>
  <c r="F161" i="87"/>
  <c r="D161" i="87"/>
  <c r="B161" i="87"/>
  <c r="F160" i="87"/>
  <c r="D160" i="87"/>
  <c r="B160" i="87"/>
  <c r="F159" i="87"/>
  <c r="D159" i="87"/>
  <c r="B159" i="87"/>
  <c r="F158" i="87"/>
  <c r="D158" i="87"/>
  <c r="B158" i="87"/>
  <c r="F155" i="87"/>
  <c r="D155" i="87"/>
  <c r="B155" i="87"/>
  <c r="F154" i="87"/>
  <c r="D154" i="87"/>
  <c r="B154" i="87"/>
  <c r="F153" i="87"/>
  <c r="D153" i="87"/>
  <c r="B153" i="87"/>
  <c r="F152" i="87"/>
  <c r="D152" i="87"/>
  <c r="B152" i="87"/>
  <c r="F151" i="87"/>
  <c r="D151" i="87"/>
  <c r="B151" i="87"/>
  <c r="F150" i="87"/>
  <c r="D150" i="87"/>
  <c r="B150" i="87"/>
  <c r="F149" i="87"/>
  <c r="D149" i="87"/>
  <c r="B149" i="87"/>
  <c r="F148" i="87"/>
  <c r="D148" i="87"/>
  <c r="B148" i="87"/>
  <c r="F147" i="87"/>
  <c r="D147" i="87"/>
  <c r="B147" i="87"/>
  <c r="F146" i="87"/>
  <c r="D146" i="87"/>
  <c r="B146" i="87"/>
  <c r="F145" i="87"/>
  <c r="D145" i="87"/>
  <c r="B145" i="87"/>
  <c r="F144" i="87"/>
  <c r="D144" i="87"/>
  <c r="B144" i="87"/>
  <c r="F143" i="87"/>
  <c r="D143" i="87"/>
  <c r="B143" i="87"/>
  <c r="F142" i="87"/>
  <c r="D142" i="87"/>
  <c r="B142" i="87"/>
  <c r="F141" i="87"/>
  <c r="D141" i="87"/>
  <c r="B141" i="87"/>
  <c r="F140" i="87"/>
  <c r="D140" i="87"/>
  <c r="B140" i="87"/>
  <c r="F139" i="87"/>
  <c r="D139" i="87"/>
  <c r="B139" i="87"/>
  <c r="F138" i="87"/>
  <c r="D138" i="87"/>
  <c r="B138" i="87"/>
  <c r="F137" i="87"/>
  <c r="D137" i="87"/>
  <c r="B137" i="87"/>
  <c r="F136" i="87"/>
  <c r="D136" i="87"/>
  <c r="B136" i="87"/>
  <c r="F135" i="87"/>
  <c r="D135" i="87"/>
  <c r="B135" i="87"/>
  <c r="F134" i="87"/>
  <c r="D134" i="87"/>
  <c r="B134" i="87"/>
  <c r="F133" i="87"/>
  <c r="D133" i="87"/>
  <c r="B133" i="87"/>
  <c r="F132" i="87"/>
  <c r="D132" i="87"/>
  <c r="B132" i="87"/>
  <c r="F131" i="87"/>
  <c r="D131" i="87"/>
  <c r="B131" i="87"/>
  <c r="F130" i="87"/>
  <c r="D130" i="87"/>
  <c r="B130" i="87"/>
  <c r="F129" i="87"/>
  <c r="D129" i="87"/>
  <c r="B129" i="87"/>
  <c r="F128" i="87"/>
  <c r="D128" i="87"/>
  <c r="B128" i="87"/>
  <c r="F127" i="87"/>
  <c r="D127" i="87"/>
  <c r="B127" i="87"/>
  <c r="F126" i="87"/>
  <c r="D126" i="87"/>
  <c r="B126" i="87"/>
  <c r="F125" i="87"/>
  <c r="D125" i="87"/>
  <c r="B125" i="87"/>
  <c r="F124" i="87"/>
  <c r="D124" i="87"/>
  <c r="B124" i="87"/>
  <c r="F123" i="87"/>
  <c r="D123" i="87"/>
  <c r="B123" i="87"/>
  <c r="F122" i="87"/>
  <c r="D122" i="87"/>
  <c r="B122" i="87"/>
  <c r="F121" i="87"/>
  <c r="D121" i="87"/>
  <c r="B121" i="87"/>
  <c r="F120" i="87"/>
  <c r="D120" i="87"/>
  <c r="B120" i="87"/>
  <c r="F119" i="87"/>
  <c r="D119" i="87"/>
  <c r="B119" i="87"/>
  <c r="F118" i="87"/>
  <c r="D118" i="87"/>
  <c r="B118" i="87"/>
  <c r="F117" i="87"/>
  <c r="D117" i="87"/>
  <c r="B117" i="87"/>
  <c r="F116" i="87"/>
  <c r="D116" i="87"/>
  <c r="B116" i="87"/>
  <c r="F115" i="87"/>
  <c r="D115" i="87"/>
  <c r="B115" i="87"/>
  <c r="F114" i="87"/>
  <c r="D114" i="87"/>
  <c r="B114" i="87"/>
  <c r="F113" i="87"/>
  <c r="D113" i="87"/>
  <c r="B113" i="87"/>
  <c r="F112" i="87"/>
  <c r="D112" i="87"/>
  <c r="B112" i="87"/>
  <c r="F111" i="87"/>
  <c r="D111" i="87"/>
  <c r="B111" i="87"/>
  <c r="F110" i="87"/>
  <c r="D110" i="87"/>
  <c r="B110" i="87"/>
  <c r="F109" i="87"/>
  <c r="D109" i="87"/>
  <c r="B109" i="87"/>
  <c r="F106" i="87"/>
  <c r="D106" i="87"/>
  <c r="B106" i="87"/>
  <c r="F105" i="87"/>
  <c r="D105" i="87"/>
  <c r="B105" i="87"/>
  <c r="F104" i="87"/>
  <c r="D104" i="87"/>
  <c r="B104" i="87"/>
  <c r="F103" i="87"/>
  <c r="D103" i="87"/>
  <c r="B103" i="87"/>
  <c r="F102" i="87"/>
  <c r="D102" i="87"/>
  <c r="B102" i="87"/>
  <c r="F101" i="87"/>
  <c r="D101" i="87"/>
  <c r="B101" i="87"/>
  <c r="F100" i="87"/>
  <c r="D100" i="87"/>
  <c r="B100" i="87"/>
  <c r="F99" i="87"/>
  <c r="D99" i="87"/>
  <c r="B99" i="87"/>
  <c r="F98" i="87"/>
  <c r="D98" i="87"/>
  <c r="B98" i="87"/>
  <c r="F97" i="87"/>
  <c r="D97" i="87"/>
  <c r="B97" i="87"/>
  <c r="F96" i="87"/>
  <c r="D96" i="87"/>
  <c r="B96" i="87"/>
  <c r="F95" i="87"/>
  <c r="D95" i="87"/>
  <c r="B95" i="87"/>
  <c r="F94" i="87"/>
  <c r="D94" i="87"/>
  <c r="B94" i="87"/>
  <c r="F93" i="87"/>
  <c r="D93" i="87"/>
  <c r="B93" i="87"/>
  <c r="F92" i="87"/>
  <c r="D92" i="87"/>
  <c r="B92" i="87"/>
  <c r="F91" i="87"/>
  <c r="D91" i="87"/>
  <c r="B91" i="87"/>
  <c r="F90" i="87"/>
  <c r="D90" i="87"/>
  <c r="B90" i="87"/>
  <c r="F89" i="87"/>
  <c r="D89" i="87"/>
  <c r="B89" i="87"/>
  <c r="F88" i="87"/>
  <c r="D88" i="87"/>
  <c r="B88" i="87"/>
  <c r="F87" i="87"/>
  <c r="D87" i="87"/>
  <c r="B87" i="87"/>
  <c r="F86" i="87"/>
  <c r="D86" i="87"/>
  <c r="B86" i="87"/>
  <c r="F85" i="87"/>
  <c r="D85" i="87"/>
  <c r="B85" i="87"/>
  <c r="F84" i="87"/>
  <c r="D84" i="87"/>
  <c r="B84" i="87"/>
  <c r="F83" i="87"/>
  <c r="D83" i="87"/>
  <c r="B83" i="87"/>
  <c r="F82" i="87"/>
  <c r="D82" i="87"/>
  <c r="B82" i="87"/>
  <c r="F81" i="87"/>
  <c r="D81" i="87"/>
  <c r="B81" i="87"/>
  <c r="F80" i="87"/>
  <c r="D80" i="87"/>
  <c r="B80" i="87"/>
  <c r="F79" i="87"/>
  <c r="D79" i="87"/>
  <c r="B79" i="87"/>
  <c r="F78" i="87"/>
  <c r="D78" i="87"/>
  <c r="B78" i="87"/>
  <c r="F77" i="87"/>
  <c r="D77" i="87"/>
  <c r="B77" i="87"/>
  <c r="F76" i="87"/>
  <c r="D76" i="87"/>
  <c r="B76" i="87"/>
  <c r="F75" i="87"/>
  <c r="D75" i="87"/>
  <c r="B75" i="87"/>
  <c r="F74" i="87"/>
  <c r="D74" i="87"/>
  <c r="B74" i="87"/>
  <c r="F73" i="87"/>
  <c r="D73" i="87"/>
  <c r="B73" i="87"/>
  <c r="F72" i="87"/>
  <c r="D72" i="87"/>
  <c r="B72" i="87"/>
  <c r="F71" i="87"/>
  <c r="D71" i="87"/>
  <c r="B71" i="87"/>
  <c r="F70" i="87"/>
  <c r="D70" i="87"/>
  <c r="B70" i="87"/>
  <c r="F69" i="87"/>
  <c r="D69" i="87"/>
  <c r="B69" i="87"/>
  <c r="F68" i="87"/>
  <c r="D68" i="87"/>
  <c r="B68" i="87"/>
  <c r="F67" i="87"/>
  <c r="D67" i="87"/>
  <c r="B67" i="87"/>
  <c r="F66" i="87"/>
  <c r="D66" i="87"/>
  <c r="B66" i="87"/>
  <c r="F65" i="87"/>
  <c r="D65" i="87"/>
  <c r="B65" i="87"/>
  <c r="F64" i="87"/>
  <c r="D64" i="87"/>
  <c r="B64" i="87"/>
  <c r="F63" i="87"/>
  <c r="D63" i="87"/>
  <c r="B63" i="87"/>
  <c r="F62" i="87"/>
  <c r="D62" i="87"/>
  <c r="B62" i="87"/>
  <c r="F61" i="87"/>
  <c r="D61" i="87"/>
  <c r="B61" i="87"/>
  <c r="F60" i="87"/>
  <c r="D60" i="87"/>
  <c r="B60" i="87"/>
  <c r="F57" i="87"/>
  <c r="D57" i="87"/>
  <c r="B57" i="87"/>
  <c r="F56" i="87"/>
  <c r="D56" i="87"/>
  <c r="B56" i="87"/>
  <c r="F55" i="87"/>
  <c r="D55" i="87"/>
  <c r="B55" i="87"/>
  <c r="F54" i="87"/>
  <c r="D54" i="87"/>
  <c r="B54" i="87"/>
  <c r="F53" i="87"/>
  <c r="D53" i="87"/>
  <c r="B53" i="87"/>
  <c r="F52" i="87"/>
  <c r="D52" i="87"/>
  <c r="B52" i="87"/>
  <c r="F51" i="87"/>
  <c r="D51" i="87"/>
  <c r="B51" i="87"/>
  <c r="F50" i="87"/>
  <c r="D50" i="87"/>
  <c r="B50" i="87"/>
  <c r="F49" i="87"/>
  <c r="D49" i="87"/>
  <c r="B49" i="87"/>
  <c r="F48" i="87"/>
  <c r="D48" i="87"/>
  <c r="B48" i="87"/>
  <c r="F47" i="87"/>
  <c r="D47" i="87"/>
  <c r="B47" i="87"/>
  <c r="F46" i="87"/>
  <c r="D46" i="87"/>
  <c r="B46" i="87"/>
  <c r="F45" i="87"/>
  <c r="D45" i="87"/>
  <c r="B45" i="87"/>
  <c r="F44" i="87"/>
  <c r="D44" i="87"/>
  <c r="B44" i="87"/>
  <c r="F43" i="87"/>
  <c r="D43" i="87"/>
  <c r="B43" i="87"/>
  <c r="F42" i="87"/>
  <c r="D42" i="87"/>
  <c r="B42" i="87"/>
  <c r="F41" i="87"/>
  <c r="D41" i="87"/>
  <c r="B41" i="87"/>
  <c r="F40" i="87"/>
  <c r="D40" i="87"/>
  <c r="B40" i="87"/>
  <c r="F39" i="87"/>
  <c r="D39" i="87"/>
  <c r="B39" i="87"/>
  <c r="F38" i="87"/>
  <c r="D38" i="87"/>
  <c r="B38" i="87"/>
  <c r="F37" i="87"/>
  <c r="D37" i="87"/>
  <c r="B37" i="87"/>
  <c r="F36" i="87"/>
  <c r="D36" i="87"/>
  <c r="B36" i="87"/>
  <c r="F35" i="87"/>
  <c r="D35" i="87"/>
  <c r="B35" i="87"/>
  <c r="F34" i="87"/>
  <c r="D34" i="87"/>
  <c r="B34" i="87"/>
  <c r="F33" i="87"/>
  <c r="D33" i="87"/>
  <c r="B33" i="87"/>
  <c r="F32" i="87"/>
  <c r="D32" i="87"/>
  <c r="B32" i="87"/>
  <c r="F31" i="87"/>
  <c r="D31" i="87"/>
  <c r="B31" i="87"/>
  <c r="F30" i="87"/>
  <c r="D30" i="87"/>
  <c r="B30" i="87"/>
  <c r="F29" i="87"/>
  <c r="D29" i="87"/>
  <c r="B29" i="87"/>
  <c r="F28" i="87"/>
  <c r="D28" i="87"/>
  <c r="B28" i="87"/>
  <c r="F27" i="87"/>
  <c r="D27" i="87"/>
  <c r="B27" i="87"/>
  <c r="F26" i="87"/>
  <c r="D26" i="87"/>
  <c r="B26" i="87"/>
  <c r="F25" i="87"/>
  <c r="D25" i="87"/>
  <c r="B25" i="87"/>
  <c r="F24" i="87"/>
  <c r="D24" i="87"/>
  <c r="B24" i="87"/>
  <c r="F23" i="87"/>
  <c r="D23" i="87"/>
  <c r="B23" i="87"/>
  <c r="F22" i="87"/>
  <c r="D22" i="87"/>
  <c r="B22" i="87"/>
  <c r="F21" i="87"/>
  <c r="D21" i="87"/>
  <c r="B21" i="87"/>
  <c r="F20" i="87"/>
  <c r="D20" i="87"/>
  <c r="B20" i="87"/>
  <c r="F19" i="87"/>
  <c r="D19" i="87"/>
  <c r="B19" i="87"/>
  <c r="F18" i="87"/>
  <c r="D18" i="87"/>
  <c r="B18" i="87"/>
  <c r="F17" i="87"/>
  <c r="D17" i="87"/>
  <c r="B17" i="87"/>
  <c r="F16" i="87"/>
  <c r="D16" i="87"/>
  <c r="B16" i="87"/>
  <c r="F15" i="87"/>
  <c r="D15" i="87"/>
  <c r="B15" i="87"/>
  <c r="F14" i="87"/>
  <c r="D14" i="87"/>
  <c r="B14" i="87"/>
  <c r="F13" i="87"/>
  <c r="D13" i="87"/>
  <c r="B13" i="87"/>
  <c r="F12" i="87"/>
  <c r="D12" i="87"/>
  <c r="B12" i="87"/>
  <c r="F11" i="87"/>
  <c r="D11" i="87"/>
  <c r="B11" i="87"/>
  <c r="F253" i="86"/>
  <c r="D253" i="86"/>
  <c r="B253" i="86"/>
  <c r="F252" i="86"/>
  <c r="D252" i="86"/>
  <c r="B252" i="86"/>
  <c r="F251" i="86"/>
  <c r="D251" i="86"/>
  <c r="B251" i="86"/>
  <c r="F250" i="86"/>
  <c r="D250" i="86"/>
  <c r="B250" i="86"/>
  <c r="F249" i="86"/>
  <c r="D249" i="86"/>
  <c r="B249" i="86"/>
  <c r="F248" i="86"/>
  <c r="D248" i="86"/>
  <c r="B248" i="86"/>
  <c r="F247" i="86"/>
  <c r="D247" i="86"/>
  <c r="B247" i="86"/>
  <c r="F246" i="86"/>
  <c r="D246" i="86"/>
  <c r="B246" i="86"/>
  <c r="F245" i="86"/>
  <c r="D245" i="86"/>
  <c r="B245" i="86"/>
  <c r="F244" i="86"/>
  <c r="D244" i="86"/>
  <c r="B244" i="86"/>
  <c r="F243" i="86"/>
  <c r="D243" i="86"/>
  <c r="B243" i="86"/>
  <c r="F242" i="86"/>
  <c r="D242" i="86"/>
  <c r="B242" i="86"/>
  <c r="F241" i="86"/>
  <c r="D241" i="86"/>
  <c r="B241" i="86"/>
  <c r="F240" i="86"/>
  <c r="D240" i="86"/>
  <c r="B240" i="86"/>
  <c r="F239" i="86"/>
  <c r="D239" i="86"/>
  <c r="B239" i="86"/>
  <c r="F238" i="86"/>
  <c r="D238" i="86"/>
  <c r="B238" i="86"/>
  <c r="F237" i="86"/>
  <c r="D237" i="86"/>
  <c r="B237" i="86"/>
  <c r="F236" i="86"/>
  <c r="D236" i="86"/>
  <c r="B236" i="86"/>
  <c r="F235" i="86"/>
  <c r="D235" i="86"/>
  <c r="B235" i="86"/>
  <c r="F234" i="86"/>
  <c r="D234" i="86"/>
  <c r="B234" i="86"/>
  <c r="F233" i="86"/>
  <c r="D233" i="86"/>
  <c r="B233" i="86"/>
  <c r="F232" i="86"/>
  <c r="D232" i="86"/>
  <c r="B232" i="86"/>
  <c r="F231" i="86"/>
  <c r="D231" i="86"/>
  <c r="B231" i="86"/>
  <c r="F230" i="86"/>
  <c r="D230" i="86"/>
  <c r="B230" i="86"/>
  <c r="F229" i="86"/>
  <c r="D229" i="86"/>
  <c r="B229" i="86"/>
  <c r="F228" i="86"/>
  <c r="D228" i="86"/>
  <c r="B228" i="86"/>
  <c r="F227" i="86"/>
  <c r="D227" i="86"/>
  <c r="B227" i="86"/>
  <c r="F226" i="86"/>
  <c r="D226" i="86"/>
  <c r="B226" i="86"/>
  <c r="F225" i="86"/>
  <c r="D225" i="86"/>
  <c r="B225" i="86"/>
  <c r="F224" i="86"/>
  <c r="D224" i="86"/>
  <c r="B224" i="86"/>
  <c r="F223" i="86"/>
  <c r="D223" i="86"/>
  <c r="B223" i="86"/>
  <c r="F222" i="86"/>
  <c r="D222" i="86"/>
  <c r="B222" i="86"/>
  <c r="F221" i="86"/>
  <c r="D221" i="86"/>
  <c r="B221" i="86"/>
  <c r="F220" i="86"/>
  <c r="D220" i="86"/>
  <c r="B220" i="86"/>
  <c r="F219" i="86"/>
  <c r="D219" i="86"/>
  <c r="B219" i="86"/>
  <c r="F218" i="86"/>
  <c r="D218" i="86"/>
  <c r="B218" i="86"/>
  <c r="F217" i="86"/>
  <c r="D217" i="86"/>
  <c r="B217" i="86"/>
  <c r="F216" i="86"/>
  <c r="D216" i="86"/>
  <c r="B216" i="86"/>
  <c r="F215" i="86"/>
  <c r="D215" i="86"/>
  <c r="B215" i="86"/>
  <c r="F214" i="86"/>
  <c r="D214" i="86"/>
  <c r="B214" i="86"/>
  <c r="F213" i="86"/>
  <c r="D213" i="86"/>
  <c r="B213" i="86"/>
  <c r="F212" i="86"/>
  <c r="D212" i="86"/>
  <c r="B212" i="86"/>
  <c r="F211" i="86"/>
  <c r="D211" i="86"/>
  <c r="B211" i="86"/>
  <c r="F210" i="86"/>
  <c r="D210" i="86"/>
  <c r="B210" i="86"/>
  <c r="F209" i="86"/>
  <c r="D209" i="86"/>
  <c r="B209" i="86"/>
  <c r="F208" i="86"/>
  <c r="D208" i="86"/>
  <c r="B208" i="86"/>
  <c r="F207" i="86"/>
  <c r="D207" i="86"/>
  <c r="B207" i="86"/>
  <c r="F204" i="86"/>
  <c r="D204" i="86"/>
  <c r="B204" i="86"/>
  <c r="F203" i="86"/>
  <c r="D203" i="86"/>
  <c r="B203" i="86"/>
  <c r="F202" i="86"/>
  <c r="D202" i="86"/>
  <c r="B202" i="86"/>
  <c r="F201" i="86"/>
  <c r="D201" i="86"/>
  <c r="B201" i="86"/>
  <c r="F200" i="86"/>
  <c r="D200" i="86"/>
  <c r="B200" i="86"/>
  <c r="F199" i="86"/>
  <c r="D199" i="86"/>
  <c r="B199" i="86"/>
  <c r="F198" i="86"/>
  <c r="D198" i="86"/>
  <c r="B198" i="86"/>
  <c r="F197" i="86"/>
  <c r="D197" i="86"/>
  <c r="B197" i="86"/>
  <c r="F196" i="86"/>
  <c r="D196" i="86"/>
  <c r="B196" i="86"/>
  <c r="F195" i="86"/>
  <c r="D195" i="86"/>
  <c r="B195" i="86"/>
  <c r="F194" i="86"/>
  <c r="D194" i="86"/>
  <c r="B194" i="86"/>
  <c r="F193" i="86"/>
  <c r="D193" i="86"/>
  <c r="B193" i="86"/>
  <c r="F192" i="86"/>
  <c r="D192" i="86"/>
  <c r="B192" i="86"/>
  <c r="F191" i="86"/>
  <c r="D191" i="86"/>
  <c r="B191" i="86"/>
  <c r="F190" i="86"/>
  <c r="D190" i="86"/>
  <c r="B190" i="86"/>
  <c r="F189" i="86"/>
  <c r="D189" i="86"/>
  <c r="B189" i="86"/>
  <c r="F188" i="86"/>
  <c r="D188" i="86"/>
  <c r="B188" i="86"/>
  <c r="F187" i="86"/>
  <c r="D187" i="86"/>
  <c r="B187" i="86"/>
  <c r="F186" i="86"/>
  <c r="D186" i="86"/>
  <c r="B186" i="86"/>
  <c r="F185" i="86"/>
  <c r="D185" i="86"/>
  <c r="B185" i="86"/>
  <c r="F184" i="86"/>
  <c r="D184" i="86"/>
  <c r="B184" i="86"/>
  <c r="F183" i="86"/>
  <c r="D183" i="86"/>
  <c r="B183" i="86"/>
  <c r="F182" i="86"/>
  <c r="D182" i="86"/>
  <c r="B182" i="86"/>
  <c r="F181" i="86"/>
  <c r="D181" i="86"/>
  <c r="B181" i="86"/>
  <c r="F180" i="86"/>
  <c r="D180" i="86"/>
  <c r="B180" i="86"/>
  <c r="F179" i="86"/>
  <c r="D179" i="86"/>
  <c r="B179" i="86"/>
  <c r="F178" i="86"/>
  <c r="D178" i="86"/>
  <c r="B178" i="86"/>
  <c r="F177" i="86"/>
  <c r="D177" i="86"/>
  <c r="B177" i="86"/>
  <c r="F176" i="86"/>
  <c r="D176" i="86"/>
  <c r="B176" i="86"/>
  <c r="F175" i="86"/>
  <c r="D175" i="86"/>
  <c r="B175" i="86"/>
  <c r="F174" i="86"/>
  <c r="D174" i="86"/>
  <c r="B174" i="86"/>
  <c r="F173" i="86"/>
  <c r="D173" i="86"/>
  <c r="B173" i="86"/>
  <c r="F172" i="86"/>
  <c r="D172" i="86"/>
  <c r="B172" i="86"/>
  <c r="F171" i="86"/>
  <c r="D171" i="86"/>
  <c r="B171" i="86"/>
  <c r="F170" i="86"/>
  <c r="D170" i="86"/>
  <c r="B170" i="86"/>
  <c r="F169" i="86"/>
  <c r="D169" i="86"/>
  <c r="B169" i="86"/>
  <c r="F168" i="86"/>
  <c r="D168" i="86"/>
  <c r="B168" i="86"/>
  <c r="F167" i="86"/>
  <c r="D167" i="86"/>
  <c r="B167" i="86"/>
  <c r="F166" i="86"/>
  <c r="D166" i="86"/>
  <c r="B166" i="86"/>
  <c r="F165" i="86"/>
  <c r="D165" i="86"/>
  <c r="B165" i="86"/>
  <c r="F164" i="86"/>
  <c r="D164" i="86"/>
  <c r="B164" i="86"/>
  <c r="F163" i="86"/>
  <c r="D163" i="86"/>
  <c r="B163" i="86"/>
  <c r="F162" i="86"/>
  <c r="D162" i="86"/>
  <c r="B162" i="86"/>
  <c r="F161" i="86"/>
  <c r="D161" i="86"/>
  <c r="B161" i="86"/>
  <c r="F160" i="86"/>
  <c r="D160" i="86"/>
  <c r="B160" i="86"/>
  <c r="F159" i="86"/>
  <c r="D159" i="86"/>
  <c r="B159" i="86"/>
  <c r="F158" i="86"/>
  <c r="D158" i="86"/>
  <c r="B158" i="86"/>
  <c r="F155" i="86"/>
  <c r="D155" i="86"/>
  <c r="B155" i="86"/>
  <c r="F154" i="86"/>
  <c r="D154" i="86"/>
  <c r="B154" i="86"/>
  <c r="F153" i="86"/>
  <c r="D153" i="86"/>
  <c r="B153" i="86"/>
  <c r="F152" i="86"/>
  <c r="D152" i="86"/>
  <c r="B152" i="86"/>
  <c r="F151" i="86"/>
  <c r="D151" i="86"/>
  <c r="B151" i="86"/>
  <c r="F150" i="86"/>
  <c r="D150" i="86"/>
  <c r="B150" i="86"/>
  <c r="F149" i="86"/>
  <c r="D149" i="86"/>
  <c r="B149" i="86"/>
  <c r="F148" i="86"/>
  <c r="D148" i="86"/>
  <c r="B148" i="86"/>
  <c r="F147" i="86"/>
  <c r="D147" i="86"/>
  <c r="B147" i="86"/>
  <c r="F146" i="86"/>
  <c r="D146" i="86"/>
  <c r="B146" i="86"/>
  <c r="F145" i="86"/>
  <c r="D145" i="86"/>
  <c r="B145" i="86"/>
  <c r="F144" i="86"/>
  <c r="D144" i="86"/>
  <c r="B144" i="86"/>
  <c r="F143" i="86"/>
  <c r="D143" i="86"/>
  <c r="B143" i="86"/>
  <c r="F142" i="86"/>
  <c r="D142" i="86"/>
  <c r="B142" i="86"/>
  <c r="F141" i="86"/>
  <c r="D141" i="86"/>
  <c r="B141" i="86"/>
  <c r="F140" i="86"/>
  <c r="D140" i="86"/>
  <c r="B140" i="86"/>
  <c r="F139" i="86"/>
  <c r="D139" i="86"/>
  <c r="B139" i="86"/>
  <c r="F138" i="86"/>
  <c r="D138" i="86"/>
  <c r="B138" i="86"/>
  <c r="F137" i="86"/>
  <c r="D137" i="86"/>
  <c r="B137" i="86"/>
  <c r="F136" i="86"/>
  <c r="D136" i="86"/>
  <c r="B136" i="86"/>
  <c r="F135" i="86"/>
  <c r="D135" i="86"/>
  <c r="B135" i="86"/>
  <c r="F134" i="86"/>
  <c r="D134" i="86"/>
  <c r="B134" i="86"/>
  <c r="F133" i="86"/>
  <c r="D133" i="86"/>
  <c r="B133" i="86"/>
  <c r="F132" i="86"/>
  <c r="D132" i="86"/>
  <c r="B132" i="86"/>
  <c r="F131" i="86"/>
  <c r="D131" i="86"/>
  <c r="B131" i="86"/>
  <c r="F130" i="86"/>
  <c r="D130" i="86"/>
  <c r="B130" i="86"/>
  <c r="F129" i="86"/>
  <c r="D129" i="86"/>
  <c r="B129" i="86"/>
  <c r="F128" i="86"/>
  <c r="D128" i="86"/>
  <c r="B128" i="86"/>
  <c r="F127" i="86"/>
  <c r="D127" i="86"/>
  <c r="B127" i="86"/>
  <c r="F126" i="86"/>
  <c r="D126" i="86"/>
  <c r="B126" i="86"/>
  <c r="F125" i="86"/>
  <c r="D125" i="86"/>
  <c r="B125" i="86"/>
  <c r="F124" i="86"/>
  <c r="D124" i="86"/>
  <c r="B124" i="86"/>
  <c r="F123" i="86"/>
  <c r="D123" i="86"/>
  <c r="B123" i="86"/>
  <c r="F122" i="86"/>
  <c r="D122" i="86"/>
  <c r="B122" i="86"/>
  <c r="F121" i="86"/>
  <c r="D121" i="86"/>
  <c r="B121" i="86"/>
  <c r="F120" i="86"/>
  <c r="D120" i="86"/>
  <c r="B120" i="86"/>
  <c r="F119" i="86"/>
  <c r="D119" i="86"/>
  <c r="B119" i="86"/>
  <c r="F118" i="86"/>
  <c r="D118" i="86"/>
  <c r="B118" i="86"/>
  <c r="F117" i="86"/>
  <c r="D117" i="86"/>
  <c r="B117" i="86"/>
  <c r="F116" i="86"/>
  <c r="D116" i="86"/>
  <c r="B116" i="86"/>
  <c r="F115" i="86"/>
  <c r="D115" i="86"/>
  <c r="B115" i="86"/>
  <c r="F114" i="86"/>
  <c r="D114" i="86"/>
  <c r="B114" i="86"/>
  <c r="F113" i="86"/>
  <c r="D113" i="86"/>
  <c r="B113" i="86"/>
  <c r="F112" i="86"/>
  <c r="D112" i="86"/>
  <c r="B112" i="86"/>
  <c r="F111" i="86"/>
  <c r="D111" i="86"/>
  <c r="B111" i="86"/>
  <c r="F110" i="86"/>
  <c r="D110" i="86"/>
  <c r="B110" i="86"/>
  <c r="F109" i="86"/>
  <c r="D109" i="86"/>
  <c r="B109" i="86"/>
  <c r="F106" i="86"/>
  <c r="D106" i="86"/>
  <c r="B106" i="86"/>
  <c r="F105" i="86"/>
  <c r="D105" i="86"/>
  <c r="B105" i="86"/>
  <c r="F104" i="86"/>
  <c r="D104" i="86"/>
  <c r="B104" i="86"/>
  <c r="F103" i="86"/>
  <c r="D103" i="86"/>
  <c r="B103" i="86"/>
  <c r="F102" i="86"/>
  <c r="D102" i="86"/>
  <c r="B102" i="86"/>
  <c r="F101" i="86"/>
  <c r="D101" i="86"/>
  <c r="B101" i="86"/>
  <c r="F100" i="86"/>
  <c r="D100" i="86"/>
  <c r="B100" i="86"/>
  <c r="F99" i="86"/>
  <c r="D99" i="86"/>
  <c r="B99" i="86"/>
  <c r="F98" i="86"/>
  <c r="D98" i="86"/>
  <c r="B98" i="86"/>
  <c r="F97" i="86"/>
  <c r="D97" i="86"/>
  <c r="B97" i="86"/>
  <c r="F96" i="86"/>
  <c r="D96" i="86"/>
  <c r="B96" i="86"/>
  <c r="F95" i="86"/>
  <c r="D95" i="86"/>
  <c r="B95" i="86"/>
  <c r="F94" i="86"/>
  <c r="D94" i="86"/>
  <c r="B94" i="86"/>
  <c r="F93" i="86"/>
  <c r="D93" i="86"/>
  <c r="B93" i="86"/>
  <c r="F92" i="86"/>
  <c r="D92" i="86"/>
  <c r="B92" i="86"/>
  <c r="F91" i="86"/>
  <c r="D91" i="86"/>
  <c r="B91" i="86"/>
  <c r="F90" i="86"/>
  <c r="D90" i="86"/>
  <c r="B90" i="86"/>
  <c r="F89" i="86"/>
  <c r="D89" i="86"/>
  <c r="B89" i="86"/>
  <c r="F88" i="86"/>
  <c r="D88" i="86"/>
  <c r="B88" i="86"/>
  <c r="F87" i="86"/>
  <c r="D87" i="86"/>
  <c r="B87" i="86"/>
  <c r="F86" i="86"/>
  <c r="D86" i="86"/>
  <c r="B86" i="86"/>
  <c r="F85" i="86"/>
  <c r="D85" i="86"/>
  <c r="B85" i="86"/>
  <c r="F84" i="86"/>
  <c r="D84" i="86"/>
  <c r="B84" i="86"/>
  <c r="F83" i="86"/>
  <c r="D83" i="86"/>
  <c r="B83" i="86"/>
  <c r="F82" i="86"/>
  <c r="D82" i="86"/>
  <c r="B82" i="86"/>
  <c r="F81" i="86"/>
  <c r="D81" i="86"/>
  <c r="B81" i="86"/>
  <c r="F80" i="86"/>
  <c r="D80" i="86"/>
  <c r="B80" i="86"/>
  <c r="F79" i="86"/>
  <c r="D79" i="86"/>
  <c r="B79" i="86"/>
  <c r="F78" i="86"/>
  <c r="D78" i="86"/>
  <c r="B78" i="86"/>
  <c r="F77" i="86"/>
  <c r="D77" i="86"/>
  <c r="B77" i="86"/>
  <c r="F76" i="86"/>
  <c r="D76" i="86"/>
  <c r="B76" i="86"/>
  <c r="F75" i="86"/>
  <c r="D75" i="86"/>
  <c r="B75" i="86"/>
  <c r="F74" i="86"/>
  <c r="D74" i="86"/>
  <c r="B74" i="86"/>
  <c r="F73" i="86"/>
  <c r="D73" i="86"/>
  <c r="B73" i="86"/>
  <c r="F72" i="86"/>
  <c r="D72" i="86"/>
  <c r="B72" i="86"/>
  <c r="F71" i="86"/>
  <c r="D71" i="86"/>
  <c r="B71" i="86"/>
  <c r="F70" i="86"/>
  <c r="D70" i="86"/>
  <c r="B70" i="86"/>
  <c r="F69" i="86"/>
  <c r="D69" i="86"/>
  <c r="B69" i="86"/>
  <c r="F68" i="86"/>
  <c r="D68" i="86"/>
  <c r="B68" i="86"/>
  <c r="F67" i="86"/>
  <c r="D67" i="86"/>
  <c r="B67" i="86"/>
  <c r="F66" i="86"/>
  <c r="D66" i="86"/>
  <c r="B66" i="86"/>
  <c r="F65" i="86"/>
  <c r="D65" i="86"/>
  <c r="B65" i="86"/>
  <c r="F64" i="86"/>
  <c r="D64" i="86"/>
  <c r="B64" i="86"/>
  <c r="F63" i="86"/>
  <c r="D63" i="86"/>
  <c r="B63" i="86"/>
  <c r="F62" i="86"/>
  <c r="D62" i="86"/>
  <c r="B62" i="86"/>
  <c r="F61" i="86"/>
  <c r="D61" i="86"/>
  <c r="B61" i="86"/>
  <c r="F60" i="86"/>
  <c r="D60" i="86"/>
  <c r="B60" i="86"/>
  <c r="F57" i="86"/>
  <c r="D57" i="86"/>
  <c r="B57" i="86"/>
  <c r="F56" i="86"/>
  <c r="D56" i="86"/>
  <c r="B56" i="86"/>
  <c r="F55" i="86"/>
  <c r="D55" i="86"/>
  <c r="B55" i="86"/>
  <c r="F54" i="86"/>
  <c r="D54" i="86"/>
  <c r="B54" i="86"/>
  <c r="F53" i="86"/>
  <c r="D53" i="86"/>
  <c r="B53" i="86"/>
  <c r="F52" i="86"/>
  <c r="D52" i="86"/>
  <c r="B52" i="86"/>
  <c r="F51" i="86"/>
  <c r="D51" i="86"/>
  <c r="B51" i="86"/>
  <c r="F50" i="86"/>
  <c r="D50" i="86"/>
  <c r="B50" i="86"/>
  <c r="F49" i="86"/>
  <c r="D49" i="86"/>
  <c r="B49" i="86"/>
  <c r="F48" i="86"/>
  <c r="D48" i="86"/>
  <c r="B48" i="86"/>
  <c r="F47" i="86"/>
  <c r="D47" i="86"/>
  <c r="B47" i="86"/>
  <c r="F46" i="86"/>
  <c r="D46" i="86"/>
  <c r="B46" i="86"/>
  <c r="F45" i="86"/>
  <c r="D45" i="86"/>
  <c r="B45" i="86"/>
  <c r="F44" i="86"/>
  <c r="D44" i="86"/>
  <c r="B44" i="86"/>
  <c r="F43" i="86"/>
  <c r="D43" i="86"/>
  <c r="B43" i="86"/>
  <c r="F42" i="86"/>
  <c r="D42" i="86"/>
  <c r="B42" i="86"/>
  <c r="F41" i="86"/>
  <c r="D41" i="86"/>
  <c r="B41" i="86"/>
  <c r="F40" i="86"/>
  <c r="D40" i="86"/>
  <c r="B40" i="86"/>
  <c r="F39" i="86"/>
  <c r="D39" i="86"/>
  <c r="B39" i="86"/>
  <c r="F38" i="86"/>
  <c r="D38" i="86"/>
  <c r="B38" i="86"/>
  <c r="F37" i="86"/>
  <c r="D37" i="86"/>
  <c r="B37" i="86"/>
  <c r="F36" i="86"/>
  <c r="D36" i="86"/>
  <c r="B36" i="86"/>
  <c r="F35" i="86"/>
  <c r="D35" i="86"/>
  <c r="B35" i="86"/>
  <c r="F34" i="86"/>
  <c r="D34" i="86"/>
  <c r="B34" i="86"/>
  <c r="F33" i="86"/>
  <c r="D33" i="86"/>
  <c r="B33" i="86"/>
  <c r="F32" i="86"/>
  <c r="D32" i="86"/>
  <c r="B32" i="86"/>
  <c r="F31" i="86"/>
  <c r="D31" i="86"/>
  <c r="B31" i="86"/>
  <c r="F30" i="86"/>
  <c r="D30" i="86"/>
  <c r="B30" i="86"/>
  <c r="F29" i="86"/>
  <c r="D29" i="86"/>
  <c r="B29" i="86"/>
  <c r="F28" i="86"/>
  <c r="D28" i="86"/>
  <c r="B28" i="86"/>
  <c r="F27" i="86"/>
  <c r="D27" i="86"/>
  <c r="B27" i="86"/>
  <c r="F26" i="86"/>
  <c r="D26" i="86"/>
  <c r="B26" i="86"/>
  <c r="F25" i="86"/>
  <c r="D25" i="86"/>
  <c r="B25" i="86"/>
  <c r="F24" i="86"/>
  <c r="D24" i="86"/>
  <c r="B24" i="86"/>
  <c r="F23" i="86"/>
  <c r="D23" i="86"/>
  <c r="B23" i="86"/>
  <c r="F22" i="86"/>
  <c r="D22" i="86"/>
  <c r="B22" i="86"/>
  <c r="F21" i="86"/>
  <c r="D21" i="86"/>
  <c r="B21" i="86"/>
  <c r="F20" i="86"/>
  <c r="D20" i="86"/>
  <c r="B20" i="86"/>
  <c r="F19" i="86"/>
  <c r="D19" i="86"/>
  <c r="B19" i="86"/>
  <c r="F18" i="86"/>
  <c r="D18" i="86"/>
  <c r="B18" i="86"/>
  <c r="F17" i="86"/>
  <c r="D17" i="86"/>
  <c r="B17" i="86"/>
  <c r="F16" i="86"/>
  <c r="D16" i="86"/>
  <c r="B16" i="86"/>
  <c r="F15" i="86"/>
  <c r="D15" i="86"/>
  <c r="B15" i="86"/>
  <c r="F14" i="86"/>
  <c r="D14" i="86"/>
  <c r="B14" i="86"/>
  <c r="F13" i="86"/>
  <c r="D13" i="86"/>
  <c r="B13" i="86"/>
  <c r="F12" i="86"/>
  <c r="D12" i="86"/>
  <c r="B12" i="86"/>
  <c r="F11" i="86"/>
  <c r="D11" i="86"/>
  <c r="B11" i="86"/>
  <c r="F203" i="85"/>
  <c r="D203" i="85"/>
  <c r="B203" i="85"/>
  <c r="F202" i="85"/>
  <c r="D202" i="85"/>
  <c r="B202" i="85"/>
  <c r="F201" i="85"/>
  <c r="D201" i="85"/>
  <c r="B201" i="85"/>
  <c r="F200" i="85"/>
  <c r="D200" i="85"/>
  <c r="B200" i="85"/>
  <c r="F199" i="85"/>
  <c r="D199" i="85"/>
  <c r="B199" i="85"/>
  <c r="F198" i="85"/>
  <c r="D198" i="85"/>
  <c r="B198" i="85"/>
  <c r="F197" i="85"/>
  <c r="D197" i="85"/>
  <c r="B197" i="85"/>
  <c r="F196" i="85"/>
  <c r="D196" i="85"/>
  <c r="B196" i="85"/>
  <c r="F195" i="85"/>
  <c r="D195" i="85"/>
  <c r="B195" i="85"/>
  <c r="F194" i="85"/>
  <c r="D194" i="85"/>
  <c r="B194" i="85"/>
  <c r="F193" i="85"/>
  <c r="D193" i="85"/>
  <c r="B193" i="85"/>
  <c r="F192" i="85"/>
  <c r="D192" i="85"/>
  <c r="B192" i="85"/>
  <c r="F191" i="85"/>
  <c r="D191" i="85"/>
  <c r="B191" i="85"/>
  <c r="F190" i="85"/>
  <c r="D190" i="85"/>
  <c r="B190" i="85"/>
  <c r="F189" i="85"/>
  <c r="D189" i="85"/>
  <c r="B189" i="85"/>
  <c r="F188" i="85"/>
  <c r="D188" i="85"/>
  <c r="B188" i="85"/>
  <c r="F187" i="85"/>
  <c r="D187" i="85"/>
  <c r="B187" i="85"/>
  <c r="F186" i="85"/>
  <c r="D186" i="85"/>
  <c r="B186" i="85"/>
  <c r="F185" i="85"/>
  <c r="D185" i="85"/>
  <c r="B185" i="85"/>
  <c r="F184" i="85"/>
  <c r="D184" i="85"/>
  <c r="B184" i="85"/>
  <c r="F183" i="85"/>
  <c r="D183" i="85"/>
  <c r="B183" i="85"/>
  <c r="F182" i="85"/>
  <c r="D182" i="85"/>
  <c r="B182" i="85"/>
  <c r="F181" i="85"/>
  <c r="D181" i="85"/>
  <c r="B181" i="85"/>
  <c r="F180" i="85"/>
  <c r="D180" i="85"/>
  <c r="B180" i="85"/>
  <c r="F179" i="85"/>
  <c r="D179" i="85"/>
  <c r="B179" i="85"/>
  <c r="F178" i="85"/>
  <c r="D178" i="85"/>
  <c r="B178" i="85"/>
  <c r="F177" i="85"/>
  <c r="D177" i="85"/>
  <c r="B177" i="85"/>
  <c r="F176" i="85"/>
  <c r="D176" i="85"/>
  <c r="B176" i="85"/>
  <c r="F175" i="85"/>
  <c r="D175" i="85"/>
  <c r="B175" i="85"/>
  <c r="F174" i="85"/>
  <c r="D174" i="85"/>
  <c r="B174" i="85"/>
  <c r="F173" i="85"/>
  <c r="D173" i="85"/>
  <c r="B173" i="85"/>
  <c r="F172" i="85"/>
  <c r="D172" i="85"/>
  <c r="B172" i="85"/>
  <c r="F171" i="85"/>
  <c r="D171" i="85"/>
  <c r="B171" i="85"/>
  <c r="F170" i="85"/>
  <c r="D170" i="85"/>
  <c r="B170" i="85"/>
  <c r="F169" i="85"/>
  <c r="D169" i="85"/>
  <c r="B169" i="85"/>
  <c r="F168" i="85"/>
  <c r="D168" i="85"/>
  <c r="B168" i="85"/>
  <c r="F167" i="85"/>
  <c r="D167" i="85"/>
  <c r="B167" i="85"/>
  <c r="F166" i="85"/>
  <c r="D166" i="85"/>
  <c r="B166" i="85"/>
  <c r="F165" i="85"/>
  <c r="D165" i="85"/>
  <c r="B165" i="85"/>
  <c r="F164" i="85"/>
  <c r="D164" i="85"/>
  <c r="B164" i="85"/>
  <c r="F163" i="85"/>
  <c r="D163" i="85"/>
  <c r="B163" i="85"/>
  <c r="F162" i="85"/>
  <c r="D162" i="85"/>
  <c r="B162" i="85"/>
  <c r="F161" i="85"/>
  <c r="D161" i="85"/>
  <c r="B161" i="85"/>
  <c r="F160" i="85"/>
  <c r="D160" i="85"/>
  <c r="B160" i="85"/>
  <c r="F159" i="85"/>
  <c r="D159" i="85"/>
  <c r="B159" i="85"/>
  <c r="F158" i="85"/>
  <c r="D158" i="85"/>
  <c r="B158" i="85"/>
  <c r="F157" i="85"/>
  <c r="D157" i="85"/>
  <c r="B157" i="85"/>
  <c r="F154" i="85"/>
  <c r="D154" i="85"/>
  <c r="B154" i="85"/>
  <c r="F153" i="85"/>
  <c r="D153" i="85"/>
  <c r="B153" i="85"/>
  <c r="F152" i="85"/>
  <c r="D152" i="85"/>
  <c r="B152" i="85"/>
  <c r="F151" i="85"/>
  <c r="D151" i="85"/>
  <c r="B151" i="85"/>
  <c r="F150" i="85"/>
  <c r="D150" i="85"/>
  <c r="B150" i="85"/>
  <c r="F149" i="85"/>
  <c r="D149" i="85"/>
  <c r="B149" i="85"/>
  <c r="F148" i="85"/>
  <c r="D148" i="85"/>
  <c r="B148" i="85"/>
  <c r="F147" i="85"/>
  <c r="D147" i="85"/>
  <c r="B147" i="85"/>
  <c r="F146" i="85"/>
  <c r="D146" i="85"/>
  <c r="B146" i="85"/>
  <c r="F145" i="85"/>
  <c r="D145" i="85"/>
  <c r="B145" i="85"/>
  <c r="F144" i="85"/>
  <c r="D144" i="85"/>
  <c r="B144" i="85"/>
  <c r="F143" i="85"/>
  <c r="D143" i="85"/>
  <c r="B143" i="85"/>
  <c r="F142" i="85"/>
  <c r="D142" i="85"/>
  <c r="B142" i="85"/>
  <c r="F141" i="85"/>
  <c r="D141" i="85"/>
  <c r="B141" i="85"/>
  <c r="F140" i="85"/>
  <c r="D140" i="85"/>
  <c r="B140" i="85"/>
  <c r="F139" i="85"/>
  <c r="D139" i="85"/>
  <c r="B139" i="85"/>
  <c r="F138" i="85"/>
  <c r="D138" i="85"/>
  <c r="B138" i="85"/>
  <c r="F137" i="85"/>
  <c r="D137" i="85"/>
  <c r="B137" i="85"/>
  <c r="F136" i="85"/>
  <c r="D136" i="85"/>
  <c r="B136" i="85"/>
  <c r="F135" i="85"/>
  <c r="D135" i="85"/>
  <c r="B135" i="85"/>
  <c r="F134" i="85"/>
  <c r="D134" i="85"/>
  <c r="B134" i="85"/>
  <c r="F133" i="85"/>
  <c r="D133" i="85"/>
  <c r="B133" i="85"/>
  <c r="F132" i="85"/>
  <c r="D132" i="85"/>
  <c r="B132" i="85"/>
  <c r="F131" i="85"/>
  <c r="D131" i="85"/>
  <c r="B131" i="85"/>
  <c r="F130" i="85"/>
  <c r="D130" i="85"/>
  <c r="B130" i="85"/>
  <c r="F129" i="85"/>
  <c r="D129" i="85"/>
  <c r="B129" i="85"/>
  <c r="F128" i="85"/>
  <c r="D128" i="85"/>
  <c r="B128" i="85"/>
  <c r="F127" i="85"/>
  <c r="D127" i="85"/>
  <c r="B127" i="85"/>
  <c r="F126" i="85"/>
  <c r="D126" i="85"/>
  <c r="B126" i="85"/>
  <c r="F125" i="85"/>
  <c r="D125" i="85"/>
  <c r="B125" i="85"/>
  <c r="F124" i="85"/>
  <c r="D124" i="85"/>
  <c r="B124" i="85"/>
  <c r="F123" i="85"/>
  <c r="D123" i="85"/>
  <c r="B123" i="85"/>
  <c r="F122" i="85"/>
  <c r="D122" i="85"/>
  <c r="B122" i="85"/>
  <c r="F121" i="85"/>
  <c r="D121" i="85"/>
  <c r="B121" i="85"/>
  <c r="F120" i="85"/>
  <c r="D120" i="85"/>
  <c r="B120" i="85"/>
  <c r="F119" i="85"/>
  <c r="D119" i="85"/>
  <c r="B119" i="85"/>
  <c r="F118" i="85"/>
  <c r="D118" i="85"/>
  <c r="B118" i="85"/>
  <c r="F117" i="85"/>
  <c r="D117" i="85"/>
  <c r="B117" i="85"/>
  <c r="F116" i="85"/>
  <c r="D116" i="85"/>
  <c r="B116" i="85"/>
  <c r="F115" i="85"/>
  <c r="D115" i="85"/>
  <c r="B115" i="85"/>
  <c r="F114" i="85"/>
  <c r="D114" i="85"/>
  <c r="B114" i="85"/>
  <c r="F113" i="85"/>
  <c r="D113" i="85"/>
  <c r="B113" i="85"/>
  <c r="F112" i="85"/>
  <c r="D112" i="85"/>
  <c r="B112" i="85"/>
  <c r="F111" i="85"/>
  <c r="D111" i="85"/>
  <c r="B111" i="85"/>
  <c r="F110" i="85"/>
  <c r="D110" i="85"/>
  <c r="B110" i="85"/>
  <c r="F109" i="85"/>
  <c r="D109" i="85"/>
  <c r="B109" i="85"/>
  <c r="F108" i="85"/>
  <c r="D108" i="85"/>
  <c r="B108" i="85"/>
  <c r="F105" i="85"/>
  <c r="D105" i="85"/>
  <c r="B105" i="85"/>
  <c r="F104" i="85"/>
  <c r="D104" i="85"/>
  <c r="B104" i="85"/>
  <c r="F103" i="85"/>
  <c r="D103" i="85"/>
  <c r="B103" i="85"/>
  <c r="F102" i="85"/>
  <c r="D102" i="85"/>
  <c r="B102" i="85"/>
  <c r="F101" i="85"/>
  <c r="D101" i="85"/>
  <c r="B101" i="85"/>
  <c r="F100" i="85"/>
  <c r="D100" i="85"/>
  <c r="B100" i="85"/>
  <c r="F99" i="85"/>
  <c r="D99" i="85"/>
  <c r="B99" i="85"/>
  <c r="F98" i="85"/>
  <c r="D98" i="85"/>
  <c r="B98" i="85"/>
  <c r="F97" i="85"/>
  <c r="D97" i="85"/>
  <c r="B97" i="85"/>
  <c r="F96" i="85"/>
  <c r="D96" i="85"/>
  <c r="B96" i="85"/>
  <c r="F95" i="85"/>
  <c r="D95" i="85"/>
  <c r="B95" i="85"/>
  <c r="F94" i="85"/>
  <c r="D94" i="85"/>
  <c r="B94" i="85"/>
  <c r="F93" i="85"/>
  <c r="D93" i="85"/>
  <c r="B93" i="85"/>
  <c r="F92" i="85"/>
  <c r="D92" i="85"/>
  <c r="B92" i="85"/>
  <c r="F91" i="85"/>
  <c r="D91" i="85"/>
  <c r="B91" i="85"/>
  <c r="F90" i="85"/>
  <c r="D90" i="85"/>
  <c r="B90" i="85"/>
  <c r="F89" i="85"/>
  <c r="D89" i="85"/>
  <c r="B89" i="85"/>
  <c r="F88" i="85"/>
  <c r="D88" i="85"/>
  <c r="B88" i="85"/>
  <c r="F87" i="85"/>
  <c r="D87" i="85"/>
  <c r="B87" i="85"/>
  <c r="F86" i="85"/>
  <c r="D86" i="85"/>
  <c r="B86" i="85"/>
  <c r="F85" i="85"/>
  <c r="D85" i="85"/>
  <c r="B85" i="85"/>
  <c r="F84" i="85"/>
  <c r="D84" i="85"/>
  <c r="B84" i="85"/>
  <c r="F83" i="85"/>
  <c r="D83" i="85"/>
  <c r="B83" i="85"/>
  <c r="F82" i="85"/>
  <c r="D82" i="85"/>
  <c r="B82" i="85"/>
  <c r="F81" i="85"/>
  <c r="D81" i="85"/>
  <c r="B81" i="85"/>
  <c r="F80" i="85"/>
  <c r="D80" i="85"/>
  <c r="B80" i="85"/>
  <c r="F79" i="85"/>
  <c r="D79" i="85"/>
  <c r="B79" i="85"/>
  <c r="F78" i="85"/>
  <c r="D78" i="85"/>
  <c r="B78" i="85"/>
  <c r="F77" i="85"/>
  <c r="D77" i="85"/>
  <c r="B77" i="85"/>
  <c r="F76" i="85"/>
  <c r="D76" i="85"/>
  <c r="B76" i="85"/>
  <c r="F75" i="85"/>
  <c r="D75" i="85"/>
  <c r="B75" i="85"/>
  <c r="F74" i="85"/>
  <c r="D74" i="85"/>
  <c r="B74" i="85"/>
  <c r="F73" i="85"/>
  <c r="D73" i="85"/>
  <c r="B73" i="85"/>
  <c r="F72" i="85"/>
  <c r="D72" i="85"/>
  <c r="B72" i="85"/>
  <c r="F71" i="85"/>
  <c r="D71" i="85"/>
  <c r="B71" i="85"/>
  <c r="F70" i="85"/>
  <c r="D70" i="85"/>
  <c r="B70" i="85"/>
  <c r="F69" i="85"/>
  <c r="D69" i="85"/>
  <c r="B69" i="85"/>
  <c r="F68" i="85"/>
  <c r="D68" i="85"/>
  <c r="B68" i="85"/>
  <c r="F67" i="85"/>
  <c r="D67" i="85"/>
  <c r="B67" i="85"/>
  <c r="F66" i="85"/>
  <c r="D66" i="85"/>
  <c r="B66" i="85"/>
  <c r="F65" i="85"/>
  <c r="D65" i="85"/>
  <c r="B65" i="85"/>
  <c r="F64" i="85"/>
  <c r="D64" i="85"/>
  <c r="B64" i="85"/>
  <c r="F63" i="85"/>
  <c r="D63" i="85"/>
  <c r="B63" i="85"/>
  <c r="F62" i="85"/>
  <c r="D62" i="85"/>
  <c r="B62" i="85"/>
  <c r="F61" i="85"/>
  <c r="D61" i="85"/>
  <c r="B61" i="85"/>
  <c r="F60" i="85"/>
  <c r="D60" i="85"/>
  <c r="B60" i="85"/>
  <c r="F59" i="85"/>
  <c r="D59" i="85"/>
  <c r="B59" i="85"/>
  <c r="F56" i="85"/>
  <c r="D56" i="85"/>
  <c r="B56" i="85"/>
  <c r="F55" i="85"/>
  <c r="D55" i="85"/>
  <c r="B55" i="85"/>
  <c r="F54" i="85"/>
  <c r="D54" i="85"/>
  <c r="B54" i="85"/>
  <c r="F53" i="85"/>
  <c r="D53" i="85"/>
  <c r="B53" i="85"/>
  <c r="F52" i="85"/>
  <c r="D52" i="85"/>
  <c r="B52" i="85"/>
  <c r="F51" i="85"/>
  <c r="D51" i="85"/>
  <c r="B51" i="85"/>
  <c r="F50" i="85"/>
  <c r="D50" i="85"/>
  <c r="B50" i="85"/>
  <c r="F49" i="85"/>
  <c r="D49" i="85"/>
  <c r="B49" i="85"/>
  <c r="F48" i="85"/>
  <c r="D48" i="85"/>
  <c r="B48" i="85"/>
  <c r="F47" i="85"/>
  <c r="D47" i="85"/>
  <c r="B47" i="85"/>
  <c r="F46" i="85"/>
  <c r="D46" i="85"/>
  <c r="B46" i="85"/>
  <c r="F45" i="85"/>
  <c r="D45" i="85"/>
  <c r="B45" i="85"/>
  <c r="F44" i="85"/>
  <c r="D44" i="85"/>
  <c r="B44" i="85"/>
  <c r="F43" i="85"/>
  <c r="D43" i="85"/>
  <c r="B43" i="85"/>
  <c r="F42" i="85"/>
  <c r="D42" i="85"/>
  <c r="B42" i="85"/>
  <c r="F41" i="85"/>
  <c r="D41" i="85"/>
  <c r="B41" i="85"/>
  <c r="F40" i="85"/>
  <c r="D40" i="85"/>
  <c r="B40" i="85"/>
  <c r="F39" i="85"/>
  <c r="D39" i="85"/>
  <c r="B39" i="85"/>
  <c r="F38" i="85"/>
  <c r="D38" i="85"/>
  <c r="B38" i="85"/>
  <c r="F37" i="85"/>
  <c r="D37" i="85"/>
  <c r="B37" i="85"/>
  <c r="F36" i="85"/>
  <c r="D36" i="85"/>
  <c r="B36" i="85"/>
  <c r="F35" i="85"/>
  <c r="D35" i="85"/>
  <c r="B35" i="85"/>
  <c r="F34" i="85"/>
  <c r="D34" i="85"/>
  <c r="B34" i="85"/>
  <c r="F33" i="85"/>
  <c r="D33" i="85"/>
  <c r="B33" i="85"/>
  <c r="F32" i="85"/>
  <c r="D32" i="85"/>
  <c r="B32" i="85"/>
  <c r="F31" i="85"/>
  <c r="D31" i="85"/>
  <c r="B31" i="85"/>
  <c r="F30" i="85"/>
  <c r="D30" i="85"/>
  <c r="B30" i="85"/>
  <c r="F29" i="85"/>
  <c r="D29" i="85"/>
  <c r="B29" i="85"/>
  <c r="F28" i="85"/>
  <c r="D28" i="85"/>
  <c r="B28" i="85"/>
  <c r="F27" i="85"/>
  <c r="D27" i="85"/>
  <c r="B27" i="85"/>
  <c r="F26" i="85"/>
  <c r="D26" i="85"/>
  <c r="B26" i="85"/>
  <c r="F25" i="85"/>
  <c r="D25" i="85"/>
  <c r="B25" i="85"/>
  <c r="F24" i="85"/>
  <c r="D24" i="85"/>
  <c r="B24" i="85"/>
  <c r="F23" i="85"/>
  <c r="D23" i="85"/>
  <c r="B23" i="85"/>
  <c r="F22" i="85"/>
  <c r="D22" i="85"/>
  <c r="B22" i="85"/>
  <c r="F21" i="85"/>
  <c r="D21" i="85"/>
  <c r="B21" i="85"/>
  <c r="F20" i="85"/>
  <c r="D20" i="85"/>
  <c r="B20" i="85"/>
  <c r="F19" i="85"/>
  <c r="D19" i="85"/>
  <c r="B19" i="85"/>
  <c r="F18" i="85"/>
  <c r="D18" i="85"/>
  <c r="B18" i="85"/>
  <c r="F17" i="85"/>
  <c r="D17" i="85"/>
  <c r="B17" i="85"/>
  <c r="F16" i="85"/>
  <c r="D16" i="85"/>
  <c r="B16" i="85"/>
  <c r="F15" i="85"/>
  <c r="D15" i="85"/>
  <c r="B15" i="85"/>
  <c r="F14" i="85"/>
  <c r="D14" i="85"/>
  <c r="B14" i="85"/>
  <c r="F13" i="85"/>
  <c r="D13" i="85"/>
  <c r="B13" i="85"/>
  <c r="F12" i="85"/>
  <c r="D12" i="85"/>
  <c r="B12" i="85"/>
  <c r="F11" i="85"/>
  <c r="D11" i="85"/>
  <c r="B11" i="85"/>
  <c r="F10" i="85"/>
  <c r="D10" i="85"/>
  <c r="B10" i="85"/>
  <c r="F203" i="84"/>
  <c r="D203" i="84"/>
  <c r="B203" i="84"/>
  <c r="F202" i="84"/>
  <c r="D202" i="84"/>
  <c r="B202" i="84"/>
  <c r="F201" i="84"/>
  <c r="D201" i="84"/>
  <c r="B201" i="84"/>
  <c r="F200" i="84"/>
  <c r="D200" i="84"/>
  <c r="B200" i="84"/>
  <c r="F199" i="84"/>
  <c r="D199" i="84"/>
  <c r="B199" i="84"/>
  <c r="F198" i="84"/>
  <c r="D198" i="84"/>
  <c r="B198" i="84"/>
  <c r="F197" i="84"/>
  <c r="D197" i="84"/>
  <c r="B197" i="84"/>
  <c r="F196" i="84"/>
  <c r="D196" i="84"/>
  <c r="B196" i="84"/>
  <c r="F195" i="84"/>
  <c r="D195" i="84"/>
  <c r="B195" i="84"/>
  <c r="F194" i="84"/>
  <c r="D194" i="84"/>
  <c r="B194" i="84"/>
  <c r="F193" i="84"/>
  <c r="D193" i="84"/>
  <c r="B193" i="84"/>
  <c r="F192" i="84"/>
  <c r="D192" i="84"/>
  <c r="B192" i="84"/>
  <c r="F191" i="84"/>
  <c r="D191" i="84"/>
  <c r="B191" i="84"/>
  <c r="F190" i="84"/>
  <c r="D190" i="84"/>
  <c r="B190" i="84"/>
  <c r="F189" i="84"/>
  <c r="D189" i="84"/>
  <c r="B189" i="84"/>
  <c r="F188" i="84"/>
  <c r="D188" i="84"/>
  <c r="B188" i="84"/>
  <c r="F187" i="84"/>
  <c r="D187" i="84"/>
  <c r="B187" i="84"/>
  <c r="F186" i="84"/>
  <c r="D186" i="84"/>
  <c r="B186" i="84"/>
  <c r="F185" i="84"/>
  <c r="D185" i="84"/>
  <c r="B185" i="84"/>
  <c r="F184" i="84"/>
  <c r="D184" i="84"/>
  <c r="B184" i="84"/>
  <c r="F183" i="84"/>
  <c r="D183" i="84"/>
  <c r="B183" i="84"/>
  <c r="F182" i="84"/>
  <c r="D182" i="84"/>
  <c r="B182" i="84"/>
  <c r="F181" i="84"/>
  <c r="D181" i="84"/>
  <c r="B181" i="84"/>
  <c r="F180" i="84"/>
  <c r="D180" i="84"/>
  <c r="B180" i="84"/>
  <c r="F179" i="84"/>
  <c r="D179" i="84"/>
  <c r="B179" i="84"/>
  <c r="F178" i="84"/>
  <c r="D178" i="84"/>
  <c r="B178" i="84"/>
  <c r="F177" i="84"/>
  <c r="D177" i="84"/>
  <c r="B177" i="84"/>
  <c r="F176" i="84"/>
  <c r="D176" i="84"/>
  <c r="B176" i="84"/>
  <c r="F175" i="84"/>
  <c r="D175" i="84"/>
  <c r="B175" i="84"/>
  <c r="F174" i="84"/>
  <c r="D174" i="84"/>
  <c r="B174" i="84"/>
  <c r="F173" i="84"/>
  <c r="D173" i="84"/>
  <c r="B173" i="84"/>
  <c r="F172" i="84"/>
  <c r="D172" i="84"/>
  <c r="B172" i="84"/>
  <c r="F171" i="84"/>
  <c r="D171" i="84"/>
  <c r="B171" i="84"/>
  <c r="F170" i="84"/>
  <c r="D170" i="84"/>
  <c r="B170" i="84"/>
  <c r="F169" i="84"/>
  <c r="D169" i="84"/>
  <c r="B169" i="84"/>
  <c r="F168" i="84"/>
  <c r="D168" i="84"/>
  <c r="B168" i="84"/>
  <c r="F167" i="84"/>
  <c r="D167" i="84"/>
  <c r="B167" i="84"/>
  <c r="F166" i="84"/>
  <c r="D166" i="84"/>
  <c r="B166" i="84"/>
  <c r="F165" i="84"/>
  <c r="D165" i="84"/>
  <c r="B165" i="84"/>
  <c r="F164" i="84"/>
  <c r="D164" i="84"/>
  <c r="B164" i="84"/>
  <c r="F163" i="84"/>
  <c r="D163" i="84"/>
  <c r="B163" i="84"/>
  <c r="F162" i="84"/>
  <c r="D162" i="84"/>
  <c r="B162" i="84"/>
  <c r="F161" i="84"/>
  <c r="D161" i="84"/>
  <c r="B161" i="84"/>
  <c r="F160" i="84"/>
  <c r="D160" i="84"/>
  <c r="B160" i="84"/>
  <c r="F159" i="84"/>
  <c r="D159" i="84"/>
  <c r="B159" i="84"/>
  <c r="F158" i="84"/>
  <c r="D158" i="84"/>
  <c r="B158" i="84"/>
  <c r="F157" i="84"/>
  <c r="D157" i="84"/>
  <c r="B157" i="84"/>
  <c r="F154" i="84"/>
  <c r="D154" i="84"/>
  <c r="B154" i="84"/>
  <c r="F153" i="84"/>
  <c r="D153" i="84"/>
  <c r="B153" i="84"/>
  <c r="F152" i="84"/>
  <c r="D152" i="84"/>
  <c r="B152" i="84"/>
  <c r="F151" i="84"/>
  <c r="D151" i="84"/>
  <c r="B151" i="84"/>
  <c r="F150" i="84"/>
  <c r="D150" i="84"/>
  <c r="B150" i="84"/>
  <c r="F149" i="84"/>
  <c r="D149" i="84"/>
  <c r="B149" i="84"/>
  <c r="F148" i="84"/>
  <c r="D148" i="84"/>
  <c r="B148" i="84"/>
  <c r="F147" i="84"/>
  <c r="D147" i="84"/>
  <c r="B147" i="84"/>
  <c r="F146" i="84"/>
  <c r="D146" i="84"/>
  <c r="B146" i="84"/>
  <c r="F145" i="84"/>
  <c r="D145" i="84"/>
  <c r="B145" i="84"/>
  <c r="F144" i="84"/>
  <c r="D144" i="84"/>
  <c r="B144" i="84"/>
  <c r="F143" i="84"/>
  <c r="D143" i="84"/>
  <c r="B143" i="84"/>
  <c r="F142" i="84"/>
  <c r="D142" i="84"/>
  <c r="B142" i="84"/>
  <c r="F141" i="84"/>
  <c r="D141" i="84"/>
  <c r="B141" i="84"/>
  <c r="F140" i="84"/>
  <c r="D140" i="84"/>
  <c r="B140" i="84"/>
  <c r="F139" i="84"/>
  <c r="D139" i="84"/>
  <c r="B139" i="84"/>
  <c r="F138" i="84"/>
  <c r="D138" i="84"/>
  <c r="B138" i="84"/>
  <c r="F137" i="84"/>
  <c r="D137" i="84"/>
  <c r="B137" i="84"/>
  <c r="F136" i="84"/>
  <c r="D136" i="84"/>
  <c r="B136" i="84"/>
  <c r="F135" i="84"/>
  <c r="D135" i="84"/>
  <c r="B135" i="84"/>
  <c r="F134" i="84"/>
  <c r="D134" i="84"/>
  <c r="B134" i="84"/>
  <c r="F133" i="84"/>
  <c r="D133" i="84"/>
  <c r="B133" i="84"/>
  <c r="F132" i="84"/>
  <c r="D132" i="84"/>
  <c r="B132" i="84"/>
  <c r="F131" i="84"/>
  <c r="D131" i="84"/>
  <c r="B131" i="84"/>
  <c r="F130" i="84"/>
  <c r="D130" i="84"/>
  <c r="B130" i="84"/>
  <c r="F129" i="84"/>
  <c r="D129" i="84"/>
  <c r="B129" i="84"/>
  <c r="F128" i="84"/>
  <c r="D128" i="84"/>
  <c r="B128" i="84"/>
  <c r="F127" i="84"/>
  <c r="D127" i="84"/>
  <c r="B127" i="84"/>
  <c r="F126" i="84"/>
  <c r="D126" i="84"/>
  <c r="B126" i="84"/>
  <c r="F125" i="84"/>
  <c r="D125" i="84"/>
  <c r="B125" i="84"/>
  <c r="F124" i="84"/>
  <c r="D124" i="84"/>
  <c r="B124" i="84"/>
  <c r="F123" i="84"/>
  <c r="D123" i="84"/>
  <c r="B123" i="84"/>
  <c r="F122" i="84"/>
  <c r="D122" i="84"/>
  <c r="B122" i="84"/>
  <c r="F121" i="84"/>
  <c r="D121" i="84"/>
  <c r="B121" i="84"/>
  <c r="F120" i="84"/>
  <c r="D120" i="84"/>
  <c r="B120" i="84"/>
  <c r="F119" i="84"/>
  <c r="D119" i="84"/>
  <c r="B119" i="84"/>
  <c r="F118" i="84"/>
  <c r="D118" i="84"/>
  <c r="B118" i="84"/>
  <c r="F117" i="84"/>
  <c r="D117" i="84"/>
  <c r="B117" i="84"/>
  <c r="F116" i="84"/>
  <c r="D116" i="84"/>
  <c r="B116" i="84"/>
  <c r="F115" i="84"/>
  <c r="D115" i="84"/>
  <c r="B115" i="84"/>
  <c r="F114" i="84"/>
  <c r="D114" i="84"/>
  <c r="B114" i="84"/>
  <c r="F113" i="84"/>
  <c r="D113" i="84"/>
  <c r="B113" i="84"/>
  <c r="F112" i="84"/>
  <c r="D112" i="84"/>
  <c r="B112" i="84"/>
  <c r="F111" i="84"/>
  <c r="D111" i="84"/>
  <c r="B111" i="84"/>
  <c r="F110" i="84"/>
  <c r="D110" i="84"/>
  <c r="B110" i="84"/>
  <c r="F109" i="84"/>
  <c r="D109" i="84"/>
  <c r="B109" i="84"/>
  <c r="F108" i="84"/>
  <c r="D108" i="84"/>
  <c r="B108" i="84"/>
  <c r="F105" i="84"/>
  <c r="D105" i="84"/>
  <c r="B105" i="84"/>
  <c r="F104" i="84"/>
  <c r="D104" i="84"/>
  <c r="B104" i="84"/>
  <c r="F103" i="84"/>
  <c r="D103" i="84"/>
  <c r="B103" i="84"/>
  <c r="F102" i="84"/>
  <c r="D102" i="84"/>
  <c r="B102" i="84"/>
  <c r="F101" i="84"/>
  <c r="D101" i="84"/>
  <c r="B101" i="84"/>
  <c r="F100" i="84"/>
  <c r="D100" i="84"/>
  <c r="B100" i="84"/>
  <c r="F99" i="84"/>
  <c r="D99" i="84"/>
  <c r="B99" i="84"/>
  <c r="F98" i="84"/>
  <c r="D98" i="84"/>
  <c r="B98" i="84"/>
  <c r="F97" i="84"/>
  <c r="D97" i="84"/>
  <c r="B97" i="84"/>
  <c r="F96" i="84"/>
  <c r="D96" i="84"/>
  <c r="B96" i="84"/>
  <c r="F95" i="84"/>
  <c r="D95" i="84"/>
  <c r="B95" i="84"/>
  <c r="F94" i="84"/>
  <c r="D94" i="84"/>
  <c r="B94" i="84"/>
  <c r="F93" i="84"/>
  <c r="D93" i="84"/>
  <c r="B93" i="84"/>
  <c r="F92" i="84"/>
  <c r="D92" i="84"/>
  <c r="B92" i="84"/>
  <c r="F91" i="84"/>
  <c r="D91" i="84"/>
  <c r="B91" i="84"/>
  <c r="F90" i="84"/>
  <c r="D90" i="84"/>
  <c r="B90" i="84"/>
  <c r="F89" i="84"/>
  <c r="D89" i="84"/>
  <c r="B89" i="84"/>
  <c r="F88" i="84"/>
  <c r="D88" i="84"/>
  <c r="B88" i="84"/>
  <c r="F87" i="84"/>
  <c r="D87" i="84"/>
  <c r="B87" i="84"/>
  <c r="F86" i="84"/>
  <c r="D86" i="84"/>
  <c r="B86" i="84"/>
  <c r="F85" i="84"/>
  <c r="D85" i="84"/>
  <c r="B85" i="84"/>
  <c r="F84" i="84"/>
  <c r="D84" i="84"/>
  <c r="B84" i="84"/>
  <c r="F83" i="84"/>
  <c r="D83" i="84"/>
  <c r="B83" i="84"/>
  <c r="F82" i="84"/>
  <c r="D82" i="84"/>
  <c r="B82" i="84"/>
  <c r="F81" i="84"/>
  <c r="D81" i="84"/>
  <c r="B81" i="84"/>
  <c r="F80" i="84"/>
  <c r="D80" i="84"/>
  <c r="B80" i="84"/>
  <c r="F79" i="84"/>
  <c r="D79" i="84"/>
  <c r="B79" i="84"/>
  <c r="F78" i="84"/>
  <c r="D78" i="84"/>
  <c r="B78" i="84"/>
  <c r="F77" i="84"/>
  <c r="D77" i="84"/>
  <c r="B77" i="84"/>
  <c r="F76" i="84"/>
  <c r="D76" i="84"/>
  <c r="B76" i="84"/>
  <c r="F75" i="84"/>
  <c r="D75" i="84"/>
  <c r="B75" i="84"/>
  <c r="F74" i="84"/>
  <c r="D74" i="84"/>
  <c r="B74" i="84"/>
  <c r="F73" i="84"/>
  <c r="D73" i="84"/>
  <c r="B73" i="84"/>
  <c r="F72" i="84"/>
  <c r="D72" i="84"/>
  <c r="B72" i="84"/>
  <c r="F71" i="84"/>
  <c r="D71" i="84"/>
  <c r="B71" i="84"/>
  <c r="F70" i="84"/>
  <c r="D70" i="84"/>
  <c r="B70" i="84"/>
  <c r="F69" i="84"/>
  <c r="D69" i="84"/>
  <c r="B69" i="84"/>
  <c r="F68" i="84"/>
  <c r="D68" i="84"/>
  <c r="B68" i="84"/>
  <c r="F67" i="84"/>
  <c r="D67" i="84"/>
  <c r="B67" i="84"/>
  <c r="F66" i="84"/>
  <c r="D66" i="84"/>
  <c r="B66" i="84"/>
  <c r="F65" i="84"/>
  <c r="D65" i="84"/>
  <c r="B65" i="84"/>
  <c r="F64" i="84"/>
  <c r="D64" i="84"/>
  <c r="B64" i="84"/>
  <c r="F63" i="84"/>
  <c r="D63" i="84"/>
  <c r="B63" i="84"/>
  <c r="F62" i="84"/>
  <c r="D62" i="84"/>
  <c r="B62" i="84"/>
  <c r="F61" i="84"/>
  <c r="D61" i="84"/>
  <c r="B61" i="84"/>
  <c r="F60" i="84"/>
  <c r="D60" i="84"/>
  <c r="B60" i="84"/>
  <c r="F59" i="84"/>
  <c r="D59" i="84"/>
  <c r="B59" i="84"/>
  <c r="F56" i="84"/>
  <c r="D56" i="84"/>
  <c r="B56" i="84"/>
  <c r="F55" i="84"/>
  <c r="D55" i="84"/>
  <c r="B55" i="84"/>
  <c r="F54" i="84"/>
  <c r="D54" i="84"/>
  <c r="B54" i="84"/>
  <c r="F53" i="84"/>
  <c r="D53" i="84"/>
  <c r="B53" i="84"/>
  <c r="F52" i="84"/>
  <c r="D52" i="84"/>
  <c r="B52" i="84"/>
  <c r="F51" i="84"/>
  <c r="D51" i="84"/>
  <c r="B51" i="84"/>
  <c r="F50" i="84"/>
  <c r="D50" i="84"/>
  <c r="B50" i="84"/>
  <c r="F49" i="84"/>
  <c r="D49" i="84"/>
  <c r="B49" i="84"/>
  <c r="F48" i="84"/>
  <c r="D48" i="84"/>
  <c r="B48" i="84"/>
  <c r="F47" i="84"/>
  <c r="D47" i="84"/>
  <c r="B47" i="84"/>
  <c r="F46" i="84"/>
  <c r="D46" i="84"/>
  <c r="B46" i="84"/>
  <c r="F45" i="84"/>
  <c r="D45" i="84"/>
  <c r="B45" i="84"/>
  <c r="F44" i="84"/>
  <c r="D44" i="84"/>
  <c r="B44" i="84"/>
  <c r="F43" i="84"/>
  <c r="D43" i="84"/>
  <c r="B43" i="84"/>
  <c r="F42" i="84"/>
  <c r="D42" i="84"/>
  <c r="B42" i="84"/>
  <c r="F41" i="84"/>
  <c r="D41" i="84"/>
  <c r="B41" i="84"/>
  <c r="F40" i="84"/>
  <c r="D40" i="84"/>
  <c r="B40" i="84"/>
  <c r="F39" i="84"/>
  <c r="D39" i="84"/>
  <c r="B39" i="84"/>
  <c r="F38" i="84"/>
  <c r="D38" i="84"/>
  <c r="B38" i="84"/>
  <c r="F37" i="84"/>
  <c r="D37" i="84"/>
  <c r="B37" i="84"/>
  <c r="F36" i="84"/>
  <c r="D36" i="84"/>
  <c r="B36" i="84"/>
  <c r="F35" i="84"/>
  <c r="D35" i="84"/>
  <c r="B35" i="84"/>
  <c r="F34" i="84"/>
  <c r="D34" i="84"/>
  <c r="B34" i="84"/>
  <c r="F33" i="84"/>
  <c r="D33" i="84"/>
  <c r="B33" i="84"/>
  <c r="F32" i="84"/>
  <c r="D32" i="84"/>
  <c r="B32" i="84"/>
  <c r="F31" i="84"/>
  <c r="D31" i="84"/>
  <c r="B31" i="84"/>
  <c r="F30" i="84"/>
  <c r="D30" i="84"/>
  <c r="B30" i="84"/>
  <c r="F29" i="84"/>
  <c r="D29" i="84"/>
  <c r="B29" i="84"/>
  <c r="F28" i="84"/>
  <c r="D28" i="84"/>
  <c r="B28" i="84"/>
  <c r="F27" i="84"/>
  <c r="D27" i="84"/>
  <c r="B27" i="84"/>
  <c r="F26" i="84"/>
  <c r="D26" i="84"/>
  <c r="B26" i="84"/>
  <c r="F25" i="84"/>
  <c r="D25" i="84"/>
  <c r="B25" i="84"/>
  <c r="F24" i="84"/>
  <c r="D24" i="84"/>
  <c r="B24" i="84"/>
  <c r="F23" i="84"/>
  <c r="D23" i="84"/>
  <c r="B23" i="84"/>
  <c r="F22" i="84"/>
  <c r="D22" i="84"/>
  <c r="B22" i="84"/>
  <c r="F21" i="84"/>
  <c r="D21" i="84"/>
  <c r="B21" i="84"/>
  <c r="F20" i="84"/>
  <c r="D20" i="84"/>
  <c r="B20" i="84"/>
  <c r="F19" i="84"/>
  <c r="D19" i="84"/>
  <c r="B19" i="84"/>
  <c r="F18" i="84"/>
  <c r="D18" i="84"/>
  <c r="B18" i="84"/>
  <c r="F17" i="84"/>
  <c r="D17" i="84"/>
  <c r="B17" i="84"/>
  <c r="F16" i="84"/>
  <c r="D16" i="84"/>
  <c r="B16" i="84"/>
  <c r="F15" i="84"/>
  <c r="D15" i="84"/>
  <c r="B15" i="84"/>
  <c r="F14" i="84"/>
  <c r="D14" i="84"/>
  <c r="B14" i="84"/>
  <c r="F13" i="84"/>
  <c r="D13" i="84"/>
  <c r="B13" i="84"/>
  <c r="F12" i="84"/>
  <c r="D12" i="84"/>
  <c r="B12" i="84"/>
  <c r="F11" i="84"/>
  <c r="D11" i="84"/>
  <c r="B11" i="84"/>
  <c r="F10" i="84"/>
  <c r="D10" i="84"/>
  <c r="B10" i="84"/>
  <c r="F105" i="83"/>
  <c r="D105" i="83"/>
  <c r="B105" i="83"/>
  <c r="F104" i="83"/>
  <c r="D104" i="83"/>
  <c r="B104" i="83"/>
  <c r="F103" i="83"/>
  <c r="D103" i="83"/>
  <c r="B103" i="83"/>
  <c r="F102" i="83"/>
  <c r="D102" i="83"/>
  <c r="B102" i="83"/>
  <c r="F101" i="83"/>
  <c r="D101" i="83"/>
  <c r="B101" i="83"/>
  <c r="F100" i="83"/>
  <c r="D100" i="83"/>
  <c r="B100" i="83"/>
  <c r="F99" i="83"/>
  <c r="D99" i="83"/>
  <c r="B99" i="83"/>
  <c r="F98" i="83"/>
  <c r="D98" i="83"/>
  <c r="B98" i="83"/>
  <c r="F97" i="83"/>
  <c r="D97" i="83"/>
  <c r="B97" i="83"/>
  <c r="F96" i="83"/>
  <c r="D96" i="83"/>
  <c r="B96" i="83"/>
  <c r="F95" i="83"/>
  <c r="D95" i="83"/>
  <c r="B95" i="83"/>
  <c r="F94" i="83"/>
  <c r="D94" i="83"/>
  <c r="B94" i="83"/>
  <c r="F93" i="83"/>
  <c r="D93" i="83"/>
  <c r="B93" i="83"/>
  <c r="F92" i="83"/>
  <c r="D92" i="83"/>
  <c r="B92" i="83"/>
  <c r="F91" i="83"/>
  <c r="D91" i="83"/>
  <c r="B91" i="83"/>
  <c r="F90" i="83"/>
  <c r="D90" i="83"/>
  <c r="B90" i="83"/>
  <c r="F89" i="83"/>
  <c r="D89" i="83"/>
  <c r="B89" i="83"/>
  <c r="F88" i="83"/>
  <c r="D88" i="83"/>
  <c r="B88" i="83"/>
  <c r="F87" i="83"/>
  <c r="D87" i="83"/>
  <c r="B87" i="83"/>
  <c r="F86" i="83"/>
  <c r="D86" i="83"/>
  <c r="B86" i="83"/>
  <c r="F85" i="83"/>
  <c r="D85" i="83"/>
  <c r="B85" i="83"/>
  <c r="F84" i="83"/>
  <c r="D84" i="83"/>
  <c r="B84" i="83"/>
  <c r="F83" i="83"/>
  <c r="D83" i="83"/>
  <c r="B83" i="83"/>
  <c r="F82" i="83"/>
  <c r="D82" i="83"/>
  <c r="B82" i="83"/>
  <c r="F81" i="83"/>
  <c r="D81" i="83"/>
  <c r="B81" i="83"/>
  <c r="F80" i="83"/>
  <c r="D80" i="83"/>
  <c r="B80" i="83"/>
  <c r="F79" i="83"/>
  <c r="D79" i="83"/>
  <c r="B79" i="83"/>
  <c r="F78" i="83"/>
  <c r="D78" i="83"/>
  <c r="B78" i="83"/>
  <c r="F77" i="83"/>
  <c r="D77" i="83"/>
  <c r="B77" i="83"/>
  <c r="F76" i="83"/>
  <c r="D76" i="83"/>
  <c r="B76" i="83"/>
  <c r="F75" i="83"/>
  <c r="D75" i="83"/>
  <c r="B75" i="83"/>
  <c r="F74" i="83"/>
  <c r="D74" i="83"/>
  <c r="B74" i="83"/>
  <c r="F73" i="83"/>
  <c r="D73" i="83"/>
  <c r="B73" i="83"/>
  <c r="F72" i="83"/>
  <c r="D72" i="83"/>
  <c r="B72" i="83"/>
  <c r="F71" i="83"/>
  <c r="D71" i="83"/>
  <c r="B71" i="83"/>
  <c r="F70" i="83"/>
  <c r="D70" i="83"/>
  <c r="B70" i="83"/>
  <c r="F69" i="83"/>
  <c r="D69" i="83"/>
  <c r="B69" i="83"/>
  <c r="F68" i="83"/>
  <c r="D68" i="83"/>
  <c r="B68" i="83"/>
  <c r="F67" i="83"/>
  <c r="D67" i="83"/>
  <c r="B67" i="83"/>
  <c r="F66" i="83"/>
  <c r="D66" i="83"/>
  <c r="B66" i="83"/>
  <c r="F65" i="83"/>
  <c r="D65" i="83"/>
  <c r="B65" i="83"/>
  <c r="F64" i="83"/>
  <c r="D64" i="83"/>
  <c r="B64" i="83"/>
  <c r="F63" i="83"/>
  <c r="D63" i="83"/>
  <c r="B63" i="83"/>
  <c r="F62" i="83"/>
  <c r="D62" i="83"/>
  <c r="B62" i="83"/>
  <c r="F61" i="83"/>
  <c r="D61" i="83"/>
  <c r="B61" i="83"/>
  <c r="F60" i="83"/>
  <c r="D60" i="83"/>
  <c r="B60" i="83"/>
  <c r="F59" i="83"/>
  <c r="D59" i="83"/>
  <c r="B59" i="83"/>
  <c r="F56" i="83"/>
  <c r="D56" i="83"/>
  <c r="B56" i="83"/>
  <c r="F55" i="83"/>
  <c r="D55" i="83"/>
  <c r="B55" i="83"/>
  <c r="F54" i="83"/>
  <c r="D54" i="83"/>
  <c r="B54" i="83"/>
  <c r="F53" i="83"/>
  <c r="D53" i="83"/>
  <c r="B53" i="83"/>
  <c r="F52" i="83"/>
  <c r="D52" i="83"/>
  <c r="B52" i="83"/>
  <c r="F51" i="83"/>
  <c r="D51" i="83"/>
  <c r="B51" i="83"/>
  <c r="F50" i="83"/>
  <c r="D50" i="83"/>
  <c r="B50" i="83"/>
  <c r="F49" i="83"/>
  <c r="D49" i="83"/>
  <c r="B49" i="83"/>
  <c r="F48" i="83"/>
  <c r="D48" i="83"/>
  <c r="B48" i="83"/>
  <c r="F47" i="83"/>
  <c r="D47" i="83"/>
  <c r="B47" i="83"/>
  <c r="F46" i="83"/>
  <c r="D46" i="83"/>
  <c r="B46" i="83"/>
  <c r="F45" i="83"/>
  <c r="D45" i="83"/>
  <c r="B45" i="83"/>
  <c r="F44" i="83"/>
  <c r="D44" i="83"/>
  <c r="B44" i="83"/>
  <c r="F43" i="83"/>
  <c r="D43" i="83"/>
  <c r="B43" i="83"/>
  <c r="F42" i="83"/>
  <c r="D42" i="83"/>
  <c r="B42" i="83"/>
  <c r="F41" i="83"/>
  <c r="D41" i="83"/>
  <c r="B41" i="83"/>
  <c r="F40" i="83"/>
  <c r="D40" i="83"/>
  <c r="B40" i="83"/>
  <c r="F39" i="83"/>
  <c r="D39" i="83"/>
  <c r="B39" i="83"/>
  <c r="F38" i="83"/>
  <c r="D38" i="83"/>
  <c r="B38" i="83"/>
  <c r="F37" i="83"/>
  <c r="D37" i="83"/>
  <c r="B37" i="83"/>
  <c r="F36" i="83"/>
  <c r="D36" i="83"/>
  <c r="B36" i="83"/>
  <c r="F35" i="83"/>
  <c r="D35" i="83"/>
  <c r="B35" i="83"/>
  <c r="F34" i="83"/>
  <c r="D34" i="83"/>
  <c r="B34" i="83"/>
  <c r="F33" i="83"/>
  <c r="D33" i="83"/>
  <c r="B33" i="83"/>
  <c r="F32" i="83"/>
  <c r="D32" i="83"/>
  <c r="B32" i="83"/>
  <c r="F31" i="83"/>
  <c r="D31" i="83"/>
  <c r="B31" i="83"/>
  <c r="F30" i="83"/>
  <c r="D30" i="83"/>
  <c r="B30" i="83"/>
  <c r="F29" i="83"/>
  <c r="D29" i="83"/>
  <c r="B29" i="83"/>
  <c r="F28" i="83"/>
  <c r="D28" i="83"/>
  <c r="B28" i="83"/>
  <c r="F27" i="83"/>
  <c r="D27" i="83"/>
  <c r="B27" i="83"/>
  <c r="F26" i="83"/>
  <c r="D26" i="83"/>
  <c r="B26" i="83"/>
  <c r="F25" i="83"/>
  <c r="D25" i="83"/>
  <c r="B25" i="83"/>
  <c r="F24" i="83"/>
  <c r="D24" i="83"/>
  <c r="B24" i="83"/>
  <c r="F23" i="83"/>
  <c r="D23" i="83"/>
  <c r="B23" i="83"/>
  <c r="F22" i="83"/>
  <c r="D22" i="83"/>
  <c r="B22" i="83"/>
  <c r="F21" i="83"/>
  <c r="D21" i="83"/>
  <c r="B21" i="83"/>
  <c r="F20" i="83"/>
  <c r="D20" i="83"/>
  <c r="B20" i="83"/>
  <c r="F19" i="83"/>
  <c r="D19" i="83"/>
  <c r="B19" i="83"/>
  <c r="F18" i="83"/>
  <c r="D18" i="83"/>
  <c r="B18" i="83"/>
  <c r="F17" i="83"/>
  <c r="D17" i="83"/>
  <c r="B17" i="83"/>
  <c r="F16" i="83"/>
  <c r="D16" i="83"/>
  <c r="B16" i="83"/>
  <c r="F15" i="83"/>
  <c r="D15" i="83"/>
  <c r="B15" i="83"/>
  <c r="F14" i="83"/>
  <c r="D14" i="83"/>
  <c r="B14" i="83"/>
  <c r="F13" i="83"/>
  <c r="D13" i="83"/>
  <c r="B13" i="83"/>
  <c r="F12" i="83"/>
  <c r="D12" i="83"/>
  <c r="B12" i="83"/>
  <c r="F11" i="83"/>
  <c r="D11" i="83"/>
  <c r="B11" i="83"/>
  <c r="F10" i="83"/>
  <c r="D10" i="83"/>
  <c r="B10" i="83"/>
  <c r="F105" i="82"/>
  <c r="D105" i="82"/>
  <c r="B105" i="82"/>
  <c r="F104" i="82"/>
  <c r="D104" i="82"/>
  <c r="B104" i="82"/>
  <c r="F103" i="82"/>
  <c r="D103" i="82"/>
  <c r="B103" i="82"/>
  <c r="F102" i="82"/>
  <c r="D102" i="82"/>
  <c r="B102" i="82"/>
  <c r="F101" i="82"/>
  <c r="D101" i="82"/>
  <c r="B101" i="82"/>
  <c r="F100" i="82"/>
  <c r="D100" i="82"/>
  <c r="B100" i="82"/>
  <c r="F99" i="82"/>
  <c r="D99" i="82"/>
  <c r="B99" i="82"/>
  <c r="F98" i="82"/>
  <c r="D98" i="82"/>
  <c r="B98" i="82"/>
  <c r="F97" i="82"/>
  <c r="D97" i="82"/>
  <c r="B97" i="82"/>
  <c r="F96" i="82"/>
  <c r="D96" i="82"/>
  <c r="B96" i="82"/>
  <c r="F95" i="82"/>
  <c r="D95" i="82"/>
  <c r="B95" i="82"/>
  <c r="F94" i="82"/>
  <c r="D94" i="82"/>
  <c r="B94" i="82"/>
  <c r="F93" i="82"/>
  <c r="D93" i="82"/>
  <c r="B93" i="82"/>
  <c r="F92" i="82"/>
  <c r="D92" i="82"/>
  <c r="B92" i="82"/>
  <c r="F91" i="82"/>
  <c r="D91" i="82"/>
  <c r="B91" i="82"/>
  <c r="F90" i="82"/>
  <c r="D90" i="82"/>
  <c r="B90" i="82"/>
  <c r="F89" i="82"/>
  <c r="D89" i="82"/>
  <c r="B89" i="82"/>
  <c r="F88" i="82"/>
  <c r="D88" i="82"/>
  <c r="B88" i="82"/>
  <c r="F87" i="82"/>
  <c r="D87" i="82"/>
  <c r="B87" i="82"/>
  <c r="F86" i="82"/>
  <c r="D86" i="82"/>
  <c r="B86" i="82"/>
  <c r="F85" i="82"/>
  <c r="D85" i="82"/>
  <c r="B85" i="82"/>
  <c r="F84" i="82"/>
  <c r="D84" i="82"/>
  <c r="B84" i="82"/>
  <c r="F83" i="82"/>
  <c r="D83" i="82"/>
  <c r="B83" i="82"/>
  <c r="F82" i="82"/>
  <c r="D82" i="82"/>
  <c r="B82" i="82"/>
  <c r="F81" i="82"/>
  <c r="D81" i="82"/>
  <c r="B81" i="82"/>
  <c r="F80" i="82"/>
  <c r="D80" i="82"/>
  <c r="B80" i="82"/>
  <c r="F79" i="82"/>
  <c r="D79" i="82"/>
  <c r="B79" i="82"/>
  <c r="F78" i="82"/>
  <c r="D78" i="82"/>
  <c r="B78" i="82"/>
  <c r="F77" i="82"/>
  <c r="D77" i="82"/>
  <c r="B77" i="82"/>
  <c r="F76" i="82"/>
  <c r="D76" i="82"/>
  <c r="B76" i="82"/>
  <c r="F75" i="82"/>
  <c r="D75" i="82"/>
  <c r="B75" i="82"/>
  <c r="F74" i="82"/>
  <c r="D74" i="82"/>
  <c r="B74" i="82"/>
  <c r="F73" i="82"/>
  <c r="D73" i="82"/>
  <c r="B73" i="82"/>
  <c r="F72" i="82"/>
  <c r="D72" i="82"/>
  <c r="B72" i="82"/>
  <c r="F71" i="82"/>
  <c r="D71" i="82"/>
  <c r="B71" i="82"/>
  <c r="F70" i="82"/>
  <c r="D70" i="82"/>
  <c r="B70" i="82"/>
  <c r="F69" i="82"/>
  <c r="D69" i="82"/>
  <c r="B69" i="82"/>
  <c r="F68" i="82"/>
  <c r="D68" i="82"/>
  <c r="B68" i="82"/>
  <c r="F67" i="82"/>
  <c r="D67" i="82"/>
  <c r="B67" i="82"/>
  <c r="F66" i="82"/>
  <c r="D66" i="82"/>
  <c r="B66" i="82"/>
  <c r="F65" i="82"/>
  <c r="D65" i="82"/>
  <c r="B65" i="82"/>
  <c r="F64" i="82"/>
  <c r="D64" i="82"/>
  <c r="B64" i="82"/>
  <c r="F63" i="82"/>
  <c r="D63" i="82"/>
  <c r="B63" i="82"/>
  <c r="F62" i="82"/>
  <c r="D62" i="82"/>
  <c r="B62" i="82"/>
  <c r="F61" i="82"/>
  <c r="D61" i="82"/>
  <c r="B61" i="82"/>
  <c r="F60" i="82"/>
  <c r="D60" i="82"/>
  <c r="B60" i="82"/>
  <c r="F59" i="82"/>
  <c r="D59" i="82"/>
  <c r="B59" i="82"/>
  <c r="F56" i="82"/>
  <c r="D56" i="82"/>
  <c r="B56" i="82"/>
  <c r="F55" i="82"/>
  <c r="D55" i="82"/>
  <c r="B55" i="82"/>
  <c r="F54" i="82"/>
  <c r="D54" i="82"/>
  <c r="B54" i="82"/>
  <c r="F53" i="82"/>
  <c r="D53" i="82"/>
  <c r="B53" i="82"/>
  <c r="F52" i="82"/>
  <c r="D52" i="82"/>
  <c r="B52" i="82"/>
  <c r="F51" i="82"/>
  <c r="D51" i="82"/>
  <c r="B51" i="82"/>
  <c r="F50" i="82"/>
  <c r="D50" i="82"/>
  <c r="B50" i="82"/>
  <c r="F49" i="82"/>
  <c r="D49" i="82"/>
  <c r="B49" i="82"/>
  <c r="F48" i="82"/>
  <c r="D48" i="82"/>
  <c r="B48" i="82"/>
  <c r="F47" i="82"/>
  <c r="D47" i="82"/>
  <c r="B47" i="82"/>
  <c r="F46" i="82"/>
  <c r="D46" i="82"/>
  <c r="B46" i="82"/>
  <c r="F45" i="82"/>
  <c r="D45" i="82"/>
  <c r="B45" i="82"/>
  <c r="F44" i="82"/>
  <c r="D44" i="82"/>
  <c r="B44" i="82"/>
  <c r="F43" i="82"/>
  <c r="D43" i="82"/>
  <c r="B43" i="82"/>
  <c r="F42" i="82"/>
  <c r="D42" i="82"/>
  <c r="B42" i="82"/>
  <c r="F41" i="82"/>
  <c r="D41" i="82"/>
  <c r="B41" i="82"/>
  <c r="F40" i="82"/>
  <c r="D40" i="82"/>
  <c r="B40" i="82"/>
  <c r="F39" i="82"/>
  <c r="D39" i="82"/>
  <c r="B39" i="82"/>
  <c r="F38" i="82"/>
  <c r="D38" i="82"/>
  <c r="B38" i="82"/>
  <c r="F37" i="82"/>
  <c r="D37" i="82"/>
  <c r="B37" i="82"/>
  <c r="F36" i="82"/>
  <c r="D36" i="82"/>
  <c r="B36" i="82"/>
  <c r="F35" i="82"/>
  <c r="D35" i="82"/>
  <c r="B35" i="82"/>
  <c r="F34" i="82"/>
  <c r="D34" i="82"/>
  <c r="B34" i="82"/>
  <c r="F33" i="82"/>
  <c r="D33" i="82"/>
  <c r="B33" i="82"/>
  <c r="F32" i="82"/>
  <c r="D32" i="82"/>
  <c r="B32" i="82"/>
  <c r="F31" i="82"/>
  <c r="D31" i="82"/>
  <c r="B31" i="82"/>
  <c r="F30" i="82"/>
  <c r="D30" i="82"/>
  <c r="B30" i="82"/>
  <c r="F29" i="82"/>
  <c r="D29" i="82"/>
  <c r="B29" i="82"/>
  <c r="F28" i="82"/>
  <c r="D28" i="82"/>
  <c r="B28" i="82"/>
  <c r="F27" i="82"/>
  <c r="D27" i="82"/>
  <c r="B27" i="82"/>
  <c r="F26" i="82"/>
  <c r="D26" i="82"/>
  <c r="B26" i="82"/>
  <c r="F25" i="82"/>
  <c r="D25" i="82"/>
  <c r="B25" i="82"/>
  <c r="F24" i="82"/>
  <c r="D24" i="82"/>
  <c r="B24" i="82"/>
  <c r="F23" i="82"/>
  <c r="D23" i="82"/>
  <c r="B23" i="82"/>
  <c r="F22" i="82"/>
  <c r="D22" i="82"/>
  <c r="B22" i="82"/>
  <c r="F21" i="82"/>
  <c r="D21" i="82"/>
  <c r="B21" i="82"/>
  <c r="F20" i="82"/>
  <c r="D20" i="82"/>
  <c r="B20" i="82"/>
  <c r="F19" i="82"/>
  <c r="D19" i="82"/>
  <c r="B19" i="82"/>
  <c r="F18" i="82"/>
  <c r="D18" i="82"/>
  <c r="B18" i="82"/>
  <c r="F17" i="82"/>
  <c r="D17" i="82"/>
  <c r="B17" i="82"/>
  <c r="F16" i="82"/>
  <c r="D16" i="82"/>
  <c r="B16" i="82"/>
  <c r="F15" i="82"/>
  <c r="D15" i="82"/>
  <c r="B15" i="82"/>
  <c r="F14" i="82"/>
  <c r="D14" i="82"/>
  <c r="B14" i="82"/>
  <c r="F13" i="82"/>
  <c r="D13" i="82"/>
  <c r="B13" i="82"/>
  <c r="F12" i="82"/>
  <c r="D12" i="82"/>
  <c r="B12" i="82"/>
  <c r="F11" i="82"/>
  <c r="D11" i="82"/>
  <c r="B11" i="82"/>
  <c r="F10" i="82"/>
  <c r="D10" i="82"/>
  <c r="B10" i="82"/>
  <c r="M59" i="105"/>
  <c r="M57" i="105" s="1"/>
  <c r="N59" i="105"/>
  <c r="N57" i="105" s="1"/>
  <c r="P59" i="105"/>
  <c r="P57" i="105" s="1"/>
  <c r="Q59" i="105"/>
  <c r="Q57" i="105" s="1"/>
  <c r="L61" i="105"/>
  <c r="L62" i="105" s="1"/>
  <c r="M61" i="105"/>
  <c r="N61" i="105"/>
  <c r="P61" i="105"/>
  <c r="Q61" i="105"/>
  <c r="M62" i="105"/>
  <c r="M60" i="105" s="1"/>
  <c r="M58" i="105" s="1"/>
  <c r="N62" i="105"/>
  <c r="N60" i="105" s="1"/>
  <c r="N58" i="105" s="1"/>
  <c r="Q62" i="105"/>
  <c r="Q60" i="105" s="1"/>
  <c r="Q58" i="105" s="1"/>
  <c r="K63" i="105"/>
  <c r="L63" i="105"/>
  <c r="L64" i="105" s="1"/>
  <c r="M63" i="105"/>
  <c r="O63" i="105"/>
  <c r="O64" i="105" s="1"/>
  <c r="O65" i="105" s="1"/>
  <c r="O66" i="105" s="1"/>
  <c r="O67" i="105" s="1"/>
  <c r="O68" i="105" s="1"/>
  <c r="P63" i="105"/>
  <c r="Q63" i="105"/>
  <c r="R64" i="105"/>
  <c r="R65" i="105" s="1"/>
  <c r="R66" i="105" s="1"/>
  <c r="R67" i="105" s="1"/>
  <c r="R68" i="105" s="1"/>
  <c r="L59" i="105" l="1"/>
  <c r="K59" i="105" s="1"/>
  <c r="K62" i="105"/>
  <c r="P62" i="105"/>
  <c r="P60" i="105" s="1"/>
  <c r="P58" i="105" s="1"/>
  <c r="K64" i="105"/>
  <c r="M64" i="105"/>
  <c r="N64" i="105" s="1"/>
  <c r="P64" i="105"/>
  <c r="Q64" i="105"/>
  <c r="L65" i="105"/>
  <c r="K61" i="105"/>
  <c r="P65" i="105" l="1"/>
  <c r="Q65" i="105"/>
  <c r="L66" i="105"/>
  <c r="M65" i="105"/>
  <c r="N65" i="105" s="1"/>
  <c r="K65" i="105"/>
  <c r="L67" i="105" l="1"/>
  <c r="Q66" i="105"/>
  <c r="K66" i="105"/>
  <c r="M66" i="105"/>
  <c r="N66" i="105" s="1"/>
  <c r="P66" i="105"/>
  <c r="K67" i="105" l="1"/>
  <c r="M67" i="105"/>
  <c r="N67" i="105" s="1"/>
  <c r="P67" i="105"/>
  <c r="Q67" i="105"/>
  <c r="L68" i="105"/>
  <c r="P68" i="105" l="1"/>
  <c r="Q68" i="105"/>
  <c r="M68" i="105"/>
  <c r="N68" i="105" s="1"/>
  <c r="K68" i="105"/>
  <c r="F56" i="114" l="1"/>
  <c r="D56" i="114"/>
  <c r="B56" i="114"/>
  <c r="F55" i="114"/>
  <c r="D55" i="114"/>
  <c r="B55" i="114"/>
  <c r="F54" i="114"/>
  <c r="D54" i="114"/>
  <c r="B54" i="114"/>
  <c r="F53" i="114"/>
  <c r="D53" i="114"/>
  <c r="B53" i="114"/>
  <c r="F52" i="114"/>
  <c r="D52" i="114"/>
  <c r="B52" i="114"/>
  <c r="F51" i="114"/>
  <c r="D51" i="114"/>
  <c r="B51" i="114"/>
  <c r="F50" i="114"/>
  <c r="D50" i="114"/>
  <c r="B50" i="114"/>
  <c r="F49" i="114"/>
  <c r="D49" i="114"/>
  <c r="B49" i="114"/>
  <c r="F48" i="114"/>
  <c r="D48" i="114"/>
  <c r="B48" i="114"/>
  <c r="F47" i="114"/>
  <c r="D47" i="114"/>
  <c r="B47" i="114"/>
  <c r="F46" i="114"/>
  <c r="D46" i="114"/>
  <c r="B46" i="114"/>
  <c r="F45" i="114"/>
  <c r="D45" i="114"/>
  <c r="B45" i="114"/>
  <c r="F44" i="114"/>
  <c r="D44" i="114"/>
  <c r="B44" i="114"/>
  <c r="F43" i="114"/>
  <c r="D43" i="114"/>
  <c r="B43" i="114"/>
  <c r="F42" i="114"/>
  <c r="D42" i="114"/>
  <c r="B42" i="114"/>
  <c r="F41" i="114"/>
  <c r="D41" i="114"/>
  <c r="B41" i="114"/>
  <c r="F40" i="114"/>
  <c r="D40" i="114"/>
  <c r="B40" i="114"/>
  <c r="F39" i="114"/>
  <c r="D39" i="114"/>
  <c r="B39" i="114"/>
  <c r="F38" i="114"/>
  <c r="D38" i="114"/>
  <c r="B38" i="114"/>
  <c r="F37" i="114"/>
  <c r="D37" i="114"/>
  <c r="B37" i="114"/>
  <c r="F36" i="114"/>
  <c r="D36" i="114"/>
  <c r="B36" i="114"/>
  <c r="F35" i="114"/>
  <c r="D35" i="114"/>
  <c r="B35" i="114"/>
  <c r="F34" i="114"/>
  <c r="D34" i="114"/>
  <c r="B34" i="114"/>
  <c r="F33" i="114"/>
  <c r="D33" i="114"/>
  <c r="B33" i="114"/>
  <c r="F32" i="114"/>
  <c r="D32" i="114"/>
  <c r="B32" i="114"/>
  <c r="F31" i="114"/>
  <c r="D31" i="114"/>
  <c r="B31" i="114"/>
  <c r="F30" i="114"/>
  <c r="D30" i="114"/>
  <c r="B30" i="114"/>
  <c r="F29" i="114"/>
  <c r="D29" i="114"/>
  <c r="B29" i="114"/>
  <c r="F28" i="114"/>
  <c r="D28" i="114"/>
  <c r="B28" i="114"/>
  <c r="F27" i="114"/>
  <c r="D27" i="114"/>
  <c r="B27" i="114"/>
  <c r="F26" i="114"/>
  <c r="D26" i="114"/>
  <c r="B26" i="114"/>
  <c r="F25" i="114"/>
  <c r="D25" i="114"/>
  <c r="B25" i="114"/>
  <c r="F24" i="114"/>
  <c r="D24" i="114"/>
  <c r="B24" i="114"/>
  <c r="F23" i="114"/>
  <c r="D23" i="114"/>
  <c r="B23" i="114"/>
  <c r="F22" i="114"/>
  <c r="D22" i="114"/>
  <c r="B22" i="114"/>
  <c r="F21" i="114"/>
  <c r="D21" i="114"/>
  <c r="B21" i="114"/>
  <c r="F20" i="114"/>
  <c r="D20" i="114"/>
  <c r="B20" i="114"/>
  <c r="F19" i="114"/>
  <c r="D19" i="114"/>
  <c r="B19" i="114"/>
  <c r="F18" i="114"/>
  <c r="D18" i="114"/>
  <c r="B18" i="114"/>
  <c r="F17" i="114"/>
  <c r="D17" i="114"/>
  <c r="B17" i="114"/>
  <c r="F16" i="114"/>
  <c r="D16" i="114"/>
  <c r="B16" i="114"/>
  <c r="F15" i="114"/>
  <c r="D15" i="114"/>
  <c r="B15" i="114"/>
  <c r="F14" i="114"/>
  <c r="D14" i="114"/>
  <c r="B14" i="114"/>
  <c r="F13" i="114"/>
  <c r="D13" i="114"/>
  <c r="B13" i="114"/>
  <c r="F12" i="114"/>
  <c r="D12" i="114"/>
  <c r="B12" i="114"/>
  <c r="F11" i="114"/>
  <c r="D11" i="114"/>
  <c r="B11" i="114"/>
  <c r="F10" i="114"/>
  <c r="D10" i="114"/>
  <c r="B10" i="114"/>
  <c r="Q46" i="105" l="1"/>
  <c r="O46" i="105"/>
  <c r="N46" i="105"/>
  <c r="M46" i="105"/>
  <c r="L46" i="105"/>
  <c r="K46" i="105"/>
  <c r="N29" i="105" l="1"/>
  <c r="L29" i="104" l="1"/>
  <c r="M29" i="104" s="1"/>
  <c r="M28" i="104" s="1"/>
  <c r="O29" i="104"/>
  <c r="O28" i="104" s="1"/>
  <c r="S29" i="104"/>
  <c r="S28" i="104" s="1"/>
  <c r="Q34" i="104"/>
  <c r="AI40" i="104"/>
  <c r="AJ40" i="104"/>
  <c r="AK40" i="104"/>
  <c r="AL40" i="104"/>
  <c r="AM40" i="104"/>
  <c r="AN40" i="104"/>
  <c r="AO40" i="104"/>
  <c r="AP40" i="104"/>
  <c r="N29" i="104" l="1"/>
  <c r="N28" i="104" s="1"/>
  <c r="Q29" i="104"/>
  <c r="Q28" i="104" s="1"/>
  <c r="L28" i="104"/>
  <c r="L30" i="104"/>
  <c r="K29" i="104"/>
  <c r="K28" i="104" s="1"/>
  <c r="R29" i="104"/>
  <c r="R28" i="104" s="1"/>
  <c r="M30" i="104"/>
  <c r="N30" i="104" s="1"/>
  <c r="P29" i="104"/>
  <c r="P28" i="104" s="1"/>
  <c r="M31" i="104"/>
  <c r="Q30" i="104"/>
  <c r="Q31" i="104" s="1"/>
  <c r="Q32" i="104" s="1"/>
  <c r="Q33" i="104" s="1"/>
  <c r="N31" i="104" l="1"/>
  <c r="M32" i="104"/>
  <c r="N32" i="104" l="1"/>
  <c r="M33" i="104"/>
  <c r="S46" i="104"/>
  <c r="O46" i="104"/>
  <c r="N46" i="104" s="1"/>
  <c r="L46" i="104"/>
  <c r="M46" i="104" l="1"/>
  <c r="R46" i="104"/>
  <c r="R47" i="104" s="1"/>
  <c r="N33" i="104"/>
  <c r="M34" i="104"/>
  <c r="N34" i="104" s="1"/>
  <c r="O47" i="104"/>
  <c r="DF121" i="105" l="1"/>
  <c r="DE121" i="105"/>
  <c r="DD121" i="105"/>
  <c r="DC121" i="105"/>
  <c r="DB121" i="105"/>
  <c r="DA121" i="105"/>
  <c r="CZ121" i="105"/>
  <c r="CY121" i="105"/>
  <c r="CX121" i="105"/>
  <c r="CW121" i="105"/>
  <c r="CV121" i="105"/>
  <c r="CU121" i="105"/>
  <c r="CT121" i="105"/>
  <c r="CS121" i="105"/>
  <c r="CR121" i="105"/>
  <c r="CQ121" i="105"/>
  <c r="CP121" i="105"/>
  <c r="CO121" i="105"/>
  <c r="CN121" i="105"/>
  <c r="CM121" i="105"/>
  <c r="CL121" i="105"/>
  <c r="CK121" i="105"/>
  <c r="CJ121" i="105"/>
  <c r="CI121" i="105"/>
  <c r="CH121" i="105"/>
  <c r="CG121" i="105"/>
  <c r="CF121" i="105"/>
  <c r="CE121" i="105"/>
  <c r="CD121" i="105"/>
  <c r="CC121" i="105"/>
  <c r="CB121" i="105"/>
  <c r="CA121" i="105"/>
  <c r="BZ121" i="105"/>
  <c r="BY121" i="105"/>
  <c r="BX121" i="105"/>
  <c r="BW121" i="105"/>
  <c r="BV121" i="105"/>
  <c r="BU121" i="105"/>
  <c r="BT121" i="105"/>
  <c r="BS121" i="105"/>
  <c r="BR121" i="105"/>
  <c r="BQ121" i="105"/>
  <c r="BP121" i="105"/>
  <c r="BO121" i="105"/>
  <c r="BN121" i="105"/>
  <c r="BM121" i="105"/>
  <c r="BL121" i="105"/>
  <c r="BK121" i="105"/>
  <c r="BJ121" i="105"/>
  <c r="DF107" i="105"/>
  <c r="DE107" i="105"/>
  <c r="DD107" i="105"/>
  <c r="DC107" i="105"/>
  <c r="DB107" i="105"/>
  <c r="DA107" i="105"/>
  <c r="CZ107" i="105"/>
  <c r="CY107" i="105"/>
  <c r="CX107" i="105"/>
  <c r="CW107" i="105"/>
  <c r="CV107" i="105"/>
  <c r="CU107" i="105"/>
  <c r="CT107" i="105"/>
  <c r="CS107" i="105"/>
  <c r="CR107" i="105"/>
  <c r="CQ107" i="105"/>
  <c r="CP107" i="105"/>
  <c r="CO107" i="105"/>
  <c r="CN107" i="105"/>
  <c r="CM107" i="105"/>
  <c r="CL107" i="105"/>
  <c r="CK107" i="105"/>
  <c r="CJ107" i="105"/>
  <c r="CI107" i="105"/>
  <c r="CH107" i="105"/>
  <c r="CG107" i="105"/>
  <c r="CF107" i="105"/>
  <c r="CE107" i="105"/>
  <c r="CD107" i="105"/>
  <c r="CC107" i="105"/>
  <c r="CB107" i="105"/>
  <c r="CA107" i="105"/>
  <c r="BZ107" i="105"/>
  <c r="BY107" i="105"/>
  <c r="BX107" i="105"/>
  <c r="BW107" i="105"/>
  <c r="BV107" i="105"/>
  <c r="BU107" i="105"/>
  <c r="BT107" i="105"/>
  <c r="BS107" i="105"/>
  <c r="BR107" i="105"/>
  <c r="BQ107" i="105"/>
  <c r="BP107" i="105"/>
  <c r="BO107" i="105"/>
  <c r="BN107" i="105"/>
  <c r="BM107" i="105"/>
  <c r="BL107" i="105"/>
  <c r="BK107" i="105"/>
  <c r="BJ107" i="105"/>
  <c r="R77" i="105"/>
  <c r="R78" i="105" s="1"/>
  <c r="R79" i="105" s="1"/>
  <c r="R80" i="105" s="1"/>
  <c r="R81" i="105" s="1"/>
  <c r="Q76" i="105"/>
  <c r="P76" i="105"/>
  <c r="O76" i="105"/>
  <c r="O77" i="105" s="1"/>
  <c r="O78" i="105" s="1"/>
  <c r="O79" i="105" s="1"/>
  <c r="O80" i="105" s="1"/>
  <c r="O81" i="105" s="1"/>
  <c r="M76" i="105"/>
  <c r="L76" i="105"/>
  <c r="K76" i="105"/>
  <c r="Q75" i="105"/>
  <c r="N75" i="105"/>
  <c r="M75" i="105"/>
  <c r="Q74" i="105"/>
  <c r="P74" i="105"/>
  <c r="N74" i="105"/>
  <c r="M74" i="105"/>
  <c r="L74" i="105"/>
  <c r="K74" i="105" s="1"/>
  <c r="Q73" i="105"/>
  <c r="P73" i="105"/>
  <c r="N73" i="105"/>
  <c r="M73" i="105"/>
  <c r="AU51" i="105"/>
  <c r="AT51" i="105"/>
  <c r="AS51" i="105"/>
  <c r="AR51" i="105"/>
  <c r="AQ51" i="105"/>
  <c r="AP51" i="105"/>
  <c r="AO51" i="105"/>
  <c r="AN51" i="105"/>
  <c r="AU50" i="105"/>
  <c r="AT50" i="105"/>
  <c r="AS50" i="105"/>
  <c r="AR50" i="105"/>
  <c r="AQ50" i="105"/>
  <c r="AP50" i="105"/>
  <c r="AO50" i="105"/>
  <c r="AN50" i="105"/>
  <c r="AU49" i="105"/>
  <c r="AT49" i="105"/>
  <c r="AS49" i="105"/>
  <c r="AR49" i="105"/>
  <c r="AQ49" i="105"/>
  <c r="AP49" i="105"/>
  <c r="AO49" i="105"/>
  <c r="AN49" i="105"/>
  <c r="AU48" i="105"/>
  <c r="AT48" i="105"/>
  <c r="AS48" i="105"/>
  <c r="AR48" i="105"/>
  <c r="AQ48" i="105"/>
  <c r="AP48" i="105"/>
  <c r="AO48" i="105"/>
  <c r="AN48" i="105"/>
  <c r="AU47" i="105"/>
  <c r="AT47" i="105"/>
  <c r="AS47" i="105"/>
  <c r="AR47" i="105"/>
  <c r="AQ47" i="105"/>
  <c r="AP47" i="105"/>
  <c r="AO47" i="105"/>
  <c r="AN47" i="105"/>
  <c r="AU45" i="105"/>
  <c r="AT45" i="105"/>
  <c r="AS45" i="105"/>
  <c r="AR45" i="105"/>
  <c r="AQ45" i="105"/>
  <c r="AP45" i="105"/>
  <c r="AO45" i="105"/>
  <c r="AN45" i="105"/>
  <c r="AU44" i="105"/>
  <c r="AT44" i="105"/>
  <c r="AS44" i="105"/>
  <c r="AR44" i="105"/>
  <c r="AQ44" i="105"/>
  <c r="AP44" i="105"/>
  <c r="AO44" i="105"/>
  <c r="AN44" i="105"/>
  <c r="AU43" i="105"/>
  <c r="AT43" i="105"/>
  <c r="AS43" i="105"/>
  <c r="AR43" i="105"/>
  <c r="AQ43" i="105"/>
  <c r="AP43" i="105"/>
  <c r="AO43" i="105"/>
  <c r="AN43" i="105"/>
  <c r="AU42" i="105"/>
  <c r="AT42" i="105"/>
  <c r="AS42" i="105"/>
  <c r="AR42" i="105"/>
  <c r="AQ42" i="105"/>
  <c r="AP42" i="105"/>
  <c r="AO42" i="105"/>
  <c r="AN42" i="105"/>
  <c r="AU41" i="105"/>
  <c r="AT41" i="105"/>
  <c r="AS41" i="105"/>
  <c r="AR41" i="105"/>
  <c r="AQ41" i="105"/>
  <c r="AP41" i="105"/>
  <c r="AO41" i="105"/>
  <c r="AN41" i="105"/>
  <c r="AU40" i="105"/>
  <c r="AT40" i="105"/>
  <c r="AS40" i="105"/>
  <c r="AR40" i="105"/>
  <c r="AQ40" i="105"/>
  <c r="AP40" i="105"/>
  <c r="AO40" i="105"/>
  <c r="AN40" i="105"/>
  <c r="AU39" i="105"/>
  <c r="AT39" i="105"/>
  <c r="AS39" i="105"/>
  <c r="AR39" i="105"/>
  <c r="AQ39" i="105"/>
  <c r="AP39" i="105"/>
  <c r="Q30" i="105"/>
  <c r="O30" i="105"/>
  <c r="O29" i="105" s="1"/>
  <c r="M30" i="105"/>
  <c r="M29" i="105" s="1"/>
  <c r="L30" i="105"/>
  <c r="L29" i="105" s="1"/>
  <c r="K30" i="105"/>
  <c r="K29" i="105" s="1"/>
  <c r="R28" i="105"/>
  <c r="R26" i="105" s="1"/>
  <c r="N28" i="105"/>
  <c r="M28" i="105"/>
  <c r="R27" i="105"/>
  <c r="Q27" i="105"/>
  <c r="N27" i="105"/>
  <c r="M27" i="105"/>
  <c r="L27" i="105"/>
  <c r="R25" i="105"/>
  <c r="Q25" i="105"/>
  <c r="N25" i="105"/>
  <c r="M25" i="105"/>
  <c r="J12" i="105"/>
  <c r="J11" i="105"/>
  <c r="C8" i="105"/>
  <c r="R60" i="104"/>
  <c r="R61" i="104" s="1"/>
  <c r="R62" i="104" s="1"/>
  <c r="R63" i="104" s="1"/>
  <c r="R64" i="104" s="1"/>
  <c r="R65" i="104" s="1"/>
  <c r="O60" i="104"/>
  <c r="O61" i="104" s="1"/>
  <c r="O62" i="104" s="1"/>
  <c r="O63" i="104" s="1"/>
  <c r="O64" i="104" s="1"/>
  <c r="O65" i="104" s="1"/>
  <c r="L60" i="104"/>
  <c r="M60" i="104" s="1"/>
  <c r="R58" i="104"/>
  <c r="R59" i="104" s="1"/>
  <c r="O58" i="104"/>
  <c r="O59" i="104" s="1"/>
  <c r="M58" i="104"/>
  <c r="M57" i="104" s="1"/>
  <c r="L58" i="104"/>
  <c r="Q58" i="104" s="1"/>
  <c r="Q57" i="104" s="1"/>
  <c r="Q46" i="104"/>
  <c r="M47" i="104"/>
  <c r="S44" i="104"/>
  <c r="S45" i="104" s="1"/>
  <c r="O44" i="104"/>
  <c r="O45" i="104" s="1"/>
  <c r="M44" i="104"/>
  <c r="L44" i="104"/>
  <c r="S26" i="104"/>
  <c r="S24" i="104" s="1"/>
  <c r="S22" i="104" s="1"/>
  <c r="O26" i="104"/>
  <c r="O27" i="104" s="1"/>
  <c r="O25" i="104" s="1"/>
  <c r="O23" i="104" s="1"/>
  <c r="M26" i="104"/>
  <c r="M24" i="104" s="1"/>
  <c r="M22" i="104" s="1"/>
  <c r="L26" i="104"/>
  <c r="K26" i="104" s="1"/>
  <c r="AP22" i="104"/>
  <c r="AO22" i="104"/>
  <c r="AN22" i="104"/>
  <c r="AM22" i="104"/>
  <c r="AL22" i="104"/>
  <c r="AK22" i="104"/>
  <c r="AJ22" i="104"/>
  <c r="AI22" i="104"/>
  <c r="J12" i="104"/>
  <c r="J11" i="104"/>
  <c r="D11" i="104"/>
  <c r="D10" i="104"/>
  <c r="C8" i="104"/>
  <c r="AH188" i="104" s="1"/>
  <c r="AR178" i="104" l="1"/>
  <c r="BD178" i="104"/>
  <c r="AI188" i="104"/>
  <c r="U178" i="104"/>
  <c r="AU188" i="104"/>
  <c r="I178" i="104"/>
  <c r="AO178" i="104"/>
  <c r="L188" i="104"/>
  <c r="AC178" i="104"/>
  <c r="BE178" i="104"/>
  <c r="X188" i="104"/>
  <c r="AS178" i="104"/>
  <c r="N178" i="104"/>
  <c r="AL188" i="104"/>
  <c r="K178" i="104"/>
  <c r="Z178" i="104"/>
  <c r="AX188" i="104"/>
  <c r="AD178" i="104"/>
  <c r="AL178" i="104"/>
  <c r="O188" i="104"/>
  <c r="AZ178" i="104"/>
  <c r="AX178" i="104"/>
  <c r="AA188" i="104"/>
  <c r="Q178" i="104"/>
  <c r="AB188" i="104"/>
  <c r="AQ188" i="104"/>
  <c r="AG178" i="104"/>
  <c r="AD188" i="104"/>
  <c r="BC188" i="104"/>
  <c r="BA178" i="104"/>
  <c r="AF188" i="104"/>
  <c r="I188" i="104"/>
  <c r="AI178" i="104"/>
  <c r="AN188" i="104"/>
  <c r="U188" i="104"/>
  <c r="R178" i="104"/>
  <c r="L178" i="104"/>
  <c r="J178" i="104"/>
  <c r="AP188" i="104"/>
  <c r="AJ188" i="104"/>
  <c r="AM188" i="104"/>
  <c r="AG188" i="104"/>
  <c r="X178" i="104"/>
  <c r="V178" i="104"/>
  <c r="AR188" i="104"/>
  <c r="AV188" i="104"/>
  <c r="AY188" i="104"/>
  <c r="AS188" i="104"/>
  <c r="BD165" i="104" a="1"/>
  <c r="BD165" i="104" s="1"/>
  <c r="AX165" i="104" a="1"/>
  <c r="AX165" i="104" s="1"/>
  <c r="AR165" i="104" a="1"/>
  <c r="AR165" i="104" s="1"/>
  <c r="AL165" i="104" a="1"/>
  <c r="AL165" i="104" s="1"/>
  <c r="AF165" i="104" a="1"/>
  <c r="AF165" i="104" s="1"/>
  <c r="Z165" i="104" a="1"/>
  <c r="Z165" i="104" s="1"/>
  <c r="T165" i="104" a="1"/>
  <c r="T165" i="104" s="1"/>
  <c r="N165" i="104" a="1"/>
  <c r="N165" i="104" s="1"/>
  <c r="H165" i="104" a="1"/>
  <c r="H165" i="104" s="1"/>
  <c r="BC165" i="104" a="1"/>
  <c r="BC165" i="104" s="1"/>
  <c r="AW165" i="104" a="1"/>
  <c r="AW165" i="104" s="1"/>
  <c r="AQ165" i="104" a="1"/>
  <c r="AQ165" i="104" s="1"/>
  <c r="AK165" i="104" a="1"/>
  <c r="AK165" i="104" s="1"/>
  <c r="AE165" i="104" a="1"/>
  <c r="AE165" i="104" s="1"/>
  <c r="Y165" i="104" a="1"/>
  <c r="Y165" i="104" s="1"/>
  <c r="S165" i="104" a="1"/>
  <c r="S165" i="104" s="1"/>
  <c r="M165" i="104" a="1"/>
  <c r="M165" i="104" s="1"/>
  <c r="BB165" i="104" a="1"/>
  <c r="BB165" i="104" s="1"/>
  <c r="AV165" i="104" a="1"/>
  <c r="AV165" i="104" s="1"/>
  <c r="AP165" i="104" a="1"/>
  <c r="AP165" i="104" s="1"/>
  <c r="AJ165" i="104" a="1"/>
  <c r="AJ165" i="104" s="1"/>
  <c r="AD165" i="104" a="1"/>
  <c r="AD165" i="104" s="1"/>
  <c r="X165" i="104" a="1"/>
  <c r="X165" i="104" s="1"/>
  <c r="R165" i="104" a="1"/>
  <c r="R165" i="104" s="1"/>
  <c r="L165" i="104" a="1"/>
  <c r="L165" i="104" s="1"/>
  <c r="BA165" i="104" a="1"/>
  <c r="BA165" i="104" s="1"/>
  <c r="AU165" i="104" a="1"/>
  <c r="AU165" i="104" s="1"/>
  <c r="AO165" i="104" a="1"/>
  <c r="AO165" i="104" s="1"/>
  <c r="AI165" i="104" a="1"/>
  <c r="AI165" i="104" s="1"/>
  <c r="AC165" i="104" a="1"/>
  <c r="AC165" i="104" s="1"/>
  <c r="W165" i="104" a="1"/>
  <c r="W165" i="104" s="1"/>
  <c r="Q165" i="104" a="1"/>
  <c r="Q165" i="104" s="1"/>
  <c r="K165" i="104" a="1"/>
  <c r="K165" i="104" s="1"/>
  <c r="BF165" i="104" a="1"/>
  <c r="BF165" i="104" s="1"/>
  <c r="AZ165" i="104" a="1"/>
  <c r="AZ165" i="104" s="1"/>
  <c r="AT165" i="104" a="1"/>
  <c r="AT165" i="104" s="1"/>
  <c r="AN165" i="104" a="1"/>
  <c r="AN165" i="104" s="1"/>
  <c r="AH165" i="104" a="1"/>
  <c r="AH165" i="104" s="1"/>
  <c r="AB165" i="104" a="1"/>
  <c r="AB165" i="104" s="1"/>
  <c r="V165" i="104" a="1"/>
  <c r="V165" i="104" s="1"/>
  <c r="P165" i="104" a="1"/>
  <c r="P165" i="104" s="1"/>
  <c r="J165" i="104" a="1"/>
  <c r="J165" i="104" s="1"/>
  <c r="BE165" i="104" a="1"/>
  <c r="BE165" i="104" s="1"/>
  <c r="AY165" i="104" a="1"/>
  <c r="AY165" i="104" s="1"/>
  <c r="AS165" i="104" a="1"/>
  <c r="AS165" i="104" s="1"/>
  <c r="AM165" i="104" a="1"/>
  <c r="AM165" i="104" s="1"/>
  <c r="AG165" i="104" a="1"/>
  <c r="AG165" i="104" s="1"/>
  <c r="AA165" i="104" a="1"/>
  <c r="AA165" i="104" s="1"/>
  <c r="U165" i="104" a="1"/>
  <c r="U165" i="104" s="1"/>
  <c r="O165" i="104" a="1"/>
  <c r="O165" i="104" s="1"/>
  <c r="I165" i="104" a="1"/>
  <c r="I165" i="104" s="1"/>
  <c r="AZ185" i="104"/>
  <c r="AN185" i="104"/>
  <c r="AB185" i="104"/>
  <c r="P185" i="104"/>
  <c r="AY185" i="104"/>
  <c r="AM185" i="104"/>
  <c r="AA185" i="104"/>
  <c r="O185" i="104"/>
  <c r="AW185" i="104"/>
  <c r="AK185" i="104"/>
  <c r="Y185" i="104"/>
  <c r="M185" i="104"/>
  <c r="BE185" i="104"/>
  <c r="AS185" i="104"/>
  <c r="AG185" i="104"/>
  <c r="U185" i="104"/>
  <c r="I185" i="104"/>
  <c r="BD185" i="104"/>
  <c r="AR185" i="104"/>
  <c r="AF185" i="104"/>
  <c r="T185" i="104"/>
  <c r="H185" i="104"/>
  <c r="BC185" i="104"/>
  <c r="AQ185" i="104"/>
  <c r="AE185" i="104"/>
  <c r="S185" i="104"/>
  <c r="BB185" i="104"/>
  <c r="AP185" i="104"/>
  <c r="AD185" i="104"/>
  <c r="R185" i="104"/>
  <c r="AO185" i="104"/>
  <c r="L185" i="104"/>
  <c r="AL185" i="104"/>
  <c r="K185" i="104"/>
  <c r="AJ185" i="104"/>
  <c r="J185" i="104"/>
  <c r="AI185" i="104"/>
  <c r="AH185" i="104"/>
  <c r="BG185" i="104" s="1" a="1"/>
  <c r="BG185" i="104" s="1"/>
  <c r="AC185" i="104"/>
  <c r="BF185" i="104"/>
  <c r="BL185" i="104" s="1"/>
  <c r="Z185" i="104"/>
  <c r="BA185" i="104"/>
  <c r="X185" i="104"/>
  <c r="AX185" i="104"/>
  <c r="W185" i="104"/>
  <c r="AV185" i="104"/>
  <c r="V185" i="104"/>
  <c r="AU185" i="104"/>
  <c r="Q185" i="104"/>
  <c r="AT185" i="104"/>
  <c r="N185" i="104"/>
  <c r="W178" i="104"/>
  <c r="AU178" i="104"/>
  <c r="BB178" i="104"/>
  <c r="AJ178" i="104"/>
  <c r="AH178" i="104"/>
  <c r="AZ188" i="104"/>
  <c r="M188" i="104"/>
  <c r="Q188" i="104"/>
  <c r="BE188" i="104"/>
  <c r="Q47" i="104"/>
  <c r="AZ181" i="104"/>
  <c r="AN181" i="104"/>
  <c r="AB181" i="104"/>
  <c r="P181" i="104"/>
  <c r="AY181" i="104"/>
  <c r="AM181" i="104"/>
  <c r="AA181" i="104"/>
  <c r="O181" i="104"/>
  <c r="AW181" i="104"/>
  <c r="AK181" i="104"/>
  <c r="Y181" i="104"/>
  <c r="M181" i="104"/>
  <c r="BE181" i="104"/>
  <c r="AS181" i="104"/>
  <c r="AG181" i="104"/>
  <c r="U181" i="104"/>
  <c r="BD181" i="104"/>
  <c r="AR181" i="104"/>
  <c r="AF181" i="104"/>
  <c r="T181" i="104"/>
  <c r="H181" i="104"/>
  <c r="BC181" i="104"/>
  <c r="AQ181" i="104"/>
  <c r="AE181" i="104"/>
  <c r="S181" i="104"/>
  <c r="BB181" i="104"/>
  <c r="AP181" i="104"/>
  <c r="AD181" i="104"/>
  <c r="R181" i="104"/>
  <c r="BF181" i="104"/>
  <c r="Z181" i="104"/>
  <c r="BA181" i="104"/>
  <c r="X181" i="104"/>
  <c r="AX181" i="104"/>
  <c r="W181" i="104"/>
  <c r="AV181" i="104"/>
  <c r="V181" i="104"/>
  <c r="AU181" i="104"/>
  <c r="Q181" i="104"/>
  <c r="AT181" i="104"/>
  <c r="N181" i="104"/>
  <c r="AO181" i="104"/>
  <c r="L181" i="104"/>
  <c r="AL181" i="104"/>
  <c r="K181" i="104"/>
  <c r="AJ181" i="104"/>
  <c r="J181" i="104"/>
  <c r="AI181" i="104"/>
  <c r="I181" i="104"/>
  <c r="AH181" i="104"/>
  <c r="AC181" i="104"/>
  <c r="AP178" i="104"/>
  <c r="O178" i="104"/>
  <c r="S178" i="104"/>
  <c r="AV178" i="104"/>
  <c r="AT178" i="104"/>
  <c r="BB188" i="104"/>
  <c r="Y188" i="104"/>
  <c r="AC188" i="104"/>
  <c r="J188" i="104"/>
  <c r="AA178" i="104"/>
  <c r="AE178" i="104"/>
  <c r="AM178" i="104"/>
  <c r="M178" i="104"/>
  <c r="BF178" i="104"/>
  <c r="H188" i="104"/>
  <c r="AK188" i="104"/>
  <c r="AO188" i="104"/>
  <c r="V188" i="104"/>
  <c r="AQ178" i="104"/>
  <c r="AY178" i="104"/>
  <c r="BC178" i="104"/>
  <c r="Y178" i="104"/>
  <c r="P188" i="104"/>
  <c r="BD188" i="104"/>
  <c r="AW188" i="104"/>
  <c r="BA188" i="104"/>
  <c r="N44" i="104"/>
  <c r="AU166" i="104"/>
  <c r="AI166" i="104"/>
  <c r="W166" i="104"/>
  <c r="K166" i="104"/>
  <c r="BF166" i="104"/>
  <c r="AT166" i="104"/>
  <c r="AH166" i="104"/>
  <c r="V166" i="104"/>
  <c r="J166" i="104"/>
  <c r="BE166" i="104"/>
  <c r="AS166" i="104"/>
  <c r="AG166" i="104"/>
  <c r="U166" i="104"/>
  <c r="I166" i="104"/>
  <c r="BD166" i="104"/>
  <c r="AR166" i="104"/>
  <c r="AF166" i="104"/>
  <c r="T166" i="104"/>
  <c r="H166" i="104"/>
  <c r="BC166" i="104"/>
  <c r="AQ166" i="104"/>
  <c r="AE166" i="104"/>
  <c r="S166" i="104"/>
  <c r="BB166" i="104"/>
  <c r="AP166" i="104"/>
  <c r="AD166" i="104"/>
  <c r="R166" i="104"/>
  <c r="BA166" i="104"/>
  <c r="AO166" i="104"/>
  <c r="AC166" i="104"/>
  <c r="Q166" i="104"/>
  <c r="AZ166" i="104"/>
  <c r="AN166" i="104"/>
  <c r="AB166" i="104"/>
  <c r="P166" i="104"/>
  <c r="AY166" i="104"/>
  <c r="AM166" i="104"/>
  <c r="AA166" i="104"/>
  <c r="O166" i="104"/>
  <c r="AX166" i="104"/>
  <c r="AL166" i="104"/>
  <c r="Z166" i="104"/>
  <c r="N166" i="104"/>
  <c r="AW166" i="104"/>
  <c r="AK166" i="104"/>
  <c r="Y166" i="104"/>
  <c r="M166" i="104"/>
  <c r="AV166" i="104"/>
  <c r="AJ166" i="104"/>
  <c r="X166" i="104"/>
  <c r="L166" i="104"/>
  <c r="AE177" i="104"/>
  <c r="BB177" i="104"/>
  <c r="AW177" i="104"/>
  <c r="AS177" i="104"/>
  <c r="AG182" i="104"/>
  <c r="AL182" i="104"/>
  <c r="BD182" i="104"/>
  <c r="AP182" i="104"/>
  <c r="AY179" i="104"/>
  <c r="S179" i="104"/>
  <c r="U179" i="104"/>
  <c r="AX179" i="104"/>
  <c r="L177" i="104"/>
  <c r="AO182" i="104"/>
  <c r="Q179" i="104"/>
  <c r="K182" i="104"/>
  <c r="BF179" i="104"/>
  <c r="BA182" i="104"/>
  <c r="R179" i="104"/>
  <c r="AT179" i="104"/>
  <c r="AF179" i="104"/>
  <c r="AJ177" i="104"/>
  <c r="T179" i="104"/>
  <c r="W179" i="104"/>
  <c r="AX177" i="104"/>
  <c r="R182" i="104"/>
  <c r="AH179" i="104"/>
  <c r="AL179" i="104"/>
  <c r="AZ177" i="104"/>
  <c r="S177" i="104"/>
  <c r="AL177" i="104"/>
  <c r="AH177" i="104"/>
  <c r="AA177" i="104"/>
  <c r="U182" i="104"/>
  <c r="Z182" i="104"/>
  <c r="AC182" i="104"/>
  <c r="P182" i="104"/>
  <c r="AM179" i="104"/>
  <c r="BB179" i="104"/>
  <c r="AK179" i="104"/>
  <c r="AG179" i="104"/>
  <c r="Q177" i="104"/>
  <c r="I182" i="104"/>
  <c r="BB182" i="104"/>
  <c r="AA179" i="104"/>
  <c r="AP179" i="104"/>
  <c r="K179" i="104"/>
  <c r="AW182" i="104"/>
  <c r="AD179" i="104"/>
  <c r="AW179" i="104"/>
  <c r="AN182" i="104"/>
  <c r="AJ179" i="104"/>
  <c r="AC179" i="104"/>
  <c r="W182" i="104"/>
  <c r="X179" i="104"/>
  <c r="J177" i="104"/>
  <c r="AI179" i="104"/>
  <c r="M179" i="104"/>
  <c r="BC179" i="104"/>
  <c r="V179" i="104"/>
  <c r="L179" i="104"/>
  <c r="AN177" i="104"/>
  <c r="Z177" i="104"/>
  <c r="W177" i="104"/>
  <c r="N182" i="104"/>
  <c r="H182" i="104"/>
  <c r="J179" i="104"/>
  <c r="AV179" i="104"/>
  <c r="AY182" i="104"/>
  <c r="AU179" i="104"/>
  <c r="AR182" i="104"/>
  <c r="AE179" i="104"/>
  <c r="AB177" i="104"/>
  <c r="K177" i="104"/>
  <c r="BA177" i="104"/>
  <c r="AV177" i="104"/>
  <c r="AP177" i="104"/>
  <c r="BC182" i="104"/>
  <c r="AB182" i="104"/>
  <c r="O179" i="104"/>
  <c r="Y182" i="104"/>
  <c r="AI182" i="104"/>
  <c r="AV182" i="104"/>
  <c r="AU182" i="104"/>
  <c r="X182" i="104"/>
  <c r="AQ179" i="104"/>
  <c r="P177" i="104"/>
  <c r="BF177" i="104"/>
  <c r="AK177" i="104"/>
  <c r="AG177" i="104"/>
  <c r="AQ182" i="104"/>
  <c r="AK182" i="104"/>
  <c r="BD179" i="104"/>
  <c r="AR179" i="104"/>
  <c r="AZ182" i="104"/>
  <c r="T182" i="104"/>
  <c r="AJ182" i="104"/>
  <c r="BA179" i="104"/>
  <c r="AB179" i="104"/>
  <c r="BD177" i="104"/>
  <c r="AO177" i="104"/>
  <c r="V177" i="104"/>
  <c r="O177" i="104"/>
  <c r="BF182" i="104"/>
  <c r="AE182" i="104"/>
  <c r="N179" i="104"/>
  <c r="AD177" i="104"/>
  <c r="AF182" i="104"/>
  <c r="H179" i="104"/>
  <c r="AT177" i="104"/>
  <c r="O182" i="104"/>
  <c r="AR177" i="104"/>
  <c r="Y177" i="104"/>
  <c r="AY177" i="104"/>
  <c r="AU177" i="104"/>
  <c r="AT182" i="104"/>
  <c r="S182" i="104"/>
  <c r="M182" i="104"/>
  <c r="BE179" i="104"/>
  <c r="AH182" i="104"/>
  <c r="AS179" i="104"/>
  <c r="AZ179" i="104"/>
  <c r="J182" i="104"/>
  <c r="AN179" i="104"/>
  <c r="Y179" i="104"/>
  <c r="Q182" i="104"/>
  <c r="AF177" i="104"/>
  <c r="Z179" i="104"/>
  <c r="AC177" i="104"/>
  <c r="T177" i="104"/>
  <c r="BE177" i="104"/>
  <c r="U177" i="104"/>
  <c r="N177" i="104"/>
  <c r="V182" i="104"/>
  <c r="AM182" i="104"/>
  <c r="I179" i="104"/>
  <c r="AO179" i="104"/>
  <c r="L182" i="104"/>
  <c r="H177" i="104"/>
  <c r="AM177" i="104"/>
  <c r="AA182" i="104"/>
  <c r="P179" i="104"/>
  <c r="BC177" i="104"/>
  <c r="X177" i="104"/>
  <c r="AI177" i="104"/>
  <c r="BE182" i="104"/>
  <c r="AQ177" i="104"/>
  <c r="I177" i="104"/>
  <c r="R177" i="104"/>
  <c r="M177" i="104"/>
  <c r="AS182" i="104"/>
  <c r="AX182" i="104"/>
  <c r="AD182" i="104"/>
  <c r="H178" i="104"/>
  <c r="P178" i="104"/>
  <c r="T178" i="104"/>
  <c r="AK178" i="104"/>
  <c r="R188" i="104"/>
  <c r="K188" i="104"/>
  <c r="N188" i="104"/>
  <c r="S188" i="104"/>
  <c r="AT188" i="104"/>
  <c r="AB178" i="104"/>
  <c r="AF178" i="104"/>
  <c r="AN178" i="104"/>
  <c r="AW178" i="104"/>
  <c r="T188" i="104"/>
  <c r="W188" i="104"/>
  <c r="Z188" i="104"/>
  <c r="AE188" i="104"/>
  <c r="BF188" i="104"/>
  <c r="DF112" i="105"/>
  <c r="CT112" i="105"/>
  <c r="CH112" i="105"/>
  <c r="BV112" i="105"/>
  <c r="BJ112" i="105"/>
  <c r="AX112" i="105"/>
  <c r="AL112" i="105"/>
  <c r="Z112" i="105"/>
  <c r="N112" i="105"/>
  <c r="AS112" i="105"/>
  <c r="AF112" i="105"/>
  <c r="CA112" i="105"/>
  <c r="BB112" i="105"/>
  <c r="AO112" i="105"/>
  <c r="BX112" i="105"/>
  <c r="AA112" i="105"/>
  <c r="DE112" i="105"/>
  <c r="CS112" i="105"/>
  <c r="CG112" i="105"/>
  <c r="BU112" i="105"/>
  <c r="BI112" i="105"/>
  <c r="AW112" i="105"/>
  <c r="AK112" i="105"/>
  <c r="Y112" i="105"/>
  <c r="M112" i="105"/>
  <c r="CO112" i="105"/>
  <c r="CB112" i="105"/>
  <c r="AQ112" i="105"/>
  <c r="R112" i="105"/>
  <c r="Q112" i="105"/>
  <c r="P112" i="105"/>
  <c r="AM112" i="105"/>
  <c r="DD112" i="105"/>
  <c r="CR112" i="105"/>
  <c r="CF112" i="105"/>
  <c r="BT112" i="105"/>
  <c r="BH112" i="105"/>
  <c r="AV112" i="105"/>
  <c r="AJ112" i="105"/>
  <c r="X112" i="105"/>
  <c r="L112" i="105"/>
  <c r="AG112" i="105"/>
  <c r="T112" i="105"/>
  <c r="BC112" i="105"/>
  <c r="BM112" i="105"/>
  <c r="AN112" i="105"/>
  <c r="AY112" i="105"/>
  <c r="DC112" i="105"/>
  <c r="CQ112" i="105"/>
  <c r="CE112" i="105"/>
  <c r="BS112" i="105"/>
  <c r="BG112" i="105"/>
  <c r="AU112" i="105"/>
  <c r="AI112" i="105"/>
  <c r="W112" i="105"/>
  <c r="BQ112" i="105"/>
  <c r="U112" i="105"/>
  <c r="BP112" i="105"/>
  <c r="CY112" i="105"/>
  <c r="S112" i="105"/>
  <c r="BY112" i="105"/>
  <c r="CI112" i="105"/>
  <c r="DB112" i="105"/>
  <c r="CP112" i="105"/>
  <c r="CD112" i="105"/>
  <c r="BR112" i="105"/>
  <c r="BF112" i="105"/>
  <c r="AT112" i="105"/>
  <c r="AH112" i="105"/>
  <c r="V112" i="105"/>
  <c r="BE112" i="105"/>
  <c r="BD112" i="105"/>
  <c r="CM112" i="105"/>
  <c r="AP112" i="105"/>
  <c r="CJ112" i="105"/>
  <c r="O112" i="105"/>
  <c r="DA112" i="105"/>
  <c r="CC112" i="105"/>
  <c r="AR112" i="105"/>
  <c r="BO112" i="105"/>
  <c r="AD112" i="105"/>
  <c r="BA112" i="105"/>
  <c r="BL112" i="105"/>
  <c r="BK112" i="105"/>
  <c r="CZ112" i="105"/>
  <c r="CN112" i="105"/>
  <c r="AE112" i="105"/>
  <c r="CK112" i="105"/>
  <c r="AB112" i="105"/>
  <c r="AZ112" i="105"/>
  <c r="CX112" i="105"/>
  <c r="CL112" i="105"/>
  <c r="BZ112" i="105"/>
  <c r="BN112" i="105"/>
  <c r="CV112" i="105"/>
  <c r="BW112" i="105"/>
  <c r="CW112" i="105"/>
  <c r="AC112" i="105"/>
  <c r="CU112" i="105"/>
  <c r="R126" i="105"/>
  <c r="AD126" i="105"/>
  <c r="AP126" i="105"/>
  <c r="BB126" i="105"/>
  <c r="BN126" i="105"/>
  <c r="BZ126" i="105"/>
  <c r="CL126" i="105"/>
  <c r="CX126" i="105"/>
  <c r="P128" i="105"/>
  <c r="AB128" i="105"/>
  <c r="AN128" i="105"/>
  <c r="AZ128" i="105"/>
  <c r="BL128" i="105"/>
  <c r="BX128" i="105"/>
  <c r="CJ128" i="105"/>
  <c r="CV128" i="105"/>
  <c r="L127" i="105"/>
  <c r="BY128" i="105"/>
  <c r="CW128" i="105"/>
  <c r="AT128" i="105"/>
  <c r="CD128" i="105"/>
  <c r="P126" i="105"/>
  <c r="CH128" i="105"/>
  <c r="S126" i="105"/>
  <c r="AE126" i="105"/>
  <c r="AQ126" i="105"/>
  <c r="BC126" i="105"/>
  <c r="BO126" i="105"/>
  <c r="CA126" i="105"/>
  <c r="CM126" i="105"/>
  <c r="CY126" i="105"/>
  <c r="Q128" i="105"/>
  <c r="AC128" i="105"/>
  <c r="AO128" i="105"/>
  <c r="BA128" i="105"/>
  <c r="BM128" i="105"/>
  <c r="CK128" i="105"/>
  <c r="L126" i="105"/>
  <c r="BI126" i="105"/>
  <c r="AI128" i="105"/>
  <c r="CE128" i="105"/>
  <c r="CF128" i="105"/>
  <c r="DE128" i="105"/>
  <c r="AZ126" i="105"/>
  <c r="T126" i="105"/>
  <c r="AF126" i="105"/>
  <c r="AR126" i="105"/>
  <c r="BD126" i="105"/>
  <c r="BP126" i="105"/>
  <c r="CB126" i="105"/>
  <c r="CN126" i="105"/>
  <c r="CZ126" i="105"/>
  <c r="R128" i="105"/>
  <c r="AD128" i="105"/>
  <c r="AP128" i="105"/>
  <c r="BB128" i="105"/>
  <c r="BN128" i="105"/>
  <c r="BZ128" i="105"/>
  <c r="CL128" i="105"/>
  <c r="CX128" i="105"/>
  <c r="W128" i="105"/>
  <c r="CQ128" i="105"/>
  <c r="BT128" i="105"/>
  <c r="CG128" i="105"/>
  <c r="Z128" i="105"/>
  <c r="U126" i="105"/>
  <c r="AG126" i="105"/>
  <c r="AS126" i="105"/>
  <c r="BE126" i="105"/>
  <c r="BQ126" i="105"/>
  <c r="CC126" i="105"/>
  <c r="CO126" i="105"/>
  <c r="DA126" i="105"/>
  <c r="S128" i="105"/>
  <c r="AE128" i="105"/>
  <c r="AQ128" i="105"/>
  <c r="BC128" i="105"/>
  <c r="BO128" i="105"/>
  <c r="CA128" i="105"/>
  <c r="CM128" i="105"/>
  <c r="CY128" i="105"/>
  <c r="AW126" i="105"/>
  <c r="DE126" i="105"/>
  <c r="BS128" i="105"/>
  <c r="X128" i="105"/>
  <c r="DD128" i="105"/>
  <c r="AB126" i="105"/>
  <c r="DF128" i="105"/>
  <c r="V126" i="105"/>
  <c r="AH126" i="105"/>
  <c r="AT126" i="105"/>
  <c r="BF126" i="105"/>
  <c r="BR126" i="105"/>
  <c r="CD126" i="105"/>
  <c r="CP126" i="105"/>
  <c r="DB126" i="105"/>
  <c r="T128" i="105"/>
  <c r="AF128" i="105"/>
  <c r="AR128" i="105"/>
  <c r="BD128" i="105"/>
  <c r="BP128" i="105"/>
  <c r="CB128" i="105"/>
  <c r="CN128" i="105"/>
  <c r="CZ128" i="105"/>
  <c r="BE128" i="105"/>
  <c r="CC128" i="105"/>
  <c r="DA128" i="105"/>
  <c r="BR128" i="105"/>
  <c r="DB128" i="105"/>
  <c r="CS126" i="105"/>
  <c r="DC128" i="105"/>
  <c r="AJ128" i="105"/>
  <c r="CV126" i="105"/>
  <c r="BV128" i="105"/>
  <c r="W126" i="105"/>
  <c r="AI126" i="105"/>
  <c r="AU126" i="105"/>
  <c r="BG126" i="105"/>
  <c r="BS126" i="105"/>
  <c r="CE126" i="105"/>
  <c r="CQ126" i="105"/>
  <c r="DC126" i="105"/>
  <c r="U128" i="105"/>
  <c r="AG128" i="105"/>
  <c r="AS128" i="105"/>
  <c r="BQ128" i="105"/>
  <c r="CO128" i="105"/>
  <c r="CH126" i="105"/>
  <c r="AV128" i="105"/>
  <c r="CJ126" i="105"/>
  <c r="AX128" i="105"/>
  <c r="X126" i="105"/>
  <c r="AJ126" i="105"/>
  <c r="AV126" i="105"/>
  <c r="BH126" i="105"/>
  <c r="BT126" i="105"/>
  <c r="CF126" i="105"/>
  <c r="CR126" i="105"/>
  <c r="DD126" i="105"/>
  <c r="V128" i="105"/>
  <c r="AH128" i="105"/>
  <c r="BF128" i="105"/>
  <c r="CP128" i="105"/>
  <c r="CG126" i="105"/>
  <c r="BG128" i="105"/>
  <c r="DF126" i="105"/>
  <c r="CR128" i="105"/>
  <c r="CS128" i="105"/>
  <c r="BL126" i="105"/>
  <c r="M126" i="105"/>
  <c r="Y126" i="105"/>
  <c r="AK126" i="105"/>
  <c r="BU126" i="105"/>
  <c r="AU128" i="105"/>
  <c r="BH128" i="105"/>
  <c r="BU128" i="105"/>
  <c r="BX126" i="105"/>
  <c r="N126" i="105"/>
  <c r="Z126" i="105"/>
  <c r="AL126" i="105"/>
  <c r="AX126" i="105"/>
  <c r="BJ126" i="105"/>
  <c r="BV126" i="105"/>
  <c r="CT126" i="105"/>
  <c r="AN126" i="105"/>
  <c r="CT128" i="105"/>
  <c r="O126" i="105"/>
  <c r="AA126" i="105"/>
  <c r="AM126" i="105"/>
  <c r="AY126" i="105"/>
  <c r="BK126" i="105"/>
  <c r="BW126" i="105"/>
  <c r="CI126" i="105"/>
  <c r="CU126" i="105"/>
  <c r="M128" i="105"/>
  <c r="Y128" i="105"/>
  <c r="AK128" i="105"/>
  <c r="AW128" i="105"/>
  <c r="BI128" i="105"/>
  <c r="AL128" i="105"/>
  <c r="Q126" i="105"/>
  <c r="AC126" i="105"/>
  <c r="AO126" i="105"/>
  <c r="BA126" i="105"/>
  <c r="BM126" i="105"/>
  <c r="BY126" i="105"/>
  <c r="CK126" i="105"/>
  <c r="CW126" i="105"/>
  <c r="O128" i="105"/>
  <c r="AA128" i="105"/>
  <c r="AM128" i="105"/>
  <c r="AY128" i="105"/>
  <c r="BK128" i="105"/>
  <c r="BW128" i="105"/>
  <c r="CI128" i="105"/>
  <c r="CU128" i="105"/>
  <c r="L128" i="105"/>
  <c r="N128" i="105"/>
  <c r="BJ128" i="105"/>
  <c r="N127" i="105"/>
  <c r="BN127" i="105"/>
  <c r="DC127" i="105"/>
  <c r="AL120" i="105"/>
  <c r="Z120" i="105"/>
  <c r="L120" i="105"/>
  <c r="BU127" i="105"/>
  <c r="AC125" i="105"/>
  <c r="AM125" i="105"/>
  <c r="CP127" i="105"/>
  <c r="AX125" i="105"/>
  <c r="CC127" i="105"/>
  <c r="AK125" i="105"/>
  <c r="Y117" i="105"/>
  <c r="CF125" i="105"/>
  <c r="AV117" i="105"/>
  <c r="CQ125" i="105"/>
  <c r="V117" i="105"/>
  <c r="BQ125" i="105"/>
  <c r="R120" i="105"/>
  <c r="AB127" i="105"/>
  <c r="AC120" i="105"/>
  <c r="AA127" i="105"/>
  <c r="AB120" i="105"/>
  <c r="CX125" i="105"/>
  <c r="P127" i="105"/>
  <c r="O127" i="105"/>
  <c r="CL125" i="105"/>
  <c r="AQ117" i="105"/>
  <c r="AQ120" i="105"/>
  <c r="BV127" i="105"/>
  <c r="BW127" i="105"/>
  <c r="DA125" i="105"/>
  <c r="O117" i="105"/>
  <c r="U120" i="105"/>
  <c r="AY127" i="105"/>
  <c r="CV125" i="105"/>
  <c r="AV127" i="105"/>
  <c r="AB117" i="105"/>
  <c r="Q117" i="105"/>
  <c r="AY120" i="105"/>
  <c r="BI127" i="105"/>
  <c r="Q125" i="105"/>
  <c r="AA125" i="105"/>
  <c r="CD127" i="105"/>
  <c r="AL125" i="105"/>
  <c r="BQ127" i="105"/>
  <c r="Y125" i="105"/>
  <c r="L125" i="105"/>
  <c r="BT125" i="105"/>
  <c r="AJ117" i="105"/>
  <c r="CE125" i="105"/>
  <c r="CW127" i="105"/>
  <c r="BE125" i="105"/>
  <c r="O119" i="105"/>
  <c r="Q120" i="105"/>
  <c r="BC117" i="105"/>
  <c r="BD125" i="105"/>
  <c r="AQ127" i="105"/>
  <c r="BJ127" i="105"/>
  <c r="AU117" i="105"/>
  <c r="CO125" i="105"/>
  <c r="S117" i="105"/>
  <c r="AB125" i="105"/>
  <c r="CD125" i="105"/>
  <c r="CR127" i="105"/>
  <c r="CL127" i="105"/>
  <c r="AM120" i="105"/>
  <c r="AW127" i="105"/>
  <c r="BS127" i="105"/>
  <c r="O125" i="105"/>
  <c r="BR127" i="105"/>
  <c r="Z125" i="105"/>
  <c r="BE127" i="105"/>
  <c r="M125" i="105"/>
  <c r="CZ127" i="105"/>
  <c r="BH125" i="105"/>
  <c r="X117" i="105"/>
  <c r="BS125" i="105"/>
  <c r="CK127" i="105"/>
  <c r="AS125" i="105"/>
  <c r="BE117" i="105"/>
  <c r="CZ125" i="105"/>
  <c r="BD117" i="105"/>
  <c r="CY125" i="105"/>
  <c r="BZ125" i="105"/>
  <c r="CU127" i="105"/>
  <c r="AS120" i="105"/>
  <c r="T125" i="105"/>
  <c r="BD120" i="105"/>
  <c r="BI125" i="105"/>
  <c r="P120" i="105"/>
  <c r="AO117" i="105"/>
  <c r="M120" i="105"/>
  <c r="AJ127" i="105"/>
  <c r="X127" i="105"/>
  <c r="AA120" i="105"/>
  <c r="AK127" i="105"/>
  <c r="BG127" i="105"/>
  <c r="Y120" i="105"/>
  <c r="BF127" i="105"/>
  <c r="N125" i="105"/>
  <c r="AS127" i="105"/>
  <c r="AW120" i="105"/>
  <c r="CN127" i="105"/>
  <c r="AV125" i="105"/>
  <c r="CY127" i="105"/>
  <c r="BG125" i="105"/>
  <c r="BY127" i="105"/>
  <c r="AG125" i="105"/>
  <c r="AS117" i="105"/>
  <c r="CN125" i="105"/>
  <c r="AR117" i="105"/>
  <c r="CM125" i="105"/>
  <c r="AE117" i="105"/>
  <c r="BN125" i="105"/>
  <c r="CH127" i="105"/>
  <c r="AF125" i="105"/>
  <c r="BL127" i="105"/>
  <c r="CE127" i="105"/>
  <c r="AP120" i="105"/>
  <c r="DB125" i="105"/>
  <c r="BH127" i="105"/>
  <c r="AI117" i="105"/>
  <c r="BR125" i="105"/>
  <c r="BF125" i="105"/>
  <c r="O120" i="105"/>
  <c r="Y127" i="105"/>
  <c r="AU127" i="105"/>
  <c r="AV120" i="105"/>
  <c r="AT127" i="105"/>
  <c r="M117" i="105"/>
  <c r="AG127" i="105"/>
  <c r="AU120" i="105"/>
  <c r="CB127" i="105"/>
  <c r="AJ125" i="105"/>
  <c r="CM127" i="105"/>
  <c r="AU125" i="105"/>
  <c r="BM127" i="105"/>
  <c r="U125" i="105"/>
  <c r="AG117" i="105"/>
  <c r="CB125" i="105"/>
  <c r="AF117" i="105"/>
  <c r="CA125" i="105"/>
  <c r="DF127" i="105"/>
  <c r="BB125" i="105"/>
  <c r="AC119" i="105"/>
  <c r="BP125" i="105"/>
  <c r="BO125" i="105"/>
  <c r="CT127" i="105"/>
  <c r="CV127" i="105"/>
  <c r="R125" i="105"/>
  <c r="AE125" i="105"/>
  <c r="BZ127" i="105"/>
  <c r="S127" i="105"/>
  <c r="AN125" i="105"/>
  <c r="CP125" i="105"/>
  <c r="AR120" i="105"/>
  <c r="AF120" i="105"/>
  <c r="CF127" i="105"/>
  <c r="BB117" i="105"/>
  <c r="M127" i="105"/>
  <c r="AI127" i="105"/>
  <c r="AJ120" i="105"/>
  <c r="AH127" i="105"/>
  <c r="AI120" i="105"/>
  <c r="U127" i="105"/>
  <c r="W120" i="105"/>
  <c r="BP127" i="105"/>
  <c r="X125" i="105"/>
  <c r="CA127" i="105"/>
  <c r="AI125" i="105"/>
  <c r="BA127" i="105"/>
  <c r="U117" i="105"/>
  <c r="T117" i="105"/>
  <c r="AP125" i="105"/>
  <c r="AD125" i="105"/>
  <c r="Q127" i="105"/>
  <c r="S125" i="105"/>
  <c r="BK125" i="105"/>
  <c r="DA127" i="105"/>
  <c r="BA120" i="105"/>
  <c r="BA117" i="105"/>
  <c r="V125" i="105"/>
  <c r="AC117" i="105"/>
  <c r="W117" i="105"/>
  <c r="R127" i="105"/>
  <c r="AP117" i="105"/>
  <c r="CW125" i="105"/>
  <c r="W127" i="105"/>
  <c r="X120" i="105"/>
  <c r="V127" i="105"/>
  <c r="AX117" i="105"/>
  <c r="DE125" i="105"/>
  <c r="BF120" i="105"/>
  <c r="BD127" i="105"/>
  <c r="AK120" i="105"/>
  <c r="BO127" i="105"/>
  <c r="W125" i="105"/>
  <c r="AO127" i="105"/>
  <c r="BC125" i="105"/>
  <c r="BX127" i="105"/>
  <c r="BF117" i="105"/>
  <c r="CS127" i="105"/>
  <c r="AT117" i="105"/>
  <c r="Z127" i="105"/>
  <c r="P117" i="105"/>
  <c r="AN117" i="105"/>
  <c r="CX127" i="105"/>
  <c r="CQ127" i="105"/>
  <c r="AZ125" i="105"/>
  <c r="AD117" i="105"/>
  <c r="CK125" i="105"/>
  <c r="CU125" i="105"/>
  <c r="AY117" i="105"/>
  <c r="DF125" i="105"/>
  <c r="AL117" i="105"/>
  <c r="CS125" i="105"/>
  <c r="AT120" i="105"/>
  <c r="AR127" i="105"/>
  <c r="BE120" i="105"/>
  <c r="BC127" i="105"/>
  <c r="BC120" i="105"/>
  <c r="AC127" i="105"/>
  <c r="S120" i="105"/>
  <c r="CJ127" i="105"/>
  <c r="AR125" i="105"/>
  <c r="CI127" i="105"/>
  <c r="AQ125" i="105"/>
  <c r="L117" i="105"/>
  <c r="BB120" i="105"/>
  <c r="CJ125" i="105"/>
  <c r="AZ127" i="105"/>
  <c r="AH125" i="105"/>
  <c r="DD127" i="105"/>
  <c r="AP127" i="105"/>
  <c r="AD127" i="105"/>
  <c r="T120" i="105"/>
  <c r="R117" i="105"/>
  <c r="BY125" i="105"/>
  <c r="CI125" i="105"/>
  <c r="AM117" i="105"/>
  <c r="CT125" i="105"/>
  <c r="Z117" i="105"/>
  <c r="CG125" i="105"/>
  <c r="AH120" i="105"/>
  <c r="AF127" i="105"/>
  <c r="AE120" i="105"/>
  <c r="AX127" i="105"/>
  <c r="BA125" i="105"/>
  <c r="AW117" i="105"/>
  <c r="AL127" i="105"/>
  <c r="AZ117" i="105"/>
  <c r="BB127" i="105"/>
  <c r="BX125" i="105"/>
  <c r="BL125" i="105"/>
  <c r="N120" i="105"/>
  <c r="DE127" i="105"/>
  <c r="BM125" i="105"/>
  <c r="BW125" i="105"/>
  <c r="AA117" i="105"/>
  <c r="CH125" i="105"/>
  <c r="N117" i="105"/>
  <c r="BU125" i="105"/>
  <c r="V120" i="105"/>
  <c r="T127" i="105"/>
  <c r="AG120" i="105"/>
  <c r="AE127" i="105"/>
  <c r="BK127" i="105"/>
  <c r="BV125" i="105"/>
  <c r="DD125" i="105"/>
  <c r="AZ120" i="105"/>
  <c r="BT127" i="105"/>
  <c r="P125" i="105"/>
  <c r="AX120" i="105"/>
  <c r="AT125" i="105"/>
  <c r="CG127" i="105"/>
  <c r="AO125" i="105"/>
  <c r="AY125" i="105"/>
  <c r="DB127" i="105"/>
  <c r="BJ125" i="105"/>
  <c r="CO127" i="105"/>
  <c r="AW125" i="105"/>
  <c r="AK117" i="105"/>
  <c r="CR125" i="105"/>
  <c r="AD119" i="105"/>
  <c r="DC125" i="105"/>
  <c r="AH117" i="105"/>
  <c r="CC125" i="105"/>
  <c r="AD120" i="105"/>
  <c r="AN127" i="105"/>
  <c r="AO120" i="105"/>
  <c r="AM127" i="105"/>
  <c r="AN120" i="105"/>
  <c r="Y119" i="105"/>
  <c r="X119" i="105"/>
  <c r="N119" i="105"/>
  <c r="P119" i="105"/>
  <c r="BF119" i="105"/>
  <c r="AK119" i="105"/>
  <c r="BC119" i="105"/>
  <c r="R119" i="105"/>
  <c r="AF119" i="105"/>
  <c r="AA119" i="105"/>
  <c r="AW119" i="105"/>
  <c r="AQ119" i="105"/>
  <c r="BE119" i="105"/>
  <c r="AX119" i="105"/>
  <c r="AZ119" i="105"/>
  <c r="M119" i="105"/>
  <c r="AB119" i="105"/>
  <c r="AP119" i="105"/>
  <c r="S119" i="105"/>
  <c r="AG119" i="105"/>
  <c r="AN119" i="105"/>
  <c r="BA119" i="105"/>
  <c r="Q119" i="105"/>
  <c r="U119" i="105"/>
  <c r="BB119" i="105"/>
  <c r="T119" i="105"/>
  <c r="Z119" i="105"/>
  <c r="AJ119" i="105"/>
  <c r="AY119" i="105"/>
  <c r="AE119" i="105"/>
  <c r="L119" i="105"/>
  <c r="V119" i="105"/>
  <c r="BD119" i="105"/>
  <c r="AU119" i="105"/>
  <c r="AT119" i="105"/>
  <c r="AR119" i="105"/>
  <c r="AL119" i="105"/>
  <c r="AO119" i="105"/>
  <c r="AS119" i="105"/>
  <c r="AV119" i="105"/>
  <c r="AH119" i="105"/>
  <c r="AI119" i="105"/>
  <c r="AM119" i="105"/>
  <c r="W119" i="105"/>
  <c r="V118" i="105"/>
  <c r="AV118" i="105"/>
  <c r="AB118" i="105"/>
  <c r="AD118" i="105"/>
  <c r="Z118" i="105"/>
  <c r="AN118" i="105"/>
  <c r="AP118" i="105"/>
  <c r="AT118" i="105"/>
  <c r="AZ118" i="105"/>
  <c r="BF118" i="105"/>
  <c r="BD118" i="105"/>
  <c r="AW118" i="105"/>
  <c r="O118" i="105"/>
  <c r="AU118" i="105"/>
  <c r="BA118" i="105"/>
  <c r="AJ118" i="105"/>
  <c r="AH118" i="105"/>
  <c r="BB118" i="105"/>
  <c r="Y118" i="105"/>
  <c r="AL118" i="105"/>
  <c r="AK118" i="105"/>
  <c r="W118" i="105"/>
  <c r="AI118" i="105"/>
  <c r="AC118" i="105"/>
  <c r="AA118" i="105"/>
  <c r="AM118" i="105"/>
  <c r="N118" i="105"/>
  <c r="BC118" i="105"/>
  <c r="P118" i="105"/>
  <c r="T118" i="105"/>
  <c r="AQ118" i="105"/>
  <c r="S118" i="105"/>
  <c r="Q118" i="105"/>
  <c r="L118" i="105"/>
  <c r="AY118" i="105"/>
  <c r="AR118" i="105"/>
  <c r="R118" i="105"/>
  <c r="M118" i="105"/>
  <c r="U118" i="105"/>
  <c r="AG118" i="105"/>
  <c r="AS118" i="105"/>
  <c r="BE118" i="105"/>
  <c r="X118" i="105"/>
  <c r="AF118" i="105"/>
  <c r="AO118" i="105"/>
  <c r="AX118" i="105"/>
  <c r="AE118" i="105"/>
  <c r="I146" i="104"/>
  <c r="BD146" i="104"/>
  <c r="K146" i="104"/>
  <c r="AR146" i="104"/>
  <c r="AO146" i="104"/>
  <c r="W146" i="104"/>
  <c r="AP146" i="104"/>
  <c r="AX146" i="104"/>
  <c r="BC146" i="104"/>
  <c r="P146" i="104"/>
  <c r="AT146" i="104"/>
  <c r="AC146" i="104"/>
  <c r="AD146" i="104"/>
  <c r="AL146" i="104"/>
  <c r="Q146" i="104"/>
  <c r="AB146" i="104"/>
  <c r="U146" i="104"/>
  <c r="J146" i="104"/>
  <c r="L146" i="104"/>
  <c r="BF146" i="104"/>
  <c r="AV146" i="104"/>
  <c r="M146" i="104"/>
  <c r="BB146" i="104"/>
  <c r="Z146" i="104"/>
  <c r="AG146" i="104"/>
  <c r="V146" i="104"/>
  <c r="AI146" i="104"/>
  <c r="H146" i="104"/>
  <c r="AF146" i="104"/>
  <c r="AY146" i="104"/>
  <c r="N146" i="104"/>
  <c r="AE146" i="104"/>
  <c r="AS146" i="104"/>
  <c r="AH146" i="104"/>
  <c r="AU146" i="104"/>
  <c r="AJ146" i="104"/>
  <c r="AW146" i="104"/>
  <c r="AA146" i="104"/>
  <c r="AQ146" i="104"/>
  <c r="AN146" i="104"/>
  <c r="BA146" i="104"/>
  <c r="S146" i="104"/>
  <c r="BE146" i="104"/>
  <c r="O146" i="104"/>
  <c r="T146" i="104"/>
  <c r="X146" i="104"/>
  <c r="Y146" i="104"/>
  <c r="AK146" i="104"/>
  <c r="AM146" i="104"/>
  <c r="R146" i="104"/>
  <c r="AZ146" i="104"/>
  <c r="Q29" i="105"/>
  <c r="P30" i="105"/>
  <c r="P29" i="105" s="1"/>
  <c r="M108" i="105"/>
  <c r="Y108" i="105"/>
  <c r="AK108" i="105"/>
  <c r="AW108" i="105"/>
  <c r="BI108" i="105"/>
  <c r="BU108" i="105"/>
  <c r="CG108" i="105"/>
  <c r="CS108" i="105"/>
  <c r="DE108" i="105"/>
  <c r="Z108" i="105"/>
  <c r="AX108" i="105"/>
  <c r="BJ108" i="105"/>
  <c r="CH108" i="105"/>
  <c r="DF108" i="105"/>
  <c r="AM108" i="105"/>
  <c r="BK108" i="105"/>
  <c r="CI108" i="105"/>
  <c r="CU108" i="105"/>
  <c r="CV108" i="105"/>
  <c r="CK108" i="105"/>
  <c r="BO108" i="105"/>
  <c r="AR108" i="105"/>
  <c r="AG108" i="105"/>
  <c r="BR108" i="105"/>
  <c r="BS108" i="105"/>
  <c r="N108" i="105"/>
  <c r="AL108" i="105"/>
  <c r="BV108" i="105"/>
  <c r="CT108" i="105"/>
  <c r="BW108" i="105"/>
  <c r="L108" i="105"/>
  <c r="BY108" i="105"/>
  <c r="CY108" i="105"/>
  <c r="CZ108" i="105"/>
  <c r="AT108" i="105"/>
  <c r="AI108" i="105"/>
  <c r="O108" i="105"/>
  <c r="AA108" i="105"/>
  <c r="AY108" i="105"/>
  <c r="BM108" i="105"/>
  <c r="CA108" i="105"/>
  <c r="CN108" i="105"/>
  <c r="CC108" i="105"/>
  <c r="DB108" i="105"/>
  <c r="CF108" i="105"/>
  <c r="P108" i="105"/>
  <c r="AB108" i="105"/>
  <c r="AN108" i="105"/>
  <c r="AZ108" i="105"/>
  <c r="BL108" i="105"/>
  <c r="BX108" i="105"/>
  <c r="CJ108" i="105"/>
  <c r="BC108" i="105"/>
  <c r="CM108" i="105"/>
  <c r="BP108" i="105"/>
  <c r="CO108" i="105"/>
  <c r="CE108" i="105"/>
  <c r="Q108" i="105"/>
  <c r="AC108" i="105"/>
  <c r="AO108" i="105"/>
  <c r="BA108" i="105"/>
  <c r="CW108" i="105"/>
  <c r="AF108" i="105"/>
  <c r="AS108" i="105"/>
  <c r="DA108" i="105"/>
  <c r="CD108" i="105"/>
  <c r="AU108" i="105"/>
  <c r="DC108" i="105"/>
  <c r="R108" i="105"/>
  <c r="AD108" i="105"/>
  <c r="AP108" i="105"/>
  <c r="BB108" i="105"/>
  <c r="BN108" i="105"/>
  <c r="BZ108" i="105"/>
  <c r="CL108" i="105"/>
  <c r="CX108" i="105"/>
  <c r="AE108" i="105"/>
  <c r="BD108" i="105"/>
  <c r="BE108" i="105"/>
  <c r="BF108" i="105"/>
  <c r="BG108" i="105"/>
  <c r="DD108" i="105"/>
  <c r="S108" i="105"/>
  <c r="AQ108" i="105"/>
  <c r="CB108" i="105"/>
  <c r="BQ108" i="105"/>
  <c r="W108" i="105"/>
  <c r="T108" i="105"/>
  <c r="CR108" i="105"/>
  <c r="U108" i="105"/>
  <c r="CQ108" i="105"/>
  <c r="V108" i="105"/>
  <c r="AH108" i="105"/>
  <c r="CP108" i="105"/>
  <c r="X108" i="105"/>
  <c r="AJ108" i="105"/>
  <c r="AV108" i="105"/>
  <c r="BH108" i="105"/>
  <c r="BT108" i="105"/>
  <c r="M113" i="105"/>
  <c r="AL113" i="105"/>
  <c r="BK113" i="105"/>
  <c r="CV113" i="105"/>
  <c r="AD113" i="105"/>
  <c r="BO113" i="105"/>
  <c r="CZ113" i="105"/>
  <c r="AH113" i="105"/>
  <c r="CF113" i="105"/>
  <c r="AJ114" i="105"/>
  <c r="BI114" i="105"/>
  <c r="CH114" i="105"/>
  <c r="CO114" i="105"/>
  <c r="AO114" i="105"/>
  <c r="BZ114" i="105"/>
  <c r="T114" i="105"/>
  <c r="AT114" i="105"/>
  <c r="CO115" i="105"/>
  <c r="CM115" i="105"/>
  <c r="AV115" i="105"/>
  <c r="BU115" i="105"/>
  <c r="DF115" i="105"/>
  <c r="AZ115" i="105"/>
  <c r="CK115" i="105"/>
  <c r="T115" i="105"/>
  <c r="BC116" i="105"/>
  <c r="CN116" i="105"/>
  <c r="AH116" i="105"/>
  <c r="CE116" i="105"/>
  <c r="Q116" i="105"/>
  <c r="Z116" i="105"/>
  <c r="AY116" i="105"/>
  <c r="CJ116" i="105"/>
  <c r="BN118" i="105"/>
  <c r="CM118" i="105"/>
  <c r="CC118" i="105"/>
  <c r="BR118" i="105"/>
  <c r="DC118" i="105"/>
  <c r="BJ118" i="105"/>
  <c r="CJ118" i="105"/>
  <c r="CF116" i="105"/>
  <c r="CB118" i="105"/>
  <c r="CE118" i="105"/>
  <c r="X114" i="105"/>
  <c r="BE114" i="105"/>
  <c r="AE115" i="105"/>
  <c r="CZ118" i="105"/>
  <c r="Y113" i="105"/>
  <c r="AX113" i="105"/>
  <c r="BW113" i="105"/>
  <c r="W113" i="105"/>
  <c r="AP113" i="105"/>
  <c r="CA113" i="105"/>
  <c r="AU113" i="105"/>
  <c r="AT113" i="105"/>
  <c r="CR113" i="105"/>
  <c r="AV114" i="105"/>
  <c r="BU114" i="105"/>
  <c r="CT114" i="105"/>
  <c r="P114" i="105"/>
  <c r="BA114" i="105"/>
  <c r="CL114" i="105"/>
  <c r="AF114" i="105"/>
  <c r="BF114" i="105"/>
  <c r="DA115" i="105"/>
  <c r="W115" i="105"/>
  <c r="BH115" i="105"/>
  <c r="CG115" i="105"/>
  <c r="O115" i="105"/>
  <c r="BL115" i="105"/>
  <c r="CW115" i="105"/>
  <c r="AF115" i="105"/>
  <c r="BO116" i="105"/>
  <c r="CZ116" i="105"/>
  <c r="AT116" i="105"/>
  <c r="CQ116" i="105"/>
  <c r="M116" i="105"/>
  <c r="AL116" i="105"/>
  <c r="BK116" i="105"/>
  <c r="CV116" i="105"/>
  <c r="BZ118" i="105"/>
  <c r="CY118" i="105"/>
  <c r="CD118" i="105"/>
  <c r="BV118" i="105"/>
  <c r="CV118" i="105"/>
  <c r="BH118" i="105"/>
  <c r="BQ118" i="105"/>
  <c r="DE118" i="105"/>
  <c r="CF118" i="105"/>
  <c r="AU116" i="105"/>
  <c r="CN118" i="105"/>
  <c r="BC113" i="105"/>
  <c r="CC115" i="105"/>
  <c r="BS116" i="105"/>
  <c r="CQ118" i="105"/>
  <c r="AK113" i="105"/>
  <c r="BJ113" i="105"/>
  <c r="CI113" i="105"/>
  <c r="Q113" i="105"/>
  <c r="BB113" i="105"/>
  <c r="CM113" i="105"/>
  <c r="U113" i="105"/>
  <c r="BF113" i="105"/>
  <c r="DD113" i="105"/>
  <c r="BH114" i="105"/>
  <c r="CG114" i="105"/>
  <c r="DF114" i="105"/>
  <c r="AB114" i="105"/>
  <c r="BM114" i="105"/>
  <c r="CX114" i="105"/>
  <c r="AR114" i="105"/>
  <c r="BR114" i="105"/>
  <c r="L115" i="105"/>
  <c r="AI115" i="105"/>
  <c r="BT115" i="105"/>
  <c r="CS115" i="105"/>
  <c r="AA115" i="105"/>
  <c r="BX115" i="105"/>
  <c r="CA115" i="105"/>
  <c r="AR115" i="105"/>
  <c r="CA116" i="105"/>
  <c r="U116" i="105"/>
  <c r="BF116" i="105"/>
  <c r="DC116" i="105"/>
  <c r="Y116" i="105"/>
  <c r="AX116" i="105"/>
  <c r="BW116" i="105"/>
  <c r="BM116" i="105"/>
  <c r="CL118" i="105"/>
  <c r="CO118" i="105"/>
  <c r="CP118" i="105"/>
  <c r="BI118" i="105"/>
  <c r="CH118" i="105"/>
  <c r="CU118" i="105"/>
  <c r="DF118" i="105"/>
  <c r="O116" i="105"/>
  <c r="R113" i="105"/>
  <c r="AJ115" i="105"/>
  <c r="AM116" i="105"/>
  <c r="AW113" i="105"/>
  <c r="BV113" i="105"/>
  <c r="CU113" i="105"/>
  <c r="AC113" i="105"/>
  <c r="BN113" i="105"/>
  <c r="CY113" i="105"/>
  <c r="AG113" i="105"/>
  <c r="BR113" i="105"/>
  <c r="W114" i="105"/>
  <c r="BT114" i="105"/>
  <c r="CS114" i="105"/>
  <c r="AS114" i="105"/>
  <c r="AN114" i="105"/>
  <c r="BY114" i="105"/>
  <c r="S114" i="105"/>
  <c r="BD114" i="105"/>
  <c r="CD114" i="105"/>
  <c r="BC115" i="105"/>
  <c r="AU115" i="105"/>
  <c r="CF115" i="105"/>
  <c r="DE115" i="105"/>
  <c r="AM115" i="105"/>
  <c r="CJ115" i="105"/>
  <c r="R115" i="105"/>
  <c r="BD115" i="105"/>
  <c r="CM116" i="105"/>
  <c r="AG116" i="105"/>
  <c r="BR116" i="105"/>
  <c r="AO116" i="105"/>
  <c r="AK116" i="105"/>
  <c r="BJ116" i="105"/>
  <c r="CI116" i="105"/>
  <c r="R116" i="105"/>
  <c r="CX118" i="105"/>
  <c r="DB118" i="105"/>
  <c r="BU118" i="105"/>
  <c r="CT118" i="105"/>
  <c r="CI118" i="105"/>
  <c r="DA116" i="105"/>
  <c r="DD118" i="105"/>
  <c r="BV114" i="105"/>
  <c r="AN115" i="105"/>
  <c r="BI113" i="105"/>
  <c r="CH113" i="105"/>
  <c r="L113" i="105"/>
  <c r="AO113" i="105"/>
  <c r="BZ113" i="105"/>
  <c r="CQ113" i="105"/>
  <c r="AS113" i="105"/>
  <c r="CD113" i="105"/>
  <c r="AI114" i="105"/>
  <c r="CF114" i="105"/>
  <c r="DE114" i="105"/>
  <c r="O114" i="105"/>
  <c r="AZ114" i="105"/>
  <c r="CK114" i="105"/>
  <c r="AE114" i="105"/>
  <c r="BP114" i="105"/>
  <c r="CP114" i="105"/>
  <c r="V115" i="105"/>
  <c r="BG115" i="105"/>
  <c r="CR115" i="105"/>
  <c r="N115" i="105"/>
  <c r="AY115" i="105"/>
  <c r="CV115" i="105"/>
  <c r="AD115" i="105"/>
  <c r="BP115" i="105"/>
  <c r="CY116" i="105"/>
  <c r="AS116" i="105"/>
  <c r="CD116" i="105"/>
  <c r="X116" i="105"/>
  <c r="AW116" i="105"/>
  <c r="BV116" i="105"/>
  <c r="CU116" i="105"/>
  <c r="AD116" i="105"/>
  <c r="BM118" i="105"/>
  <c r="DA118" i="105"/>
  <c r="BK118" i="105"/>
  <c r="CG118" i="105"/>
  <c r="BT118" i="105"/>
  <c r="BD116" i="105"/>
  <c r="BL116" i="105"/>
  <c r="V113" i="105"/>
  <c r="AH114" i="105"/>
  <c r="CB116" i="105"/>
  <c r="BU113" i="105"/>
  <c r="CT113" i="105"/>
  <c r="P113" i="105"/>
  <c r="BA113" i="105"/>
  <c r="CL113" i="105"/>
  <c r="T113" i="105"/>
  <c r="BE113" i="105"/>
  <c r="CP113" i="105"/>
  <c r="AU114" i="105"/>
  <c r="CR114" i="105"/>
  <c r="AG114" i="105"/>
  <c r="AA114" i="105"/>
  <c r="BL114" i="105"/>
  <c r="CW114" i="105"/>
  <c r="AQ114" i="105"/>
  <c r="CB114" i="105"/>
  <c r="DB114" i="105"/>
  <c r="AH115" i="105"/>
  <c r="BS115" i="105"/>
  <c r="DD115" i="105"/>
  <c r="Z115" i="105"/>
  <c r="BK115" i="105"/>
  <c r="S115" i="105"/>
  <c r="AP115" i="105"/>
  <c r="CB115" i="105"/>
  <c r="CW116" i="105"/>
  <c r="BE116" i="105"/>
  <c r="CP116" i="105"/>
  <c r="AJ116" i="105"/>
  <c r="BI116" i="105"/>
  <c r="CH116" i="105"/>
  <c r="BY116" i="105"/>
  <c r="AP116" i="105"/>
  <c r="BY118" i="105"/>
  <c r="CS118" i="105"/>
  <c r="BW118" i="105"/>
  <c r="CR118" i="105"/>
  <c r="CL116" i="105"/>
  <c r="AA116" i="105"/>
  <c r="BT113" i="105"/>
  <c r="CT115" i="105"/>
  <c r="CA118" i="105"/>
  <c r="CG113" i="105"/>
  <c r="DF113" i="105"/>
  <c r="AB113" i="105"/>
  <c r="BM113" i="105"/>
  <c r="CX113" i="105"/>
  <c r="AF113" i="105"/>
  <c r="BQ113" i="105"/>
  <c r="DB113" i="105"/>
  <c r="BG114" i="105"/>
  <c r="DD114" i="105"/>
  <c r="N114" i="105"/>
  <c r="AM114" i="105"/>
  <c r="BX114" i="105"/>
  <c r="DA114" i="105"/>
  <c r="BC114" i="105"/>
  <c r="CN114" i="105"/>
  <c r="U115" i="105"/>
  <c r="AT115" i="105"/>
  <c r="CE115" i="105"/>
  <c r="CY115" i="105"/>
  <c r="AL115" i="105"/>
  <c r="BW115" i="105"/>
  <c r="Q115" i="105"/>
  <c r="BB115" i="105"/>
  <c r="CN115" i="105"/>
  <c r="T116" i="105"/>
  <c r="BQ116" i="105"/>
  <c r="DB116" i="105"/>
  <c r="AV116" i="105"/>
  <c r="BU116" i="105"/>
  <c r="CT116" i="105"/>
  <c r="P116" i="105"/>
  <c r="BB116" i="105"/>
  <c r="CK118" i="105"/>
  <c r="DE116" i="105"/>
  <c r="AY113" i="105"/>
  <c r="AC114" i="105"/>
  <c r="AQ116" i="105"/>
  <c r="BX116" i="105"/>
  <c r="BX118" i="105"/>
  <c r="CS113" i="105"/>
  <c r="AI113" i="105"/>
  <c r="AN113" i="105"/>
  <c r="BY113" i="105"/>
  <c r="BG113" i="105"/>
  <c r="AR113" i="105"/>
  <c r="CC113" i="105"/>
  <c r="X113" i="105"/>
  <c r="BS114" i="105"/>
  <c r="L114" i="105"/>
  <c r="Z114" i="105"/>
  <c r="AY114" i="105"/>
  <c r="CJ114" i="105"/>
  <c r="R114" i="105"/>
  <c r="BO114" i="105"/>
  <c r="CZ114" i="105"/>
  <c r="AG115" i="105"/>
  <c r="BF115" i="105"/>
  <c r="CQ115" i="105"/>
  <c r="M115" i="105"/>
  <c r="AX115" i="105"/>
  <c r="CI115" i="105"/>
  <c r="AC115" i="105"/>
  <c r="BN115" i="105"/>
  <c r="CZ115" i="105"/>
  <c r="AF116" i="105"/>
  <c r="CC116" i="105"/>
  <c r="W116" i="105"/>
  <c r="BH116" i="105"/>
  <c r="CG116" i="105"/>
  <c r="DF116" i="105"/>
  <c r="AB116" i="105"/>
  <c r="BN116" i="105"/>
  <c r="CW118" i="105"/>
  <c r="BO118" i="105"/>
  <c r="BL118" i="105"/>
  <c r="AW114" i="105"/>
  <c r="BY115" i="105"/>
  <c r="N116" i="105"/>
  <c r="DE113" i="105"/>
  <c r="O113" i="105"/>
  <c r="AZ113" i="105"/>
  <c r="CK113" i="105"/>
  <c r="S113" i="105"/>
  <c r="BD113" i="105"/>
  <c r="CO113" i="105"/>
  <c r="AJ113" i="105"/>
  <c r="CE114" i="105"/>
  <c r="M114" i="105"/>
  <c r="AL114" i="105"/>
  <c r="BK114" i="105"/>
  <c r="CV114" i="105"/>
  <c r="AD114" i="105"/>
  <c r="CA114" i="105"/>
  <c r="U114" i="105"/>
  <c r="AS115" i="105"/>
  <c r="BR115" i="105"/>
  <c r="DC115" i="105"/>
  <c r="Y115" i="105"/>
  <c r="BJ115" i="105"/>
  <c r="CU115" i="105"/>
  <c r="AO115" i="105"/>
  <c r="BZ115" i="105"/>
  <c r="AQ115" i="105"/>
  <c r="AR116" i="105"/>
  <c r="CO116" i="105"/>
  <c r="AI116" i="105"/>
  <c r="BT116" i="105"/>
  <c r="CS116" i="105"/>
  <c r="CK116" i="105"/>
  <c r="AN116" i="105"/>
  <c r="BZ116" i="105"/>
  <c r="BP118" i="105"/>
  <c r="BG118" i="105"/>
  <c r="AC116" i="105"/>
  <c r="CJ113" i="105"/>
  <c r="DB115" i="105"/>
  <c r="L116" i="105"/>
  <c r="BS113" i="105"/>
  <c r="AA113" i="105"/>
  <c r="BL113" i="105"/>
  <c r="CW113" i="105"/>
  <c r="AE113" i="105"/>
  <c r="BP113" i="105"/>
  <c r="DA113" i="105"/>
  <c r="AV113" i="105"/>
  <c r="CQ114" i="105"/>
  <c r="Y114" i="105"/>
  <c r="AX114" i="105"/>
  <c r="BW114" i="105"/>
  <c r="CC114" i="105"/>
  <c r="AP114" i="105"/>
  <c r="CM114" i="105"/>
  <c r="BQ114" i="105"/>
  <c r="BE115" i="105"/>
  <c r="CD115" i="105"/>
  <c r="BO115" i="105"/>
  <c r="AK115" i="105"/>
  <c r="BV115" i="105"/>
  <c r="P115" i="105"/>
  <c r="BA115" i="105"/>
  <c r="CL115" i="105"/>
  <c r="S116" i="105"/>
  <c r="AZ116" i="105"/>
  <c r="BS118" i="105"/>
  <c r="Z113" i="105"/>
  <c r="CU114" i="105"/>
  <c r="V116" i="105"/>
  <c r="N113" i="105"/>
  <c r="AM113" i="105"/>
  <c r="BX113" i="105"/>
  <c r="CE113" i="105"/>
  <c r="AQ113" i="105"/>
  <c r="CB113" i="105"/>
  <c r="DC113" i="105"/>
  <c r="BH113" i="105"/>
  <c r="DC114" i="105"/>
  <c r="AK114" i="105"/>
  <c r="BJ114" i="105"/>
  <c r="CI114" i="105"/>
  <c r="Q114" i="105"/>
  <c r="BB114" i="105"/>
  <c r="CY114" i="105"/>
  <c r="V114" i="105"/>
  <c r="BQ115" i="105"/>
  <c r="CP115" i="105"/>
  <c r="X115" i="105"/>
  <c r="AW115" i="105"/>
  <c r="CH115" i="105"/>
  <c r="AB115" i="105"/>
  <c r="BM115" i="105"/>
  <c r="CX115" i="105"/>
  <c r="AE116" i="105"/>
  <c r="BP116" i="105"/>
  <c r="BA116" i="105"/>
  <c r="BG116" i="105"/>
  <c r="CR116" i="105"/>
  <c r="CX116" i="105"/>
  <c r="CN113" i="105"/>
  <c r="BN114" i="105"/>
  <c r="BI115" i="105"/>
  <c r="DD116" i="105"/>
  <c r="M124" i="105"/>
  <c r="Y124" i="105"/>
  <c r="AK124" i="105"/>
  <c r="AW124" i="105"/>
  <c r="Z124" i="105"/>
  <c r="AL124" i="105"/>
  <c r="O124" i="105"/>
  <c r="AM124" i="105"/>
  <c r="P124" i="105"/>
  <c r="AZ124" i="105"/>
  <c r="AC124" i="105"/>
  <c r="AD124" i="105"/>
  <c r="S124" i="105"/>
  <c r="V124" i="105"/>
  <c r="W124" i="105"/>
  <c r="N124" i="105"/>
  <c r="AX124" i="105"/>
  <c r="AY124" i="105"/>
  <c r="AB124" i="105"/>
  <c r="AN124" i="105"/>
  <c r="R124" i="105"/>
  <c r="AP124" i="105"/>
  <c r="AE124" i="105"/>
  <c r="T124" i="105"/>
  <c r="AG124" i="105"/>
  <c r="AI124" i="105"/>
  <c r="AA124" i="105"/>
  <c r="Q124" i="105"/>
  <c r="BB124" i="105"/>
  <c r="U124" i="105"/>
  <c r="AU124" i="105"/>
  <c r="BA124" i="105"/>
  <c r="AQ124" i="105"/>
  <c r="AF124" i="105"/>
  <c r="AS124" i="105"/>
  <c r="AH124" i="105"/>
  <c r="L124" i="105"/>
  <c r="AV124" i="105"/>
  <c r="AO124" i="105"/>
  <c r="BC124" i="105"/>
  <c r="BD124" i="105"/>
  <c r="BE124" i="105"/>
  <c r="BF124" i="105"/>
  <c r="AJ124" i="105"/>
  <c r="AR124" i="105"/>
  <c r="AT124" i="105"/>
  <c r="X124" i="105"/>
  <c r="AE129" i="104"/>
  <c r="N136" i="104"/>
  <c r="AB129" i="104"/>
  <c r="AK136" i="104"/>
  <c r="AQ132" i="104"/>
  <c r="AW132" i="104"/>
  <c r="J132" i="104"/>
  <c r="N132" i="104"/>
  <c r="AQ136" i="104"/>
  <c r="AF136" i="104"/>
  <c r="AG136" i="104"/>
  <c r="AE136" i="104"/>
  <c r="O136" i="104"/>
  <c r="J129" i="104"/>
  <c r="U136" i="104"/>
  <c r="AG129" i="104"/>
  <c r="AD136" i="104"/>
  <c r="U129" i="104"/>
  <c r="AJ129" i="104"/>
  <c r="I129" i="104"/>
  <c r="AH129" i="104"/>
  <c r="AF129" i="104"/>
  <c r="BE132" i="104"/>
  <c r="AR136" i="104"/>
  <c r="BB132" i="104"/>
  <c r="AA129" i="104"/>
  <c r="L132" i="104"/>
  <c r="T129" i="104"/>
  <c r="AC129" i="104"/>
  <c r="X136" i="104"/>
  <c r="BC132" i="104"/>
  <c r="AL132" i="104"/>
  <c r="V132" i="104"/>
  <c r="AA132" i="104"/>
  <c r="AW129" i="104"/>
  <c r="S136" i="104"/>
  <c r="BD136" i="104"/>
  <c r="M129" i="104"/>
  <c r="BE129" i="104"/>
  <c r="H132" i="104"/>
  <c r="AJ132" i="104"/>
  <c r="BA136" i="104"/>
  <c r="AL136" i="104"/>
  <c r="H129" i="104"/>
  <c r="AD132" i="104"/>
  <c r="BD129" i="104"/>
  <c r="AH136" i="104"/>
  <c r="L129" i="104"/>
  <c r="BD132" i="104"/>
  <c r="BA132" i="104"/>
  <c r="AN129" i="104"/>
  <c r="K129" i="104"/>
  <c r="I136" i="104"/>
  <c r="BB129" i="104"/>
  <c r="S129" i="104"/>
  <c r="AU136" i="104"/>
  <c r="BF132" i="104"/>
  <c r="AY132" i="104"/>
  <c r="AH132" i="104"/>
  <c r="Q132" i="104"/>
  <c r="AV136" i="104"/>
  <c r="Y129" i="104"/>
  <c r="BC136" i="104"/>
  <c r="R136" i="104"/>
  <c r="AS129" i="104"/>
  <c r="AX136" i="104"/>
  <c r="R132" i="104"/>
  <c r="AK129" i="104"/>
  <c r="AV129" i="104"/>
  <c r="Z136" i="104"/>
  <c r="AO136" i="104"/>
  <c r="AB136" i="104"/>
  <c r="P136" i="104"/>
  <c r="Y136" i="104"/>
  <c r="AN132" i="104"/>
  <c r="W136" i="104"/>
  <c r="S132" i="104"/>
  <c r="AN136" i="104"/>
  <c r="AP132" i="104"/>
  <c r="P129" i="104"/>
  <c r="R129" i="104"/>
  <c r="BF136" i="104"/>
  <c r="W132" i="104"/>
  <c r="AC132" i="104"/>
  <c r="AP136" i="104"/>
  <c r="AR129" i="104"/>
  <c r="AT129" i="104"/>
  <c r="L136" i="104"/>
  <c r="K136" i="104"/>
  <c r="AT132" i="104"/>
  <c r="W129" i="104"/>
  <c r="AI132" i="104"/>
  <c r="BE136" i="104"/>
  <c r="Y132" i="104"/>
  <c r="BA129" i="104"/>
  <c r="AZ129" i="104"/>
  <c r="J136" i="104"/>
  <c r="AU132" i="104"/>
  <c r="I132" i="104"/>
  <c r="M132" i="104"/>
  <c r="AZ132" i="104"/>
  <c r="BB136" i="104"/>
  <c r="AM132" i="104"/>
  <c r="N129" i="104"/>
  <c r="V129" i="104"/>
  <c r="AP129" i="104"/>
  <c r="AI136" i="104"/>
  <c r="X132" i="104"/>
  <c r="AM136" i="104"/>
  <c r="AX132" i="104"/>
  <c r="BF129" i="104"/>
  <c r="BC129" i="104"/>
  <c r="Q129" i="104"/>
  <c r="AX129" i="104"/>
  <c r="T132" i="104"/>
  <c r="U132" i="104"/>
  <c r="AK132" i="104"/>
  <c r="AZ136" i="104"/>
  <c r="AS132" i="104"/>
  <c r="AS136" i="104"/>
  <c r="AI129" i="104"/>
  <c r="T136" i="104"/>
  <c r="AO129" i="104"/>
  <c r="M136" i="104"/>
  <c r="AL129" i="104"/>
  <c r="AF132" i="104"/>
  <c r="AG132" i="104"/>
  <c r="Z132" i="104"/>
  <c r="P132" i="104"/>
  <c r="X129" i="104"/>
  <c r="Q136" i="104"/>
  <c r="AU129" i="104"/>
  <c r="AB132" i="104"/>
  <c r="AM129" i="104"/>
  <c r="AT136" i="104"/>
  <c r="AV132" i="104"/>
  <c r="O129" i="104"/>
  <c r="AA136" i="104"/>
  <c r="AY129" i="104"/>
  <c r="H136" i="104"/>
  <c r="Z129" i="104"/>
  <c r="AR132" i="104"/>
  <c r="O132" i="104"/>
  <c r="K132" i="104"/>
  <c r="AC136" i="104"/>
  <c r="AO132" i="104"/>
  <c r="AD129" i="104"/>
  <c r="AQ129" i="104"/>
  <c r="AW136" i="104"/>
  <c r="AY136" i="104"/>
  <c r="V136" i="104"/>
  <c r="AE132" i="104"/>
  <c r="AJ136" i="104"/>
  <c r="Q135" i="104"/>
  <c r="AR135" i="104"/>
  <c r="I135" i="104"/>
  <c r="AV135" i="104"/>
  <c r="BB134" i="104"/>
  <c r="V134" i="104"/>
  <c r="AE134" i="104"/>
  <c r="AX134" i="104"/>
  <c r="BE131" i="104"/>
  <c r="AY131" i="104"/>
  <c r="AF131" i="104"/>
  <c r="P131" i="104"/>
  <c r="AD130" i="104"/>
  <c r="S130" i="104"/>
  <c r="P130" i="104"/>
  <c r="AT130" i="104"/>
  <c r="BA130" i="104"/>
  <c r="W128" i="104"/>
  <c r="AE128" i="104"/>
  <c r="AB128" i="104"/>
  <c r="AD128" i="104"/>
  <c r="BC130" i="104"/>
  <c r="X128" i="104"/>
  <c r="AG128" i="104"/>
  <c r="S128" i="104"/>
  <c r="T128" i="104"/>
  <c r="AI130" i="104"/>
  <c r="V131" i="104"/>
  <c r="AB134" i="104"/>
  <c r="M130" i="104"/>
  <c r="AU135" i="104"/>
  <c r="BC131" i="104"/>
  <c r="Y135" i="104"/>
  <c r="R131" i="104"/>
  <c r="Y131" i="104"/>
  <c r="Q130" i="104"/>
  <c r="P135" i="104"/>
  <c r="AC135" i="104"/>
  <c r="AS135" i="104"/>
  <c r="BE135" i="104"/>
  <c r="N135" i="104"/>
  <c r="BC134" i="104"/>
  <c r="AW134" i="104"/>
  <c r="BD134" i="104"/>
  <c r="J134" i="104"/>
  <c r="AK131" i="104"/>
  <c r="AD131" i="104"/>
  <c r="L131" i="104"/>
  <c r="AB131" i="104"/>
  <c r="AP130" i="104"/>
  <c r="AE130" i="104"/>
  <c r="I130" i="104"/>
  <c r="K130" i="104"/>
  <c r="AC130" i="104"/>
  <c r="AI128" i="104"/>
  <c r="AF128" i="104"/>
  <c r="AN128" i="104"/>
  <c r="I128" i="104"/>
  <c r="AU130" i="104"/>
  <c r="Z128" i="104"/>
  <c r="AV128" i="104"/>
  <c r="L128" i="104"/>
  <c r="T131" i="104"/>
  <c r="AJ130" i="104"/>
  <c r="AO131" i="104"/>
  <c r="AA128" i="104"/>
  <c r="Z131" i="104"/>
  <c r="AM128" i="104"/>
  <c r="U134" i="104"/>
  <c r="AK128" i="104"/>
  <c r="AV134" i="104"/>
  <c r="AW128" i="104"/>
  <c r="AK135" i="104"/>
  <c r="K128" i="104"/>
  <c r="AB135" i="104"/>
  <c r="AO135" i="104"/>
  <c r="W135" i="104"/>
  <c r="AT135" i="104"/>
  <c r="Z135" i="104"/>
  <c r="T134" i="104"/>
  <c r="Z134" i="104"/>
  <c r="I134" i="104"/>
  <c r="W134" i="104"/>
  <c r="AX131" i="104"/>
  <c r="H131" i="104"/>
  <c r="X131" i="104"/>
  <c r="AZ131" i="104"/>
  <c r="BB130" i="104"/>
  <c r="AQ130" i="104"/>
  <c r="U130" i="104"/>
  <c r="Y130" i="104"/>
  <c r="AU128" i="104"/>
  <c r="N128" i="104"/>
  <c r="AZ128" i="104"/>
  <c r="U128" i="104"/>
  <c r="AG130" i="104"/>
  <c r="BB128" i="104"/>
  <c r="V128" i="104"/>
  <c r="AS128" i="104"/>
  <c r="BE128" i="104"/>
  <c r="AC131" i="104"/>
  <c r="Q128" i="104"/>
  <c r="AW130" i="104"/>
  <c r="BA134" i="104"/>
  <c r="AL130" i="104"/>
  <c r="U131" i="104"/>
  <c r="AQ128" i="104"/>
  <c r="AQ134" i="104"/>
  <c r="BD128" i="104"/>
  <c r="AS134" i="104"/>
  <c r="AN130" i="104"/>
  <c r="AN135" i="104"/>
  <c r="BA135" i="104"/>
  <c r="O135" i="104"/>
  <c r="AA135" i="104"/>
  <c r="AY135" i="104"/>
  <c r="AU134" i="104"/>
  <c r="Q134" i="104"/>
  <c r="BE134" i="104"/>
  <c r="X134" i="104"/>
  <c r="AA131" i="104"/>
  <c r="K131" i="104"/>
  <c r="AJ131" i="104"/>
  <c r="AE131" i="104"/>
  <c r="T130" i="104"/>
  <c r="J128" i="104"/>
  <c r="BF130" i="104"/>
  <c r="O128" i="104"/>
  <c r="W130" i="104"/>
  <c r="BF128" i="104"/>
  <c r="AG134" i="104"/>
  <c r="N130" i="104"/>
  <c r="AI135" i="104"/>
  <c r="AN131" i="104"/>
  <c r="BA128" i="104"/>
  <c r="BF131" i="104"/>
  <c r="BC128" i="104"/>
  <c r="AX135" i="104"/>
  <c r="R130" i="104"/>
  <c r="AZ135" i="104"/>
  <c r="AD135" i="104"/>
  <c r="S135" i="104"/>
  <c r="K135" i="104"/>
  <c r="O134" i="104"/>
  <c r="L134" i="104"/>
  <c r="AC134" i="104"/>
  <c r="AH134" i="104"/>
  <c r="AL134" i="104"/>
  <c r="AP131" i="104"/>
  <c r="W131" i="104"/>
  <c r="AV131" i="104"/>
  <c r="AR131" i="104"/>
  <c r="BD130" i="104"/>
  <c r="H130" i="104"/>
  <c r="AS130" i="104"/>
  <c r="L130" i="104"/>
  <c r="AL128" i="104"/>
  <c r="AT128" i="104"/>
  <c r="Y134" i="104"/>
  <c r="AC128" i="104"/>
  <c r="N131" i="104"/>
  <c r="AO128" i="104"/>
  <c r="AZ134" i="104"/>
  <c r="O130" i="104"/>
  <c r="AO134" i="104"/>
  <c r="O131" i="104"/>
  <c r="AL135" i="104"/>
  <c r="S131" i="104"/>
  <c r="R135" i="104"/>
  <c r="T135" i="104"/>
  <c r="AE135" i="104"/>
  <c r="M135" i="104"/>
  <c r="AA134" i="104"/>
  <c r="AK134" i="104"/>
  <c r="AP134" i="104"/>
  <c r="K134" i="104"/>
  <c r="M134" i="104"/>
  <c r="AQ131" i="104"/>
  <c r="AI131" i="104"/>
  <c r="AL131" i="104"/>
  <c r="Q131" i="104"/>
  <c r="V130" i="104"/>
  <c r="AR130" i="104"/>
  <c r="BE130" i="104"/>
  <c r="X130" i="104"/>
  <c r="AH128" i="104"/>
  <c r="AX128" i="104"/>
  <c r="AJ128" i="104"/>
  <c r="AW131" i="104"/>
  <c r="AV130" i="104"/>
  <c r="BF135" i="104"/>
  <c r="BA131" i="104"/>
  <c r="AJ135" i="104"/>
  <c r="AM131" i="104"/>
  <c r="AY128" i="104"/>
  <c r="AW135" i="104"/>
  <c r="BB131" i="104"/>
  <c r="AR128" i="104"/>
  <c r="BF134" i="104"/>
  <c r="P128" i="104"/>
  <c r="BB135" i="104"/>
  <c r="U135" i="104"/>
  <c r="AQ135" i="104"/>
  <c r="AM135" i="104"/>
  <c r="AM134" i="104"/>
  <c r="P134" i="104"/>
  <c r="S134" i="104"/>
  <c r="AJ134" i="104"/>
  <c r="H134" i="104"/>
  <c r="J131" i="104"/>
  <c r="AU131" i="104"/>
  <c r="J130" i="104"/>
  <c r="M131" i="104"/>
  <c r="M128" i="104"/>
  <c r="AH131" i="104"/>
  <c r="H128" i="104"/>
  <c r="AT134" i="104"/>
  <c r="AA130" i="104"/>
  <c r="AI134" i="104"/>
  <c r="AZ130" i="104"/>
  <c r="N134" i="104"/>
  <c r="AP128" i="104"/>
  <c r="BD135" i="104"/>
  <c r="AG135" i="104"/>
  <c r="BC135" i="104"/>
  <c r="V135" i="104"/>
  <c r="AY134" i="104"/>
  <c r="AN134" i="104"/>
  <c r="AF134" i="104"/>
  <c r="AK130" i="104"/>
  <c r="I131" i="104"/>
  <c r="Y128" i="104"/>
  <c r="X135" i="104"/>
  <c r="AX130" i="104"/>
  <c r="H135" i="104"/>
  <c r="AF130" i="104"/>
  <c r="AS131" i="104"/>
  <c r="AH130" i="104"/>
  <c r="AH135" i="104"/>
  <c r="J135" i="104"/>
  <c r="AF135" i="104"/>
  <c r="AR134" i="104"/>
  <c r="Z130" i="104"/>
  <c r="AT131" i="104"/>
  <c r="AY130" i="104"/>
  <c r="L135" i="104"/>
  <c r="AM130" i="104"/>
  <c r="R134" i="104"/>
  <c r="AO130" i="104"/>
  <c r="AD134" i="104"/>
  <c r="AG131" i="104"/>
  <c r="AB130" i="104"/>
  <c r="AP135" i="104"/>
  <c r="BD131" i="104"/>
  <c r="R128" i="104"/>
  <c r="Q133" i="104"/>
  <c r="AP133" i="104"/>
  <c r="AR133" i="104"/>
  <c r="X133" i="104"/>
  <c r="AA133" i="104"/>
  <c r="BE133" i="104"/>
  <c r="AO133" i="104"/>
  <c r="AI133" i="104"/>
  <c r="AM133" i="104"/>
  <c r="AJ133" i="104"/>
  <c r="AG133" i="104"/>
  <c r="J133" i="104"/>
  <c r="V133" i="104"/>
  <c r="L133" i="104"/>
  <c r="AK133" i="104"/>
  <c r="AY133" i="104"/>
  <c r="U133" i="104"/>
  <c r="H133" i="104"/>
  <c r="AC133" i="104"/>
  <c r="BB133" i="104"/>
  <c r="BD133" i="104"/>
  <c r="AN133" i="104"/>
  <c r="I133" i="104"/>
  <c r="BA133" i="104"/>
  <c r="BC133" i="104"/>
  <c r="AW133" i="104"/>
  <c r="M133" i="104"/>
  <c r="BF133" i="104"/>
  <c r="AV133" i="104"/>
  <c r="Y133" i="104"/>
  <c r="AB133" i="104"/>
  <c r="AZ133" i="104"/>
  <c r="AT133" i="104"/>
  <c r="W133" i="104"/>
  <c r="AQ133" i="104"/>
  <c r="AH133" i="104"/>
  <c r="K133" i="104"/>
  <c r="AS133" i="104"/>
  <c r="N133" i="104"/>
  <c r="AL133" i="104"/>
  <c r="O133" i="104"/>
  <c r="T133" i="104"/>
  <c r="P133" i="104"/>
  <c r="S133" i="104"/>
  <c r="AE133" i="104"/>
  <c r="AF133" i="104"/>
  <c r="AU133" i="104"/>
  <c r="Z133" i="104"/>
  <c r="R133" i="104"/>
  <c r="AD133" i="104"/>
  <c r="AX133" i="104"/>
  <c r="O24" i="104"/>
  <c r="O22" i="104" s="1"/>
  <c r="Y84" i="104" s="1"/>
  <c r="V87" i="105"/>
  <c r="AH87" i="105"/>
  <c r="AT87" i="105"/>
  <c r="BF87" i="105"/>
  <c r="X88" i="105"/>
  <c r="AJ88" i="105"/>
  <c r="AV88" i="105"/>
  <c r="N89" i="105"/>
  <c r="Z89" i="105"/>
  <c r="AL89" i="105"/>
  <c r="AX89" i="105"/>
  <c r="P90" i="105"/>
  <c r="AB90" i="105"/>
  <c r="AN90" i="105"/>
  <c r="AZ90" i="105"/>
  <c r="R91" i="105"/>
  <c r="AD91" i="105"/>
  <c r="AP91" i="105"/>
  <c r="BB91" i="105"/>
  <c r="T92" i="105"/>
  <c r="AF92" i="105"/>
  <c r="AR92" i="105"/>
  <c r="BD92" i="105"/>
  <c r="V93" i="105"/>
  <c r="AH93" i="105"/>
  <c r="AT93" i="105"/>
  <c r="BF93" i="105"/>
  <c r="X94" i="105"/>
  <c r="AJ94" i="105"/>
  <c r="AV94" i="105"/>
  <c r="N95" i="105"/>
  <c r="Z95" i="105"/>
  <c r="AL95" i="105"/>
  <c r="AX95" i="105"/>
  <c r="P96" i="105"/>
  <c r="AB96" i="105"/>
  <c r="AN96" i="105"/>
  <c r="AZ96" i="105"/>
  <c r="R97" i="105"/>
  <c r="AD97" i="105"/>
  <c r="AP97" i="105"/>
  <c r="BB97" i="105"/>
  <c r="T98" i="105"/>
  <c r="AF98" i="105"/>
  <c r="AR98" i="105"/>
  <c r="BD98" i="105"/>
  <c r="V99" i="105"/>
  <c r="AH99" i="105"/>
  <c r="AT99" i="105"/>
  <c r="BF99" i="105"/>
  <c r="X100" i="105"/>
  <c r="AJ100" i="105"/>
  <c r="AV100" i="105"/>
  <c r="N101" i="105"/>
  <c r="Z101" i="105"/>
  <c r="AL101" i="105"/>
  <c r="AX101" i="105"/>
  <c r="P102" i="105"/>
  <c r="AB102" i="105"/>
  <c r="AN102" i="105"/>
  <c r="AZ102" i="105"/>
  <c r="R103" i="105"/>
  <c r="AD103" i="105"/>
  <c r="AP103" i="105"/>
  <c r="BB103" i="105"/>
  <c r="T104" i="105"/>
  <c r="AF104" i="105"/>
  <c r="AR104" i="105"/>
  <c r="BD104" i="105"/>
  <c r="V105" i="105"/>
  <c r="AH105" i="105"/>
  <c r="AT105" i="105"/>
  <c r="BF105" i="105"/>
  <c r="X106" i="105"/>
  <c r="AJ106" i="105"/>
  <c r="AV106" i="105"/>
  <c r="N107" i="105"/>
  <c r="Z107" i="105"/>
  <c r="AL107" i="105"/>
  <c r="AX107" i="105"/>
  <c r="W87" i="105"/>
  <c r="AI87" i="105"/>
  <c r="AU87" i="105"/>
  <c r="M88" i="105"/>
  <c r="Y88" i="105"/>
  <c r="AK88" i="105"/>
  <c r="AW88" i="105"/>
  <c r="O89" i="105"/>
  <c r="AA89" i="105"/>
  <c r="AM89" i="105"/>
  <c r="AY89" i="105"/>
  <c r="Q90" i="105"/>
  <c r="AC90" i="105"/>
  <c r="AO90" i="105"/>
  <c r="BA90" i="105"/>
  <c r="S91" i="105"/>
  <c r="AE91" i="105"/>
  <c r="AQ91" i="105"/>
  <c r="BC91" i="105"/>
  <c r="U92" i="105"/>
  <c r="AG92" i="105"/>
  <c r="AS92" i="105"/>
  <c r="BE92" i="105"/>
  <c r="W93" i="105"/>
  <c r="AI93" i="105"/>
  <c r="AU93" i="105"/>
  <c r="M94" i="105"/>
  <c r="Y94" i="105"/>
  <c r="AK94" i="105"/>
  <c r="AW94" i="105"/>
  <c r="O95" i="105"/>
  <c r="AA95" i="105"/>
  <c r="AM95" i="105"/>
  <c r="AY95" i="105"/>
  <c r="Q96" i="105"/>
  <c r="AC96" i="105"/>
  <c r="AO96" i="105"/>
  <c r="BA96" i="105"/>
  <c r="S97" i="105"/>
  <c r="AE97" i="105"/>
  <c r="AQ97" i="105"/>
  <c r="BC97" i="105"/>
  <c r="U98" i="105"/>
  <c r="AG98" i="105"/>
  <c r="AS98" i="105"/>
  <c r="BE98" i="105"/>
  <c r="W99" i="105"/>
  <c r="AI99" i="105"/>
  <c r="AU99" i="105"/>
  <c r="M100" i="105"/>
  <c r="Y100" i="105"/>
  <c r="AK100" i="105"/>
  <c r="AW100" i="105"/>
  <c r="O101" i="105"/>
  <c r="AA101" i="105"/>
  <c r="AM101" i="105"/>
  <c r="AY101" i="105"/>
  <c r="Q102" i="105"/>
  <c r="X87" i="105"/>
  <c r="AJ87" i="105"/>
  <c r="AV87" i="105"/>
  <c r="N88" i="105"/>
  <c r="Z88" i="105"/>
  <c r="AL88" i="105"/>
  <c r="AX88" i="105"/>
  <c r="P89" i="105"/>
  <c r="AB89" i="105"/>
  <c r="AN89" i="105"/>
  <c r="AZ89" i="105"/>
  <c r="R90" i="105"/>
  <c r="AD90" i="105"/>
  <c r="AP90" i="105"/>
  <c r="BB90" i="105"/>
  <c r="T91" i="105"/>
  <c r="AF91" i="105"/>
  <c r="AR91" i="105"/>
  <c r="BD91" i="105"/>
  <c r="V92" i="105"/>
  <c r="AH92" i="105"/>
  <c r="AT92" i="105"/>
  <c r="BF92" i="105"/>
  <c r="X93" i="105"/>
  <c r="AJ93" i="105"/>
  <c r="AV93" i="105"/>
  <c r="N94" i="105"/>
  <c r="Z94" i="105"/>
  <c r="AL94" i="105"/>
  <c r="AX94" i="105"/>
  <c r="P95" i="105"/>
  <c r="AB95" i="105"/>
  <c r="AN95" i="105"/>
  <c r="AZ95" i="105"/>
  <c r="R96" i="105"/>
  <c r="AD96" i="105"/>
  <c r="AP96" i="105"/>
  <c r="BB96" i="105"/>
  <c r="T97" i="105"/>
  <c r="AF97" i="105"/>
  <c r="AR97" i="105"/>
  <c r="BD97" i="105"/>
  <c r="V98" i="105"/>
  <c r="AH98" i="105"/>
  <c r="AT98" i="105"/>
  <c r="BF98" i="105"/>
  <c r="X99" i="105"/>
  <c r="AJ99" i="105"/>
  <c r="AV99" i="105"/>
  <c r="N100" i="105"/>
  <c r="Z100" i="105"/>
  <c r="AL100" i="105"/>
  <c r="AX100" i="105"/>
  <c r="P101" i="105"/>
  <c r="AB101" i="105"/>
  <c r="AN101" i="105"/>
  <c r="AZ101" i="105"/>
  <c r="R102" i="105"/>
  <c r="AD102" i="105"/>
  <c r="AP102" i="105"/>
  <c r="BB102" i="105"/>
  <c r="T103" i="105"/>
  <c r="AF103" i="105"/>
  <c r="AR103" i="105"/>
  <c r="BD103" i="105"/>
  <c r="V104" i="105"/>
  <c r="AH104" i="105"/>
  <c r="AT104" i="105"/>
  <c r="BF104" i="105"/>
  <c r="X105" i="105"/>
  <c r="AJ105" i="105"/>
  <c r="AV105" i="105"/>
  <c r="N106" i="105"/>
  <c r="Z106" i="105"/>
  <c r="AL106" i="105"/>
  <c r="AX106" i="105"/>
  <c r="P107" i="105"/>
  <c r="AB107" i="105"/>
  <c r="AN107" i="105"/>
  <c r="M87" i="105"/>
  <c r="Y87" i="105"/>
  <c r="AK87" i="105"/>
  <c r="AW87" i="105"/>
  <c r="O88" i="105"/>
  <c r="AA88" i="105"/>
  <c r="AM88" i="105"/>
  <c r="AY88" i="105"/>
  <c r="Q89" i="105"/>
  <c r="AC89" i="105"/>
  <c r="AO89" i="105"/>
  <c r="BA89" i="105"/>
  <c r="S90" i="105"/>
  <c r="AE90" i="105"/>
  <c r="AQ90" i="105"/>
  <c r="BC90" i="105"/>
  <c r="U91" i="105"/>
  <c r="AG91" i="105"/>
  <c r="AS91" i="105"/>
  <c r="BE91" i="105"/>
  <c r="W92" i="105"/>
  <c r="AI92" i="105"/>
  <c r="AU92" i="105"/>
  <c r="M93" i="105"/>
  <c r="Y93" i="105"/>
  <c r="AK93" i="105"/>
  <c r="AW93" i="105"/>
  <c r="O94" i="105"/>
  <c r="AA94" i="105"/>
  <c r="AM94" i="105"/>
  <c r="AY94" i="105"/>
  <c r="Q95" i="105"/>
  <c r="AC95" i="105"/>
  <c r="AO95" i="105"/>
  <c r="BA95" i="105"/>
  <c r="S96" i="105"/>
  <c r="AE96" i="105"/>
  <c r="AQ96" i="105"/>
  <c r="BC96" i="105"/>
  <c r="U97" i="105"/>
  <c r="AG97" i="105"/>
  <c r="AS97" i="105"/>
  <c r="BE97" i="105"/>
  <c r="W98" i="105"/>
  <c r="AI98" i="105"/>
  <c r="AU98" i="105"/>
  <c r="M99" i="105"/>
  <c r="Y99" i="105"/>
  <c r="AK99" i="105"/>
  <c r="AW99" i="105"/>
  <c r="O100" i="105"/>
  <c r="AA100" i="105"/>
  <c r="AM100" i="105"/>
  <c r="AY100" i="105"/>
  <c r="Q101" i="105"/>
  <c r="AC101" i="105"/>
  <c r="AO101" i="105"/>
  <c r="BA101" i="105"/>
  <c r="S102" i="105"/>
  <c r="AE102" i="105"/>
  <c r="AQ102" i="105"/>
  <c r="BC102" i="105"/>
  <c r="U103" i="105"/>
  <c r="AG103" i="105"/>
  <c r="AS103" i="105"/>
  <c r="BE103" i="105"/>
  <c r="W104" i="105"/>
  <c r="AI104" i="105"/>
  <c r="AU104" i="105"/>
  <c r="M105" i="105"/>
  <c r="Y105" i="105"/>
  <c r="AK105" i="105"/>
  <c r="AW105" i="105"/>
  <c r="O106" i="105"/>
  <c r="AA106" i="105"/>
  <c r="AM106" i="105"/>
  <c r="AY106" i="105"/>
  <c r="Q107" i="105"/>
  <c r="AC107" i="105"/>
  <c r="AO107" i="105"/>
  <c r="BA107" i="105"/>
  <c r="N87" i="105"/>
  <c r="Z87" i="105"/>
  <c r="AL87" i="105"/>
  <c r="AX87" i="105"/>
  <c r="P88" i="105"/>
  <c r="AB88" i="105"/>
  <c r="AN88" i="105"/>
  <c r="AZ88" i="105"/>
  <c r="R89" i="105"/>
  <c r="AD89" i="105"/>
  <c r="AP89" i="105"/>
  <c r="BB89" i="105"/>
  <c r="T90" i="105"/>
  <c r="AF90" i="105"/>
  <c r="AR90" i="105"/>
  <c r="BD90" i="105"/>
  <c r="V91" i="105"/>
  <c r="AH91" i="105"/>
  <c r="AT91" i="105"/>
  <c r="BF91" i="105"/>
  <c r="X92" i="105"/>
  <c r="AJ92" i="105"/>
  <c r="AV92" i="105"/>
  <c r="N93" i="105"/>
  <c r="Z93" i="105"/>
  <c r="AL93" i="105"/>
  <c r="AX93" i="105"/>
  <c r="P94" i="105"/>
  <c r="AB94" i="105"/>
  <c r="AN94" i="105"/>
  <c r="AZ94" i="105"/>
  <c r="R95" i="105"/>
  <c r="AD95" i="105"/>
  <c r="AP95" i="105"/>
  <c r="BB95" i="105"/>
  <c r="T96" i="105"/>
  <c r="AF96" i="105"/>
  <c r="AR96" i="105"/>
  <c r="BD96" i="105"/>
  <c r="V97" i="105"/>
  <c r="AH97" i="105"/>
  <c r="AT97" i="105"/>
  <c r="BF97" i="105"/>
  <c r="X98" i="105"/>
  <c r="AJ98" i="105"/>
  <c r="AV98" i="105"/>
  <c r="N99" i="105"/>
  <c r="Z99" i="105"/>
  <c r="AL99" i="105"/>
  <c r="AX99" i="105"/>
  <c r="P100" i="105"/>
  <c r="AB100" i="105"/>
  <c r="AN100" i="105"/>
  <c r="AZ100" i="105"/>
  <c r="R101" i="105"/>
  <c r="AD101" i="105"/>
  <c r="AP101" i="105"/>
  <c r="BB101" i="105"/>
  <c r="T102" i="105"/>
  <c r="AF102" i="105"/>
  <c r="AR102" i="105"/>
  <c r="BD102" i="105"/>
  <c r="V103" i="105"/>
  <c r="AH103" i="105"/>
  <c r="AT103" i="105"/>
  <c r="BF103" i="105"/>
  <c r="X104" i="105"/>
  <c r="AJ104" i="105"/>
  <c r="AV104" i="105"/>
  <c r="N105" i="105"/>
  <c r="Z105" i="105"/>
  <c r="AL105" i="105"/>
  <c r="AX105" i="105"/>
  <c r="P106" i="105"/>
  <c r="AB106" i="105"/>
  <c r="AN106" i="105"/>
  <c r="AZ106" i="105"/>
  <c r="R107" i="105"/>
  <c r="AD107" i="105"/>
  <c r="AP107" i="105"/>
  <c r="BB107" i="105"/>
  <c r="O87" i="105"/>
  <c r="AA87" i="105"/>
  <c r="AM87" i="105"/>
  <c r="AY87" i="105"/>
  <c r="Q88" i="105"/>
  <c r="AC88" i="105"/>
  <c r="AO88" i="105"/>
  <c r="BA88" i="105"/>
  <c r="S89" i="105"/>
  <c r="AE89" i="105"/>
  <c r="AQ89" i="105"/>
  <c r="BC89" i="105"/>
  <c r="U90" i="105"/>
  <c r="AG90" i="105"/>
  <c r="AS90" i="105"/>
  <c r="BE90" i="105"/>
  <c r="W91" i="105"/>
  <c r="AI91" i="105"/>
  <c r="AU91" i="105"/>
  <c r="M92" i="105"/>
  <c r="Y92" i="105"/>
  <c r="AK92" i="105"/>
  <c r="AW92" i="105"/>
  <c r="O93" i="105"/>
  <c r="AA93" i="105"/>
  <c r="AM93" i="105"/>
  <c r="AY93" i="105"/>
  <c r="Q94" i="105"/>
  <c r="AC94" i="105"/>
  <c r="AO94" i="105"/>
  <c r="BA94" i="105"/>
  <c r="S95" i="105"/>
  <c r="AE95" i="105"/>
  <c r="AQ95" i="105"/>
  <c r="BC95" i="105"/>
  <c r="U96" i="105"/>
  <c r="AG96" i="105"/>
  <c r="AS96" i="105"/>
  <c r="BE96" i="105"/>
  <c r="W97" i="105"/>
  <c r="AI97" i="105"/>
  <c r="AU97" i="105"/>
  <c r="M98" i="105"/>
  <c r="Y98" i="105"/>
  <c r="AK98" i="105"/>
  <c r="AW98" i="105"/>
  <c r="O99" i="105"/>
  <c r="AA99" i="105"/>
  <c r="AM99" i="105"/>
  <c r="AY99" i="105"/>
  <c r="Q100" i="105"/>
  <c r="AC100" i="105"/>
  <c r="AO100" i="105"/>
  <c r="BA100" i="105"/>
  <c r="S101" i="105"/>
  <c r="AE101" i="105"/>
  <c r="AQ101" i="105"/>
  <c r="BC101" i="105"/>
  <c r="U102" i="105"/>
  <c r="AG102" i="105"/>
  <c r="AS102" i="105"/>
  <c r="BE102" i="105"/>
  <c r="W103" i="105"/>
  <c r="AI103" i="105"/>
  <c r="AU103" i="105"/>
  <c r="M104" i="105"/>
  <c r="Y104" i="105"/>
  <c r="AK104" i="105"/>
  <c r="AW104" i="105"/>
  <c r="O105" i="105"/>
  <c r="AA105" i="105"/>
  <c r="AM105" i="105"/>
  <c r="AY105" i="105"/>
  <c r="P87" i="105"/>
  <c r="AB87" i="105"/>
  <c r="AN87" i="105"/>
  <c r="AZ87" i="105"/>
  <c r="R88" i="105"/>
  <c r="AD88" i="105"/>
  <c r="AP88" i="105"/>
  <c r="BB88" i="105"/>
  <c r="T89" i="105"/>
  <c r="AF89" i="105"/>
  <c r="AR89" i="105"/>
  <c r="BD89" i="105"/>
  <c r="V90" i="105"/>
  <c r="AH90" i="105"/>
  <c r="AT90" i="105"/>
  <c r="BF90" i="105"/>
  <c r="X91" i="105"/>
  <c r="AJ91" i="105"/>
  <c r="AV91" i="105"/>
  <c r="N92" i="105"/>
  <c r="Z92" i="105"/>
  <c r="AL92" i="105"/>
  <c r="AX92" i="105"/>
  <c r="P93" i="105"/>
  <c r="AB93" i="105"/>
  <c r="AN93" i="105"/>
  <c r="AZ93" i="105"/>
  <c r="R94" i="105"/>
  <c r="AD94" i="105"/>
  <c r="AP94" i="105"/>
  <c r="BB94" i="105"/>
  <c r="T95" i="105"/>
  <c r="AF95" i="105"/>
  <c r="AR95" i="105"/>
  <c r="BD95" i="105"/>
  <c r="V96" i="105"/>
  <c r="AH96" i="105"/>
  <c r="AT96" i="105"/>
  <c r="BF96" i="105"/>
  <c r="X97" i="105"/>
  <c r="AJ97" i="105"/>
  <c r="AV97" i="105"/>
  <c r="N98" i="105"/>
  <c r="Z98" i="105"/>
  <c r="AL98" i="105"/>
  <c r="AX98" i="105"/>
  <c r="P99" i="105"/>
  <c r="AB99" i="105"/>
  <c r="AN99" i="105"/>
  <c r="AZ99" i="105"/>
  <c r="R100" i="105"/>
  <c r="AD100" i="105"/>
  <c r="AP100" i="105"/>
  <c r="BB100" i="105"/>
  <c r="Q87" i="105"/>
  <c r="AC87" i="105"/>
  <c r="AO87" i="105"/>
  <c r="BA87" i="105"/>
  <c r="S88" i="105"/>
  <c r="AE88" i="105"/>
  <c r="AQ88" i="105"/>
  <c r="BC88" i="105"/>
  <c r="U89" i="105"/>
  <c r="AG89" i="105"/>
  <c r="AS89" i="105"/>
  <c r="BE89" i="105"/>
  <c r="W90" i="105"/>
  <c r="AI90" i="105"/>
  <c r="AU90" i="105"/>
  <c r="M91" i="105"/>
  <c r="Y91" i="105"/>
  <c r="AK91" i="105"/>
  <c r="AW91" i="105"/>
  <c r="O92" i="105"/>
  <c r="AA92" i="105"/>
  <c r="AM92" i="105"/>
  <c r="AY92" i="105"/>
  <c r="Q93" i="105"/>
  <c r="AC93" i="105"/>
  <c r="AO93" i="105"/>
  <c r="BA93" i="105"/>
  <c r="S94" i="105"/>
  <c r="AE94" i="105"/>
  <c r="AQ94" i="105"/>
  <c r="BC94" i="105"/>
  <c r="U95" i="105"/>
  <c r="AG95" i="105"/>
  <c r="AS95" i="105"/>
  <c r="BE95" i="105"/>
  <c r="W96" i="105"/>
  <c r="AI96" i="105"/>
  <c r="AU96" i="105"/>
  <c r="M97" i="105"/>
  <c r="Y97" i="105"/>
  <c r="AK97" i="105"/>
  <c r="AW97" i="105"/>
  <c r="O98" i="105"/>
  <c r="AA98" i="105"/>
  <c r="AM98" i="105"/>
  <c r="AY98" i="105"/>
  <c r="Q99" i="105"/>
  <c r="AC99" i="105"/>
  <c r="AO99" i="105"/>
  <c r="BA99" i="105"/>
  <c r="S100" i="105"/>
  <c r="AE100" i="105"/>
  <c r="AQ100" i="105"/>
  <c r="BC100" i="105"/>
  <c r="U101" i="105"/>
  <c r="AG101" i="105"/>
  <c r="AS101" i="105"/>
  <c r="BE101" i="105"/>
  <c r="W102" i="105"/>
  <c r="AI102" i="105"/>
  <c r="AU102" i="105"/>
  <c r="M103" i="105"/>
  <c r="Y103" i="105"/>
  <c r="AK103" i="105"/>
  <c r="AW103" i="105"/>
  <c r="O104" i="105"/>
  <c r="AA104" i="105"/>
  <c r="AM104" i="105"/>
  <c r="AY104" i="105"/>
  <c r="Q105" i="105"/>
  <c r="AC105" i="105"/>
  <c r="AO105" i="105"/>
  <c r="BA105" i="105"/>
  <c r="S106" i="105"/>
  <c r="AE106" i="105"/>
  <c r="AQ106" i="105"/>
  <c r="BC106" i="105"/>
  <c r="U107" i="105"/>
  <c r="AG107" i="105"/>
  <c r="AS107" i="105"/>
  <c r="R87" i="105"/>
  <c r="AD87" i="105"/>
  <c r="AP87" i="105"/>
  <c r="BB87" i="105"/>
  <c r="T88" i="105"/>
  <c r="AF88" i="105"/>
  <c r="AR88" i="105"/>
  <c r="BD88" i="105"/>
  <c r="V89" i="105"/>
  <c r="AH89" i="105"/>
  <c r="AT89" i="105"/>
  <c r="BF89" i="105"/>
  <c r="X90" i="105"/>
  <c r="AJ90" i="105"/>
  <c r="AV90" i="105"/>
  <c r="N91" i="105"/>
  <c r="Z91" i="105"/>
  <c r="AL91" i="105"/>
  <c r="AX91" i="105"/>
  <c r="P92" i="105"/>
  <c r="AB92" i="105"/>
  <c r="AN92" i="105"/>
  <c r="AZ92" i="105"/>
  <c r="R93" i="105"/>
  <c r="AD93" i="105"/>
  <c r="AP93" i="105"/>
  <c r="BB93" i="105"/>
  <c r="T94" i="105"/>
  <c r="AF94" i="105"/>
  <c r="AR94" i="105"/>
  <c r="BD94" i="105"/>
  <c r="V95" i="105"/>
  <c r="AH95" i="105"/>
  <c r="AT95" i="105"/>
  <c r="BF95" i="105"/>
  <c r="X96" i="105"/>
  <c r="AJ96" i="105"/>
  <c r="AV96" i="105"/>
  <c r="N97" i="105"/>
  <c r="Z97" i="105"/>
  <c r="AL97" i="105"/>
  <c r="AX97" i="105"/>
  <c r="P98" i="105"/>
  <c r="AB98" i="105"/>
  <c r="AN98" i="105"/>
  <c r="AZ98" i="105"/>
  <c r="R99" i="105"/>
  <c r="AD99" i="105"/>
  <c r="AP99" i="105"/>
  <c r="BB99" i="105"/>
  <c r="T100" i="105"/>
  <c r="AF100" i="105"/>
  <c r="AR100" i="105"/>
  <c r="BD100" i="105"/>
  <c r="V101" i="105"/>
  <c r="AH101" i="105"/>
  <c r="AT101" i="105"/>
  <c r="BF101" i="105"/>
  <c r="X102" i="105"/>
  <c r="AJ102" i="105"/>
  <c r="AV102" i="105"/>
  <c r="N103" i="105"/>
  <c r="Z103" i="105"/>
  <c r="AL103" i="105"/>
  <c r="AX103" i="105"/>
  <c r="P104" i="105"/>
  <c r="AB104" i="105"/>
  <c r="AN104" i="105"/>
  <c r="AZ104" i="105"/>
  <c r="R105" i="105"/>
  <c r="AD105" i="105"/>
  <c r="AP105" i="105"/>
  <c r="BB105" i="105"/>
  <c r="T106" i="105"/>
  <c r="S87" i="105"/>
  <c r="AE87" i="105"/>
  <c r="AQ87" i="105"/>
  <c r="BC87" i="105"/>
  <c r="U88" i="105"/>
  <c r="AG88" i="105"/>
  <c r="AS88" i="105"/>
  <c r="BE88" i="105"/>
  <c r="W89" i="105"/>
  <c r="AI89" i="105"/>
  <c r="AU89" i="105"/>
  <c r="M90" i="105"/>
  <c r="Y90" i="105"/>
  <c r="AK90" i="105"/>
  <c r="AW90" i="105"/>
  <c r="O91" i="105"/>
  <c r="AA91" i="105"/>
  <c r="AM91" i="105"/>
  <c r="AY91" i="105"/>
  <c r="Q92" i="105"/>
  <c r="AC92" i="105"/>
  <c r="AO92" i="105"/>
  <c r="BA92" i="105"/>
  <c r="S93" i="105"/>
  <c r="AE93" i="105"/>
  <c r="AQ93" i="105"/>
  <c r="BC93" i="105"/>
  <c r="U94" i="105"/>
  <c r="AG94" i="105"/>
  <c r="AS94" i="105"/>
  <c r="BE94" i="105"/>
  <c r="W95" i="105"/>
  <c r="AI95" i="105"/>
  <c r="AU95" i="105"/>
  <c r="M96" i="105"/>
  <c r="Y96" i="105"/>
  <c r="AK96" i="105"/>
  <c r="AW96" i="105"/>
  <c r="O97" i="105"/>
  <c r="AA97" i="105"/>
  <c r="AM97" i="105"/>
  <c r="AY97" i="105"/>
  <c r="Q98" i="105"/>
  <c r="AC98" i="105"/>
  <c r="AO98" i="105"/>
  <c r="BA98" i="105"/>
  <c r="S99" i="105"/>
  <c r="AE99" i="105"/>
  <c r="AQ99" i="105"/>
  <c r="BC99" i="105"/>
  <c r="U100" i="105"/>
  <c r="AG100" i="105"/>
  <c r="AS100" i="105"/>
  <c r="BE100" i="105"/>
  <c r="W101" i="105"/>
  <c r="AI101" i="105"/>
  <c r="AU101" i="105"/>
  <c r="M102" i="105"/>
  <c r="Y102" i="105"/>
  <c r="AK102" i="105"/>
  <c r="W88" i="105"/>
  <c r="AW89" i="105"/>
  <c r="AC91" i="105"/>
  <c r="BC92" i="105"/>
  <c r="AI94" i="105"/>
  <c r="O96" i="105"/>
  <c r="AO97" i="105"/>
  <c r="U99" i="105"/>
  <c r="AU100" i="105"/>
  <c r="BD101" i="105"/>
  <c r="AW102" i="105"/>
  <c r="AC103" i="105"/>
  <c r="N104" i="105"/>
  <c r="AP104" i="105"/>
  <c r="W105" i="105"/>
  <c r="BC105" i="105"/>
  <c r="AF106" i="105"/>
  <c r="BA106" i="105"/>
  <c r="Y107" i="105"/>
  <c r="AU107" i="105"/>
  <c r="Q109" i="105"/>
  <c r="AC109" i="105"/>
  <c r="AO109" i="105"/>
  <c r="BA109" i="105"/>
  <c r="S110" i="105"/>
  <c r="AE110" i="105"/>
  <c r="AQ110" i="105"/>
  <c r="BC110" i="105"/>
  <c r="DC105" i="105" s="1"/>
  <c r="U111" i="105"/>
  <c r="AG111" i="105"/>
  <c r="AS111" i="105"/>
  <c r="BE111" i="105"/>
  <c r="W121" i="105"/>
  <c r="AI121" i="105"/>
  <c r="AU121" i="105"/>
  <c r="M122" i="105"/>
  <c r="Y122" i="105"/>
  <c r="AK122" i="105"/>
  <c r="AW122" i="105"/>
  <c r="O123" i="105"/>
  <c r="AA123" i="105"/>
  <c r="AM123" i="105"/>
  <c r="AY123" i="105"/>
  <c r="L96" i="105"/>
  <c r="L95" i="105"/>
  <c r="BD123" i="105"/>
  <c r="AH123" i="105"/>
  <c r="AJ89" i="105"/>
  <c r="BB111" i="105"/>
  <c r="AV123" i="105"/>
  <c r="AI100" i="105"/>
  <c r="S111" i="105"/>
  <c r="M123" i="105"/>
  <c r="AH88" i="105"/>
  <c r="N90" i="105"/>
  <c r="AN91" i="105"/>
  <c r="T93" i="105"/>
  <c r="AT94" i="105"/>
  <c r="Z96" i="105"/>
  <c r="AZ97" i="105"/>
  <c r="AF99" i="105"/>
  <c r="BF100" i="105"/>
  <c r="N102" i="105"/>
  <c r="AX102" i="105"/>
  <c r="AE103" i="105"/>
  <c r="Q104" i="105"/>
  <c r="AQ104" i="105"/>
  <c r="AB105" i="105"/>
  <c r="BD105" i="105"/>
  <c r="AG106" i="105"/>
  <c r="BB106" i="105"/>
  <c r="AA107" i="105"/>
  <c r="AV107" i="105"/>
  <c r="R109" i="105"/>
  <c r="AD109" i="105"/>
  <c r="AP109" i="105"/>
  <c r="BB109" i="105"/>
  <c r="T110" i="105"/>
  <c r="AF110" i="105"/>
  <c r="AR110" i="105"/>
  <c r="BD110" i="105"/>
  <c r="V111" i="105"/>
  <c r="AH111" i="105"/>
  <c r="AT111" i="105"/>
  <c r="BF111" i="105"/>
  <c r="X121" i="105"/>
  <c r="AJ121" i="105"/>
  <c r="AV121" i="105"/>
  <c r="N122" i="105"/>
  <c r="BN122" i="105" s="1"/>
  <c r="Z122" i="105"/>
  <c r="AL122" i="105"/>
  <c r="CL122" i="105" s="1"/>
  <c r="AX122" i="105"/>
  <c r="CX122" i="105" s="1"/>
  <c r="P123" i="105"/>
  <c r="AB123" i="105"/>
  <c r="AN123" i="105"/>
  <c r="AZ123" i="105"/>
  <c r="L107" i="105"/>
  <c r="L88" i="105"/>
  <c r="L90" i="105"/>
  <c r="BB98" i="105"/>
  <c r="AZ103" i="105"/>
  <c r="AT106" i="105"/>
  <c r="AL109" i="105"/>
  <c r="AP111" i="105"/>
  <c r="BF122" i="105"/>
  <c r="L99" i="105"/>
  <c r="W94" i="105"/>
  <c r="T105" i="105"/>
  <c r="AC110" i="105"/>
  <c r="W122" i="105"/>
  <c r="BW122" i="105" s="1"/>
  <c r="AI88" i="105"/>
  <c r="O90" i="105"/>
  <c r="AO91" i="105"/>
  <c r="U93" i="105"/>
  <c r="AU94" i="105"/>
  <c r="AA96" i="105"/>
  <c r="BA97" i="105"/>
  <c r="AG99" i="105"/>
  <c r="M101" i="105"/>
  <c r="O102" i="105"/>
  <c r="AY102" i="105"/>
  <c r="AJ103" i="105"/>
  <c r="R104" i="105"/>
  <c r="AS104" i="105"/>
  <c r="AE105" i="105"/>
  <c r="BE105" i="105"/>
  <c r="AH106" i="105"/>
  <c r="BD106" i="105"/>
  <c r="AE107" i="105"/>
  <c r="AW107" i="105"/>
  <c r="S109" i="105"/>
  <c r="AE109" i="105"/>
  <c r="AQ109" i="105"/>
  <c r="BC109" i="105"/>
  <c r="U110" i="105"/>
  <c r="AG110" i="105"/>
  <c r="AS110" i="105"/>
  <c r="BE110" i="105"/>
  <c r="W111" i="105"/>
  <c r="AI111" i="105"/>
  <c r="AU111" i="105"/>
  <c r="M121" i="105"/>
  <c r="Y121" i="105"/>
  <c r="AK121" i="105"/>
  <c r="AW121" i="105"/>
  <c r="O122" i="105"/>
  <c r="BO122" i="105" s="1"/>
  <c r="AA122" i="105"/>
  <c r="CA122" i="105" s="1"/>
  <c r="AM122" i="105"/>
  <c r="CM122" i="105" s="1"/>
  <c r="AY122" i="105"/>
  <c r="CY122" i="105" s="1"/>
  <c r="Q123" i="105"/>
  <c r="AC123" i="105"/>
  <c r="AO123" i="105"/>
  <c r="BA123" i="105"/>
  <c r="L106" i="105"/>
  <c r="L94" i="105"/>
  <c r="L104" i="105"/>
  <c r="AL111" i="105"/>
  <c r="AB121" i="105"/>
  <c r="R122" i="105"/>
  <c r="BR122" i="105" s="1"/>
  <c r="T123" i="105"/>
  <c r="V123" i="105"/>
  <c r="L122" i="105"/>
  <c r="BL122" i="105" s="1"/>
  <c r="L100" i="105"/>
  <c r="P91" i="105"/>
  <c r="AH100" i="105"/>
  <c r="S105" i="105"/>
  <c r="AB110" i="105"/>
  <c r="AR121" i="105"/>
  <c r="AQ92" i="105"/>
  <c r="AC106" i="105"/>
  <c r="AM109" i="105"/>
  <c r="U121" i="105"/>
  <c r="L98" i="105"/>
  <c r="T87" i="105"/>
  <c r="AT88" i="105"/>
  <c r="Z90" i="105"/>
  <c r="AZ91" i="105"/>
  <c r="AF93" i="105"/>
  <c r="BF94" i="105"/>
  <c r="AL96" i="105"/>
  <c r="R98" i="105"/>
  <c r="AR99" i="105"/>
  <c r="T101" i="105"/>
  <c r="V102" i="105"/>
  <c r="BA102" i="105"/>
  <c r="AM103" i="105"/>
  <c r="S104" i="105"/>
  <c r="AX104" i="105"/>
  <c r="AF105" i="105"/>
  <c r="M106" i="105"/>
  <c r="AI106" i="105"/>
  <c r="BE106" i="105"/>
  <c r="AF107" i="105"/>
  <c r="AY107" i="105"/>
  <c r="T109" i="105"/>
  <c r="AF109" i="105"/>
  <c r="AR109" i="105"/>
  <c r="BD109" i="105"/>
  <c r="V110" i="105"/>
  <c r="AH110" i="105"/>
  <c r="AT110" i="105"/>
  <c r="BF110" i="105"/>
  <c r="X111" i="105"/>
  <c r="AJ111" i="105"/>
  <c r="AV111" i="105"/>
  <c r="N121" i="105"/>
  <c r="Z121" i="105"/>
  <c r="AL121" i="105"/>
  <c r="AX121" i="105"/>
  <c r="P122" i="105"/>
  <c r="BP122" i="105" s="1"/>
  <c r="AB122" i="105"/>
  <c r="CB122" i="105" s="1"/>
  <c r="AN122" i="105"/>
  <c r="CN122" i="105" s="1"/>
  <c r="AZ122" i="105"/>
  <c r="CZ122" i="105" s="1"/>
  <c r="R123" i="105"/>
  <c r="AD123" i="105"/>
  <c r="AP123" i="105"/>
  <c r="BB123" i="105"/>
  <c r="L105" i="105"/>
  <c r="L93" i="105"/>
  <c r="Z111" i="105"/>
  <c r="P121" i="105"/>
  <c r="AN121" i="105"/>
  <c r="AD122" i="105"/>
  <c r="CD122" i="105" s="1"/>
  <c r="AP122" i="105"/>
  <c r="CP122" i="105" s="1"/>
  <c r="AF123" i="105"/>
  <c r="L103" i="105"/>
  <c r="BF123" i="105"/>
  <c r="V94" i="105"/>
  <c r="AR101" i="105"/>
  <c r="Y106" i="105"/>
  <c r="N109" i="105"/>
  <c r="AN110" i="105"/>
  <c r="BD121" i="105"/>
  <c r="Q91" i="105"/>
  <c r="AO102" i="105"/>
  <c r="AR107" i="105"/>
  <c r="AY109" i="105"/>
  <c r="BC111" i="105"/>
  <c r="AU122" i="105"/>
  <c r="U87" i="105"/>
  <c r="AU88" i="105"/>
  <c r="AA90" i="105"/>
  <c r="BA91" i="105"/>
  <c r="AG93" i="105"/>
  <c r="M95" i="105"/>
  <c r="AM96" i="105"/>
  <c r="S98" i="105"/>
  <c r="AS99" i="105"/>
  <c r="X101" i="105"/>
  <c r="Z102" i="105"/>
  <c r="BF102" i="105"/>
  <c r="AN103" i="105"/>
  <c r="U104" i="105"/>
  <c r="BA104" i="105"/>
  <c r="AG105" i="105"/>
  <c r="Q106" i="105"/>
  <c r="AK106" i="105"/>
  <c r="BF106" i="105"/>
  <c r="AH107" i="105"/>
  <c r="AZ107" i="105"/>
  <c r="U109" i="105"/>
  <c r="AG109" i="105"/>
  <c r="AS109" i="105"/>
  <c r="BE109" i="105"/>
  <c r="W110" i="105"/>
  <c r="AI110" i="105"/>
  <c r="AU110" i="105"/>
  <c r="M111" i="105"/>
  <c r="Y111" i="105"/>
  <c r="AK111" i="105"/>
  <c r="AW111" i="105"/>
  <c r="O121" i="105"/>
  <c r="AA121" i="105"/>
  <c r="AM121" i="105"/>
  <c r="AY121" i="105"/>
  <c r="Q122" i="105"/>
  <c r="AC122" i="105"/>
  <c r="AO122" i="105"/>
  <c r="BA122" i="105"/>
  <c r="S123" i="105"/>
  <c r="AE123" i="105"/>
  <c r="AQ123" i="105"/>
  <c r="BC123" i="105"/>
  <c r="L87" i="105"/>
  <c r="AX111" i="105"/>
  <c r="AZ121" i="105"/>
  <c r="BB122" i="105"/>
  <c r="DB122" i="105" s="1"/>
  <c r="AR123" i="105"/>
  <c r="AT123" i="105"/>
  <c r="L101" i="105"/>
  <c r="L91" i="105"/>
  <c r="AV95" i="105"/>
  <c r="AM102" i="105"/>
  <c r="AS105" i="105"/>
  <c r="AX109" i="105"/>
  <c r="AD111" i="105"/>
  <c r="V122" i="105"/>
  <c r="AJ123" i="105"/>
  <c r="L111" i="105"/>
  <c r="BC98" i="105"/>
  <c r="AU105" i="105"/>
  <c r="AO110" i="105"/>
  <c r="AG121" i="105"/>
  <c r="Y123" i="105"/>
  <c r="L110" i="105"/>
  <c r="AF87" i="105"/>
  <c r="BF88" i="105"/>
  <c r="AL90" i="105"/>
  <c r="R92" i="105"/>
  <c r="AR93" i="105"/>
  <c r="X95" i="105"/>
  <c r="AX96" i="105"/>
  <c r="AD98" i="105"/>
  <c r="BD99" i="105"/>
  <c r="Y101" i="105"/>
  <c r="AA102" i="105"/>
  <c r="O103" i="105"/>
  <c r="AO103" i="105"/>
  <c r="Z104" i="105"/>
  <c r="BB104" i="105"/>
  <c r="AI105" i="105"/>
  <c r="R106" i="105"/>
  <c r="AO106" i="105"/>
  <c r="M107" i="105"/>
  <c r="AI107" i="105"/>
  <c r="BC107" i="105"/>
  <c r="V109" i="105"/>
  <c r="AH109" i="105"/>
  <c r="AT109" i="105"/>
  <c r="BF109" i="105"/>
  <c r="X110" i="105"/>
  <c r="AJ110" i="105"/>
  <c r="AV110" i="105"/>
  <c r="N111" i="105"/>
  <c r="AG87" i="105"/>
  <c r="M89" i="105"/>
  <c r="AM90" i="105"/>
  <c r="S92" i="105"/>
  <c r="AS93" i="105"/>
  <c r="Y95" i="105"/>
  <c r="AY96" i="105"/>
  <c r="AE98" i="105"/>
  <c r="BE99" i="105"/>
  <c r="AF101" i="105"/>
  <c r="AC102" i="105"/>
  <c r="P103" i="105"/>
  <c r="AQ103" i="105"/>
  <c r="AC104" i="105"/>
  <c r="BC104" i="105"/>
  <c r="AN105" i="105"/>
  <c r="U106" i="105"/>
  <c r="AP106" i="105"/>
  <c r="O107" i="105"/>
  <c r="AJ107" i="105"/>
  <c r="BD107" i="105"/>
  <c r="W109" i="105"/>
  <c r="AI109" i="105"/>
  <c r="AU109" i="105"/>
  <c r="M110" i="105"/>
  <c r="Y110" i="105"/>
  <c r="AK110" i="105"/>
  <c r="AW110" i="105"/>
  <c r="O111" i="105"/>
  <c r="AA111" i="105"/>
  <c r="AM111" i="105"/>
  <c r="AY111" i="105"/>
  <c r="Q121" i="105"/>
  <c r="AC121" i="105"/>
  <c r="AO121" i="105"/>
  <c r="BA121" i="105"/>
  <c r="S122" i="105"/>
  <c r="BS122" i="105" s="1"/>
  <c r="AE122" i="105"/>
  <c r="CE122" i="105" s="1"/>
  <c r="AQ122" i="105"/>
  <c r="CQ122" i="105" s="1"/>
  <c r="BC122" i="105"/>
  <c r="DC122" i="105" s="1"/>
  <c r="U123" i="105"/>
  <c r="AG123" i="105"/>
  <c r="AS123" i="105"/>
  <c r="BE123" i="105"/>
  <c r="L123" i="105"/>
  <c r="L102" i="105"/>
  <c r="L89" i="105"/>
  <c r="BD122" i="105"/>
  <c r="DD122" i="105" s="1"/>
  <c r="L121" i="105"/>
  <c r="AB97" i="105"/>
  <c r="R111" i="105"/>
  <c r="AK89" i="105"/>
  <c r="AL104" i="105"/>
  <c r="Q110" i="105"/>
  <c r="AE111" i="105"/>
  <c r="BE121" i="105"/>
  <c r="AK123" i="105"/>
  <c r="AR87" i="105"/>
  <c r="X89" i="105"/>
  <c r="AX90" i="105"/>
  <c r="AD92" i="105"/>
  <c r="BD93" i="105"/>
  <c r="AJ95" i="105"/>
  <c r="P97" i="105"/>
  <c r="AP98" i="105"/>
  <c r="V100" i="105"/>
  <c r="AJ101" i="105"/>
  <c r="AH102" i="105"/>
  <c r="Q103" i="105"/>
  <c r="AV103" i="105"/>
  <c r="AD104" i="105"/>
  <c r="BE104" i="105"/>
  <c r="AQ105" i="105"/>
  <c r="V106" i="105"/>
  <c r="AR106" i="105"/>
  <c r="S107" i="105"/>
  <c r="AK107" i="105"/>
  <c r="BE107" i="105"/>
  <c r="X109" i="105"/>
  <c r="AJ109" i="105"/>
  <c r="AV109" i="105"/>
  <c r="N110" i="105"/>
  <c r="Z110" i="105"/>
  <c r="AL110" i="105"/>
  <c r="AX110" i="105"/>
  <c r="P111" i="105"/>
  <c r="AB111" i="105"/>
  <c r="AN111" i="105"/>
  <c r="AZ111" i="105"/>
  <c r="R121" i="105"/>
  <c r="AD121" i="105"/>
  <c r="AP121" i="105"/>
  <c r="BB121" i="105"/>
  <c r="T122" i="105"/>
  <c r="BT122" i="105" s="1"/>
  <c r="AF122" i="105"/>
  <c r="CF122" i="105" s="1"/>
  <c r="AR122" i="105"/>
  <c r="AP92" i="105"/>
  <c r="AG104" i="105"/>
  <c r="V107" i="105"/>
  <c r="Z109" i="105"/>
  <c r="AZ110" i="105"/>
  <c r="AF121" i="105"/>
  <c r="AH122" i="105"/>
  <c r="X123" i="105"/>
  <c r="L92" i="105"/>
  <c r="BE87" i="105"/>
  <c r="BA103" i="105"/>
  <c r="AW123" i="105"/>
  <c r="AS87" i="105"/>
  <c r="Y89" i="105"/>
  <c r="AY90" i="105"/>
  <c r="AE92" i="105"/>
  <c r="BE93" i="105"/>
  <c r="AK95" i="105"/>
  <c r="Q97" i="105"/>
  <c r="AQ98" i="105"/>
  <c r="W100" i="105"/>
  <c r="AK101" i="105"/>
  <c r="AL102" i="105"/>
  <c r="S103" i="105"/>
  <c r="AY103" i="105"/>
  <c r="AE104" i="105"/>
  <c r="P105" i="105"/>
  <c r="AR105" i="105"/>
  <c r="W106" i="105"/>
  <c r="AS106" i="105"/>
  <c r="T107" i="105"/>
  <c r="AM107" i="105"/>
  <c r="BF107" i="105"/>
  <c r="M109" i="105"/>
  <c r="Y109" i="105"/>
  <c r="AK109" i="105"/>
  <c r="AW109" i="105"/>
  <c r="O110" i="105"/>
  <c r="AA110" i="105"/>
  <c r="AM110" i="105"/>
  <c r="AY110" i="105"/>
  <c r="Q111" i="105"/>
  <c r="AC111" i="105"/>
  <c r="AO111" i="105"/>
  <c r="BA111" i="105"/>
  <c r="S121" i="105"/>
  <c r="AE121" i="105"/>
  <c r="AQ121" i="105"/>
  <c r="BC121" i="105"/>
  <c r="U122" i="105"/>
  <c r="BU122" i="105" s="1"/>
  <c r="AG122" i="105"/>
  <c r="CG122" i="105" s="1"/>
  <c r="AS122" i="105"/>
  <c r="CS122" i="105" s="1"/>
  <c r="BE122" i="105"/>
  <c r="W123" i="105"/>
  <c r="AI123" i="105"/>
  <c r="AU123" i="105"/>
  <c r="BD87" i="105"/>
  <c r="X103" i="105"/>
  <c r="AQ107" i="105"/>
  <c r="P110" i="105"/>
  <c r="T121" i="105"/>
  <c r="AT122" i="105"/>
  <c r="AW95" i="105"/>
  <c r="AV101" i="105"/>
  <c r="AU106" i="105"/>
  <c r="O109" i="105"/>
  <c r="BA110" i="105"/>
  <c r="AS121" i="105"/>
  <c r="V88" i="105"/>
  <c r="AV89" i="105"/>
  <c r="AB91" i="105"/>
  <c r="BB92" i="105"/>
  <c r="AH94" i="105"/>
  <c r="N96" i="105"/>
  <c r="AN97" i="105"/>
  <c r="T99" i="105"/>
  <c r="AT100" i="105"/>
  <c r="AW101" i="105"/>
  <c r="AT102" i="105"/>
  <c r="AB103" i="105"/>
  <c r="BC103" i="105"/>
  <c r="AO104" i="105"/>
  <c r="U105" i="105"/>
  <c r="AZ105" i="105"/>
  <c r="AD106" i="105"/>
  <c r="AW106" i="105"/>
  <c r="X107" i="105"/>
  <c r="AT107" i="105"/>
  <c r="P109" i="105"/>
  <c r="AB109" i="105"/>
  <c r="AN109" i="105"/>
  <c r="AZ109" i="105"/>
  <c r="R110" i="105"/>
  <c r="AD110" i="105"/>
  <c r="AP110" i="105"/>
  <c r="BB110" i="105"/>
  <c r="T111" i="105"/>
  <c r="AF111" i="105"/>
  <c r="AR111" i="105"/>
  <c r="BD111" i="105"/>
  <c r="V121" i="105"/>
  <c r="AH121" i="105"/>
  <c r="AT121" i="105"/>
  <c r="BF121" i="105"/>
  <c r="X122" i="105"/>
  <c r="BX122" i="105" s="1"/>
  <c r="AJ122" i="105"/>
  <c r="CJ122" i="105" s="1"/>
  <c r="AV122" i="105"/>
  <c r="CV122" i="105" s="1"/>
  <c r="N123" i="105"/>
  <c r="Z123" i="105"/>
  <c r="AL123" i="105"/>
  <c r="AX123" i="105"/>
  <c r="L109" i="105"/>
  <c r="L97" i="105"/>
  <c r="AC97" i="105"/>
  <c r="AA103" i="105"/>
  <c r="W107" i="105"/>
  <c r="AA109" i="105"/>
  <c r="AQ111" i="105"/>
  <c r="AI122" i="105"/>
  <c r="N47" i="104"/>
  <c r="L47" i="104"/>
  <c r="CV132" i="105"/>
  <c r="BB132" i="105"/>
  <c r="BH133" i="105"/>
  <c r="CY132" i="105"/>
  <c r="BI133" i="105"/>
  <c r="AR132" i="105"/>
  <c r="N133" i="105"/>
  <c r="CH133" i="105"/>
  <c r="H132" i="105"/>
  <c r="AJ133" i="105"/>
  <c r="S132" i="105"/>
  <c r="AK133" i="105"/>
  <c r="AX133" i="105"/>
  <c r="BN132" i="105"/>
  <c r="BT133" i="105"/>
  <c r="CA132" i="105"/>
  <c r="CG133" i="105"/>
  <c r="AF132" i="105"/>
  <c r="Z133" i="105"/>
  <c r="BZ132" i="105"/>
  <c r="CF133" i="105"/>
  <c r="BC132" i="105"/>
  <c r="DE133" i="105"/>
  <c r="BD132" i="105"/>
  <c r="BJ133" i="105"/>
  <c r="X133" i="105"/>
  <c r="AQ132" i="105"/>
  <c r="Y133" i="105"/>
  <c r="CB132" i="105"/>
  <c r="CL132" i="105"/>
  <c r="DD133" i="105"/>
  <c r="M133" i="105"/>
  <c r="BP132" i="105"/>
  <c r="DF133" i="105"/>
  <c r="AB132" i="105"/>
  <c r="AN132" i="105"/>
  <c r="AZ132" i="105"/>
  <c r="BL132" i="105"/>
  <c r="BX132" i="105"/>
  <c r="CJ132" i="105"/>
  <c r="L133" i="105"/>
  <c r="BO132" i="105"/>
  <c r="BU133" i="105"/>
  <c r="CN132" i="105"/>
  <c r="BV133" i="105"/>
  <c r="AC132" i="105"/>
  <c r="AO132" i="105"/>
  <c r="BA132" i="105"/>
  <c r="BM132" i="105"/>
  <c r="BY132" i="105"/>
  <c r="CK132" i="105"/>
  <c r="CW132" i="105"/>
  <c r="AV133" i="105"/>
  <c r="AE132" i="105"/>
  <c r="AW133" i="105"/>
  <c r="AL133" i="105"/>
  <c r="R132" i="105"/>
  <c r="AD132" i="105"/>
  <c r="AP132" i="105"/>
  <c r="CX132" i="105"/>
  <c r="CR133" i="105"/>
  <c r="CM132" i="105"/>
  <c r="CS133" i="105"/>
  <c r="T132" i="105"/>
  <c r="CZ132" i="105"/>
  <c r="CT133" i="105"/>
  <c r="I132" i="105"/>
  <c r="I133" i="105"/>
  <c r="BE133" i="105"/>
  <c r="AH133" i="105"/>
  <c r="BO133" i="105"/>
  <c r="Y132" i="105"/>
  <c r="AP133" i="105"/>
  <c r="CK133" i="105"/>
  <c r="AI132" i="105"/>
  <c r="BF132" i="105"/>
  <c r="AN133" i="105"/>
  <c r="DA132" i="105"/>
  <c r="H133" i="105"/>
  <c r="BW133" i="105"/>
  <c r="BK133" i="105"/>
  <c r="O132" i="105"/>
  <c r="AB133" i="105"/>
  <c r="AW132" i="105"/>
  <c r="CP133" i="105"/>
  <c r="DC133" i="105"/>
  <c r="CU132" i="105"/>
  <c r="CB133" i="105"/>
  <c r="CC133" i="105"/>
  <c r="BC133" i="105"/>
  <c r="M132" i="105"/>
  <c r="AD133" i="105"/>
  <c r="BY133" i="105"/>
  <c r="W132" i="105"/>
  <c r="AT132" i="105"/>
  <c r="P133" i="105"/>
  <c r="CO132" i="105"/>
  <c r="BH132" i="105"/>
  <c r="AV132" i="105"/>
  <c r="AY133" i="105"/>
  <c r="AS133" i="105"/>
  <c r="BX133" i="105"/>
  <c r="DA133" i="105"/>
  <c r="BR132" i="105"/>
  <c r="AI133" i="105"/>
  <c r="CI132" i="105"/>
  <c r="BD133" i="105"/>
  <c r="CN133" i="105"/>
  <c r="AQ133" i="105"/>
  <c r="AU133" i="105"/>
  <c r="R133" i="105"/>
  <c r="BA133" i="105"/>
  <c r="AH132" i="105"/>
  <c r="CP132" i="105"/>
  <c r="CC132" i="105"/>
  <c r="AO133" i="105"/>
  <c r="CI133" i="105"/>
  <c r="CW133" i="105"/>
  <c r="BU132" i="105"/>
  <c r="BG132" i="105"/>
  <c r="AU132" i="105"/>
  <c r="Q132" i="105"/>
  <c r="BW132" i="105"/>
  <c r="AF133" i="105"/>
  <c r="BP133" i="105"/>
  <c r="AE133" i="105"/>
  <c r="CO133" i="105"/>
  <c r="DD132" i="105"/>
  <c r="V132" i="105"/>
  <c r="BQ132" i="105"/>
  <c r="AG132" i="105"/>
  <c r="U132" i="105"/>
  <c r="Z132" i="105"/>
  <c r="CE132" i="105"/>
  <c r="BN133" i="105"/>
  <c r="CA133" i="105"/>
  <c r="CQ133" i="105"/>
  <c r="BK132" i="105"/>
  <c r="DF132" i="105"/>
  <c r="AR133" i="105"/>
  <c r="S133" i="105"/>
  <c r="BQ133" i="105"/>
  <c r="CR132" i="105"/>
  <c r="AC133" i="105"/>
  <c r="BF133" i="105"/>
  <c r="CU133" i="105"/>
  <c r="BE132" i="105"/>
  <c r="AG133" i="105"/>
  <c r="Q133" i="105"/>
  <c r="BS133" i="105"/>
  <c r="AS132" i="105"/>
  <c r="AZ133" i="105"/>
  <c r="BJ132" i="105"/>
  <c r="BM133" i="105"/>
  <c r="AM133" i="105"/>
  <c r="CD132" i="105"/>
  <c r="BB133" i="105"/>
  <c r="CD133" i="105"/>
  <c r="AY132" i="105"/>
  <c r="BV132" i="105"/>
  <c r="T133" i="105"/>
  <c r="DE132" i="105"/>
  <c r="CF132" i="105"/>
  <c r="CL133" i="105"/>
  <c r="BG133" i="105"/>
  <c r="AA133" i="105"/>
  <c r="U133" i="105"/>
  <c r="O133" i="105"/>
  <c r="V133" i="105"/>
  <c r="AM132" i="105"/>
  <c r="AX132" i="105"/>
  <c r="CT132" i="105"/>
  <c r="CS132" i="105"/>
  <c r="CZ133" i="105"/>
  <c r="BT132" i="105"/>
  <c r="DC132" i="105"/>
  <c r="CJ133" i="105"/>
  <c r="DB133" i="105"/>
  <c r="CE133" i="105"/>
  <c r="BR133" i="105"/>
  <c r="BL133" i="105"/>
  <c r="P132" i="105"/>
  <c r="AA132" i="105"/>
  <c r="AL132" i="105"/>
  <c r="CH132" i="105"/>
  <c r="CG132" i="105"/>
  <c r="CX133" i="105"/>
  <c r="CQ132" i="105"/>
  <c r="CM133" i="105"/>
  <c r="L132" i="105"/>
  <c r="AT133" i="105"/>
  <c r="W133" i="105"/>
  <c r="N132" i="105"/>
  <c r="CY133" i="105"/>
  <c r="BI132" i="105"/>
  <c r="BZ133" i="105"/>
  <c r="AJ132" i="105"/>
  <c r="BS132" i="105"/>
  <c r="DB132" i="105"/>
  <c r="CV133" i="105"/>
  <c r="X132" i="105"/>
  <c r="AK132" i="105"/>
  <c r="BB72" i="104"/>
  <c r="Z87" i="104"/>
  <c r="AL92" i="104"/>
  <c r="AL73" i="104"/>
  <c r="K60" i="104"/>
  <c r="BB217" i="104" s="1"/>
  <c r="L57" i="104"/>
  <c r="K57" i="104" s="1"/>
  <c r="AI193" i="104" s="1"/>
  <c r="K58" i="104"/>
  <c r="S27" i="104"/>
  <c r="S25" i="104" s="1"/>
  <c r="AE111" i="104" s="1"/>
  <c r="AR75" i="104"/>
  <c r="AO76" i="104"/>
  <c r="O57" i="104"/>
  <c r="Z197" i="104" s="1"/>
  <c r="R57" i="104"/>
  <c r="AI200" i="104" s="1"/>
  <c r="P60" i="104"/>
  <c r="AS221" i="104" s="1"/>
  <c r="AU74" i="104"/>
  <c r="K46" i="104"/>
  <c r="L61" i="104"/>
  <c r="Z73" i="104"/>
  <c r="P58" i="104"/>
  <c r="P57" i="104" s="1"/>
  <c r="AB198" i="104" s="1"/>
  <c r="Z77" i="104"/>
  <c r="W76" i="104"/>
  <c r="AC78" i="104"/>
  <c r="L59" i="104"/>
  <c r="BB210" i="104" s="1"/>
  <c r="AX79" i="104"/>
  <c r="N26" i="105"/>
  <c r="M23" i="105"/>
  <c r="Q23" i="105"/>
  <c r="CK143" i="105"/>
  <c r="N23" i="105"/>
  <c r="CP137" i="105"/>
  <c r="R24" i="105"/>
  <c r="BX142" i="105"/>
  <c r="N138" i="105"/>
  <c r="AB139" i="105"/>
  <c r="R23" i="105"/>
  <c r="Z158" i="104"/>
  <c r="O153" i="104"/>
  <c r="AO82" i="104"/>
  <c r="W82" i="104"/>
  <c r="P46" i="104"/>
  <c r="K27" i="105"/>
  <c r="CZ140" i="105"/>
  <c r="CN140" i="105"/>
  <c r="CB140" i="105"/>
  <c r="BP140" i="105"/>
  <c r="BD140" i="105"/>
  <c r="AR140" i="105"/>
  <c r="AF140" i="105"/>
  <c r="T140" i="105"/>
  <c r="H140" i="105"/>
  <c r="CW140" i="105"/>
  <c r="CK140" i="105"/>
  <c r="BY140" i="105"/>
  <c r="BM140" i="105"/>
  <c r="BA140" i="105"/>
  <c r="AO140" i="105"/>
  <c r="AC140" i="105"/>
  <c r="Q140" i="105"/>
  <c r="DF140" i="105"/>
  <c r="DD140" i="105"/>
  <c r="CR140" i="105"/>
  <c r="CF140" i="105"/>
  <c r="BT140" i="105"/>
  <c r="BH140" i="105"/>
  <c r="AV140" i="105"/>
  <c r="AJ140" i="105"/>
  <c r="X140" i="105"/>
  <c r="L140" i="105"/>
  <c r="DA140" i="105"/>
  <c r="CJ140" i="105"/>
  <c r="BU140" i="105"/>
  <c r="BE140" i="105"/>
  <c r="AN140" i="105"/>
  <c r="Y140" i="105"/>
  <c r="I140" i="105"/>
  <c r="CY140" i="105"/>
  <c r="CI140" i="105"/>
  <c r="BS140" i="105"/>
  <c r="BC140" i="105"/>
  <c r="AM140" i="105"/>
  <c r="W140" i="105"/>
  <c r="CX140" i="105"/>
  <c r="CH140" i="105"/>
  <c r="BR140" i="105"/>
  <c r="BB140" i="105"/>
  <c r="AL140" i="105"/>
  <c r="V140" i="105"/>
  <c r="CS140" i="105"/>
  <c r="CC140" i="105"/>
  <c r="BL140" i="105"/>
  <c r="AW140" i="105"/>
  <c r="AG140" i="105"/>
  <c r="P140" i="105"/>
  <c r="CQ140" i="105"/>
  <c r="CA140" i="105"/>
  <c r="BK140" i="105"/>
  <c r="AU140" i="105"/>
  <c r="AE140" i="105"/>
  <c r="O140" i="105"/>
  <c r="CG140" i="105"/>
  <c r="BG140" i="105"/>
  <c r="AD140" i="105"/>
  <c r="CU140" i="105"/>
  <c r="BV140" i="105"/>
  <c r="AS140" i="105"/>
  <c r="R140" i="105"/>
  <c r="CD140" i="105"/>
  <c r="AX140" i="105"/>
  <c r="N140" i="105"/>
  <c r="DE140" i="105"/>
  <c r="BX140" i="105"/>
  <c r="AQ140" i="105"/>
  <c r="DC140" i="105"/>
  <c r="BW140" i="105"/>
  <c r="AP140" i="105"/>
  <c r="DB140" i="105"/>
  <c r="BQ140" i="105"/>
  <c r="AK140" i="105"/>
  <c r="CV140" i="105"/>
  <c r="BO140" i="105"/>
  <c r="AI140" i="105"/>
  <c r="CT140" i="105"/>
  <c r="BN140" i="105"/>
  <c r="AH140" i="105"/>
  <c r="CO140" i="105"/>
  <c r="BI140" i="105"/>
  <c r="AA140" i="105"/>
  <c r="CE140" i="105"/>
  <c r="BZ140" i="105"/>
  <c r="AZ140" i="105"/>
  <c r="AY140" i="105"/>
  <c r="Z140" i="105"/>
  <c r="M140" i="105"/>
  <c r="CP140" i="105"/>
  <c r="CM140" i="105"/>
  <c r="CL140" i="105"/>
  <c r="AT140" i="105"/>
  <c r="S140" i="105"/>
  <c r="BJ140" i="105"/>
  <c r="DC150" i="105"/>
  <c r="CQ150" i="105"/>
  <c r="CE150" i="105"/>
  <c r="BS150" i="105"/>
  <c r="BG150" i="105"/>
  <c r="AU150" i="105"/>
  <c r="AI150" i="105"/>
  <c r="CY150" i="105"/>
  <c r="CM150" i="105"/>
  <c r="CA150" i="105"/>
  <c r="BO150" i="105"/>
  <c r="BC150" i="105"/>
  <c r="AQ150" i="105"/>
  <c r="CX150" i="105"/>
  <c r="CW150" i="105"/>
  <c r="CK150" i="105"/>
  <c r="CU150" i="105"/>
  <c r="CF150" i="105"/>
  <c r="BQ150" i="105"/>
  <c r="BB150" i="105"/>
  <c r="AN150" i="105"/>
  <c r="AA150" i="105"/>
  <c r="O150" i="105"/>
  <c r="CR150" i="105"/>
  <c r="CB150" i="105"/>
  <c r="BM150" i="105"/>
  <c r="AY150" i="105"/>
  <c r="AK150" i="105"/>
  <c r="X150" i="105"/>
  <c r="L150" i="105"/>
  <c r="CP150" i="105"/>
  <c r="BZ150" i="105"/>
  <c r="BL150" i="105"/>
  <c r="AX150" i="105"/>
  <c r="AJ150" i="105"/>
  <c r="W150" i="105"/>
  <c r="K150" i="105"/>
  <c r="DF150" i="105"/>
  <c r="CO150" i="105"/>
  <c r="BY150" i="105"/>
  <c r="BK150" i="105"/>
  <c r="AW150" i="105"/>
  <c r="AH150" i="105"/>
  <c r="V150" i="105"/>
  <c r="J150" i="105"/>
  <c r="DB150" i="105"/>
  <c r="CJ150" i="105"/>
  <c r="BV150" i="105"/>
  <c r="BH150" i="105"/>
  <c r="AS150" i="105"/>
  <c r="AE150" i="105"/>
  <c r="S150" i="105"/>
  <c r="DE150" i="105"/>
  <c r="CD150" i="105"/>
  <c r="BE150" i="105"/>
  <c r="AF150" i="105"/>
  <c r="M150" i="105"/>
  <c r="DA150" i="105"/>
  <c r="BX150" i="105"/>
  <c r="BA150" i="105"/>
  <c r="AC150" i="105"/>
  <c r="H150" i="105"/>
  <c r="CZ150" i="105"/>
  <c r="BW150" i="105"/>
  <c r="AZ150" i="105"/>
  <c r="AB150" i="105"/>
  <c r="CS150" i="105"/>
  <c r="BR150" i="105"/>
  <c r="AR150" i="105"/>
  <c r="U150" i="105"/>
  <c r="CL150" i="105"/>
  <c r="BN150" i="105"/>
  <c r="AO150" i="105"/>
  <c r="R150" i="105"/>
  <c r="BU150" i="105"/>
  <c r="AG150" i="105"/>
  <c r="BT150" i="105"/>
  <c r="AD150" i="105"/>
  <c r="BP150" i="105"/>
  <c r="Z150" i="105"/>
  <c r="CT150" i="105"/>
  <c r="BD150" i="105"/>
  <c r="P150" i="105"/>
  <c r="CN150" i="105"/>
  <c r="AV150" i="105"/>
  <c r="N150" i="105"/>
  <c r="BI150" i="105"/>
  <c r="BF150" i="105"/>
  <c r="CV150" i="105"/>
  <c r="Y150" i="105"/>
  <c r="CI150" i="105"/>
  <c r="CG150" i="105"/>
  <c r="CC150" i="105"/>
  <c r="BJ150" i="105"/>
  <c r="AT150" i="105"/>
  <c r="AP150" i="105"/>
  <c r="AL150" i="105"/>
  <c r="T150" i="105"/>
  <c r="Q150" i="105"/>
  <c r="I150" i="105"/>
  <c r="DD150" i="105"/>
  <c r="CH150" i="105"/>
  <c r="AM150" i="105"/>
  <c r="CV151" i="105"/>
  <c r="CJ151" i="105"/>
  <c r="BX151" i="105"/>
  <c r="BL151" i="105"/>
  <c r="AZ151" i="105"/>
  <c r="AN151" i="105"/>
  <c r="AB151" i="105"/>
  <c r="P151" i="105"/>
  <c r="CU151" i="105"/>
  <c r="CI151" i="105"/>
  <c r="BW151" i="105"/>
  <c r="BK151" i="105"/>
  <c r="AY151" i="105"/>
  <c r="AM151" i="105"/>
  <c r="AA151" i="105"/>
  <c r="DD151" i="105"/>
  <c r="CR151" i="105"/>
  <c r="CF151" i="105"/>
  <c r="BT151" i="105"/>
  <c r="BH151" i="105"/>
  <c r="AV151" i="105"/>
  <c r="AJ151" i="105"/>
  <c r="X151" i="105"/>
  <c r="L151" i="105"/>
  <c r="DC151" i="105"/>
  <c r="CQ151" i="105"/>
  <c r="CE151" i="105"/>
  <c r="BS151" i="105"/>
  <c r="BG151" i="105"/>
  <c r="AU151" i="105"/>
  <c r="AI151" i="105"/>
  <c r="W151" i="105"/>
  <c r="K151" i="105"/>
  <c r="DB151" i="105"/>
  <c r="CP151" i="105"/>
  <c r="CD151" i="105"/>
  <c r="BR151" i="105"/>
  <c r="BF151" i="105"/>
  <c r="AT151" i="105"/>
  <c r="AH151" i="105"/>
  <c r="V151" i="105"/>
  <c r="J151" i="105"/>
  <c r="CS151" i="105"/>
  <c r="BY151" i="105"/>
  <c r="BC151" i="105"/>
  <c r="AG151" i="105"/>
  <c r="O151" i="105"/>
  <c r="CM151" i="105"/>
  <c r="BQ151" i="105"/>
  <c r="AX151" i="105"/>
  <c r="AD151" i="105"/>
  <c r="I151" i="105"/>
  <c r="DF151" i="105"/>
  <c r="CL151" i="105"/>
  <c r="BP151" i="105"/>
  <c r="AW151" i="105"/>
  <c r="AC151" i="105"/>
  <c r="H151" i="105"/>
  <c r="DE151" i="105"/>
  <c r="CK151" i="105"/>
  <c r="BO151" i="105"/>
  <c r="AS151" i="105"/>
  <c r="Z151" i="105"/>
  <c r="CY151" i="105"/>
  <c r="CC151" i="105"/>
  <c r="BJ151" i="105"/>
  <c r="AP151" i="105"/>
  <c r="T151" i="105"/>
  <c r="BZ151" i="105"/>
  <c r="AO151" i="105"/>
  <c r="CZ151" i="105"/>
  <c r="BU151" i="105"/>
  <c r="AK151" i="105"/>
  <c r="CX151" i="105"/>
  <c r="BN151" i="105"/>
  <c r="AF151" i="105"/>
  <c r="CO151" i="105"/>
  <c r="BE151" i="105"/>
  <c r="U151" i="105"/>
  <c r="CH151" i="105"/>
  <c r="BB151" i="105"/>
  <c r="R151" i="105"/>
  <c r="CB151" i="105"/>
  <c r="S151" i="105"/>
  <c r="CA151" i="105"/>
  <c r="Q151" i="105"/>
  <c r="BV151" i="105"/>
  <c r="N151" i="105"/>
  <c r="BA151" i="105"/>
  <c r="DA151" i="105"/>
  <c r="AR151" i="105"/>
  <c r="AQ151" i="105"/>
  <c r="AL151" i="105"/>
  <c r="CT151" i="105"/>
  <c r="CW151" i="105"/>
  <c r="CN151" i="105"/>
  <c r="CG151" i="105"/>
  <c r="BM151" i="105"/>
  <c r="BI151" i="105"/>
  <c r="AE151" i="105"/>
  <c r="BD151" i="105"/>
  <c r="Y151" i="105"/>
  <c r="M151" i="105"/>
  <c r="L25" i="105"/>
  <c r="K25" i="105" s="1"/>
  <c r="DA142" i="105"/>
  <c r="CO142" i="105"/>
  <c r="CC142" i="105"/>
  <c r="BQ142" i="105"/>
  <c r="BE142" i="105"/>
  <c r="AS142" i="105"/>
  <c r="AG142" i="105"/>
  <c r="CX142" i="105"/>
  <c r="CL142" i="105"/>
  <c r="BZ142" i="105"/>
  <c r="BN142" i="105"/>
  <c r="BB142" i="105"/>
  <c r="AP142" i="105"/>
  <c r="AD142" i="105"/>
  <c r="R142" i="105"/>
  <c r="DE142" i="105"/>
  <c r="CS142" i="105"/>
  <c r="CG142" i="105"/>
  <c r="BU142" i="105"/>
  <c r="BI142" i="105"/>
  <c r="AW142" i="105"/>
  <c r="AK142" i="105"/>
  <c r="Y142" i="105"/>
  <c r="CT142" i="105"/>
  <c r="CD142" i="105"/>
  <c r="BM142" i="105"/>
  <c r="AX142" i="105"/>
  <c r="AH142" i="105"/>
  <c r="S142" i="105"/>
  <c r="DF142" i="105"/>
  <c r="CP142" i="105"/>
  <c r="BY142" i="105"/>
  <c r="BJ142" i="105"/>
  <c r="AT142" i="105"/>
  <c r="AC142" i="105"/>
  <c r="O142" i="105"/>
  <c r="DB142" i="105"/>
  <c r="CK142" i="105"/>
  <c r="BV142" i="105"/>
  <c r="BF142" i="105"/>
  <c r="AO142" i="105"/>
  <c r="Z142" i="105"/>
  <c r="L142" i="105"/>
  <c r="CY142" i="105"/>
  <c r="CI142" i="105"/>
  <c r="BS142" i="105"/>
  <c r="BC142" i="105"/>
  <c r="AM142" i="105"/>
  <c r="W142" i="105"/>
  <c r="CU142" i="105"/>
  <c r="BW142" i="105"/>
  <c r="AY142" i="105"/>
  <c r="AA142" i="105"/>
  <c r="CR142" i="105"/>
  <c r="BT142" i="105"/>
  <c r="AV142" i="105"/>
  <c r="X142" i="105"/>
  <c r="CQ142" i="105"/>
  <c r="BR142" i="105"/>
  <c r="AU142" i="105"/>
  <c r="V142" i="105"/>
  <c r="CH142" i="105"/>
  <c r="BK142" i="105"/>
  <c r="AL142" i="105"/>
  <c r="P142" i="105"/>
  <c r="DD142" i="105"/>
  <c r="CF142" i="105"/>
  <c r="BH142" i="105"/>
  <c r="AJ142" i="105"/>
  <c r="N142" i="105"/>
  <c r="CA142" i="105"/>
  <c r="AI142" i="105"/>
  <c r="CV142" i="105"/>
  <c r="BD142" i="105"/>
  <c r="Q142" i="105"/>
  <c r="BP142" i="105"/>
  <c r="U142" i="105"/>
  <c r="BL142" i="105"/>
  <c r="M142" i="105"/>
  <c r="DC142" i="105"/>
  <c r="BG142" i="105"/>
  <c r="CZ142" i="105"/>
  <c r="BA142" i="105"/>
  <c r="I142" i="105"/>
  <c r="CW142" i="105"/>
  <c r="AZ142" i="105"/>
  <c r="H142" i="105"/>
  <c r="CN142" i="105"/>
  <c r="AR142" i="105"/>
  <c r="CJ142" i="105"/>
  <c r="AN142" i="105"/>
  <c r="BO142" i="105"/>
  <c r="AQ142" i="105"/>
  <c r="AF142" i="105"/>
  <c r="AE142" i="105"/>
  <c r="AB142" i="105"/>
  <c r="T142" i="105"/>
  <c r="CM142" i="105"/>
  <c r="CE142" i="105"/>
  <c r="CB142" i="105"/>
  <c r="Q26" i="104"/>
  <c r="Q24" i="104" s="1"/>
  <c r="H101" i="104" s="1"/>
  <c r="Q44" i="104"/>
  <c r="W74" i="104"/>
  <c r="AR77" i="104"/>
  <c r="DF143" i="105"/>
  <c r="CT143" i="105"/>
  <c r="CH143" i="105"/>
  <c r="BV143" i="105"/>
  <c r="BJ143" i="105"/>
  <c r="AX143" i="105"/>
  <c r="AL143" i="105"/>
  <c r="Z143" i="105"/>
  <c r="N143" i="105"/>
  <c r="DC143" i="105"/>
  <c r="CQ143" i="105"/>
  <c r="CE143" i="105"/>
  <c r="BS143" i="105"/>
  <c r="BG143" i="105"/>
  <c r="AU143" i="105"/>
  <c r="AI143" i="105"/>
  <c r="W143" i="105"/>
  <c r="K143" i="105"/>
  <c r="CX143" i="105"/>
  <c r="CL143" i="105"/>
  <c r="BZ143" i="105"/>
  <c r="BN143" i="105"/>
  <c r="BB143" i="105"/>
  <c r="AP143" i="105"/>
  <c r="AD143" i="105"/>
  <c r="R143" i="105"/>
  <c r="DB143" i="105"/>
  <c r="CM143" i="105"/>
  <c r="BW143" i="105"/>
  <c r="BF143" i="105"/>
  <c r="AQ143" i="105"/>
  <c r="AA143" i="105"/>
  <c r="J143" i="105"/>
  <c r="CZ143" i="105"/>
  <c r="CJ143" i="105"/>
  <c r="BT143" i="105"/>
  <c r="CY143" i="105"/>
  <c r="CI143" i="105"/>
  <c r="BR143" i="105"/>
  <c r="BC143" i="105"/>
  <c r="AM143" i="105"/>
  <c r="V143" i="105"/>
  <c r="CU143" i="105"/>
  <c r="CD143" i="105"/>
  <c r="BO143" i="105"/>
  <c r="AY143" i="105"/>
  <c r="AH143" i="105"/>
  <c r="S143" i="105"/>
  <c r="CR143" i="105"/>
  <c r="CB143" i="105"/>
  <c r="BL143" i="105"/>
  <c r="AV143" i="105"/>
  <c r="AF143" i="105"/>
  <c r="P143" i="105"/>
  <c r="CP143" i="105"/>
  <c r="BP143" i="105"/>
  <c r="AR143" i="105"/>
  <c r="T143" i="105"/>
  <c r="CO143" i="105"/>
  <c r="BM143" i="105"/>
  <c r="AO143" i="105"/>
  <c r="Q143" i="105"/>
  <c r="CN143" i="105"/>
  <c r="BK143" i="105"/>
  <c r="AN143" i="105"/>
  <c r="O143" i="105"/>
  <c r="DE143" i="105"/>
  <c r="CC143" i="105"/>
  <c r="BD143" i="105"/>
  <c r="AE143" i="105"/>
  <c r="H143" i="105"/>
  <c r="DD143" i="105"/>
  <c r="CA143" i="105"/>
  <c r="BA143" i="105"/>
  <c r="AC143" i="105"/>
  <c r="CW143" i="105"/>
  <c r="BE143" i="105"/>
  <c r="M143" i="105"/>
  <c r="BY143" i="105"/>
  <c r="AJ143" i="105"/>
  <c r="BQ143" i="105"/>
  <c r="U143" i="105"/>
  <c r="BH143" i="105"/>
  <c r="I143" i="105"/>
  <c r="AZ143" i="105"/>
  <c r="DA143" i="105"/>
  <c r="AW143" i="105"/>
  <c r="CV143" i="105"/>
  <c r="AT143" i="105"/>
  <c r="CS143" i="105"/>
  <c r="AS143" i="105"/>
  <c r="CG143" i="105"/>
  <c r="AG143" i="105"/>
  <c r="BX143" i="105"/>
  <c r="BU143" i="105"/>
  <c r="BI143" i="105"/>
  <c r="AK143" i="105"/>
  <c r="AB143" i="105"/>
  <c r="Y143" i="105"/>
  <c r="X143" i="105"/>
  <c r="L143" i="105"/>
  <c r="CF143" i="105"/>
  <c r="R26" i="104"/>
  <c r="R24" i="104" s="1"/>
  <c r="R22" i="104" s="1"/>
  <c r="AO86" i="104" s="1"/>
  <c r="R44" i="104"/>
  <c r="I72" i="104"/>
  <c r="AI74" i="104"/>
  <c r="K78" i="104"/>
  <c r="BK122" i="105"/>
  <c r="BJ104" i="105"/>
  <c r="BJ103" i="105"/>
  <c r="CY144" i="105"/>
  <c r="CM144" i="105"/>
  <c r="CA144" i="105"/>
  <c r="BO144" i="105"/>
  <c r="BC144" i="105"/>
  <c r="AQ144" i="105"/>
  <c r="AE144" i="105"/>
  <c r="S144" i="105"/>
  <c r="CV144" i="105"/>
  <c r="CJ144" i="105"/>
  <c r="BX144" i="105"/>
  <c r="BL144" i="105"/>
  <c r="AZ144" i="105"/>
  <c r="AN144" i="105"/>
  <c r="AB144" i="105"/>
  <c r="P144" i="105"/>
  <c r="DC144" i="105"/>
  <c r="CQ144" i="105"/>
  <c r="CE144" i="105"/>
  <c r="BS144" i="105"/>
  <c r="BG144" i="105"/>
  <c r="AU144" i="105"/>
  <c r="AI144" i="105"/>
  <c r="W144" i="105"/>
  <c r="K144" i="105"/>
  <c r="CU144" i="105"/>
  <c r="CF144" i="105"/>
  <c r="BP144" i="105"/>
  <c r="AY144" i="105"/>
  <c r="AJ144" i="105"/>
  <c r="T144" i="105"/>
  <c r="CS144" i="105"/>
  <c r="CC144" i="105"/>
  <c r="BM144" i="105"/>
  <c r="AW144" i="105"/>
  <c r="AG144" i="105"/>
  <c r="Q144" i="105"/>
  <c r="CR144" i="105"/>
  <c r="CB144" i="105"/>
  <c r="BK144" i="105"/>
  <c r="AV144" i="105"/>
  <c r="AF144" i="105"/>
  <c r="O144" i="105"/>
  <c r="DD144" i="105"/>
  <c r="CN144" i="105"/>
  <c r="BW144" i="105"/>
  <c r="BH144" i="105"/>
  <c r="AR144" i="105"/>
  <c r="AA144" i="105"/>
  <c r="L144" i="105"/>
  <c r="DA144" i="105"/>
  <c r="CK144" i="105"/>
  <c r="BU144" i="105"/>
  <c r="BE144" i="105"/>
  <c r="AO144" i="105"/>
  <c r="Y144" i="105"/>
  <c r="I144" i="105"/>
  <c r="CX144" i="105"/>
  <c r="BV144" i="105"/>
  <c r="AT144" i="105"/>
  <c r="U144" i="105"/>
  <c r="CW144" i="105"/>
  <c r="BT144" i="105"/>
  <c r="AS144" i="105"/>
  <c r="R144" i="105"/>
  <c r="CT144" i="105"/>
  <c r="BR144" i="105"/>
  <c r="AP144" i="105"/>
  <c r="N144" i="105"/>
  <c r="CI144" i="105"/>
  <c r="BI144" i="105"/>
  <c r="AH144" i="105"/>
  <c r="CH144" i="105"/>
  <c r="BF144" i="105"/>
  <c r="AD144" i="105"/>
  <c r="CO144" i="105"/>
  <c r="AX144" i="105"/>
  <c r="BQ144" i="105"/>
  <c r="X144" i="105"/>
  <c r="BZ144" i="105"/>
  <c r="V144" i="105"/>
  <c r="BN144" i="105"/>
  <c r="J144" i="105"/>
  <c r="BJ144" i="105"/>
  <c r="H144" i="105"/>
  <c r="DF144" i="105"/>
  <c r="BD144" i="105"/>
  <c r="DE144" i="105"/>
  <c r="BB144" i="105"/>
  <c r="DB144" i="105"/>
  <c r="BA144" i="105"/>
  <c r="CP144" i="105"/>
  <c r="AL144" i="105"/>
  <c r="CZ144" i="105"/>
  <c r="CL144" i="105"/>
  <c r="CG144" i="105"/>
  <c r="CD144" i="105"/>
  <c r="BY144" i="105"/>
  <c r="AM144" i="105"/>
  <c r="AK144" i="105"/>
  <c r="AC144" i="105"/>
  <c r="Z144" i="105"/>
  <c r="M144" i="105"/>
  <c r="L77" i="105"/>
  <c r="P77" i="105" s="1"/>
  <c r="N26" i="104"/>
  <c r="N24" i="104" s="1"/>
  <c r="BB99" i="104" s="1"/>
  <c r="H77" i="104"/>
  <c r="DE141" i="105"/>
  <c r="CS141" i="105"/>
  <c r="CG141" i="105"/>
  <c r="BU141" i="105"/>
  <c r="BI141" i="105"/>
  <c r="AW141" i="105"/>
  <c r="AK141" i="105"/>
  <c r="Y141" i="105"/>
  <c r="M141" i="105"/>
  <c r="DB141" i="105"/>
  <c r="CP141" i="105"/>
  <c r="CD141" i="105"/>
  <c r="BR141" i="105"/>
  <c r="BF141" i="105"/>
  <c r="AT141" i="105"/>
  <c r="AH141" i="105"/>
  <c r="V141" i="105"/>
  <c r="CY141" i="105"/>
  <c r="CM141" i="105"/>
  <c r="CA141" i="105"/>
  <c r="BO141" i="105"/>
  <c r="BC141" i="105"/>
  <c r="AQ141" i="105"/>
  <c r="AE141" i="105"/>
  <c r="S141" i="105"/>
  <c r="CW141" i="105"/>
  <c r="CK141" i="105"/>
  <c r="BY141" i="105"/>
  <c r="BM141" i="105"/>
  <c r="BA141" i="105"/>
  <c r="AO141" i="105"/>
  <c r="AC141" i="105"/>
  <c r="Q141" i="105"/>
  <c r="DF141" i="105"/>
  <c r="CN141" i="105"/>
  <c r="BV141" i="105"/>
  <c r="BD141" i="105"/>
  <c r="AL141" i="105"/>
  <c r="T141" i="105"/>
  <c r="DD141" i="105"/>
  <c r="CL141" i="105"/>
  <c r="BT141" i="105"/>
  <c r="BB141" i="105"/>
  <c r="AJ141" i="105"/>
  <c r="R141" i="105"/>
  <c r="DC141" i="105"/>
  <c r="CJ141" i="105"/>
  <c r="BS141" i="105"/>
  <c r="AZ141" i="105"/>
  <c r="AI141" i="105"/>
  <c r="P141" i="105"/>
  <c r="CV141" i="105"/>
  <c r="CE141" i="105"/>
  <c r="BL141" i="105"/>
  <c r="AU141" i="105"/>
  <c r="AB141" i="105"/>
  <c r="CU141" i="105"/>
  <c r="CC141" i="105"/>
  <c r="BK141" i="105"/>
  <c r="AS141" i="105"/>
  <c r="AA141" i="105"/>
  <c r="I141" i="105"/>
  <c r="CZ141" i="105"/>
  <c r="BW141" i="105"/>
  <c r="AP141" i="105"/>
  <c r="L141" i="105"/>
  <c r="CI141" i="105"/>
  <c r="BG141" i="105"/>
  <c r="Z141" i="105"/>
  <c r="CH141" i="105"/>
  <c r="AX141" i="105"/>
  <c r="N141" i="105"/>
  <c r="CB141" i="105"/>
  <c r="AR141" i="105"/>
  <c r="BZ141" i="105"/>
  <c r="AN141" i="105"/>
  <c r="BX141" i="105"/>
  <c r="AM141" i="105"/>
  <c r="BQ141" i="105"/>
  <c r="AG141" i="105"/>
  <c r="DA141" i="105"/>
  <c r="BP141" i="105"/>
  <c r="AF141" i="105"/>
  <c r="CT141" i="105"/>
  <c r="BJ141" i="105"/>
  <c r="X141" i="105"/>
  <c r="BH141" i="105"/>
  <c r="BE141" i="105"/>
  <c r="AY141" i="105"/>
  <c r="AD141" i="105"/>
  <c r="W141" i="105"/>
  <c r="CX141" i="105"/>
  <c r="CR141" i="105"/>
  <c r="CQ141" i="105"/>
  <c r="H141" i="105"/>
  <c r="CO141" i="105"/>
  <c r="AV141" i="105"/>
  <c r="U141" i="105"/>
  <c r="O141" i="105"/>
  <c r="BN141" i="105"/>
  <c r="CF141" i="105"/>
  <c r="K74" i="104"/>
  <c r="DF153" i="105"/>
  <c r="CT153" i="105"/>
  <c r="CH153" i="105"/>
  <c r="BV153" i="105"/>
  <c r="BJ153" i="105"/>
  <c r="AX153" i="105"/>
  <c r="AL153" i="105"/>
  <c r="Z153" i="105"/>
  <c r="N153" i="105"/>
  <c r="DE153" i="105"/>
  <c r="CS153" i="105"/>
  <c r="CG153" i="105"/>
  <c r="BU153" i="105"/>
  <c r="BI153" i="105"/>
  <c r="AW153" i="105"/>
  <c r="AK153" i="105"/>
  <c r="Y153" i="105"/>
  <c r="M153" i="105"/>
  <c r="DB153" i="105"/>
  <c r="CP153" i="105"/>
  <c r="CD153" i="105"/>
  <c r="BR153" i="105"/>
  <c r="BF153" i="105"/>
  <c r="AT153" i="105"/>
  <c r="AH153" i="105"/>
  <c r="V153" i="105"/>
  <c r="J153" i="105"/>
  <c r="DA153" i="105"/>
  <c r="CO153" i="105"/>
  <c r="CC153" i="105"/>
  <c r="BQ153" i="105"/>
  <c r="BE153" i="105"/>
  <c r="AS153" i="105"/>
  <c r="AG153" i="105"/>
  <c r="U153" i="105"/>
  <c r="I153" i="105"/>
  <c r="CZ153" i="105"/>
  <c r="CN153" i="105"/>
  <c r="CB153" i="105"/>
  <c r="BP153" i="105"/>
  <c r="BD153" i="105"/>
  <c r="AR153" i="105"/>
  <c r="AF153" i="105"/>
  <c r="T153" i="105"/>
  <c r="H153" i="105"/>
  <c r="CX153" i="105"/>
  <c r="CL153" i="105"/>
  <c r="BZ153" i="105"/>
  <c r="BN153" i="105"/>
  <c r="BB153" i="105"/>
  <c r="AP153" i="105"/>
  <c r="AD153" i="105"/>
  <c r="R153" i="105"/>
  <c r="CU153" i="105"/>
  <c r="BW153" i="105"/>
  <c r="AY153" i="105"/>
  <c r="AA153" i="105"/>
  <c r="CM153" i="105"/>
  <c r="BO153" i="105"/>
  <c r="AQ153" i="105"/>
  <c r="S153" i="105"/>
  <c r="CK153" i="105"/>
  <c r="BM153" i="105"/>
  <c r="AO153" i="105"/>
  <c r="Q153" i="105"/>
  <c r="CJ153" i="105"/>
  <c r="BL153" i="105"/>
  <c r="AN153" i="105"/>
  <c r="P153" i="105"/>
  <c r="DC153" i="105"/>
  <c r="CE153" i="105"/>
  <c r="BG153" i="105"/>
  <c r="AI153" i="105"/>
  <c r="K153" i="105"/>
  <c r="CY153" i="105"/>
  <c r="BK153" i="105"/>
  <c r="X153" i="105"/>
  <c r="CV153" i="105"/>
  <c r="BC153" i="105"/>
  <c r="O153" i="105"/>
  <c r="CR153" i="105"/>
  <c r="BA153" i="105"/>
  <c r="L153" i="105"/>
  <c r="CF153" i="105"/>
  <c r="AU153" i="105"/>
  <c r="BY153" i="105"/>
  <c r="AJ153" i="105"/>
  <c r="BX153" i="105"/>
  <c r="BT153" i="105"/>
  <c r="BS153" i="105"/>
  <c r="AM153" i="105"/>
  <c r="DD153" i="105"/>
  <c r="AE153" i="105"/>
  <c r="BH153" i="105"/>
  <c r="AZ153" i="105"/>
  <c r="CI153" i="105"/>
  <c r="AV153" i="105"/>
  <c r="AC153" i="105"/>
  <c r="AB153" i="105"/>
  <c r="W153" i="105"/>
  <c r="CA153" i="105"/>
  <c r="CQ153" i="105"/>
  <c r="CW153" i="105"/>
  <c r="Y140" i="104"/>
  <c r="N58" i="104"/>
  <c r="N57" i="104" s="1"/>
  <c r="R72" i="104"/>
  <c r="AX73" i="104"/>
  <c r="L75" i="105"/>
  <c r="P75" i="105" s="1"/>
  <c r="CG148" i="105" s="1"/>
  <c r="AU78" i="104"/>
  <c r="L45" i="104"/>
  <c r="H75" i="104"/>
  <c r="L28" i="105"/>
  <c r="L24" i="104"/>
  <c r="AS97" i="104" s="1"/>
  <c r="L27" i="104"/>
  <c r="T75" i="104"/>
  <c r="AS72" i="104"/>
  <c r="AF75" i="104"/>
  <c r="AF79" i="104"/>
  <c r="O31" i="105"/>
  <c r="O32" i="105" s="1"/>
  <c r="O33" i="105" s="1"/>
  <c r="O34" i="105" s="1"/>
  <c r="O35" i="105" s="1"/>
  <c r="CW137" i="105"/>
  <c r="CK137" i="105"/>
  <c r="BY137" i="105"/>
  <c r="BM137" i="105"/>
  <c r="BA137" i="105"/>
  <c r="AO137" i="105"/>
  <c r="AC137" i="105"/>
  <c r="Q137" i="105"/>
  <c r="DF137" i="105"/>
  <c r="CT137" i="105"/>
  <c r="CH137" i="105"/>
  <c r="BV137" i="105"/>
  <c r="BJ137" i="105"/>
  <c r="AX137" i="105"/>
  <c r="AL137" i="105"/>
  <c r="Z137" i="105"/>
  <c r="N137" i="105"/>
  <c r="CU137" i="105"/>
  <c r="CF137" i="105"/>
  <c r="BR137" i="105"/>
  <c r="BD137" i="105"/>
  <c r="AP137" i="105"/>
  <c r="AA137" i="105"/>
  <c r="L137" i="105"/>
  <c r="CS137" i="105"/>
  <c r="CE137" i="105"/>
  <c r="BQ137" i="105"/>
  <c r="BC137" i="105"/>
  <c r="AN137" i="105"/>
  <c r="Y137" i="105"/>
  <c r="CR137" i="105"/>
  <c r="CD137" i="105"/>
  <c r="BP137" i="105"/>
  <c r="BB137" i="105"/>
  <c r="AM137" i="105"/>
  <c r="X137" i="105"/>
  <c r="DA137" i="105"/>
  <c r="CM137" i="105"/>
  <c r="BX137" i="105"/>
  <c r="BI137" i="105"/>
  <c r="AU137" i="105"/>
  <c r="AG137" i="105"/>
  <c r="S137" i="105"/>
  <c r="DD137" i="105"/>
  <c r="CJ137" i="105"/>
  <c r="BN137" i="105"/>
  <c r="AS137" i="105"/>
  <c r="V137" i="105"/>
  <c r="CV137" i="105"/>
  <c r="BZ137" i="105"/>
  <c r="BE137" i="105"/>
  <c r="AH137" i="105"/>
  <c r="M137" i="105"/>
  <c r="DE137" i="105"/>
  <c r="CG137" i="105"/>
  <c r="BG137" i="105"/>
  <c r="AF137" i="105"/>
  <c r="DB137" i="105"/>
  <c r="CB137" i="105"/>
  <c r="AZ137" i="105"/>
  <c r="AD137" i="105"/>
  <c r="CZ137" i="105"/>
  <c r="CA137" i="105"/>
  <c r="AY137" i="105"/>
  <c r="AB137" i="105"/>
  <c r="CY137" i="105"/>
  <c r="BW137" i="105"/>
  <c r="AW137" i="105"/>
  <c r="W137" i="105"/>
  <c r="CX137" i="105"/>
  <c r="BU137" i="105"/>
  <c r="AV137" i="105"/>
  <c r="U137" i="105"/>
  <c r="CQ137" i="105"/>
  <c r="BT137" i="105"/>
  <c r="AT137" i="105"/>
  <c r="T137" i="105"/>
  <c r="CO137" i="105"/>
  <c r="BO137" i="105"/>
  <c r="AQ137" i="105"/>
  <c r="P137" i="105"/>
  <c r="CN137" i="105"/>
  <c r="AI137" i="105"/>
  <c r="CL137" i="105"/>
  <c r="AE137" i="105"/>
  <c r="BS137" i="105"/>
  <c r="I137" i="105"/>
  <c r="BL137" i="105"/>
  <c r="H137" i="105"/>
  <c r="BF137" i="105"/>
  <c r="BK137" i="105"/>
  <c r="BH137" i="105"/>
  <c r="AR137" i="105"/>
  <c r="AK137" i="105"/>
  <c r="AJ137" i="105"/>
  <c r="R137" i="105"/>
  <c r="DC137" i="105"/>
  <c r="CC137" i="105"/>
  <c r="CI137" i="105"/>
  <c r="O137" i="105"/>
  <c r="CW147" i="105"/>
  <c r="CK147" i="105"/>
  <c r="BY147" i="105"/>
  <c r="BM147" i="105"/>
  <c r="BA147" i="105"/>
  <c r="AO147" i="105"/>
  <c r="AC147" i="105"/>
  <c r="Q147" i="105"/>
  <c r="DF147" i="105"/>
  <c r="CT147" i="105"/>
  <c r="CH147" i="105"/>
  <c r="BV147" i="105"/>
  <c r="BJ147" i="105"/>
  <c r="AX147" i="105"/>
  <c r="AL147" i="105"/>
  <c r="Z147" i="105"/>
  <c r="N147" i="105"/>
  <c r="DE147" i="105"/>
  <c r="CS147" i="105"/>
  <c r="CG147" i="105"/>
  <c r="BU147" i="105"/>
  <c r="BI147" i="105"/>
  <c r="AW147" i="105"/>
  <c r="DD147" i="105"/>
  <c r="CR147" i="105"/>
  <c r="CF147" i="105"/>
  <c r="BT147" i="105"/>
  <c r="DA147" i="105"/>
  <c r="CO147" i="105"/>
  <c r="CC147" i="105"/>
  <c r="BQ147" i="105"/>
  <c r="BE147" i="105"/>
  <c r="AS147" i="105"/>
  <c r="AG147" i="105"/>
  <c r="U147" i="105"/>
  <c r="I147" i="105"/>
  <c r="CP147" i="105"/>
  <c r="BW147" i="105"/>
  <c r="BC147" i="105"/>
  <c r="AK147" i="105"/>
  <c r="V147" i="105"/>
  <c r="CM147" i="105"/>
  <c r="BR147" i="105"/>
  <c r="AZ147" i="105"/>
  <c r="AI147" i="105"/>
  <c r="S147" i="105"/>
  <c r="CL147" i="105"/>
  <c r="BP147" i="105"/>
  <c r="AY147" i="105"/>
  <c r="AH147" i="105"/>
  <c r="R147" i="105"/>
  <c r="CZ147" i="105"/>
  <c r="CE147" i="105"/>
  <c r="BL147" i="105"/>
  <c r="AT147" i="105"/>
  <c r="AD147" i="105"/>
  <c r="M147" i="105"/>
  <c r="CX147" i="105"/>
  <c r="CB147" i="105"/>
  <c r="BH147" i="105"/>
  <c r="AQ147" i="105"/>
  <c r="AA147" i="105"/>
  <c r="K147" i="105"/>
  <c r="CU147" i="105"/>
  <c r="BK147" i="105"/>
  <c r="AF147" i="105"/>
  <c r="CQ147" i="105"/>
  <c r="BG147" i="105"/>
  <c r="AE147" i="105"/>
  <c r="CN147" i="105"/>
  <c r="BF147" i="105"/>
  <c r="AB147" i="105"/>
  <c r="CA147" i="105"/>
  <c r="AU147" i="105"/>
  <c r="T147" i="105"/>
  <c r="BZ147" i="105"/>
  <c r="AR147" i="105"/>
  <c r="P147" i="105"/>
  <c r="CD147" i="105"/>
  <c r="Y147" i="105"/>
  <c r="BX147" i="105"/>
  <c r="X147" i="105"/>
  <c r="DC147" i="105"/>
  <c r="BB147" i="105"/>
  <c r="H147" i="105"/>
  <c r="AV147" i="105"/>
  <c r="AN147" i="105"/>
  <c r="DB147" i="105"/>
  <c r="AM147" i="105"/>
  <c r="CY147" i="105"/>
  <c r="AJ147" i="105"/>
  <c r="CV147" i="105"/>
  <c r="W147" i="105"/>
  <c r="CJ147" i="105"/>
  <c r="O147" i="105"/>
  <c r="BS147" i="105"/>
  <c r="J147" i="105"/>
  <c r="BD147" i="105"/>
  <c r="AP147" i="105"/>
  <c r="L147" i="105"/>
  <c r="CI147" i="105"/>
  <c r="BO147" i="105"/>
  <c r="BN147" i="105"/>
  <c r="U140" i="105"/>
  <c r="DA152" i="105"/>
  <c r="CO152" i="105"/>
  <c r="CC152" i="105"/>
  <c r="BQ152" i="105"/>
  <c r="BE152" i="105"/>
  <c r="AS152" i="105"/>
  <c r="AG152" i="105"/>
  <c r="U152" i="105"/>
  <c r="I152" i="105"/>
  <c r="CZ152" i="105"/>
  <c r="CN152" i="105"/>
  <c r="CB152" i="105"/>
  <c r="BP152" i="105"/>
  <c r="BD152" i="105"/>
  <c r="AR152" i="105"/>
  <c r="AF152" i="105"/>
  <c r="T152" i="105"/>
  <c r="H152" i="105"/>
  <c r="CW152" i="105"/>
  <c r="CK152" i="105"/>
  <c r="BY152" i="105"/>
  <c r="BM152" i="105"/>
  <c r="BA152" i="105"/>
  <c r="AO152" i="105"/>
  <c r="AC152" i="105"/>
  <c r="Q152" i="105"/>
  <c r="CV152" i="105"/>
  <c r="CJ152" i="105"/>
  <c r="BX152" i="105"/>
  <c r="BL152" i="105"/>
  <c r="AZ152" i="105"/>
  <c r="AN152" i="105"/>
  <c r="AB152" i="105"/>
  <c r="P152" i="105"/>
  <c r="CU152" i="105"/>
  <c r="CI152" i="105"/>
  <c r="BW152" i="105"/>
  <c r="BK152" i="105"/>
  <c r="AY152" i="105"/>
  <c r="AM152" i="105"/>
  <c r="AA152" i="105"/>
  <c r="O152" i="105"/>
  <c r="DE152" i="105"/>
  <c r="CS152" i="105"/>
  <c r="CG152" i="105"/>
  <c r="BU152" i="105"/>
  <c r="BI152" i="105"/>
  <c r="AW152" i="105"/>
  <c r="DB152" i="105"/>
  <c r="CD152" i="105"/>
  <c r="BF152" i="105"/>
  <c r="AI152" i="105"/>
  <c r="M152" i="105"/>
  <c r="CT152" i="105"/>
  <c r="BV152" i="105"/>
  <c r="AX152" i="105"/>
  <c r="AD152" i="105"/>
  <c r="J152" i="105"/>
  <c r="CR152" i="105"/>
  <c r="BT152" i="105"/>
  <c r="AV152" i="105"/>
  <c r="Z152" i="105"/>
  <c r="CQ152" i="105"/>
  <c r="BS152" i="105"/>
  <c r="AU152" i="105"/>
  <c r="Y152" i="105"/>
  <c r="CL152" i="105"/>
  <c r="BN152" i="105"/>
  <c r="AP152" i="105"/>
  <c r="V152" i="105"/>
  <c r="CF152" i="105"/>
  <c r="AQ152" i="105"/>
  <c r="K152" i="105"/>
  <c r="CA152" i="105"/>
  <c r="AK152" i="105"/>
  <c r="BZ152" i="105"/>
  <c r="AJ152" i="105"/>
  <c r="DC152" i="105"/>
  <c r="BJ152" i="105"/>
  <c r="X152" i="105"/>
  <c r="CX152" i="105"/>
  <c r="BG152" i="105"/>
  <c r="S152" i="105"/>
  <c r="DD152" i="105"/>
  <c r="AL152" i="105"/>
  <c r="CY152" i="105"/>
  <c r="AH152" i="105"/>
  <c r="CP152" i="105"/>
  <c r="AE152" i="105"/>
  <c r="BR152" i="105"/>
  <c r="L152" i="105"/>
  <c r="BO152" i="105"/>
  <c r="BB152" i="105"/>
  <c r="AT152" i="105"/>
  <c r="DF152" i="105"/>
  <c r="R152" i="105"/>
  <c r="CM152" i="105"/>
  <c r="CE152" i="105"/>
  <c r="CH152" i="105"/>
  <c r="BH152" i="105"/>
  <c r="BC152" i="105"/>
  <c r="W152" i="105"/>
  <c r="N152" i="105"/>
  <c r="AA72" i="104"/>
  <c r="L31" i="105"/>
  <c r="S31" i="105" s="1"/>
  <c r="AJ72" i="104"/>
  <c r="N79" i="104"/>
  <c r="M26" i="105"/>
  <c r="L73" i="105"/>
  <c r="K73" i="105" s="1"/>
  <c r="DD146" i="105"/>
  <c r="CR146" i="105"/>
  <c r="CF146" i="105"/>
  <c r="BT146" i="105"/>
  <c r="BH146" i="105"/>
  <c r="AV146" i="105"/>
  <c r="AJ146" i="105"/>
  <c r="X146" i="105"/>
  <c r="L146" i="105"/>
  <c r="DA146" i="105"/>
  <c r="CO146" i="105"/>
  <c r="CC146" i="105"/>
  <c r="BQ146" i="105"/>
  <c r="BE146" i="105"/>
  <c r="AS146" i="105"/>
  <c r="AG146" i="105"/>
  <c r="U146" i="105"/>
  <c r="I146" i="105"/>
  <c r="CV146" i="105"/>
  <c r="CJ146" i="105"/>
  <c r="BX146" i="105"/>
  <c r="BL146" i="105"/>
  <c r="AZ146" i="105"/>
  <c r="AN146" i="105"/>
  <c r="AB146" i="105"/>
  <c r="P146" i="105"/>
  <c r="DE146" i="105"/>
  <c r="CN146" i="105"/>
  <c r="BY146" i="105"/>
  <c r="BI146" i="105"/>
  <c r="AR146" i="105"/>
  <c r="AC146" i="105"/>
  <c r="M146" i="105"/>
  <c r="DB146" i="105"/>
  <c r="CL146" i="105"/>
  <c r="BV146" i="105"/>
  <c r="BF146" i="105"/>
  <c r="AP146" i="105"/>
  <c r="Z146" i="105"/>
  <c r="J146" i="105"/>
  <c r="CZ146" i="105"/>
  <c r="CK146" i="105"/>
  <c r="BU146" i="105"/>
  <c r="BD146" i="105"/>
  <c r="AO146" i="105"/>
  <c r="Y146" i="105"/>
  <c r="H146" i="105"/>
  <c r="CW146" i="105"/>
  <c r="CG146" i="105"/>
  <c r="BP146" i="105"/>
  <c r="BA146" i="105"/>
  <c r="AK146" i="105"/>
  <c r="T146" i="105"/>
  <c r="CT146" i="105"/>
  <c r="CD146" i="105"/>
  <c r="BN146" i="105"/>
  <c r="AX146" i="105"/>
  <c r="AH146" i="105"/>
  <c r="R146" i="105"/>
  <c r="DF146" i="105"/>
  <c r="CB146" i="105"/>
  <c r="BB146" i="105"/>
  <c r="AA146" i="105"/>
  <c r="DC146" i="105"/>
  <c r="CA146" i="105"/>
  <c r="AY146" i="105"/>
  <c r="W146" i="105"/>
  <c r="CY146" i="105"/>
  <c r="BZ146" i="105"/>
  <c r="AW146" i="105"/>
  <c r="V146" i="105"/>
  <c r="CQ146" i="105"/>
  <c r="BO146" i="105"/>
  <c r="AM146" i="105"/>
  <c r="N146" i="105"/>
  <c r="CP146" i="105"/>
  <c r="BM146" i="105"/>
  <c r="AL146" i="105"/>
  <c r="K146" i="105"/>
  <c r="CH146" i="105"/>
  <c r="AI146" i="105"/>
  <c r="CE146" i="105"/>
  <c r="BJ146" i="105"/>
  <c r="O146" i="105"/>
  <c r="CM146" i="105"/>
  <c r="AE146" i="105"/>
  <c r="BW146" i="105"/>
  <c r="S146" i="105"/>
  <c r="BS146" i="105"/>
  <c r="Q146" i="105"/>
  <c r="BR146" i="105"/>
  <c r="BK146" i="105"/>
  <c r="BG146" i="105"/>
  <c r="AU146" i="105"/>
  <c r="CX146" i="105"/>
  <c r="CU146" i="105"/>
  <c r="CS146" i="105"/>
  <c r="CI146" i="105"/>
  <c r="BC146" i="105"/>
  <c r="AT146" i="105"/>
  <c r="AQ146" i="105"/>
  <c r="AF146" i="105"/>
  <c r="AD146" i="105"/>
  <c r="DB138" i="105"/>
  <c r="CP138" i="105"/>
  <c r="CD138" i="105"/>
  <c r="BR138" i="105"/>
  <c r="BF138" i="105"/>
  <c r="AT138" i="105"/>
  <c r="AH138" i="105"/>
  <c r="V138" i="105"/>
  <c r="CY138" i="105"/>
  <c r="CM138" i="105"/>
  <c r="CA138" i="105"/>
  <c r="BO138" i="105"/>
  <c r="BC138" i="105"/>
  <c r="AQ138" i="105"/>
  <c r="AE138" i="105"/>
  <c r="S138" i="105"/>
  <c r="DF138" i="105"/>
  <c r="CT138" i="105"/>
  <c r="CH138" i="105"/>
  <c r="BV138" i="105"/>
  <c r="BJ138" i="105"/>
  <c r="AX138" i="105"/>
  <c r="CX138" i="105"/>
  <c r="CI138" i="105"/>
  <c r="BS138" i="105"/>
  <c r="BB138" i="105"/>
  <c r="AM138" i="105"/>
  <c r="Y138" i="105"/>
  <c r="CW138" i="105"/>
  <c r="CG138" i="105"/>
  <c r="BQ138" i="105"/>
  <c r="BA138" i="105"/>
  <c r="AL138" i="105"/>
  <c r="X138" i="105"/>
  <c r="I138" i="105"/>
  <c r="CV138" i="105"/>
  <c r="CF138" i="105"/>
  <c r="BP138" i="105"/>
  <c r="AZ138" i="105"/>
  <c r="AK138" i="105"/>
  <c r="W138" i="105"/>
  <c r="H138" i="105"/>
  <c r="CQ138" i="105"/>
  <c r="DE138" i="105"/>
  <c r="CO138" i="105"/>
  <c r="BY138" i="105"/>
  <c r="BI138" i="105"/>
  <c r="AS138" i="105"/>
  <c r="AD138" i="105"/>
  <c r="P138" i="105"/>
  <c r="CU138" i="105"/>
  <c r="BW138" i="105"/>
  <c r="AW138" i="105"/>
  <c r="AB138" i="105"/>
  <c r="CJ138" i="105"/>
  <c r="BK138" i="105"/>
  <c r="AN138" i="105"/>
  <c r="Q138" i="105"/>
  <c r="CL138" i="105"/>
  <c r="BH138" i="105"/>
  <c r="AG138" i="105"/>
  <c r="CE138" i="105"/>
  <c r="BE138" i="105"/>
  <c r="AC138" i="105"/>
  <c r="CC138" i="105"/>
  <c r="BD138" i="105"/>
  <c r="AA138" i="105"/>
  <c r="CB138" i="105"/>
  <c r="AY138" i="105"/>
  <c r="Z138" i="105"/>
  <c r="DD138" i="105"/>
  <c r="BZ138" i="105"/>
  <c r="AV138" i="105"/>
  <c r="U138" i="105"/>
  <c r="DC138" i="105"/>
  <c r="BX138" i="105"/>
  <c r="AU138" i="105"/>
  <c r="T138" i="105"/>
  <c r="CZ138" i="105"/>
  <c r="BT138" i="105"/>
  <c r="AP138" i="105"/>
  <c r="O138" i="105"/>
  <c r="BG138" i="105"/>
  <c r="AR138" i="105"/>
  <c r="CS138" i="105"/>
  <c r="AI138" i="105"/>
  <c r="CR138" i="105"/>
  <c r="AF138" i="105"/>
  <c r="BU138" i="105"/>
  <c r="M138" i="105"/>
  <c r="BN138" i="105"/>
  <c r="BM138" i="105"/>
  <c r="BL138" i="105"/>
  <c r="AO138" i="105"/>
  <c r="AJ138" i="105"/>
  <c r="R138" i="105"/>
  <c r="CK138" i="105"/>
  <c r="L138" i="105"/>
  <c r="DA138" i="105"/>
  <c r="CN138" i="105"/>
  <c r="AB140" i="105"/>
  <c r="N73" i="104"/>
  <c r="BD75" i="104"/>
  <c r="CU139" i="105"/>
  <c r="CI139" i="105"/>
  <c r="BW139" i="105"/>
  <c r="BK139" i="105"/>
  <c r="AY139" i="105"/>
  <c r="AM139" i="105"/>
  <c r="AA139" i="105"/>
  <c r="O139" i="105"/>
  <c r="DD139" i="105"/>
  <c r="CR139" i="105"/>
  <c r="CF139" i="105"/>
  <c r="BT139" i="105"/>
  <c r="BH139" i="105"/>
  <c r="AV139" i="105"/>
  <c r="AJ139" i="105"/>
  <c r="X139" i="105"/>
  <c r="L139" i="105"/>
  <c r="CY139" i="105"/>
  <c r="CM139" i="105"/>
  <c r="CA139" i="105"/>
  <c r="BO139" i="105"/>
  <c r="BC139" i="105"/>
  <c r="AQ139" i="105"/>
  <c r="AE139" i="105"/>
  <c r="S139" i="105"/>
  <c r="CQ139" i="105"/>
  <c r="CB139" i="105"/>
  <c r="BL139" i="105"/>
  <c r="AU139" i="105"/>
  <c r="AF139" i="105"/>
  <c r="P139" i="105"/>
  <c r="DF139" i="105"/>
  <c r="CP139" i="105"/>
  <c r="BZ139" i="105"/>
  <c r="BJ139" i="105"/>
  <c r="AT139" i="105"/>
  <c r="AD139" i="105"/>
  <c r="N139" i="105"/>
  <c r="DE139" i="105"/>
  <c r="CO139" i="105"/>
  <c r="BY139" i="105"/>
  <c r="BI139" i="105"/>
  <c r="AS139" i="105"/>
  <c r="AC139" i="105"/>
  <c r="M139" i="105"/>
  <c r="CZ139" i="105"/>
  <c r="CJ139" i="105"/>
  <c r="BS139" i="105"/>
  <c r="BD139" i="105"/>
  <c r="AN139" i="105"/>
  <c r="W139" i="105"/>
  <c r="H139" i="105"/>
  <c r="CX139" i="105"/>
  <c r="CH139" i="105"/>
  <c r="BR139" i="105"/>
  <c r="BB139" i="105"/>
  <c r="AL139" i="105"/>
  <c r="V139" i="105"/>
  <c r="DB139" i="105"/>
  <c r="CC139" i="105"/>
  <c r="AZ139" i="105"/>
  <c r="Y139" i="105"/>
  <c r="CN139" i="105"/>
  <c r="BN139" i="105"/>
  <c r="AK139" i="105"/>
  <c r="CG139" i="105"/>
  <c r="BA139" i="105"/>
  <c r="T139" i="105"/>
  <c r="CD139" i="105"/>
  <c r="AW139" i="105"/>
  <c r="Q139" i="105"/>
  <c r="BX139" i="105"/>
  <c r="AR139" i="105"/>
  <c r="DC139" i="105"/>
  <c r="BV139" i="105"/>
  <c r="AP139" i="105"/>
  <c r="I139" i="105"/>
  <c r="DA139" i="105"/>
  <c r="BU139" i="105"/>
  <c r="AO139" i="105"/>
  <c r="CW139" i="105"/>
  <c r="BQ139" i="105"/>
  <c r="AI139" i="105"/>
  <c r="CT139" i="105"/>
  <c r="BM139" i="105"/>
  <c r="AG139" i="105"/>
  <c r="CV139" i="105"/>
  <c r="Z139" i="105"/>
  <c r="CS139" i="105"/>
  <c r="U139" i="105"/>
  <c r="CE139" i="105"/>
  <c r="BP139" i="105"/>
  <c r="BE139" i="105"/>
  <c r="CL139" i="105"/>
  <c r="CK139" i="105"/>
  <c r="BG139" i="105"/>
  <c r="BF139" i="105"/>
  <c r="AX139" i="105"/>
  <c r="R139" i="105"/>
  <c r="AH139" i="105"/>
  <c r="DB149" i="105"/>
  <c r="CP149" i="105"/>
  <c r="CD149" i="105"/>
  <c r="BR149" i="105"/>
  <c r="BF149" i="105"/>
  <c r="AT149" i="105"/>
  <c r="AH149" i="105"/>
  <c r="V149" i="105"/>
  <c r="J149" i="105"/>
  <c r="CY149" i="105"/>
  <c r="CM149" i="105"/>
  <c r="CA149" i="105"/>
  <c r="BO149" i="105"/>
  <c r="BC149" i="105"/>
  <c r="AQ149" i="105"/>
  <c r="AE149" i="105"/>
  <c r="S149" i="105"/>
  <c r="CX149" i="105"/>
  <c r="CL149" i="105"/>
  <c r="BZ149" i="105"/>
  <c r="BN149" i="105"/>
  <c r="BB149" i="105"/>
  <c r="AP149" i="105"/>
  <c r="AD149" i="105"/>
  <c r="R149" i="105"/>
  <c r="CW149" i="105"/>
  <c r="CK149" i="105"/>
  <c r="BY149" i="105"/>
  <c r="BM149" i="105"/>
  <c r="BA149" i="105"/>
  <c r="AO149" i="105"/>
  <c r="AC149" i="105"/>
  <c r="Q149" i="105"/>
  <c r="DF149" i="105"/>
  <c r="CT149" i="105"/>
  <c r="CH149" i="105"/>
  <c r="BV149" i="105"/>
  <c r="BJ149" i="105"/>
  <c r="AX149" i="105"/>
  <c r="AL149" i="105"/>
  <c r="Z149" i="105"/>
  <c r="N149" i="105"/>
  <c r="CQ149" i="105"/>
  <c r="BU149" i="105"/>
  <c r="AZ149" i="105"/>
  <c r="AG149" i="105"/>
  <c r="L149" i="105"/>
  <c r="CN149" i="105"/>
  <c r="BS149" i="105"/>
  <c r="AW149" i="105"/>
  <c r="AB149" i="105"/>
  <c r="I149" i="105"/>
  <c r="DE149" i="105"/>
  <c r="CJ149" i="105"/>
  <c r="BQ149" i="105"/>
  <c r="AV149" i="105"/>
  <c r="AA149" i="105"/>
  <c r="H149" i="105"/>
  <c r="DA149" i="105"/>
  <c r="CF149" i="105"/>
  <c r="BK149" i="105"/>
  <c r="AR149" i="105"/>
  <c r="W149" i="105"/>
  <c r="CV149" i="105"/>
  <c r="CC149" i="105"/>
  <c r="BH149" i="105"/>
  <c r="AM149" i="105"/>
  <c r="T149" i="105"/>
  <c r="CU149" i="105"/>
  <c r="BL149" i="105"/>
  <c r="AF149" i="105"/>
  <c r="CS149" i="105"/>
  <c r="BI149" i="105"/>
  <c r="Y149" i="105"/>
  <c r="CR149" i="105"/>
  <c r="BG149" i="105"/>
  <c r="X149" i="105"/>
  <c r="CE149" i="105"/>
  <c r="AU149" i="105"/>
  <c r="M149" i="105"/>
  <c r="CB149" i="105"/>
  <c r="AS149" i="105"/>
  <c r="K149" i="105"/>
  <c r="CZ149" i="105"/>
  <c r="AK149" i="105"/>
  <c r="CO149" i="105"/>
  <c r="AJ149" i="105"/>
  <c r="BT149" i="105"/>
  <c r="DD149" i="105"/>
  <c r="U149" i="105"/>
  <c r="CI149" i="105"/>
  <c r="O149" i="105"/>
  <c r="CG149" i="105"/>
  <c r="BX149" i="105"/>
  <c r="BW149" i="105"/>
  <c r="BP149" i="105"/>
  <c r="BD149" i="105"/>
  <c r="DC149" i="105"/>
  <c r="BE149" i="105"/>
  <c r="AY149" i="105"/>
  <c r="AN149" i="105"/>
  <c r="AI149" i="105"/>
  <c r="P149" i="105"/>
  <c r="BF140" i="105"/>
  <c r="J72" i="104"/>
  <c r="S72" i="104"/>
  <c r="AB72" i="104"/>
  <c r="AK72" i="104"/>
  <c r="AT72" i="104"/>
  <c r="BE72" i="104"/>
  <c r="P73" i="104"/>
  <c r="AB73" i="104"/>
  <c r="AN73" i="104"/>
  <c r="AZ73" i="104"/>
  <c r="M74" i="104"/>
  <c r="Y74" i="104"/>
  <c r="AK74" i="104"/>
  <c r="AW74" i="104"/>
  <c r="J75" i="104"/>
  <c r="V75" i="104"/>
  <c r="AH75" i="104"/>
  <c r="AT75" i="104"/>
  <c r="BF75" i="104"/>
  <c r="Y76" i="104"/>
  <c r="AQ76" i="104"/>
  <c r="J77" i="104"/>
  <c r="AB77" i="104"/>
  <c r="AT77" i="104"/>
  <c r="M78" i="104"/>
  <c r="AE78" i="104"/>
  <c r="AW78" i="104"/>
  <c r="P79" i="104"/>
  <c r="AH79" i="104"/>
  <c r="AZ79" i="104"/>
  <c r="Y82" i="104"/>
  <c r="AQ82" i="104"/>
  <c r="AF87" i="104"/>
  <c r="AU92" i="104"/>
  <c r="AV112" i="104"/>
  <c r="L72" i="104"/>
  <c r="U72" i="104"/>
  <c r="AD72" i="104"/>
  <c r="AM72" i="104"/>
  <c r="AV72" i="104"/>
  <c r="BF72" i="104"/>
  <c r="S73" i="104"/>
  <c r="AE73" i="104"/>
  <c r="AQ73" i="104"/>
  <c r="BC73" i="104"/>
  <c r="P74" i="104"/>
  <c r="AB74" i="104"/>
  <c r="AN74" i="104"/>
  <c r="AZ74" i="104"/>
  <c r="M75" i="104"/>
  <c r="Y75" i="104"/>
  <c r="AK75" i="104"/>
  <c r="AW75" i="104"/>
  <c r="K76" i="104"/>
  <c r="AC76" i="104"/>
  <c r="AU76" i="104"/>
  <c r="N77" i="104"/>
  <c r="AF77" i="104"/>
  <c r="AX77" i="104"/>
  <c r="Q78" i="104"/>
  <c r="AI78" i="104"/>
  <c r="BA78" i="104"/>
  <c r="T79" i="104"/>
  <c r="AL79" i="104"/>
  <c r="BD79" i="104"/>
  <c r="K82" i="104"/>
  <c r="AC82" i="104"/>
  <c r="AU82" i="104"/>
  <c r="AL87" i="104"/>
  <c r="BD92" i="104"/>
  <c r="R114" i="104"/>
  <c r="M72" i="104"/>
  <c r="V72" i="104"/>
  <c r="AE72" i="104"/>
  <c r="AN72" i="104"/>
  <c r="AW72" i="104"/>
  <c r="H73" i="104"/>
  <c r="T73" i="104"/>
  <c r="AF73" i="104"/>
  <c r="AR73" i="104"/>
  <c r="BD73" i="104"/>
  <c r="Q74" i="104"/>
  <c r="AC74" i="104"/>
  <c r="AO74" i="104"/>
  <c r="BA74" i="104"/>
  <c r="N75" i="104"/>
  <c r="Z75" i="104"/>
  <c r="AL75" i="104"/>
  <c r="AX75" i="104"/>
  <c r="M76" i="104"/>
  <c r="AE76" i="104"/>
  <c r="AW76" i="104"/>
  <c r="P77" i="104"/>
  <c r="AH77" i="104"/>
  <c r="AZ77" i="104"/>
  <c r="S78" i="104"/>
  <c r="AK78" i="104"/>
  <c r="BC78" i="104"/>
  <c r="V79" i="104"/>
  <c r="AN79" i="104"/>
  <c r="BF79" i="104"/>
  <c r="M82" i="104"/>
  <c r="AE82" i="104"/>
  <c r="AW82" i="104"/>
  <c r="H87" i="104"/>
  <c r="AR87" i="104"/>
  <c r="K92" i="104"/>
  <c r="W103" i="104"/>
  <c r="BB148" i="104"/>
  <c r="O72" i="104"/>
  <c r="X72" i="104"/>
  <c r="AG72" i="104"/>
  <c r="AP72" i="104"/>
  <c r="AY72" i="104"/>
  <c r="J73" i="104"/>
  <c r="V73" i="104"/>
  <c r="AH73" i="104"/>
  <c r="AT73" i="104"/>
  <c r="BF73" i="104"/>
  <c r="S74" i="104"/>
  <c r="AE74" i="104"/>
  <c r="AQ74" i="104"/>
  <c r="BC74" i="104"/>
  <c r="P75" i="104"/>
  <c r="AB75" i="104"/>
  <c r="AN75" i="104"/>
  <c r="AZ75" i="104"/>
  <c r="Q76" i="104"/>
  <c r="AI76" i="104"/>
  <c r="BA76" i="104"/>
  <c r="T77" i="104"/>
  <c r="AL77" i="104"/>
  <c r="BD77" i="104"/>
  <c r="W78" i="104"/>
  <c r="AO78" i="104"/>
  <c r="H79" i="104"/>
  <c r="Z79" i="104"/>
  <c r="AR79" i="104"/>
  <c r="Q82" i="104"/>
  <c r="AI82" i="104"/>
  <c r="BA82" i="104"/>
  <c r="N87" i="104"/>
  <c r="AX87" i="104"/>
  <c r="T92" i="104"/>
  <c r="Z98" i="104"/>
  <c r="AX103" i="104"/>
  <c r="AS108" i="104"/>
  <c r="P72" i="104"/>
  <c r="Y72" i="104"/>
  <c r="AH72" i="104"/>
  <c r="AQ72" i="104"/>
  <c r="AZ72" i="104"/>
  <c r="M73" i="104"/>
  <c r="Y73" i="104"/>
  <c r="AK73" i="104"/>
  <c r="AW73" i="104"/>
  <c r="J74" i="104"/>
  <c r="V74" i="104"/>
  <c r="AH74" i="104"/>
  <c r="AT74" i="104"/>
  <c r="BF74" i="104"/>
  <c r="S75" i="104"/>
  <c r="AE75" i="104"/>
  <c r="AQ75" i="104"/>
  <c r="BC75" i="104"/>
  <c r="S76" i="104"/>
  <c r="AK76" i="104"/>
  <c r="BC76" i="104"/>
  <c r="V77" i="104"/>
  <c r="AN77" i="104"/>
  <c r="BF77" i="104"/>
  <c r="Y78" i="104"/>
  <c r="AQ78" i="104"/>
  <c r="J79" i="104"/>
  <c r="AB79" i="104"/>
  <c r="AT79" i="104"/>
  <c r="S82" i="104"/>
  <c r="AK82" i="104"/>
  <c r="BC82" i="104"/>
  <c r="T87" i="104"/>
  <c r="BD87" i="104"/>
  <c r="AC92" i="104"/>
  <c r="AV98" i="104"/>
  <c r="BE222" i="104"/>
  <c r="AY222" i="104"/>
  <c r="AS222" i="104"/>
  <c r="AM222" i="104"/>
  <c r="AG222" i="104"/>
  <c r="AA222" i="104"/>
  <c r="U222" i="104"/>
  <c r="O222" i="104"/>
  <c r="I222" i="104"/>
  <c r="BB221" i="104"/>
  <c r="BE220" i="104"/>
  <c r="AY220" i="104"/>
  <c r="AS220" i="104"/>
  <c r="AM220" i="104"/>
  <c r="AG220" i="104"/>
  <c r="AA220" i="104"/>
  <c r="U220" i="104"/>
  <c r="O220" i="104"/>
  <c r="I220" i="104"/>
  <c r="BB219" i="104"/>
  <c r="AV219" i="104"/>
  <c r="AP219" i="104"/>
  <c r="AJ219" i="104"/>
  <c r="AD219" i="104"/>
  <c r="X219" i="104"/>
  <c r="R219" i="104"/>
  <c r="L219" i="104"/>
  <c r="BE218" i="104"/>
  <c r="AY218" i="104"/>
  <c r="AS218" i="104"/>
  <c r="AM218" i="104"/>
  <c r="AG218" i="104"/>
  <c r="AA218" i="104"/>
  <c r="U218" i="104"/>
  <c r="O218" i="104"/>
  <c r="I218" i="104"/>
  <c r="X217" i="104"/>
  <c r="BE216" i="104"/>
  <c r="AY216" i="104"/>
  <c r="AS216" i="104"/>
  <c r="AM216" i="104"/>
  <c r="AG216" i="104"/>
  <c r="AA216" i="104"/>
  <c r="U216" i="104"/>
  <c r="O216" i="104"/>
  <c r="I216" i="104"/>
  <c r="BB213" i="104"/>
  <c r="AV213" i="104"/>
  <c r="AP213" i="104"/>
  <c r="AJ213" i="104"/>
  <c r="AD213" i="104"/>
  <c r="X213" i="104"/>
  <c r="R213" i="104"/>
  <c r="L213" i="104"/>
  <c r="BD222" i="104"/>
  <c r="AX222" i="104"/>
  <c r="AR222" i="104"/>
  <c r="AL222" i="104"/>
  <c r="AF222" i="104"/>
  <c r="Z222" i="104"/>
  <c r="T222" i="104"/>
  <c r="N222" i="104"/>
  <c r="H222" i="104"/>
  <c r="AI221" i="104"/>
  <c r="W221" i="104"/>
  <c r="BD220" i="104"/>
  <c r="AX220" i="104"/>
  <c r="AR220" i="104"/>
  <c r="AL220" i="104"/>
  <c r="AF220" i="104"/>
  <c r="Z220" i="104"/>
  <c r="T220" i="104"/>
  <c r="N220" i="104"/>
  <c r="H220" i="104"/>
  <c r="BA219" i="104"/>
  <c r="AU219" i="104"/>
  <c r="AO219" i="104"/>
  <c r="AI219" i="104"/>
  <c r="AC219" i="104"/>
  <c r="W219" i="104"/>
  <c r="Q219" i="104"/>
  <c r="K219" i="104"/>
  <c r="BD218" i="104"/>
  <c r="AX218" i="104"/>
  <c r="AR218" i="104"/>
  <c r="AL218" i="104"/>
  <c r="AF218" i="104"/>
  <c r="Z218" i="104"/>
  <c r="T218" i="104"/>
  <c r="N218" i="104"/>
  <c r="H218" i="104"/>
  <c r="AI217" i="104"/>
  <c r="BD216" i="104"/>
  <c r="AX216" i="104"/>
  <c r="AR216" i="104"/>
  <c r="AL216" i="104"/>
  <c r="AF216" i="104"/>
  <c r="Z216" i="104"/>
  <c r="T216" i="104"/>
  <c r="N216" i="104"/>
  <c r="H216" i="104"/>
  <c r="BA213" i="104"/>
  <c r="AU213" i="104"/>
  <c r="AO213" i="104"/>
  <c r="AI213" i="104"/>
  <c r="AC213" i="104"/>
  <c r="W213" i="104"/>
  <c r="Q213" i="104"/>
  <c r="BC222" i="104"/>
  <c r="AW222" i="104"/>
  <c r="AQ222" i="104"/>
  <c r="AK222" i="104"/>
  <c r="AE222" i="104"/>
  <c r="Y222" i="104"/>
  <c r="S222" i="104"/>
  <c r="M222" i="104"/>
  <c r="P221" i="104"/>
  <c r="BC220" i="104"/>
  <c r="AW220" i="104"/>
  <c r="AQ220" i="104"/>
  <c r="AK220" i="104"/>
  <c r="AE220" i="104"/>
  <c r="Y220" i="104"/>
  <c r="S220" i="104"/>
  <c r="M220" i="104"/>
  <c r="BF219" i="104"/>
  <c r="AZ219" i="104"/>
  <c r="AT219" i="104"/>
  <c r="AN219" i="104"/>
  <c r="AH219" i="104"/>
  <c r="AB219" i="104"/>
  <c r="V219" i="104"/>
  <c r="P219" i="104"/>
  <c r="J219" i="104"/>
  <c r="BC218" i="104"/>
  <c r="AW218" i="104"/>
  <c r="AQ218" i="104"/>
  <c r="AK218" i="104"/>
  <c r="AE218" i="104"/>
  <c r="Y218" i="104"/>
  <c r="S218" i="104"/>
  <c r="M218" i="104"/>
  <c r="AN217" i="104"/>
  <c r="BC216" i="104"/>
  <c r="AW216" i="104"/>
  <c r="AQ216" i="104"/>
  <c r="AK216" i="104"/>
  <c r="AE216" i="104"/>
  <c r="Y216" i="104"/>
  <c r="S216" i="104"/>
  <c r="M216" i="104"/>
  <c r="BF213" i="104"/>
  <c r="AZ213" i="104"/>
  <c r="AT213" i="104"/>
  <c r="AN213" i="104"/>
  <c r="BB222" i="104"/>
  <c r="AV222" i="104"/>
  <c r="AP222" i="104"/>
  <c r="AJ222" i="104"/>
  <c r="AD222" i="104"/>
  <c r="X222" i="104"/>
  <c r="R222" i="104"/>
  <c r="L222" i="104"/>
  <c r="BE221" i="104"/>
  <c r="AG221" i="104"/>
  <c r="BB220" i="104"/>
  <c r="AV220" i="104"/>
  <c r="AP220" i="104"/>
  <c r="AJ220" i="104"/>
  <c r="AD220" i="104"/>
  <c r="X220" i="104"/>
  <c r="R220" i="104"/>
  <c r="L220" i="104"/>
  <c r="BE219" i="104"/>
  <c r="AY219" i="104"/>
  <c r="AS219" i="104"/>
  <c r="AM219" i="104"/>
  <c r="AG219" i="104"/>
  <c r="AA219" i="104"/>
  <c r="U219" i="104"/>
  <c r="O219" i="104"/>
  <c r="I219" i="104"/>
  <c r="BB218" i="104"/>
  <c r="AV218" i="104"/>
  <c r="AP218" i="104"/>
  <c r="AJ218" i="104"/>
  <c r="AD218" i="104"/>
  <c r="X218" i="104"/>
  <c r="R218" i="104"/>
  <c r="L218" i="104"/>
  <c r="BE217" i="104"/>
  <c r="U217" i="104"/>
  <c r="BB216" i="104"/>
  <c r="AV216" i="104"/>
  <c r="AP216" i="104"/>
  <c r="AJ216" i="104"/>
  <c r="AD216" i="104"/>
  <c r="X216" i="104"/>
  <c r="R216" i="104"/>
  <c r="L216" i="104"/>
  <c r="BA222" i="104"/>
  <c r="AU222" i="104"/>
  <c r="AO222" i="104"/>
  <c r="AI222" i="104"/>
  <c r="AC222" i="104"/>
  <c r="W222" i="104"/>
  <c r="Q222" i="104"/>
  <c r="K222" i="104"/>
  <c r="AX221" i="104"/>
  <c r="BA220" i="104"/>
  <c r="AU220" i="104"/>
  <c r="AO220" i="104"/>
  <c r="AI220" i="104"/>
  <c r="AC220" i="104"/>
  <c r="W220" i="104"/>
  <c r="Q220" i="104"/>
  <c r="K220" i="104"/>
  <c r="BD219" i="104"/>
  <c r="AX219" i="104"/>
  <c r="AR219" i="104"/>
  <c r="AL219" i="104"/>
  <c r="AF219" i="104"/>
  <c r="Z219" i="104"/>
  <c r="T219" i="104"/>
  <c r="N219" i="104"/>
  <c r="H219" i="104"/>
  <c r="BA218" i="104"/>
  <c r="AU218" i="104"/>
  <c r="AO218" i="104"/>
  <c r="AI218" i="104"/>
  <c r="AC218" i="104"/>
  <c r="W218" i="104"/>
  <c r="Q218" i="104"/>
  <c r="K218" i="104"/>
  <c r="AX217" i="104"/>
  <c r="N217" i="104"/>
  <c r="BA216" i="104"/>
  <c r="AU216" i="104"/>
  <c r="AO216" i="104"/>
  <c r="AI216" i="104"/>
  <c r="AC216" i="104"/>
  <c r="W216" i="104"/>
  <c r="Q216" i="104"/>
  <c r="K216" i="104"/>
  <c r="AZ222" i="104"/>
  <c r="P222" i="104"/>
  <c r="AT220" i="104"/>
  <c r="J220" i="104"/>
  <c r="Y219" i="104"/>
  <c r="AN218" i="104"/>
  <c r="S217" i="104"/>
  <c r="AH216" i="104"/>
  <c r="BD213" i="104"/>
  <c r="AR213" i="104"/>
  <c r="AG213" i="104"/>
  <c r="Y213" i="104"/>
  <c r="O213" i="104"/>
  <c r="H213" i="104"/>
  <c r="BA208" i="104"/>
  <c r="AU208" i="104"/>
  <c r="AO208" i="104"/>
  <c r="AI208" i="104"/>
  <c r="AC208" i="104"/>
  <c r="W208" i="104"/>
  <c r="Q208" i="104"/>
  <c r="K208" i="104"/>
  <c r="BD207" i="104"/>
  <c r="AX207" i="104"/>
  <c r="AR207" i="104"/>
  <c r="AL207" i="104"/>
  <c r="AF207" i="104"/>
  <c r="Z207" i="104"/>
  <c r="T207" i="104"/>
  <c r="N207" i="104"/>
  <c r="H207" i="104"/>
  <c r="BD205" i="104"/>
  <c r="AX205" i="104"/>
  <c r="AR205" i="104"/>
  <c r="AL205" i="104"/>
  <c r="AF205" i="104"/>
  <c r="Z205" i="104"/>
  <c r="AT222" i="104"/>
  <c r="J222" i="104"/>
  <c r="AN220" i="104"/>
  <c r="BC219" i="104"/>
  <c r="S219" i="104"/>
  <c r="AH218" i="104"/>
  <c r="AB216" i="104"/>
  <c r="BC213" i="104"/>
  <c r="AQ213" i="104"/>
  <c r="AF213" i="104"/>
  <c r="V213" i="104"/>
  <c r="N213" i="104"/>
  <c r="BF208" i="104"/>
  <c r="AZ208" i="104"/>
  <c r="AT208" i="104"/>
  <c r="AN208" i="104"/>
  <c r="AH208" i="104"/>
  <c r="AB208" i="104"/>
  <c r="V208" i="104"/>
  <c r="P208" i="104"/>
  <c r="J208" i="104"/>
  <c r="BC207" i="104"/>
  <c r="AW207" i="104"/>
  <c r="AQ207" i="104"/>
  <c r="AK207" i="104"/>
  <c r="AE207" i="104"/>
  <c r="Y207" i="104"/>
  <c r="S207" i="104"/>
  <c r="M207" i="104"/>
  <c r="BC205" i="104"/>
  <c r="AW205" i="104"/>
  <c r="AQ205" i="104"/>
  <c r="AK205" i="104"/>
  <c r="AN222" i="104"/>
  <c r="AH220" i="104"/>
  <c r="AW219" i="104"/>
  <c r="M219" i="104"/>
  <c r="AB218" i="104"/>
  <c r="BF216" i="104"/>
  <c r="V216" i="104"/>
  <c r="AY213" i="104"/>
  <c r="AM213" i="104"/>
  <c r="AE213" i="104"/>
  <c r="U213" i="104"/>
  <c r="M213" i="104"/>
  <c r="BE208" i="104"/>
  <c r="AY208" i="104"/>
  <c r="AS208" i="104"/>
  <c r="AM208" i="104"/>
  <c r="AG208" i="104"/>
  <c r="AA208" i="104"/>
  <c r="U208" i="104"/>
  <c r="O208" i="104"/>
  <c r="I208" i="104"/>
  <c r="BB207" i="104"/>
  <c r="AV207" i="104"/>
  <c r="AP207" i="104"/>
  <c r="AJ207" i="104"/>
  <c r="AD207" i="104"/>
  <c r="X207" i="104"/>
  <c r="R207" i="104"/>
  <c r="L207" i="104"/>
  <c r="BB205" i="104"/>
  <c r="AH222" i="104"/>
  <c r="AB220" i="104"/>
  <c r="AQ219" i="104"/>
  <c r="BF218" i="104"/>
  <c r="V218" i="104"/>
  <c r="AZ216" i="104"/>
  <c r="P216" i="104"/>
  <c r="AX213" i="104"/>
  <c r="AL213" i="104"/>
  <c r="AB213" i="104"/>
  <c r="T213" i="104"/>
  <c r="K213" i="104"/>
  <c r="BD208" i="104"/>
  <c r="AX208" i="104"/>
  <c r="AR208" i="104"/>
  <c r="AL208" i="104"/>
  <c r="AF208" i="104"/>
  <c r="Z208" i="104"/>
  <c r="T208" i="104"/>
  <c r="N208" i="104"/>
  <c r="H208" i="104"/>
  <c r="BA207" i="104"/>
  <c r="AU207" i="104"/>
  <c r="AO207" i="104"/>
  <c r="AI207" i="104"/>
  <c r="AC207" i="104"/>
  <c r="W207" i="104"/>
  <c r="Q207" i="104"/>
  <c r="K207" i="104"/>
  <c r="AB222" i="104"/>
  <c r="BF220" i="104"/>
  <c r="V220" i="104"/>
  <c r="AK219" i="104"/>
  <c r="AZ218" i="104"/>
  <c r="P218" i="104"/>
  <c r="AT216" i="104"/>
  <c r="J216" i="104"/>
  <c r="AW213" i="104"/>
  <c r="AK213" i="104"/>
  <c r="AA213" i="104"/>
  <c r="S213" i="104"/>
  <c r="J213" i="104"/>
  <c r="BC208" i="104"/>
  <c r="AW208" i="104"/>
  <c r="AQ208" i="104"/>
  <c r="AK208" i="104"/>
  <c r="AE208" i="104"/>
  <c r="Y208" i="104"/>
  <c r="S208" i="104"/>
  <c r="M208" i="104"/>
  <c r="BF207" i="104"/>
  <c r="AZ207" i="104"/>
  <c r="AT207" i="104"/>
  <c r="AN207" i="104"/>
  <c r="AH207" i="104"/>
  <c r="AB207" i="104"/>
  <c r="V207" i="104"/>
  <c r="P207" i="104"/>
  <c r="J207" i="104"/>
  <c r="V222" i="104"/>
  <c r="J218" i="104"/>
  <c r="Z213" i="104"/>
  <c r="X208" i="104"/>
  <c r="AM207" i="104"/>
  <c r="AZ205" i="104"/>
  <c r="AP205" i="104"/>
  <c r="AH205" i="104"/>
  <c r="AA205" i="104"/>
  <c r="T205" i="104"/>
  <c r="N205" i="104"/>
  <c r="H205" i="104"/>
  <c r="BA204" i="104"/>
  <c r="AU204" i="104"/>
  <c r="AO204" i="104"/>
  <c r="AI204" i="104"/>
  <c r="AC204" i="104"/>
  <c r="W204" i="104"/>
  <c r="Q204" i="104"/>
  <c r="K204" i="104"/>
  <c r="BD203" i="104"/>
  <c r="AX203" i="104"/>
  <c r="AR203" i="104"/>
  <c r="AL203" i="104"/>
  <c r="AF203" i="104"/>
  <c r="Z203" i="104"/>
  <c r="T203" i="104"/>
  <c r="N203" i="104"/>
  <c r="H203" i="104"/>
  <c r="BA202" i="104"/>
  <c r="AU202" i="104"/>
  <c r="AO202" i="104"/>
  <c r="AI202" i="104"/>
  <c r="AC202" i="104"/>
  <c r="W202" i="104"/>
  <c r="Q202" i="104"/>
  <c r="K202" i="104"/>
  <c r="BD201" i="104"/>
  <c r="AX201" i="104"/>
  <c r="AR201" i="104"/>
  <c r="AL201" i="104"/>
  <c r="AF201" i="104"/>
  <c r="Z201" i="104"/>
  <c r="T201" i="104"/>
  <c r="N201" i="104"/>
  <c r="H201" i="104"/>
  <c r="AO200" i="104"/>
  <c r="BD199" i="104"/>
  <c r="AX199" i="104"/>
  <c r="AR199" i="104"/>
  <c r="AL199" i="104"/>
  <c r="AF199" i="104"/>
  <c r="Z199" i="104"/>
  <c r="T199" i="104"/>
  <c r="N199" i="104"/>
  <c r="H199" i="104"/>
  <c r="BA196" i="104"/>
  <c r="AU196" i="104"/>
  <c r="P213" i="104"/>
  <c r="BB208" i="104"/>
  <c r="R208" i="104"/>
  <c r="AG207" i="104"/>
  <c r="AY205" i="104"/>
  <c r="AO205" i="104"/>
  <c r="AG205" i="104"/>
  <c r="Y205" i="104"/>
  <c r="S205" i="104"/>
  <c r="M205" i="104"/>
  <c r="BF204" i="104"/>
  <c r="AZ204" i="104"/>
  <c r="AT204" i="104"/>
  <c r="AN204" i="104"/>
  <c r="AH204" i="104"/>
  <c r="AB204" i="104"/>
  <c r="V204" i="104"/>
  <c r="P204" i="104"/>
  <c r="J204" i="104"/>
  <c r="BC203" i="104"/>
  <c r="AW203" i="104"/>
  <c r="AQ203" i="104"/>
  <c r="AK203" i="104"/>
  <c r="AE203" i="104"/>
  <c r="Y203" i="104"/>
  <c r="S203" i="104"/>
  <c r="M203" i="104"/>
  <c r="BF202" i="104"/>
  <c r="AZ202" i="104"/>
  <c r="AT202" i="104"/>
  <c r="AN202" i="104"/>
  <c r="AH202" i="104"/>
  <c r="AB202" i="104"/>
  <c r="V202" i="104"/>
  <c r="P202" i="104"/>
  <c r="J202" i="104"/>
  <c r="BC201" i="104"/>
  <c r="AW201" i="104"/>
  <c r="AQ201" i="104"/>
  <c r="AK201" i="104"/>
  <c r="AE201" i="104"/>
  <c r="Y201" i="104"/>
  <c r="S201" i="104"/>
  <c r="M201" i="104"/>
  <c r="AT200" i="104"/>
  <c r="AN200" i="104"/>
  <c r="BC199" i="104"/>
  <c r="AW199" i="104"/>
  <c r="AQ199" i="104"/>
  <c r="AK199" i="104"/>
  <c r="AE199" i="104"/>
  <c r="Y199" i="104"/>
  <c r="S199" i="104"/>
  <c r="M199" i="104"/>
  <c r="BF196" i="104"/>
  <c r="AZ196" i="104"/>
  <c r="AT196" i="104"/>
  <c r="AN196" i="104"/>
  <c r="AZ220" i="104"/>
  <c r="AN216" i="104"/>
  <c r="I213" i="104"/>
  <c r="AV208" i="104"/>
  <c r="L208" i="104"/>
  <c r="AA207" i="104"/>
  <c r="AV205" i="104"/>
  <c r="AN205" i="104"/>
  <c r="AE205" i="104"/>
  <c r="X205" i="104"/>
  <c r="R205" i="104"/>
  <c r="L205" i="104"/>
  <c r="BE204" i="104"/>
  <c r="AY204" i="104"/>
  <c r="AS204" i="104"/>
  <c r="AM204" i="104"/>
  <c r="AG204" i="104"/>
  <c r="AA204" i="104"/>
  <c r="U204" i="104"/>
  <c r="O204" i="104"/>
  <c r="I204" i="104"/>
  <c r="BB203" i="104"/>
  <c r="AV203" i="104"/>
  <c r="AP203" i="104"/>
  <c r="AJ203" i="104"/>
  <c r="AD203" i="104"/>
  <c r="X203" i="104"/>
  <c r="R203" i="104"/>
  <c r="L203" i="104"/>
  <c r="BE202" i="104"/>
  <c r="AY202" i="104"/>
  <c r="AS202" i="104"/>
  <c r="AM202" i="104"/>
  <c r="AG202" i="104"/>
  <c r="AA202" i="104"/>
  <c r="U202" i="104"/>
  <c r="O202" i="104"/>
  <c r="I202" i="104"/>
  <c r="BB201" i="104"/>
  <c r="AV201" i="104"/>
  <c r="AP201" i="104"/>
  <c r="AJ201" i="104"/>
  <c r="AD201" i="104"/>
  <c r="X201" i="104"/>
  <c r="R201" i="104"/>
  <c r="L201" i="104"/>
  <c r="AY200" i="104"/>
  <c r="AA200" i="104"/>
  <c r="U200" i="104"/>
  <c r="O200" i="104"/>
  <c r="BB199" i="104"/>
  <c r="AV199" i="104"/>
  <c r="AP199" i="104"/>
  <c r="AJ199" i="104"/>
  <c r="AD199" i="104"/>
  <c r="X199" i="104"/>
  <c r="R199" i="104"/>
  <c r="L199" i="104"/>
  <c r="P220" i="104"/>
  <c r="BE213" i="104"/>
  <c r="AP208" i="104"/>
  <c r="BE207" i="104"/>
  <c r="U207" i="104"/>
  <c r="BF205" i="104"/>
  <c r="AU205" i="104"/>
  <c r="AM205" i="104"/>
  <c r="AD205" i="104"/>
  <c r="W205" i="104"/>
  <c r="Q205" i="104"/>
  <c r="K205" i="104"/>
  <c r="BD204" i="104"/>
  <c r="AX204" i="104"/>
  <c r="AR204" i="104"/>
  <c r="AL204" i="104"/>
  <c r="AF204" i="104"/>
  <c r="Z204" i="104"/>
  <c r="T204" i="104"/>
  <c r="N204" i="104"/>
  <c r="H204" i="104"/>
  <c r="BA203" i="104"/>
  <c r="AU203" i="104"/>
  <c r="AO203" i="104"/>
  <c r="AI203" i="104"/>
  <c r="AC203" i="104"/>
  <c r="W203" i="104"/>
  <c r="Q203" i="104"/>
  <c r="K203" i="104"/>
  <c r="BD202" i="104"/>
  <c r="AX202" i="104"/>
  <c r="AR202" i="104"/>
  <c r="AL202" i="104"/>
  <c r="AF202" i="104"/>
  <c r="Z202" i="104"/>
  <c r="T202" i="104"/>
  <c r="N202" i="104"/>
  <c r="H202" i="104"/>
  <c r="BA201" i="104"/>
  <c r="AU201" i="104"/>
  <c r="AO201" i="104"/>
  <c r="AI201" i="104"/>
  <c r="AC201" i="104"/>
  <c r="W201" i="104"/>
  <c r="Q201" i="104"/>
  <c r="K201" i="104"/>
  <c r="AR200" i="104"/>
  <c r="AL200" i="104"/>
  <c r="AF200" i="104"/>
  <c r="BA199" i="104"/>
  <c r="AU199" i="104"/>
  <c r="AO199" i="104"/>
  <c r="AI199" i="104"/>
  <c r="AC199" i="104"/>
  <c r="W199" i="104"/>
  <c r="Q199" i="104"/>
  <c r="K199" i="104"/>
  <c r="AE219" i="104"/>
  <c r="AS213" i="104"/>
  <c r="AJ208" i="104"/>
  <c r="AY207" i="104"/>
  <c r="O207" i="104"/>
  <c r="BE205" i="104"/>
  <c r="AT205" i="104"/>
  <c r="AJ205" i="104"/>
  <c r="AC205" i="104"/>
  <c r="V205" i="104"/>
  <c r="P205" i="104"/>
  <c r="J205" i="104"/>
  <c r="BC204" i="104"/>
  <c r="AW204" i="104"/>
  <c r="AQ204" i="104"/>
  <c r="AK204" i="104"/>
  <c r="AE204" i="104"/>
  <c r="Y204" i="104"/>
  <c r="S204" i="104"/>
  <c r="M204" i="104"/>
  <c r="BF203" i="104"/>
  <c r="AZ203" i="104"/>
  <c r="AT203" i="104"/>
  <c r="AN203" i="104"/>
  <c r="AH203" i="104"/>
  <c r="AB203" i="104"/>
  <c r="V203" i="104"/>
  <c r="P203" i="104"/>
  <c r="J203" i="104"/>
  <c r="BC202" i="104"/>
  <c r="AW202" i="104"/>
  <c r="AQ202" i="104"/>
  <c r="AK202" i="104"/>
  <c r="AE202" i="104"/>
  <c r="Y202" i="104"/>
  <c r="S202" i="104"/>
  <c r="M202" i="104"/>
  <c r="BF201" i="104"/>
  <c r="AZ201" i="104"/>
  <c r="AT201" i="104"/>
  <c r="AN201" i="104"/>
  <c r="AH201" i="104"/>
  <c r="AB201" i="104"/>
  <c r="V201" i="104"/>
  <c r="P201" i="104"/>
  <c r="J201" i="104"/>
  <c r="AE200" i="104"/>
  <c r="BF199" i="104"/>
  <c r="AZ199" i="104"/>
  <c r="AT199" i="104"/>
  <c r="AN199" i="104"/>
  <c r="AH199" i="104"/>
  <c r="AB199" i="104"/>
  <c r="V199" i="104"/>
  <c r="P199" i="104"/>
  <c r="AT218" i="104"/>
  <c r="AB205" i="104"/>
  <c r="AP204" i="104"/>
  <c r="BE203" i="104"/>
  <c r="U203" i="104"/>
  <c r="AJ202" i="104"/>
  <c r="AY201" i="104"/>
  <c r="O201" i="104"/>
  <c r="AS199" i="104"/>
  <c r="J199" i="104"/>
  <c r="BC196" i="104"/>
  <c r="AS196" i="104"/>
  <c r="AL196" i="104"/>
  <c r="AF196" i="104"/>
  <c r="Z196" i="104"/>
  <c r="T196" i="104"/>
  <c r="N196" i="104"/>
  <c r="H196" i="104"/>
  <c r="BA195" i="104"/>
  <c r="AU195" i="104"/>
  <c r="AO195" i="104"/>
  <c r="AI195" i="104"/>
  <c r="AC195" i="104"/>
  <c r="W195" i="104"/>
  <c r="Q195" i="104"/>
  <c r="K195" i="104"/>
  <c r="AU193" i="104"/>
  <c r="U205" i="104"/>
  <c r="AJ204" i="104"/>
  <c r="AY203" i="104"/>
  <c r="O203" i="104"/>
  <c r="AD202" i="104"/>
  <c r="AS201" i="104"/>
  <c r="I201" i="104"/>
  <c r="AM199" i="104"/>
  <c r="I199" i="104"/>
  <c r="BB196" i="104"/>
  <c r="AR196" i="104"/>
  <c r="AK196" i="104"/>
  <c r="AE196" i="104"/>
  <c r="Y196" i="104"/>
  <c r="S196" i="104"/>
  <c r="M196" i="104"/>
  <c r="BF195" i="104"/>
  <c r="AZ195" i="104"/>
  <c r="AT195" i="104"/>
  <c r="AN195" i="104"/>
  <c r="AH195" i="104"/>
  <c r="AB195" i="104"/>
  <c r="V195" i="104"/>
  <c r="P195" i="104"/>
  <c r="J195" i="104"/>
  <c r="AW194" i="104"/>
  <c r="AB193" i="104"/>
  <c r="AH213" i="104"/>
  <c r="O205" i="104"/>
  <c r="AD204" i="104"/>
  <c r="AS203" i="104"/>
  <c r="I203" i="104"/>
  <c r="X202" i="104"/>
  <c r="AM201" i="104"/>
  <c r="BB200" i="104"/>
  <c r="R200" i="104"/>
  <c r="AG199" i="104"/>
  <c r="AY196" i="104"/>
  <c r="AQ196" i="104"/>
  <c r="AJ196" i="104"/>
  <c r="AD196" i="104"/>
  <c r="X196" i="104"/>
  <c r="R196" i="104"/>
  <c r="L196" i="104"/>
  <c r="BE195" i="104"/>
  <c r="AY195" i="104"/>
  <c r="AS195" i="104"/>
  <c r="AM195" i="104"/>
  <c r="AG195" i="104"/>
  <c r="AA195" i="104"/>
  <c r="U195" i="104"/>
  <c r="O195" i="104"/>
  <c r="I195" i="104"/>
  <c r="X194" i="104"/>
  <c r="AD208" i="104"/>
  <c r="BA205" i="104"/>
  <c r="I205" i="104"/>
  <c r="X204" i="104"/>
  <c r="AM203" i="104"/>
  <c r="BB202" i="104"/>
  <c r="R202" i="104"/>
  <c r="AG201" i="104"/>
  <c r="AV200" i="104"/>
  <c r="L200" i="104"/>
  <c r="AA199" i="104"/>
  <c r="AX196" i="104"/>
  <c r="AP196" i="104"/>
  <c r="AI196" i="104"/>
  <c r="AC196" i="104"/>
  <c r="W196" i="104"/>
  <c r="Q196" i="104"/>
  <c r="K196" i="104"/>
  <c r="BD195" i="104"/>
  <c r="AX195" i="104"/>
  <c r="AR195" i="104"/>
  <c r="AL195" i="104"/>
  <c r="AF195" i="104"/>
  <c r="Z195" i="104"/>
  <c r="T195" i="104"/>
  <c r="N195" i="104"/>
  <c r="H195" i="104"/>
  <c r="BD193" i="104"/>
  <c r="AS207" i="104"/>
  <c r="AS205" i="104"/>
  <c r="BB204" i="104"/>
  <c r="R204" i="104"/>
  <c r="AG203" i="104"/>
  <c r="AV202" i="104"/>
  <c r="L202" i="104"/>
  <c r="AA201" i="104"/>
  <c r="AP200" i="104"/>
  <c r="BE199" i="104"/>
  <c r="U199" i="104"/>
  <c r="BE196" i="104"/>
  <c r="AW196" i="104"/>
  <c r="AO196" i="104"/>
  <c r="AH196" i="104"/>
  <c r="AB196" i="104"/>
  <c r="V196" i="104"/>
  <c r="P196" i="104"/>
  <c r="J196" i="104"/>
  <c r="BC195" i="104"/>
  <c r="AW195" i="104"/>
  <c r="AQ195" i="104"/>
  <c r="AK195" i="104"/>
  <c r="AE195" i="104"/>
  <c r="Y195" i="104"/>
  <c r="S195" i="104"/>
  <c r="M195" i="104"/>
  <c r="AB194" i="104"/>
  <c r="AP202" i="104"/>
  <c r="AG196" i="104"/>
  <c r="AV195" i="104"/>
  <c r="L195" i="104"/>
  <c r="I207" i="104"/>
  <c r="BE201" i="104"/>
  <c r="AA196" i="104"/>
  <c r="AP195" i="104"/>
  <c r="BE194" i="104"/>
  <c r="AI205" i="104"/>
  <c r="U201" i="104"/>
  <c r="U196" i="104"/>
  <c r="AJ195" i="104"/>
  <c r="AV204" i="104"/>
  <c r="AJ200" i="104"/>
  <c r="BD196" i="104"/>
  <c r="O196" i="104"/>
  <c r="AD195" i="104"/>
  <c r="X193" i="104"/>
  <c r="L204" i="104"/>
  <c r="AY199" i="104"/>
  <c r="AV196" i="104"/>
  <c r="I196" i="104"/>
  <c r="X195" i="104"/>
  <c r="AM194" i="104"/>
  <c r="AA203" i="104"/>
  <c r="BD161" i="104"/>
  <c r="AX161" i="104"/>
  <c r="AR161" i="104"/>
  <c r="AL161" i="104"/>
  <c r="O199" i="104"/>
  <c r="AM196" i="104"/>
  <c r="BB195" i="104"/>
  <c r="R195" i="104"/>
  <c r="BC161" i="104"/>
  <c r="AV161" i="104"/>
  <c r="AO161" i="104"/>
  <c r="AH161" i="104"/>
  <c r="AB161" i="104"/>
  <c r="V161" i="104"/>
  <c r="P161" i="104"/>
  <c r="J161" i="104"/>
  <c r="BA161" i="104"/>
  <c r="AT161" i="104"/>
  <c r="AM161" i="104"/>
  <c r="AF161" i="104"/>
  <c r="Z161" i="104"/>
  <c r="T161" i="104"/>
  <c r="N161" i="104"/>
  <c r="H161" i="104"/>
  <c r="AZ161" i="104"/>
  <c r="AS161" i="104"/>
  <c r="AK161" i="104"/>
  <c r="AE161" i="104"/>
  <c r="Y161" i="104"/>
  <c r="S161" i="104"/>
  <c r="M161" i="104"/>
  <c r="AU161" i="104"/>
  <c r="AG161" i="104"/>
  <c r="U161" i="104"/>
  <c r="I161" i="104"/>
  <c r="U153" i="104"/>
  <c r="BE150" i="104"/>
  <c r="BE148" i="104"/>
  <c r="AY148" i="104"/>
  <c r="AS148" i="104"/>
  <c r="AM148" i="104"/>
  <c r="AG148" i="104"/>
  <c r="AA148" i="104"/>
  <c r="U148" i="104"/>
  <c r="O148" i="104"/>
  <c r="I148" i="104"/>
  <c r="BE147" i="104"/>
  <c r="AY147" i="104"/>
  <c r="AS147" i="104"/>
  <c r="AM147" i="104"/>
  <c r="AG147" i="104"/>
  <c r="AA147" i="104"/>
  <c r="U147" i="104"/>
  <c r="O147" i="104"/>
  <c r="I147" i="104"/>
  <c r="BE145" i="104"/>
  <c r="AY145" i="104"/>
  <c r="AS145" i="104"/>
  <c r="AM145" i="104"/>
  <c r="AG145" i="104"/>
  <c r="AA145" i="104"/>
  <c r="U145" i="104"/>
  <c r="O145" i="104"/>
  <c r="I145" i="104"/>
  <c r="BE144" i="104"/>
  <c r="AY144" i="104"/>
  <c r="AS144" i="104"/>
  <c r="AM144" i="104"/>
  <c r="AG144" i="104"/>
  <c r="AA144" i="104"/>
  <c r="U144" i="104"/>
  <c r="O144" i="104"/>
  <c r="I144" i="104"/>
  <c r="BE143" i="104"/>
  <c r="AY143" i="104"/>
  <c r="AS143" i="104"/>
  <c r="AM143" i="104"/>
  <c r="AG143" i="104"/>
  <c r="AA143" i="104"/>
  <c r="U143" i="104"/>
  <c r="O143" i="104"/>
  <c r="I143" i="104"/>
  <c r="BB161" i="104"/>
  <c r="AN161" i="104"/>
  <c r="AA161" i="104"/>
  <c r="O161" i="104"/>
  <c r="AW161" i="104"/>
  <c r="AC161" i="104"/>
  <c r="K161" i="104"/>
  <c r="AQ161" i="104"/>
  <c r="X161" i="104"/>
  <c r="BA148" i="104"/>
  <c r="AT148" i="104"/>
  <c r="AL148" i="104"/>
  <c r="AE148" i="104"/>
  <c r="X148" i="104"/>
  <c r="Q148" i="104"/>
  <c r="J148" i="104"/>
  <c r="BD147" i="104"/>
  <c r="AW147" i="104"/>
  <c r="AP147" i="104"/>
  <c r="AI147" i="104"/>
  <c r="AB147" i="104"/>
  <c r="T147" i="104"/>
  <c r="M147" i="104"/>
  <c r="BA145" i="104"/>
  <c r="AT145" i="104"/>
  <c r="AL145" i="104"/>
  <c r="AE145" i="104"/>
  <c r="X145" i="104"/>
  <c r="Q145" i="104"/>
  <c r="J145" i="104"/>
  <c r="BD144" i="104"/>
  <c r="AW144" i="104"/>
  <c r="AP144" i="104"/>
  <c r="AI144" i="104"/>
  <c r="AB144" i="104"/>
  <c r="T144" i="104"/>
  <c r="M144" i="104"/>
  <c r="BA143" i="104"/>
  <c r="AT143" i="104"/>
  <c r="AL143" i="104"/>
  <c r="AE143" i="104"/>
  <c r="X143" i="104"/>
  <c r="Q143" i="104"/>
  <c r="J143" i="104"/>
  <c r="BC141" i="104"/>
  <c r="AW141" i="104"/>
  <c r="AQ141" i="104"/>
  <c r="AK141" i="104"/>
  <c r="AE141" i="104"/>
  <c r="Y141" i="104"/>
  <c r="S141" i="104"/>
  <c r="M141" i="104"/>
  <c r="AK140" i="104"/>
  <c r="BC139" i="104"/>
  <c r="AW139" i="104"/>
  <c r="AQ139" i="104"/>
  <c r="AK139" i="104"/>
  <c r="AE139" i="104"/>
  <c r="Y139" i="104"/>
  <c r="S139" i="104"/>
  <c r="M139" i="104"/>
  <c r="BC138" i="104"/>
  <c r="AW138" i="104"/>
  <c r="AQ138" i="104"/>
  <c r="AK138" i="104"/>
  <c r="AE138" i="104"/>
  <c r="Y138" i="104"/>
  <c r="S138" i="104"/>
  <c r="M138" i="104"/>
  <c r="BC137" i="104"/>
  <c r="AW137" i="104"/>
  <c r="AQ137" i="104"/>
  <c r="AK137" i="104"/>
  <c r="AE137" i="104"/>
  <c r="Y137" i="104"/>
  <c r="S137" i="104"/>
  <c r="M137" i="104"/>
  <c r="AQ127" i="104"/>
  <c r="BC124" i="104"/>
  <c r="AW124" i="104"/>
  <c r="AQ124" i="104"/>
  <c r="AK124" i="104"/>
  <c r="AE124" i="104"/>
  <c r="Y124" i="104"/>
  <c r="S124" i="104"/>
  <c r="M124" i="104"/>
  <c r="BC121" i="104"/>
  <c r="AW121" i="104"/>
  <c r="AQ121" i="104"/>
  <c r="AK121" i="104"/>
  <c r="AE121" i="104"/>
  <c r="Y121" i="104"/>
  <c r="S121" i="104"/>
  <c r="M121" i="104"/>
  <c r="BC119" i="104"/>
  <c r="AW119" i="104"/>
  <c r="AQ119" i="104"/>
  <c r="AK119" i="104"/>
  <c r="AE119" i="104"/>
  <c r="Y119" i="104"/>
  <c r="S119" i="104"/>
  <c r="M119" i="104"/>
  <c r="BC118" i="104"/>
  <c r="BC117" i="104"/>
  <c r="AW117" i="104"/>
  <c r="AQ117" i="104"/>
  <c r="AK117" i="104"/>
  <c r="AE117" i="104"/>
  <c r="Y117" i="104"/>
  <c r="S117" i="104"/>
  <c r="M117" i="104"/>
  <c r="BC116" i="104"/>
  <c r="AW116" i="104"/>
  <c r="AQ116" i="104"/>
  <c r="AK116" i="104"/>
  <c r="AE116" i="104"/>
  <c r="Y116" i="104"/>
  <c r="S116" i="104"/>
  <c r="M116" i="104"/>
  <c r="BC114" i="104"/>
  <c r="AW114" i="104"/>
  <c r="AQ114" i="104"/>
  <c r="AK114" i="104"/>
  <c r="AE114" i="104"/>
  <c r="Y114" i="104"/>
  <c r="S114" i="104"/>
  <c r="M114" i="104"/>
  <c r="BC113" i="104"/>
  <c r="AW113" i="104"/>
  <c r="AQ113" i="104"/>
  <c r="AK113" i="104"/>
  <c r="AE113" i="104"/>
  <c r="Y113" i="104"/>
  <c r="S113" i="104"/>
  <c r="M113" i="104"/>
  <c r="BC112" i="104"/>
  <c r="AW112" i="104"/>
  <c r="AQ112" i="104"/>
  <c r="AK112" i="104"/>
  <c r="AE112" i="104"/>
  <c r="Y112" i="104"/>
  <c r="S112" i="104"/>
  <c r="M112" i="104"/>
  <c r="AW111" i="104"/>
  <c r="AP161" i="104"/>
  <c r="W161" i="104"/>
  <c r="Z153" i="104"/>
  <c r="BE161" i="104"/>
  <c r="AI161" i="104"/>
  <c r="Q161" i="104"/>
  <c r="AB150" i="104"/>
  <c r="M150" i="104"/>
  <c r="BD148" i="104"/>
  <c r="AW148" i="104"/>
  <c r="AP148" i="104"/>
  <c r="AI148" i="104"/>
  <c r="AB148" i="104"/>
  <c r="T148" i="104"/>
  <c r="M148" i="104"/>
  <c r="BA147" i="104"/>
  <c r="AT147" i="104"/>
  <c r="AL147" i="104"/>
  <c r="AE147" i="104"/>
  <c r="X147" i="104"/>
  <c r="Q147" i="104"/>
  <c r="J147" i="104"/>
  <c r="BD145" i="104"/>
  <c r="AW145" i="104"/>
  <c r="AP145" i="104"/>
  <c r="AI145" i="104"/>
  <c r="AB145" i="104"/>
  <c r="T145" i="104"/>
  <c r="M145" i="104"/>
  <c r="BA144" i="104"/>
  <c r="AT144" i="104"/>
  <c r="AL144" i="104"/>
  <c r="AE144" i="104"/>
  <c r="X144" i="104"/>
  <c r="Q144" i="104"/>
  <c r="J144" i="104"/>
  <c r="BD143" i="104"/>
  <c r="BF161" i="104"/>
  <c r="AJ153" i="104"/>
  <c r="AV148" i="104"/>
  <c r="AK148" i="104"/>
  <c r="Z148" i="104"/>
  <c r="P148" i="104"/>
  <c r="AY161" i="104"/>
  <c r="BF148" i="104"/>
  <c r="AU148" i="104"/>
  <c r="AJ148" i="104"/>
  <c r="Y148" i="104"/>
  <c r="N148" i="104"/>
  <c r="BF147" i="104"/>
  <c r="AU147" i="104"/>
  <c r="AJ147" i="104"/>
  <c r="Y147" i="104"/>
  <c r="N147" i="104"/>
  <c r="BF145" i="104"/>
  <c r="AU145" i="104"/>
  <c r="AJ145" i="104"/>
  <c r="Y145" i="104"/>
  <c r="N145" i="104"/>
  <c r="BF144" i="104"/>
  <c r="AU144" i="104"/>
  <c r="AJ144" i="104"/>
  <c r="Y144" i="104"/>
  <c r="N144" i="104"/>
  <c r="BF143" i="104"/>
  <c r="AV143" i="104"/>
  <c r="AN143" i="104"/>
  <c r="AD143" i="104"/>
  <c r="V143" i="104"/>
  <c r="M143" i="104"/>
  <c r="AI142" i="104"/>
  <c r="BA141" i="104"/>
  <c r="AT141" i="104"/>
  <c r="AM141" i="104"/>
  <c r="AF141" i="104"/>
  <c r="X141" i="104"/>
  <c r="Q141" i="104"/>
  <c r="J141" i="104"/>
  <c r="BA139" i="104"/>
  <c r="AT139" i="104"/>
  <c r="AM139" i="104"/>
  <c r="AF139" i="104"/>
  <c r="X139" i="104"/>
  <c r="Q139" i="104"/>
  <c r="J139" i="104"/>
  <c r="BE138" i="104"/>
  <c r="AX138" i="104"/>
  <c r="AP138" i="104"/>
  <c r="AI138" i="104"/>
  <c r="AB138" i="104"/>
  <c r="U138" i="104"/>
  <c r="N138" i="104"/>
  <c r="BA137" i="104"/>
  <c r="AT137" i="104"/>
  <c r="AM137" i="104"/>
  <c r="AF137" i="104"/>
  <c r="X137" i="104"/>
  <c r="Q137" i="104"/>
  <c r="J137" i="104"/>
  <c r="AP127" i="104"/>
  <c r="N127" i="104"/>
  <c r="BA124" i="104"/>
  <c r="AT124" i="104"/>
  <c r="AM124" i="104"/>
  <c r="AF124" i="104"/>
  <c r="X124" i="104"/>
  <c r="Q124" i="104"/>
  <c r="J124" i="104"/>
  <c r="BE121" i="104"/>
  <c r="AX121" i="104"/>
  <c r="AP121" i="104"/>
  <c r="AI121" i="104"/>
  <c r="AB121" i="104"/>
  <c r="U121" i="104"/>
  <c r="N121" i="104"/>
  <c r="BE119" i="104"/>
  <c r="AX119" i="104"/>
  <c r="AP119" i="104"/>
  <c r="AI119" i="104"/>
  <c r="AB119" i="104"/>
  <c r="U119" i="104"/>
  <c r="N119" i="104"/>
  <c r="AT118" i="104"/>
  <c r="BE117" i="104"/>
  <c r="AX117" i="104"/>
  <c r="AP117" i="104"/>
  <c r="AI117" i="104"/>
  <c r="AB117" i="104"/>
  <c r="U117" i="104"/>
  <c r="N117" i="104"/>
  <c r="BA116" i="104"/>
  <c r="AT116" i="104"/>
  <c r="AM116" i="104"/>
  <c r="AF116" i="104"/>
  <c r="X116" i="104"/>
  <c r="Q116" i="104"/>
  <c r="J116" i="104"/>
  <c r="BA114" i="104"/>
  <c r="AT114" i="104"/>
  <c r="AM114" i="104"/>
  <c r="AF114" i="104"/>
  <c r="X114" i="104"/>
  <c r="Q114" i="104"/>
  <c r="J114" i="104"/>
  <c r="BE113" i="104"/>
  <c r="AX113" i="104"/>
  <c r="AP113" i="104"/>
  <c r="AI113" i="104"/>
  <c r="AB113" i="104"/>
  <c r="U113" i="104"/>
  <c r="N113" i="104"/>
  <c r="BA112" i="104"/>
  <c r="AT112" i="104"/>
  <c r="AM112" i="104"/>
  <c r="AF112" i="104"/>
  <c r="X112" i="104"/>
  <c r="Q112" i="104"/>
  <c r="J112" i="104"/>
  <c r="AP111" i="104"/>
  <c r="BF108" i="104"/>
  <c r="AZ108" i="104"/>
  <c r="AT108" i="104"/>
  <c r="AN108" i="104"/>
  <c r="AH108" i="104"/>
  <c r="AB108" i="104"/>
  <c r="V108" i="104"/>
  <c r="P108" i="104"/>
  <c r="J108" i="104"/>
  <c r="BB103" i="104"/>
  <c r="AV103" i="104"/>
  <c r="AP103" i="104"/>
  <c r="AJ103" i="104"/>
  <c r="AD103" i="104"/>
  <c r="X103" i="104"/>
  <c r="R103" i="104"/>
  <c r="L103" i="104"/>
  <c r="O102" i="104"/>
  <c r="BB101" i="104"/>
  <c r="AV101" i="104"/>
  <c r="AP101" i="104"/>
  <c r="AJ101" i="104"/>
  <c r="AD101" i="104"/>
  <c r="X101" i="104"/>
  <c r="R101" i="104"/>
  <c r="L101" i="104"/>
  <c r="BE98" i="104"/>
  <c r="AY98" i="104"/>
  <c r="AS98" i="104"/>
  <c r="AM98" i="104"/>
  <c r="AG98" i="104"/>
  <c r="AA98" i="104"/>
  <c r="U98" i="104"/>
  <c r="O98" i="104"/>
  <c r="I98" i="104"/>
  <c r="AJ161" i="104"/>
  <c r="AD153" i="104"/>
  <c r="W150" i="104"/>
  <c r="BC148" i="104"/>
  <c r="AR148" i="104"/>
  <c r="AH148" i="104"/>
  <c r="W148" i="104"/>
  <c r="L148" i="104"/>
  <c r="BC147" i="104"/>
  <c r="AR147" i="104"/>
  <c r="AH147" i="104"/>
  <c r="W147" i="104"/>
  <c r="L147" i="104"/>
  <c r="BC145" i="104"/>
  <c r="AR145" i="104"/>
  <c r="AH145" i="104"/>
  <c r="W145" i="104"/>
  <c r="L145" i="104"/>
  <c r="BC144" i="104"/>
  <c r="AR144" i="104"/>
  <c r="AH144" i="104"/>
  <c r="W144" i="104"/>
  <c r="L144" i="104"/>
  <c r="BC143" i="104"/>
  <c r="AU143" i="104"/>
  <c r="AK143" i="104"/>
  <c r="AC143" i="104"/>
  <c r="T143" i="104"/>
  <c r="L143" i="104"/>
  <c r="AZ141" i="104"/>
  <c r="AS141" i="104"/>
  <c r="AL141" i="104"/>
  <c r="AD141" i="104"/>
  <c r="W141" i="104"/>
  <c r="P141" i="104"/>
  <c r="I141" i="104"/>
  <c r="AH140" i="104"/>
  <c r="AZ139" i="104"/>
  <c r="AS139" i="104"/>
  <c r="AL139" i="104"/>
  <c r="AD139" i="104"/>
  <c r="W139" i="104"/>
  <c r="P139" i="104"/>
  <c r="I139" i="104"/>
  <c r="BD138" i="104"/>
  <c r="AV138" i="104"/>
  <c r="AO138" i="104"/>
  <c r="AH138" i="104"/>
  <c r="AA138" i="104"/>
  <c r="T138" i="104"/>
  <c r="L138" i="104"/>
  <c r="R161" i="104"/>
  <c r="AN153" i="104"/>
  <c r="AD150" i="104"/>
  <c r="H150" i="104"/>
  <c r="AZ148" i="104"/>
  <c r="AO148" i="104"/>
  <c r="AD148" i="104"/>
  <c r="S148" i="104"/>
  <c r="H148" i="104"/>
  <c r="AZ147" i="104"/>
  <c r="AO147" i="104"/>
  <c r="AD147" i="104"/>
  <c r="S147" i="104"/>
  <c r="H147" i="104"/>
  <c r="AZ145" i="104"/>
  <c r="AO145" i="104"/>
  <c r="AD145" i="104"/>
  <c r="S145" i="104"/>
  <c r="H145" i="104"/>
  <c r="AZ144" i="104"/>
  <c r="AO144" i="104"/>
  <c r="AD144" i="104"/>
  <c r="S144" i="104"/>
  <c r="H144" i="104"/>
  <c r="AZ143" i="104"/>
  <c r="AQ143" i="104"/>
  <c r="AI143" i="104"/>
  <c r="Z143" i="104"/>
  <c r="R143" i="104"/>
  <c r="H143" i="104"/>
  <c r="BE141" i="104"/>
  <c r="AX141" i="104"/>
  <c r="AP141" i="104"/>
  <c r="AI141" i="104"/>
  <c r="AB141" i="104"/>
  <c r="U141" i="104"/>
  <c r="N141" i="104"/>
  <c r="BE139" i="104"/>
  <c r="AX139" i="104"/>
  <c r="AP139" i="104"/>
  <c r="AI139" i="104"/>
  <c r="AB139" i="104"/>
  <c r="U139" i="104"/>
  <c r="N139" i="104"/>
  <c r="BA138" i="104"/>
  <c r="AT138" i="104"/>
  <c r="AM138" i="104"/>
  <c r="AF138" i="104"/>
  <c r="X138" i="104"/>
  <c r="Q138" i="104"/>
  <c r="J138" i="104"/>
  <c r="BE137" i="104"/>
  <c r="AX137" i="104"/>
  <c r="AP137" i="104"/>
  <c r="AI137" i="104"/>
  <c r="AB137" i="104"/>
  <c r="U137" i="104"/>
  <c r="N137" i="104"/>
  <c r="AM127" i="104"/>
  <c r="BE124" i="104"/>
  <c r="AX124" i="104"/>
  <c r="AP124" i="104"/>
  <c r="AI124" i="104"/>
  <c r="AB124" i="104"/>
  <c r="U124" i="104"/>
  <c r="N124" i="104"/>
  <c r="BA121" i="104"/>
  <c r="AT121" i="104"/>
  <c r="AM121" i="104"/>
  <c r="AF121" i="104"/>
  <c r="X121" i="104"/>
  <c r="Q121" i="104"/>
  <c r="J121" i="104"/>
  <c r="AN148" i="104"/>
  <c r="AK147" i="104"/>
  <c r="P147" i="104"/>
  <c r="AV145" i="104"/>
  <c r="Z145" i="104"/>
  <c r="AK144" i="104"/>
  <c r="P144" i="104"/>
  <c r="AW143" i="104"/>
  <c r="AF143" i="104"/>
  <c r="N143" i="104"/>
  <c r="H142" i="104"/>
  <c r="AU141" i="104"/>
  <c r="AG141" i="104"/>
  <c r="R141" i="104"/>
  <c r="BB139" i="104"/>
  <c r="AN139" i="104"/>
  <c r="Z139" i="104"/>
  <c r="K139" i="104"/>
  <c r="AY138" i="104"/>
  <c r="AJ138" i="104"/>
  <c r="V138" i="104"/>
  <c r="H138" i="104"/>
  <c r="AV137" i="104"/>
  <c r="AL137" i="104"/>
  <c r="AA137" i="104"/>
  <c r="P137" i="104"/>
  <c r="AL127" i="104"/>
  <c r="AF148" i="104"/>
  <c r="BB147" i="104"/>
  <c r="AF147" i="104"/>
  <c r="K147" i="104"/>
  <c r="AQ145" i="104"/>
  <c r="V145" i="104"/>
  <c r="BB144" i="104"/>
  <c r="AF144" i="104"/>
  <c r="K144" i="104"/>
  <c r="AR143" i="104"/>
  <c r="AB143" i="104"/>
  <c r="K143" i="104"/>
  <c r="BF141" i="104"/>
  <c r="AR141" i="104"/>
  <c r="AC141" i="104"/>
  <c r="O141" i="104"/>
  <c r="AY139" i="104"/>
  <c r="AJ139" i="104"/>
  <c r="V139" i="104"/>
  <c r="H139" i="104"/>
  <c r="AU138" i="104"/>
  <c r="AG138" i="104"/>
  <c r="R138" i="104"/>
  <c r="BF137" i="104"/>
  <c r="AU137" i="104"/>
  <c r="AJ137" i="104"/>
  <c r="Z137" i="104"/>
  <c r="O137" i="104"/>
  <c r="AU127" i="104"/>
  <c r="BF124" i="104"/>
  <c r="AU124" i="104"/>
  <c r="AJ124" i="104"/>
  <c r="Z124" i="104"/>
  <c r="O124" i="104"/>
  <c r="BF121" i="104"/>
  <c r="AU121" i="104"/>
  <c r="AJ121" i="104"/>
  <c r="Z121" i="104"/>
  <c r="O121" i="104"/>
  <c r="AZ119" i="104"/>
  <c r="AR119" i="104"/>
  <c r="AH119" i="104"/>
  <c r="Z119" i="104"/>
  <c r="Q119" i="104"/>
  <c r="I119" i="104"/>
  <c r="BD117" i="104"/>
  <c r="AU117" i="104"/>
  <c r="AM117" i="104"/>
  <c r="AD117" i="104"/>
  <c r="V117" i="104"/>
  <c r="L117" i="104"/>
  <c r="BF116" i="104"/>
  <c r="AX116" i="104"/>
  <c r="AO116" i="104"/>
  <c r="AG116" i="104"/>
  <c r="W116" i="104"/>
  <c r="O116" i="104"/>
  <c r="BB114" i="104"/>
  <c r="AS114" i="104"/>
  <c r="AJ114" i="104"/>
  <c r="AB114" i="104"/>
  <c r="T114" i="104"/>
  <c r="K114" i="104"/>
  <c r="BD113" i="104"/>
  <c r="AU113" i="104"/>
  <c r="AM113" i="104"/>
  <c r="AD113" i="104"/>
  <c r="V113" i="104"/>
  <c r="L113" i="104"/>
  <c r="BF112" i="104"/>
  <c r="AX112" i="104"/>
  <c r="AO112" i="104"/>
  <c r="AG112" i="104"/>
  <c r="W112" i="104"/>
  <c r="O112" i="104"/>
  <c r="AH111" i="104"/>
  <c r="BB108" i="104"/>
  <c r="AU108" i="104"/>
  <c r="AM108" i="104"/>
  <c r="AF108" i="104"/>
  <c r="Y108" i="104"/>
  <c r="R108" i="104"/>
  <c r="K108" i="104"/>
  <c r="AC148" i="104"/>
  <c r="AX147" i="104"/>
  <c r="AC147" i="104"/>
  <c r="AN145" i="104"/>
  <c r="R145" i="104"/>
  <c r="AX144" i="104"/>
  <c r="AC144" i="104"/>
  <c r="AP143" i="104"/>
  <c r="Y143" i="104"/>
  <c r="BD141" i="104"/>
  <c r="AO141" i="104"/>
  <c r="AA141" i="104"/>
  <c r="L141" i="104"/>
  <c r="I140" i="104"/>
  <c r="AV139" i="104"/>
  <c r="AH139" i="104"/>
  <c r="T139" i="104"/>
  <c r="AS138" i="104"/>
  <c r="AD138" i="104"/>
  <c r="P138" i="104"/>
  <c r="BD137" i="104"/>
  <c r="AS137" i="104"/>
  <c r="AH137" i="104"/>
  <c r="W137" i="104"/>
  <c r="L137" i="104"/>
  <c r="BD124" i="104"/>
  <c r="AS124" i="104"/>
  <c r="AH124" i="104"/>
  <c r="W124" i="104"/>
  <c r="L124" i="104"/>
  <c r="BD121" i="104"/>
  <c r="AS121" i="104"/>
  <c r="AH121" i="104"/>
  <c r="W121" i="104"/>
  <c r="L121" i="104"/>
  <c r="AY119" i="104"/>
  <c r="AO119" i="104"/>
  <c r="AG119" i="104"/>
  <c r="X119" i="104"/>
  <c r="P119" i="104"/>
  <c r="H119" i="104"/>
  <c r="L161" i="104"/>
  <c r="H153" i="104"/>
  <c r="AX148" i="104"/>
  <c r="R148" i="104"/>
  <c r="AQ147" i="104"/>
  <c r="V147" i="104"/>
  <c r="BB145" i="104"/>
  <c r="AF145" i="104"/>
  <c r="K145" i="104"/>
  <c r="AQ144" i="104"/>
  <c r="V144" i="104"/>
  <c r="BB143" i="104"/>
  <c r="AJ143" i="104"/>
  <c r="S143" i="104"/>
  <c r="AY141" i="104"/>
  <c r="AJ141" i="104"/>
  <c r="V141" i="104"/>
  <c r="H141" i="104"/>
  <c r="BF139" i="104"/>
  <c r="AR139" i="104"/>
  <c r="AC139" i="104"/>
  <c r="O139" i="104"/>
  <c r="BB138" i="104"/>
  <c r="AN138" i="104"/>
  <c r="Z138" i="104"/>
  <c r="K138" i="104"/>
  <c r="AZ137" i="104"/>
  <c r="AO137" i="104"/>
  <c r="AD137" i="104"/>
  <c r="T137" i="104"/>
  <c r="I137" i="104"/>
  <c r="AD127" i="104"/>
  <c r="AZ124" i="104"/>
  <c r="AO124" i="104"/>
  <c r="AD124" i="104"/>
  <c r="T124" i="104"/>
  <c r="I124" i="104"/>
  <c r="AZ121" i="104"/>
  <c r="AO121" i="104"/>
  <c r="AD121" i="104"/>
  <c r="T121" i="104"/>
  <c r="I121" i="104"/>
  <c r="BD119" i="104"/>
  <c r="AU119" i="104"/>
  <c r="AM119" i="104"/>
  <c r="AD119" i="104"/>
  <c r="V119" i="104"/>
  <c r="L119" i="104"/>
  <c r="AG118" i="104"/>
  <c r="AZ117" i="104"/>
  <c r="AR117" i="104"/>
  <c r="AH117" i="104"/>
  <c r="Z117" i="104"/>
  <c r="Q117" i="104"/>
  <c r="I117" i="104"/>
  <c r="BB116" i="104"/>
  <c r="AS116" i="104"/>
  <c r="AJ116" i="104"/>
  <c r="AB116" i="104"/>
  <c r="T116" i="104"/>
  <c r="K116" i="104"/>
  <c r="BF114" i="104"/>
  <c r="AX114" i="104"/>
  <c r="AO114" i="104"/>
  <c r="AG114" i="104"/>
  <c r="W114" i="104"/>
  <c r="O114" i="104"/>
  <c r="AZ113" i="104"/>
  <c r="AR113" i="104"/>
  <c r="AH113" i="104"/>
  <c r="Z113" i="104"/>
  <c r="Q113" i="104"/>
  <c r="I113" i="104"/>
  <c r="BB112" i="104"/>
  <c r="AS112" i="104"/>
  <c r="AJ112" i="104"/>
  <c r="AB112" i="104"/>
  <c r="T112" i="104"/>
  <c r="K112" i="104"/>
  <c r="AM111" i="104"/>
  <c r="BE108" i="104"/>
  <c r="AX108" i="104"/>
  <c r="AQ108" i="104"/>
  <c r="AJ108" i="104"/>
  <c r="AC108" i="104"/>
  <c r="U108" i="104"/>
  <c r="N108" i="104"/>
  <c r="BD103" i="104"/>
  <c r="AW103" i="104"/>
  <c r="AO103" i="104"/>
  <c r="AH103" i="104"/>
  <c r="AA103" i="104"/>
  <c r="T103" i="104"/>
  <c r="M103" i="104"/>
  <c r="BC101" i="104"/>
  <c r="AU101" i="104"/>
  <c r="AN101" i="104"/>
  <c r="AG101" i="104"/>
  <c r="Z101" i="104"/>
  <c r="S101" i="104"/>
  <c r="K101" i="104"/>
  <c r="BF222" i="104"/>
  <c r="AQ153" i="104"/>
  <c r="AQ148" i="104"/>
  <c r="K148" i="104"/>
  <c r="AN147" i="104"/>
  <c r="R147" i="104"/>
  <c r="AX145" i="104"/>
  <c r="AC145" i="104"/>
  <c r="AN144" i="104"/>
  <c r="R144" i="104"/>
  <c r="AX143" i="104"/>
  <c r="AH143" i="104"/>
  <c r="P143" i="104"/>
  <c r="I142" i="104"/>
  <c r="AV141" i="104"/>
  <c r="AH141" i="104"/>
  <c r="T141" i="104"/>
  <c r="BD139" i="104"/>
  <c r="AO139" i="104"/>
  <c r="AA139" i="104"/>
  <c r="L139" i="104"/>
  <c r="AZ138" i="104"/>
  <c r="AL138" i="104"/>
  <c r="W138" i="104"/>
  <c r="I138" i="104"/>
  <c r="AY137" i="104"/>
  <c r="AN137" i="104"/>
  <c r="AC137" i="104"/>
  <c r="R137" i="104"/>
  <c r="H137" i="104"/>
  <c r="AY127" i="104"/>
  <c r="H127" i="104"/>
  <c r="AY124" i="104"/>
  <c r="AN124" i="104"/>
  <c r="AC124" i="104"/>
  <c r="R124" i="104"/>
  <c r="H124" i="104"/>
  <c r="AY121" i="104"/>
  <c r="AN121" i="104"/>
  <c r="AC121" i="104"/>
  <c r="R121" i="104"/>
  <c r="H121" i="104"/>
  <c r="V148" i="104"/>
  <c r="AV144" i="104"/>
  <c r="K141" i="104"/>
  <c r="AG139" i="104"/>
  <c r="BB137" i="104"/>
  <c r="BB124" i="104"/>
  <c r="V124" i="104"/>
  <c r="BB121" i="104"/>
  <c r="V121" i="104"/>
  <c r="AS119" i="104"/>
  <c r="AA119" i="104"/>
  <c r="J119" i="104"/>
  <c r="AV117" i="104"/>
  <c r="AJ117" i="104"/>
  <c r="W117" i="104"/>
  <c r="J117" i="104"/>
  <c r="AY116" i="104"/>
  <c r="AL116" i="104"/>
  <c r="Z116" i="104"/>
  <c r="L116" i="104"/>
  <c r="BD114" i="104"/>
  <c r="AP114" i="104"/>
  <c r="AC114" i="104"/>
  <c r="P114" i="104"/>
  <c r="BF113" i="104"/>
  <c r="AS113" i="104"/>
  <c r="AF113" i="104"/>
  <c r="R113" i="104"/>
  <c r="AU112" i="104"/>
  <c r="AH112" i="104"/>
  <c r="U112" i="104"/>
  <c r="H112" i="104"/>
  <c r="AV111" i="104"/>
  <c r="BC108" i="104"/>
  <c r="AR108" i="104"/>
  <c r="AG108" i="104"/>
  <c r="W108" i="104"/>
  <c r="L108" i="104"/>
  <c r="BE103" i="104"/>
  <c r="AU103" i="104"/>
  <c r="AM103" i="104"/>
  <c r="AE103" i="104"/>
  <c r="V103" i="104"/>
  <c r="N103" i="104"/>
  <c r="AB102" i="104"/>
  <c r="BF101" i="104"/>
  <c r="AX101" i="104"/>
  <c r="AO101" i="104"/>
  <c r="AF101" i="104"/>
  <c r="W101" i="104"/>
  <c r="O101" i="104"/>
  <c r="BB98" i="104"/>
  <c r="AU98" i="104"/>
  <c r="AN98" i="104"/>
  <c r="AF98" i="104"/>
  <c r="Y98" i="104"/>
  <c r="R98" i="104"/>
  <c r="K98" i="104"/>
  <c r="BF92" i="104"/>
  <c r="AZ92" i="104"/>
  <c r="AT92" i="104"/>
  <c r="AN92" i="104"/>
  <c r="AH92" i="104"/>
  <c r="AB92" i="104"/>
  <c r="V92" i="104"/>
  <c r="P92" i="104"/>
  <c r="J92" i="104"/>
  <c r="AV147" i="104"/>
  <c r="Z144" i="104"/>
  <c r="R139" i="104"/>
  <c r="AR137" i="104"/>
  <c r="AV124" i="104"/>
  <c r="P124" i="104"/>
  <c r="AV121" i="104"/>
  <c r="P121" i="104"/>
  <c r="BF119" i="104"/>
  <c r="AN119" i="104"/>
  <c r="W119" i="104"/>
  <c r="AT117" i="104"/>
  <c r="AG117" i="104"/>
  <c r="T117" i="104"/>
  <c r="H117" i="104"/>
  <c r="AV116" i="104"/>
  <c r="AI116" i="104"/>
  <c r="V116" i="104"/>
  <c r="I116" i="104"/>
  <c r="AZ114" i="104"/>
  <c r="AN114" i="104"/>
  <c r="AA114" i="104"/>
  <c r="N114" i="104"/>
  <c r="BB113" i="104"/>
  <c r="AO113" i="104"/>
  <c r="AC113" i="104"/>
  <c r="P113" i="104"/>
  <c r="BE112" i="104"/>
  <c r="AR112" i="104"/>
  <c r="AD112" i="104"/>
  <c r="R112" i="104"/>
  <c r="AT111" i="104"/>
  <c r="BA108" i="104"/>
  <c r="AP108" i="104"/>
  <c r="AE108" i="104"/>
  <c r="T108" i="104"/>
  <c r="I108" i="104"/>
  <c r="BC103" i="104"/>
  <c r="AT103" i="104"/>
  <c r="AL103" i="104"/>
  <c r="AC103" i="104"/>
  <c r="U103" i="104"/>
  <c r="K103" i="104"/>
  <c r="AQ102" i="104"/>
  <c r="BE101" i="104"/>
  <c r="AW101" i="104"/>
  <c r="AM101" i="104"/>
  <c r="AE101" i="104"/>
  <c r="V101" i="104"/>
  <c r="N101" i="104"/>
  <c r="BA98" i="104"/>
  <c r="AT98" i="104"/>
  <c r="AL98" i="104"/>
  <c r="AE98" i="104"/>
  <c r="X98" i="104"/>
  <c r="Q98" i="104"/>
  <c r="J98" i="104"/>
  <c r="Z147" i="104"/>
  <c r="O142" i="104"/>
  <c r="BF138" i="104"/>
  <c r="AG137" i="104"/>
  <c r="AR124" i="104"/>
  <c r="K124" i="104"/>
  <c r="AR121" i="104"/>
  <c r="K121" i="104"/>
  <c r="BB119" i="104"/>
  <c r="AL119" i="104"/>
  <c r="T119" i="104"/>
  <c r="BF117" i="104"/>
  <c r="AS117" i="104"/>
  <c r="AF117" i="104"/>
  <c r="R117" i="104"/>
  <c r="AU116" i="104"/>
  <c r="AH116" i="104"/>
  <c r="U116" i="104"/>
  <c r="H116" i="104"/>
  <c r="AY114" i="104"/>
  <c r="AL114" i="104"/>
  <c r="Z114" i="104"/>
  <c r="L114" i="104"/>
  <c r="BA113" i="104"/>
  <c r="AN113" i="104"/>
  <c r="AA113" i="104"/>
  <c r="O113" i="104"/>
  <c r="BD112" i="104"/>
  <c r="AP112" i="104"/>
  <c r="AC112" i="104"/>
  <c r="P112" i="104"/>
  <c r="AF111" i="104"/>
  <c r="AY108" i="104"/>
  <c r="AO108" i="104"/>
  <c r="AD108" i="104"/>
  <c r="S108" i="104"/>
  <c r="H108" i="104"/>
  <c r="BA103" i="104"/>
  <c r="AS103" i="104"/>
  <c r="AK103" i="104"/>
  <c r="AB103" i="104"/>
  <c r="S103" i="104"/>
  <c r="J103" i="104"/>
  <c r="BD101" i="104"/>
  <c r="AT101" i="104"/>
  <c r="AL101" i="104"/>
  <c r="AC101" i="104"/>
  <c r="U101" i="104"/>
  <c r="M101" i="104"/>
  <c r="AZ98" i="104"/>
  <c r="AR98" i="104"/>
  <c r="AK98" i="104"/>
  <c r="AD98" i="104"/>
  <c r="W98" i="104"/>
  <c r="P98" i="104"/>
  <c r="H98" i="104"/>
  <c r="K150" i="104"/>
  <c r="AO143" i="104"/>
  <c r="BB141" i="104"/>
  <c r="AR138" i="104"/>
  <c r="V137" i="104"/>
  <c r="AL124" i="104"/>
  <c r="AL121" i="104"/>
  <c r="BA119" i="104"/>
  <c r="AJ119" i="104"/>
  <c r="R119" i="104"/>
  <c r="BB117" i="104"/>
  <c r="AO117" i="104"/>
  <c r="AC117" i="104"/>
  <c r="P117" i="104"/>
  <c r="BE116" i="104"/>
  <c r="AR116" i="104"/>
  <c r="AD116" i="104"/>
  <c r="R116" i="104"/>
  <c r="AV114" i="104"/>
  <c r="AI114" i="104"/>
  <c r="V114" i="104"/>
  <c r="I114" i="104"/>
  <c r="AY113" i="104"/>
  <c r="AL113" i="104"/>
  <c r="X113" i="104"/>
  <c r="K113" i="104"/>
  <c r="AZ112" i="104"/>
  <c r="AN112" i="104"/>
  <c r="AA112" i="104"/>
  <c r="N112" i="104"/>
  <c r="P111" i="104"/>
  <c r="AW108" i="104"/>
  <c r="AL108" i="104"/>
  <c r="AA108" i="104"/>
  <c r="Q108" i="104"/>
  <c r="AZ103" i="104"/>
  <c r="AR103" i="104"/>
  <c r="AI103" i="104"/>
  <c r="Z103" i="104"/>
  <c r="Q103" i="104"/>
  <c r="I103" i="104"/>
  <c r="BA101" i="104"/>
  <c r="AS101" i="104"/>
  <c r="AK101" i="104"/>
  <c r="AB101" i="104"/>
  <c r="T101" i="104"/>
  <c r="J101" i="104"/>
  <c r="BF98" i="104"/>
  <c r="AX98" i="104"/>
  <c r="AQ98" i="104"/>
  <c r="AJ98" i="104"/>
  <c r="AC98" i="104"/>
  <c r="V98" i="104"/>
  <c r="N98" i="104"/>
  <c r="BC92" i="104"/>
  <c r="AW92" i="104"/>
  <c r="AQ92" i="104"/>
  <c r="AK92" i="104"/>
  <c r="AE92" i="104"/>
  <c r="Y92" i="104"/>
  <c r="S92" i="104"/>
  <c r="M92" i="104"/>
  <c r="AK145" i="104"/>
  <c r="W143" i="104"/>
  <c r="AN141" i="104"/>
  <c r="H140" i="104"/>
  <c r="AC138" i="104"/>
  <c r="K137" i="104"/>
  <c r="AG124" i="104"/>
  <c r="AG121" i="104"/>
  <c r="AV119" i="104"/>
  <c r="AF119" i="104"/>
  <c r="O119" i="104"/>
  <c r="BA117" i="104"/>
  <c r="AN117" i="104"/>
  <c r="AA117" i="104"/>
  <c r="O117" i="104"/>
  <c r="BD116" i="104"/>
  <c r="AP116" i="104"/>
  <c r="AC116" i="104"/>
  <c r="P116" i="104"/>
  <c r="AU114" i="104"/>
  <c r="AH114" i="104"/>
  <c r="U114" i="104"/>
  <c r="H114" i="104"/>
  <c r="AV113" i="104"/>
  <c r="AJ113" i="104"/>
  <c r="W113" i="104"/>
  <c r="J113" i="104"/>
  <c r="AY112" i="104"/>
  <c r="AL112" i="104"/>
  <c r="Z112" i="104"/>
  <c r="L112" i="104"/>
  <c r="O111" i="104"/>
  <c r="AV108" i="104"/>
  <c r="AK108" i="104"/>
  <c r="Z108" i="104"/>
  <c r="O108" i="104"/>
  <c r="K72" i="104"/>
  <c r="Q72" i="104"/>
  <c r="W72" i="104"/>
  <c r="AC72" i="104"/>
  <c r="AI72" i="104"/>
  <c r="AO72" i="104"/>
  <c r="AU72" i="104"/>
  <c r="BA72" i="104"/>
  <c r="I73" i="104"/>
  <c r="O73" i="104"/>
  <c r="U73" i="104"/>
  <c r="AA73" i="104"/>
  <c r="AG73" i="104"/>
  <c r="AM73" i="104"/>
  <c r="AS73" i="104"/>
  <c r="AY73" i="104"/>
  <c r="BE73" i="104"/>
  <c r="L74" i="104"/>
  <c r="R74" i="104"/>
  <c r="X74" i="104"/>
  <c r="AD74" i="104"/>
  <c r="AJ74" i="104"/>
  <c r="AP74" i="104"/>
  <c r="AV74" i="104"/>
  <c r="BB74" i="104"/>
  <c r="I75" i="104"/>
  <c r="O75" i="104"/>
  <c r="U75" i="104"/>
  <c r="AA75" i="104"/>
  <c r="AG75" i="104"/>
  <c r="AM75" i="104"/>
  <c r="AS75" i="104"/>
  <c r="AY75" i="104"/>
  <c r="BE75" i="104"/>
  <c r="L76" i="104"/>
  <c r="R76" i="104"/>
  <c r="X76" i="104"/>
  <c r="AD76" i="104"/>
  <c r="AJ76" i="104"/>
  <c r="AP76" i="104"/>
  <c r="AV76" i="104"/>
  <c r="BB76" i="104"/>
  <c r="I77" i="104"/>
  <c r="O77" i="104"/>
  <c r="U77" i="104"/>
  <c r="AA77" i="104"/>
  <c r="AG77" i="104"/>
  <c r="AM77" i="104"/>
  <c r="AS77" i="104"/>
  <c r="AY77" i="104"/>
  <c r="BE77" i="104"/>
  <c r="L78" i="104"/>
  <c r="R78" i="104"/>
  <c r="X78" i="104"/>
  <c r="AD78" i="104"/>
  <c r="AJ78" i="104"/>
  <c r="AP78" i="104"/>
  <c r="AV78" i="104"/>
  <c r="BB78" i="104"/>
  <c r="I79" i="104"/>
  <c r="O79" i="104"/>
  <c r="U79" i="104"/>
  <c r="AA79" i="104"/>
  <c r="AG79" i="104"/>
  <c r="AM79" i="104"/>
  <c r="AS79" i="104"/>
  <c r="AY79" i="104"/>
  <c r="BE79" i="104"/>
  <c r="L82" i="104"/>
  <c r="R82" i="104"/>
  <c r="X82" i="104"/>
  <c r="AD82" i="104"/>
  <c r="AJ82" i="104"/>
  <c r="AP82" i="104"/>
  <c r="AV82" i="104"/>
  <c r="BB82" i="104"/>
  <c r="L86" i="104"/>
  <c r="I87" i="104"/>
  <c r="O87" i="104"/>
  <c r="U87" i="104"/>
  <c r="AA87" i="104"/>
  <c r="AG87" i="104"/>
  <c r="AM87" i="104"/>
  <c r="AS87" i="104"/>
  <c r="AY87" i="104"/>
  <c r="BE87" i="104"/>
  <c r="L92" i="104"/>
  <c r="U92" i="104"/>
  <c r="AD92" i="104"/>
  <c r="AM92" i="104"/>
  <c r="AV92" i="104"/>
  <c r="BE92" i="104"/>
  <c r="AB98" i="104"/>
  <c r="AW98" i="104"/>
  <c r="I101" i="104"/>
  <c r="AI101" i="104"/>
  <c r="Y103" i="104"/>
  <c r="AY103" i="104"/>
  <c r="BD108" i="104"/>
  <c r="H113" i="104"/>
  <c r="AD114" i="104"/>
  <c r="X117" i="104"/>
  <c r="AA124" i="104"/>
  <c r="O138" i="104"/>
  <c r="BC86" i="104"/>
  <c r="J87" i="104"/>
  <c r="P87" i="104"/>
  <c r="V87" i="104"/>
  <c r="AB87" i="104"/>
  <c r="AH87" i="104"/>
  <c r="AN87" i="104"/>
  <c r="AT87" i="104"/>
  <c r="AZ87" i="104"/>
  <c r="BF87" i="104"/>
  <c r="N92" i="104"/>
  <c r="W92" i="104"/>
  <c r="AF92" i="104"/>
  <c r="AO92" i="104"/>
  <c r="AX92" i="104"/>
  <c r="L98" i="104"/>
  <c r="AH98" i="104"/>
  <c r="BC98" i="104"/>
  <c r="P101" i="104"/>
  <c r="AQ101" i="104"/>
  <c r="AF103" i="104"/>
  <c r="BF103" i="104"/>
  <c r="AY111" i="104"/>
  <c r="T113" i="104"/>
  <c r="AR114" i="104"/>
  <c r="N116" i="104"/>
  <c r="AL117" i="104"/>
  <c r="K119" i="104"/>
  <c r="AA121" i="104"/>
  <c r="AU139" i="104"/>
  <c r="AD161" i="104"/>
  <c r="K73" i="104"/>
  <c r="Q73" i="104"/>
  <c r="W73" i="104"/>
  <c r="AC73" i="104"/>
  <c r="AI73" i="104"/>
  <c r="AO73" i="104"/>
  <c r="AU73" i="104"/>
  <c r="BA73" i="104"/>
  <c r="H76" i="104"/>
  <c r="N76" i="104"/>
  <c r="T76" i="104"/>
  <c r="Z76" i="104"/>
  <c r="AF76" i="104"/>
  <c r="AL76" i="104"/>
  <c r="AR76" i="104"/>
  <c r="AX76" i="104"/>
  <c r="BD76" i="104"/>
  <c r="K77" i="104"/>
  <c r="Q77" i="104"/>
  <c r="W77" i="104"/>
  <c r="AC77" i="104"/>
  <c r="AI77" i="104"/>
  <c r="AO77" i="104"/>
  <c r="AU77" i="104"/>
  <c r="BA77" i="104"/>
  <c r="AL86" i="104"/>
  <c r="K87" i="104"/>
  <c r="W87" i="104"/>
  <c r="AC87" i="104"/>
  <c r="AI87" i="104"/>
  <c r="AU87" i="104"/>
  <c r="BA87" i="104"/>
  <c r="O92" i="104"/>
  <c r="X92" i="104"/>
  <c r="AG92" i="104"/>
  <c r="AP92" i="104"/>
  <c r="M98" i="104"/>
  <c r="AI98" i="104"/>
  <c r="BD98" i="104"/>
  <c r="Q101" i="104"/>
  <c r="AR101" i="104"/>
  <c r="H103" i="104"/>
  <c r="AG103" i="104"/>
  <c r="M108" i="104"/>
  <c r="I112" i="104"/>
  <c r="AG113" i="104"/>
  <c r="BE114" i="104"/>
  <c r="AA116" i="104"/>
  <c r="AY117" i="104"/>
  <c r="AC119" i="104"/>
  <c r="Z141" i="104"/>
  <c r="BC72" i="104"/>
  <c r="H74" i="104"/>
  <c r="N74" i="104"/>
  <c r="T74" i="104"/>
  <c r="Z74" i="104"/>
  <c r="AF74" i="104"/>
  <c r="AL74" i="104"/>
  <c r="AR74" i="104"/>
  <c r="AX74" i="104"/>
  <c r="BD74" i="104"/>
  <c r="K75" i="104"/>
  <c r="Q75" i="104"/>
  <c r="W75" i="104"/>
  <c r="AC75" i="104"/>
  <c r="AI75" i="104"/>
  <c r="AO75" i="104"/>
  <c r="AU75" i="104"/>
  <c r="BA75" i="104"/>
  <c r="H78" i="104"/>
  <c r="N78" i="104"/>
  <c r="T78" i="104"/>
  <c r="Z78" i="104"/>
  <c r="AF78" i="104"/>
  <c r="AL78" i="104"/>
  <c r="AR78" i="104"/>
  <c r="AX78" i="104"/>
  <c r="BD78" i="104"/>
  <c r="K79" i="104"/>
  <c r="Q79" i="104"/>
  <c r="W79" i="104"/>
  <c r="AC79" i="104"/>
  <c r="AI79" i="104"/>
  <c r="AO79" i="104"/>
  <c r="AU79" i="104"/>
  <c r="BA79" i="104"/>
  <c r="H82" i="104"/>
  <c r="N82" i="104"/>
  <c r="T82" i="104"/>
  <c r="Z82" i="104"/>
  <c r="AF82" i="104"/>
  <c r="AL82" i="104"/>
  <c r="AR82" i="104"/>
  <c r="AX82" i="104"/>
  <c r="BD82" i="104"/>
  <c r="Q87" i="104"/>
  <c r="AO87" i="104"/>
  <c r="AY92" i="104"/>
  <c r="H72" i="104"/>
  <c r="N72" i="104"/>
  <c r="T72" i="104"/>
  <c r="Z72" i="104"/>
  <c r="AF72" i="104"/>
  <c r="AL72" i="104"/>
  <c r="AR72" i="104"/>
  <c r="AX72" i="104"/>
  <c r="BD72" i="104"/>
  <c r="L73" i="104"/>
  <c r="R73" i="104"/>
  <c r="X73" i="104"/>
  <c r="AD73" i="104"/>
  <c r="AJ73" i="104"/>
  <c r="AP73" i="104"/>
  <c r="AV73" i="104"/>
  <c r="BB73" i="104"/>
  <c r="I74" i="104"/>
  <c r="O74" i="104"/>
  <c r="U74" i="104"/>
  <c r="AA74" i="104"/>
  <c r="AG74" i="104"/>
  <c r="AM74" i="104"/>
  <c r="AS74" i="104"/>
  <c r="AY74" i="104"/>
  <c r="BE74" i="104"/>
  <c r="L75" i="104"/>
  <c r="R75" i="104"/>
  <c r="X75" i="104"/>
  <c r="AD75" i="104"/>
  <c r="AJ75" i="104"/>
  <c r="AP75" i="104"/>
  <c r="AV75" i="104"/>
  <c r="BB75" i="104"/>
  <c r="I76" i="104"/>
  <c r="O76" i="104"/>
  <c r="U76" i="104"/>
  <c r="AA76" i="104"/>
  <c r="AG76" i="104"/>
  <c r="AM76" i="104"/>
  <c r="AS76" i="104"/>
  <c r="AY76" i="104"/>
  <c r="BE76" i="104"/>
  <c r="L77" i="104"/>
  <c r="R77" i="104"/>
  <c r="X77" i="104"/>
  <c r="AD77" i="104"/>
  <c r="AJ77" i="104"/>
  <c r="AP77" i="104"/>
  <c r="AV77" i="104"/>
  <c r="BB77" i="104"/>
  <c r="I78" i="104"/>
  <c r="O78" i="104"/>
  <c r="U78" i="104"/>
  <c r="AA78" i="104"/>
  <c r="AG78" i="104"/>
  <c r="AM78" i="104"/>
  <c r="AS78" i="104"/>
  <c r="AY78" i="104"/>
  <c r="BE78" i="104"/>
  <c r="L79" i="104"/>
  <c r="R79" i="104"/>
  <c r="X79" i="104"/>
  <c r="AD79" i="104"/>
  <c r="AJ79" i="104"/>
  <c r="AP79" i="104"/>
  <c r="AV79" i="104"/>
  <c r="BB79" i="104"/>
  <c r="I82" i="104"/>
  <c r="O82" i="104"/>
  <c r="U82" i="104"/>
  <c r="AA82" i="104"/>
  <c r="AG82" i="104"/>
  <c r="AM82" i="104"/>
  <c r="AS82" i="104"/>
  <c r="AY82" i="104"/>
  <c r="BE82" i="104"/>
  <c r="I86" i="104"/>
  <c r="L87" i="104"/>
  <c r="R87" i="104"/>
  <c r="X87" i="104"/>
  <c r="AD87" i="104"/>
  <c r="AJ87" i="104"/>
  <c r="AP87" i="104"/>
  <c r="AV87" i="104"/>
  <c r="BB87" i="104"/>
  <c r="H92" i="104"/>
  <c r="Q92" i="104"/>
  <c r="Z92" i="104"/>
  <c r="AI92" i="104"/>
  <c r="AR92" i="104"/>
  <c r="BA92" i="104"/>
  <c r="S98" i="104"/>
  <c r="AO98" i="104"/>
  <c r="Y101" i="104"/>
  <c r="AY101" i="104"/>
  <c r="O103" i="104"/>
  <c r="AN103" i="104"/>
  <c r="X108" i="104"/>
  <c r="V112" i="104"/>
  <c r="AT113" i="104"/>
  <c r="AN116" i="104"/>
  <c r="AT119" i="104"/>
  <c r="J76" i="104"/>
  <c r="P76" i="104"/>
  <c r="V76" i="104"/>
  <c r="AB76" i="104"/>
  <c r="AH76" i="104"/>
  <c r="AN76" i="104"/>
  <c r="AT76" i="104"/>
  <c r="AZ76" i="104"/>
  <c r="BF76" i="104"/>
  <c r="M77" i="104"/>
  <c r="S77" i="104"/>
  <c r="Y77" i="104"/>
  <c r="AE77" i="104"/>
  <c r="AK77" i="104"/>
  <c r="AQ77" i="104"/>
  <c r="AW77" i="104"/>
  <c r="BC77" i="104"/>
  <c r="J78" i="104"/>
  <c r="P78" i="104"/>
  <c r="V78" i="104"/>
  <c r="AB78" i="104"/>
  <c r="AH78" i="104"/>
  <c r="AN78" i="104"/>
  <c r="AT78" i="104"/>
  <c r="AZ78" i="104"/>
  <c r="BF78" i="104"/>
  <c r="M79" i="104"/>
  <c r="S79" i="104"/>
  <c r="Y79" i="104"/>
  <c r="AE79" i="104"/>
  <c r="AK79" i="104"/>
  <c r="AQ79" i="104"/>
  <c r="AW79" i="104"/>
  <c r="BC79" i="104"/>
  <c r="J82" i="104"/>
  <c r="P82" i="104"/>
  <c r="V82" i="104"/>
  <c r="AB82" i="104"/>
  <c r="AH82" i="104"/>
  <c r="AN82" i="104"/>
  <c r="AT82" i="104"/>
  <c r="AZ82" i="104"/>
  <c r="BF82" i="104"/>
  <c r="V86" i="104"/>
  <c r="AB86" i="104"/>
  <c r="M87" i="104"/>
  <c r="S87" i="104"/>
  <c r="Y87" i="104"/>
  <c r="AE87" i="104"/>
  <c r="AK87" i="104"/>
  <c r="AQ87" i="104"/>
  <c r="AW87" i="104"/>
  <c r="BC87" i="104"/>
  <c r="I92" i="104"/>
  <c r="R92" i="104"/>
  <c r="AA92" i="104"/>
  <c r="AJ92" i="104"/>
  <c r="AS92" i="104"/>
  <c r="BB92" i="104"/>
  <c r="T98" i="104"/>
  <c r="AP98" i="104"/>
  <c r="AA101" i="104"/>
  <c r="AZ101" i="104"/>
  <c r="P103" i="104"/>
  <c r="AQ103" i="104"/>
  <c r="AI108" i="104"/>
  <c r="AI112" i="104"/>
  <c r="AZ116" i="104"/>
  <c r="V118" i="104"/>
  <c r="P145" i="104"/>
  <c r="BK98" i="105"/>
  <c r="BJ111" i="105"/>
  <c r="BL165" i="104" l="1"/>
  <c r="BL179" i="104"/>
  <c r="BL177" i="104"/>
  <c r="BG166" i="104" a="1"/>
  <c r="BG166" i="104" s="1"/>
  <c r="BG165" i="104" a="1"/>
  <c r="BG165" i="104" s="1"/>
  <c r="BL181" i="104"/>
  <c r="BL182" i="104"/>
  <c r="BG181" i="104" a="1"/>
  <c r="BG181" i="104" s="1"/>
  <c r="BG178" i="104" a="1"/>
  <c r="BG178" i="104" s="1"/>
  <c r="BB167" i="104"/>
  <c r="BA167" i="104"/>
  <c r="AO167" i="104"/>
  <c r="AC167" i="104"/>
  <c r="Q167" i="104"/>
  <c r="AZ167" i="104"/>
  <c r="AN167" i="104"/>
  <c r="AB167" i="104"/>
  <c r="P167" i="104"/>
  <c r="AY167" i="104"/>
  <c r="AM167" i="104"/>
  <c r="AA167" i="104"/>
  <c r="O167" i="104"/>
  <c r="AX167" i="104"/>
  <c r="AL167" i="104"/>
  <c r="Z167" i="104"/>
  <c r="N167" i="104"/>
  <c r="AW167" i="104"/>
  <c r="AK167" i="104"/>
  <c r="Y167" i="104"/>
  <c r="M167" i="104"/>
  <c r="AV167" i="104"/>
  <c r="AJ167" i="104"/>
  <c r="X167" i="104"/>
  <c r="L167" i="104"/>
  <c r="AU167" i="104"/>
  <c r="AI167" i="104"/>
  <c r="W167" i="104"/>
  <c r="K167" i="104"/>
  <c r="BF167" i="104"/>
  <c r="AT167" i="104"/>
  <c r="AH167" i="104"/>
  <c r="BG167" i="104" s="1" a="1"/>
  <c r="BG167" i="104" s="1"/>
  <c r="V167" i="104"/>
  <c r="J167" i="104"/>
  <c r="BE167" i="104"/>
  <c r="AS167" i="104"/>
  <c r="AG167" i="104"/>
  <c r="U167" i="104"/>
  <c r="I167" i="104"/>
  <c r="BD167" i="104"/>
  <c r="AR167" i="104"/>
  <c r="AF167" i="104"/>
  <c r="T167" i="104"/>
  <c r="H167" i="104"/>
  <c r="BC167" i="104"/>
  <c r="AQ167" i="104"/>
  <c r="AE167" i="104"/>
  <c r="S167" i="104"/>
  <c r="AP167" i="104"/>
  <c r="AD167" i="104"/>
  <c r="R167" i="104"/>
  <c r="BG177" i="104" a="1"/>
  <c r="BG177" i="104" s="1"/>
  <c r="BL178" i="104"/>
  <c r="P44" i="104"/>
  <c r="BB169" i="104"/>
  <c r="AP169" i="104"/>
  <c r="AD169" i="104"/>
  <c r="BA169" i="104"/>
  <c r="AO169" i="104"/>
  <c r="AC169" i="104"/>
  <c r="Q169" i="104"/>
  <c r="AZ169" i="104"/>
  <c r="AN169" i="104"/>
  <c r="AB169" i="104"/>
  <c r="P169" i="104"/>
  <c r="AY169" i="104"/>
  <c r="AM169" i="104"/>
  <c r="AA169" i="104"/>
  <c r="O169" i="104"/>
  <c r="AX169" i="104"/>
  <c r="AL169" i="104"/>
  <c r="Z169" i="104"/>
  <c r="N169" i="104"/>
  <c r="AW169" i="104"/>
  <c r="AK169" i="104"/>
  <c r="Y169" i="104"/>
  <c r="M169" i="104"/>
  <c r="AV169" i="104"/>
  <c r="AJ169" i="104"/>
  <c r="X169" i="104"/>
  <c r="L169" i="104"/>
  <c r="AU169" i="104"/>
  <c r="AI169" i="104"/>
  <c r="W169" i="104"/>
  <c r="K169" i="104"/>
  <c r="BF169" i="104"/>
  <c r="AT169" i="104"/>
  <c r="AH169" i="104"/>
  <c r="V169" i="104"/>
  <c r="J169" i="104"/>
  <c r="BE169" i="104"/>
  <c r="AS169" i="104"/>
  <c r="AG169" i="104"/>
  <c r="U169" i="104"/>
  <c r="I169" i="104"/>
  <c r="BD169" i="104"/>
  <c r="AR169" i="104"/>
  <c r="AF169" i="104"/>
  <c r="T169" i="104"/>
  <c r="H169" i="104"/>
  <c r="BC169" i="104"/>
  <c r="AQ169" i="104"/>
  <c r="AE169" i="104"/>
  <c r="S169" i="104"/>
  <c r="R169" i="104"/>
  <c r="BF180" i="104"/>
  <c r="AT180" i="104"/>
  <c r="AH180" i="104"/>
  <c r="V180" i="104"/>
  <c r="J180" i="104"/>
  <c r="BE180" i="104"/>
  <c r="AS180" i="104"/>
  <c r="AG180" i="104"/>
  <c r="U180" i="104"/>
  <c r="I180" i="104"/>
  <c r="BC180" i="104"/>
  <c r="AQ180" i="104"/>
  <c r="AX180" i="104"/>
  <c r="AL180" i="104"/>
  <c r="Z180" i="104"/>
  <c r="N180" i="104"/>
  <c r="AW180" i="104"/>
  <c r="AK180" i="104"/>
  <c r="Y180" i="104"/>
  <c r="M180" i="104"/>
  <c r="AV180" i="104"/>
  <c r="AJ180" i="104"/>
  <c r="X180" i="104"/>
  <c r="L180" i="104"/>
  <c r="BB180" i="104"/>
  <c r="AE180" i="104"/>
  <c r="K180" i="104"/>
  <c r="BA180" i="104"/>
  <c r="AD180" i="104"/>
  <c r="H180" i="104"/>
  <c r="AZ180" i="104"/>
  <c r="AC180" i="104"/>
  <c r="AY180" i="104"/>
  <c r="AB180" i="104"/>
  <c r="AU180" i="104"/>
  <c r="AA180" i="104"/>
  <c r="AR180" i="104"/>
  <c r="W180" i="104"/>
  <c r="AP180" i="104"/>
  <c r="T180" i="104"/>
  <c r="AO180" i="104"/>
  <c r="S180" i="104"/>
  <c r="AN180" i="104"/>
  <c r="R180" i="104"/>
  <c r="AM180" i="104"/>
  <c r="Q180" i="104"/>
  <c r="AI180" i="104"/>
  <c r="P180" i="104"/>
  <c r="BD180" i="104"/>
  <c r="AF180" i="104"/>
  <c r="O180" i="104"/>
  <c r="BG179" i="104" a="1"/>
  <c r="BG179" i="104" s="1"/>
  <c r="BF184" i="104"/>
  <c r="AT184" i="104"/>
  <c r="AH184" i="104"/>
  <c r="V184" i="104"/>
  <c r="J184" i="104"/>
  <c r="BE184" i="104"/>
  <c r="AS184" i="104"/>
  <c r="AG184" i="104"/>
  <c r="U184" i="104"/>
  <c r="I184" i="104"/>
  <c r="BC184" i="104"/>
  <c r="AQ184" i="104"/>
  <c r="AE184" i="104"/>
  <c r="S184" i="104"/>
  <c r="AY184" i="104"/>
  <c r="AM184" i="104"/>
  <c r="AA184" i="104"/>
  <c r="O184" i="104"/>
  <c r="AX184" i="104"/>
  <c r="AL184" i="104"/>
  <c r="Z184" i="104"/>
  <c r="N184" i="104"/>
  <c r="AW184" i="104"/>
  <c r="AK184" i="104"/>
  <c r="Y184" i="104"/>
  <c r="M184" i="104"/>
  <c r="AV184" i="104"/>
  <c r="AJ184" i="104"/>
  <c r="X184" i="104"/>
  <c r="L184" i="104"/>
  <c r="AN184" i="104"/>
  <c r="H184" i="104"/>
  <c r="AI184" i="104"/>
  <c r="AF184" i="104"/>
  <c r="AD184" i="104"/>
  <c r="BD184" i="104"/>
  <c r="AC184" i="104"/>
  <c r="BB184" i="104"/>
  <c r="AB184" i="104"/>
  <c r="BA184" i="104"/>
  <c r="W184" i="104"/>
  <c r="AZ184" i="104"/>
  <c r="T184" i="104"/>
  <c r="AU184" i="104"/>
  <c r="R184" i="104"/>
  <c r="AR184" i="104"/>
  <c r="Q184" i="104"/>
  <c r="AP184" i="104"/>
  <c r="P184" i="104"/>
  <c r="AO184" i="104"/>
  <c r="K184" i="104"/>
  <c r="BL166" i="104"/>
  <c r="AZ171" i="104"/>
  <c r="AN171" i="104"/>
  <c r="AB171" i="104"/>
  <c r="P171" i="104"/>
  <c r="BD171" i="104"/>
  <c r="AR171" i="104"/>
  <c r="AF171" i="104"/>
  <c r="T171" i="104"/>
  <c r="H171" i="104"/>
  <c r="BC171" i="104"/>
  <c r="AQ171" i="104"/>
  <c r="AE171" i="104"/>
  <c r="S171" i="104"/>
  <c r="AU171" i="104"/>
  <c r="AD171" i="104"/>
  <c r="N171" i="104"/>
  <c r="AT171" i="104"/>
  <c r="AC171" i="104"/>
  <c r="M171" i="104"/>
  <c r="AS171" i="104"/>
  <c r="AA171" i="104"/>
  <c r="L171" i="104"/>
  <c r="AP171" i="104"/>
  <c r="Z171" i="104"/>
  <c r="K171" i="104"/>
  <c r="BF171" i="104"/>
  <c r="AO171" i="104"/>
  <c r="Y171" i="104"/>
  <c r="J171" i="104"/>
  <c r="BE171" i="104"/>
  <c r="AM171" i="104"/>
  <c r="X171" i="104"/>
  <c r="I171" i="104"/>
  <c r="BB171" i="104"/>
  <c r="AL171" i="104"/>
  <c r="W171" i="104"/>
  <c r="BA171" i="104"/>
  <c r="AK171" i="104"/>
  <c r="V171" i="104"/>
  <c r="AY171" i="104"/>
  <c r="AJ171" i="104"/>
  <c r="U171" i="104"/>
  <c r="AX171" i="104"/>
  <c r="AI171" i="104"/>
  <c r="R171" i="104"/>
  <c r="AW171" i="104"/>
  <c r="AH171" i="104"/>
  <c r="BG171" i="104" s="1" a="1"/>
  <c r="BG171" i="104" s="1"/>
  <c r="Q171" i="104"/>
  <c r="AV171" i="104"/>
  <c r="AG171" i="104"/>
  <c r="O171" i="104"/>
  <c r="BB170" i="104" a="1"/>
  <c r="BB170" i="104" s="1"/>
  <c r="BD170" i="104" a="1"/>
  <c r="BD170" i="104" s="1"/>
  <c r="AV170" i="104" a="1"/>
  <c r="AV170" i="104" s="1"/>
  <c r="AO170" i="104" a="1"/>
  <c r="AO170" i="104" s="1"/>
  <c r="AH170" i="104" a="1"/>
  <c r="AH170" i="104" s="1"/>
  <c r="AB170" i="104" a="1"/>
  <c r="AB170" i="104" s="1"/>
  <c r="V170" i="104" a="1"/>
  <c r="V170" i="104" s="1"/>
  <c r="P170" i="104" a="1"/>
  <c r="P170" i="104" s="1"/>
  <c r="AN170" i="104" a="1"/>
  <c r="AN170" i="104" s="1"/>
  <c r="BC170" i="104" a="1"/>
  <c r="BC170" i="104" s="1"/>
  <c r="AU170" i="104" a="1"/>
  <c r="AU170" i="104" s="1"/>
  <c r="AG170" i="104" a="1"/>
  <c r="AG170" i="104" s="1"/>
  <c r="AA170" i="104" a="1"/>
  <c r="AA170" i="104" s="1"/>
  <c r="U170" i="104" a="1"/>
  <c r="U170" i="104" s="1"/>
  <c r="O170" i="104" a="1"/>
  <c r="O170" i="104" s="1"/>
  <c r="I170" i="104" a="1"/>
  <c r="I170" i="104" s="1"/>
  <c r="AT170" i="104" a="1"/>
  <c r="AT170" i="104" s="1"/>
  <c r="AM170" i="104" a="1"/>
  <c r="AM170" i="104" s="1"/>
  <c r="BA170" i="104" a="1"/>
  <c r="BA170" i="104" s="1"/>
  <c r="AF170" i="104" a="1"/>
  <c r="AF170" i="104" s="1"/>
  <c r="Z170" i="104" a="1"/>
  <c r="Z170" i="104" s="1"/>
  <c r="T170" i="104" a="1"/>
  <c r="T170" i="104" s="1"/>
  <c r="N170" i="104" a="1"/>
  <c r="N170" i="104" s="1"/>
  <c r="H170" i="104" a="1"/>
  <c r="H170" i="104" s="1"/>
  <c r="AZ170" i="104" a="1"/>
  <c r="AZ170" i="104" s="1"/>
  <c r="AS170" i="104" a="1"/>
  <c r="AS170" i="104" s="1"/>
  <c r="AL170" i="104" a="1"/>
  <c r="AL170" i="104" s="1"/>
  <c r="AE170" i="104" a="1"/>
  <c r="AE170" i="104" s="1"/>
  <c r="Y170" i="104" a="1"/>
  <c r="Y170" i="104" s="1"/>
  <c r="S170" i="104" a="1"/>
  <c r="S170" i="104" s="1"/>
  <c r="M170" i="104" a="1"/>
  <c r="M170" i="104" s="1"/>
  <c r="AY170" i="104" a="1"/>
  <c r="AY170" i="104" s="1"/>
  <c r="AR170" i="104" a="1"/>
  <c r="AR170" i="104" s="1"/>
  <c r="AK170" i="104" a="1"/>
  <c r="AK170" i="104" s="1"/>
  <c r="BF170" i="104" a="1"/>
  <c r="BF170" i="104" s="1"/>
  <c r="AJ170" i="104" a="1"/>
  <c r="AJ170" i="104" s="1"/>
  <c r="AD170" i="104" a="1"/>
  <c r="AD170" i="104" s="1"/>
  <c r="X170" i="104" a="1"/>
  <c r="X170" i="104" s="1"/>
  <c r="R170" i="104" a="1"/>
  <c r="R170" i="104" s="1"/>
  <c r="L170" i="104" a="1"/>
  <c r="L170" i="104" s="1"/>
  <c r="AX170" i="104" a="1"/>
  <c r="AX170" i="104" s="1"/>
  <c r="AQ170" i="104" a="1"/>
  <c r="AQ170" i="104" s="1"/>
  <c r="BE170" i="104" a="1"/>
  <c r="BE170" i="104" s="1"/>
  <c r="AP170" i="104" a="1"/>
  <c r="AP170" i="104" s="1"/>
  <c r="AI170" i="104" a="1"/>
  <c r="AI170" i="104" s="1"/>
  <c r="AC170" i="104" a="1"/>
  <c r="AC170" i="104" s="1"/>
  <c r="W170" i="104" a="1"/>
  <c r="W170" i="104" s="1"/>
  <c r="Q170" i="104" a="1"/>
  <c r="Q170" i="104" s="1"/>
  <c r="K170" i="104" a="1"/>
  <c r="K170" i="104" s="1"/>
  <c r="AW170" i="104" a="1"/>
  <c r="AW170" i="104" s="1"/>
  <c r="J170" i="104" a="1"/>
  <c r="J170" i="104" s="1"/>
  <c r="P47" i="104"/>
  <c r="BF186" i="104"/>
  <c r="AT186" i="104"/>
  <c r="AH186" i="104"/>
  <c r="V186" i="104"/>
  <c r="J186" i="104"/>
  <c r="BE186" i="104"/>
  <c r="AS186" i="104"/>
  <c r="AG186" i="104"/>
  <c r="U186" i="104"/>
  <c r="I186" i="104"/>
  <c r="BC186" i="104"/>
  <c r="AQ186" i="104"/>
  <c r="AE186" i="104"/>
  <c r="S186" i="104"/>
  <c r="AY186" i="104"/>
  <c r="AM186" i="104"/>
  <c r="AA186" i="104"/>
  <c r="O186" i="104"/>
  <c r="AX186" i="104"/>
  <c r="AL186" i="104"/>
  <c r="Z186" i="104"/>
  <c r="N186" i="104"/>
  <c r="AW186" i="104"/>
  <c r="AK186" i="104"/>
  <c r="Y186" i="104"/>
  <c r="M186" i="104"/>
  <c r="AV186" i="104"/>
  <c r="AJ186" i="104"/>
  <c r="X186" i="104"/>
  <c r="L186" i="104"/>
  <c r="AR186" i="104"/>
  <c r="Q186" i="104"/>
  <c r="AP186" i="104"/>
  <c r="P186" i="104"/>
  <c r="AO186" i="104"/>
  <c r="K186" i="104"/>
  <c r="AN186" i="104"/>
  <c r="H186" i="104"/>
  <c r="AI186" i="104"/>
  <c r="AF186" i="104"/>
  <c r="AD186" i="104"/>
  <c r="BD186" i="104"/>
  <c r="AC186" i="104"/>
  <c r="BB186" i="104"/>
  <c r="AB186" i="104"/>
  <c r="BA186" i="104"/>
  <c r="W186" i="104"/>
  <c r="AZ186" i="104"/>
  <c r="T186" i="104"/>
  <c r="AU186" i="104"/>
  <c r="R186" i="104"/>
  <c r="BG182" i="104" a="1"/>
  <c r="BG182" i="104" s="1"/>
  <c r="J84" i="104"/>
  <c r="H100" i="104"/>
  <c r="AQ221" i="104"/>
  <c r="Y221" i="104"/>
  <c r="BD221" i="104"/>
  <c r="AY221" i="104"/>
  <c r="J221" i="104"/>
  <c r="AC221" i="104"/>
  <c r="S221" i="104"/>
  <c r="AE221" i="104"/>
  <c r="V221" i="104"/>
  <c r="BC221" i="104"/>
  <c r="AB221" i="104"/>
  <c r="H221" i="104"/>
  <c r="AH221" i="104"/>
  <c r="BA84" i="104"/>
  <c r="AJ100" i="104"/>
  <c r="N221" i="104"/>
  <c r="BF221" i="104"/>
  <c r="BF100" i="104"/>
  <c r="M221" i="104"/>
  <c r="T221" i="104"/>
  <c r="AW221" i="104"/>
  <c r="Z221" i="104"/>
  <c r="L221" i="104"/>
  <c r="AK221" i="104"/>
  <c r="AF221" i="104"/>
  <c r="I221" i="104"/>
  <c r="R221" i="104"/>
  <c r="AU100" i="104"/>
  <c r="AS100" i="104"/>
  <c r="AL221" i="104"/>
  <c r="O221" i="104"/>
  <c r="K221" i="104"/>
  <c r="X221" i="104"/>
  <c r="BE84" i="104"/>
  <c r="AH100" i="104"/>
  <c r="AR221" i="104"/>
  <c r="AA221" i="104"/>
  <c r="Q221" i="104"/>
  <c r="AD221" i="104"/>
  <c r="AN221" i="104"/>
  <c r="AO221" i="104"/>
  <c r="AJ221" i="104"/>
  <c r="AT221" i="104"/>
  <c r="AU221" i="104"/>
  <c r="AP221" i="104"/>
  <c r="U221" i="104"/>
  <c r="AZ221" i="104"/>
  <c r="BA221" i="104"/>
  <c r="AV221" i="104"/>
  <c r="AM221" i="104"/>
  <c r="R198" i="104"/>
  <c r="AV206" i="104"/>
  <c r="P206" i="104"/>
  <c r="BB198" i="104"/>
  <c r="AW198" i="104"/>
  <c r="AZ206" i="104"/>
  <c r="AQ206" i="104"/>
  <c r="H206" i="104"/>
  <c r="AH198" i="104"/>
  <c r="W206" i="104"/>
  <c r="N198" i="104"/>
  <c r="AL198" i="104"/>
  <c r="T206" i="104"/>
  <c r="AD198" i="104"/>
  <c r="AI198" i="104"/>
  <c r="AG206" i="104"/>
  <c r="S198" i="104"/>
  <c r="I198" i="104"/>
  <c r="AE198" i="104"/>
  <c r="H198" i="104"/>
  <c r="Z206" i="104"/>
  <c r="AS198" i="104"/>
  <c r="BC198" i="104"/>
  <c r="T198" i="104"/>
  <c r="AJ198" i="104"/>
  <c r="AY198" i="104"/>
  <c r="AX198" i="104"/>
  <c r="BD198" i="104"/>
  <c r="AV198" i="104"/>
  <c r="BE198" i="104"/>
  <c r="Z198" i="104"/>
  <c r="DB88" i="105"/>
  <c r="BR95" i="105"/>
  <c r="CM124" i="105"/>
  <c r="BN88" i="105"/>
  <c r="CD106" i="105"/>
  <c r="CC87" i="105"/>
  <c r="BW111" i="105"/>
  <c r="CI88" i="105"/>
  <c r="DD92" i="105"/>
  <c r="DC96" i="105"/>
  <c r="DC99" i="105"/>
  <c r="CD92" i="105"/>
  <c r="CL105" i="105"/>
  <c r="CV105" i="105"/>
  <c r="BR90" i="105"/>
  <c r="BQ106" i="105"/>
  <c r="CP109" i="105"/>
  <c r="BO123" i="105"/>
  <c r="CD110" i="105"/>
  <c r="CP124" i="105"/>
  <c r="CX96" i="105"/>
  <c r="BR91" i="105"/>
  <c r="CH104" i="105"/>
  <c r="DC101" i="105"/>
  <c r="CL93" i="105"/>
  <c r="BO100" i="105"/>
  <c r="BU96" i="105"/>
  <c r="BT104" i="105"/>
  <c r="P148" i="105"/>
  <c r="BM148" i="105"/>
  <c r="BM145" i="105"/>
  <c r="P145" i="105"/>
  <c r="S145" i="105"/>
  <c r="S148" i="105"/>
  <c r="DE110" i="105"/>
  <c r="BM92" i="105"/>
  <c r="CT124" i="105"/>
  <c r="BD145" i="105"/>
  <c r="CO145" i="105"/>
  <c r="W148" i="105"/>
  <c r="CO148" i="105"/>
  <c r="BH148" i="105"/>
  <c r="BD148" i="105"/>
  <c r="CS148" i="105"/>
  <c r="BT145" i="105"/>
  <c r="BX105" i="105"/>
  <c r="CG111" i="105"/>
  <c r="BR99" i="105"/>
  <c r="AK145" i="105"/>
  <c r="BV145" i="105"/>
  <c r="BK148" i="105"/>
  <c r="V111" i="104"/>
  <c r="AS127" i="104"/>
  <c r="Q111" i="104"/>
  <c r="P127" i="104"/>
  <c r="X127" i="104"/>
  <c r="AB111" i="104"/>
  <c r="AK111" i="104"/>
  <c r="AE127" i="104"/>
  <c r="K111" i="104"/>
  <c r="R111" i="104"/>
  <c r="AD111" i="104"/>
  <c r="BD127" i="104"/>
  <c r="Z111" i="104"/>
  <c r="AA127" i="104"/>
  <c r="AF127" i="104"/>
  <c r="AI111" i="104"/>
  <c r="AQ111" i="104"/>
  <c r="AK127" i="104"/>
  <c r="AC111" i="104"/>
  <c r="AS111" i="104"/>
  <c r="H111" i="104"/>
  <c r="J111" i="104"/>
  <c r="R127" i="104"/>
  <c r="AU111" i="104"/>
  <c r="AR111" i="104"/>
  <c r="O127" i="104"/>
  <c r="AV127" i="104"/>
  <c r="AT127" i="104"/>
  <c r="AX111" i="104"/>
  <c r="U127" i="104"/>
  <c r="BC111" i="104"/>
  <c r="AW127" i="104"/>
  <c r="AO111" i="104"/>
  <c r="BF111" i="104"/>
  <c r="T111" i="104"/>
  <c r="W111" i="104"/>
  <c r="AC127" i="104"/>
  <c r="BD111" i="104"/>
  <c r="I127" i="104"/>
  <c r="AZ111" i="104"/>
  <c r="Z127" i="104"/>
  <c r="BA127" i="104"/>
  <c r="BE111" i="104"/>
  <c r="AB127" i="104"/>
  <c r="BC127" i="104"/>
  <c r="BB111" i="104"/>
  <c r="AG111" i="104"/>
  <c r="AJ111" i="104"/>
  <c r="AN127" i="104"/>
  <c r="T127" i="104"/>
  <c r="AJ127" i="104"/>
  <c r="AI127" i="104"/>
  <c r="AA111" i="104"/>
  <c r="K127" i="104"/>
  <c r="AO127" i="104"/>
  <c r="BF127" i="104"/>
  <c r="AX127" i="104"/>
  <c r="BB127" i="104"/>
  <c r="AN111" i="104"/>
  <c r="V127" i="104"/>
  <c r="AZ127" i="104"/>
  <c r="BE127" i="104"/>
  <c r="M111" i="104"/>
  <c r="S23" i="104"/>
  <c r="U95" i="104" s="1"/>
  <c r="BA111" i="104"/>
  <c r="L127" i="104"/>
  <c r="S111" i="104"/>
  <c r="M127" i="104"/>
  <c r="X111" i="104"/>
  <c r="AL111" i="104"/>
  <c r="AG127" i="104"/>
  <c r="AR127" i="104"/>
  <c r="W127" i="104"/>
  <c r="J127" i="104"/>
  <c r="N111" i="104"/>
  <c r="Y111" i="104"/>
  <c r="S127" i="104"/>
  <c r="L111" i="104"/>
  <c r="AH127" i="104"/>
  <c r="I111" i="104"/>
  <c r="Q127" i="104"/>
  <c r="U111" i="104"/>
  <c r="Y127" i="104"/>
  <c r="CU97" i="105"/>
  <c r="AX86" i="104"/>
  <c r="H84" i="104"/>
  <c r="V100" i="104"/>
  <c r="R86" i="104"/>
  <c r="BE118" i="104"/>
  <c r="AN100" i="104"/>
  <c r="AI102" i="104"/>
  <c r="Z100" i="104"/>
  <c r="R102" i="104"/>
  <c r="W118" i="104"/>
  <c r="AM100" i="104"/>
  <c r="I102" i="104"/>
  <c r="AM118" i="104"/>
  <c r="AW118" i="104"/>
  <c r="L193" i="104"/>
  <c r="BB193" i="104"/>
  <c r="U194" i="104"/>
  <c r="V194" i="104"/>
  <c r="AX193" i="104"/>
  <c r="R194" i="104"/>
  <c r="V193" i="104"/>
  <c r="AQ194" i="104"/>
  <c r="AO193" i="104"/>
  <c r="Q86" i="104"/>
  <c r="K84" i="104"/>
  <c r="AC84" i="104"/>
  <c r="P86" i="104"/>
  <c r="T86" i="104"/>
  <c r="AK102" i="104"/>
  <c r="AW86" i="104"/>
  <c r="BB84" i="104"/>
  <c r="P100" i="104"/>
  <c r="N102" i="104"/>
  <c r="BB100" i="104"/>
  <c r="AZ102" i="104"/>
  <c r="R118" i="104"/>
  <c r="AO100" i="104"/>
  <c r="AJ102" i="104"/>
  <c r="L102" i="104"/>
  <c r="AO118" i="104"/>
  <c r="AY100" i="104"/>
  <c r="U102" i="104"/>
  <c r="BA118" i="104"/>
  <c r="I194" i="104"/>
  <c r="M193" i="104"/>
  <c r="AH194" i="104"/>
  <c r="K194" i="104"/>
  <c r="I193" i="104"/>
  <c r="AD194" i="104"/>
  <c r="AH193" i="104"/>
  <c r="BC194" i="104"/>
  <c r="BA193" i="104"/>
  <c r="AI84" i="104"/>
  <c r="AC102" i="104"/>
  <c r="N100" i="104"/>
  <c r="AY84" i="104"/>
  <c r="J86" i="104"/>
  <c r="AS84" i="104"/>
  <c r="H86" i="104"/>
  <c r="K102" i="104"/>
  <c r="AQ86" i="104"/>
  <c r="AV84" i="104"/>
  <c r="W100" i="104"/>
  <c r="W102" i="104"/>
  <c r="AD118" i="104"/>
  <c r="AV100" i="104"/>
  <c r="AR102" i="104"/>
  <c r="S102" i="104"/>
  <c r="AX118" i="104"/>
  <c r="BE100" i="104"/>
  <c r="AA102" i="104"/>
  <c r="AS194" i="104"/>
  <c r="S193" i="104"/>
  <c r="AN194" i="104"/>
  <c r="Q194" i="104"/>
  <c r="O193" i="104"/>
  <c r="AJ194" i="104"/>
  <c r="AN193" i="104"/>
  <c r="H194" i="104"/>
  <c r="AO84" i="104"/>
  <c r="T100" i="104"/>
  <c r="Q84" i="104"/>
  <c r="AD100" i="104"/>
  <c r="AE102" i="104"/>
  <c r="J100" i="104"/>
  <c r="AR118" i="104"/>
  <c r="BC100" i="104"/>
  <c r="BA102" i="104"/>
  <c r="H118" i="104"/>
  <c r="Z102" i="104"/>
  <c r="BF118" i="104"/>
  <c r="AG102" i="104"/>
  <c r="AD193" i="104"/>
  <c r="Y193" i="104"/>
  <c r="AT194" i="104"/>
  <c r="W194" i="104"/>
  <c r="U193" i="104"/>
  <c r="AP194" i="104"/>
  <c r="AT193" i="104"/>
  <c r="N194" i="104"/>
  <c r="W84" i="104"/>
  <c r="T102" i="104"/>
  <c r="AY86" i="104"/>
  <c r="AG84" i="104"/>
  <c r="AL102" i="104"/>
  <c r="AX84" i="104"/>
  <c r="AE86" i="104"/>
  <c r="AJ84" i="104"/>
  <c r="AK100" i="104"/>
  <c r="AN102" i="104"/>
  <c r="Q100" i="104"/>
  <c r="P102" i="104"/>
  <c r="U118" i="104"/>
  <c r="AH102" i="104"/>
  <c r="K118" i="104"/>
  <c r="AM102" i="104"/>
  <c r="AV193" i="104"/>
  <c r="O194" i="104"/>
  <c r="AE193" i="104"/>
  <c r="AZ194" i="104"/>
  <c r="H193" i="104"/>
  <c r="AC194" i="104"/>
  <c r="AA193" i="104"/>
  <c r="AV194" i="104"/>
  <c r="AZ193" i="104"/>
  <c r="T194" i="104"/>
  <c r="AW84" i="104"/>
  <c r="BF84" i="104"/>
  <c r="AT102" i="104"/>
  <c r="BE86" i="104"/>
  <c r="BD84" i="104"/>
  <c r="AK86" i="104"/>
  <c r="AP84" i="104"/>
  <c r="AZ84" i="104"/>
  <c r="AT84" i="104"/>
  <c r="AS86" i="104"/>
  <c r="AA84" i="104"/>
  <c r="BD86" i="104"/>
  <c r="M102" i="104"/>
  <c r="AR84" i="104"/>
  <c r="AW100" i="104"/>
  <c r="Y86" i="104"/>
  <c r="BB86" i="104"/>
  <c r="AD84" i="104"/>
  <c r="L118" i="104"/>
  <c r="AR100" i="104"/>
  <c r="AW102" i="104"/>
  <c r="N118" i="104"/>
  <c r="X100" i="104"/>
  <c r="X102" i="104"/>
  <c r="AH118" i="104"/>
  <c r="AO102" i="104"/>
  <c r="T118" i="104"/>
  <c r="AS102" i="104"/>
  <c r="M118" i="104"/>
  <c r="AY194" i="104"/>
  <c r="AK193" i="104"/>
  <c r="BF194" i="104"/>
  <c r="N193" i="104"/>
  <c r="AI194" i="104"/>
  <c r="AG193" i="104"/>
  <c r="BB194" i="104"/>
  <c r="BF193" i="104"/>
  <c r="Z194" i="104"/>
  <c r="AE84" i="104"/>
  <c r="AM84" i="104"/>
  <c r="BF86" i="104"/>
  <c r="AN84" i="104"/>
  <c r="AM86" i="104"/>
  <c r="U84" i="104"/>
  <c r="AR86" i="104"/>
  <c r="AL84" i="104"/>
  <c r="AB100" i="104"/>
  <c r="S86" i="104"/>
  <c r="BD102" i="104"/>
  <c r="AV86" i="104"/>
  <c r="X84" i="104"/>
  <c r="Z118" i="104"/>
  <c r="AZ100" i="104"/>
  <c r="BF102" i="104"/>
  <c r="AA118" i="104"/>
  <c r="AE100" i="104"/>
  <c r="AF102" i="104"/>
  <c r="AU118" i="104"/>
  <c r="AV102" i="104"/>
  <c r="AB118" i="104"/>
  <c r="I100" i="104"/>
  <c r="AY102" i="104"/>
  <c r="S118" i="104"/>
  <c r="AP193" i="104"/>
  <c r="AQ193" i="104"/>
  <c r="T193" i="104"/>
  <c r="AO194" i="104"/>
  <c r="AM193" i="104"/>
  <c r="M194" i="104"/>
  <c r="K193" i="104"/>
  <c r="AF194" i="104"/>
  <c r="W86" i="104"/>
  <c r="M84" i="104"/>
  <c r="K100" i="104"/>
  <c r="BC102" i="104"/>
  <c r="AJ118" i="104"/>
  <c r="O100" i="104"/>
  <c r="BE102" i="104"/>
  <c r="J118" i="104"/>
  <c r="Y118" i="104"/>
  <c r="AA194" i="104"/>
  <c r="AW193" i="104"/>
  <c r="Z193" i="104"/>
  <c r="AU194" i="104"/>
  <c r="AS193" i="104"/>
  <c r="S194" i="104"/>
  <c r="Q193" i="104"/>
  <c r="AL194" i="104"/>
  <c r="BC84" i="104"/>
  <c r="AU84" i="104"/>
  <c r="BD100" i="104"/>
  <c r="AL100" i="104"/>
  <c r="AT86" i="104"/>
  <c r="AB84" i="104"/>
  <c r="I118" i="104"/>
  <c r="AI100" i="104"/>
  <c r="AA86" i="104"/>
  <c r="I84" i="104"/>
  <c r="Z86" i="104"/>
  <c r="AX100" i="104"/>
  <c r="Z84" i="104"/>
  <c r="AJ86" i="104"/>
  <c r="L84" i="104"/>
  <c r="AY118" i="104"/>
  <c r="BD118" i="104"/>
  <c r="AT100" i="104"/>
  <c r="AX102" i="104"/>
  <c r="P118" i="104"/>
  <c r="R100" i="104"/>
  <c r="H102" i="104"/>
  <c r="AS118" i="104"/>
  <c r="U100" i="104"/>
  <c r="Q118" i="104"/>
  <c r="AE118" i="104"/>
  <c r="BC193" i="104"/>
  <c r="AF193" i="104"/>
  <c r="BA194" i="104"/>
  <c r="AY193" i="104"/>
  <c r="Y194" i="104"/>
  <c r="W193" i="104"/>
  <c r="AR194" i="104"/>
  <c r="AK84" i="104"/>
  <c r="AH84" i="104"/>
  <c r="AF84" i="104"/>
  <c r="M86" i="104"/>
  <c r="AD102" i="104"/>
  <c r="AN118" i="104"/>
  <c r="M100" i="104"/>
  <c r="U86" i="104"/>
  <c r="N86" i="104"/>
  <c r="AC100" i="104"/>
  <c r="T84" i="104"/>
  <c r="AD86" i="104"/>
  <c r="BA100" i="104"/>
  <c r="AC118" i="104"/>
  <c r="Y100" i="104"/>
  <c r="Q102" i="104"/>
  <c r="L100" i="104"/>
  <c r="AZ118" i="104"/>
  <c r="BB118" i="104"/>
  <c r="AA100" i="104"/>
  <c r="X118" i="104"/>
  <c r="AK118" i="104"/>
  <c r="J194" i="104"/>
  <c r="AL193" i="104"/>
  <c r="BE193" i="104"/>
  <c r="J193" i="104"/>
  <c r="AE194" i="104"/>
  <c r="AC193" i="104"/>
  <c r="AX194" i="104"/>
  <c r="AQ84" i="104"/>
  <c r="AP100" i="104"/>
  <c r="S84" i="104"/>
  <c r="AU102" i="104"/>
  <c r="AZ86" i="104"/>
  <c r="AG86" i="104"/>
  <c r="O84" i="104"/>
  <c r="AF86" i="104"/>
  <c r="AP86" i="104"/>
  <c r="R84" i="104"/>
  <c r="AL118" i="104"/>
  <c r="AP102" i="104"/>
  <c r="V102" i="104"/>
  <c r="AN86" i="104"/>
  <c r="V84" i="104"/>
  <c r="AH86" i="104"/>
  <c r="P84" i="104"/>
  <c r="O86" i="104"/>
  <c r="N84" i="104"/>
  <c r="AV118" i="104"/>
  <c r="AQ100" i="104"/>
  <c r="X86" i="104"/>
  <c r="AP118" i="104"/>
  <c r="AF100" i="104"/>
  <c r="Y102" i="104"/>
  <c r="S100" i="104"/>
  <c r="J102" i="104"/>
  <c r="O118" i="104"/>
  <c r="AG100" i="104"/>
  <c r="AF118" i="104"/>
  <c r="AQ118" i="104"/>
  <c r="AG194" i="104"/>
  <c r="R193" i="104"/>
  <c r="AJ193" i="104"/>
  <c r="P194" i="104"/>
  <c r="AR193" i="104"/>
  <c r="L194" i="104"/>
  <c r="P193" i="104"/>
  <c r="AK194" i="104"/>
  <c r="BD194" i="104"/>
  <c r="BU104" i="105"/>
  <c r="BW104" i="105"/>
  <c r="CW103" i="105"/>
  <c r="DF90" i="105"/>
  <c r="CA103" i="105"/>
  <c r="BO105" i="105"/>
  <c r="DC106" i="105"/>
  <c r="CL104" i="105"/>
  <c r="DF99" i="105"/>
  <c r="BW89" i="105"/>
  <c r="DC102" i="105"/>
  <c r="CX97" i="105"/>
  <c r="CX93" i="105"/>
  <c r="BU103" i="105"/>
  <c r="BL100" i="105"/>
  <c r="BL105" i="105"/>
  <c r="CI100" i="105"/>
  <c r="DE105" i="105"/>
  <c r="K47" i="104"/>
  <c r="CG88" i="105"/>
  <c r="CB124" i="105"/>
  <c r="CP98" i="105"/>
  <c r="BN124" i="105"/>
  <c r="CS90" i="105"/>
  <c r="CL88" i="105"/>
  <c r="CU104" i="105"/>
  <c r="BV94" i="105"/>
  <c r="BM124" i="105"/>
  <c r="DA98" i="105"/>
  <c r="CW106" i="105"/>
  <c r="CY90" i="105"/>
  <c r="CG99" i="105"/>
  <c r="BZ105" i="105"/>
  <c r="CL94" i="105"/>
  <c r="AK200" i="104"/>
  <c r="O198" i="104"/>
  <c r="BE200" i="104"/>
  <c r="AN198" i="104"/>
  <c r="J200" i="104"/>
  <c r="AU200" i="104"/>
  <c r="AL206" i="104"/>
  <c r="V206" i="104"/>
  <c r="AC206" i="104"/>
  <c r="T217" i="104"/>
  <c r="AA217" i="104"/>
  <c r="J217" i="104"/>
  <c r="AO217" i="104"/>
  <c r="AQ200" i="104"/>
  <c r="H200" i="104"/>
  <c r="U198" i="104"/>
  <c r="AT198" i="104"/>
  <c r="P200" i="104"/>
  <c r="L206" i="104"/>
  <c r="K198" i="104"/>
  <c r="BA200" i="104"/>
  <c r="AR206" i="104"/>
  <c r="I206" i="104"/>
  <c r="AB206" i="104"/>
  <c r="AI206" i="104"/>
  <c r="Z217" i="104"/>
  <c r="AG217" i="104"/>
  <c r="P217" i="104"/>
  <c r="AU217" i="104"/>
  <c r="X200" i="104"/>
  <c r="AD200" i="104"/>
  <c r="AW200" i="104"/>
  <c r="N200" i="104"/>
  <c r="AA198" i="104"/>
  <c r="AZ198" i="104"/>
  <c r="V200" i="104"/>
  <c r="X206" i="104"/>
  <c r="Q198" i="104"/>
  <c r="AX206" i="104"/>
  <c r="O206" i="104"/>
  <c r="AH206" i="104"/>
  <c r="AO206" i="104"/>
  <c r="AF217" i="104"/>
  <c r="AM217" i="104"/>
  <c r="V217" i="104"/>
  <c r="BA217" i="104"/>
  <c r="AP198" i="104"/>
  <c r="BC200" i="104"/>
  <c r="T200" i="104"/>
  <c r="S206" i="104"/>
  <c r="AG198" i="104"/>
  <c r="BF198" i="104"/>
  <c r="AB200" i="104"/>
  <c r="AJ206" i="104"/>
  <c r="W198" i="104"/>
  <c r="BD206" i="104"/>
  <c r="U206" i="104"/>
  <c r="AN206" i="104"/>
  <c r="AU206" i="104"/>
  <c r="AL217" i="104"/>
  <c r="AS217" i="104"/>
  <c r="AB217" i="104"/>
  <c r="L217" i="104"/>
  <c r="Z200" i="104"/>
  <c r="AE206" i="104"/>
  <c r="AM198" i="104"/>
  <c r="I200" i="104"/>
  <c r="AH200" i="104"/>
  <c r="BB206" i="104"/>
  <c r="AC198" i="104"/>
  <c r="AE217" i="104"/>
  <c r="AK217" i="104"/>
  <c r="AA206" i="104"/>
  <c r="AT206" i="104"/>
  <c r="BA206" i="104"/>
  <c r="AR217" i="104"/>
  <c r="AY217" i="104"/>
  <c r="AH217" i="104"/>
  <c r="R217" i="104"/>
  <c r="AO198" i="104"/>
  <c r="K200" i="104"/>
  <c r="AM206" i="104"/>
  <c r="BF206" i="104"/>
  <c r="M217" i="104"/>
  <c r="BC217" i="104"/>
  <c r="BD217" i="104"/>
  <c r="AT217" i="104"/>
  <c r="AD217" i="104"/>
  <c r="AF206" i="104"/>
  <c r="J198" i="104"/>
  <c r="AZ200" i="104"/>
  <c r="AU198" i="104"/>
  <c r="Q200" i="104"/>
  <c r="M206" i="104"/>
  <c r="AS206" i="104"/>
  <c r="AW217" i="104"/>
  <c r="AZ217" i="104"/>
  <c r="K217" i="104"/>
  <c r="AJ217" i="104"/>
  <c r="AQ198" i="104"/>
  <c r="AF198" i="104"/>
  <c r="N206" i="104"/>
  <c r="L198" i="104"/>
  <c r="M198" i="104"/>
  <c r="M200" i="104"/>
  <c r="AX200" i="104"/>
  <c r="AG200" i="104"/>
  <c r="AW206" i="104"/>
  <c r="P198" i="104"/>
  <c r="BF200" i="104"/>
  <c r="BA198" i="104"/>
  <c r="W200" i="104"/>
  <c r="Y206" i="104"/>
  <c r="AY206" i="104"/>
  <c r="BF217" i="104"/>
  <c r="Q217" i="104"/>
  <c r="AP217" i="104"/>
  <c r="AR198" i="104"/>
  <c r="X198" i="104"/>
  <c r="Y198" i="104"/>
  <c r="S200" i="104"/>
  <c r="R206" i="104"/>
  <c r="BD200" i="104"/>
  <c r="AM200" i="104"/>
  <c r="V198" i="104"/>
  <c r="Y217" i="104"/>
  <c r="AC200" i="104"/>
  <c r="AK206" i="104"/>
  <c r="BE206" i="104"/>
  <c r="K206" i="104"/>
  <c r="I217" i="104"/>
  <c r="W217" i="104"/>
  <c r="AV217" i="104"/>
  <c r="K117" i="104"/>
  <c r="AK198" i="104"/>
  <c r="AP206" i="104"/>
  <c r="Y200" i="104"/>
  <c r="AD206" i="104"/>
  <c r="AS200" i="104"/>
  <c r="BC206" i="104"/>
  <c r="AQ217" i="104"/>
  <c r="J206" i="104"/>
  <c r="Q206" i="104"/>
  <c r="H217" i="104"/>
  <c r="O217" i="104"/>
  <c r="AC217" i="104"/>
  <c r="CN87" i="105"/>
  <c r="CQ101" i="105"/>
  <c r="CO104" i="105"/>
  <c r="CS105" i="105"/>
  <c r="CR98" i="105"/>
  <c r="CH101" i="105"/>
  <c r="BW100" i="105"/>
  <c r="BU110" i="105"/>
  <c r="BQ111" i="105"/>
  <c r="DE99" i="105"/>
  <c r="CY102" i="105"/>
  <c r="BO111" i="105"/>
  <c r="CD88" i="105"/>
  <c r="CA111" i="105"/>
  <c r="CQ99" i="105"/>
  <c r="DB92" i="105"/>
  <c r="BU97" i="105"/>
  <c r="BW110" i="105"/>
  <c r="DF95" i="105"/>
  <c r="CN124" i="105"/>
  <c r="CM99" i="105"/>
  <c r="BT92" i="105"/>
  <c r="BZ124" i="105"/>
  <c r="DE92" i="105"/>
  <c r="BO124" i="105"/>
  <c r="K77" i="105"/>
  <c r="CA109" i="105"/>
  <c r="DF91" i="105"/>
  <c r="CI109" i="105"/>
  <c r="BS104" i="105"/>
  <c r="BU100" i="105"/>
  <c r="CA124" i="105"/>
  <c r="AK142" i="104"/>
  <c r="AX142" i="104"/>
  <c r="BD142" i="104"/>
  <c r="AQ142" i="104"/>
  <c r="BW87" i="105"/>
  <c r="CT91" i="105"/>
  <c r="BR88" i="105"/>
  <c r="CL96" i="105"/>
  <c r="DB106" i="105"/>
  <c r="CA100" i="105"/>
  <c r="DA95" i="105"/>
  <c r="DA124" i="105"/>
  <c r="CE106" i="105"/>
  <c r="BR92" i="105"/>
  <c r="CM102" i="105"/>
  <c r="BN102" i="105"/>
  <c r="CW93" i="105"/>
  <c r="CV91" i="105"/>
  <c r="BR94" i="105"/>
  <c r="BC97" i="104"/>
  <c r="T97" i="104"/>
  <c r="AO97" i="104"/>
  <c r="AF97" i="104"/>
  <c r="AB151" i="104"/>
  <c r="AL151" i="104"/>
  <c r="Y151" i="104"/>
  <c r="AX151" i="104"/>
  <c r="T151" i="104"/>
  <c r="AE151" i="104"/>
  <c r="AV151" i="104"/>
  <c r="N151" i="104"/>
  <c r="BC151" i="104"/>
  <c r="AN151" i="104"/>
  <c r="R151" i="104"/>
  <c r="V151" i="104"/>
  <c r="BE151" i="104"/>
  <c r="M151" i="104"/>
  <c r="X151" i="104"/>
  <c r="AK151" i="104"/>
  <c r="AR151" i="104"/>
  <c r="AZ151" i="104"/>
  <c r="AF151" i="104"/>
  <c r="AC151" i="104"/>
  <c r="AY151" i="104"/>
  <c r="Q151" i="104"/>
  <c r="Z151" i="104"/>
  <c r="AH151" i="104"/>
  <c r="AO151" i="104"/>
  <c r="O151" i="104"/>
  <c r="AS151" i="104"/>
  <c r="J151" i="104"/>
  <c r="P151" i="104"/>
  <c r="W151" i="104"/>
  <c r="AD151" i="104"/>
  <c r="AW151" i="104"/>
  <c r="BF151" i="104"/>
  <c r="AM151" i="104"/>
  <c r="L151" i="104"/>
  <c r="S151" i="104"/>
  <c r="AG151" i="104"/>
  <c r="H151" i="104"/>
  <c r="AA151" i="104"/>
  <c r="U151" i="104"/>
  <c r="BD151" i="104"/>
  <c r="I151" i="104"/>
  <c r="AP151" i="104"/>
  <c r="BA151" i="104"/>
  <c r="AU151" i="104"/>
  <c r="AQ151" i="104"/>
  <c r="AI151" i="104"/>
  <c r="AT151" i="104"/>
  <c r="AJ151" i="104"/>
  <c r="K151" i="104"/>
  <c r="BB151" i="104"/>
  <c r="BD97" i="104"/>
  <c r="BF153" i="104"/>
  <c r="AM97" i="104"/>
  <c r="AZ153" i="104"/>
  <c r="S150" i="104"/>
  <c r="BB153" i="104"/>
  <c r="L150" i="104"/>
  <c r="AR153" i="104"/>
  <c r="AP142" i="104"/>
  <c r="AX153" i="104"/>
  <c r="T150" i="104"/>
  <c r="AH153" i="104"/>
  <c r="AK115" i="104"/>
  <c r="AW142" i="104"/>
  <c r="AA153" i="104"/>
  <c r="H97" i="104"/>
  <c r="J153" i="104"/>
  <c r="AA97" i="104"/>
  <c r="AN97" i="104"/>
  <c r="AI99" i="104"/>
  <c r="U97" i="104"/>
  <c r="O97" i="104"/>
  <c r="J115" i="104"/>
  <c r="BA97" i="104"/>
  <c r="J142" i="104"/>
  <c r="AO150" i="104"/>
  <c r="AH150" i="104"/>
  <c r="AB115" i="104"/>
  <c r="R153" i="104"/>
  <c r="P150" i="104"/>
  <c r="AI150" i="104"/>
  <c r="Q153" i="104"/>
  <c r="AV153" i="104"/>
  <c r="Q150" i="104"/>
  <c r="AM153" i="104"/>
  <c r="M97" i="104"/>
  <c r="Z97" i="104"/>
  <c r="N153" i="104"/>
  <c r="AB97" i="104"/>
  <c r="AK99" i="104"/>
  <c r="V97" i="104"/>
  <c r="AQ150" i="104"/>
  <c r="R142" i="104"/>
  <c r="Q142" i="104"/>
  <c r="AZ150" i="104"/>
  <c r="L142" i="104"/>
  <c r="AR150" i="104"/>
  <c r="AF153" i="104"/>
  <c r="Z150" i="104"/>
  <c r="AP150" i="104"/>
  <c r="X153" i="104"/>
  <c r="BC153" i="104"/>
  <c r="X150" i="104"/>
  <c r="M153" i="104"/>
  <c r="I150" i="104"/>
  <c r="AS153" i="104"/>
  <c r="K97" i="104"/>
  <c r="AI97" i="104"/>
  <c r="AC97" i="104"/>
  <c r="AL99" i="104"/>
  <c r="K142" i="104"/>
  <c r="AG142" i="104"/>
  <c r="X142" i="104"/>
  <c r="T142" i="104"/>
  <c r="BC150" i="104"/>
  <c r="L97" i="104"/>
  <c r="N150" i="104"/>
  <c r="AU153" i="104"/>
  <c r="AK150" i="104"/>
  <c r="AW150" i="104"/>
  <c r="AE153" i="104"/>
  <c r="AE150" i="104"/>
  <c r="T153" i="104"/>
  <c r="AY142" i="104"/>
  <c r="O150" i="104"/>
  <c r="AY153" i="104"/>
  <c r="T99" i="104"/>
  <c r="AU97" i="104"/>
  <c r="AQ97" i="104"/>
  <c r="AK97" i="104"/>
  <c r="Z142" i="104"/>
  <c r="AU142" i="104"/>
  <c r="AF142" i="104"/>
  <c r="AA142" i="104"/>
  <c r="AP97" i="104"/>
  <c r="Y150" i="104"/>
  <c r="AV150" i="104"/>
  <c r="BD150" i="104"/>
  <c r="AL153" i="104"/>
  <c r="AL150" i="104"/>
  <c r="AB153" i="104"/>
  <c r="BE142" i="104"/>
  <c r="U150" i="104"/>
  <c r="BE153" i="104"/>
  <c r="N97" i="104"/>
  <c r="AT97" i="104"/>
  <c r="J150" i="104"/>
  <c r="AG153" i="104"/>
  <c r="AG97" i="104"/>
  <c r="AX97" i="104"/>
  <c r="AR97" i="104"/>
  <c r="AC142" i="104"/>
  <c r="AN142" i="104"/>
  <c r="P142" i="104"/>
  <c r="R150" i="104"/>
  <c r="V150" i="104"/>
  <c r="AM142" i="104"/>
  <c r="AH142" i="104"/>
  <c r="AJ150" i="104"/>
  <c r="AT153" i="104"/>
  <c r="M142" i="104"/>
  <c r="AT150" i="104"/>
  <c r="AI153" i="104"/>
  <c r="AA150" i="104"/>
  <c r="AZ97" i="104"/>
  <c r="S97" i="104"/>
  <c r="BE97" i="104"/>
  <c r="AY97" i="104"/>
  <c r="BC142" i="104"/>
  <c r="AD142" i="104"/>
  <c r="AX150" i="104"/>
  <c r="Q115" i="104"/>
  <c r="BB150" i="104"/>
  <c r="V142" i="104"/>
  <c r="AT142" i="104"/>
  <c r="AO142" i="104"/>
  <c r="AU150" i="104"/>
  <c r="BA153" i="104"/>
  <c r="S142" i="104"/>
  <c r="BA150" i="104"/>
  <c r="AP153" i="104"/>
  <c r="AG150" i="104"/>
  <c r="AL97" i="104"/>
  <c r="BF97" i="104"/>
  <c r="J97" i="104"/>
  <c r="AR142" i="104"/>
  <c r="W142" i="104"/>
  <c r="AN150" i="104"/>
  <c r="AS142" i="104"/>
  <c r="AJ142" i="104"/>
  <c r="AC150" i="104"/>
  <c r="BB142" i="104"/>
  <c r="AV142" i="104"/>
  <c r="N142" i="104"/>
  <c r="BF150" i="104"/>
  <c r="Y142" i="104"/>
  <c r="AW153" i="104"/>
  <c r="AM150" i="104"/>
  <c r="W97" i="104"/>
  <c r="AW97" i="104"/>
  <c r="Q97" i="104"/>
  <c r="AL142" i="104"/>
  <c r="W153" i="104"/>
  <c r="AC153" i="104"/>
  <c r="AZ142" i="104"/>
  <c r="K153" i="104"/>
  <c r="BF142" i="104"/>
  <c r="U142" i="104"/>
  <c r="L153" i="104"/>
  <c r="AE142" i="104"/>
  <c r="BD153" i="104"/>
  <c r="AS150" i="104"/>
  <c r="I153" i="104"/>
  <c r="AO153" i="104"/>
  <c r="AW99" i="104"/>
  <c r="I97" i="104"/>
  <c r="AH97" i="104"/>
  <c r="Y97" i="104"/>
  <c r="S99" i="104"/>
  <c r="BA142" i="104"/>
  <c r="AF150" i="104"/>
  <c r="AK153" i="104"/>
  <c r="Y153" i="104"/>
  <c r="P153" i="104"/>
  <c r="AB142" i="104"/>
  <c r="V153" i="104"/>
  <c r="S153" i="104"/>
  <c r="AY150" i="104"/>
  <c r="AL197" i="104"/>
  <c r="AJ158" i="104"/>
  <c r="AU158" i="104"/>
  <c r="AN197" i="104"/>
  <c r="BC197" i="104"/>
  <c r="W197" i="104"/>
  <c r="R152" i="104"/>
  <c r="AA155" i="104"/>
  <c r="AL210" i="104"/>
  <c r="P115" i="104"/>
  <c r="AO99" i="104"/>
  <c r="BE99" i="104"/>
  <c r="AC99" i="104"/>
  <c r="AE99" i="104"/>
  <c r="K99" i="104"/>
  <c r="AD158" i="104"/>
  <c r="BB149" i="104"/>
  <c r="AC152" i="104"/>
  <c r="AN152" i="104"/>
  <c r="I115" i="104"/>
  <c r="AI155" i="104"/>
  <c r="U115" i="104"/>
  <c r="P155" i="104"/>
  <c r="AE115" i="104"/>
  <c r="AT152" i="104"/>
  <c r="AE158" i="104"/>
  <c r="BE197" i="104"/>
  <c r="BF197" i="104"/>
  <c r="AD197" i="104"/>
  <c r="AW197" i="104"/>
  <c r="AF197" i="104"/>
  <c r="BD99" i="104"/>
  <c r="AA99" i="104"/>
  <c r="N99" i="104"/>
  <c r="AR99" i="104"/>
  <c r="H115" i="104"/>
  <c r="AS99" i="104"/>
  <c r="W115" i="104"/>
  <c r="J99" i="104"/>
  <c r="Z99" i="104"/>
  <c r="L115" i="104"/>
  <c r="X155" i="104"/>
  <c r="Z115" i="104"/>
  <c r="AX152" i="104"/>
  <c r="AI115" i="104"/>
  <c r="AB152" i="104"/>
  <c r="AM155" i="104"/>
  <c r="AQ115" i="104"/>
  <c r="AJ155" i="104"/>
  <c r="J197" i="104"/>
  <c r="AZ197" i="104"/>
  <c r="AR197" i="104"/>
  <c r="AY99" i="104"/>
  <c r="T115" i="104"/>
  <c r="AZ99" i="104"/>
  <c r="AJ115" i="104"/>
  <c r="Q99" i="104"/>
  <c r="AG99" i="104"/>
  <c r="V115" i="104"/>
  <c r="Q158" i="104"/>
  <c r="AH115" i="104"/>
  <c r="AY155" i="104"/>
  <c r="AP115" i="104"/>
  <c r="AI152" i="104"/>
  <c r="AW115" i="104"/>
  <c r="O158" i="104"/>
  <c r="BB155" i="104"/>
  <c r="R197" i="104"/>
  <c r="AX197" i="104"/>
  <c r="AO115" i="104"/>
  <c r="BF99" i="104"/>
  <c r="AG115" i="104"/>
  <c r="AV115" i="104"/>
  <c r="Y99" i="104"/>
  <c r="AN99" i="104"/>
  <c r="V152" i="104"/>
  <c r="AD115" i="104"/>
  <c r="AR115" i="104"/>
  <c r="AQ149" i="104"/>
  <c r="AU155" i="104"/>
  <c r="V158" i="104"/>
  <c r="L149" i="104"/>
  <c r="L99" i="104"/>
  <c r="AX115" i="104"/>
  <c r="AV152" i="104"/>
  <c r="AP152" i="104"/>
  <c r="BC115" i="104"/>
  <c r="AB197" i="104"/>
  <c r="BD197" i="104"/>
  <c r="R115" i="104"/>
  <c r="AT115" i="104"/>
  <c r="AF99" i="104"/>
  <c r="AU99" i="104"/>
  <c r="O115" i="104"/>
  <c r="BB152" i="104"/>
  <c r="AM115" i="104"/>
  <c r="AZ115" i="104"/>
  <c r="S149" i="104"/>
  <c r="W149" i="104"/>
  <c r="L152" i="104"/>
  <c r="R99" i="104"/>
  <c r="BE115" i="104"/>
  <c r="M149" i="104"/>
  <c r="N155" i="104"/>
  <c r="AJ197" i="104"/>
  <c r="K197" i="104"/>
  <c r="AC210" i="104"/>
  <c r="AF152" i="104"/>
  <c r="AF115" i="104"/>
  <c r="L155" i="104"/>
  <c r="AM99" i="104"/>
  <c r="BC99" i="104"/>
  <c r="AA115" i="104"/>
  <c r="AU115" i="104"/>
  <c r="AD149" i="104"/>
  <c r="AR149" i="104"/>
  <c r="AR152" i="104"/>
  <c r="X99" i="104"/>
  <c r="BF152" i="104"/>
  <c r="T149" i="104"/>
  <c r="Z155" i="104"/>
  <c r="AH158" i="104"/>
  <c r="AO197" i="104"/>
  <c r="AU197" i="104"/>
  <c r="U197" i="104"/>
  <c r="AP197" i="104"/>
  <c r="M197" i="104"/>
  <c r="AT210" i="104"/>
  <c r="AH99" i="104"/>
  <c r="AS115" i="104"/>
  <c r="AT99" i="104"/>
  <c r="K115" i="104"/>
  <c r="AN115" i="104"/>
  <c r="BF155" i="104"/>
  <c r="BD115" i="104"/>
  <c r="AO149" i="104"/>
  <c r="H152" i="104"/>
  <c r="BC152" i="104"/>
  <c r="AD99" i="104"/>
  <c r="AJ149" i="104"/>
  <c r="AV149" i="104"/>
  <c r="AB149" i="104"/>
  <c r="AF158" i="104"/>
  <c r="I197" i="104"/>
  <c r="AC197" i="104"/>
  <c r="AV197" i="104"/>
  <c r="S197" i="104"/>
  <c r="Q59" i="104"/>
  <c r="AD215" i="104" s="1"/>
  <c r="AQ99" i="104"/>
  <c r="BF115" i="104"/>
  <c r="AF149" i="104"/>
  <c r="BA99" i="104"/>
  <c r="X115" i="104"/>
  <c r="BA115" i="104"/>
  <c r="AC149" i="104"/>
  <c r="K152" i="104"/>
  <c r="AZ149" i="104"/>
  <c r="S152" i="104"/>
  <c r="AJ99" i="104"/>
  <c r="AS155" i="104"/>
  <c r="V155" i="104"/>
  <c r="AR158" i="104"/>
  <c r="O197" i="104"/>
  <c r="P197" i="104"/>
  <c r="Q197" i="104"/>
  <c r="AM197" i="104"/>
  <c r="BB197" i="104"/>
  <c r="Y197" i="104"/>
  <c r="H197" i="104"/>
  <c r="AY210" i="104"/>
  <c r="AC115" i="104"/>
  <c r="U99" i="104"/>
  <c r="H99" i="104"/>
  <c r="I99" i="104"/>
  <c r="AL115" i="104"/>
  <c r="AQ152" i="104"/>
  <c r="AO152" i="104"/>
  <c r="AP99" i="104"/>
  <c r="I158" i="104"/>
  <c r="J149" i="104"/>
  <c r="M115" i="104"/>
  <c r="AG155" i="104"/>
  <c r="I149" i="104"/>
  <c r="BA197" i="104"/>
  <c r="X197" i="104"/>
  <c r="AA197" i="104"/>
  <c r="AY197" i="104"/>
  <c r="AE197" i="104"/>
  <c r="N197" i="104"/>
  <c r="AX99" i="104"/>
  <c r="O99" i="104"/>
  <c r="P99" i="104"/>
  <c r="AY115" i="104"/>
  <c r="R149" i="104"/>
  <c r="AZ152" i="104"/>
  <c r="AV99" i="104"/>
  <c r="BB158" i="104"/>
  <c r="Q149" i="104"/>
  <c r="S115" i="104"/>
  <c r="AE152" i="104"/>
  <c r="AP155" i="104"/>
  <c r="U149" i="104"/>
  <c r="AG197" i="104"/>
  <c r="AH197" i="104"/>
  <c r="AI197" i="104"/>
  <c r="L197" i="104"/>
  <c r="AK197" i="104"/>
  <c r="T197" i="104"/>
  <c r="AB99" i="104"/>
  <c r="BB115" i="104"/>
  <c r="V99" i="104"/>
  <c r="W99" i="104"/>
  <c r="V149" i="104"/>
  <c r="AH155" i="104"/>
  <c r="O155" i="104"/>
  <c r="N115" i="104"/>
  <c r="BA149" i="104"/>
  <c r="Y115" i="104"/>
  <c r="AL152" i="104"/>
  <c r="S158" i="104"/>
  <c r="AS197" i="104"/>
  <c r="AT197" i="104"/>
  <c r="V197" i="104"/>
  <c r="AQ197" i="104"/>
  <c r="AY140" i="104"/>
  <c r="AZ140" i="104"/>
  <c r="AA140" i="104"/>
  <c r="AE140" i="104"/>
  <c r="R140" i="104"/>
  <c r="AO140" i="104"/>
  <c r="AQ140" i="104"/>
  <c r="AG140" i="104"/>
  <c r="AV140" i="104"/>
  <c r="AW140" i="104"/>
  <c r="P140" i="104"/>
  <c r="AU140" i="104"/>
  <c r="BD140" i="104"/>
  <c r="BC140" i="104"/>
  <c r="AD140" i="104"/>
  <c r="K140" i="104"/>
  <c r="O140" i="104"/>
  <c r="J140" i="104"/>
  <c r="N140" i="104"/>
  <c r="AJ140" i="104"/>
  <c r="AS140" i="104"/>
  <c r="Z140" i="104"/>
  <c r="AC140" i="104"/>
  <c r="Q140" i="104"/>
  <c r="U140" i="104"/>
  <c r="AN140" i="104"/>
  <c r="AR140" i="104"/>
  <c r="X140" i="104"/>
  <c r="AB140" i="104"/>
  <c r="BB140" i="104"/>
  <c r="BF140" i="104"/>
  <c r="AF140" i="104"/>
  <c r="AI140" i="104"/>
  <c r="V140" i="104"/>
  <c r="AM140" i="104"/>
  <c r="AP140" i="104"/>
  <c r="M140" i="104"/>
  <c r="W140" i="104"/>
  <c r="AT140" i="104"/>
  <c r="L140" i="104"/>
  <c r="AX140" i="104"/>
  <c r="S140" i="104"/>
  <c r="AL140" i="104"/>
  <c r="BA140" i="104"/>
  <c r="T140" i="104"/>
  <c r="BE140" i="104"/>
  <c r="K59" i="104"/>
  <c r="M59" i="104"/>
  <c r="L62" i="104"/>
  <c r="K61" i="104"/>
  <c r="O149" i="104"/>
  <c r="AT155" i="104"/>
  <c r="Y158" i="104"/>
  <c r="T155" i="104"/>
  <c r="AL158" i="104"/>
  <c r="AR210" i="104"/>
  <c r="BE210" i="104"/>
  <c r="AZ210" i="104"/>
  <c r="AI210" i="104"/>
  <c r="AI118" i="104"/>
  <c r="AX210" i="104"/>
  <c r="BF210" i="104"/>
  <c r="AO210" i="104"/>
  <c r="AN149" i="104"/>
  <c r="K149" i="104"/>
  <c r="AX149" i="104"/>
  <c r="AH149" i="104"/>
  <c r="R97" i="104"/>
  <c r="X149" i="104"/>
  <c r="AW152" i="104"/>
  <c r="AV155" i="104"/>
  <c r="AI149" i="104"/>
  <c r="BA152" i="104"/>
  <c r="BA155" i="104"/>
  <c r="W158" i="104"/>
  <c r="AA149" i="104"/>
  <c r="I152" i="104"/>
  <c r="J158" i="104"/>
  <c r="M155" i="104"/>
  <c r="AK158" i="104"/>
  <c r="AF155" i="104"/>
  <c r="AX158" i="104"/>
  <c r="AN158" i="104"/>
  <c r="AJ210" i="104"/>
  <c r="BD210" i="104"/>
  <c r="AU210" i="104"/>
  <c r="X97" i="104"/>
  <c r="Q155" i="104"/>
  <c r="P149" i="104"/>
  <c r="P152" i="104"/>
  <c r="AE149" i="104"/>
  <c r="BD152" i="104"/>
  <c r="U158" i="104"/>
  <c r="I155" i="104"/>
  <c r="AP149" i="104"/>
  <c r="L158" i="104"/>
  <c r="AG158" i="104"/>
  <c r="AG149" i="104"/>
  <c r="O152" i="104"/>
  <c r="R158" i="104"/>
  <c r="S155" i="104"/>
  <c r="AQ158" i="104"/>
  <c r="AL155" i="104"/>
  <c r="BD158" i="104"/>
  <c r="AT158" i="104"/>
  <c r="M210" i="104"/>
  <c r="BA210" i="104"/>
  <c r="P97" i="104"/>
  <c r="Q61" i="104"/>
  <c r="H149" i="104"/>
  <c r="AC155" i="104"/>
  <c r="BC149" i="104"/>
  <c r="W152" i="104"/>
  <c r="AD97" i="104"/>
  <c r="N149" i="104"/>
  <c r="AN155" i="104"/>
  <c r="Z149" i="104"/>
  <c r="Z152" i="104"/>
  <c r="AL149" i="104"/>
  <c r="AI158" i="104"/>
  <c r="U155" i="104"/>
  <c r="AW149" i="104"/>
  <c r="AA158" i="104"/>
  <c r="AS158" i="104"/>
  <c r="AM149" i="104"/>
  <c r="U152" i="104"/>
  <c r="AB158" i="104"/>
  <c r="Y155" i="104"/>
  <c r="AW158" i="104"/>
  <c r="AR155" i="104"/>
  <c r="AZ158" i="104"/>
  <c r="S210" i="104"/>
  <c r="I210" i="104"/>
  <c r="BB102" i="104"/>
  <c r="AH152" i="104"/>
  <c r="AJ97" i="104"/>
  <c r="Y149" i="104"/>
  <c r="AV158" i="104"/>
  <c r="AK149" i="104"/>
  <c r="AK152" i="104"/>
  <c r="AT149" i="104"/>
  <c r="BA158" i="104"/>
  <c r="AD155" i="104"/>
  <c r="BD149" i="104"/>
  <c r="AP158" i="104"/>
  <c r="BE158" i="104"/>
  <c r="AS149" i="104"/>
  <c r="AA152" i="104"/>
  <c r="AM158" i="104"/>
  <c r="AE155" i="104"/>
  <c r="BC158" i="104"/>
  <c r="AX155" i="104"/>
  <c r="BF158" i="104"/>
  <c r="AD210" i="104"/>
  <c r="Y210" i="104"/>
  <c r="O210" i="104"/>
  <c r="J210" i="104"/>
  <c r="AC86" i="104"/>
  <c r="P59" i="104"/>
  <c r="AO155" i="104"/>
  <c r="AY149" i="104"/>
  <c r="AG152" i="104"/>
  <c r="AY158" i="104"/>
  <c r="AK155" i="104"/>
  <c r="BD155" i="104"/>
  <c r="AE210" i="104"/>
  <c r="H210" i="104"/>
  <c r="U210" i="104"/>
  <c r="P210" i="104"/>
  <c r="AE97" i="104"/>
  <c r="P61" i="104"/>
  <c r="AV97" i="104"/>
  <c r="AU149" i="104"/>
  <c r="N152" i="104"/>
  <c r="AZ155" i="104"/>
  <c r="BE149" i="104"/>
  <c r="AM152" i="104"/>
  <c r="AQ155" i="104"/>
  <c r="H158" i="104"/>
  <c r="AK210" i="104"/>
  <c r="N210" i="104"/>
  <c r="AA210" i="104"/>
  <c r="V210" i="104"/>
  <c r="AU86" i="104"/>
  <c r="M61" i="104"/>
  <c r="N61" i="104" s="1"/>
  <c r="BB97" i="104"/>
  <c r="BF149" i="104"/>
  <c r="Y152" i="104"/>
  <c r="K158" i="104"/>
  <c r="J152" i="104"/>
  <c r="BE155" i="104"/>
  <c r="AS152" i="104"/>
  <c r="J155" i="104"/>
  <c r="AW155" i="104"/>
  <c r="N158" i="104"/>
  <c r="X210" i="104"/>
  <c r="AQ210" i="104"/>
  <c r="T210" i="104"/>
  <c r="AG210" i="104"/>
  <c r="AB210" i="104"/>
  <c r="K210" i="104"/>
  <c r="K86" i="104"/>
  <c r="AD152" i="104"/>
  <c r="AJ152" i="104"/>
  <c r="M152" i="104"/>
  <c r="X158" i="104"/>
  <c r="Q152" i="104"/>
  <c r="P158" i="104"/>
  <c r="AY152" i="104"/>
  <c r="R155" i="104"/>
  <c r="BC155" i="104"/>
  <c r="T158" i="104"/>
  <c r="AP210" i="104"/>
  <c r="L210" i="104"/>
  <c r="AW210" i="104"/>
  <c r="Z210" i="104"/>
  <c r="AM210" i="104"/>
  <c r="AH210" i="104"/>
  <c r="Q210" i="104"/>
  <c r="AU152" i="104"/>
  <c r="W155" i="104"/>
  <c r="T152" i="104"/>
  <c r="AO158" i="104"/>
  <c r="X152" i="104"/>
  <c r="K155" i="104"/>
  <c r="AC158" i="104"/>
  <c r="BE152" i="104"/>
  <c r="AB155" i="104"/>
  <c r="M158" i="104"/>
  <c r="H155" i="104"/>
  <c r="AV210" i="104"/>
  <c r="R210" i="104"/>
  <c r="BC210" i="104"/>
  <c r="AF210" i="104"/>
  <c r="AS210" i="104"/>
  <c r="AN210" i="104"/>
  <c r="W210" i="104"/>
  <c r="AI86" i="104"/>
  <c r="BA86" i="104"/>
  <c r="CC97" i="105"/>
  <c r="CD98" i="105"/>
  <c r="CD102" i="105"/>
  <c r="CD109" i="105"/>
  <c r="CU92" i="105"/>
  <c r="CL109" i="105"/>
  <c r="CA94" i="105"/>
  <c r="BJ101" i="105"/>
  <c r="CR123" i="105"/>
  <c r="CZ124" i="105"/>
  <c r="CX94" i="105"/>
  <c r="N24" i="105"/>
  <c r="BJ90" i="105"/>
  <c r="BV93" i="105"/>
  <c r="DE106" i="105"/>
  <c r="CT90" i="105"/>
  <c r="CC91" i="105"/>
  <c r="CJ99" i="105"/>
  <c r="CY94" i="105"/>
  <c r="CT94" i="105"/>
  <c r="CM103" i="105"/>
  <c r="BP100" i="105"/>
  <c r="BK99" i="105"/>
  <c r="BW97" i="105"/>
  <c r="BV90" i="105"/>
  <c r="CW124" i="105"/>
  <c r="BT106" i="105"/>
  <c r="BZ93" i="105"/>
  <c r="CO94" i="105"/>
  <c r="DE95" i="105"/>
  <c r="CQ106" i="105"/>
  <c r="M24" i="105"/>
  <c r="BJ87" i="105"/>
  <c r="DF94" i="105"/>
  <c r="CP92" i="105"/>
  <c r="CH87" i="105"/>
  <c r="CL97" i="105"/>
  <c r="CK101" i="105"/>
  <c r="CT97" i="105"/>
  <c r="BV99" i="105"/>
  <c r="BX102" i="105"/>
  <c r="CG95" i="105"/>
  <c r="BO98" i="105"/>
  <c r="CA99" i="105"/>
  <c r="CA105" i="105"/>
  <c r="BS106" i="105"/>
  <c r="CW110" i="105"/>
  <c r="CX109" i="105"/>
  <c r="CM111" i="105"/>
  <c r="BP93" i="105"/>
  <c r="BT96" i="105"/>
  <c r="CI98" i="105"/>
  <c r="CU100" i="105"/>
  <c r="CM98" i="105"/>
  <c r="CY105" i="105"/>
  <c r="DD93" i="105"/>
  <c r="CY123" i="105"/>
  <c r="BJ124" i="105"/>
  <c r="BS110" i="105"/>
  <c r="CQ93" i="105"/>
  <c r="DF124" i="105"/>
  <c r="CA89" i="105"/>
  <c r="CX124" i="105"/>
  <c r="CF99" i="105"/>
  <c r="BY93" i="105"/>
  <c r="BY104" i="105"/>
  <c r="DA90" i="105"/>
  <c r="CX90" i="105"/>
  <c r="CK92" i="105"/>
  <c r="CR87" i="105"/>
  <c r="BY99" i="105"/>
  <c r="BO102" i="105"/>
  <c r="CJ98" i="105"/>
  <c r="CD124" i="105"/>
  <c r="CQ102" i="105"/>
  <c r="DC109" i="105"/>
  <c r="CE101" i="105"/>
  <c r="BW124" i="105"/>
  <c r="CE92" i="105"/>
  <c r="BT100" i="105"/>
  <c r="BW92" i="105"/>
  <c r="BM106" i="105"/>
  <c r="DA103" i="105"/>
  <c r="CB87" i="105"/>
  <c r="BT123" i="105"/>
  <c r="CI122" i="105"/>
  <c r="CU124" i="105"/>
  <c r="CQ123" i="105"/>
  <c r="BJ123" i="105"/>
  <c r="CL123" i="105"/>
  <c r="BZ96" i="105"/>
  <c r="CF92" i="105"/>
  <c r="BU93" i="105"/>
  <c r="DD123" i="105"/>
  <c r="CE104" i="105"/>
  <c r="CI93" i="105"/>
  <c r="DA91" i="105"/>
  <c r="BV89" i="105"/>
  <c r="CE123" i="105"/>
  <c r="BJ99" i="105"/>
  <c r="CX123" i="105"/>
  <c r="DB90" i="105"/>
  <c r="BX87" i="105"/>
  <c r="CN123" i="105"/>
  <c r="DD103" i="105"/>
  <c r="CU101" i="105"/>
  <c r="BV87" i="105"/>
  <c r="CG90" i="105"/>
  <c r="DF87" i="105"/>
  <c r="CU87" i="105"/>
  <c r="CA110" i="105"/>
  <c r="CH105" i="105"/>
  <c r="CT88" i="105"/>
  <c r="CR104" i="105"/>
  <c r="CT87" i="105"/>
  <c r="DB93" i="105"/>
  <c r="DB89" i="105"/>
  <c r="BN96" i="105"/>
  <c r="CD91" i="105"/>
  <c r="CR97" i="105"/>
  <c r="CZ123" i="105"/>
  <c r="CR101" i="105"/>
  <c r="CD87" i="105"/>
  <c r="CU123" i="105"/>
  <c r="CT103" i="105"/>
  <c r="BY89" i="105"/>
  <c r="BS105" i="105"/>
  <c r="DB96" i="105"/>
  <c r="BY98" i="105"/>
  <c r="CX101" i="105"/>
  <c r="DC98" i="105"/>
  <c r="BU106" i="105"/>
  <c r="CH97" i="105"/>
  <c r="DF111" i="105"/>
  <c r="CS99" i="105"/>
  <c r="CA98" i="105"/>
  <c r="CM100" i="105"/>
  <c r="CE111" i="105"/>
  <c r="CY124" i="105"/>
  <c r="CE110" i="105"/>
  <c r="BJ89" i="105"/>
  <c r="CN89" i="105"/>
  <c r="CS104" i="105"/>
  <c r="CT123" i="105"/>
  <c r="BS99" i="105"/>
  <c r="CR92" i="105"/>
  <c r="CA92" i="105"/>
  <c r="BR110" i="105"/>
  <c r="BW123" i="105"/>
  <c r="BR87" i="105"/>
  <c r="BO99" i="105"/>
  <c r="CH92" i="105"/>
  <c r="BJ93" i="105"/>
  <c r="CG91" i="105"/>
  <c r="BJ98" i="105"/>
  <c r="CM104" i="105"/>
  <c r="BT89" i="105"/>
  <c r="DF93" i="105"/>
  <c r="DC87" i="105"/>
  <c r="CI111" i="105"/>
  <c r="CH90" i="105"/>
  <c r="DF89" i="105"/>
  <c r="CY111" i="105"/>
  <c r="BR100" i="105"/>
  <c r="DF123" i="105"/>
  <c r="CI124" i="105"/>
  <c r="CY98" i="105"/>
  <c r="CD97" i="105"/>
  <c r="CK89" i="105"/>
  <c r="BN109" i="105"/>
  <c r="BP88" i="105"/>
  <c r="CS95" i="105"/>
  <c r="BJ97" i="105"/>
  <c r="BU94" i="105"/>
  <c r="CD99" i="105"/>
  <c r="CW89" i="105"/>
  <c r="CU103" i="105"/>
  <c r="CE105" i="105"/>
  <c r="CI123" i="105"/>
  <c r="CV87" i="105"/>
  <c r="BU89" i="105"/>
  <c r="DD101" i="105"/>
  <c r="DC93" i="105"/>
  <c r="DA89" i="105"/>
  <c r="CS88" i="105"/>
  <c r="CM89" i="105"/>
  <c r="CS102" i="105"/>
  <c r="CJ88" i="105"/>
  <c r="CO90" i="105"/>
  <c r="BZ97" i="105"/>
  <c r="BU91" i="105"/>
  <c r="CY99" i="105"/>
  <c r="DE98" i="105"/>
  <c r="BV95" i="105"/>
  <c r="DA92" i="105"/>
  <c r="BL94" i="105"/>
  <c r="BK103" i="105"/>
  <c r="CY100" i="105"/>
  <c r="BR124" i="105"/>
  <c r="CM105" i="105"/>
  <c r="BN110" i="105"/>
  <c r="BK124" i="105"/>
  <c r="CT96" i="105"/>
  <c r="CZ96" i="105"/>
  <c r="CT95" i="105"/>
  <c r="CC98" i="105"/>
  <c r="BT93" i="105"/>
  <c r="CI104" i="105"/>
  <c r="DC111" i="105"/>
  <c r="DB101" i="105"/>
  <c r="CT92" i="105"/>
  <c r="CK124" i="105"/>
  <c r="BZ89" i="105"/>
  <c r="CB99" i="105"/>
  <c r="CJ97" i="105"/>
  <c r="DA100" i="105"/>
  <c r="BU101" i="105"/>
  <c r="BN103" i="105"/>
  <c r="CD89" i="105"/>
  <c r="CK106" i="105"/>
  <c r="CF95" i="105"/>
  <c r="BR123" i="105"/>
  <c r="BU90" i="105"/>
  <c r="CP91" i="105"/>
  <c r="BZ99" i="105"/>
  <c r="CE102" i="105"/>
  <c r="CZ89" i="105"/>
  <c r="BQ98" i="105"/>
  <c r="BO97" i="105"/>
  <c r="BW98" i="105"/>
  <c r="BO103" i="105"/>
  <c r="BT95" i="105"/>
  <c r="BK100" i="105"/>
  <c r="CP95" i="105"/>
  <c r="CA102" i="105"/>
  <c r="BS102" i="105"/>
  <c r="CS110" i="105"/>
  <c r="CE109" i="105"/>
  <c r="CJ105" i="105"/>
  <c r="CG97" i="105"/>
  <c r="BV100" i="105"/>
  <c r="BT103" i="105"/>
  <c r="CJ94" i="105"/>
  <c r="CA97" i="105"/>
  <c r="CB96" i="105"/>
  <c r="CF111" i="105"/>
  <c r="DC110" i="105"/>
  <c r="CQ110" i="105"/>
  <c r="CE90" i="105"/>
  <c r="CK105" i="105"/>
  <c r="CS94" i="105"/>
  <c r="BN89" i="105"/>
  <c r="CP96" i="105"/>
  <c r="BW105" i="105"/>
  <c r="BR102" i="105"/>
  <c r="BR93" i="105"/>
  <c r="BJ94" i="105"/>
  <c r="CH103" i="105"/>
  <c r="CI103" i="105"/>
  <c r="CG100" i="105"/>
  <c r="CU98" i="105"/>
  <c r="BV123" i="105"/>
  <c r="CS97" i="105"/>
  <c r="CF103" i="105"/>
  <c r="CP103" i="105"/>
  <c r="BU95" i="105"/>
  <c r="M77" i="105"/>
  <c r="N77" i="105" s="1"/>
  <c r="CG124" i="105"/>
  <c r="CI97" i="105"/>
  <c r="CO98" i="105"/>
  <c r="DB98" i="105"/>
  <c r="CH91" i="105"/>
  <c r="DA106" i="105"/>
  <c r="CC92" i="105"/>
  <c r="BJ95" i="105"/>
  <c r="CS106" i="105"/>
  <c r="CA123" i="105"/>
  <c r="CR103" i="105"/>
  <c r="DB124" i="105"/>
  <c r="CX105" i="105"/>
  <c r="CP94" i="105"/>
  <c r="CH100" i="105"/>
  <c r="BW101" i="105"/>
  <c r="CV94" i="105"/>
  <c r="CM97" i="105"/>
  <c r="BK123" i="105"/>
  <c r="BX94" i="105"/>
  <c r="BV91" i="105"/>
  <c r="CY106" i="105"/>
  <c r="BQ90" i="105"/>
  <c r="CD90" i="105"/>
  <c r="BL95" i="105"/>
  <c r="BN99" i="105"/>
  <c r="CO110" i="105"/>
  <c r="BV101" i="105"/>
  <c r="BO101" i="105"/>
  <c r="BV111" i="105"/>
  <c r="BK109" i="105"/>
  <c r="DB102" i="105"/>
  <c r="BK106" i="105"/>
  <c r="BL123" i="105"/>
  <c r="BL98" i="105"/>
  <c r="BL87" i="105"/>
  <c r="BJ88" i="105"/>
  <c r="CB100" i="105"/>
  <c r="BK94" i="105"/>
  <c r="BZ103" i="105"/>
  <c r="CG93" i="105"/>
  <c r="CY104" i="105"/>
  <c r="DE104" i="105"/>
  <c r="CZ100" i="105"/>
  <c r="CX103" i="105"/>
  <c r="BO110" i="105"/>
  <c r="BY97" i="105"/>
  <c r="BO91" i="105"/>
  <c r="BZ110" i="105"/>
  <c r="BS103" i="105"/>
  <c r="DD100" i="105"/>
  <c r="BP123" i="105"/>
  <c r="DD124" i="105"/>
  <c r="CF124" i="105"/>
  <c r="DA97" i="105"/>
  <c r="CE95" i="105"/>
  <c r="BL99" i="105"/>
  <c r="CH123" i="105"/>
  <c r="CG106" i="105"/>
  <c r="BN105" i="105"/>
  <c r="CZ93" i="105"/>
  <c r="Q77" i="105"/>
  <c r="L78" i="105"/>
  <c r="P78" i="105" s="1"/>
  <c r="BO87" i="105"/>
  <c r="CL89" i="105"/>
  <c r="BK105" i="105"/>
  <c r="BV103" i="105"/>
  <c r="CP123" i="105"/>
  <c r="BJ91" i="105"/>
  <c r="BW109" i="105"/>
  <c r="BS91" i="105"/>
  <c r="CN100" i="105"/>
  <c r="CX100" i="105"/>
  <c r="DB94" i="105"/>
  <c r="DA94" i="105"/>
  <c r="CJ102" i="105"/>
  <c r="CM94" i="105"/>
  <c r="BW103" i="105"/>
  <c r="CT101" i="105"/>
  <c r="CH111" i="105"/>
  <c r="DC104" i="105"/>
  <c r="BS101" i="105"/>
  <c r="BZ91" i="105"/>
  <c r="BR97" i="105"/>
  <c r="CV102" i="105"/>
  <c r="CU109" i="105"/>
  <c r="CQ109" i="105"/>
  <c r="DB109" i="105"/>
  <c r="CI101" i="105"/>
  <c r="BU124" i="105"/>
  <c r="BS87" i="105"/>
  <c r="CH94" i="105"/>
  <c r="CZ99" i="105"/>
  <c r="BR96" i="105"/>
  <c r="BX98" i="105"/>
  <c r="BS94" i="105"/>
  <c r="BL91" i="105"/>
  <c r="CD94" i="105"/>
  <c r="BN98" i="105"/>
  <c r="BX97" i="105"/>
  <c r="CT99" i="105"/>
  <c r="BY124" i="105"/>
  <c r="CX110" i="105"/>
  <c r="BU99" i="105"/>
  <c r="CS96" i="105"/>
  <c r="BV88" i="105"/>
  <c r="DA105" i="105"/>
  <c r="CX98" i="105"/>
  <c r="BO104" i="105"/>
  <c r="CH124" i="105"/>
  <c r="BT98" i="105"/>
  <c r="CH109" i="105"/>
  <c r="CL101" i="105"/>
  <c r="CB92" i="105"/>
  <c r="DF97" i="105"/>
  <c r="CN105" i="105"/>
  <c r="BQ104" i="105"/>
  <c r="BV124" i="105"/>
  <c r="CX102" i="105"/>
  <c r="BO106" i="105"/>
  <c r="BU98" i="105"/>
  <c r="CS124" i="105"/>
  <c r="BX99" i="105"/>
  <c r="CU122" i="105"/>
  <c r="DE88" i="105"/>
  <c r="BJ105" i="105"/>
  <c r="CQ94" i="105"/>
  <c r="BN94" i="105"/>
  <c r="CC96" i="105"/>
  <c r="BU111" i="105"/>
  <c r="CX95" i="105"/>
  <c r="DE91" i="105"/>
  <c r="CL103" i="105"/>
  <c r="DD110" i="105"/>
  <c r="CS123" i="105"/>
  <c r="DA87" i="105"/>
  <c r="BM95" i="105"/>
  <c r="CO105" i="105"/>
  <c r="CH95" i="105"/>
  <c r="CE98" i="105"/>
  <c r="CO106" i="105"/>
  <c r="DB123" i="105"/>
  <c r="BR111" i="105"/>
  <c r="DD95" i="105"/>
  <c r="CQ111" i="105"/>
  <c r="DC88" i="105"/>
  <c r="CC88" i="105"/>
  <c r="DE87" i="105"/>
  <c r="CY88" i="105"/>
  <c r="CZ98" i="105"/>
  <c r="CP88" i="105"/>
  <c r="CQ87" i="105"/>
  <c r="CY101" i="105"/>
  <c r="CR95" i="105"/>
  <c r="CL110" i="105"/>
  <c r="CJ87" i="105"/>
  <c r="CD95" i="105"/>
  <c r="BK97" i="105"/>
  <c r="CL95" i="105"/>
  <c r="DB95" i="105"/>
  <c r="BS109" i="105"/>
  <c r="CR109" i="105"/>
  <c r="CP106" i="105"/>
  <c r="BM101" i="105"/>
  <c r="CN88" i="105"/>
  <c r="BV102" i="105"/>
  <c r="BR109" i="105"/>
  <c r="DB110" i="105"/>
  <c r="CK95" i="105"/>
  <c r="CF91" i="105"/>
  <c r="CG96" i="105"/>
  <c r="CP90" i="105"/>
  <c r="DF92" i="105"/>
  <c r="CQ105" i="105"/>
  <c r="K145" i="105"/>
  <c r="AW145" i="105"/>
  <c r="CH145" i="105"/>
  <c r="AB145" i="105"/>
  <c r="BY145" i="105"/>
  <c r="AE145" i="105"/>
  <c r="BP145" i="105"/>
  <c r="DA145" i="105"/>
  <c r="BW148" i="105"/>
  <c r="AB148" i="105"/>
  <c r="BY148" i="105"/>
  <c r="AE148" i="105"/>
  <c r="BP148" i="105"/>
  <c r="DA148" i="105"/>
  <c r="AI148" i="105"/>
  <c r="BT148" i="105"/>
  <c r="DE148" i="105"/>
  <c r="DE124" i="105"/>
  <c r="CM88" i="105"/>
  <c r="BQ102" i="105"/>
  <c r="CT104" i="105"/>
  <c r="CN99" i="105"/>
  <c r="BZ98" i="105"/>
  <c r="CI102" i="105"/>
  <c r="DE111" i="105"/>
  <c r="CF123" i="105"/>
  <c r="BS111" i="105"/>
  <c r="CI148" i="105"/>
  <c r="AN148" i="105"/>
  <c r="CK148" i="105"/>
  <c r="AQ148" i="105"/>
  <c r="CB148" i="105"/>
  <c r="J148" i="105"/>
  <c r="AU148" i="105"/>
  <c r="CF148" i="105"/>
  <c r="CO124" i="105"/>
  <c r="CZ106" i="105"/>
  <c r="CC90" i="105"/>
  <c r="J145" i="105"/>
  <c r="N148" i="105"/>
  <c r="AZ148" i="105"/>
  <c r="CW148" i="105"/>
  <c r="BC148" i="105"/>
  <c r="CN148" i="105"/>
  <c r="V148" i="105"/>
  <c r="BG148" i="105"/>
  <c r="CR148" i="105"/>
  <c r="BZ87" i="105"/>
  <c r="CH88" i="105"/>
  <c r="CN145" i="105"/>
  <c r="DD106" i="105"/>
  <c r="CR145" i="105"/>
  <c r="AU145" i="105"/>
  <c r="CG145" i="105"/>
  <c r="O145" i="105"/>
  <c r="BL145" i="105"/>
  <c r="R145" i="105"/>
  <c r="BO145" i="105"/>
  <c r="CZ145" i="105"/>
  <c r="AH145" i="105"/>
  <c r="Z148" i="105"/>
  <c r="BL148" i="105"/>
  <c r="R148" i="105"/>
  <c r="BO148" i="105"/>
  <c r="CZ148" i="105"/>
  <c r="AH148" i="105"/>
  <c r="BS148" i="105"/>
  <c r="DD148" i="105"/>
  <c r="BM89" i="105"/>
  <c r="BW96" i="105"/>
  <c r="BT101" i="105"/>
  <c r="BP89" i="105"/>
  <c r="CO97" i="105"/>
  <c r="BS93" i="105"/>
  <c r="DA104" i="105"/>
  <c r="CM123" i="105"/>
  <c r="BN123" i="105"/>
  <c r="W145" i="105"/>
  <c r="BK110" i="105"/>
  <c r="AI145" i="105"/>
  <c r="CF145" i="105"/>
  <c r="BG145" i="105"/>
  <c r="CS145" i="105"/>
  <c r="AA145" i="105"/>
  <c r="BX145" i="105"/>
  <c r="AD145" i="105"/>
  <c r="CA145" i="105"/>
  <c r="I145" i="105"/>
  <c r="AT145" i="105"/>
  <c r="AL148" i="105"/>
  <c r="BX148" i="105"/>
  <c r="AD148" i="105"/>
  <c r="CA148" i="105"/>
  <c r="I148" i="105"/>
  <c r="AT148" i="105"/>
  <c r="CE148" i="105"/>
  <c r="M148" i="105"/>
  <c r="BZ92" i="105"/>
  <c r="BL97" i="105"/>
  <c r="DD98" i="105"/>
  <c r="BS100" i="105"/>
  <c r="CC104" i="105"/>
  <c r="CR111" i="105"/>
  <c r="K75" i="105"/>
  <c r="BK104" i="105"/>
  <c r="CJ91" i="105"/>
  <c r="DD145" i="105"/>
  <c r="BS145" i="105"/>
  <c r="DE145" i="105"/>
  <c r="AM145" i="105"/>
  <c r="CJ145" i="105"/>
  <c r="AP145" i="105"/>
  <c r="CM145" i="105"/>
  <c r="U145" i="105"/>
  <c r="BF145" i="105"/>
  <c r="AX148" i="105"/>
  <c r="CJ148" i="105"/>
  <c r="AP148" i="105"/>
  <c r="CM148" i="105"/>
  <c r="U148" i="105"/>
  <c r="BF148" i="105"/>
  <c r="CQ148" i="105"/>
  <c r="Y148" i="105"/>
  <c r="CQ124" i="105"/>
  <c r="BO90" i="105"/>
  <c r="BQ97" i="105"/>
  <c r="CE93" i="105"/>
  <c r="CO103" i="105"/>
  <c r="CW97" i="105"/>
  <c r="CF98" i="105"/>
  <c r="CG101" i="105"/>
  <c r="AN145" i="105"/>
  <c r="BU145" i="105"/>
  <c r="CQ104" i="105"/>
  <c r="L145" i="105"/>
  <c r="CE145" i="105"/>
  <c r="N145" i="105"/>
  <c r="AY145" i="105"/>
  <c r="CV145" i="105"/>
  <c r="BB145" i="105"/>
  <c r="CY145" i="105"/>
  <c r="AG145" i="105"/>
  <c r="BR145" i="105"/>
  <c r="CU148" i="105"/>
  <c r="BJ148" i="105"/>
  <c r="CV148" i="105"/>
  <c r="BB148" i="105"/>
  <c r="CY148" i="105"/>
  <c r="AG148" i="105"/>
  <c r="BR148" i="105"/>
  <c r="DC148" i="105"/>
  <c r="AK148" i="105"/>
  <c r="BO89" i="105"/>
  <c r="BM88" i="105"/>
  <c r="CH110" i="105"/>
  <c r="CD111" i="105"/>
  <c r="BJ96" i="105"/>
  <c r="CT145" i="105"/>
  <c r="CB145" i="105"/>
  <c r="BN93" i="105"/>
  <c r="BC145" i="105"/>
  <c r="CY97" i="105"/>
  <c r="CU111" i="105"/>
  <c r="CW101" i="105"/>
  <c r="DB91" i="105"/>
  <c r="CE99" i="105"/>
  <c r="X145" i="105"/>
  <c r="CQ145" i="105"/>
  <c r="Z145" i="105"/>
  <c r="BK145" i="105"/>
  <c r="Q145" i="105"/>
  <c r="BN145" i="105"/>
  <c r="H145" i="105"/>
  <c r="AS145" i="105"/>
  <c r="CD145" i="105"/>
  <c r="O148" i="105"/>
  <c r="BV148" i="105"/>
  <c r="Q148" i="105"/>
  <c r="BN148" i="105"/>
  <c r="H148" i="105"/>
  <c r="AS148" i="105"/>
  <c r="CD148" i="105"/>
  <c r="L148" i="105"/>
  <c r="AW148" i="105"/>
  <c r="CW98" i="105"/>
  <c r="CY110" i="105"/>
  <c r="BT87" i="105"/>
  <c r="BV96" i="105"/>
  <c r="CK145" i="105"/>
  <c r="AZ145" i="105"/>
  <c r="BL102" i="105"/>
  <c r="AJ145" i="105"/>
  <c r="DC145" i="105"/>
  <c r="AL145" i="105"/>
  <c r="BW145" i="105"/>
  <c r="AC145" i="105"/>
  <c r="BZ145" i="105"/>
  <c r="T145" i="105"/>
  <c r="BE145" i="105"/>
  <c r="CP145" i="105"/>
  <c r="AA148" i="105"/>
  <c r="CH148" i="105"/>
  <c r="AC148" i="105"/>
  <c r="BZ148" i="105"/>
  <c r="T148" i="105"/>
  <c r="BE148" i="105"/>
  <c r="CP148" i="105"/>
  <c r="X148" i="105"/>
  <c r="BI148" i="105"/>
  <c r="CR124" i="105"/>
  <c r="CK88" i="105"/>
  <c r="CZ90" i="105"/>
  <c r="CO91" i="105"/>
  <c r="BQ103" i="105"/>
  <c r="BZ94" i="105"/>
  <c r="CU94" i="105"/>
  <c r="CB123" i="105"/>
  <c r="DF145" i="105"/>
  <c r="V145" i="105"/>
  <c r="BK111" i="105"/>
  <c r="M145" i="105"/>
  <c r="BQ145" i="105"/>
  <c r="DB145" i="105"/>
  <c r="AM148" i="105"/>
  <c r="CT148" i="105"/>
  <c r="AO148" i="105"/>
  <c r="CL148" i="105"/>
  <c r="AF148" i="105"/>
  <c r="BQ148" i="105"/>
  <c r="DB148" i="105"/>
  <c r="AJ148" i="105"/>
  <c r="BU148" i="105"/>
  <c r="BZ109" i="105"/>
  <c r="DE94" i="105"/>
  <c r="CQ100" i="105"/>
  <c r="BJ92" i="105"/>
  <c r="BI145" i="105"/>
  <c r="AQ145" i="105"/>
  <c r="CW145" i="105"/>
  <c r="CL99" i="105"/>
  <c r="AV145" i="105"/>
  <c r="AX145" i="105"/>
  <c r="CI145" i="105"/>
  <c r="AO145" i="105"/>
  <c r="CL145" i="105"/>
  <c r="AF145" i="105"/>
  <c r="BH145" i="105"/>
  <c r="Y145" i="105"/>
  <c r="BJ145" i="105"/>
  <c r="CU145" i="105"/>
  <c r="BA145" i="105"/>
  <c r="CX145" i="105"/>
  <c r="AR145" i="105"/>
  <c r="CC145" i="105"/>
  <c r="AY148" i="105"/>
  <c r="DF148" i="105"/>
  <c r="BA148" i="105"/>
  <c r="CX148" i="105"/>
  <c r="AR148" i="105"/>
  <c r="CC148" i="105"/>
  <c r="K148" i="105"/>
  <c r="AV148" i="105"/>
  <c r="BY103" i="105"/>
  <c r="BP124" i="105"/>
  <c r="BZ88" i="105"/>
  <c r="CT89" i="105"/>
  <c r="DF88" i="105"/>
  <c r="CB89" i="105"/>
  <c r="BV98" i="105"/>
  <c r="CM90" i="105"/>
  <c r="BW95" i="105"/>
  <c r="BX91" i="105"/>
  <c r="BK92" i="105"/>
  <c r="BX95" i="105"/>
  <c r="CC102" i="105"/>
  <c r="BV92" i="105"/>
  <c r="BK88" i="105"/>
  <c r="CR91" i="105"/>
  <c r="BZ90" i="105"/>
  <c r="CV95" i="105"/>
  <c r="CQ96" i="105"/>
  <c r="CP87" i="105"/>
  <c r="BX100" i="105"/>
  <c r="CI96" i="105"/>
  <c r="BK96" i="105"/>
  <c r="BN100" i="105"/>
  <c r="BL88" i="105"/>
  <c r="DC95" i="105"/>
  <c r="BR89" i="105"/>
  <c r="BS92" i="105"/>
  <c r="BP92" i="105"/>
  <c r="BX88" i="105"/>
  <c r="CS91" i="105"/>
  <c r="CR105" i="105"/>
  <c r="CG89" i="105"/>
  <c r="DB100" i="105"/>
  <c r="CN92" i="105"/>
  <c r="CM110" i="105"/>
  <c r="CU110" i="105"/>
  <c r="BL111" i="105"/>
  <c r="BL106" i="105"/>
  <c r="CV96" i="105"/>
  <c r="CV92" i="105"/>
  <c r="L22" i="104"/>
  <c r="K24" i="104"/>
  <c r="BQ91" i="105"/>
  <c r="BQ87" i="105"/>
  <c r="CP100" i="105"/>
  <c r="BN91" i="105"/>
  <c r="BN87" i="105"/>
  <c r="CQ90" i="105"/>
  <c r="DD87" i="105"/>
  <c r="CQ91" i="105"/>
  <c r="CU89" i="105"/>
  <c r="BK87" i="105"/>
  <c r="BM104" i="105"/>
  <c r="BM99" i="105"/>
  <c r="BT124" i="105"/>
  <c r="BT111" i="105"/>
  <c r="BT109" i="105"/>
  <c r="BN104" i="105"/>
  <c r="CG92" i="105"/>
  <c r="CO96" i="105"/>
  <c r="CO92" i="105"/>
  <c r="BV97" i="105"/>
  <c r="BZ102" i="105"/>
  <c r="DE96" i="105"/>
  <c r="CM91" i="105"/>
  <c r="CC99" i="105"/>
  <c r="CC95" i="105"/>
  <c r="CK110" i="105"/>
  <c r="DA110" i="105"/>
  <c r="BV109" i="105"/>
  <c r="CB106" i="105"/>
  <c r="BY109" i="105"/>
  <c r="BY111" i="105"/>
  <c r="CB105" i="105"/>
  <c r="CE100" i="105"/>
  <c r="CE103" i="105"/>
  <c r="CK122" i="105"/>
  <c r="BK91" i="105"/>
  <c r="CU106" i="105"/>
  <c r="DB104" i="105"/>
  <c r="CB88" i="105"/>
  <c r="BS97" i="105"/>
  <c r="BJ102" i="105"/>
  <c r="CV104" i="105"/>
  <c r="CI110" i="105"/>
  <c r="CS109" i="105"/>
  <c r="CS111" i="105"/>
  <c r="CO88" i="105"/>
  <c r="BY123" i="105"/>
  <c r="CS101" i="105"/>
  <c r="BT94" i="105"/>
  <c r="BT90" i="105"/>
  <c r="Q28" i="105"/>
  <c r="K28" i="105"/>
  <c r="CK97" i="105"/>
  <c r="CK93" i="105"/>
  <c r="N22" i="104"/>
  <c r="M99" i="104"/>
  <c r="CI99" i="105"/>
  <c r="CI95" i="105"/>
  <c r="BK89" i="105"/>
  <c r="CZ87" i="105"/>
  <c r="CO111" i="105"/>
  <c r="CO109" i="105"/>
  <c r="BQ93" i="105"/>
  <c r="BQ89" i="105"/>
  <c r="CP93" i="105"/>
  <c r="BW90" i="105"/>
  <c r="BL124" i="105"/>
  <c r="CR99" i="105"/>
  <c r="CV88" i="105"/>
  <c r="BK93" i="105"/>
  <c r="CN101" i="105"/>
  <c r="CN97" i="105"/>
  <c r="CZ103" i="105"/>
  <c r="CQ98" i="105"/>
  <c r="CJ106" i="105"/>
  <c r="CJ101" i="105"/>
  <c r="CQ95" i="105"/>
  <c r="CK103" i="105"/>
  <c r="BS124" i="105"/>
  <c r="BW102" i="105"/>
  <c r="CT105" i="105"/>
  <c r="CT100" i="105"/>
  <c r="CS103" i="105"/>
  <c r="DC124" i="105"/>
  <c r="BT105" i="105"/>
  <c r="BW91" i="105"/>
  <c r="BP102" i="105"/>
  <c r="BL109" i="105"/>
  <c r="BQ122" i="105"/>
  <c r="CE97" i="105"/>
  <c r="BR105" i="105"/>
  <c r="BJ122" i="105"/>
  <c r="DE109" i="105"/>
  <c r="BP111" i="105"/>
  <c r="BP109" i="105"/>
  <c r="CR102" i="105"/>
  <c r="BQ88" i="105"/>
  <c r="CK123" i="105"/>
  <c r="CD123" i="105"/>
  <c r="CK100" i="105"/>
  <c r="CK96" i="105"/>
  <c r="CO87" i="105"/>
  <c r="CC93" i="105"/>
  <c r="CC89" i="105"/>
  <c r="CR89" i="105"/>
  <c r="CM87" i="105"/>
  <c r="CL91" i="105"/>
  <c r="CL87" i="105"/>
  <c r="CA88" i="105"/>
  <c r="BM102" i="105"/>
  <c r="CI87" i="105"/>
  <c r="CB95" i="105"/>
  <c r="CB91" i="105"/>
  <c r="CE96" i="105"/>
  <c r="CF100" i="105"/>
  <c r="CF96" i="105"/>
  <c r="CD93" i="105"/>
  <c r="CF104" i="105"/>
  <c r="CM92" i="105"/>
  <c r="DF102" i="105"/>
  <c r="DF98" i="105"/>
  <c r="CF93" i="105"/>
  <c r="BO92" i="105"/>
  <c r="BZ111" i="105"/>
  <c r="BZ106" i="105"/>
  <c r="CK102" i="105"/>
  <c r="BV104" i="105"/>
  <c r="CI91" i="105"/>
  <c r="BW99" i="105"/>
  <c r="CB102" i="105"/>
  <c r="BX109" i="105"/>
  <c r="CZ88" i="105"/>
  <c r="CQ97" i="105"/>
  <c r="CH102" i="105"/>
  <c r="CD105" i="105"/>
  <c r="BY122" i="105"/>
  <c r="CB111" i="105"/>
  <c r="CB109" i="105"/>
  <c r="CW123" i="105"/>
  <c r="CO93" i="105"/>
  <c r="CO89" i="105"/>
  <c r="BP95" i="105"/>
  <c r="BP91" i="105"/>
  <c r="DB87" i="105"/>
  <c r="BL96" i="105"/>
  <c r="BL92" i="105"/>
  <c r="CX91" i="105"/>
  <c r="CX87" i="105"/>
  <c r="CY91" i="105"/>
  <c r="DF105" i="105"/>
  <c r="DF100" i="105"/>
  <c r="CY92" i="105"/>
  <c r="CZ101" i="105"/>
  <c r="CZ97" i="105"/>
  <c r="CC94" i="105"/>
  <c r="DD94" i="105"/>
  <c r="DD90" i="105"/>
  <c r="CO99" i="105"/>
  <c r="CO95" i="105"/>
  <c r="CX88" i="105"/>
  <c r="CW100" i="105"/>
  <c r="CW96" i="105"/>
  <c r="CJ93" i="105"/>
  <c r="CJ89" i="105"/>
  <c r="CT98" i="105"/>
  <c r="CK109" i="105"/>
  <c r="CK111" i="105"/>
  <c r="CU93" i="105"/>
  <c r="BO96" i="105"/>
  <c r="BP99" i="105"/>
  <c r="DC103" i="105"/>
  <c r="CN106" i="105"/>
  <c r="CK104" i="105"/>
  <c r="CW105" i="105"/>
  <c r="CU91" i="105"/>
  <c r="CN102" i="105"/>
  <c r="CJ109" i="105"/>
  <c r="CT122" i="105"/>
  <c r="BS89" i="105"/>
  <c r="DC97" i="105"/>
  <c r="DA99" i="105"/>
  <c r="CT102" i="105"/>
  <c r="CP105" i="105"/>
  <c r="BO109" i="105"/>
  <c r="CN111" i="105"/>
  <c r="CN109" i="105"/>
  <c r="CV97" i="105"/>
  <c r="DC123" i="105"/>
  <c r="BX123" i="105"/>
  <c r="BJ100" i="105"/>
  <c r="CF94" i="105"/>
  <c r="CF90" i="105"/>
  <c r="CO122" i="105"/>
  <c r="BT88" i="105"/>
  <c r="CL100" i="105"/>
  <c r="DD88" i="105"/>
  <c r="BW93" i="105"/>
  <c r="CA91" i="105"/>
  <c r="CA96" i="105"/>
  <c r="CV100" i="105"/>
  <c r="BT97" i="105"/>
  <c r="CF88" i="105"/>
  <c r="CL92" i="105"/>
  <c r="BJ106" i="105"/>
  <c r="CY89" i="105"/>
  <c r="BP98" i="105"/>
  <c r="BP94" i="105"/>
  <c r="BY100" i="105"/>
  <c r="BY96" i="105"/>
  <c r="CP102" i="105"/>
  <c r="CF97" i="105"/>
  <c r="CD96" i="105"/>
  <c r="CK99" i="105"/>
  <c r="CC124" i="105"/>
  <c r="CC111" i="105"/>
  <c r="CC109" i="105"/>
  <c r="CV106" i="105"/>
  <c r="CV101" i="105"/>
  <c r="BQ124" i="105"/>
  <c r="BQ109" i="105"/>
  <c r="CZ102" i="105"/>
  <c r="CV109" i="105"/>
  <c r="CE89" i="105"/>
  <c r="BO95" i="105"/>
  <c r="BU102" i="105"/>
  <c r="DB105" i="105"/>
  <c r="CJ110" i="105"/>
  <c r="CL124" i="105"/>
  <c r="CZ111" i="105"/>
  <c r="CZ109" i="105"/>
  <c r="CO100" i="105"/>
  <c r="AH101" i="104"/>
  <c r="Q22" i="104"/>
  <c r="CG123" i="105"/>
  <c r="CJ123" i="105"/>
  <c r="BM97" i="105"/>
  <c r="BM93" i="105"/>
  <c r="CN95" i="105"/>
  <c r="CN91" i="105"/>
  <c r="DE122" i="105"/>
  <c r="M45" i="104"/>
  <c r="Q45" i="104"/>
  <c r="R45" i="104"/>
  <c r="CY87" i="105"/>
  <c r="CE87" i="105"/>
  <c r="DE93" i="105"/>
  <c r="DE89" i="105"/>
  <c r="CL102" i="105"/>
  <c r="CL98" i="105"/>
  <c r="BU87" i="105"/>
  <c r="CK94" i="105"/>
  <c r="CK90" i="105"/>
  <c r="CE88" i="105"/>
  <c r="BT102" i="105"/>
  <c r="CU88" i="105"/>
  <c r="BM94" i="105"/>
  <c r="BM90" i="105"/>
  <c r="CI94" i="105"/>
  <c r="CM96" i="105"/>
  <c r="CU90" i="105"/>
  <c r="CR122" i="105"/>
  <c r="CR100" i="105"/>
  <c r="CR96" i="105"/>
  <c r="DD99" i="105"/>
  <c r="CG104" i="105"/>
  <c r="CB103" i="105"/>
  <c r="CR110" i="105"/>
  <c r="CR106" i="105"/>
  <c r="CV124" i="105"/>
  <c r="CV111" i="105"/>
  <c r="BP105" i="105"/>
  <c r="CJ124" i="105"/>
  <c r="CJ111" i="105"/>
  <c r="BU105" i="105"/>
  <c r="BL103" i="105"/>
  <c r="CQ89" i="105"/>
  <c r="CA95" i="105"/>
  <c r="CG102" i="105"/>
  <c r="CG98" i="105"/>
  <c r="BR103" i="105"/>
  <c r="CM109" i="105"/>
  <c r="BL110" i="105"/>
  <c r="CJ95" i="105"/>
  <c r="CV123" i="105"/>
  <c r="CC123" i="105"/>
  <c r="BU92" i="105"/>
  <c r="BU88" i="105"/>
  <c r="BS96" i="105"/>
  <c r="CG103" i="105"/>
  <c r="CN98" i="105"/>
  <c r="CN94" i="105"/>
  <c r="BY92" i="105"/>
  <c r="BY88" i="105"/>
  <c r="BS90" i="105"/>
  <c r="BZ101" i="105"/>
  <c r="CP89" i="105"/>
  <c r="CW92" i="105"/>
  <c r="CW88" i="105"/>
  <c r="CG87" i="105"/>
  <c r="DC90" i="105"/>
  <c r="BP101" i="105"/>
  <c r="BP97" i="105"/>
  <c r="CS92" i="105"/>
  <c r="DD96" i="105"/>
  <c r="DD97" i="105"/>
  <c r="DD102" i="105"/>
  <c r="CB93" i="105"/>
  <c r="BY102" i="105"/>
  <c r="CA90" i="105"/>
  <c r="DC94" i="105"/>
  <c r="BR98" i="105"/>
  <c r="CH93" i="105"/>
  <c r="CI105" i="105"/>
  <c r="CP99" i="105"/>
  <c r="BP104" i="105"/>
  <c r="CV99" i="105"/>
  <c r="CQ103" i="105"/>
  <c r="BV110" i="105"/>
  <c r="CZ104" i="105"/>
  <c r="CH122" i="105"/>
  <c r="CX111" i="105"/>
  <c r="CX106" i="105"/>
  <c r="DF109" i="105"/>
  <c r="CG105" i="105"/>
  <c r="BX103" i="105"/>
  <c r="DC89" i="105"/>
  <c r="CM95" i="105"/>
  <c r="CS98" i="105"/>
  <c r="CD103" i="105"/>
  <c r="BP110" i="105"/>
  <c r="CY109" i="105"/>
  <c r="BS123" i="105"/>
  <c r="CO123" i="105"/>
  <c r="BK95" i="105"/>
  <c r="BX93" i="105"/>
  <c r="BX89" i="105"/>
  <c r="CS93" i="105"/>
  <c r="CS89" i="105"/>
  <c r="CB98" i="105"/>
  <c r="CB94" i="105"/>
  <c r="BT110" i="105"/>
  <c r="CS87" i="105"/>
  <c r="BO88" i="105"/>
  <c r="CJ96" i="105"/>
  <c r="CJ92" i="105"/>
  <c r="BN90" i="105"/>
  <c r="CI89" i="105"/>
  <c r="BM91" i="105"/>
  <c r="BM87" i="105"/>
  <c r="BZ95" i="105"/>
  <c r="CR94" i="105"/>
  <c r="CR90" i="105"/>
  <c r="BN101" i="105"/>
  <c r="BN97" i="105"/>
  <c r="CT111" i="105"/>
  <c r="CT109" i="105"/>
  <c r="CH106" i="105"/>
  <c r="DD104" i="105"/>
  <c r="BM105" i="105"/>
  <c r="DE103" i="105"/>
  <c r="BP106" i="105"/>
  <c r="DB99" i="105"/>
  <c r="BJ110" i="105"/>
  <c r="CZ92" i="105"/>
  <c r="CS100" i="105"/>
  <c r="CJ103" i="105"/>
  <c r="BL90" i="105"/>
  <c r="DF96" i="105"/>
  <c r="CY95" i="105"/>
  <c r="DE102" i="105"/>
  <c r="CC110" i="105"/>
  <c r="BQ110" i="105"/>
  <c r="DA123" i="105"/>
  <c r="DE90" i="105"/>
  <c r="DA88" i="105"/>
  <c r="BL93" i="105"/>
  <c r="BL89" i="105"/>
  <c r="DD89" i="105"/>
  <c r="CX92" i="105"/>
  <c r="BP90" i="105"/>
  <c r="CU96" i="105"/>
  <c r="CD101" i="105"/>
  <c r="DC92" i="105"/>
  <c r="DB97" i="105"/>
  <c r="CN103" i="105"/>
  <c r="CT93" i="105"/>
  <c r="CA104" i="105"/>
  <c r="CX89" i="105"/>
  <c r="BO94" i="105"/>
  <c r="CB104" i="105"/>
  <c r="BY91" i="105"/>
  <c r="BY87" i="105"/>
  <c r="CU99" i="105"/>
  <c r="CU95" i="105"/>
  <c r="BZ100" i="105"/>
  <c r="CB101" i="105"/>
  <c r="CB97" i="105"/>
  <c r="CX104" i="105"/>
  <c r="CX99" i="105"/>
  <c r="CZ95" i="105"/>
  <c r="CZ91" i="105"/>
  <c r="DF106" i="105"/>
  <c r="DF101" i="105"/>
  <c r="BW94" i="105"/>
  <c r="DC100" i="105"/>
  <c r="CU105" i="105"/>
  <c r="BZ122" i="105"/>
  <c r="CD100" i="105"/>
  <c r="BT99" i="105"/>
  <c r="DA111" i="105"/>
  <c r="DA109" i="105"/>
  <c r="BJ109" i="105"/>
  <c r="CF105" i="105"/>
  <c r="BV105" i="105"/>
  <c r="CG110" i="105"/>
  <c r="DE100" i="105"/>
  <c r="CV103" i="105"/>
  <c r="CP111" i="105"/>
  <c r="BX90" i="105"/>
  <c r="BO93" i="105"/>
  <c r="BP96" i="105"/>
  <c r="BQ101" i="105"/>
  <c r="DB103" i="105"/>
  <c r="BM109" i="105"/>
  <c r="BM111" i="105"/>
  <c r="CP110" i="105"/>
  <c r="BU123" i="105"/>
  <c r="CF89" i="105"/>
  <c r="DD91" i="105"/>
  <c r="DC91" i="105"/>
  <c r="CA87" i="105"/>
  <c r="BQ94" i="105"/>
  <c r="CI90" i="105"/>
  <c r="BS95" i="105"/>
  <c r="DF122" i="105"/>
  <c r="BQ96" i="105"/>
  <c r="BQ92" i="105"/>
  <c r="CR88" i="105"/>
  <c r="CV93" i="105"/>
  <c r="CV89" i="105"/>
  <c r="BM98" i="105"/>
  <c r="BM103" i="105"/>
  <c r="CZ105" i="105"/>
  <c r="CL90" i="105"/>
  <c r="BK90" i="105"/>
  <c r="CL111" i="105"/>
  <c r="CL106" i="105"/>
  <c r="CK91" i="105"/>
  <c r="CK87" i="105"/>
  <c r="CE91" i="105"/>
  <c r="BM100" i="105"/>
  <c r="BM96" i="105"/>
  <c r="BT91" i="105"/>
  <c r="CG94" i="105"/>
  <c r="CP97" i="105"/>
  <c r="BN92" i="105"/>
  <c r="CW94" i="105"/>
  <c r="CW90" i="105"/>
  <c r="CK98" i="105"/>
  <c r="BS98" i="105"/>
  <c r="BV106" i="105"/>
  <c r="DA122" i="105"/>
  <c r="CA106" i="105"/>
  <c r="CA101" i="105"/>
  <c r="CH99" i="105"/>
  <c r="CC103" i="105"/>
  <c r="BX110" i="105"/>
  <c r="CF110" i="105"/>
  <c r="CF106" i="105"/>
  <c r="CE124" i="105"/>
  <c r="CJ100" i="105"/>
  <c r="DF110" i="105"/>
  <c r="BK101" i="105"/>
  <c r="BR104" i="105"/>
  <c r="BY110" i="105"/>
  <c r="CJ90" i="105"/>
  <c r="CA93" i="105"/>
  <c r="CC106" i="105"/>
  <c r="CC101" i="105"/>
  <c r="BL104" i="105"/>
  <c r="CF109" i="105"/>
  <c r="CB110" i="105"/>
  <c r="BW88" i="105"/>
  <c r="BQ123" i="105"/>
  <c r="BZ123" i="105"/>
  <c r="DF104" i="105"/>
  <c r="L32" i="105"/>
  <c r="S32" i="105" s="1"/>
  <c r="Q31" i="105"/>
  <c r="M31" i="105"/>
  <c r="N31" i="105" s="1"/>
  <c r="K31" i="105"/>
  <c r="BP87" i="105"/>
  <c r="CF87" i="105"/>
  <c r="BM110" i="105"/>
  <c r="CI92" i="105"/>
  <c r="CR93" i="105"/>
  <c r="CO102" i="105"/>
  <c r="CE94" i="105"/>
  <c r="CW91" i="105"/>
  <c r="CW87" i="105"/>
  <c r="BL101" i="105"/>
  <c r="DE101" i="105"/>
  <c r="DE97" i="105"/>
  <c r="CC105" i="105"/>
  <c r="CC100" i="105"/>
  <c r="CU102" i="105"/>
  <c r="CZ94" i="105"/>
  <c r="CH98" i="105"/>
  <c r="CP101" i="105"/>
  <c r="BY105" i="105"/>
  <c r="DD105" i="105"/>
  <c r="BR106" i="105"/>
  <c r="BR101" i="105"/>
  <c r="BM122" i="105"/>
  <c r="CW104" i="105"/>
  <c r="CW99" i="105"/>
  <c r="CV110" i="105"/>
  <c r="CT106" i="105"/>
  <c r="DB111" i="105"/>
  <c r="BZ104" i="105"/>
  <c r="CH96" i="105"/>
  <c r="BW106" i="105"/>
  <c r="CD104" i="105"/>
  <c r="CT110" i="105"/>
  <c r="CV90" i="105"/>
  <c r="CM93" i="105"/>
  <c r="CN96" i="105"/>
  <c r="CO101" i="105"/>
  <c r="BX104" i="105"/>
  <c r="CW109" i="105"/>
  <c r="CW111" i="105"/>
  <c r="BU109" i="105"/>
  <c r="CW122" i="105"/>
  <c r="CN110" i="105"/>
  <c r="CF102" i="105"/>
  <c r="DA93" i="105"/>
  <c r="M27" i="104"/>
  <c r="K27" i="104"/>
  <c r="R27" i="104"/>
  <c r="L25" i="104"/>
  <c r="Q27" i="104"/>
  <c r="BX96" i="105"/>
  <c r="BX92" i="105"/>
  <c r="CN93" i="105"/>
  <c r="BY106" i="105"/>
  <c r="BY101" i="105"/>
  <c r="BQ99" i="105"/>
  <c r="BQ95" i="105"/>
  <c r="CB90" i="105"/>
  <c r="CQ88" i="105"/>
  <c r="DA96" i="105"/>
  <c r="CW102" i="105"/>
  <c r="BY94" i="105"/>
  <c r="BY90" i="105"/>
  <c r="CN90" i="105"/>
  <c r="BX124" i="105"/>
  <c r="BX111" i="105"/>
  <c r="BS88" i="105"/>
  <c r="CY96" i="105"/>
  <c r="CM106" i="105"/>
  <c r="CM101" i="105"/>
  <c r="CW95" i="105"/>
  <c r="CQ92" i="105"/>
  <c r="CY103" i="105"/>
  <c r="BY95" i="105"/>
  <c r="BN95" i="105"/>
  <c r="CV98" i="105"/>
  <c r="BK102" i="105"/>
  <c r="DD109" i="105"/>
  <c r="DD111" i="105"/>
  <c r="BV122" i="105"/>
  <c r="BN111" i="105"/>
  <c r="BN106" i="105"/>
  <c r="CF101" i="105"/>
  <c r="CC122" i="105"/>
  <c r="BQ105" i="105"/>
  <c r="BQ100" i="105"/>
  <c r="DF103" i="105"/>
  <c r="BP103" i="105"/>
  <c r="BX106" i="105"/>
  <c r="BX101" i="105"/>
  <c r="CN104" i="105"/>
  <c r="CI106" i="105"/>
  <c r="CP104" i="105"/>
  <c r="CY93" i="105"/>
  <c r="DA101" i="105"/>
  <c r="CJ104" i="105"/>
  <c r="CG109" i="105"/>
  <c r="CZ110" i="105"/>
  <c r="CH89" i="105"/>
  <c r="DE123" i="105"/>
  <c r="BM123" i="105"/>
  <c r="DA102" i="105"/>
  <c r="M78" i="105"/>
  <c r="N78" i="105" s="1"/>
  <c r="L79" i="105"/>
  <c r="K78" i="105"/>
  <c r="BL180" i="104" l="1"/>
  <c r="BL170" i="104"/>
  <c r="BL171" i="104"/>
  <c r="BF172" i="104"/>
  <c r="AT172" i="104"/>
  <c r="AH172" i="104"/>
  <c r="V172" i="104"/>
  <c r="J172" i="104"/>
  <c r="AX172" i="104"/>
  <c r="AL172" i="104"/>
  <c r="Z172" i="104"/>
  <c r="N172" i="104"/>
  <c r="AW172" i="104"/>
  <c r="AK172" i="104"/>
  <c r="Y172" i="104"/>
  <c r="M172" i="104"/>
  <c r="BD172" i="104"/>
  <c r="AO172" i="104"/>
  <c r="X172" i="104"/>
  <c r="H172" i="104"/>
  <c r="BC172" i="104"/>
  <c r="AN172" i="104"/>
  <c r="W172" i="104"/>
  <c r="BB172" i="104"/>
  <c r="AM172" i="104"/>
  <c r="U172" i="104"/>
  <c r="BA172" i="104"/>
  <c r="AJ172" i="104"/>
  <c r="T172" i="104"/>
  <c r="AZ172" i="104"/>
  <c r="AI172" i="104"/>
  <c r="S172" i="104"/>
  <c r="AY172" i="104"/>
  <c r="AG172" i="104"/>
  <c r="R172" i="104"/>
  <c r="AV172" i="104"/>
  <c r="AF172" i="104"/>
  <c r="Q172" i="104"/>
  <c r="AU172" i="104"/>
  <c r="AE172" i="104"/>
  <c r="P172" i="104"/>
  <c r="AS172" i="104"/>
  <c r="AD172" i="104"/>
  <c r="O172" i="104"/>
  <c r="AR172" i="104"/>
  <c r="AC172" i="104"/>
  <c r="L172" i="104"/>
  <c r="AQ172" i="104"/>
  <c r="AB172" i="104"/>
  <c r="K172" i="104"/>
  <c r="BE172" i="104"/>
  <c r="AP172" i="104"/>
  <c r="AA172" i="104"/>
  <c r="I172" i="104"/>
  <c r="BF176" i="104"/>
  <c r="AT176" i="104"/>
  <c r="AH176" i="104"/>
  <c r="V176" i="104"/>
  <c r="J176" i="104"/>
  <c r="AX176" i="104"/>
  <c r="AL176" i="104"/>
  <c r="Z176" i="104"/>
  <c r="N176" i="104"/>
  <c r="AW176" i="104"/>
  <c r="AK176" i="104"/>
  <c r="Y176" i="104"/>
  <c r="M176" i="104"/>
  <c r="AV176" i="104"/>
  <c r="AF176" i="104"/>
  <c r="Q176" i="104"/>
  <c r="AU176" i="104"/>
  <c r="AE176" i="104"/>
  <c r="P176" i="104"/>
  <c r="AS176" i="104"/>
  <c r="AD176" i="104"/>
  <c r="O176" i="104"/>
  <c r="AR176" i="104"/>
  <c r="AC176" i="104"/>
  <c r="L176" i="104"/>
  <c r="AQ176" i="104"/>
  <c r="AB176" i="104"/>
  <c r="K176" i="104"/>
  <c r="BE176" i="104"/>
  <c r="AP176" i="104"/>
  <c r="AA176" i="104"/>
  <c r="I176" i="104"/>
  <c r="BD176" i="104"/>
  <c r="AO176" i="104"/>
  <c r="X176" i="104"/>
  <c r="H176" i="104"/>
  <c r="BC176" i="104"/>
  <c r="AN176" i="104"/>
  <c r="W176" i="104"/>
  <c r="BB176" i="104"/>
  <c r="AM176" i="104"/>
  <c r="U176" i="104"/>
  <c r="BA176" i="104"/>
  <c r="AJ176" i="104"/>
  <c r="T176" i="104"/>
  <c r="AZ176" i="104"/>
  <c r="AI176" i="104"/>
  <c r="S176" i="104"/>
  <c r="AY176" i="104"/>
  <c r="AG176" i="104"/>
  <c r="R176" i="104"/>
  <c r="AV168" i="104"/>
  <c r="X168" i="104"/>
  <c r="AU168" i="104"/>
  <c r="AI168" i="104"/>
  <c r="W168" i="104"/>
  <c r="K168" i="104"/>
  <c r="BF168" i="104"/>
  <c r="AT168" i="104"/>
  <c r="AH168" i="104"/>
  <c r="V168" i="104"/>
  <c r="J168" i="104"/>
  <c r="BE168" i="104"/>
  <c r="AS168" i="104"/>
  <c r="AG168" i="104"/>
  <c r="U168" i="104"/>
  <c r="I168" i="104"/>
  <c r="BD168" i="104"/>
  <c r="AR168" i="104"/>
  <c r="AF168" i="104"/>
  <c r="T168" i="104"/>
  <c r="H168" i="104"/>
  <c r="BC168" i="104"/>
  <c r="AQ168" i="104"/>
  <c r="AE168" i="104"/>
  <c r="S168" i="104"/>
  <c r="BB168" i="104"/>
  <c r="AP168" i="104"/>
  <c r="AD168" i="104"/>
  <c r="R168" i="104"/>
  <c r="BA168" i="104"/>
  <c r="AO168" i="104"/>
  <c r="AC168" i="104"/>
  <c r="Q168" i="104"/>
  <c r="AZ168" i="104"/>
  <c r="AN168" i="104"/>
  <c r="AB168" i="104"/>
  <c r="P168" i="104"/>
  <c r="AY168" i="104"/>
  <c r="AM168" i="104"/>
  <c r="AA168" i="104"/>
  <c r="O168" i="104"/>
  <c r="AX168" i="104"/>
  <c r="AL168" i="104"/>
  <c r="Z168" i="104"/>
  <c r="N168" i="104"/>
  <c r="AW168" i="104"/>
  <c r="AK168" i="104"/>
  <c r="Y168" i="104"/>
  <c r="M168" i="104"/>
  <c r="AJ168" i="104"/>
  <c r="L168" i="104"/>
  <c r="BL167" i="104"/>
  <c r="AZ175" i="104"/>
  <c r="AN175" i="104"/>
  <c r="AB175" i="104"/>
  <c r="P175" i="104"/>
  <c r="BD175" i="104"/>
  <c r="AR175" i="104"/>
  <c r="AF175" i="104"/>
  <c r="T175" i="104"/>
  <c r="H175" i="104"/>
  <c r="BC175" i="104"/>
  <c r="AQ175" i="104"/>
  <c r="AE175" i="104"/>
  <c r="S175" i="104"/>
  <c r="BB175" i="104"/>
  <c r="AL175" i="104"/>
  <c r="W175" i="104"/>
  <c r="BA175" i="104"/>
  <c r="AK175" i="104"/>
  <c r="V175" i="104"/>
  <c r="AY175" i="104"/>
  <c r="AJ175" i="104"/>
  <c r="U175" i="104"/>
  <c r="AX175" i="104"/>
  <c r="AI175" i="104"/>
  <c r="R175" i="104"/>
  <c r="AW175" i="104"/>
  <c r="AH175" i="104"/>
  <c r="Q175" i="104"/>
  <c r="AV175" i="104"/>
  <c r="AG175" i="104"/>
  <c r="O175" i="104"/>
  <c r="AU175" i="104"/>
  <c r="AD175" i="104"/>
  <c r="N175" i="104"/>
  <c r="AT175" i="104"/>
  <c r="AC175" i="104"/>
  <c r="M175" i="104"/>
  <c r="AS175" i="104"/>
  <c r="AA175" i="104"/>
  <c r="L175" i="104"/>
  <c r="AP175" i="104"/>
  <c r="Z175" i="104"/>
  <c r="K175" i="104"/>
  <c r="BF175" i="104"/>
  <c r="BL175" i="104" s="1"/>
  <c r="AO175" i="104"/>
  <c r="Y175" i="104"/>
  <c r="J175" i="104"/>
  <c r="BE175" i="104"/>
  <c r="AM175" i="104"/>
  <c r="X175" i="104"/>
  <c r="I175" i="104"/>
  <c r="AZ183" i="104"/>
  <c r="AN183" i="104"/>
  <c r="AB183" i="104"/>
  <c r="P183" i="104"/>
  <c r="AY183" i="104"/>
  <c r="AM183" i="104"/>
  <c r="AA183" i="104"/>
  <c r="O183" i="104"/>
  <c r="AW183" i="104"/>
  <c r="AK183" i="104"/>
  <c r="Y183" i="104"/>
  <c r="M183" i="104"/>
  <c r="BE183" i="104"/>
  <c r="AS183" i="104"/>
  <c r="AG183" i="104"/>
  <c r="U183" i="104"/>
  <c r="I183" i="104"/>
  <c r="BD183" i="104"/>
  <c r="AR183" i="104"/>
  <c r="AF183" i="104"/>
  <c r="T183" i="104"/>
  <c r="H183" i="104"/>
  <c r="BC183" i="104"/>
  <c r="AQ183" i="104"/>
  <c r="AE183" i="104"/>
  <c r="S183" i="104"/>
  <c r="BB183" i="104"/>
  <c r="AP183" i="104"/>
  <c r="AD183" i="104"/>
  <c r="R183" i="104"/>
  <c r="AI183" i="104"/>
  <c r="AH183" i="104"/>
  <c r="AC183" i="104"/>
  <c r="BF183" i="104"/>
  <c r="Z183" i="104"/>
  <c r="BA183" i="104"/>
  <c r="X183" i="104"/>
  <c r="AX183" i="104"/>
  <c r="W183" i="104"/>
  <c r="AV183" i="104"/>
  <c r="V183" i="104"/>
  <c r="AU183" i="104"/>
  <c r="Q183" i="104"/>
  <c r="AT183" i="104"/>
  <c r="N183" i="104"/>
  <c r="AO183" i="104"/>
  <c r="L183" i="104"/>
  <c r="AL183" i="104"/>
  <c r="K183" i="104"/>
  <c r="AJ183" i="104"/>
  <c r="J183" i="104"/>
  <c r="BG184" i="104" a="1"/>
  <c r="BG184" i="104" s="1"/>
  <c r="BG169" i="104" a="1"/>
  <c r="BG169" i="104" s="1"/>
  <c r="BG186" i="104" a="1"/>
  <c r="BG186" i="104" s="1"/>
  <c r="BL184" i="104"/>
  <c r="BL169" i="104"/>
  <c r="BL186" i="104"/>
  <c r="BG170" i="104" a="1"/>
  <c r="BG170" i="104" s="1"/>
  <c r="AZ187" i="104"/>
  <c r="AN187" i="104"/>
  <c r="AB187" i="104"/>
  <c r="P187" i="104"/>
  <c r="AY187" i="104"/>
  <c r="AM187" i="104"/>
  <c r="AA187" i="104"/>
  <c r="O187" i="104"/>
  <c r="AW187" i="104"/>
  <c r="AK187" i="104"/>
  <c r="Y187" i="104"/>
  <c r="M187" i="104"/>
  <c r="BE187" i="104"/>
  <c r="AS187" i="104"/>
  <c r="AG187" i="104"/>
  <c r="U187" i="104"/>
  <c r="I187" i="104"/>
  <c r="BD187" i="104"/>
  <c r="AR187" i="104"/>
  <c r="AF187" i="104"/>
  <c r="T187" i="104"/>
  <c r="H187" i="104"/>
  <c r="BC187" i="104"/>
  <c r="AQ187" i="104"/>
  <c r="AE187" i="104"/>
  <c r="S187" i="104"/>
  <c r="BB187" i="104"/>
  <c r="AP187" i="104"/>
  <c r="AD187" i="104"/>
  <c r="R187" i="104"/>
  <c r="BA187" i="104"/>
  <c r="AO187" i="104"/>
  <c r="AC187" i="104"/>
  <c r="Q187" i="104"/>
  <c r="X187" i="104"/>
  <c r="W187" i="104"/>
  <c r="BF187" i="104"/>
  <c r="V187" i="104"/>
  <c r="AX187" i="104"/>
  <c r="N187" i="104"/>
  <c r="AV187" i="104"/>
  <c r="L187" i="104"/>
  <c r="AU187" i="104"/>
  <c r="K187" i="104"/>
  <c r="AT187" i="104"/>
  <c r="J187" i="104"/>
  <c r="AL187" i="104"/>
  <c r="AJ187" i="104"/>
  <c r="AI187" i="104"/>
  <c r="AH187" i="104"/>
  <c r="Z187" i="104"/>
  <c r="BG180" i="104" a="1"/>
  <c r="BG180" i="104" s="1"/>
  <c r="Q78" i="105"/>
  <c r="AE215" i="104"/>
  <c r="P215" i="104"/>
  <c r="AI215" i="104"/>
  <c r="H215" i="104"/>
  <c r="N215" i="104"/>
  <c r="K215" i="104"/>
  <c r="BE215" i="104"/>
  <c r="M215" i="104"/>
  <c r="AW215" i="104"/>
  <c r="AM215" i="104"/>
  <c r="AH95" i="104"/>
  <c r="M95" i="104"/>
  <c r="AS95" i="104"/>
  <c r="BC95" i="104"/>
  <c r="Q215" i="104"/>
  <c r="AQ215" i="104"/>
  <c r="AV215" i="104"/>
  <c r="BA215" i="104"/>
  <c r="AP215" i="104"/>
  <c r="AA215" i="104"/>
  <c r="AU215" i="104"/>
  <c r="O215" i="104"/>
  <c r="J215" i="104"/>
  <c r="S215" i="104"/>
  <c r="AC95" i="104"/>
  <c r="AM95" i="104"/>
  <c r="AR95" i="104"/>
  <c r="AG95" i="104"/>
  <c r="L95" i="104"/>
  <c r="AF95" i="104"/>
  <c r="AA95" i="104"/>
  <c r="AP95" i="104"/>
  <c r="Z95" i="104"/>
  <c r="W95" i="104"/>
  <c r="AK95" i="104"/>
  <c r="AX95" i="104"/>
  <c r="X95" i="104"/>
  <c r="N95" i="104"/>
  <c r="AI95" i="104"/>
  <c r="BA95" i="104"/>
  <c r="AT95" i="104"/>
  <c r="AL95" i="104"/>
  <c r="BD95" i="104"/>
  <c r="BB95" i="104"/>
  <c r="AJ95" i="104"/>
  <c r="AB95" i="104"/>
  <c r="V95" i="104"/>
  <c r="I95" i="104"/>
  <c r="T95" i="104"/>
  <c r="AZ95" i="104"/>
  <c r="AU95" i="104"/>
  <c r="AO95" i="104"/>
  <c r="Q95" i="104"/>
  <c r="AQ95" i="104"/>
  <c r="AN95" i="104"/>
  <c r="H95" i="104"/>
  <c r="AY95" i="104"/>
  <c r="S95" i="104"/>
  <c r="R95" i="104"/>
  <c r="Y95" i="104"/>
  <c r="AV95" i="104"/>
  <c r="K95" i="104"/>
  <c r="AE95" i="104"/>
  <c r="BF95" i="104"/>
  <c r="BE95" i="104"/>
  <c r="AD95" i="104"/>
  <c r="O95" i="104"/>
  <c r="J95" i="104"/>
  <c r="AW95" i="104"/>
  <c r="P95" i="104"/>
  <c r="AH215" i="104"/>
  <c r="L215" i="104"/>
  <c r="BD215" i="104"/>
  <c r="AS215" i="104"/>
  <c r="AZ215" i="104"/>
  <c r="W215" i="104"/>
  <c r="AL215" i="104"/>
  <c r="AR215" i="104"/>
  <c r="AJ215" i="104"/>
  <c r="I215" i="104"/>
  <c r="V215" i="104"/>
  <c r="BB215" i="104"/>
  <c r="BC215" i="104"/>
  <c r="AK215" i="104"/>
  <c r="AO215" i="104"/>
  <c r="Z215" i="104"/>
  <c r="AF215" i="104"/>
  <c r="AN215" i="104"/>
  <c r="AY215" i="104"/>
  <c r="T215" i="104"/>
  <c r="BF215" i="104"/>
  <c r="Y215" i="104"/>
  <c r="AT215" i="104"/>
  <c r="AX215" i="104"/>
  <c r="AG215" i="104"/>
  <c r="U215" i="104"/>
  <c r="R215" i="104"/>
  <c r="AC215" i="104"/>
  <c r="X215" i="104"/>
  <c r="AB215" i="104"/>
  <c r="K62" i="104"/>
  <c r="L63" i="104"/>
  <c r="Q62" i="104"/>
  <c r="M62" i="104"/>
  <c r="N62" i="104" s="1"/>
  <c r="P62" i="104"/>
  <c r="N59" i="104"/>
  <c r="AR211" i="104"/>
  <c r="BA211" i="104"/>
  <c r="AS211" i="104"/>
  <c r="AA211" i="104"/>
  <c r="AL211" i="104"/>
  <c r="BC211" i="104"/>
  <c r="AU211" i="104"/>
  <c r="I211" i="104"/>
  <c r="AF211" i="104"/>
  <c r="AW211" i="104"/>
  <c r="BB211" i="104"/>
  <c r="AO211" i="104"/>
  <c r="Z211" i="104"/>
  <c r="AQ211" i="104"/>
  <c r="AV211" i="104"/>
  <c r="AI211" i="104"/>
  <c r="BF211" i="104"/>
  <c r="AY211" i="104"/>
  <c r="BE211" i="104"/>
  <c r="T211" i="104"/>
  <c r="AK211" i="104"/>
  <c r="AP211" i="104"/>
  <c r="AC211" i="104"/>
  <c r="AZ211" i="104"/>
  <c r="O211" i="104"/>
  <c r="N211" i="104"/>
  <c r="AE211" i="104"/>
  <c r="AJ211" i="104"/>
  <c r="W211" i="104"/>
  <c r="AT211" i="104"/>
  <c r="H211" i="104"/>
  <c r="Y211" i="104"/>
  <c r="AD211" i="104"/>
  <c r="Q211" i="104"/>
  <c r="AN211" i="104"/>
  <c r="S211" i="104"/>
  <c r="X211" i="104"/>
  <c r="K211" i="104"/>
  <c r="AH211" i="104"/>
  <c r="U211" i="104"/>
  <c r="M211" i="104"/>
  <c r="R211" i="104"/>
  <c r="AB211" i="104"/>
  <c r="L211" i="104"/>
  <c r="V211" i="104"/>
  <c r="BD211" i="104"/>
  <c r="P211" i="104"/>
  <c r="AM211" i="104"/>
  <c r="AX211" i="104"/>
  <c r="J211" i="104"/>
  <c r="AG211" i="104"/>
  <c r="AV214" i="104"/>
  <c r="V214" i="104"/>
  <c r="AU214" i="104"/>
  <c r="AP214" i="104"/>
  <c r="J214" i="104"/>
  <c r="BE214" i="104"/>
  <c r="AJ214" i="104"/>
  <c r="AY214" i="104"/>
  <c r="BD214" i="104"/>
  <c r="BC214" i="104"/>
  <c r="AS214" i="104"/>
  <c r="AX214" i="104"/>
  <c r="AW214" i="104"/>
  <c r="AM214" i="104"/>
  <c r="AR214" i="104"/>
  <c r="AQ214" i="104"/>
  <c r="AT214" i="104"/>
  <c r="AG214" i="104"/>
  <c r="AL214" i="104"/>
  <c r="AK214" i="104"/>
  <c r="AC214" i="104"/>
  <c r="BA214" i="104"/>
  <c r="AA214" i="104"/>
  <c r="AF214" i="104"/>
  <c r="AE214" i="104"/>
  <c r="Q214" i="104"/>
  <c r="AI214" i="104"/>
  <c r="R214" i="104"/>
  <c r="U214" i="104"/>
  <c r="Z214" i="104"/>
  <c r="Y214" i="104"/>
  <c r="AO214" i="104"/>
  <c r="BF214" i="104"/>
  <c r="W214" i="104"/>
  <c r="O214" i="104"/>
  <c r="T214" i="104"/>
  <c r="S214" i="104"/>
  <c r="AB214" i="104"/>
  <c r="AN214" i="104"/>
  <c r="K214" i="104"/>
  <c r="AD214" i="104"/>
  <c r="I214" i="104"/>
  <c r="N214" i="104"/>
  <c r="M214" i="104"/>
  <c r="P214" i="104"/>
  <c r="X214" i="104"/>
  <c r="AZ214" i="104"/>
  <c r="H214" i="104"/>
  <c r="BB214" i="104"/>
  <c r="L214" i="104"/>
  <c r="AH214" i="104"/>
  <c r="S209" i="104"/>
  <c r="X209" i="104"/>
  <c r="K209" i="104"/>
  <c r="AH209" i="104"/>
  <c r="M209" i="104"/>
  <c r="R209" i="104"/>
  <c r="AB209" i="104"/>
  <c r="AG209" i="104"/>
  <c r="L209" i="104"/>
  <c r="V209" i="104"/>
  <c r="AA209" i="104"/>
  <c r="BE209" i="104"/>
  <c r="BD209" i="104"/>
  <c r="P209" i="104"/>
  <c r="AM209" i="104"/>
  <c r="U209" i="104"/>
  <c r="AY209" i="104"/>
  <c r="AX209" i="104"/>
  <c r="J209" i="104"/>
  <c r="AR209" i="104"/>
  <c r="BA209" i="104"/>
  <c r="AL209" i="104"/>
  <c r="BC209" i="104"/>
  <c r="AU209" i="104"/>
  <c r="AS209" i="104"/>
  <c r="AF209" i="104"/>
  <c r="AW209" i="104"/>
  <c r="BB209" i="104"/>
  <c r="AO209" i="104"/>
  <c r="I209" i="104"/>
  <c r="O209" i="104"/>
  <c r="Z209" i="104"/>
  <c r="AQ209" i="104"/>
  <c r="AV209" i="104"/>
  <c r="AI209" i="104"/>
  <c r="BF209" i="104"/>
  <c r="T209" i="104"/>
  <c r="AK209" i="104"/>
  <c r="AP209" i="104"/>
  <c r="AC209" i="104"/>
  <c r="AZ209" i="104"/>
  <c r="N209" i="104"/>
  <c r="AE209" i="104"/>
  <c r="AJ209" i="104"/>
  <c r="W209" i="104"/>
  <c r="AT209" i="104"/>
  <c r="H209" i="104"/>
  <c r="Y209" i="104"/>
  <c r="AD209" i="104"/>
  <c r="Q209" i="104"/>
  <c r="AN209" i="104"/>
  <c r="K32" i="105"/>
  <c r="M32" i="105"/>
  <c r="N32" i="105" s="1"/>
  <c r="L33" i="105"/>
  <c r="S33" i="105" s="1"/>
  <c r="Q32" i="105"/>
  <c r="Q25" i="104"/>
  <c r="AW125" i="104"/>
  <c r="AK125" i="104"/>
  <c r="AX125" i="104"/>
  <c r="Y125" i="104"/>
  <c r="AI125" i="104"/>
  <c r="H125" i="104"/>
  <c r="AR125" i="104"/>
  <c r="S125" i="104"/>
  <c r="AB125" i="104"/>
  <c r="BD125" i="104"/>
  <c r="AZ125" i="104"/>
  <c r="K125" i="104"/>
  <c r="M125" i="104"/>
  <c r="U125" i="104"/>
  <c r="BA125" i="104"/>
  <c r="AS125" i="104"/>
  <c r="AO125" i="104"/>
  <c r="AA125" i="104"/>
  <c r="N125" i="104"/>
  <c r="AT125" i="104"/>
  <c r="AH125" i="104"/>
  <c r="AD125" i="104"/>
  <c r="AM125" i="104"/>
  <c r="W125" i="104"/>
  <c r="T125" i="104"/>
  <c r="AL125" i="104"/>
  <c r="AF125" i="104"/>
  <c r="L125" i="104"/>
  <c r="I125" i="104"/>
  <c r="X125" i="104"/>
  <c r="Q125" i="104"/>
  <c r="BF125" i="104"/>
  <c r="BB125" i="104"/>
  <c r="J125" i="104"/>
  <c r="AU125" i="104"/>
  <c r="AY125" i="104"/>
  <c r="AG125" i="104"/>
  <c r="V125" i="104"/>
  <c r="BC125" i="104"/>
  <c r="AJ125" i="104"/>
  <c r="AN125" i="104"/>
  <c r="AQ125" i="104"/>
  <c r="BE125" i="104"/>
  <c r="Z125" i="104"/>
  <c r="AC125" i="104"/>
  <c r="AV125" i="104"/>
  <c r="P125" i="104"/>
  <c r="AE125" i="104"/>
  <c r="R125" i="104"/>
  <c r="AP125" i="104"/>
  <c r="O125" i="104"/>
  <c r="L23" i="104"/>
  <c r="S89" i="104" s="1"/>
  <c r="AN105" i="104"/>
  <c r="AI105" i="104"/>
  <c r="J105" i="104"/>
  <c r="AU105" i="104"/>
  <c r="T105" i="104"/>
  <c r="AK105" i="104"/>
  <c r="Z105" i="104"/>
  <c r="AM105" i="104"/>
  <c r="I105" i="104"/>
  <c r="M105" i="104"/>
  <c r="X105" i="104"/>
  <c r="AF105" i="104"/>
  <c r="AW105" i="104"/>
  <c r="AS105" i="104"/>
  <c r="BD105" i="104"/>
  <c r="Y105" i="104"/>
  <c r="AL105" i="104"/>
  <c r="R105" i="104"/>
  <c r="AA105" i="104"/>
  <c r="O105" i="104"/>
  <c r="BF105" i="104"/>
  <c r="BE105" i="104"/>
  <c r="K105" i="104"/>
  <c r="AY105" i="104"/>
  <c r="Q105" i="104"/>
  <c r="AV105" i="104"/>
  <c r="AZ105" i="104"/>
  <c r="AX105" i="104"/>
  <c r="BC105" i="104"/>
  <c r="AO105" i="104"/>
  <c r="AT105" i="104"/>
  <c r="AQ105" i="104"/>
  <c r="AR105" i="104"/>
  <c r="AD105" i="104"/>
  <c r="AH105" i="104"/>
  <c r="AJ105" i="104"/>
  <c r="AG105" i="104"/>
  <c r="S105" i="104"/>
  <c r="AB105" i="104"/>
  <c r="AC105" i="104"/>
  <c r="W105" i="104"/>
  <c r="BA105" i="104"/>
  <c r="H105" i="104"/>
  <c r="V105" i="104"/>
  <c r="U105" i="104"/>
  <c r="L105" i="104"/>
  <c r="AP105" i="104"/>
  <c r="P105" i="104"/>
  <c r="N105" i="104"/>
  <c r="BB105" i="104"/>
  <c r="AE105" i="104"/>
  <c r="P45" i="104"/>
  <c r="R25" i="104"/>
  <c r="AM126" i="104"/>
  <c r="Y126" i="104"/>
  <c r="U126" i="104"/>
  <c r="L126" i="104"/>
  <c r="I126" i="104"/>
  <c r="AV126" i="104"/>
  <c r="N126" i="104"/>
  <c r="AL126" i="104"/>
  <c r="BC126" i="104"/>
  <c r="BF126" i="104"/>
  <c r="P126" i="104"/>
  <c r="AW126" i="104"/>
  <c r="AU126" i="104"/>
  <c r="AY126" i="104"/>
  <c r="AQ126" i="104"/>
  <c r="BA126" i="104"/>
  <c r="AJ126" i="104"/>
  <c r="AN126" i="104"/>
  <c r="AK126" i="104"/>
  <c r="AT126" i="104"/>
  <c r="Z126" i="104"/>
  <c r="AC126" i="104"/>
  <c r="AE126" i="104"/>
  <c r="AF126" i="104"/>
  <c r="O126" i="104"/>
  <c r="R126" i="104"/>
  <c r="AR126" i="104"/>
  <c r="AG126" i="104"/>
  <c r="S126" i="104"/>
  <c r="X126" i="104"/>
  <c r="BE126" i="104"/>
  <c r="H126" i="104"/>
  <c r="K126" i="104"/>
  <c r="M126" i="104"/>
  <c r="Q126" i="104"/>
  <c r="AX126" i="104"/>
  <c r="BD126" i="104"/>
  <c r="AZ126" i="104"/>
  <c r="J126" i="104"/>
  <c r="AP126" i="104"/>
  <c r="AS126" i="104"/>
  <c r="AO126" i="104"/>
  <c r="AA126" i="104"/>
  <c r="AI126" i="104"/>
  <c r="AH126" i="104"/>
  <c r="AD126" i="104"/>
  <c r="BB126" i="104"/>
  <c r="T126" i="104"/>
  <c r="W126" i="104"/>
  <c r="AB126" i="104"/>
  <c r="V126" i="104"/>
  <c r="N45" i="104"/>
  <c r="AC120" i="104"/>
  <c r="K25" i="104"/>
  <c r="Y120" i="104"/>
  <c r="AM120" i="104"/>
  <c r="AE120" i="104"/>
  <c r="O120" i="104"/>
  <c r="S120" i="104"/>
  <c r="BE120" i="104"/>
  <c r="M120" i="104"/>
  <c r="AX120" i="104"/>
  <c r="BD120" i="104"/>
  <c r="AZ120" i="104"/>
  <c r="AP120" i="104"/>
  <c r="AS120" i="104"/>
  <c r="AO120" i="104"/>
  <c r="AI120" i="104"/>
  <c r="AH120" i="104"/>
  <c r="AD120" i="104"/>
  <c r="AV120" i="104"/>
  <c r="AN120" i="104"/>
  <c r="AB120" i="104"/>
  <c r="W120" i="104"/>
  <c r="T120" i="104"/>
  <c r="AA120" i="104"/>
  <c r="R120" i="104"/>
  <c r="AL120" i="104"/>
  <c r="BA120" i="104"/>
  <c r="U120" i="104"/>
  <c r="N120" i="104"/>
  <c r="K120" i="104"/>
  <c r="H120" i="104"/>
  <c r="P120" i="104"/>
  <c r="AT120" i="104"/>
  <c r="BC120" i="104"/>
  <c r="AF120" i="104"/>
  <c r="BF120" i="104"/>
  <c r="BB120" i="104"/>
  <c r="AW120" i="104"/>
  <c r="X120" i="104"/>
  <c r="AU120" i="104"/>
  <c r="AR120" i="104"/>
  <c r="AG120" i="104"/>
  <c r="AQ120" i="104"/>
  <c r="Q120" i="104"/>
  <c r="AJ120" i="104"/>
  <c r="V120" i="104"/>
  <c r="L120" i="104"/>
  <c r="I120" i="104"/>
  <c r="AK120" i="104"/>
  <c r="AY120" i="104"/>
  <c r="J120" i="104"/>
  <c r="Z120" i="104"/>
  <c r="N27" i="104"/>
  <c r="M25" i="104"/>
  <c r="AW122" i="104"/>
  <c r="AK122" i="104"/>
  <c r="X122" i="104"/>
  <c r="AX122" i="104"/>
  <c r="AJ122" i="104"/>
  <c r="AN122" i="104"/>
  <c r="BB122" i="104"/>
  <c r="AP122" i="104"/>
  <c r="Z122" i="104"/>
  <c r="AC122" i="104"/>
  <c r="AG122" i="104"/>
  <c r="V122" i="104"/>
  <c r="AL122" i="104"/>
  <c r="AI122" i="104"/>
  <c r="O122" i="104"/>
  <c r="R122" i="104"/>
  <c r="AV122" i="104"/>
  <c r="AB122" i="104"/>
  <c r="H122" i="104"/>
  <c r="P122" i="104"/>
  <c r="U122" i="104"/>
  <c r="BD122" i="104"/>
  <c r="AZ122" i="104"/>
  <c r="BA122" i="104"/>
  <c r="N122" i="104"/>
  <c r="AS122" i="104"/>
  <c r="AO122" i="104"/>
  <c r="AR122" i="104"/>
  <c r="BC122" i="104"/>
  <c r="AT122" i="104"/>
  <c r="AH122" i="104"/>
  <c r="AD122" i="104"/>
  <c r="AA122" i="104"/>
  <c r="K122" i="104"/>
  <c r="AQ122" i="104"/>
  <c r="AM122" i="104"/>
  <c r="W122" i="104"/>
  <c r="T122" i="104"/>
  <c r="AE122" i="104"/>
  <c r="AF122" i="104"/>
  <c r="L122" i="104"/>
  <c r="I122" i="104"/>
  <c r="Y122" i="104"/>
  <c r="Q122" i="104"/>
  <c r="S122" i="104"/>
  <c r="J122" i="104"/>
  <c r="BF122" i="104"/>
  <c r="BE122" i="104"/>
  <c r="M122" i="104"/>
  <c r="AU122" i="104"/>
  <c r="AY122" i="104"/>
  <c r="BD85" i="104"/>
  <c r="T85" i="104"/>
  <c r="H85" i="104"/>
  <c r="AR85" i="104"/>
  <c r="N85" i="104"/>
  <c r="AX85" i="104"/>
  <c r="Z85" i="104"/>
  <c r="AF85" i="104"/>
  <c r="AL85" i="104"/>
  <c r="AC85" i="104"/>
  <c r="AD85" i="104"/>
  <c r="AK85" i="104"/>
  <c r="I85" i="104"/>
  <c r="AI85" i="104"/>
  <c r="AJ85" i="104"/>
  <c r="AQ85" i="104"/>
  <c r="O85" i="104"/>
  <c r="AO85" i="104"/>
  <c r="AP85" i="104"/>
  <c r="AW85" i="104"/>
  <c r="U85" i="104"/>
  <c r="J85" i="104"/>
  <c r="AU85" i="104"/>
  <c r="AV85" i="104"/>
  <c r="BC85" i="104"/>
  <c r="AA85" i="104"/>
  <c r="P85" i="104"/>
  <c r="BA85" i="104"/>
  <c r="BB85" i="104"/>
  <c r="AG85" i="104"/>
  <c r="V85" i="104"/>
  <c r="AM85" i="104"/>
  <c r="AB85" i="104"/>
  <c r="AS85" i="104"/>
  <c r="AH85" i="104"/>
  <c r="AY85" i="104"/>
  <c r="AN85" i="104"/>
  <c r="M85" i="104"/>
  <c r="BE85" i="104"/>
  <c r="AT85" i="104"/>
  <c r="K85" i="104"/>
  <c r="L85" i="104"/>
  <c r="S85" i="104"/>
  <c r="AZ85" i="104"/>
  <c r="Q85" i="104"/>
  <c r="R85" i="104"/>
  <c r="Y85" i="104"/>
  <c r="X85" i="104"/>
  <c r="AE85" i="104"/>
  <c r="W85" i="104"/>
  <c r="BF85" i="104"/>
  <c r="Q26" i="105"/>
  <c r="H83" i="104"/>
  <c r="AR83" i="104"/>
  <c r="Z83" i="104"/>
  <c r="AT83" i="104"/>
  <c r="N83" i="104"/>
  <c r="AF83" i="104"/>
  <c r="AX83" i="104"/>
  <c r="P83" i="104"/>
  <c r="AH83" i="104"/>
  <c r="AZ83" i="104"/>
  <c r="T83" i="104"/>
  <c r="AL83" i="104"/>
  <c r="BD83" i="104"/>
  <c r="V83" i="104"/>
  <c r="J83" i="104"/>
  <c r="AN83" i="104"/>
  <c r="AB83" i="104"/>
  <c r="BF83" i="104"/>
  <c r="AG83" i="104"/>
  <c r="AM83" i="104"/>
  <c r="AS83" i="104"/>
  <c r="AY83" i="104"/>
  <c r="M83" i="104"/>
  <c r="BE83" i="104"/>
  <c r="K83" i="104"/>
  <c r="L83" i="104"/>
  <c r="S83" i="104"/>
  <c r="Q83" i="104"/>
  <c r="R83" i="104"/>
  <c r="Y83" i="104"/>
  <c r="W83" i="104"/>
  <c r="X83" i="104"/>
  <c r="AE83" i="104"/>
  <c r="AC83" i="104"/>
  <c r="AD83" i="104"/>
  <c r="AK83" i="104"/>
  <c r="I83" i="104"/>
  <c r="AI83" i="104"/>
  <c r="AJ83" i="104"/>
  <c r="AQ83" i="104"/>
  <c r="O83" i="104"/>
  <c r="AO83" i="104"/>
  <c r="AP83" i="104"/>
  <c r="AW83" i="104"/>
  <c r="U83" i="104"/>
  <c r="AU83" i="104"/>
  <c r="AV83" i="104"/>
  <c r="BC83" i="104"/>
  <c r="AA83" i="104"/>
  <c r="BA83" i="104"/>
  <c r="BB83" i="104"/>
  <c r="K22" i="104"/>
  <c r="AR96" i="104"/>
  <c r="P96" i="104"/>
  <c r="AD96" i="104"/>
  <c r="AG96" i="104"/>
  <c r="U96" i="104"/>
  <c r="AI96" i="104"/>
  <c r="O96" i="104"/>
  <c r="BF96" i="104"/>
  <c r="AB96" i="104"/>
  <c r="L96" i="104"/>
  <c r="I96" i="104"/>
  <c r="BA96" i="104"/>
  <c r="AX96" i="104"/>
  <c r="T96" i="104"/>
  <c r="K96" i="104"/>
  <c r="Z96" i="104"/>
  <c r="AT96" i="104"/>
  <c r="AQ96" i="104"/>
  <c r="M96" i="104"/>
  <c r="Y96" i="104"/>
  <c r="AO96" i="104"/>
  <c r="AL96" i="104"/>
  <c r="AJ96" i="104"/>
  <c r="R96" i="104"/>
  <c r="AN96" i="104"/>
  <c r="BC96" i="104"/>
  <c r="AE96" i="104"/>
  <c r="AC96" i="104"/>
  <c r="AF96" i="104"/>
  <c r="S96" i="104"/>
  <c r="BB96" i="104"/>
  <c r="X96" i="104"/>
  <c r="V96" i="104"/>
  <c r="AU96" i="104"/>
  <c r="AH96" i="104"/>
  <c r="H96" i="104"/>
  <c r="BE96" i="104"/>
  <c r="Q96" i="104"/>
  <c r="N96" i="104"/>
  <c r="AV96" i="104"/>
  <c r="W96" i="104"/>
  <c r="AY96" i="104"/>
  <c r="J96" i="104"/>
  <c r="AK96" i="104"/>
  <c r="AS96" i="104"/>
  <c r="BD96" i="104"/>
  <c r="AZ96" i="104"/>
  <c r="AM96" i="104"/>
  <c r="AW96" i="104"/>
  <c r="AA96" i="104"/>
  <c r="AP96" i="104"/>
  <c r="H156" i="104"/>
  <c r="S156" i="104"/>
  <c r="AJ156" i="104"/>
  <c r="M156" i="104"/>
  <c r="AB156" i="104"/>
  <c r="R156" i="104"/>
  <c r="AZ156" i="104"/>
  <c r="BD156" i="104"/>
  <c r="AX156" i="104"/>
  <c r="AR156" i="104"/>
  <c r="BC156" i="104"/>
  <c r="AL156" i="104"/>
  <c r="AW156" i="104"/>
  <c r="AF156" i="104"/>
  <c r="AQ156" i="104"/>
  <c r="AG156" i="104"/>
  <c r="AV156" i="104"/>
  <c r="T156" i="104"/>
  <c r="AE156" i="104"/>
  <c r="BB156" i="104"/>
  <c r="L156" i="104"/>
  <c r="AO156" i="104"/>
  <c r="AD156" i="104"/>
  <c r="AM156" i="104"/>
  <c r="U156" i="104"/>
  <c r="AA156" i="104"/>
  <c r="AK156" i="104"/>
  <c r="I156" i="104"/>
  <c r="P156" i="104"/>
  <c r="AY156" i="104"/>
  <c r="Y156" i="104"/>
  <c r="Q156" i="104"/>
  <c r="AI156" i="104"/>
  <c r="X156" i="104"/>
  <c r="BA156" i="104"/>
  <c r="BE156" i="104"/>
  <c r="AP156" i="104"/>
  <c r="AS156" i="104"/>
  <c r="V156" i="104"/>
  <c r="AU156" i="104"/>
  <c r="Z156" i="104"/>
  <c r="AT156" i="104"/>
  <c r="AH156" i="104"/>
  <c r="K156" i="104"/>
  <c r="O156" i="104"/>
  <c r="AN156" i="104"/>
  <c r="J156" i="104"/>
  <c r="N156" i="104"/>
  <c r="BF156" i="104"/>
  <c r="W156" i="104"/>
  <c r="AC156" i="104"/>
  <c r="BD81" i="104"/>
  <c r="AL81" i="104"/>
  <c r="T81" i="104"/>
  <c r="AT81" i="104"/>
  <c r="N81" i="104"/>
  <c r="AF81" i="104"/>
  <c r="AX81" i="104"/>
  <c r="P81" i="104"/>
  <c r="AH81" i="104"/>
  <c r="V81" i="104"/>
  <c r="AZ81" i="104"/>
  <c r="AN81" i="104"/>
  <c r="BF81" i="104"/>
  <c r="H81" i="104"/>
  <c r="Z81" i="104"/>
  <c r="AR81" i="104"/>
  <c r="J81" i="104"/>
  <c r="AB81" i="104"/>
  <c r="R81" i="104"/>
  <c r="Y81" i="104"/>
  <c r="X81" i="104"/>
  <c r="AE81" i="104"/>
  <c r="I81" i="104"/>
  <c r="AD81" i="104"/>
  <c r="AK81" i="104"/>
  <c r="O81" i="104"/>
  <c r="AJ81" i="104"/>
  <c r="AQ81" i="104"/>
  <c r="U81" i="104"/>
  <c r="K81" i="104"/>
  <c r="AP81" i="104"/>
  <c r="AW81" i="104"/>
  <c r="AA81" i="104"/>
  <c r="Q81" i="104"/>
  <c r="AV81" i="104"/>
  <c r="BC81" i="104"/>
  <c r="AG81" i="104"/>
  <c r="W81" i="104"/>
  <c r="BB81" i="104"/>
  <c r="AM81" i="104"/>
  <c r="AC81" i="104"/>
  <c r="AS81" i="104"/>
  <c r="AI81" i="104"/>
  <c r="AY81" i="104"/>
  <c r="AO81" i="104"/>
  <c r="BE81" i="104"/>
  <c r="AU81" i="104"/>
  <c r="M81" i="104"/>
  <c r="BA81" i="104"/>
  <c r="L81" i="104"/>
  <c r="S81" i="104"/>
  <c r="AR154" i="104"/>
  <c r="AQ154" i="104"/>
  <c r="AJ154" i="104"/>
  <c r="AZ154" i="104"/>
  <c r="AL154" i="104"/>
  <c r="AK154" i="104"/>
  <c r="AB154" i="104"/>
  <c r="AF154" i="104"/>
  <c r="AE154" i="104"/>
  <c r="R154" i="104"/>
  <c r="AD154" i="104"/>
  <c r="T154" i="104"/>
  <c r="S154" i="104"/>
  <c r="N154" i="104"/>
  <c r="M154" i="104"/>
  <c r="H154" i="104"/>
  <c r="K154" i="104"/>
  <c r="BD154" i="104"/>
  <c r="BC154" i="104"/>
  <c r="BB154" i="104"/>
  <c r="AI154" i="104"/>
  <c r="AW154" i="104"/>
  <c r="AY154" i="104"/>
  <c r="AU154" i="104"/>
  <c r="W154" i="104"/>
  <c r="O154" i="104"/>
  <c r="Y154" i="104"/>
  <c r="AC154" i="104"/>
  <c r="X154" i="104"/>
  <c r="AN154" i="104"/>
  <c r="Q154" i="104"/>
  <c r="AS154" i="104"/>
  <c r="BA154" i="104"/>
  <c r="AP154" i="104"/>
  <c r="AT154" i="104"/>
  <c r="AG154" i="104"/>
  <c r="J154" i="104"/>
  <c r="V154" i="104"/>
  <c r="BE154" i="104"/>
  <c r="BF154" i="104"/>
  <c r="AV154" i="104"/>
  <c r="AH154" i="104"/>
  <c r="AX154" i="104"/>
  <c r="AO154" i="104"/>
  <c r="AM154" i="104"/>
  <c r="L154" i="104"/>
  <c r="Z154" i="104"/>
  <c r="U154" i="104"/>
  <c r="AA154" i="104"/>
  <c r="P154" i="104"/>
  <c r="I154" i="104"/>
  <c r="Q79" i="105"/>
  <c r="P79" i="105"/>
  <c r="M79" i="105"/>
  <c r="N79" i="105" s="1"/>
  <c r="L80" i="105"/>
  <c r="K79" i="105"/>
  <c r="BG176" i="104" l="1" a="1"/>
  <c r="BG176" i="104" s="1"/>
  <c r="BL176" i="104"/>
  <c r="BG172" i="104" a="1"/>
  <c r="BG172" i="104" s="1"/>
  <c r="BG187" i="104" a="1"/>
  <c r="BG187" i="104" s="1"/>
  <c r="BG183" i="104" a="1"/>
  <c r="BG183" i="104" s="1"/>
  <c r="AZ173" i="104"/>
  <c r="AN173" i="104"/>
  <c r="AB173" i="104"/>
  <c r="P173" i="104"/>
  <c r="BD173" i="104"/>
  <c r="AR173" i="104"/>
  <c r="AF173" i="104"/>
  <c r="T173" i="104"/>
  <c r="H173" i="104"/>
  <c r="BC173" i="104"/>
  <c r="AQ173" i="104"/>
  <c r="AE173" i="104"/>
  <c r="S173" i="104"/>
  <c r="AX173" i="104"/>
  <c r="AI173" i="104"/>
  <c r="R173" i="104"/>
  <c r="AW173" i="104"/>
  <c r="AH173" i="104"/>
  <c r="Q173" i="104"/>
  <c r="AV173" i="104"/>
  <c r="AG173" i="104"/>
  <c r="O173" i="104"/>
  <c r="AU173" i="104"/>
  <c r="AD173" i="104"/>
  <c r="N173" i="104"/>
  <c r="AT173" i="104"/>
  <c r="AC173" i="104"/>
  <c r="M173" i="104"/>
  <c r="AS173" i="104"/>
  <c r="AA173" i="104"/>
  <c r="L173" i="104"/>
  <c r="AP173" i="104"/>
  <c r="Z173" i="104"/>
  <c r="K173" i="104"/>
  <c r="BF173" i="104"/>
  <c r="BL173" i="104" s="1"/>
  <c r="AO173" i="104"/>
  <c r="Y173" i="104"/>
  <c r="J173" i="104"/>
  <c r="BE173" i="104"/>
  <c r="AM173" i="104"/>
  <c r="X173" i="104"/>
  <c r="I173" i="104"/>
  <c r="BB173" i="104"/>
  <c r="AL173" i="104"/>
  <c r="W173" i="104"/>
  <c r="BA173" i="104"/>
  <c r="AK173" i="104"/>
  <c r="V173" i="104"/>
  <c r="AY173" i="104"/>
  <c r="AJ173" i="104"/>
  <c r="U173" i="104"/>
  <c r="BG168" i="104" a="1"/>
  <c r="BG168" i="104" s="1"/>
  <c r="BG175" i="104" a="1"/>
  <c r="BG175" i="104" s="1"/>
  <c r="BL168" i="104"/>
  <c r="BL172" i="104"/>
  <c r="BF174" i="104"/>
  <c r="AT174" i="104"/>
  <c r="AH174" i="104"/>
  <c r="V174" i="104"/>
  <c r="J174" i="104"/>
  <c r="AX174" i="104"/>
  <c r="AL174" i="104"/>
  <c r="Z174" i="104"/>
  <c r="N174" i="104"/>
  <c r="AW174" i="104"/>
  <c r="AK174" i="104"/>
  <c r="Y174" i="104"/>
  <c r="M174" i="104"/>
  <c r="AR174" i="104"/>
  <c r="AC174" i="104"/>
  <c r="L174" i="104"/>
  <c r="AQ174" i="104"/>
  <c r="AB174" i="104"/>
  <c r="K174" i="104"/>
  <c r="BE174" i="104"/>
  <c r="AP174" i="104"/>
  <c r="AA174" i="104"/>
  <c r="I174" i="104"/>
  <c r="BD174" i="104"/>
  <c r="AO174" i="104"/>
  <c r="X174" i="104"/>
  <c r="H174" i="104"/>
  <c r="BC174" i="104"/>
  <c r="AN174" i="104"/>
  <c r="W174" i="104"/>
  <c r="BB174" i="104"/>
  <c r="AM174" i="104"/>
  <c r="U174" i="104"/>
  <c r="BA174" i="104"/>
  <c r="AJ174" i="104"/>
  <c r="T174" i="104"/>
  <c r="AZ174" i="104"/>
  <c r="AI174" i="104"/>
  <c r="S174" i="104"/>
  <c r="AY174" i="104"/>
  <c r="AG174" i="104"/>
  <c r="R174" i="104"/>
  <c r="AV174" i="104"/>
  <c r="AF174" i="104"/>
  <c r="Q174" i="104"/>
  <c r="AU174" i="104"/>
  <c r="AE174" i="104"/>
  <c r="P174" i="104"/>
  <c r="AS174" i="104"/>
  <c r="AD174" i="104"/>
  <c r="O174" i="104"/>
  <c r="BL187" i="104"/>
  <c r="BL183" i="104"/>
  <c r="J212" i="104"/>
  <c r="O212" i="104"/>
  <c r="Y212" i="104"/>
  <c r="I212" i="104"/>
  <c r="S212" i="104"/>
  <c r="BA212" i="104"/>
  <c r="M212" i="104"/>
  <c r="AJ212" i="104"/>
  <c r="AP212" i="104"/>
  <c r="AU212" i="104"/>
  <c r="BD212" i="104"/>
  <c r="AO212" i="104"/>
  <c r="BF212" i="104"/>
  <c r="AX212" i="104"/>
  <c r="AI212" i="104"/>
  <c r="AZ212" i="104"/>
  <c r="BE212" i="104"/>
  <c r="AR212" i="104"/>
  <c r="AC212" i="104"/>
  <c r="AT212" i="104"/>
  <c r="AY212" i="104"/>
  <c r="AL212" i="104"/>
  <c r="W212" i="104"/>
  <c r="AN212" i="104"/>
  <c r="AS212" i="104"/>
  <c r="AF212" i="104"/>
  <c r="BC212" i="104"/>
  <c r="Q212" i="104"/>
  <c r="AH212" i="104"/>
  <c r="AM212" i="104"/>
  <c r="Z212" i="104"/>
  <c r="AW212" i="104"/>
  <c r="K212" i="104"/>
  <c r="AB212" i="104"/>
  <c r="AG212" i="104"/>
  <c r="T212" i="104"/>
  <c r="AQ212" i="104"/>
  <c r="X212" i="104"/>
  <c r="BB212" i="104"/>
  <c r="V212" i="104"/>
  <c r="AA212" i="104"/>
  <c r="N212" i="104"/>
  <c r="AK212" i="104"/>
  <c r="R212" i="104"/>
  <c r="AV212" i="104"/>
  <c r="P212" i="104"/>
  <c r="U212" i="104"/>
  <c r="H212" i="104"/>
  <c r="AE212" i="104"/>
  <c r="AD212" i="104"/>
  <c r="L212" i="104"/>
  <c r="Q63" i="104"/>
  <c r="P63" i="104"/>
  <c r="M63" i="104"/>
  <c r="N63" i="104" s="1"/>
  <c r="K63" i="104"/>
  <c r="L64" i="104"/>
  <c r="N25" i="104"/>
  <c r="U123" i="104"/>
  <c r="Y123" i="104"/>
  <c r="AV123" i="104"/>
  <c r="AW123" i="104"/>
  <c r="AX123" i="104"/>
  <c r="AS123" i="104"/>
  <c r="AO123" i="104"/>
  <c r="K123" i="104"/>
  <c r="AQ123" i="104"/>
  <c r="AP123" i="104"/>
  <c r="AH123" i="104"/>
  <c r="AD123" i="104"/>
  <c r="AA123" i="104"/>
  <c r="AK123" i="104"/>
  <c r="AI123" i="104"/>
  <c r="W123" i="104"/>
  <c r="T123" i="104"/>
  <c r="AE123" i="104"/>
  <c r="AB123" i="104"/>
  <c r="L123" i="104"/>
  <c r="I123" i="104"/>
  <c r="BB123" i="104"/>
  <c r="S123" i="104"/>
  <c r="N123" i="104"/>
  <c r="BA123" i="104"/>
  <c r="V123" i="104"/>
  <c r="M123" i="104"/>
  <c r="AT123" i="104"/>
  <c r="BF123" i="104"/>
  <c r="AL123" i="104"/>
  <c r="AM123" i="104"/>
  <c r="AU123" i="104"/>
  <c r="AY123" i="104"/>
  <c r="AF123" i="104"/>
  <c r="AJ123" i="104"/>
  <c r="AN123" i="104"/>
  <c r="X123" i="104"/>
  <c r="Z123" i="104"/>
  <c r="AC123" i="104"/>
  <c r="Q123" i="104"/>
  <c r="O123" i="104"/>
  <c r="R123" i="104"/>
  <c r="J123" i="104"/>
  <c r="H123" i="104"/>
  <c r="AG123" i="104"/>
  <c r="P123" i="104"/>
  <c r="BC123" i="104"/>
  <c r="BE123" i="104"/>
  <c r="AR123" i="104"/>
  <c r="AZ123" i="104"/>
  <c r="BD123" i="104"/>
  <c r="R23" i="104"/>
  <c r="AW110" i="104"/>
  <c r="AK110" i="104"/>
  <c r="X110" i="104"/>
  <c r="K110" i="104"/>
  <c r="I110" i="104"/>
  <c r="AC110" i="104"/>
  <c r="BF110" i="104"/>
  <c r="P110" i="104"/>
  <c r="AX110" i="104"/>
  <c r="BC110" i="104"/>
  <c r="BA110" i="104"/>
  <c r="AO110" i="104"/>
  <c r="AQ110" i="104"/>
  <c r="AT110" i="104"/>
  <c r="AG110" i="104"/>
  <c r="N110" i="104"/>
  <c r="AE110" i="104"/>
  <c r="AM110" i="104"/>
  <c r="W110" i="104"/>
  <c r="AU110" i="104"/>
  <c r="Y110" i="104"/>
  <c r="AF110" i="104"/>
  <c r="O110" i="104"/>
  <c r="AY110" i="104"/>
  <c r="AH110" i="104"/>
  <c r="BE110" i="104"/>
  <c r="AA110" i="104"/>
  <c r="AZ110" i="104"/>
  <c r="S110" i="104"/>
  <c r="Q110" i="104"/>
  <c r="BB110" i="104"/>
  <c r="AL110" i="104"/>
  <c r="U110" i="104"/>
  <c r="AR110" i="104"/>
  <c r="M110" i="104"/>
  <c r="J110" i="104"/>
  <c r="AS110" i="104"/>
  <c r="Z110" i="104"/>
  <c r="H110" i="104"/>
  <c r="AD110" i="104"/>
  <c r="AJ110" i="104"/>
  <c r="L110" i="104"/>
  <c r="AV110" i="104"/>
  <c r="R110" i="104"/>
  <c r="AN110" i="104"/>
  <c r="AB110" i="104"/>
  <c r="AI110" i="104"/>
  <c r="BD110" i="104"/>
  <c r="AP110" i="104"/>
  <c r="V110" i="104"/>
  <c r="T110" i="104"/>
  <c r="Q80" i="104"/>
  <c r="BA80" i="104"/>
  <c r="AI80" i="104"/>
  <c r="AU80" i="104"/>
  <c r="M80" i="104"/>
  <c r="AE80" i="104"/>
  <c r="S80" i="104"/>
  <c r="AW80" i="104"/>
  <c r="AK80" i="104"/>
  <c r="BC80" i="104"/>
  <c r="W80" i="104"/>
  <c r="AO80" i="104"/>
  <c r="Y80" i="104"/>
  <c r="AQ80" i="104"/>
  <c r="K80" i="104"/>
  <c r="AC80" i="104"/>
  <c r="AV80" i="104"/>
  <c r="AL80" i="104"/>
  <c r="BB80" i="104"/>
  <c r="AR80" i="104"/>
  <c r="J80" i="104"/>
  <c r="AX80" i="104"/>
  <c r="I80" i="104"/>
  <c r="P80" i="104"/>
  <c r="BD80" i="104"/>
  <c r="O80" i="104"/>
  <c r="V80" i="104"/>
  <c r="U80" i="104"/>
  <c r="AB80" i="104"/>
  <c r="AA80" i="104"/>
  <c r="AH80" i="104"/>
  <c r="L80" i="104"/>
  <c r="AG80" i="104"/>
  <c r="AN80" i="104"/>
  <c r="R80" i="104"/>
  <c r="H80" i="104"/>
  <c r="AM80" i="104"/>
  <c r="AT80" i="104"/>
  <c r="X80" i="104"/>
  <c r="N80" i="104"/>
  <c r="AS80" i="104"/>
  <c r="AZ80" i="104"/>
  <c r="AD80" i="104"/>
  <c r="T80" i="104"/>
  <c r="AY80" i="104"/>
  <c r="BF80" i="104"/>
  <c r="AJ80" i="104"/>
  <c r="Z80" i="104"/>
  <c r="BE80" i="104"/>
  <c r="AP80" i="104"/>
  <c r="AF80" i="104"/>
  <c r="Q24" i="105"/>
  <c r="K23" i="104"/>
  <c r="BD104" i="104"/>
  <c r="V104" i="104"/>
  <c r="X104" i="104"/>
  <c r="BF104" i="104"/>
  <c r="BB104" i="104"/>
  <c r="N104" i="104"/>
  <c r="AR104" i="104"/>
  <c r="AD104" i="104"/>
  <c r="AI104" i="104"/>
  <c r="AS104" i="104"/>
  <c r="AZ104" i="104"/>
  <c r="AU104" i="104"/>
  <c r="AG104" i="104"/>
  <c r="S104" i="104"/>
  <c r="AT104" i="104"/>
  <c r="AM104" i="104"/>
  <c r="W104" i="104"/>
  <c r="BA104" i="104"/>
  <c r="H104" i="104"/>
  <c r="AN104" i="104"/>
  <c r="AF104" i="104"/>
  <c r="L104" i="104"/>
  <c r="AP104" i="104"/>
  <c r="AK104" i="104"/>
  <c r="AH104" i="104"/>
  <c r="Y104" i="104"/>
  <c r="AE104" i="104"/>
  <c r="AB104" i="104"/>
  <c r="R104" i="104"/>
  <c r="T104" i="104"/>
  <c r="P104" i="104"/>
  <c r="K104" i="104"/>
  <c r="BE104" i="104"/>
  <c r="I104" i="104"/>
  <c r="AW104" i="104"/>
  <c r="J104" i="104"/>
  <c r="AX104" i="104"/>
  <c r="AL104" i="104"/>
  <c r="AQ104" i="104"/>
  <c r="AA104" i="104"/>
  <c r="AJ104" i="104"/>
  <c r="Q104" i="104"/>
  <c r="AC104" i="104"/>
  <c r="AY104" i="104"/>
  <c r="O104" i="104"/>
  <c r="BC104" i="104"/>
  <c r="U104" i="104"/>
  <c r="M104" i="104"/>
  <c r="AV104" i="104"/>
  <c r="AO104" i="104"/>
  <c r="Z104" i="104"/>
  <c r="M23" i="104"/>
  <c r="BF106" i="104"/>
  <c r="V106" i="104"/>
  <c r="X106" i="104"/>
  <c r="AN106" i="104"/>
  <c r="AM106" i="104"/>
  <c r="AY106" i="104"/>
  <c r="AA106" i="104"/>
  <c r="AH106" i="104"/>
  <c r="AF106" i="104"/>
  <c r="BC106" i="104"/>
  <c r="AO106" i="104"/>
  <c r="Q106" i="104"/>
  <c r="AI106" i="104"/>
  <c r="M106" i="104"/>
  <c r="AB106" i="104"/>
  <c r="Y106" i="104"/>
  <c r="AR106" i="104"/>
  <c r="AD106" i="104"/>
  <c r="AV106" i="104"/>
  <c r="P106" i="104"/>
  <c r="R106" i="104"/>
  <c r="AG106" i="104"/>
  <c r="S106" i="104"/>
  <c r="AK106" i="104"/>
  <c r="AS106" i="104"/>
  <c r="J106" i="104"/>
  <c r="K106" i="104"/>
  <c r="BE106" i="104"/>
  <c r="W106" i="104"/>
  <c r="BA106" i="104"/>
  <c r="H106" i="104"/>
  <c r="Z106" i="104"/>
  <c r="AX106" i="104"/>
  <c r="L106" i="104"/>
  <c r="AP106" i="104"/>
  <c r="O106" i="104"/>
  <c r="AQ106" i="104"/>
  <c r="AE106" i="104"/>
  <c r="BD106" i="104"/>
  <c r="AJ106" i="104"/>
  <c r="T106" i="104"/>
  <c r="AC106" i="104"/>
  <c r="I106" i="104"/>
  <c r="U106" i="104"/>
  <c r="AZ106" i="104"/>
  <c r="BB106" i="104"/>
  <c r="N106" i="104"/>
  <c r="AW106" i="104"/>
  <c r="AT106" i="104"/>
  <c r="AU106" i="104"/>
  <c r="AL106" i="104"/>
  <c r="Q23" i="104"/>
  <c r="AN109" i="104"/>
  <c r="BD109" i="104"/>
  <c r="AH109" i="104"/>
  <c r="R109" i="104"/>
  <c r="AG109" i="104"/>
  <c r="S109" i="104"/>
  <c r="AA109" i="104"/>
  <c r="AB109" i="104"/>
  <c r="BE109" i="104"/>
  <c r="K109" i="104"/>
  <c r="W109" i="104"/>
  <c r="BA109" i="104"/>
  <c r="H109" i="104"/>
  <c r="Q109" i="104"/>
  <c r="V109" i="104"/>
  <c r="AX109" i="104"/>
  <c r="L109" i="104"/>
  <c r="AP109" i="104"/>
  <c r="AV109" i="104"/>
  <c r="P109" i="104"/>
  <c r="AQ109" i="104"/>
  <c r="AE109" i="104"/>
  <c r="AK109" i="104"/>
  <c r="J109" i="104"/>
  <c r="AJ109" i="104"/>
  <c r="T109" i="104"/>
  <c r="Z109" i="104"/>
  <c r="AS109" i="104"/>
  <c r="AC109" i="104"/>
  <c r="I109" i="104"/>
  <c r="O109" i="104"/>
  <c r="M109" i="104"/>
  <c r="AI109" i="104"/>
  <c r="U109" i="104"/>
  <c r="N109" i="104"/>
  <c r="BB109" i="104"/>
  <c r="AU109" i="104"/>
  <c r="X109" i="104"/>
  <c r="BF109" i="104"/>
  <c r="AM109" i="104"/>
  <c r="AY109" i="104"/>
  <c r="AZ109" i="104"/>
  <c r="AF109" i="104"/>
  <c r="BC109" i="104"/>
  <c r="AO109" i="104"/>
  <c r="AW109" i="104"/>
  <c r="AT109" i="104"/>
  <c r="AD109" i="104"/>
  <c r="AL109" i="104"/>
  <c r="AR109" i="104"/>
  <c r="Y109" i="104"/>
  <c r="P159" i="104"/>
  <c r="S159" i="104"/>
  <c r="AA159" i="104"/>
  <c r="J159" i="104"/>
  <c r="BD159" i="104"/>
  <c r="M159" i="104"/>
  <c r="AX159" i="104"/>
  <c r="AL159" i="104"/>
  <c r="BF159" i="104"/>
  <c r="AF159" i="104"/>
  <c r="AZ159" i="104"/>
  <c r="Z159" i="104"/>
  <c r="BC159" i="104"/>
  <c r="AT159" i="104"/>
  <c r="T159" i="104"/>
  <c r="AW159" i="104"/>
  <c r="AS159" i="104"/>
  <c r="AN159" i="104"/>
  <c r="N159" i="104"/>
  <c r="AQ159" i="104"/>
  <c r="AG159" i="104"/>
  <c r="AP159" i="104"/>
  <c r="AB159" i="104"/>
  <c r="AE159" i="104"/>
  <c r="I159" i="104"/>
  <c r="V159" i="104"/>
  <c r="AC159" i="104"/>
  <c r="BE159" i="104"/>
  <c r="K159" i="104"/>
  <c r="U159" i="104"/>
  <c r="AK159" i="104"/>
  <c r="AO159" i="104"/>
  <c r="BA159" i="104"/>
  <c r="Y159" i="104"/>
  <c r="W159" i="104"/>
  <c r="AI159" i="104"/>
  <c r="AH159" i="104"/>
  <c r="Q159" i="104"/>
  <c r="AV159" i="104"/>
  <c r="AJ159" i="104"/>
  <c r="AR159" i="104"/>
  <c r="R159" i="104"/>
  <c r="H159" i="104"/>
  <c r="AY159" i="104"/>
  <c r="AM159" i="104"/>
  <c r="AD159" i="104"/>
  <c r="L159" i="104"/>
  <c r="X159" i="104"/>
  <c r="BB159" i="104"/>
  <c r="AU159" i="104"/>
  <c r="O159" i="104"/>
  <c r="Z157" i="104"/>
  <c r="AQ157" i="104"/>
  <c r="AH157" i="104"/>
  <c r="U157" i="104"/>
  <c r="T157" i="104"/>
  <c r="AK157" i="104"/>
  <c r="N157" i="104"/>
  <c r="AE157" i="104"/>
  <c r="L157" i="104"/>
  <c r="AP157" i="104"/>
  <c r="S157" i="104"/>
  <c r="BB157" i="104"/>
  <c r="M157" i="104"/>
  <c r="AT157" i="104"/>
  <c r="BD157" i="104"/>
  <c r="AB157" i="104"/>
  <c r="AX157" i="104"/>
  <c r="R157" i="104"/>
  <c r="AL157" i="104"/>
  <c r="BC157" i="104"/>
  <c r="P157" i="104"/>
  <c r="AW157" i="104"/>
  <c r="AU157" i="104"/>
  <c r="Y157" i="104"/>
  <c r="AC157" i="104"/>
  <c r="BA157" i="104"/>
  <c r="AG157" i="104"/>
  <c r="BE157" i="104"/>
  <c r="V157" i="104"/>
  <c r="AS157" i="104"/>
  <c r="K157" i="104"/>
  <c r="AR157" i="104"/>
  <c r="W157" i="104"/>
  <c r="BF157" i="104"/>
  <c r="AF157" i="104"/>
  <c r="AJ157" i="104"/>
  <c r="AZ157" i="104"/>
  <c r="X157" i="104"/>
  <c r="AY157" i="104"/>
  <c r="H157" i="104"/>
  <c r="J157" i="104"/>
  <c r="AO157" i="104"/>
  <c r="AV157" i="104"/>
  <c r="Q157" i="104"/>
  <c r="AD157" i="104"/>
  <c r="AM157" i="104"/>
  <c r="AN157" i="104"/>
  <c r="AI157" i="104"/>
  <c r="AA157" i="104"/>
  <c r="I157" i="104"/>
  <c r="O157" i="104"/>
  <c r="AF89" i="104"/>
  <c r="H89" i="104"/>
  <c r="AR89" i="104"/>
  <c r="N89" i="104"/>
  <c r="AX89" i="104"/>
  <c r="T89" i="104"/>
  <c r="BD89" i="104"/>
  <c r="Z89" i="104"/>
  <c r="AL89" i="104"/>
  <c r="O89" i="104"/>
  <c r="K89" i="104"/>
  <c r="AP89" i="104"/>
  <c r="AW89" i="104"/>
  <c r="U89" i="104"/>
  <c r="J89" i="104"/>
  <c r="Q89" i="104"/>
  <c r="AV89" i="104"/>
  <c r="BC89" i="104"/>
  <c r="AA89" i="104"/>
  <c r="P89" i="104"/>
  <c r="W89" i="104"/>
  <c r="BB89" i="104"/>
  <c r="AG89" i="104"/>
  <c r="V89" i="104"/>
  <c r="AC89" i="104"/>
  <c r="AM89" i="104"/>
  <c r="AB89" i="104"/>
  <c r="AI89" i="104"/>
  <c r="AS89" i="104"/>
  <c r="AH89" i="104"/>
  <c r="AO89" i="104"/>
  <c r="AY89" i="104"/>
  <c r="AN89" i="104"/>
  <c r="AU89" i="104"/>
  <c r="M89" i="104"/>
  <c r="BE89" i="104"/>
  <c r="AT89" i="104"/>
  <c r="BA89" i="104"/>
  <c r="L89" i="104"/>
  <c r="AZ89" i="104"/>
  <c r="R89" i="104"/>
  <c r="Y89" i="104"/>
  <c r="BF89" i="104"/>
  <c r="X89" i="104"/>
  <c r="AE89" i="104"/>
  <c r="AD89" i="104"/>
  <c r="AK89" i="104"/>
  <c r="AJ89" i="104"/>
  <c r="AQ89" i="104"/>
  <c r="I89" i="104"/>
  <c r="K33" i="105"/>
  <c r="Q33" i="105"/>
  <c r="L34" i="105"/>
  <c r="S34" i="105" s="1"/>
  <c r="M33" i="105"/>
  <c r="N33" i="105" s="1"/>
  <c r="M80" i="105"/>
  <c r="N80" i="105" s="1"/>
  <c r="K80" i="105"/>
  <c r="L81" i="105"/>
  <c r="Q80" i="105"/>
  <c r="P80" i="105"/>
  <c r="BL174" i="104" l="1"/>
  <c r="BG174" i="104" a="1"/>
  <c r="BG174" i="104" s="1"/>
  <c r="BG173" i="104" a="1"/>
  <c r="BG173" i="104" s="1"/>
  <c r="K64" i="104"/>
  <c r="L65" i="104"/>
  <c r="Q64" i="104"/>
  <c r="P64" i="104"/>
  <c r="M64" i="104"/>
  <c r="N64" i="104" s="1"/>
  <c r="AH160" i="104"/>
  <c r="H160" i="104"/>
  <c r="AQ160" i="104"/>
  <c r="AB160" i="104"/>
  <c r="AK160" i="104"/>
  <c r="V160" i="104"/>
  <c r="AE160" i="104"/>
  <c r="AY160" i="104"/>
  <c r="AC160" i="104"/>
  <c r="AO160" i="104"/>
  <c r="P160" i="104"/>
  <c r="J160" i="104"/>
  <c r="BD160" i="104"/>
  <c r="S160" i="104"/>
  <c r="AA160" i="104"/>
  <c r="AX160" i="104"/>
  <c r="M160" i="104"/>
  <c r="O160" i="104"/>
  <c r="AR160" i="104"/>
  <c r="AL160" i="104"/>
  <c r="BF160" i="104"/>
  <c r="AF160" i="104"/>
  <c r="U160" i="104"/>
  <c r="AI160" i="104"/>
  <c r="AT160" i="104"/>
  <c r="T160" i="104"/>
  <c r="BC160" i="104"/>
  <c r="AN160" i="104"/>
  <c r="AM160" i="104"/>
  <c r="AD160" i="104"/>
  <c r="AW160" i="104"/>
  <c r="BA160" i="104"/>
  <c r="Y160" i="104"/>
  <c r="W160" i="104"/>
  <c r="Q160" i="104"/>
  <c r="AZ160" i="104"/>
  <c r="AV160" i="104"/>
  <c r="BE160" i="104"/>
  <c r="AJ160" i="104"/>
  <c r="Z160" i="104"/>
  <c r="AS160" i="104"/>
  <c r="N160" i="104"/>
  <c r="AG160" i="104"/>
  <c r="R160" i="104"/>
  <c r="I160" i="104"/>
  <c r="AU160" i="104"/>
  <c r="AP160" i="104"/>
  <c r="L160" i="104"/>
  <c r="K160" i="104"/>
  <c r="X160" i="104"/>
  <c r="BB160" i="104"/>
  <c r="Q90" i="104"/>
  <c r="BA90" i="104"/>
  <c r="AC90" i="104"/>
  <c r="AI90" i="104"/>
  <c r="AO90" i="104"/>
  <c r="K90" i="104"/>
  <c r="AU90" i="104"/>
  <c r="W90" i="104"/>
  <c r="AJ90" i="104"/>
  <c r="Y90" i="104"/>
  <c r="AP90" i="104"/>
  <c r="AE90" i="104"/>
  <c r="AV90" i="104"/>
  <c r="AK90" i="104"/>
  <c r="J90" i="104"/>
  <c r="BB90" i="104"/>
  <c r="AQ90" i="104"/>
  <c r="I90" i="104"/>
  <c r="P90" i="104"/>
  <c r="AW90" i="104"/>
  <c r="O90" i="104"/>
  <c r="V90" i="104"/>
  <c r="BC90" i="104"/>
  <c r="U90" i="104"/>
  <c r="AB90" i="104"/>
  <c r="AA90" i="104"/>
  <c r="AH90" i="104"/>
  <c r="N90" i="104"/>
  <c r="AG90" i="104"/>
  <c r="AN90" i="104"/>
  <c r="L90" i="104"/>
  <c r="H90" i="104"/>
  <c r="Z90" i="104"/>
  <c r="AM90" i="104"/>
  <c r="AT90" i="104"/>
  <c r="R90" i="104"/>
  <c r="T90" i="104"/>
  <c r="AL90" i="104"/>
  <c r="AS90" i="104"/>
  <c r="AZ90" i="104"/>
  <c r="X90" i="104"/>
  <c r="M90" i="104"/>
  <c r="AF90" i="104"/>
  <c r="AR90" i="104"/>
  <c r="AY90" i="104"/>
  <c r="BF90" i="104"/>
  <c r="BE90" i="104"/>
  <c r="S90" i="104"/>
  <c r="AD90" i="104"/>
  <c r="AX90" i="104"/>
  <c r="BD90" i="104"/>
  <c r="AQ94" i="104"/>
  <c r="BF94" i="104"/>
  <c r="AA94" i="104"/>
  <c r="N94" i="104"/>
  <c r="AC94" i="104"/>
  <c r="AY94" i="104"/>
  <c r="AV94" i="104"/>
  <c r="AT94" i="104"/>
  <c r="AF94" i="104"/>
  <c r="AJ94" i="104"/>
  <c r="AS94" i="104"/>
  <c r="AO94" i="104"/>
  <c r="AU94" i="104"/>
  <c r="AX94" i="104"/>
  <c r="AM94" i="104"/>
  <c r="AH94" i="104"/>
  <c r="AG94" i="104"/>
  <c r="BD94" i="104"/>
  <c r="Z94" i="104"/>
  <c r="U94" i="104"/>
  <c r="AZ94" i="104"/>
  <c r="AW94" i="104"/>
  <c r="S94" i="104"/>
  <c r="O94" i="104"/>
  <c r="AR94" i="104"/>
  <c r="AP94" i="104"/>
  <c r="L94" i="104"/>
  <c r="K94" i="104"/>
  <c r="I94" i="104"/>
  <c r="AK94" i="104"/>
  <c r="AI94" i="104"/>
  <c r="J94" i="104"/>
  <c r="Y94" i="104"/>
  <c r="AD94" i="104"/>
  <c r="AB94" i="104"/>
  <c r="X94" i="104"/>
  <c r="AN94" i="104"/>
  <c r="W94" i="104"/>
  <c r="T94" i="104"/>
  <c r="AL94" i="104"/>
  <c r="BB94" i="104"/>
  <c r="P94" i="104"/>
  <c r="M94" i="104"/>
  <c r="BA94" i="104"/>
  <c r="H94" i="104"/>
  <c r="Q94" i="104"/>
  <c r="R94" i="104"/>
  <c r="V94" i="104"/>
  <c r="AE94" i="104"/>
  <c r="BC94" i="104"/>
  <c r="BE94" i="104"/>
  <c r="Q34" i="105"/>
  <c r="M34" i="105"/>
  <c r="N34" i="105" s="1"/>
  <c r="K34" i="105"/>
  <c r="L35" i="105"/>
  <c r="S35" i="105" s="1"/>
  <c r="N23" i="104"/>
  <c r="AI107" i="104"/>
  <c r="AN107" i="104"/>
  <c r="AF107" i="104"/>
  <c r="L107" i="104"/>
  <c r="AP107" i="104"/>
  <c r="Z107" i="104"/>
  <c r="Y107" i="104"/>
  <c r="AE107" i="104"/>
  <c r="O107" i="104"/>
  <c r="BF107" i="104"/>
  <c r="R107" i="104"/>
  <c r="T107" i="104"/>
  <c r="AS107" i="104"/>
  <c r="X107" i="104"/>
  <c r="AZ107" i="104"/>
  <c r="BE107" i="104"/>
  <c r="K107" i="104"/>
  <c r="I107" i="104"/>
  <c r="M107" i="104"/>
  <c r="AT107" i="104"/>
  <c r="AX107" i="104"/>
  <c r="BD107" i="104"/>
  <c r="AH107" i="104"/>
  <c r="AQ107" i="104"/>
  <c r="AB107" i="104"/>
  <c r="AJ107" i="104"/>
  <c r="AW107" i="104"/>
  <c r="V107" i="104"/>
  <c r="AC107" i="104"/>
  <c r="AY107" i="104"/>
  <c r="AL107" i="104"/>
  <c r="P107" i="104"/>
  <c r="U107" i="104"/>
  <c r="BC107" i="104"/>
  <c r="AO107" i="104"/>
  <c r="AA107" i="104"/>
  <c r="J107" i="104"/>
  <c r="N107" i="104"/>
  <c r="BB107" i="104"/>
  <c r="AR107" i="104"/>
  <c r="AD107" i="104"/>
  <c r="Q107" i="104"/>
  <c r="AU107" i="104"/>
  <c r="AG107" i="104"/>
  <c r="S107" i="104"/>
  <c r="AV107" i="104"/>
  <c r="W107" i="104"/>
  <c r="AM107" i="104"/>
  <c r="AK107" i="104"/>
  <c r="H107" i="104"/>
  <c r="BA107" i="104"/>
  <c r="AQ93" i="104"/>
  <c r="AE93" i="104"/>
  <c r="BE93" i="104"/>
  <c r="I93" i="104"/>
  <c r="AP93" i="104"/>
  <c r="T93" i="104"/>
  <c r="R93" i="104"/>
  <c r="AY93" i="104"/>
  <c r="AO93" i="104"/>
  <c r="K93" i="104"/>
  <c r="L93" i="104"/>
  <c r="AR93" i="104"/>
  <c r="Q93" i="104"/>
  <c r="AK93" i="104"/>
  <c r="P93" i="104"/>
  <c r="AB93" i="104"/>
  <c r="AC93" i="104"/>
  <c r="AA93" i="104"/>
  <c r="AM93" i="104"/>
  <c r="V93" i="104"/>
  <c r="AL93" i="104"/>
  <c r="BA93" i="104"/>
  <c r="O93" i="104"/>
  <c r="AZ93" i="104"/>
  <c r="H93" i="104"/>
  <c r="BC93" i="104"/>
  <c r="J93" i="104"/>
  <c r="BB93" i="104"/>
  <c r="AU93" i="104"/>
  <c r="U93" i="104"/>
  <c r="M93" i="104"/>
  <c r="N93" i="104"/>
  <c r="AV93" i="104"/>
  <c r="AN93" i="104"/>
  <c r="AF93" i="104"/>
  <c r="W93" i="104"/>
  <c r="Y93" i="104"/>
  <c r="AJ93" i="104"/>
  <c r="AG93" i="104"/>
  <c r="AS93" i="104"/>
  <c r="AH93" i="104"/>
  <c r="AI93" i="104"/>
  <c r="AD93" i="104"/>
  <c r="BD93" i="104"/>
  <c r="Z93" i="104"/>
  <c r="AT93" i="104"/>
  <c r="AX93" i="104"/>
  <c r="AW93" i="104"/>
  <c r="S93" i="104"/>
  <c r="BF93" i="104"/>
  <c r="X93" i="104"/>
  <c r="AU88" i="104"/>
  <c r="K88" i="104"/>
  <c r="AC88" i="104"/>
  <c r="AI88" i="104"/>
  <c r="AO88" i="104"/>
  <c r="Q88" i="104"/>
  <c r="BA88" i="104"/>
  <c r="W88" i="104"/>
  <c r="BC88" i="104"/>
  <c r="U88" i="104"/>
  <c r="AB88" i="104"/>
  <c r="AA88" i="104"/>
  <c r="AH88" i="104"/>
  <c r="AG88" i="104"/>
  <c r="AN88" i="104"/>
  <c r="L88" i="104"/>
  <c r="H88" i="104"/>
  <c r="AM88" i="104"/>
  <c r="AT88" i="104"/>
  <c r="R88" i="104"/>
  <c r="N88" i="104"/>
  <c r="AS88" i="104"/>
  <c r="AZ88" i="104"/>
  <c r="X88" i="104"/>
  <c r="M88" i="104"/>
  <c r="T88" i="104"/>
  <c r="AY88" i="104"/>
  <c r="BF88" i="104"/>
  <c r="AD88" i="104"/>
  <c r="S88" i="104"/>
  <c r="Z88" i="104"/>
  <c r="BE88" i="104"/>
  <c r="AJ88" i="104"/>
  <c r="Y88" i="104"/>
  <c r="AF88" i="104"/>
  <c r="AP88" i="104"/>
  <c r="AE88" i="104"/>
  <c r="AL88" i="104"/>
  <c r="AV88" i="104"/>
  <c r="AK88" i="104"/>
  <c r="AR88" i="104"/>
  <c r="J88" i="104"/>
  <c r="BB88" i="104"/>
  <c r="AQ88" i="104"/>
  <c r="AX88" i="104"/>
  <c r="I88" i="104"/>
  <c r="P88" i="104"/>
  <c r="V88" i="104"/>
  <c r="AW88" i="104"/>
  <c r="BD88" i="104"/>
  <c r="O88" i="104"/>
  <c r="Q81" i="105"/>
  <c r="M81" i="105"/>
  <c r="N81" i="105" s="1"/>
  <c r="P81" i="105"/>
  <c r="K81" i="105"/>
  <c r="M65" i="104" l="1"/>
  <c r="N65" i="104" s="1"/>
  <c r="K65" i="104"/>
  <c r="Q65" i="104"/>
  <c r="P65" i="104"/>
  <c r="AL91" i="104"/>
  <c r="H91" i="104"/>
  <c r="AR91" i="104"/>
  <c r="N91" i="104"/>
  <c r="AY91" i="104"/>
  <c r="T91" i="104"/>
  <c r="Z91" i="104"/>
  <c r="AF91" i="104"/>
  <c r="AU91" i="104"/>
  <c r="K91" i="104"/>
  <c r="Q91" i="104"/>
  <c r="L91" i="104"/>
  <c r="S91" i="104"/>
  <c r="BB91" i="104"/>
  <c r="W91" i="104"/>
  <c r="AC91" i="104"/>
  <c r="R91" i="104"/>
  <c r="Y91" i="104"/>
  <c r="AI91" i="104"/>
  <c r="AO91" i="104"/>
  <c r="X91" i="104"/>
  <c r="AE91" i="104"/>
  <c r="AV91" i="104"/>
  <c r="AD91" i="104"/>
  <c r="AK91" i="104"/>
  <c r="I91" i="104"/>
  <c r="BC91" i="104"/>
  <c r="AJ91" i="104"/>
  <c r="AQ91" i="104"/>
  <c r="O91" i="104"/>
  <c r="AP91" i="104"/>
  <c r="AX91" i="104"/>
  <c r="U91" i="104"/>
  <c r="J91" i="104"/>
  <c r="AW91" i="104"/>
  <c r="BE91" i="104"/>
  <c r="AA91" i="104"/>
  <c r="P91" i="104"/>
  <c r="BD91" i="104"/>
  <c r="AG91" i="104"/>
  <c r="V91" i="104"/>
  <c r="BF91" i="104"/>
  <c r="AM91" i="104"/>
  <c r="AB91" i="104"/>
  <c r="AZ91" i="104"/>
  <c r="AS91" i="104"/>
  <c r="AH91" i="104"/>
  <c r="AT91" i="104"/>
  <c r="M91" i="104"/>
  <c r="AN91" i="104"/>
  <c r="BA91" i="104"/>
  <c r="Q35" i="105"/>
  <c r="M35" i="105"/>
  <c r="N35" i="105" s="1"/>
  <c r="K35" i="105"/>
</calcChain>
</file>

<file path=xl/sharedStrings.xml><?xml version="1.0" encoding="utf-8"?>
<sst xmlns="http://schemas.openxmlformats.org/spreadsheetml/2006/main" count="44691" uniqueCount="7779">
  <si>
    <t>Высота</t>
  </si>
  <si>
    <t>Ширина</t>
  </si>
  <si>
    <t>Длина</t>
  </si>
  <si>
    <t>.</t>
  </si>
  <si>
    <t>Прайс-лист на отопительное оборудование Vitron</t>
  </si>
  <si>
    <t xml:space="preserve">Высота </t>
  </si>
  <si>
    <t>Автоматика</t>
  </si>
  <si>
    <t>Арматура и регулировка</t>
  </si>
  <si>
    <t>Артикул конвектора</t>
  </si>
  <si>
    <t>Вернуться на главную страницу</t>
  </si>
  <si>
    <t>ВКВ.</t>
  </si>
  <si>
    <t>Аксессуары для электрического подключения конвекторов VITRON</t>
  </si>
  <si>
    <t>Комплект реле РК1-Р (3 шт.)</t>
  </si>
  <si>
    <t>Артикул (шифр конвектора)</t>
  </si>
  <si>
    <t>700-1250</t>
  </si>
  <si>
    <t>Для ВК</t>
  </si>
  <si>
    <t>1251-3000</t>
  </si>
  <si>
    <t>Для ВКВ</t>
  </si>
  <si>
    <t>Длина, мм</t>
  </si>
  <si>
    <t>Коэффициент</t>
  </si>
  <si>
    <t>Радиусное Исполнение</t>
  </si>
  <si>
    <t>Артикул</t>
  </si>
  <si>
    <t>ВТ.50.100.2ТГ.ХХХ</t>
  </si>
  <si>
    <t>Высота, мм</t>
  </si>
  <si>
    <t>Ширина, мм</t>
  </si>
  <si>
    <t>Количество труб, шт</t>
  </si>
  <si>
    <t>Оребрение, мм</t>
  </si>
  <si>
    <t>Теплообменники</t>
  </si>
  <si>
    <t>Вентиляторы</t>
  </si>
  <si>
    <t>Напряжение, В.</t>
  </si>
  <si>
    <t xml:space="preserve">Цена, руб </t>
  </si>
  <si>
    <t>360+</t>
  </si>
  <si>
    <t>200-359</t>
  </si>
  <si>
    <t>ВТ.100.200.8ТП.ХХХ</t>
  </si>
  <si>
    <t>ВТ.100.300.12ТП.ХХХ</t>
  </si>
  <si>
    <t>ВК.</t>
  </si>
  <si>
    <t>Надбавка, %</t>
  </si>
  <si>
    <t>Исполнение конвектора в цветах по палитре Ral</t>
  </si>
  <si>
    <t>Комментарий: радиусное исполнение необходимо согласовывать, коэффициент для ориентации.</t>
  </si>
  <si>
    <t>Исполнение под приточную вентиляцию</t>
  </si>
  <si>
    <t>Приток с торца</t>
  </si>
  <si>
    <t>Тип</t>
  </si>
  <si>
    <t>Прямоугольная</t>
  </si>
  <si>
    <t>Полукруглая</t>
  </si>
  <si>
    <t>Исполнение с выемкой под колонну</t>
  </si>
  <si>
    <t>ТГ</t>
  </si>
  <si>
    <t>ТК</t>
  </si>
  <si>
    <t>ТП</t>
  </si>
  <si>
    <t>Ширина конвектора 300 мм</t>
  </si>
  <si>
    <t>Ширина конвектора 360 мм</t>
  </si>
  <si>
    <t>Ширина конвектора 260 мм</t>
  </si>
  <si>
    <t>Ширина конвектора 200 мм</t>
  </si>
  <si>
    <t>ВКВТХ.</t>
  </si>
  <si>
    <t>ВТ.100.100.4ТК(4ТГ).ХХХ</t>
  </si>
  <si>
    <t>100 (50)</t>
  </si>
  <si>
    <t>100 (200)</t>
  </si>
  <si>
    <t>ВТ.100.150.6ТП(6ТГ).ХХХ</t>
  </si>
  <si>
    <t>150 (300)</t>
  </si>
  <si>
    <t>Цена с НДС, руб.</t>
  </si>
  <si>
    <t>На все специсполнения распространяется дилерская скидка</t>
  </si>
  <si>
    <t>Теплообменник</t>
  </si>
  <si>
    <t>Исполнение под отвод конденсата</t>
  </si>
  <si>
    <t>Название</t>
  </si>
  <si>
    <t>Ножка для ВТ Глухая</t>
  </si>
  <si>
    <t>Комментарий: Исполнение под отвод конденсата рекомендуется изготавливать только с коробом из нержавеющей стали</t>
  </si>
  <si>
    <t>Конвекторы встраиваемые в пол тепло-холод</t>
  </si>
  <si>
    <t>Сайт: Vitron.ru</t>
  </si>
  <si>
    <t>Ширина конвектора 400 мм</t>
  </si>
  <si>
    <t>ВКВП.</t>
  </si>
  <si>
    <t>Исполнение данной ширины возможно только под окантовку</t>
  </si>
  <si>
    <t>Исполнение данной ширины возможно только под рамку</t>
  </si>
  <si>
    <t xml:space="preserve"> Стоимость Решетки и рамки в составе конвектора</t>
  </si>
  <si>
    <t>Минимальная высота конвектора - 80мм.</t>
  </si>
  <si>
    <t>Для конвектора из Оцинковки</t>
  </si>
  <si>
    <t>Для конвектора из Нержавейки</t>
  </si>
  <si>
    <t>Для решетки и рамки</t>
  </si>
  <si>
    <t>Вид покраски</t>
  </si>
  <si>
    <t>Только решетка и рамка</t>
  </si>
  <si>
    <t>Конвектор с естественной конвекцией полностью с теплообменником и коробом</t>
  </si>
  <si>
    <t>Конвектор с принудительной конвекцией полностью с теплообменником и коробом</t>
  </si>
  <si>
    <t>0509.2018</t>
  </si>
  <si>
    <t>Термостат W-therm TVB 2AC</t>
  </si>
  <si>
    <t>Термостат W-therm TVW 2AC</t>
  </si>
  <si>
    <t>Прямое соединение</t>
  </si>
  <si>
    <t>Угловое соединение</t>
  </si>
  <si>
    <t xml:space="preserve">Прямое соединение делается без наценки </t>
  </si>
  <si>
    <t>Угловое соединение делается с наценкой</t>
  </si>
  <si>
    <t>Надбавка на решетку и рамку, %</t>
  </si>
  <si>
    <t xml:space="preserve">Исполнение решетки на пружине </t>
  </si>
  <si>
    <t>Изготовление решетки на пружине шагом 10мм</t>
  </si>
  <si>
    <t>Изготовление решетки на пружине шагом 18мм</t>
  </si>
  <si>
    <t>"+15% к стоимости решетки и рамки."</t>
  </si>
  <si>
    <t>"-10% к стоимости решетки и рамки."</t>
  </si>
  <si>
    <t>Исполнение решетки Декорированной под дуб</t>
  </si>
  <si>
    <t xml:space="preserve">Вес изделия вместе с упаковкой, кг. </t>
  </si>
  <si>
    <t>Исполнение с прямым срезом выполняется тогда, когда нужно продолжить конвектор до стены, расположенной под углом.</t>
  </si>
  <si>
    <t>Теплоотдача при (95/85/20), Вт</t>
  </si>
  <si>
    <t>Размеры, мм и вес, кг</t>
  </si>
  <si>
    <t>Посезонная вкладка</t>
  </si>
  <si>
    <t>С высоты 150мм - ⌀100мм.</t>
  </si>
  <si>
    <t>Условное обозначение конвекторов Vitron</t>
  </si>
  <si>
    <t>90.</t>
  </si>
  <si>
    <t>260.</t>
  </si>
  <si>
    <t>3000.</t>
  </si>
  <si>
    <t>2ТГ.</t>
  </si>
  <si>
    <t>220.</t>
  </si>
  <si>
    <t>РПР.</t>
  </si>
  <si>
    <t>ААС.</t>
  </si>
  <si>
    <t>1. Наименование модели:</t>
  </si>
  <si>
    <t>• ВК – Витрон конвектор без вентилятора;</t>
  </si>
  <si>
    <t>• ВКВ – Витрон конвектор с вентилятором.</t>
  </si>
  <si>
    <t xml:space="preserve">• Нерж – корпус из нержавеющей стали AISI304 </t>
  </si>
  <si>
    <t xml:space="preserve">• Без обозначения (стандартное исполнение) </t>
  </si>
  <si>
    <t>3. Высота модели, мм (выбирается из ряда):</t>
  </si>
  <si>
    <t>4. Ширина модели, мм (выбирается из ряда):</t>
  </si>
  <si>
    <t>• 160, 200, 260, 300, 360, 400.</t>
  </si>
  <si>
    <t>5. Длина модели, мм:</t>
  </si>
  <si>
    <t>• в диапазоне 600…3000.</t>
  </si>
  <si>
    <t>6. Количество труб (2, 4, 6, 8 …Т) теплообменника и исполнение:</t>
  </si>
  <si>
    <r>
      <t xml:space="preserve">• </t>
    </r>
    <r>
      <rPr>
        <sz val="7"/>
        <color theme="1"/>
        <rFont val="Times New Roman"/>
        <family val="1"/>
        <charset val="204"/>
      </rPr>
      <t xml:space="preserve"> </t>
    </r>
    <r>
      <rPr>
        <sz val="14"/>
        <color theme="1"/>
        <rFont val="Times New Roman"/>
        <family val="1"/>
        <charset val="204"/>
      </rPr>
      <t>Г – горизонтальный;</t>
    </r>
  </si>
  <si>
    <t xml:space="preserve">• В – вертикальный; </t>
  </si>
  <si>
    <t xml:space="preserve">• К – квадратный; </t>
  </si>
  <si>
    <t xml:space="preserve">• П – прямоугольный; </t>
  </si>
  <si>
    <t>7. Напряжение вентилятора, В:</t>
  </si>
  <si>
    <t>• БВ - без вентилятора (либо без обозначения для ВК).</t>
  </si>
  <si>
    <t>8. Исполнение решетки конвектора:</t>
  </si>
  <si>
    <t>• РР – решетка на пружине с рамкой;</t>
  </si>
  <si>
    <r>
      <t>•</t>
    </r>
    <r>
      <rPr>
        <sz val="7"/>
        <color theme="1"/>
        <rFont val="Times New Roman"/>
        <family val="1"/>
        <charset val="204"/>
      </rPr>
      <t xml:space="preserve"> </t>
    </r>
    <r>
      <rPr>
        <sz val="14"/>
        <color theme="1"/>
        <rFont val="Times New Roman"/>
        <family val="1"/>
        <charset val="204"/>
      </rPr>
      <t>РО – решетка на пружине с окантовкой;</t>
    </r>
  </si>
  <si>
    <t>• РF – решетка на пружине F-образной окантовкой;</t>
  </si>
  <si>
    <t>• РZ – решетка на пружине с Z-рамкой;</t>
  </si>
  <si>
    <t>9. Материал, покрытие и цвет решетки:</t>
  </si>
  <si>
    <t>• А – алюминий, Д – дерево (дуб);</t>
  </si>
  <si>
    <t>• А – анодировка; П – порошковая покраска;</t>
  </si>
  <si>
    <t>Теплообменник 50х100мм</t>
  </si>
  <si>
    <t>Теплообменник 50х100 мм</t>
  </si>
  <si>
    <t>Теплообменник 50х200 мм</t>
  </si>
  <si>
    <t>Теплообменник 50х300 мм</t>
  </si>
  <si>
    <t>Теплообменник 40х100 мм</t>
  </si>
  <si>
    <t>Теплообменник 40х200 мм</t>
  </si>
  <si>
    <t>Теплообменник 100х100 мм</t>
  </si>
  <si>
    <t>Теплообменник 100х200 мм</t>
  </si>
  <si>
    <t>Приточные патрубки доступны с высоты конвектора 90мм - ⌀50мм.</t>
  </si>
  <si>
    <t>С высоты 200мм - ⌀150мм.</t>
  </si>
  <si>
    <t>• AISI –  решетка из нержавеющей стали.</t>
  </si>
  <si>
    <t>ВКВМ.</t>
  </si>
  <si>
    <t>Специсполнения (углы, продольные решетки)</t>
  </si>
  <si>
    <t>Конвектор встраиваемый под мебель</t>
  </si>
  <si>
    <t>Конвектор встраиваемый в подоконник</t>
  </si>
  <si>
    <t>Конвекторы встраиваемые в пол без вентиляторов (естественная конвекция):</t>
  </si>
  <si>
    <t>Общее описание, особенности конструкции, комплектация</t>
  </si>
  <si>
    <t>Комментарий: краска имеет состав: 80% матовости, 20% глянца. Все иные виды красок - по запросу.</t>
  </si>
  <si>
    <t xml:space="preserve"> Стоимость Решетки и окантовки в составе конвектора</t>
  </si>
  <si>
    <t>• С – серебро, Б – бронза, З – золото, Ч – черный, RAL0000 – цвет по палитре RAL;</t>
  </si>
  <si>
    <t>* -Решетка  из нержавейки не изготавливается в спец. исполнениях (угловые, со срезами, с вырезами).</t>
  </si>
  <si>
    <t>Термостат W-therm TVB-WIFI</t>
  </si>
  <si>
    <t>Термостат W-therm TVW-WIFI</t>
  </si>
  <si>
    <t>Термостат W-therm-1(black)</t>
  </si>
  <si>
    <t>160-359</t>
  </si>
  <si>
    <t>• 24 – напряжение 24 В, постоянный ток (DC);</t>
  </si>
  <si>
    <t>24 Вольт DC</t>
  </si>
  <si>
    <t>Аксессуары для вентиляторов</t>
  </si>
  <si>
    <t>Цена, руб. с НДС</t>
  </si>
  <si>
    <t>Наименование</t>
  </si>
  <si>
    <t>Изображение/описание</t>
  </si>
  <si>
    <t>Ширина конвектора 160 мм</t>
  </si>
  <si>
    <t>Конвектор с корпусом из оцинкованной стали (ОЦ 1мм), крашеный в черный цвет, без решетки и окантовки.</t>
  </si>
  <si>
    <t>Конвектор с корпусом из нержавеющей стали (AISI 0,8мм), без решетки и окантовки.</t>
  </si>
  <si>
    <t>Конвектор с корпусом из оцинкованной стали (ОЦ 1мм), крашеный в черный цвет, с алюминиевой решеткой и окантовкой.</t>
  </si>
  <si>
    <t>Конвектор с корпусом из нержавеющей стали (AISI 0,8мм), с алюминиевой решеткой и окантовкой.</t>
  </si>
  <si>
    <t xml:space="preserve">Цена руб. с НДС </t>
  </si>
  <si>
    <t>Конвектор с корпусом из оцинкованной стали (ОЦ 1мм), крашеный в черный цвет, без решетки и рамки.</t>
  </si>
  <si>
    <t xml:space="preserve"> Стоимость Решетки и рамки в составе конвектора.</t>
  </si>
  <si>
    <t>Конвектор с вентилятором, с корпусом из оцинкованной стали (ОЦ 1мм), крашеный в черный цвет, без решетки и окантовки.</t>
  </si>
  <si>
    <t>Конвектор с вентилятором, с корпусом из оцинкованной стали (ОЦ 1мм), крашеный в черный цвет, без решетки и рамки.</t>
  </si>
  <si>
    <t>Конвектор с вентилятором, с корпусом из нержавеющей стали(AISI 0,8мм), без решетки и рамки.</t>
  </si>
  <si>
    <t>Конвектор из нержавеющей стали (AISI 304 0,8мм) без решетки и рамки.</t>
  </si>
  <si>
    <t>Конвектор из нержавеющей стали (AISI 304 0,8мм)  с решеткой и окантовкой из нержавеющей стали (AISI).</t>
  </si>
  <si>
    <t>Холодо- производи-тельность, (7/12/27) Вт</t>
  </si>
  <si>
    <t>Конвектор встраиваемый в подоконник с решеткой без дубовой доски.</t>
  </si>
  <si>
    <t>Конвектор встраиваемый в мебель с решеткой.</t>
  </si>
  <si>
    <t>Теплообменник 100х150 мм</t>
  </si>
  <si>
    <t>Термостат W-therm-1(white)</t>
  </si>
  <si>
    <t>Исполнение с прямым срезом</t>
  </si>
  <si>
    <t>Конвектор с вентилятором, с корпусом из нержавеющей стали (AISI 0,8мм), без решетки и окантовки.</t>
  </si>
  <si>
    <t>ВКВТХ</t>
  </si>
  <si>
    <t>ТО</t>
  </si>
  <si>
    <t>ВК.55 мм</t>
  </si>
  <si>
    <t>ВК.65 мм</t>
  </si>
  <si>
    <t>ВК.70 мм</t>
  </si>
  <si>
    <t>ВК.75 мм</t>
  </si>
  <si>
    <t>ВК.80 мм</t>
  </si>
  <si>
    <t>ВК.110 мм</t>
  </si>
  <si>
    <t>ВК.150 мм</t>
  </si>
  <si>
    <t>ВК.200 мм</t>
  </si>
  <si>
    <t>ВК.300 мм</t>
  </si>
  <si>
    <t>ВК.400 мм</t>
  </si>
  <si>
    <t>ВК.500 мм</t>
  </si>
  <si>
    <t>ВК.600 мм</t>
  </si>
  <si>
    <t>ВКВ.65 мм</t>
  </si>
  <si>
    <t>ВКВ.70 мм</t>
  </si>
  <si>
    <t>ВКВ.110 мм</t>
  </si>
  <si>
    <t>ВКВ.150 мм</t>
  </si>
  <si>
    <t>ВКВ.75 мм</t>
  </si>
  <si>
    <t>Конвекторы встраиваемые в пол с вентиляторами 24В DC (принудительная конвекция):</t>
  </si>
  <si>
    <t>ВК.90 мм</t>
  </si>
  <si>
    <t>ВКВ.90 мм</t>
  </si>
  <si>
    <t>2. Обозначение:</t>
  </si>
  <si>
    <t>• Без обозначения (стандартное исполнение)  - труба ø15 мм</t>
  </si>
  <si>
    <t>НЕРЖ.</t>
  </si>
  <si>
    <t>Калькулятор для подбора внутрипольного конвектора VITRON.</t>
  </si>
  <si>
    <t>Коэффициенты</t>
  </si>
  <si>
    <t>Длина конвектора - Длина оребрения мм</t>
  </si>
  <si>
    <t>Температура на входе, ˚С</t>
  </si>
  <si>
    <t>Температура на выходе, ˚С</t>
  </si>
  <si>
    <t>Температура в помещении, ˚С</t>
  </si>
  <si>
    <t>∆Т</t>
  </si>
  <si>
    <t xml:space="preserve">Требуемая мощность ВТ </t>
  </si>
  <si>
    <t>Погрешность + %</t>
  </si>
  <si>
    <t>Погрешность - %</t>
  </si>
  <si>
    <t>15 труба</t>
  </si>
  <si>
    <t>Тепловая мощность, Вт/м</t>
  </si>
  <si>
    <t>Коэффициент n</t>
  </si>
  <si>
    <t>22 труба</t>
  </si>
  <si>
    <t>*-голубым выделены ячейки для изменения параметров</t>
  </si>
  <si>
    <t>Обозначение</t>
  </si>
  <si>
    <t>ВК.055.160.ХХХ.2ТГ</t>
  </si>
  <si>
    <t>ВК</t>
  </si>
  <si>
    <t>2ТГ</t>
  </si>
  <si>
    <t>ВК.055.200.ХХХ.2ТГ</t>
  </si>
  <si>
    <t>ВК.055.260.ХХХ.2ТГ</t>
  </si>
  <si>
    <t>ВК.055.300.ХХХ.2ТГ</t>
  </si>
  <si>
    <t>ВК.055.300.ХХХ.4ТГ</t>
  </si>
  <si>
    <t>4ТГ</t>
  </si>
  <si>
    <t>ВК.055.360.ХХХ.4ТГ</t>
  </si>
  <si>
    <t>ВК.055.400.ХХХ.4ТГ</t>
  </si>
  <si>
    <t>ВК.055.400.ХХХ.6ТГ</t>
  </si>
  <si>
    <t>ВК.065.160.ХХХ.2ТГ</t>
  </si>
  <si>
    <t>ВК.065.200.ХХХ.2ТГ</t>
  </si>
  <si>
    <t>ВК.065.260.ХХХ.2ТГ</t>
  </si>
  <si>
    <t>ВК.065.300.ХХХ.2ТГ</t>
  </si>
  <si>
    <t>ВК.065.300.ХХХ.4ТГ</t>
  </si>
  <si>
    <t>ВК.065.360.ХХХ.4ТГ</t>
  </si>
  <si>
    <t>ВК.065.400.ХХХ.4ТГ</t>
  </si>
  <si>
    <t>ВК.065.400.ХХХ.6ТГ</t>
  </si>
  <si>
    <t>ВК.070.160.ХХХ.2ТГ</t>
  </si>
  <si>
    <t>ВК.070.200.ХХХ.2ТГ</t>
  </si>
  <si>
    <t>ВК.070.260.ХХХ.2ТГ</t>
  </si>
  <si>
    <t>ВК.070.300.ХХХ.2ТГ</t>
  </si>
  <si>
    <t>ВК.070.300.ХХХ.4ТГ</t>
  </si>
  <si>
    <t>ВК.070.360.ХХХ.4ТГ</t>
  </si>
  <si>
    <t>ВК.070.400.ХХХ.4ТГ</t>
  </si>
  <si>
    <t>ВК.070.400.ХХХ.6ТГ</t>
  </si>
  <si>
    <t>6ТГ</t>
  </si>
  <si>
    <t>ВК.075.160.ХХХ.2ТГ</t>
  </si>
  <si>
    <t>ВК.075.200.ХХХ.2ТГ</t>
  </si>
  <si>
    <t>ВК.075.260.ХХХ.2ТГ</t>
  </si>
  <si>
    <t>ВК.075.300.ХХХ.2ТГ</t>
  </si>
  <si>
    <t>ВК.075.300.ХХХ.4ТГ</t>
  </si>
  <si>
    <t>ВК.075.360.ХХХ.4ТГ</t>
  </si>
  <si>
    <t>ВК.075.400.ХХХ.4ТГ</t>
  </si>
  <si>
    <t>ВК.075.400.ХХХ.6ТГ</t>
  </si>
  <si>
    <t>ВК.080.160.ХХХ.2ТГ</t>
  </si>
  <si>
    <t>ВК.080.200.ХХХ.2ТГ</t>
  </si>
  <si>
    <t>ВК.080.260.ХХХ.2ТГ</t>
  </si>
  <si>
    <t>ВК.080.300.ХХХ.2ТГ</t>
  </si>
  <si>
    <t>ВК.080.300.ХХХ.4ТГ</t>
  </si>
  <si>
    <t>ВК.080.360.ХХХ.4ТГ</t>
  </si>
  <si>
    <t>ВК.080.400.ХХХ.4ТГ</t>
  </si>
  <si>
    <t>ВК.080.400.ХХХ.6ТГ</t>
  </si>
  <si>
    <t>ВК.090.160.ХХХ.2ТГ</t>
  </si>
  <si>
    <t>ВК.090.200.ХХХ.2ТГ</t>
  </si>
  <si>
    <t>ВК.090.260.ХХХ.2ТГ</t>
  </si>
  <si>
    <t>ВК.090.300.ХХХ.2ТГ</t>
  </si>
  <si>
    <t>ВК.090.300.ХХХ.4ТГ</t>
  </si>
  <si>
    <t>ВК.090.360.ХХХ.4ТГ</t>
  </si>
  <si>
    <t>ВК.090.400.ХХХ.4ТГ</t>
  </si>
  <si>
    <t>ВК.090.400.ХХХ.6ТГ</t>
  </si>
  <si>
    <t>ВК.110.160.ХХХ.2ТГ</t>
  </si>
  <si>
    <t>ВК.110.200.ХХХ.2ТГ</t>
  </si>
  <si>
    <t>ВК.110.260.ХХХ.2ТГ</t>
  </si>
  <si>
    <t>ВК.110.300.ХХХ.2ТГ</t>
  </si>
  <si>
    <t>ВК.110.300.ХХХ.4ТГ</t>
  </si>
  <si>
    <t>ВК.110.360.ХХХ.4ТГ</t>
  </si>
  <si>
    <t>ВК.110.400.ХХХ.4ТГ</t>
  </si>
  <si>
    <t>ВК.110.400.ХХХ.6ТГ</t>
  </si>
  <si>
    <t>ВК.150.160.ХХХ.4ТК</t>
  </si>
  <si>
    <t>4ТК</t>
  </si>
  <si>
    <t>ВК.150.200.ХХХ.4ТК</t>
  </si>
  <si>
    <t>ВК.150.260.ХХХ.4ТК</t>
  </si>
  <si>
    <t>ВК.150.300.ХХХ.6ТП</t>
  </si>
  <si>
    <t>6ТП</t>
  </si>
  <si>
    <t>ВК.150.300.ХХХ.8ТП</t>
  </si>
  <si>
    <t>8ТП</t>
  </si>
  <si>
    <t>ВК.150.360.ХХХ.6ТП</t>
  </si>
  <si>
    <t>ВК.150.360.ХХХ.8ТП</t>
  </si>
  <si>
    <t>ВК.150.400.ХХХ.6ТП</t>
  </si>
  <si>
    <t>ВК.150.400.ХХХ.8ТП</t>
  </si>
  <si>
    <t>ВК.200.260.ХХХ.4ТК</t>
  </si>
  <si>
    <t>ВК.200.300.ХХХ.4ТК</t>
  </si>
  <si>
    <t>ВК.200.360.ХХХ.8ТП</t>
  </si>
  <si>
    <t>ВК.300.260.ХХХ.4ТК</t>
  </si>
  <si>
    <t>ВК.300.300.ХХХ.4ТК</t>
  </si>
  <si>
    <t>ВК.300.360.ХХХ.8ТП</t>
  </si>
  <si>
    <t>ВК.400.260.ХХХ.4ТК</t>
  </si>
  <si>
    <t>ВК.400.300.ХХХ.4ТК</t>
  </si>
  <si>
    <t>ВК.400.360.ХХХ.8ТП</t>
  </si>
  <si>
    <t>ВК.500.260.ХХХ.4ТК</t>
  </si>
  <si>
    <t>ВК.500.300.ХХХ.4ТК</t>
  </si>
  <si>
    <t>ВК.500.360.ХХХ.8ТП</t>
  </si>
  <si>
    <t>ВК.600.260.ХХХ.4ТК</t>
  </si>
  <si>
    <t>ВК.600.300.ХХХ.4ТК</t>
  </si>
  <si>
    <t>ВК.600.360.ХХХ.8ТП</t>
  </si>
  <si>
    <t>ВК.ЭКО</t>
  </si>
  <si>
    <t>ВКВ.ЭКО</t>
  </si>
  <si>
    <t xml:space="preserve">Требуемая мощность, ВТ </t>
  </si>
  <si>
    <t>Скорость работы вентилятора 1,2,3</t>
  </si>
  <si>
    <t>Коэффициент вент.</t>
  </si>
  <si>
    <t>мм</t>
  </si>
  <si>
    <t>нет</t>
  </si>
  <si>
    <t>150.200</t>
  </si>
  <si>
    <t xml:space="preserve">  </t>
  </si>
  <si>
    <t>150.300</t>
  </si>
  <si>
    <t>ВКВ.065.360.ХХХ.4ТГ</t>
  </si>
  <si>
    <t>ВКВ.065.400.ХХХ.4ТГ</t>
  </si>
  <si>
    <t>ВКВ.070.360.ХХХ.4ТГ</t>
  </si>
  <si>
    <t>ВКВ.070.400.ХХХ.4ТГ</t>
  </si>
  <si>
    <t>Калькулятор теплоотдач ВК</t>
  </si>
  <si>
    <t>Калькулятор теплоотдач ВКВ</t>
  </si>
  <si>
    <t>-</t>
  </si>
  <si>
    <t>ВК.ЭКОНОМ.075.360.ХХХ.4ТГ</t>
  </si>
  <si>
    <t>ВК.ЭКОНОМ.075.400.ХХХ.4ТГ</t>
  </si>
  <si>
    <t>ВК.ЭКОНОМ.075.400.ХХХ.6ТГ</t>
  </si>
  <si>
    <t>ВК.ЭКОНОМ.090.360.ХХХ.4ТГ</t>
  </si>
  <si>
    <t>ВК.ЭКОНОМ.090.400.ХХХ.4ТГ</t>
  </si>
  <si>
    <t>ВК.ЭКОНОМ.090.400.ХХХ.6ТГ</t>
  </si>
  <si>
    <t>ВК.ЭКОНОМ.110.160.ХХХ.2ТГ</t>
  </si>
  <si>
    <t>ВК.ЭКОНОМ.110.200.ХХХ.2ТГ</t>
  </si>
  <si>
    <t>ВК.ЭКОНОМ.110.260.ХХХ.2ТГ</t>
  </si>
  <si>
    <t>ВК.ЭКОНОМ.110.300.ХХХ.2ТГ</t>
  </si>
  <si>
    <t>ВК.ЭКОНОМ.110.300.ХХХ.4ТГ</t>
  </si>
  <si>
    <t>ВК.ЭКОНОМ.110.360.ХХХ.4ТГ</t>
  </si>
  <si>
    <t>ВК.ЭКОНОМ.110.400.ХХХ.4ТГ</t>
  </si>
  <si>
    <t>ВК.ЭКОНОМ.110.400.ХХХ.6ТГ</t>
  </si>
  <si>
    <t>ВК.ЭКОНОМ.150.160.ХХХ.4ТК</t>
  </si>
  <si>
    <t>ВК.ЭКОНОМ.150.200.ХХХ.4ТК</t>
  </si>
  <si>
    <t>ВК.ЭКОНОМ.150.260.ХХХ.4ТК</t>
  </si>
  <si>
    <t>ВК.ЭКОНОМ.150.300.ХХХ.8ТП</t>
  </si>
  <si>
    <t>ВК.ЭКОНОМ.150.360.ХХХ.8ТП</t>
  </si>
  <si>
    <t>ВК.ЭКОНОМ.150.400.ХХХ.12ТП</t>
  </si>
  <si>
    <t xml:space="preserve">   </t>
  </si>
  <si>
    <t>12 труба</t>
  </si>
  <si>
    <t>ВК.ЭКО.075.160.ХХХ.2ТГ</t>
  </si>
  <si>
    <t>ВК.ЭКО.075.200.ХХХ.2ТГ</t>
  </si>
  <si>
    <t>ВК.ЭКО.075.260.ХХХ.2ТГ</t>
  </si>
  <si>
    <t>ВК.ЭКО.075.300.ХХХ.2ТГ</t>
  </si>
  <si>
    <t>ВК.ЭКО.075.300.ХХХ.4ТГ</t>
  </si>
  <si>
    <t>ВК.ЭКО.090.160.ХХХ.2ТГ</t>
  </si>
  <si>
    <t>ВК.ЭКО.090.200.ХХХ.2ТГ</t>
  </si>
  <si>
    <t>ВК.ЭКО.090.260.ХХХ.2ТГ</t>
  </si>
  <si>
    <t>ВК.ЭКО.090.300.ХХХ.2ТГ</t>
  </si>
  <si>
    <t>ВК.ЭКО.090.300.ХХХ.4ТГ</t>
  </si>
  <si>
    <t>ВКВ.ЭКОНОМ.075.300.ХХХ.2ТГ</t>
  </si>
  <si>
    <t>ВКВ.ЭКОНОМ.075.360.ХХХ.4ТГ</t>
  </si>
  <si>
    <t>ВКВ.ЭКОНОМ075.400.ХХХ.4ТГ</t>
  </si>
  <si>
    <t>ВКВ.ЭКОНОМ.090.300.ХХХ.2ТГ</t>
  </si>
  <si>
    <t>ВКВ.ЭКОНОМ.090.360.ХХХ.4ТГ</t>
  </si>
  <si>
    <t>ВКВ.ЭКОНОМ.110.200.ХХХ.2ТГ</t>
  </si>
  <si>
    <t>ВКВ.ЭКОНОМ.110.260.ХХХ.2ТГ</t>
  </si>
  <si>
    <t>ВКВ.ЭКОНОМ.110.300.ХХХ.2ТГ</t>
  </si>
  <si>
    <t>ВКВ.ЭКОНОМ.110.360.ХХХ.4ТГ</t>
  </si>
  <si>
    <t>ВКВ.ЭКОНОМ.150.160.ХХХ.2ТК</t>
  </si>
  <si>
    <t>ВКВ.ЭКОНОМ.150.200.ХХХ.2ТК</t>
  </si>
  <si>
    <t>ВКВ.ЭКОНОМ.150.260.ХХХ.4ТК</t>
  </si>
  <si>
    <t>ВКВ.ЭКОНОМ.150.300.ХХХ.4ТГ</t>
  </si>
  <si>
    <t>ВКВ.ЭКОНОМ.150.360.ХХХ.8ТП</t>
  </si>
  <si>
    <t>Модель</t>
  </si>
  <si>
    <t>ВКВ 24В</t>
  </si>
  <si>
    <t>Вернуться Калькулятор теплоотдач ВКВ</t>
  </si>
  <si>
    <t>Вернуться Калькулятор теплоотдач ВК</t>
  </si>
  <si>
    <t>Ножка для ВТ Короткая</t>
  </si>
  <si>
    <t>Модель теплообменника</t>
  </si>
  <si>
    <t>Ножка для ВТ Глухая 2ТГ                                Ножка для ВТ Глухая 4ТК</t>
  </si>
  <si>
    <t>Ножка для ВТ Глухая 6ТП</t>
  </si>
  <si>
    <t>Ножка для ВТ Глухая 4ТГ                                Ножка для ВТ Глухая 8ТП</t>
  </si>
  <si>
    <t xml:space="preserve">Ножка для ВТ Глухая 6ТГ         </t>
  </si>
  <si>
    <t>Ножка для ВТ Короткая 2ТГ                                Ножка для ВТ Короткая 4ТК</t>
  </si>
  <si>
    <t>Ножка для ВТ Короткая 6ТП</t>
  </si>
  <si>
    <t>Ножка для ВТ Короткая 4ТГ                                Ножка для ВТ Короткая 8ТП</t>
  </si>
  <si>
    <t xml:space="preserve">Ножка для ВТ Короткая 6ТГ         </t>
  </si>
  <si>
    <t xml:space="preserve"> </t>
  </si>
  <si>
    <t>Блок питания ZM-60-24 (24V,60W, 2.5A, IP20)</t>
  </si>
  <si>
    <t>Цветовые решения покраски деревянной решетки</t>
  </si>
  <si>
    <t>Решетка деревянная, покрытая цветным масло-грунтом</t>
  </si>
  <si>
    <t xml:space="preserve">В комплект подключения входят:
• Гофротрубка черная – 1,5м
• Блок питания – 1шт
• Провод – 3шт                                                                                                                                    •Провод заземления с кольцевым наконечником– 1шт   
</t>
  </si>
  <si>
    <t>Комплект электрики для подключения вентилятора 24В</t>
  </si>
  <si>
    <t>Надбавка к цене алюминиевой решетки и рамки, %</t>
  </si>
  <si>
    <t>Приток не делается снизу конвектора для вентиляторных моделей!</t>
  </si>
  <si>
    <t>Изготовление продольной решетки на шпильке</t>
  </si>
  <si>
    <t>НАЦЕНКА ЗА ПРОХОДНОЕ ИСПОЛНЕНИЯ ТЕПЛООБМЕННИКА</t>
  </si>
  <si>
    <t>*- монтажная высота Глухих ножек составляет 100мм</t>
  </si>
  <si>
    <t>*- монтажная высота коротких ножек составляет 20мм</t>
  </si>
  <si>
    <t>10. Материал корпуса:</t>
  </si>
  <si>
    <t>11. Подключение:</t>
  </si>
  <si>
    <t>• Без обозначения - правое.</t>
  </si>
  <si>
    <t>• Л - левое.</t>
  </si>
  <si>
    <t>Л.</t>
  </si>
  <si>
    <t>ВТ.40.100.2ТГ.ХХХ</t>
  </si>
  <si>
    <t>ВТ.40.200.4ТГ.ХХХ</t>
  </si>
  <si>
    <r>
      <t>Специсполнение с фитингом на 3/4</t>
    </r>
    <r>
      <rPr>
        <b/>
        <sz val="12"/>
        <color indexed="8"/>
        <rFont val="Calibri"/>
        <family val="2"/>
        <charset val="204"/>
      </rPr>
      <t>'</t>
    </r>
  </si>
  <si>
    <t>* - К конвектору не поставляется пакет подключения арматуры</t>
  </si>
  <si>
    <t>24В</t>
  </si>
  <si>
    <t>• ВКВТХ – Витрон конвектор тепло-холод с вентилятором.</t>
  </si>
  <si>
    <t>"50% к стоимости решетки и рамки."</t>
  </si>
  <si>
    <t>ВКВ.80 мм</t>
  </si>
  <si>
    <t>ВК.140 мм</t>
  </si>
  <si>
    <t>ВКВ.140 мм</t>
  </si>
  <si>
    <t>ВК.140.160.ХХХ.4ТК</t>
  </si>
  <si>
    <t>ВК.140.200.ХХХ.4ТК</t>
  </si>
  <si>
    <t>ВК.140.260.ХХХ.4ТК</t>
  </si>
  <si>
    <t>ВК.140.300.ХХХ.6ТП</t>
  </si>
  <si>
    <t>ВК.140.300.ХХХ.8ТП</t>
  </si>
  <si>
    <t>ВК.140.360.ХХХ.6ТП</t>
  </si>
  <si>
    <t>ВК.140.360.ХХХ.8ТП</t>
  </si>
  <si>
    <t>ВК.140.400.ХХХ.6ТП</t>
  </si>
  <si>
    <t>ВК.140.400.ХХХ.8ТП</t>
  </si>
  <si>
    <t xml:space="preserve">• 55, 65, 75, 80, 90, 110, 140, 150, 200, 300, 400, 500, 600. </t>
  </si>
  <si>
    <t>Модель конвектора</t>
  </si>
  <si>
    <t>Подходит</t>
  </si>
  <si>
    <t>Не подходит</t>
  </si>
  <si>
    <t>Аксессуары для гидравлического подключения конвекторов VITRON</t>
  </si>
  <si>
    <t>Описание</t>
  </si>
  <si>
    <t>Фото</t>
  </si>
  <si>
    <t>КП№1</t>
  </si>
  <si>
    <t>КП№2</t>
  </si>
  <si>
    <t>КП№3</t>
  </si>
  <si>
    <t>КП№3С</t>
  </si>
  <si>
    <t>Терм. СП.3/4".230</t>
  </si>
  <si>
    <t>Терм. СП.3/4".24</t>
  </si>
  <si>
    <t>КрСг.ВН.G1/2".Пр</t>
  </si>
  <si>
    <t>ЗРК.G1/2".Угл</t>
  </si>
  <si>
    <t>ЗРК.G1/2".Пр</t>
  </si>
  <si>
    <t>ТК.G1/2".Пр</t>
  </si>
  <si>
    <t>ТК.G1/2".Угл</t>
  </si>
  <si>
    <t>ТК.G1/2".Акс</t>
  </si>
  <si>
    <t xml:space="preserve">ТГ.Витрон.M30*1,5.Ral 9016 </t>
  </si>
  <si>
    <t>ТГ.Витрон.M30*1,5.Хром</t>
  </si>
  <si>
    <t xml:space="preserve">ТГ.Витрон.M30*1,5.Ral 9005 </t>
  </si>
  <si>
    <t>КНП.G 3/4*3/4 EURO KONUS.Пр</t>
  </si>
  <si>
    <t>КНП.G 3/4*3/4 EURO KONUS.Угл</t>
  </si>
  <si>
    <t>УП.DUO-PLEX.3/4 x М22x1,5.Прав.Белый</t>
  </si>
  <si>
    <t>УП.DUO-PLEX.3/4 x М22x1,5.Пр.Белый</t>
  </si>
  <si>
    <t>УП.DUO-PLEX.3/4 x М22x1,5.Прав.Черный</t>
  </si>
  <si>
    <t>УП.DUO-PLEX.3/4 x М22x1,5.Прям.Черный</t>
  </si>
  <si>
    <t>Термостат W-therm MCB.630.Wi-Fi черный.</t>
  </si>
  <si>
    <t>Термостат W-therm MCW.630.Wi-Fi  белый.</t>
  </si>
  <si>
    <t>Термостат W-therm MCВ.610.Wi-Fi.0-10В черный.</t>
  </si>
  <si>
    <t>Термостат W-therm MCW.610.Wi-Fi.0-10В белый.</t>
  </si>
  <si>
    <t>Твердотельное реле (1ф., 25А,
480V AC, 70-280VAC)</t>
  </si>
  <si>
    <t>Ширина конвектора 500 мм</t>
  </si>
  <si>
    <t>Ширина конвектора 290 мм</t>
  </si>
  <si>
    <t>Конвектор с корпусом из оцинкованной стали (ОЦ 1мм), крашеный в черный цвет, с алюминиевой решеткой и рамкой (либо окантовкой).</t>
  </si>
  <si>
    <t>Конвектор с корпусом из нержавеющей стали (AISI 0,8мм), с алюминиевой решеткой и рамкой (либо окантовкой).</t>
  </si>
  <si>
    <t>Конвектор из нержавеющей стали (AISI 304 0,8мм)  с алюминиевой решеткой и рамкой (либо окантовкой).</t>
  </si>
  <si>
    <t>Решетка деревянная без покрытия</t>
  </si>
  <si>
    <t>Радиусные конвекторы изготавливаются только с теплообменниками с трубой диаметром 15мм.</t>
  </si>
  <si>
    <t>Патрубок для дренажа в моделях ВКВ ставится со стороны подводов, патрубок для дренажа в моделях ВК, ставится с любой стороны конвектора. Высота конвектора + 5 мм</t>
  </si>
  <si>
    <t>Блок питания VMW-100-24</t>
  </si>
  <si>
    <t>Конвектор встраиваемый в пол водяной + электрический</t>
  </si>
  <si>
    <t>Теплоотдача ТЭНа</t>
  </si>
  <si>
    <t>ВКВ+ВКЭ.</t>
  </si>
  <si>
    <t>*- цена одинаковая для всех ширин конвекторов</t>
  </si>
  <si>
    <t>Шаблон дуги</t>
  </si>
  <si>
    <t>Цена на 1м дуги</t>
  </si>
  <si>
    <t xml:space="preserve">Комментарий: Шаблон дает наглядное представление как будет располагаться дуговой конвектор на объекте. </t>
  </si>
  <si>
    <t>После примерки шаблона, он остается у покупателя.</t>
  </si>
  <si>
    <t>Приток по длине</t>
  </si>
  <si>
    <t>от 500 до 1200мм 1 патрубок</t>
  </si>
  <si>
    <t>Крепление тепл. и крышки</t>
  </si>
  <si>
    <t>Шаг, 10 мм</t>
  </si>
  <si>
    <t>Крышка для конвектора декоративная</t>
  </si>
  <si>
    <t>КП№2-БП</t>
  </si>
  <si>
    <t>КП№3-БП</t>
  </si>
  <si>
    <t>КП№3С-БП</t>
  </si>
  <si>
    <t>КП№5-БП</t>
  </si>
  <si>
    <t>КП№5</t>
  </si>
  <si>
    <t>– корпус из оцинкованной стали толщиной 1 мм.</t>
  </si>
  <si>
    <t>толщиной 0,8 мм;</t>
  </si>
  <si>
    <t>Надбавка к цене алюминиевой решетки и рамки, коэф.</t>
  </si>
  <si>
    <t>НАКЛАДНОЙ МОНТАЖ</t>
  </si>
  <si>
    <t>СИМИСТОРНЫЙ РЕГУЛЯТОР VITRON</t>
  </si>
  <si>
    <t>Термостат W-therm MCB.630/OH черный.</t>
  </si>
  <si>
    <t>Термостат W-therm MCB.630/OH WI-FI черный.</t>
  </si>
  <si>
    <t>Термостат W-therm MCW.630/OH белый.</t>
  </si>
  <si>
    <t>Термостат W-therm MCW.630/OH WI-FI белый.</t>
  </si>
  <si>
    <t>1. Беленый дуб</t>
  </si>
  <si>
    <t>2. Молочный дуб</t>
  </si>
  <si>
    <t>3. Теплый серый</t>
  </si>
  <si>
    <t>4. Холодный серый</t>
  </si>
  <si>
    <t>5. Рустикальный дуб</t>
  </si>
  <si>
    <t>6. Натуральный бук</t>
  </si>
  <si>
    <t>7. Красный орех</t>
  </si>
  <si>
    <t>8. Дуб табак</t>
  </si>
  <si>
    <t>9. Дуб коньяк</t>
  </si>
  <si>
    <t>10.  Вишня</t>
  </si>
  <si>
    <t>11.  Темный дуб</t>
  </si>
  <si>
    <t>12.  Темная вишня</t>
  </si>
  <si>
    <t>13. Махагон</t>
  </si>
  <si>
    <t>14. Дуб антик</t>
  </si>
  <si>
    <t>15. Венге</t>
  </si>
  <si>
    <t>16. Палисандр</t>
  </si>
  <si>
    <t>Оцинковка</t>
  </si>
  <si>
    <t>от 1200 до 1700мм 2 патрубка</t>
  </si>
  <si>
    <t>от 1700 до 2200мм 3 патрубка</t>
  </si>
  <si>
    <t>от 2200 до 2700мм 4 патрубка</t>
  </si>
  <si>
    <t>от 2700 до 3000мм 5 патрубков</t>
  </si>
  <si>
    <r>
      <t xml:space="preserve">Ширина конвектора </t>
    </r>
    <r>
      <rPr>
        <b/>
        <sz val="16"/>
        <color theme="1"/>
        <rFont val="Calibri"/>
        <family val="2"/>
        <charset val="204"/>
        <scheme val="minor"/>
      </rPr>
      <t>260</t>
    </r>
    <r>
      <rPr>
        <b/>
        <sz val="14"/>
        <color theme="1"/>
        <rFont val="Calibri"/>
        <family val="2"/>
        <charset val="204"/>
        <scheme val="minor"/>
      </rPr>
      <t xml:space="preserve"> мм</t>
    </r>
  </si>
  <si>
    <r>
      <t>Ширина конвектора 3</t>
    </r>
    <r>
      <rPr>
        <b/>
        <sz val="16"/>
        <color theme="1"/>
        <rFont val="Calibri"/>
        <family val="2"/>
        <charset val="204"/>
        <scheme val="minor"/>
      </rPr>
      <t>00</t>
    </r>
    <r>
      <rPr>
        <b/>
        <sz val="14"/>
        <color theme="1"/>
        <rFont val="Calibri"/>
        <family val="2"/>
        <charset val="204"/>
        <scheme val="minor"/>
      </rPr>
      <t xml:space="preserve"> мм</t>
    </r>
  </si>
  <si>
    <r>
      <t>Ширина конвектора 3</t>
    </r>
    <r>
      <rPr>
        <b/>
        <sz val="16"/>
        <color theme="1"/>
        <rFont val="Calibri"/>
        <family val="2"/>
        <charset val="204"/>
        <scheme val="minor"/>
      </rPr>
      <t>60</t>
    </r>
    <r>
      <rPr>
        <b/>
        <sz val="14"/>
        <color theme="1"/>
        <rFont val="Calibri"/>
        <family val="2"/>
        <charset val="204"/>
        <scheme val="minor"/>
      </rPr>
      <t xml:space="preserve"> мм</t>
    </r>
  </si>
  <si>
    <r>
      <t>Ширина конвектора 40</t>
    </r>
    <r>
      <rPr>
        <b/>
        <sz val="16"/>
        <color theme="1"/>
        <rFont val="Calibri"/>
        <family val="2"/>
        <charset val="204"/>
        <scheme val="minor"/>
      </rPr>
      <t>0</t>
    </r>
    <r>
      <rPr>
        <b/>
        <sz val="14"/>
        <color theme="1"/>
        <rFont val="Calibri"/>
        <family val="2"/>
        <charset val="204"/>
        <scheme val="minor"/>
      </rPr>
      <t xml:space="preserve"> мм</t>
    </r>
  </si>
  <si>
    <r>
      <t xml:space="preserve">Ширина конвектора </t>
    </r>
    <r>
      <rPr>
        <b/>
        <sz val="16"/>
        <color theme="1"/>
        <rFont val="Calibri"/>
        <family val="2"/>
        <charset val="204"/>
        <scheme val="minor"/>
      </rPr>
      <t>160</t>
    </r>
    <r>
      <rPr>
        <b/>
        <sz val="14"/>
        <color theme="1"/>
        <rFont val="Calibri"/>
        <family val="2"/>
        <charset val="204"/>
        <scheme val="minor"/>
      </rPr>
      <t xml:space="preserve"> мм</t>
    </r>
  </si>
  <si>
    <r>
      <t xml:space="preserve">Ширина конвектора </t>
    </r>
    <r>
      <rPr>
        <b/>
        <sz val="16"/>
        <color theme="1"/>
        <rFont val="Calibri"/>
        <family val="2"/>
        <charset val="204"/>
        <scheme val="minor"/>
      </rPr>
      <t>200</t>
    </r>
    <r>
      <rPr>
        <b/>
        <sz val="14"/>
        <color theme="1"/>
        <rFont val="Calibri"/>
        <family val="2"/>
        <charset val="204"/>
        <scheme val="minor"/>
      </rPr>
      <t xml:space="preserve"> мм</t>
    </r>
  </si>
  <si>
    <r>
      <t xml:space="preserve">Ширина конвектора </t>
    </r>
    <r>
      <rPr>
        <b/>
        <sz val="16"/>
        <color theme="1"/>
        <rFont val="Calibri"/>
        <family val="2"/>
        <charset val="204"/>
        <scheme val="minor"/>
      </rPr>
      <t>300</t>
    </r>
    <r>
      <rPr>
        <b/>
        <sz val="14"/>
        <color theme="1"/>
        <rFont val="Calibri"/>
        <family val="2"/>
        <charset val="204"/>
        <scheme val="minor"/>
      </rPr>
      <t xml:space="preserve"> мм</t>
    </r>
  </si>
  <si>
    <r>
      <t xml:space="preserve">Ширина конвектора </t>
    </r>
    <r>
      <rPr>
        <b/>
        <sz val="16"/>
        <color theme="1"/>
        <rFont val="Calibri"/>
        <family val="2"/>
        <charset val="204"/>
        <scheme val="minor"/>
      </rPr>
      <t>360</t>
    </r>
    <r>
      <rPr>
        <b/>
        <sz val="14"/>
        <color theme="1"/>
        <rFont val="Calibri"/>
        <family val="2"/>
        <charset val="204"/>
        <scheme val="minor"/>
      </rPr>
      <t xml:space="preserve"> мм</t>
    </r>
  </si>
  <si>
    <r>
      <t xml:space="preserve">Ширина конвектора </t>
    </r>
    <r>
      <rPr>
        <b/>
        <sz val="16"/>
        <color theme="1"/>
        <rFont val="Calibri"/>
        <family val="2"/>
        <charset val="204"/>
        <scheme val="minor"/>
      </rPr>
      <t>400</t>
    </r>
    <r>
      <rPr>
        <b/>
        <sz val="14"/>
        <color theme="1"/>
        <rFont val="Calibri"/>
        <family val="2"/>
        <charset val="204"/>
        <scheme val="minor"/>
      </rPr>
      <t xml:space="preserve"> мм</t>
    </r>
  </si>
  <si>
    <t>24 Вольт</t>
  </si>
  <si>
    <t xml:space="preserve"> 24 Вольт</t>
  </si>
  <si>
    <t xml:space="preserve">Термостат Uni FHU с капиллярной трубкой </t>
  </si>
  <si>
    <t>Нержавейка</t>
  </si>
  <si>
    <t>Примечание: максимальная длина продольных решеток 4000мм</t>
  </si>
  <si>
    <t>Коробка установочная квадратная</t>
  </si>
  <si>
    <t>Коробка для накладного монтажа</t>
  </si>
  <si>
    <t>Надбавка к цене алюминиевой решетки и рамки, для решетки из натурального дуба со вставками декор и анодированной рамкой (окантовкой), % - 60%</t>
  </si>
  <si>
    <t>Надбавка к цене алюминиевой решетке и рамке, для решетки из натурального дуба со вставками декор и декорированной рамкой (окантовкой), % - 100%</t>
  </si>
  <si>
    <t>Изготовление конвектора с отводом в сторону помещения или вниз возможно любой длины. Изготовление конвектора с отводом с торца возможно до 6000 мм</t>
  </si>
  <si>
    <t>Решетка нержавеющая 18х10 с нержавеющей окантовкой и нержавеющими трубками</t>
  </si>
  <si>
    <t>Решетка нержавеющая 10х10 с нержавеющей окантовкой  и нержавеющими трубками</t>
  </si>
  <si>
    <t>Надбавка к цене алюминиевой решетки 10х4 и окантовки, коэф.</t>
  </si>
  <si>
    <t>Тангенциальный вентилятор VITRON.30.1136.24VDC-3I работающий на 24 вольтовом напряжении</t>
  </si>
  <si>
    <t>Тангенциальный вентилятор VITRON.30.772.24VDC-2I работающий на 24 вольтовом напряжении</t>
  </si>
  <si>
    <t>Тангенциальный вентилятор VITRON.30.252.24VDC-1I работающий на 24 вольтовом напряжении</t>
  </si>
  <si>
    <t>Крепление под вентилятор VITRON 24V</t>
  </si>
  <si>
    <t>VITRON.30.1136.24VDC-3I</t>
  </si>
  <si>
    <t>VITRON.30.772.24VDC-2I</t>
  </si>
  <si>
    <t>VITRON.30.252.24VDC-1I</t>
  </si>
  <si>
    <t>110.200</t>
  </si>
  <si>
    <t>ВКВ.065.260.ХХХ.2ТГ.24V</t>
  </si>
  <si>
    <t>ВКВ.065.300.ХХХ.2ТГ.24V</t>
  </si>
  <si>
    <t>ВКВ.070.260.ХХХ.2ТГ.24V</t>
  </si>
  <si>
    <t>ВКВ.070.300.ХХХ.2ТГ.24V</t>
  </si>
  <si>
    <t>ВКВ.075.260.ХХХ.2ТГ.24V</t>
  </si>
  <si>
    <t>ВКВ.075.300.ХХХ.2ТГ.24V</t>
  </si>
  <si>
    <t>ВКВ.075.360.ХХХ.4ТГ.24V</t>
  </si>
  <si>
    <t>ВКВ.075.400.ХХХ.4ТГ.24V</t>
  </si>
  <si>
    <t>ВКВ.080.260.ХХХ.2ТГ.24V</t>
  </si>
  <si>
    <t>ВКВ.080.300.ХХХ.2ТГ.24V</t>
  </si>
  <si>
    <t>ВКВ.080.360.ХХХ.4ТГ.24V</t>
  </si>
  <si>
    <t>ВКВ.080.400.ХХХ.4ТГ.24V</t>
  </si>
  <si>
    <t>ВКВ.090.200.ХХХ.2ТГ.24V</t>
  </si>
  <si>
    <t>ВКВ.090.260.ХХХ.2ТГ.24V</t>
  </si>
  <si>
    <t>ВКВ.090.300.ХХХ.2ТГ.24V</t>
  </si>
  <si>
    <t>ВКВ.090.360.ХХХ.4ТГ.24V</t>
  </si>
  <si>
    <t>ВКВ.090.400.ХХХ.4ТГ.24V</t>
  </si>
  <si>
    <t>ВКВ.110.200.ХХХ.2ТГ.24V</t>
  </si>
  <si>
    <t>ВКВ.110.260.ХХХ.2ТГ.24V</t>
  </si>
  <si>
    <t>ВКВ.110.300.ХХХ.2ТГ.24V</t>
  </si>
  <si>
    <t>ВКВ.110.360.ХХХ.4ТГ.24V</t>
  </si>
  <si>
    <t>ВКВ.140.160.ХХХ.2ТГ.24V</t>
  </si>
  <si>
    <t>ВКВ.140.200.ХХХ.2ТГ.24V</t>
  </si>
  <si>
    <t>ВКВ.140.260.ХХХ.4ТК.24V</t>
  </si>
  <si>
    <t>ВКВ.140.300.ХХХ.4ТК.24V</t>
  </si>
  <si>
    <t>ВКВ.140.360.ХХХ.8ТП.24V</t>
  </si>
  <si>
    <t>ВКВ.150.160.ХХХ.2ТГ.24V</t>
  </si>
  <si>
    <t>ВКВ.150.200.ХХХ.2ТГ.24V</t>
  </si>
  <si>
    <t>ВКВ.150.260.ХХХ.4ТК.24V</t>
  </si>
  <si>
    <t>ВКВ.150.300.ХХХ.4ТК.24V</t>
  </si>
  <si>
    <t>ВКВ.150.360.ХХХ.8ТП.24V</t>
  </si>
  <si>
    <t>ВКВТХ.130.260.ХХХ.4ТК.24V</t>
  </si>
  <si>
    <t>ВКВТХ.150.300.ХХХ.4ТК.24V</t>
  </si>
  <si>
    <t>ВКВ.ЭКОНОМ.075.260.ХХХ.2ТГ.24V</t>
  </si>
  <si>
    <t>ВКВ.ЭКОНОМ.090.200.ХХХ.2ТГ.24V</t>
  </si>
  <si>
    <t>ВКВ.ЭКОНОМ.090.260.ХХХ.2ТГ.24V</t>
  </si>
  <si>
    <t>ТГ.24V</t>
  </si>
  <si>
    <t>ТК.24V</t>
  </si>
  <si>
    <t>ТП.24V</t>
  </si>
  <si>
    <t>Совместимость с конвектором</t>
  </si>
  <si>
    <t>ВКВЭ 220В</t>
  </si>
  <si>
    <t>ВКВ 24В ВКВЭ 220В</t>
  </si>
  <si>
    <t>Минимальная длина угловой части конвектора ВКВ без подключения теплоносителя = 400 мм + ширина мм конвектора. Минимальная длина угловой части конвектора ВКВ с подключением теплоносителя = 600 мм + ширина мм конвектора. В моделях ВКВЭ количество терморезисторов = длина мм угловой части - ширина мм конвектора</t>
  </si>
  <si>
    <t>ВКВ.140.360.ХХХ.6ТП.24V</t>
  </si>
  <si>
    <t>ВКВ.140.400.ХХХ.6ТП.24V</t>
  </si>
  <si>
    <t>ВКВ.140.400.ХХХ.8ТП.24V</t>
  </si>
  <si>
    <t>ВКВ.150.360.ХХХ.6ТП.24V</t>
  </si>
  <si>
    <t>ВКВ.150.400.ХХХ.6ТП.24V</t>
  </si>
  <si>
    <t>ВКВ.150.400.ХХХ.8ТП.24V</t>
  </si>
  <si>
    <r>
      <t xml:space="preserve">Прямой полнопроходной кран  В-Н  G1/2" красный. </t>
    </r>
    <r>
      <rPr>
        <shadow/>
        <sz val="12"/>
        <rFont val="Calibri"/>
        <family val="2"/>
        <charset val="204"/>
        <scheme val="minor"/>
      </rPr>
      <t>Производство Италия</t>
    </r>
  </si>
  <si>
    <r>
      <t xml:space="preserve">Запорно-регулирующий клапан (угловой) G1/2''. </t>
    </r>
    <r>
      <rPr>
        <sz val="12"/>
        <color theme="1"/>
        <rFont val="Calibri"/>
        <family val="2"/>
        <charset val="204"/>
        <scheme val="minor"/>
      </rPr>
      <t>Производство Польша</t>
    </r>
  </si>
  <si>
    <r>
      <t>Запорно-регулирующий клапан (прямой) G1/2''.</t>
    </r>
    <r>
      <rPr>
        <sz val="12"/>
        <rFont val="Calibri"/>
        <family val="2"/>
        <charset val="204"/>
        <scheme val="minor"/>
      </rPr>
      <t xml:space="preserve"> Производство Польша   </t>
    </r>
  </si>
  <si>
    <r>
      <t xml:space="preserve">Термостатический клапан (прямой) G1/2''. </t>
    </r>
    <r>
      <rPr>
        <sz val="12"/>
        <rFont val="Calibri"/>
        <family val="2"/>
        <charset val="204"/>
        <scheme val="minor"/>
      </rPr>
      <t>Производство Польша</t>
    </r>
  </si>
  <si>
    <r>
      <t xml:space="preserve">Термостатический клапан (угловой) G1/2''. </t>
    </r>
    <r>
      <rPr>
        <sz val="12"/>
        <color theme="1"/>
        <rFont val="Calibri"/>
        <family val="2"/>
        <charset val="204"/>
        <scheme val="minor"/>
      </rPr>
      <t>Производство Польша</t>
    </r>
    <r>
      <rPr>
        <b/>
        <sz val="12"/>
        <color theme="1"/>
        <rFont val="Calibri"/>
        <family val="2"/>
        <charset val="204"/>
        <scheme val="minor"/>
      </rPr>
      <t xml:space="preserve">
</t>
    </r>
  </si>
  <si>
    <r>
      <t xml:space="preserve">Термостатический клапан (аксеальный) G1/2''. </t>
    </r>
    <r>
      <rPr>
        <sz val="12"/>
        <color theme="1"/>
        <rFont val="Calibri"/>
        <family val="2"/>
        <charset val="204"/>
        <scheme val="minor"/>
      </rPr>
      <t>Производство Польша</t>
    </r>
  </si>
  <si>
    <r>
      <t xml:space="preserve">Термостатическая головка MINI DIAMANT Хром M30*1,5  с логотипом Vitron  </t>
    </r>
    <r>
      <rPr>
        <sz val="11"/>
        <color rgb="FF000000"/>
        <rFont val="Yandex-sans"/>
        <charset val="204"/>
      </rPr>
      <t>Производство Польша</t>
    </r>
    <r>
      <rPr>
        <b/>
        <sz val="11"/>
        <color rgb="FF000000"/>
        <rFont val="Yandex-sans"/>
        <charset val="204"/>
      </rPr>
      <t xml:space="preserve">
</t>
    </r>
  </si>
  <si>
    <r>
      <t xml:space="preserve">Термостатическая головка BRILLANT SH Черный M30*1,5  с логотипом Vitron </t>
    </r>
    <r>
      <rPr>
        <sz val="12"/>
        <color theme="1"/>
        <rFont val="Calibri"/>
        <family val="2"/>
        <charset val="204"/>
        <scheme val="minor"/>
      </rPr>
      <t>Производство Польша</t>
    </r>
    <r>
      <rPr>
        <b/>
        <sz val="12"/>
        <color theme="1"/>
        <rFont val="Calibri"/>
        <family val="2"/>
        <charset val="204"/>
        <scheme val="minor"/>
      </rPr>
      <t xml:space="preserve">
</t>
    </r>
  </si>
  <si>
    <r>
      <t xml:space="preserve">Узел подключения DUO-PLEX </t>
    </r>
    <r>
      <rPr>
        <b/>
        <sz val="12"/>
        <color indexed="8"/>
        <rFont val="Arial"/>
        <family val="2"/>
        <charset val="204"/>
      </rPr>
      <t xml:space="preserve">602100001 Белый Угловой, правый </t>
    </r>
    <r>
      <rPr>
        <sz val="12"/>
        <color indexed="8"/>
        <rFont val="Arial"/>
        <family val="2"/>
        <charset val="204"/>
      </rPr>
      <t>3/4 x М22x1,5 + 2 Ниппеля 1/2x3/4 Резьбовые соединения 602700002.06 Для стальных труб белое GW M22x1,5 x GW 1/2. Производство Польша</t>
    </r>
  </si>
  <si>
    <r>
      <t xml:space="preserve">Узел подключения DUO-PLEX </t>
    </r>
    <r>
      <rPr>
        <b/>
        <sz val="12"/>
        <color indexed="8"/>
        <rFont val="Arial"/>
        <family val="2"/>
        <charset val="204"/>
      </rPr>
      <t>602100031 Белый Прямой</t>
    </r>
    <r>
      <rPr>
        <sz val="12"/>
        <color indexed="8"/>
        <rFont val="Arial"/>
        <family val="2"/>
        <charset val="204"/>
      </rPr>
      <t>, 3/4 x М22x1,5 + 2 Ниппеля 1/2x3/4 Резьбовые соединения Для стальных труб белое GW M22x1,5 x GW 1/2. Производство Польша</t>
    </r>
  </si>
  <si>
    <r>
      <t xml:space="preserve">Узел подключения DUO-PLEX </t>
    </r>
    <r>
      <rPr>
        <b/>
        <sz val="12"/>
        <color indexed="8"/>
        <rFont val="Arial"/>
        <family val="2"/>
        <charset val="204"/>
      </rPr>
      <t>602100101 Черный Угловой</t>
    </r>
    <r>
      <rPr>
        <sz val="12"/>
        <color indexed="8"/>
        <rFont val="Arial"/>
        <family val="2"/>
        <charset val="204"/>
      </rPr>
      <t>, правый 3/4 x М22x1,5 + 2 Ниппеля 1/2x3/4 Резьбовые соединения.RAL9005 Для стальных труб GW M22x1,5 x GW 1/2. Производство Польша</t>
    </r>
  </si>
  <si>
    <r>
      <t xml:space="preserve">Узел подключения DUO-PLEX </t>
    </r>
    <r>
      <rPr>
        <b/>
        <sz val="12"/>
        <color indexed="8"/>
        <rFont val="Arial"/>
        <family val="2"/>
        <charset val="204"/>
      </rPr>
      <t>602100103 Черный Прямой</t>
    </r>
    <r>
      <rPr>
        <sz val="12"/>
        <color indexed="8"/>
        <rFont val="Arial"/>
        <family val="2"/>
        <charset val="204"/>
      </rPr>
      <t>, 3/4 x М22x1,5 + 2 Ниппеля 1/2x3/4 Резьбовые соединения.RAL9005 Для стальных труб GW M22x1,5 x GW 1/2. Производство Польша</t>
    </r>
  </si>
  <si>
    <t>Термостат с дистанционной настройкой Uni FHU с жидкостным чувствительным элементом, резьбовое соединение M 30 x 1,5, диапазон настройки можно ограничить и заблокировать посредством скрытых ограничителей, диапазон настройки 7-28 °C. Длина капиллярной трубки 2м. Производство Германия</t>
  </si>
  <si>
    <t>Исполнение конвектора в цветах по классической палитре Ral</t>
  </si>
  <si>
    <t>Тангенциальный вентилятор VITRON.30.248.220VAC-1I работающий на 220 вольтовом напряжении</t>
  </si>
  <si>
    <t>Тангенциальный вентилятор VITRON.30.354.24VDC-1I работающий на 24 вольтовом напряжении</t>
  </si>
  <si>
    <t>VITRON.30.354.24VDC-1I</t>
  </si>
  <si>
    <t>ВКВ.110.400.ХХХ.4ТГ.24V</t>
  </si>
  <si>
    <t>ВКВ</t>
  </si>
  <si>
    <t>ВК.200.200.ХХХ.4ТК</t>
  </si>
  <si>
    <t>ВК. ВКВ.ВК(ВКВ).. ВКВЭ. ВКЭ</t>
  </si>
  <si>
    <t>Монтажная крышка</t>
  </si>
  <si>
    <t>ВК. ВКВ.ВК(ВКВ).МАХ. ВКВЭ. ВКЭ</t>
  </si>
  <si>
    <t>за 1 м. пог.</t>
  </si>
  <si>
    <t>ВК.55.160.600.2ТГ</t>
  </si>
  <si>
    <t>ВК.55.160.650.2ТГ</t>
  </si>
  <si>
    <t>ВК.55.160.700.2ТГ</t>
  </si>
  <si>
    <t>ВК.55.160.750.2ТГ</t>
  </si>
  <si>
    <t>ВК.55.160.800.2ТГ</t>
  </si>
  <si>
    <t>ВК.55.160.850.2ТГ</t>
  </si>
  <si>
    <t>ВК.55.160.900.2ТГ</t>
  </si>
  <si>
    <t>ВК.55.160.950.2ТГ</t>
  </si>
  <si>
    <t>ВК.55.160.1000.2ТГ</t>
  </si>
  <si>
    <t>ВК.55.160.1050.2ТГ</t>
  </si>
  <si>
    <t>ВК.55.160.1100.2ТГ</t>
  </si>
  <si>
    <t>ВК.55.160.1150.2ТГ</t>
  </si>
  <si>
    <t>ВК.55.160.1200.2ТГ</t>
  </si>
  <si>
    <t>ВК.55.160.1250.2ТГ</t>
  </si>
  <si>
    <t>ВК.55.160.1300.2ТГ</t>
  </si>
  <si>
    <t>ВК.55.160.1350.2ТГ</t>
  </si>
  <si>
    <t>ВК.55.160.1400.2ТГ</t>
  </si>
  <si>
    <t>ВК.55.160.1450.2ТГ</t>
  </si>
  <si>
    <t>ВК.55.160.1500.2ТГ</t>
  </si>
  <si>
    <t>ВК.55.160.1550.2ТГ</t>
  </si>
  <si>
    <t>ВК.55.160.1600.2ТГ</t>
  </si>
  <si>
    <t>ВК.55.160.1650.2ТГ</t>
  </si>
  <si>
    <t>ВК.55.160.1700.2ТГ</t>
  </si>
  <si>
    <t>ВК.55.160.1750.2ТГ</t>
  </si>
  <si>
    <t>ВК.55.160.1800.2ТГ</t>
  </si>
  <si>
    <t>ВК.55.160.1850.2ТГ</t>
  </si>
  <si>
    <t>ВК.55.160.1900.2ТГ</t>
  </si>
  <si>
    <t>ВК.55.160.1950.2ТГ</t>
  </si>
  <si>
    <t>ВК.55.160.2000.2ТГ</t>
  </si>
  <si>
    <t>ВК.55.160.2050.2ТГ</t>
  </si>
  <si>
    <t>ВК.55.160.2100.2ТГ</t>
  </si>
  <si>
    <t>ВК.55.160.2150.2ТГ</t>
  </si>
  <si>
    <t>ВК.55.160.2200.2ТГ</t>
  </si>
  <si>
    <t>ВК.55.160.2250.2ТГ</t>
  </si>
  <si>
    <t>ВК.55.160.2300.2ТГ</t>
  </si>
  <si>
    <t>ВК.55.160.2350.2ТГ</t>
  </si>
  <si>
    <t>ВК.55.160.2400.2ТГ</t>
  </si>
  <si>
    <t>ВК.55.160.2450.2ТГ</t>
  </si>
  <si>
    <t>ВК.55.160.2500.2ТГ</t>
  </si>
  <si>
    <t>ВК.55.160.2550.2ТГ</t>
  </si>
  <si>
    <t>ВК.55.160.2600.2ТГ</t>
  </si>
  <si>
    <t>ВК.55.160.2650.2ТГ</t>
  </si>
  <si>
    <t>ВК.55.160.2700.2ТГ</t>
  </si>
  <si>
    <t>ВК.55.160.2750.2ТГ</t>
  </si>
  <si>
    <t>ВК.55.160.2800.2ТГ</t>
  </si>
  <si>
    <t>ВК.55.160.2850.2ТГ</t>
  </si>
  <si>
    <t>ВК.55.160.2900.2ТГ</t>
  </si>
  <si>
    <t>ВК.55.160.2950.2ТГ</t>
  </si>
  <si>
    <t>ВК.55.160.3000.2ТГ</t>
  </si>
  <si>
    <t>ВК.55.200.600.2ТГ</t>
  </si>
  <si>
    <t>ВК.55.200.650.2ТГ</t>
  </si>
  <si>
    <t>ВК.55.200.700.2ТГ</t>
  </si>
  <si>
    <t>ВК.55.200.750.2ТГ</t>
  </si>
  <si>
    <t>ВК.55.200.800.2ТГ</t>
  </si>
  <si>
    <t>ВК.55.200.850.2ТГ</t>
  </si>
  <si>
    <t>ВК.55.200.900.2ТГ</t>
  </si>
  <si>
    <t>ВК.55.200.950.2ТГ</t>
  </si>
  <si>
    <t>ВК.55.200.1000.2ТГ</t>
  </si>
  <si>
    <t>ВК.55.200.1050.2ТГ</t>
  </si>
  <si>
    <t>ВК.55.200.1100.2ТГ</t>
  </si>
  <si>
    <t>ВК.55.200.1150.2ТГ</t>
  </si>
  <si>
    <t>ВК.55.200.1200.2ТГ</t>
  </si>
  <si>
    <t>ВК.55.200.1250.2ТГ</t>
  </si>
  <si>
    <t>ВК.55.200.1300.2ТГ</t>
  </si>
  <si>
    <t>ВК.55.200.1350.2ТГ</t>
  </si>
  <si>
    <t>ВК.55.200.1400.2ТГ</t>
  </si>
  <si>
    <t>ВК.55.200.1450.2ТГ</t>
  </si>
  <si>
    <t>ВК.55.200.1500.2ТГ</t>
  </si>
  <si>
    <t>ВК.55.200.1550.2ТГ</t>
  </si>
  <si>
    <t>ВК.55.200.1600.2ТГ</t>
  </si>
  <si>
    <t>ВК.55.200.1650.2ТГ</t>
  </si>
  <si>
    <t>ВК.55.200.1700.2ТГ</t>
  </si>
  <si>
    <t>ВК.55.200.1750.2ТГ</t>
  </si>
  <si>
    <t>ВК.55.200.1800.2ТГ</t>
  </si>
  <si>
    <t>ВК.55.200.1850.2ТГ</t>
  </si>
  <si>
    <t>ВК.55.200.1900.2ТГ</t>
  </si>
  <si>
    <t>ВК.55.200.1950.2ТГ</t>
  </si>
  <si>
    <t>ВК.55.200.2000.2ТГ</t>
  </si>
  <si>
    <t>ВК.55.200.2050.2ТГ</t>
  </si>
  <si>
    <t>ВК.55.200.2100.2ТГ</t>
  </si>
  <si>
    <t>ВК.55.200.2150.2ТГ</t>
  </si>
  <si>
    <t>ВК.55.200.2200.2ТГ</t>
  </si>
  <si>
    <t>ВК.55.200.2250.2ТГ</t>
  </si>
  <si>
    <t>ВК.55.200.2300.2ТГ</t>
  </si>
  <si>
    <t>ВК.55.200.2350.2ТГ</t>
  </si>
  <si>
    <t>ВК.55.200.2400.2ТГ</t>
  </si>
  <si>
    <t>ВК.55.200.2450.2ТГ</t>
  </si>
  <si>
    <t>ВК.55.200.2500.2ТГ</t>
  </si>
  <si>
    <t>ВК.55.200.2550.2ТГ</t>
  </si>
  <si>
    <t>ВК.55.200.2600.2ТГ</t>
  </si>
  <si>
    <t>ВК.55.200.2650.2ТГ</t>
  </si>
  <si>
    <t>ВК.55.200.2700.2ТГ</t>
  </si>
  <si>
    <t>ВК.55.200.2750.2ТГ</t>
  </si>
  <si>
    <t>ВК.55.200.2800.2ТГ</t>
  </si>
  <si>
    <t>ВК.55.200.2850.2ТГ</t>
  </si>
  <si>
    <t>ВК.55.200.2900.2ТГ</t>
  </si>
  <si>
    <t>ВК.55.200.2950.2ТГ</t>
  </si>
  <si>
    <t>ВК.55.200.3000.2ТГ</t>
  </si>
  <si>
    <t>ВК.55.260.600.2ТГ</t>
  </si>
  <si>
    <t>ВК.55.260.650.2ТГ</t>
  </si>
  <si>
    <t>ВК.55.260.700.2ТГ</t>
  </si>
  <si>
    <t>ВК.55.260.750.2ТГ</t>
  </si>
  <si>
    <t>ВК.55.260.800.2ТГ</t>
  </si>
  <si>
    <t>ВК.55.260.850.2ТГ</t>
  </si>
  <si>
    <t>ВК.55.260.900.2ТГ</t>
  </si>
  <si>
    <t>ВК.55.260.950.2ТГ</t>
  </si>
  <si>
    <t>ВК.55.260.1000.2ТГ</t>
  </si>
  <si>
    <t>ВК.55.260.1050.2ТГ</t>
  </si>
  <si>
    <t>ВК.55.260.1100.2ТГ</t>
  </si>
  <si>
    <t>ВК.55.260.1150.2ТГ</t>
  </si>
  <si>
    <t>ВК.55.260.1200.2ТГ</t>
  </si>
  <si>
    <t>ВК.55.260.1250.2ТГ</t>
  </si>
  <si>
    <t>ВК.55.260.1300.2ТГ</t>
  </si>
  <si>
    <t>ВК.55.260.1350.2ТГ</t>
  </si>
  <si>
    <t>ВК.55.260.1400.2ТГ</t>
  </si>
  <si>
    <t>ВК.55.260.1450.2ТГ</t>
  </si>
  <si>
    <t>ВК.55.260.1500.2ТГ</t>
  </si>
  <si>
    <t>ВК.55.260.1550.2ТГ</t>
  </si>
  <si>
    <t>ВК.55.260.1600.2ТГ</t>
  </si>
  <si>
    <t>ВК.55.260.1650.2ТГ</t>
  </si>
  <si>
    <t>ВК.55.260.1700.2ТГ</t>
  </si>
  <si>
    <t>ВК.55.260.1750.2ТГ</t>
  </si>
  <si>
    <t>ВК.55.260.1800.2ТГ</t>
  </si>
  <si>
    <t>ВК.55.260.1850.2ТГ</t>
  </si>
  <si>
    <t>ВК.55.260.1900.2ТГ</t>
  </si>
  <si>
    <t>ВК.55.260.1950.2ТГ</t>
  </si>
  <si>
    <t>ВК.55.260.2000.2ТГ</t>
  </si>
  <si>
    <t>ВК.55.260.2050.2ТГ</t>
  </si>
  <si>
    <t>ВК.55.260.2100.2ТГ</t>
  </si>
  <si>
    <t>ВК.55.260.2150.2ТГ</t>
  </si>
  <si>
    <t>ВК.55.260.2200.2ТГ</t>
  </si>
  <si>
    <t>ВК.55.260.2250.2ТГ</t>
  </si>
  <si>
    <t>ВК.55.260.2300.2ТГ</t>
  </si>
  <si>
    <t>ВК.55.260.2350.2ТГ</t>
  </si>
  <si>
    <t>ВК.55.260.2400.2ТГ</t>
  </si>
  <si>
    <t>ВК.55.260.2450.2ТГ</t>
  </si>
  <si>
    <t>ВК.55.260.2500.2ТГ</t>
  </si>
  <si>
    <t>ВК.55.260.2550.2ТГ</t>
  </si>
  <si>
    <t>ВК.55.260.2600.2ТГ</t>
  </si>
  <si>
    <t>ВК.55.260.2650.2ТГ</t>
  </si>
  <si>
    <t>ВК.55.260.2700.2ТГ</t>
  </si>
  <si>
    <t>ВК.55.260.2750.2ТГ</t>
  </si>
  <si>
    <t>ВК.55.260.2800.2ТГ</t>
  </si>
  <si>
    <t>ВК.55.260.2850.2ТГ</t>
  </si>
  <si>
    <t>ВК.55.260.2900.2ТГ</t>
  </si>
  <si>
    <t>ВК.55.260.2950.2ТГ</t>
  </si>
  <si>
    <t>ВК.55.260.3000.2ТГ</t>
  </si>
  <si>
    <t>ВК.55.300.600.2ТГ</t>
  </si>
  <si>
    <t>ВК.55.300.650.2ТГ</t>
  </si>
  <si>
    <t>ВК.55.300.700.2ТГ</t>
  </si>
  <si>
    <t>ВК.55.300.750.2ТГ</t>
  </si>
  <si>
    <t>ВК.55.300.800.2ТГ</t>
  </si>
  <si>
    <t>ВК.55.300.850.2ТГ</t>
  </si>
  <si>
    <t>ВК.55.300.900.2ТГ</t>
  </si>
  <si>
    <t>ВК.55.300.950.2ТГ</t>
  </si>
  <si>
    <t>ВК.55.300.1000.2ТГ</t>
  </si>
  <si>
    <t>ВК.55.300.1050.2ТГ</t>
  </si>
  <si>
    <t>ВК.55.300.1100.2ТГ</t>
  </si>
  <si>
    <t>ВК.55.300.1150.2ТГ</t>
  </si>
  <si>
    <t>ВК.55.300.1200.2ТГ</t>
  </si>
  <si>
    <t>ВК.55.300.1250.2ТГ</t>
  </si>
  <si>
    <t>ВК.55.300.1300.2ТГ</t>
  </si>
  <si>
    <t>ВК.55.300.1350.2ТГ</t>
  </si>
  <si>
    <t>ВК.55.300.1400.2ТГ</t>
  </si>
  <si>
    <t>ВК.55.300.1450.2ТГ</t>
  </si>
  <si>
    <t>ВК.55.300.1500.2ТГ</t>
  </si>
  <si>
    <t>ВК.55.300.1550.2ТГ</t>
  </si>
  <si>
    <t>ВК.55.300.1600.2ТГ</t>
  </si>
  <si>
    <t>ВК.55.300.1650.2ТГ</t>
  </si>
  <si>
    <t>ВК.55.300.1700.2ТГ</t>
  </si>
  <si>
    <t>ВК.55.300.1750.2ТГ</t>
  </si>
  <si>
    <t>ВК.55.300.1800.2ТГ</t>
  </si>
  <si>
    <t>ВК.55.300.1850.2ТГ</t>
  </si>
  <si>
    <t>ВК.55.300.1900.2ТГ</t>
  </si>
  <si>
    <t>ВК.55.300.1950.2ТГ</t>
  </si>
  <si>
    <t>ВК.55.300.2000.2ТГ</t>
  </si>
  <si>
    <t>ВК.55.300.2050.2ТГ</t>
  </si>
  <si>
    <t>ВК.55.300.2100.2ТГ</t>
  </si>
  <si>
    <t>ВК.55.300.2150.2ТГ</t>
  </si>
  <si>
    <t>ВК.55.300.2200.2ТГ</t>
  </si>
  <si>
    <t>ВК.55.300.2250.2ТГ</t>
  </si>
  <si>
    <t>ВК.55.300.2300.2ТГ</t>
  </si>
  <si>
    <t>ВК.55.300.2350.2ТГ</t>
  </si>
  <si>
    <t>ВК.55.300.2400.2ТГ</t>
  </si>
  <si>
    <t>ВК.55.300.2450.2ТГ</t>
  </si>
  <si>
    <t>ВК.55.300.2500.2ТГ</t>
  </si>
  <si>
    <t>ВК.55.300.2550.2ТГ</t>
  </si>
  <si>
    <t>ВК.55.300.2600.2ТГ</t>
  </si>
  <si>
    <t>ВК.55.300.2650.2ТГ</t>
  </si>
  <si>
    <t>ВК.55.300.2700.2ТГ</t>
  </si>
  <si>
    <t>ВК.55.300.2750.2ТГ</t>
  </si>
  <si>
    <t>ВК.55.300.2800.2ТГ</t>
  </si>
  <si>
    <t>ВК.55.300.2850.2ТГ</t>
  </si>
  <si>
    <t>ВК.55.300.2900.2ТГ</t>
  </si>
  <si>
    <t>ВК.55.300.2950.2ТГ</t>
  </si>
  <si>
    <t>ВК.55.300.3000.2ТГ</t>
  </si>
  <si>
    <t>ВК.55.300.600.4ТГ</t>
  </si>
  <si>
    <t>ВК.55.300.650.4ТГ</t>
  </si>
  <si>
    <t>ВК.55.300.700.4ТГ</t>
  </si>
  <si>
    <t>ВК.55.300.750.4ТГ</t>
  </si>
  <si>
    <t>ВК.55.300.800.4ТГ</t>
  </si>
  <si>
    <t>ВК.55.300.850.4ТГ</t>
  </si>
  <si>
    <t>ВК.55.300.900.4ТГ</t>
  </si>
  <si>
    <t>ВК.55.300.950.4ТГ</t>
  </si>
  <si>
    <t>ВК.55.300.1000.4ТГ</t>
  </si>
  <si>
    <t>ВК.55.300.1050.4ТГ</t>
  </si>
  <si>
    <t>ВК.55.300.1100.4ТГ</t>
  </si>
  <si>
    <t>ВК.55.300.1150.4ТГ</t>
  </si>
  <si>
    <t>ВК.55.300.1200.4ТГ</t>
  </si>
  <si>
    <t>ВК.55.300.1250.4ТГ</t>
  </si>
  <si>
    <t>ВК.55.300.1300.4ТГ</t>
  </si>
  <si>
    <t>ВК.55.300.1350.4ТГ</t>
  </si>
  <si>
    <t>ВК.55.300.1400.4ТГ</t>
  </si>
  <si>
    <t>ВК.55.300.1450.4ТГ</t>
  </si>
  <si>
    <t>ВК.55.300.1500.4ТГ</t>
  </si>
  <si>
    <t>ВК.55.300.1550.4ТГ</t>
  </si>
  <si>
    <t>ВК.55.300.1600.4ТГ</t>
  </si>
  <si>
    <t>ВК.55.300.1650.4ТГ</t>
  </si>
  <si>
    <t>ВК.55.300.1700.4ТГ</t>
  </si>
  <si>
    <t>ВК.55.300.1750.4ТГ</t>
  </si>
  <si>
    <t>ВК.55.300.1800.4ТГ</t>
  </si>
  <si>
    <t>ВК.55.300.1850.4ТГ</t>
  </si>
  <si>
    <t>ВК.55.300.1900.4ТГ</t>
  </si>
  <si>
    <t>ВК.55.300.1950.4ТГ</t>
  </si>
  <si>
    <t>ВК.55.300.2000.4ТГ</t>
  </si>
  <si>
    <t>ВК.55.300.2050.4ТГ</t>
  </si>
  <si>
    <t>ВК.55.300.2100.4ТГ</t>
  </si>
  <si>
    <t>ВК.55.300.2150.4ТГ</t>
  </si>
  <si>
    <t>ВК.55.300.2200.4ТГ</t>
  </si>
  <si>
    <t>ВК.55.300.2250.4ТГ</t>
  </si>
  <si>
    <t>ВК.55.300.2300.4ТГ</t>
  </si>
  <si>
    <t>ВК.55.300.2350.4ТГ</t>
  </si>
  <si>
    <t>ВК.55.300.2400.4ТГ</t>
  </si>
  <si>
    <t>ВК.55.300.2450.4ТГ</t>
  </si>
  <si>
    <t>ВК.55.300.2500.4ТГ</t>
  </si>
  <si>
    <t>ВК.55.300.2550.4ТГ</t>
  </si>
  <si>
    <t>ВК.55.300.2600.4ТГ</t>
  </si>
  <si>
    <t>ВК.55.300.2650.4ТГ</t>
  </si>
  <si>
    <t>ВК.55.300.2700.4ТГ</t>
  </si>
  <si>
    <t>ВК.55.300.2750.4ТГ</t>
  </si>
  <si>
    <t>ВК.55.300.2800.4ТГ</t>
  </si>
  <si>
    <t>ВК.55.300.2850.4ТГ</t>
  </si>
  <si>
    <t>ВК.55.300.2900.4ТГ</t>
  </si>
  <si>
    <t>ВК.55.300.2950.4ТГ</t>
  </si>
  <si>
    <t>ВК.55.300.3000.4ТГ</t>
  </si>
  <si>
    <t>ВК.65.160.600.2ТГ</t>
  </si>
  <si>
    <t>ВК.65.160.650.2ТГ</t>
  </si>
  <si>
    <t>ВК.65.160.700.2ТГ</t>
  </si>
  <si>
    <t>ВК.65.160.750.2ТГ</t>
  </si>
  <si>
    <t>ВК.65.160.800.2ТГ</t>
  </si>
  <si>
    <t>ВК.65.160.850.2ТГ</t>
  </si>
  <si>
    <t>ВК.65.160.900.2ТГ</t>
  </si>
  <si>
    <t>ВК.65.160.950.2ТГ</t>
  </si>
  <si>
    <t>ВК.65.160.1000.2ТГ</t>
  </si>
  <si>
    <t>ВК.65.160.1050.2ТГ</t>
  </si>
  <si>
    <t>ВК.65.160.1100.2ТГ</t>
  </si>
  <si>
    <t>ВК.65.160.1150.2ТГ</t>
  </si>
  <si>
    <t>ВК.65.160.1200.2ТГ</t>
  </si>
  <si>
    <t>ВК.65.160.1250.2ТГ</t>
  </si>
  <si>
    <t>ВК.65.160.1300.2ТГ</t>
  </si>
  <si>
    <t>ВК.65.160.1350.2ТГ</t>
  </si>
  <si>
    <t>ВК.65.160.1400.2ТГ</t>
  </si>
  <si>
    <t>ВК.65.160.1450.2ТГ</t>
  </si>
  <si>
    <t>ВК.65.160.1500.2ТГ</t>
  </si>
  <si>
    <t>ВК.65.160.1550.2ТГ</t>
  </si>
  <si>
    <t>ВК.65.160.1600.2ТГ</t>
  </si>
  <si>
    <t>ВК.65.160.1650.2ТГ</t>
  </si>
  <si>
    <t>ВК.65.160.1700.2ТГ</t>
  </si>
  <si>
    <t>ВК.65.160.1750.2ТГ</t>
  </si>
  <si>
    <t>ВК.65.160.1800.2ТГ</t>
  </si>
  <si>
    <t>ВК.65.160.1850.2ТГ</t>
  </si>
  <si>
    <t>ВК.65.160.1900.2ТГ</t>
  </si>
  <si>
    <t>ВК.65.160.1950.2ТГ</t>
  </si>
  <si>
    <t>ВК.65.160.2000.2ТГ</t>
  </si>
  <si>
    <t>ВК.65.160.2050.2ТГ</t>
  </si>
  <si>
    <t>ВК.65.160.2100.2ТГ</t>
  </si>
  <si>
    <t>ВК.65.160.2150.2ТГ</t>
  </si>
  <si>
    <t>ВК.65.160.2200.2ТГ</t>
  </si>
  <si>
    <t>ВК.65.160.2250.2ТГ</t>
  </si>
  <si>
    <t>ВК.65.160.2300.2ТГ</t>
  </si>
  <si>
    <t>ВК.65.160.2350.2ТГ</t>
  </si>
  <si>
    <t>ВК.65.160.2400.2ТГ</t>
  </si>
  <si>
    <t>ВК.65.160.2450.2ТГ</t>
  </si>
  <si>
    <t>ВК.65.160.2500.2ТГ</t>
  </si>
  <si>
    <t>ВК.65.160.2550.2ТГ</t>
  </si>
  <si>
    <t>ВК.65.160.2600.2ТГ</t>
  </si>
  <si>
    <t>ВК.65.160.2650.2ТГ</t>
  </si>
  <si>
    <t>ВК.65.160.2700.2ТГ</t>
  </si>
  <si>
    <t>ВК.65.160.2750.2ТГ</t>
  </si>
  <si>
    <t>ВК.65.160.2800.2ТГ</t>
  </si>
  <si>
    <t>ВК.65.160.2850.2ТГ</t>
  </si>
  <si>
    <t>ВК.65.160.2900.2ТГ</t>
  </si>
  <si>
    <t>ВК.65.160.2950.2ТГ</t>
  </si>
  <si>
    <t>ВК.65.160.3000.2ТГ</t>
  </si>
  <si>
    <t>ВК.65.200.600.2ТГ</t>
  </si>
  <si>
    <t>ВК.65.200.650.2ТГ</t>
  </si>
  <si>
    <t>ВК.65.200.700.2ТГ</t>
  </si>
  <si>
    <t>ВК.65.200.750.2ТГ</t>
  </si>
  <si>
    <t>ВК.65.200.800.2ТГ</t>
  </si>
  <si>
    <t>ВК.65.200.850.2ТГ</t>
  </si>
  <si>
    <t>ВК.65.200.900.2ТГ</t>
  </si>
  <si>
    <t>ВК.65.200.950.2ТГ</t>
  </si>
  <si>
    <t>ВК.65.200.1000.2ТГ</t>
  </si>
  <si>
    <t>ВК.65.200.1050.2ТГ</t>
  </si>
  <si>
    <t>ВК.65.200.1100.2ТГ</t>
  </si>
  <si>
    <t>ВК.65.200.1150.2ТГ</t>
  </si>
  <si>
    <t>ВК.65.200.1200.2ТГ</t>
  </si>
  <si>
    <t>ВК.65.200.1250.2ТГ</t>
  </si>
  <si>
    <t>ВК.65.200.1300.2ТГ</t>
  </si>
  <si>
    <t>ВК.65.200.1350.2ТГ</t>
  </si>
  <si>
    <t>ВК.65.200.1400.2ТГ</t>
  </si>
  <si>
    <t>ВК.65.200.1450.2ТГ</t>
  </si>
  <si>
    <t>ВК.65.200.1500.2ТГ</t>
  </si>
  <si>
    <t>ВК.65.200.1550.2ТГ</t>
  </si>
  <si>
    <t>ВК.65.200.1600.2ТГ</t>
  </si>
  <si>
    <t>ВК.65.200.1650.2ТГ</t>
  </si>
  <si>
    <t>ВК.65.200.1700.2ТГ</t>
  </si>
  <si>
    <t>ВК.65.200.1750.2ТГ</t>
  </si>
  <si>
    <t>ВК.65.200.1800.2ТГ</t>
  </si>
  <si>
    <t>ВК.65.200.1850.2ТГ</t>
  </si>
  <si>
    <t>ВК.65.200.1900.2ТГ</t>
  </si>
  <si>
    <t>ВК.65.200.1950.2ТГ</t>
  </si>
  <si>
    <t>ВК.65.200.2000.2ТГ</t>
  </si>
  <si>
    <t>ВК.65.200.2050.2ТГ</t>
  </si>
  <si>
    <t>ВК.65.200.2100.2ТГ</t>
  </si>
  <si>
    <t>ВК.65.200.2150.2ТГ</t>
  </si>
  <si>
    <t>ВК.65.200.2200.2ТГ</t>
  </si>
  <si>
    <t>ВК.65.200.2250.2ТГ</t>
  </si>
  <si>
    <t>ВК.65.200.2300.2ТГ</t>
  </si>
  <si>
    <t>ВК.65.200.2350.2ТГ</t>
  </si>
  <si>
    <t>ВК.65.200.2400.2ТГ</t>
  </si>
  <si>
    <t>ВК.65.200.2450.2ТГ</t>
  </si>
  <si>
    <t>ВК.65.200.2500.2ТГ</t>
  </si>
  <si>
    <t>ВК.65.200.2550.2ТГ</t>
  </si>
  <si>
    <t>ВК.65.200.2600.2ТГ</t>
  </si>
  <si>
    <t>ВК.65.200.2650.2ТГ</t>
  </si>
  <si>
    <t>ВК.65.200.2700.2ТГ</t>
  </si>
  <si>
    <t>ВК.65.200.2750.2ТГ</t>
  </si>
  <si>
    <t>ВК.65.200.2800.2ТГ</t>
  </si>
  <si>
    <t>ВК.65.200.2850.2ТГ</t>
  </si>
  <si>
    <t>ВК.65.200.2900.2ТГ</t>
  </si>
  <si>
    <t>ВК.65.200.2950.2ТГ</t>
  </si>
  <si>
    <t>ВК.65.200.3000.2ТГ</t>
  </si>
  <si>
    <t>ВК.65.260.600.2ТГ</t>
  </si>
  <si>
    <t>ВК.65.260.650.2ТГ</t>
  </si>
  <si>
    <t>ВК.65.260.700.2ТГ</t>
  </si>
  <si>
    <t>ВК.65.260.750.2ТГ</t>
  </si>
  <si>
    <t>ВК.65.260.800.2ТГ</t>
  </si>
  <si>
    <t>ВК.65.260.850.2ТГ</t>
  </si>
  <si>
    <t>ВК.65.260.900.2ТГ</t>
  </si>
  <si>
    <t>ВК.65.260.950.2ТГ</t>
  </si>
  <si>
    <t>ВК.65.260.1000.2ТГ</t>
  </si>
  <si>
    <t>ВК.65.260.1050.2ТГ</t>
  </si>
  <si>
    <t>ВК.65.260.1100.2ТГ</t>
  </si>
  <si>
    <t>ВК.65.260.1150.2ТГ</t>
  </si>
  <si>
    <t>ВК.65.260.1200.2ТГ</t>
  </si>
  <si>
    <t>ВК.65.260.1250.2ТГ</t>
  </si>
  <si>
    <t>ВК.65.260.1300.2ТГ</t>
  </si>
  <si>
    <t>ВК.65.260.1350.2ТГ</t>
  </si>
  <si>
    <t>ВК.65.260.1400.2ТГ</t>
  </si>
  <si>
    <t>ВК.65.260.1450.2ТГ</t>
  </si>
  <si>
    <t>ВК.65.260.1500.2ТГ</t>
  </si>
  <si>
    <t>ВК.65.260.1550.2ТГ</t>
  </si>
  <si>
    <t>ВК.65.260.1600.2ТГ</t>
  </si>
  <si>
    <t>ВК.65.260.1650.2ТГ</t>
  </si>
  <si>
    <t>ВК.65.260.1700.2ТГ</t>
  </si>
  <si>
    <t>ВК.65.260.1750.2ТГ</t>
  </si>
  <si>
    <t>ВК.65.260.1800.2ТГ</t>
  </si>
  <si>
    <t>ВК.65.260.1850.2ТГ</t>
  </si>
  <si>
    <t>ВК.65.260.1900.2ТГ</t>
  </si>
  <si>
    <t>ВК.65.260.1950.2ТГ</t>
  </si>
  <si>
    <t>ВК.65.260.2000.2ТГ</t>
  </si>
  <si>
    <t>ВК.65.260.2050.2ТГ</t>
  </si>
  <si>
    <t>ВК.65.260.2100.2ТГ</t>
  </si>
  <si>
    <t>ВК.65.260.2150.2ТГ</t>
  </si>
  <si>
    <t>ВК.65.260.2200.2ТГ</t>
  </si>
  <si>
    <t>ВК.65.260.2250.2ТГ</t>
  </si>
  <si>
    <t>ВК.65.260.2300.2ТГ</t>
  </si>
  <si>
    <t>ВК.65.260.2350.2ТГ</t>
  </si>
  <si>
    <t>ВК.65.260.2400.2ТГ</t>
  </si>
  <si>
    <t>ВК.65.260.2450.2ТГ</t>
  </si>
  <si>
    <t>ВК.65.260.2500.2ТГ</t>
  </si>
  <si>
    <t>ВК.65.260.2550.2ТГ</t>
  </si>
  <si>
    <t>ВК.65.260.2600.2ТГ</t>
  </si>
  <si>
    <t>ВК.65.260.2650.2ТГ</t>
  </si>
  <si>
    <t>ВК.65.260.2700.2ТГ</t>
  </si>
  <si>
    <t>ВК.65.260.2750.2ТГ</t>
  </si>
  <si>
    <t>ВК.65.260.2800.2ТГ</t>
  </si>
  <si>
    <t>ВК.65.260.2850.2ТГ</t>
  </si>
  <si>
    <t>ВК.65.260.2900.2ТГ</t>
  </si>
  <si>
    <t>ВК.65.260.2950.2ТГ</t>
  </si>
  <si>
    <t>ВК.65.260.3000.2ТГ</t>
  </si>
  <si>
    <t>ВК.65.300.600.2ТГ</t>
  </si>
  <si>
    <t>ВК.65.300.650.2ТГ</t>
  </si>
  <si>
    <t>ВК.65.300.700.2ТГ</t>
  </si>
  <si>
    <t>ВК.65.300.750.2ТГ</t>
  </si>
  <si>
    <t>ВК.65.300.800.2ТГ</t>
  </si>
  <si>
    <t>ВК.65.300.850.2ТГ</t>
  </si>
  <si>
    <t>ВК.65.300.900.2ТГ</t>
  </si>
  <si>
    <t>ВК.65.300.950.2ТГ</t>
  </si>
  <si>
    <t>ВК.65.300.1000.2ТГ</t>
  </si>
  <si>
    <t>ВК.65.300.1050.2ТГ</t>
  </si>
  <si>
    <t>ВК.65.300.1100.2ТГ</t>
  </si>
  <si>
    <t>ВК.65.300.1150.2ТГ</t>
  </si>
  <si>
    <t>ВК.65.300.1200.2ТГ</t>
  </si>
  <si>
    <t>ВК.65.300.1250.2ТГ</t>
  </si>
  <si>
    <t>ВК.65.300.1300.2ТГ</t>
  </si>
  <si>
    <t>ВК.65.300.1350.2ТГ</t>
  </si>
  <si>
    <t>ВК.65.300.1400.2ТГ</t>
  </si>
  <si>
    <t>ВК.65.300.1450.2ТГ</t>
  </si>
  <si>
    <t>ВК.65.300.1500.2ТГ</t>
  </si>
  <si>
    <t>ВК.65.300.1550.2ТГ</t>
  </si>
  <si>
    <t>ВК.65.300.1600.2ТГ</t>
  </si>
  <si>
    <t>ВК.65.300.1650.2ТГ</t>
  </si>
  <si>
    <t>ВК.65.300.1700.2ТГ</t>
  </si>
  <si>
    <t>ВК.65.300.1750.2ТГ</t>
  </si>
  <si>
    <t>ВК.65.300.1800.2ТГ</t>
  </si>
  <si>
    <t>ВК.65.300.1850.2ТГ</t>
  </si>
  <si>
    <t>ВК.65.300.1900.2ТГ</t>
  </si>
  <si>
    <t>ВК.65.300.1950.2ТГ</t>
  </si>
  <si>
    <t>ВК.65.300.2000.2ТГ</t>
  </si>
  <si>
    <t>ВК.65.300.2050.2ТГ</t>
  </si>
  <si>
    <t>ВК.65.300.2100.2ТГ</t>
  </si>
  <si>
    <t>ВК.65.300.2150.2ТГ</t>
  </si>
  <si>
    <t>ВК.65.300.2200.2ТГ</t>
  </si>
  <si>
    <t>ВК.65.300.2250.2ТГ</t>
  </si>
  <si>
    <t>ВК.65.300.2300.2ТГ</t>
  </si>
  <si>
    <t>ВК.65.300.2350.2ТГ</t>
  </si>
  <si>
    <t>ВК.65.300.2400.2ТГ</t>
  </si>
  <si>
    <t>ВК.65.300.2450.2ТГ</t>
  </si>
  <si>
    <t>ВК.65.300.2500.2ТГ</t>
  </si>
  <si>
    <t>ВК.65.300.2550.2ТГ</t>
  </si>
  <si>
    <t>ВК.65.300.2600.2ТГ</t>
  </si>
  <si>
    <t>ВК.65.300.2650.2ТГ</t>
  </si>
  <si>
    <t>ВК.65.300.2700.2ТГ</t>
  </si>
  <si>
    <t>ВК.65.300.2750.2ТГ</t>
  </si>
  <si>
    <t>ВК.65.300.2800.2ТГ</t>
  </si>
  <si>
    <t>ВК.65.300.2850.2ТГ</t>
  </si>
  <si>
    <t>ВК.65.300.2900.2ТГ</t>
  </si>
  <si>
    <t>ВК.65.300.2950.2ТГ</t>
  </si>
  <si>
    <t>ВК.65.300.3000.2ТГ</t>
  </si>
  <si>
    <t>ВК.65.300.600.4ТГ</t>
  </si>
  <si>
    <t>ВК.65.300.650.4ТГ</t>
  </si>
  <si>
    <t>ВК.65.300.700.4ТГ</t>
  </si>
  <si>
    <t>ВК.65.300.750.4ТГ</t>
  </si>
  <si>
    <t>ВК.65.300.800.4ТГ</t>
  </si>
  <si>
    <t>ВК.65.300.850.4ТГ</t>
  </si>
  <si>
    <t>ВК.65.300.900.4ТГ</t>
  </si>
  <si>
    <t>ВК.65.300.950.4ТГ</t>
  </si>
  <si>
    <t>ВК.65.300.1000.4ТГ</t>
  </si>
  <si>
    <t>ВК.65.300.1050.4ТГ</t>
  </si>
  <si>
    <t>ВК.65.300.1100.4ТГ</t>
  </si>
  <si>
    <t>ВК.65.300.1150.4ТГ</t>
  </si>
  <si>
    <t>ВК.65.300.1200.4ТГ</t>
  </si>
  <si>
    <t>ВК.65.300.1250.4ТГ</t>
  </si>
  <si>
    <t>ВК.65.300.1300.4ТГ</t>
  </si>
  <si>
    <t>ВК.65.300.1350.4ТГ</t>
  </si>
  <si>
    <t>ВК.65.300.1400.4ТГ</t>
  </si>
  <si>
    <t>ВК.65.300.1450.4ТГ</t>
  </si>
  <si>
    <t>ВК.65.300.1500.4ТГ</t>
  </si>
  <si>
    <t>ВК.65.300.1550.4ТГ</t>
  </si>
  <si>
    <t>ВК.65.300.1600.4ТГ</t>
  </si>
  <si>
    <t>ВК.65.300.1650.4ТГ</t>
  </si>
  <si>
    <t>ВК.65.300.1700.4ТГ</t>
  </si>
  <si>
    <t>ВК.65.300.1750.4ТГ</t>
  </si>
  <si>
    <t>ВК.65.300.1800.4ТГ</t>
  </si>
  <si>
    <t>ВК.65.300.1850.4ТГ</t>
  </si>
  <si>
    <t>ВК.65.300.1900.4ТГ</t>
  </si>
  <si>
    <t>ВК.65.300.1950.4ТГ</t>
  </si>
  <si>
    <t>ВК.65.300.2000.4ТГ</t>
  </si>
  <si>
    <t>ВК.65.300.2050.4ТГ</t>
  </si>
  <si>
    <t>ВК.65.300.2100.4ТГ</t>
  </si>
  <si>
    <t>ВК.65.300.2150.4ТГ</t>
  </si>
  <si>
    <t>ВК.65.300.2200.4ТГ</t>
  </si>
  <si>
    <t>ВК.65.300.2250.4ТГ</t>
  </si>
  <si>
    <t>ВК.65.300.2300.4ТГ</t>
  </si>
  <si>
    <t>ВК.65.300.2350.4ТГ</t>
  </si>
  <si>
    <t>ВК.65.300.2400.4ТГ</t>
  </si>
  <si>
    <t>ВК.65.300.2450.4ТГ</t>
  </si>
  <si>
    <t>ВК.65.300.2500.4ТГ</t>
  </si>
  <si>
    <t>ВК.65.300.2550.4ТГ</t>
  </si>
  <si>
    <t>ВК.65.300.2600.4ТГ</t>
  </si>
  <si>
    <t>ВК.65.300.2650.4ТГ</t>
  </si>
  <si>
    <t>ВК.65.300.2700.4ТГ</t>
  </si>
  <si>
    <t>ВК.65.300.2750.4ТГ</t>
  </si>
  <si>
    <t>ВК.65.300.2800.4ТГ</t>
  </si>
  <si>
    <t>ВК.65.300.2850.4ТГ</t>
  </si>
  <si>
    <t>ВК.65.300.2900.4ТГ</t>
  </si>
  <si>
    <t>ВК.65.300.2950.4ТГ</t>
  </si>
  <si>
    <t>ВК.65.300.3000.4ТГ</t>
  </si>
  <si>
    <t>ВК.70.160.600.2ТГ</t>
  </si>
  <si>
    <t>ВК.70.160.650.2ТГ</t>
  </si>
  <si>
    <t>ВК.70.160.700.2ТГ</t>
  </si>
  <si>
    <t>ВК.70.160.750.2ТГ</t>
  </si>
  <si>
    <t>ВК.70.160.800.2ТГ</t>
  </si>
  <si>
    <t>ВК.70.160.850.2ТГ</t>
  </si>
  <si>
    <t>ВК.70.160.900.2ТГ</t>
  </si>
  <si>
    <t>ВК.70.160.950.2ТГ</t>
  </si>
  <si>
    <t>ВК.70.160.1000.2ТГ</t>
  </si>
  <si>
    <t>ВК.70.160.1050.2ТГ</t>
  </si>
  <si>
    <t>ВК.70.160.1100.2ТГ</t>
  </si>
  <si>
    <t>ВК.70.160.1150.2ТГ</t>
  </si>
  <si>
    <t>ВК.70.160.1200.2ТГ</t>
  </si>
  <si>
    <t>ВК.70.160.1250.2ТГ</t>
  </si>
  <si>
    <t>ВК.70.160.1300.2ТГ</t>
  </si>
  <si>
    <t>ВК.70.160.1350.2ТГ</t>
  </si>
  <si>
    <t>ВК.70.160.1400.2ТГ</t>
  </si>
  <si>
    <t>ВК.70.160.1450.2ТГ</t>
  </si>
  <si>
    <t>ВК.70.160.1500.2ТГ</t>
  </si>
  <si>
    <t>ВК.70.160.1550.2ТГ</t>
  </si>
  <si>
    <t>ВК.70.160.1600.2ТГ</t>
  </si>
  <si>
    <t>ВК.70.160.1650.2ТГ</t>
  </si>
  <si>
    <t>ВК.70.160.1700.2ТГ</t>
  </si>
  <si>
    <t>ВК.70.160.1750.2ТГ</t>
  </si>
  <si>
    <t>ВК.70.160.1800.2ТГ</t>
  </si>
  <si>
    <t>ВК.70.160.1850.2ТГ</t>
  </si>
  <si>
    <t>ВК.70.160.1900.2ТГ</t>
  </si>
  <si>
    <t>ВК.70.160.1950.2ТГ</t>
  </si>
  <si>
    <t>ВК.70.160.2000.2ТГ</t>
  </si>
  <si>
    <t>ВК.70.160.2050.2ТГ</t>
  </si>
  <si>
    <t>ВК.70.160.2100.2ТГ</t>
  </si>
  <si>
    <t>ВК.70.160.2150.2ТГ</t>
  </si>
  <si>
    <t>ВК.70.160.2200.2ТГ</t>
  </si>
  <si>
    <t>ВК.70.160.2250.2ТГ</t>
  </si>
  <si>
    <t>ВК.70.160.2300.2ТГ</t>
  </si>
  <si>
    <t>ВК.70.160.2350.2ТГ</t>
  </si>
  <si>
    <t>ВК.70.160.2400.2ТГ</t>
  </si>
  <si>
    <t>ВК.70.160.2450.2ТГ</t>
  </si>
  <si>
    <t>ВК.70.160.2500.2ТГ</t>
  </si>
  <si>
    <t>ВК.70.160.2550.2ТГ</t>
  </si>
  <si>
    <t>ВК.70.160.2600.2ТГ</t>
  </si>
  <si>
    <t>ВК.70.160.2650.2ТГ</t>
  </si>
  <si>
    <t>ВК.70.160.2700.2ТГ</t>
  </si>
  <si>
    <t>ВК.70.160.2750.2ТГ</t>
  </si>
  <si>
    <t>ВК.70.160.2800.2ТГ</t>
  </si>
  <si>
    <t>ВК.70.160.2850.2ТГ</t>
  </si>
  <si>
    <t>ВК.70.160.2900.2ТГ</t>
  </si>
  <si>
    <t>ВК.70.160.2950.2ТГ</t>
  </si>
  <si>
    <t>ВК.70.160.3000.2ТГ</t>
  </si>
  <si>
    <t>ВК.70.200.600.2ТГ</t>
  </si>
  <si>
    <t>ВК.70.200.650.2ТГ</t>
  </si>
  <si>
    <t>ВК.70.200.700.2ТГ</t>
  </si>
  <si>
    <t>ВК.70.200.750.2ТГ</t>
  </si>
  <si>
    <t>ВК.70.200.800.2ТГ</t>
  </si>
  <si>
    <t>ВК.70.200.850.2ТГ</t>
  </si>
  <si>
    <t>ВК.70.200.900.2ТГ</t>
  </si>
  <si>
    <t>ВК.70.200.950.2ТГ</t>
  </si>
  <si>
    <t>ВК.70.200.1000.2ТГ</t>
  </si>
  <si>
    <t>ВК.70.200.1050.2ТГ</t>
  </si>
  <si>
    <t>ВК.70.200.1100.2ТГ</t>
  </si>
  <si>
    <t>ВК.70.200.1150.2ТГ</t>
  </si>
  <si>
    <t>ВК.70.200.1200.2ТГ</t>
  </si>
  <si>
    <t>ВК.70.200.1250.2ТГ</t>
  </si>
  <si>
    <t>ВК.70.200.1300.2ТГ</t>
  </si>
  <si>
    <t>ВК.70.200.1350.2ТГ</t>
  </si>
  <si>
    <t>ВК.70.200.1400.2ТГ</t>
  </si>
  <si>
    <t>ВК.70.200.1450.2ТГ</t>
  </si>
  <si>
    <t>ВК.70.200.1500.2ТГ</t>
  </si>
  <si>
    <t>ВК.70.200.1550.2ТГ</t>
  </si>
  <si>
    <t>ВК.70.200.1600.2ТГ</t>
  </si>
  <si>
    <t>ВК.70.200.1650.2ТГ</t>
  </si>
  <si>
    <t>ВК.70.200.1700.2ТГ</t>
  </si>
  <si>
    <t>ВК.70.200.1750.2ТГ</t>
  </si>
  <si>
    <t>ВК.70.200.1800.2ТГ</t>
  </si>
  <si>
    <t>ВК.70.200.1850.2ТГ</t>
  </si>
  <si>
    <t>ВК.70.200.1900.2ТГ</t>
  </si>
  <si>
    <t>ВК.70.200.1950.2ТГ</t>
  </si>
  <si>
    <t>ВК.70.200.2000.2ТГ</t>
  </si>
  <si>
    <t>ВК.70.200.2050.2ТГ</t>
  </si>
  <si>
    <t>ВК.70.200.2100.2ТГ</t>
  </si>
  <si>
    <t>ВК.70.200.2150.2ТГ</t>
  </si>
  <si>
    <t>ВК.70.200.2200.2ТГ</t>
  </si>
  <si>
    <t>ВК.70.200.2250.2ТГ</t>
  </si>
  <si>
    <t>ВК.70.200.2300.2ТГ</t>
  </si>
  <si>
    <t>ВК.70.200.2350.2ТГ</t>
  </si>
  <si>
    <t>ВК.70.200.2400.2ТГ</t>
  </si>
  <si>
    <t>ВК.70.200.2450.2ТГ</t>
  </si>
  <si>
    <t>ВК.70.200.2500.2ТГ</t>
  </si>
  <si>
    <t>ВК.70.200.2550.2ТГ</t>
  </si>
  <si>
    <t>ВК.70.200.2600.2ТГ</t>
  </si>
  <si>
    <t>ВК.70.200.2650.2ТГ</t>
  </si>
  <si>
    <t>ВК.70.200.2700.2ТГ</t>
  </si>
  <si>
    <t>ВК.70.200.2750.2ТГ</t>
  </si>
  <si>
    <t>ВК.70.200.2800.2ТГ</t>
  </si>
  <si>
    <t>ВК.70.200.2850.2ТГ</t>
  </si>
  <si>
    <t>ВК.70.200.2900.2ТГ</t>
  </si>
  <si>
    <t>ВК.70.200.2950.2ТГ</t>
  </si>
  <si>
    <t>ВК.70.200.3000.2ТГ</t>
  </si>
  <si>
    <t>ВК.70.260.600.2ТГ</t>
  </si>
  <si>
    <t>ВК.70.260.650.2ТГ</t>
  </si>
  <si>
    <t>ВК.70.260.700.2ТГ</t>
  </si>
  <si>
    <t>ВК.70.260.750.2ТГ</t>
  </si>
  <si>
    <t>ВК.70.260.800.2ТГ</t>
  </si>
  <si>
    <t>ВК.70.260.850.2ТГ</t>
  </si>
  <si>
    <t>ВК.70.260.900.2ТГ</t>
  </si>
  <si>
    <t>ВК.70.260.950.2ТГ</t>
  </si>
  <si>
    <t>ВК.70.260.1000.2ТГ</t>
  </si>
  <si>
    <t>ВК.70.260.1050.2ТГ</t>
  </si>
  <si>
    <t>ВК.70.260.1100.2ТГ</t>
  </si>
  <si>
    <t>ВК.70.260.1150.2ТГ</t>
  </si>
  <si>
    <t>ВК.70.260.1200.2ТГ</t>
  </si>
  <si>
    <t>ВК.70.260.1250.2ТГ</t>
  </si>
  <si>
    <t>ВК.70.260.1300.2ТГ</t>
  </si>
  <si>
    <t>ВК.70.260.1350.2ТГ</t>
  </si>
  <si>
    <t>ВК.70.260.1400.2ТГ</t>
  </si>
  <si>
    <t>ВК.70.260.1450.2ТГ</t>
  </si>
  <si>
    <t>ВК.70.260.1500.2ТГ</t>
  </si>
  <si>
    <t>ВК.70.260.1550.2ТГ</t>
  </si>
  <si>
    <t>ВК.70.260.1600.2ТГ</t>
  </si>
  <si>
    <t>ВК.70.260.1650.2ТГ</t>
  </si>
  <si>
    <t>ВК.70.260.1700.2ТГ</t>
  </si>
  <si>
    <t>ВК.70.260.1750.2ТГ</t>
  </si>
  <si>
    <t>ВК.70.260.1800.2ТГ</t>
  </si>
  <si>
    <t>ВК.70.260.1850.2ТГ</t>
  </si>
  <si>
    <t>ВК.70.260.1900.2ТГ</t>
  </si>
  <si>
    <t>ВК.70.260.1950.2ТГ</t>
  </si>
  <si>
    <t>ВК.70.260.2000.2ТГ</t>
  </si>
  <si>
    <t>ВК.70.260.2050.2ТГ</t>
  </si>
  <si>
    <t>ВК.70.260.2100.2ТГ</t>
  </si>
  <si>
    <t>ВК.70.260.2150.2ТГ</t>
  </si>
  <si>
    <t>ВК.70.260.2200.2ТГ</t>
  </si>
  <si>
    <t>ВК.70.260.2250.2ТГ</t>
  </si>
  <si>
    <t>ВК.70.260.2300.2ТГ</t>
  </si>
  <si>
    <t>ВК.70.260.2350.2ТГ</t>
  </si>
  <si>
    <t>ВК.70.260.2400.2ТГ</t>
  </si>
  <si>
    <t>ВК.70.260.2450.2ТГ</t>
  </si>
  <si>
    <t>ВК.70.260.2500.2ТГ</t>
  </si>
  <si>
    <t>ВК.70.260.2550.2ТГ</t>
  </si>
  <si>
    <t>ВК.70.260.2600.2ТГ</t>
  </si>
  <si>
    <t>ВК.70.260.2650.2ТГ</t>
  </si>
  <si>
    <t>ВК.70.260.2700.2ТГ</t>
  </si>
  <si>
    <t>ВК.70.260.2750.2ТГ</t>
  </si>
  <si>
    <t>ВК.70.260.2800.2ТГ</t>
  </si>
  <si>
    <t>ВК.70.260.2850.2ТГ</t>
  </si>
  <si>
    <t>ВК.70.260.2900.2ТГ</t>
  </si>
  <si>
    <t>ВК.70.260.2950.2ТГ</t>
  </si>
  <si>
    <t>ВК.70.260.3000.2ТГ</t>
  </si>
  <si>
    <t>ВК.70.300.600.2ТГ</t>
  </si>
  <si>
    <t>ВК.70.300.650.2ТГ</t>
  </si>
  <si>
    <t>ВК.70.300.700.2ТГ</t>
  </si>
  <si>
    <t>ВК.70.300.750.2ТГ</t>
  </si>
  <si>
    <t>ВК.70.300.800.2ТГ</t>
  </si>
  <si>
    <t>ВК.70.300.850.2ТГ</t>
  </si>
  <si>
    <t>ВК.70.300.900.2ТГ</t>
  </si>
  <si>
    <t>ВК.70.300.950.2ТГ</t>
  </si>
  <si>
    <t>ВК.70.300.1000.2ТГ</t>
  </si>
  <si>
    <t>ВК.70.300.1050.2ТГ</t>
  </si>
  <si>
    <t>ВК.70.300.1100.2ТГ</t>
  </si>
  <si>
    <t>ВК.70.300.1150.2ТГ</t>
  </si>
  <si>
    <t>ВК.70.300.1200.2ТГ</t>
  </si>
  <si>
    <t>ВК.70.300.1250.2ТГ</t>
  </si>
  <si>
    <t>ВК.70.300.1300.2ТГ</t>
  </si>
  <si>
    <t>ВК.70.300.1350.2ТГ</t>
  </si>
  <si>
    <t>ВК.70.300.1400.2ТГ</t>
  </si>
  <si>
    <t>ВК.70.300.1450.2ТГ</t>
  </si>
  <si>
    <t>ВК.70.300.1500.2ТГ</t>
  </si>
  <si>
    <t>ВК.70.300.1550.2ТГ</t>
  </si>
  <si>
    <t>ВК.70.300.1600.2ТГ</t>
  </si>
  <si>
    <t>ВК.70.300.1650.2ТГ</t>
  </si>
  <si>
    <t>ВК.70.300.1700.2ТГ</t>
  </si>
  <si>
    <t>ВК.70.300.1750.2ТГ</t>
  </si>
  <si>
    <t>ВК.70.300.1800.2ТГ</t>
  </si>
  <si>
    <t>ВК.70.300.1850.2ТГ</t>
  </si>
  <si>
    <t>ВК.70.300.1900.2ТГ</t>
  </si>
  <si>
    <t>ВК.70.300.1950.2ТГ</t>
  </si>
  <si>
    <t>ВК.70.300.2000.2ТГ</t>
  </si>
  <si>
    <t>ВК.70.300.2050.2ТГ</t>
  </si>
  <si>
    <t>ВК.70.300.2100.2ТГ</t>
  </si>
  <si>
    <t>ВК.70.300.2150.2ТГ</t>
  </si>
  <si>
    <t>ВК.70.300.2200.2ТГ</t>
  </si>
  <si>
    <t>ВК.70.300.2250.2ТГ</t>
  </si>
  <si>
    <t>ВК.70.300.2300.2ТГ</t>
  </si>
  <si>
    <t>ВК.70.300.2350.2ТГ</t>
  </si>
  <si>
    <t>ВК.70.300.2400.2ТГ</t>
  </si>
  <si>
    <t>ВК.70.300.2450.2ТГ</t>
  </si>
  <si>
    <t>ВК.70.300.2500.2ТГ</t>
  </si>
  <si>
    <t>ВК.70.300.2550.2ТГ</t>
  </si>
  <si>
    <t>ВК.70.300.2600.2ТГ</t>
  </si>
  <si>
    <t>ВК.70.300.2650.2ТГ</t>
  </si>
  <si>
    <t>ВК.70.300.2700.2ТГ</t>
  </si>
  <si>
    <t>ВК.70.300.2750.2ТГ</t>
  </si>
  <si>
    <t>ВК.70.300.2800.2ТГ</t>
  </si>
  <si>
    <t>ВК.70.300.2850.2ТГ</t>
  </si>
  <si>
    <t>ВК.70.300.2900.2ТГ</t>
  </si>
  <si>
    <t>ВК.70.300.2950.2ТГ</t>
  </si>
  <si>
    <t>ВК.70.300.3000.2ТГ</t>
  </si>
  <si>
    <t>ВК.70.300.600.4ТГ</t>
  </si>
  <si>
    <t>ВК.70.300.650.4ТГ</t>
  </si>
  <si>
    <t>ВК.70.300.700.4ТГ</t>
  </si>
  <si>
    <t>ВК.70.300.750.4ТГ</t>
  </si>
  <si>
    <t>ВК.70.300.800.4ТГ</t>
  </si>
  <si>
    <t>ВК.70.300.850.4ТГ</t>
  </si>
  <si>
    <t>ВК.70.300.900.4ТГ</t>
  </si>
  <si>
    <t>ВК.70.300.950.4ТГ</t>
  </si>
  <si>
    <t>ВК.70.300.1000.4ТГ</t>
  </si>
  <si>
    <t>ВК.70.300.1050.4ТГ</t>
  </si>
  <si>
    <t>ВК.70.300.1100.4ТГ</t>
  </si>
  <si>
    <t>ВК.70.300.1150.4ТГ</t>
  </si>
  <si>
    <t>ВК.70.300.1200.4ТГ</t>
  </si>
  <si>
    <t>ВК.70.300.1250.4ТГ</t>
  </si>
  <si>
    <t>ВК.70.300.1300.4ТГ</t>
  </si>
  <si>
    <t>ВК.70.300.1350.4ТГ</t>
  </si>
  <si>
    <t>ВК.70.300.1400.4ТГ</t>
  </si>
  <si>
    <t>ВК.70.300.1450.4ТГ</t>
  </si>
  <si>
    <t>ВК.70.300.1500.4ТГ</t>
  </si>
  <si>
    <t>ВК.70.300.1550.4ТГ</t>
  </si>
  <si>
    <t>ВК.70.300.1600.4ТГ</t>
  </si>
  <si>
    <t>ВК.70.300.1650.4ТГ</t>
  </si>
  <si>
    <t>ВК.70.300.1700.4ТГ</t>
  </si>
  <si>
    <t>ВК.70.300.1750.4ТГ</t>
  </si>
  <si>
    <t>ВК.70.300.1800.4ТГ</t>
  </si>
  <si>
    <t>ВК.70.300.1850.4ТГ</t>
  </si>
  <si>
    <t>ВК.70.300.1900.4ТГ</t>
  </si>
  <si>
    <t>ВК.70.300.1950.4ТГ</t>
  </si>
  <si>
    <t>ВК.70.300.2000.4ТГ</t>
  </si>
  <si>
    <t>ВК.70.300.2050.4ТГ</t>
  </si>
  <si>
    <t>ВК.70.300.2100.4ТГ</t>
  </si>
  <si>
    <t>ВК.70.300.2150.4ТГ</t>
  </si>
  <si>
    <t>ВК.70.300.2200.4ТГ</t>
  </si>
  <si>
    <t>ВК.70.300.2250.4ТГ</t>
  </si>
  <si>
    <t>ВК.70.300.2300.4ТГ</t>
  </si>
  <si>
    <t>ВК.70.300.2350.4ТГ</t>
  </si>
  <si>
    <t>ВК.70.300.2400.4ТГ</t>
  </si>
  <si>
    <t>ВК.70.300.2450.4ТГ</t>
  </si>
  <si>
    <t>ВК.70.300.2500.4ТГ</t>
  </si>
  <si>
    <t>ВК.70.300.2550.4ТГ</t>
  </si>
  <si>
    <t>ВК.70.300.2600.4ТГ</t>
  </si>
  <si>
    <t>ВК.70.300.2650.4ТГ</t>
  </si>
  <si>
    <t>ВК.70.300.2700.4ТГ</t>
  </si>
  <si>
    <t>ВК.70.300.2750.4ТГ</t>
  </si>
  <si>
    <t>ВК.70.300.2800.4ТГ</t>
  </si>
  <si>
    <t>ВК.70.300.2850.4ТГ</t>
  </si>
  <si>
    <t>ВК.70.300.2900.4ТГ</t>
  </si>
  <si>
    <t>ВК.70.300.2950.4ТГ</t>
  </si>
  <si>
    <t>ВК.70.300.3000.4ТГ</t>
  </si>
  <si>
    <t>ВК.75.160.600.2ТГ</t>
  </si>
  <si>
    <t>ВК.75.160.650.2ТГ</t>
  </si>
  <si>
    <t>ВК.75.160.700.2ТГ</t>
  </si>
  <si>
    <t>ВК.75.160.750.2ТГ</t>
  </si>
  <si>
    <t>ВК.75.160.800.2ТГ</t>
  </si>
  <si>
    <t>ВК.75.160.850.2ТГ</t>
  </si>
  <si>
    <t>ВК.75.160.900.2ТГ</t>
  </si>
  <si>
    <t>ВК.75.160.950.2ТГ</t>
  </si>
  <si>
    <t>ВК.75.160.1000.2ТГ</t>
  </si>
  <si>
    <t>ВК.75.160.1050.2ТГ</t>
  </si>
  <si>
    <t>ВК.75.160.1100.2ТГ</t>
  </si>
  <si>
    <t>ВК.75.160.1150.2ТГ</t>
  </si>
  <si>
    <t>ВК.75.160.1200.2ТГ</t>
  </si>
  <si>
    <t>ВК.75.160.1250.2ТГ</t>
  </si>
  <si>
    <t>ВК.75.160.1300.2ТГ</t>
  </si>
  <si>
    <t>ВК.75.160.1350.2ТГ</t>
  </si>
  <si>
    <t>ВК.75.160.1400.2ТГ</t>
  </si>
  <si>
    <t>ВК.75.160.1450.2ТГ</t>
  </si>
  <si>
    <t>ВК.75.160.1500.2ТГ</t>
  </si>
  <si>
    <t>ВК.75.160.1550.2ТГ</t>
  </si>
  <si>
    <t>ВК.75.160.1600.2ТГ</t>
  </si>
  <si>
    <t>ВК.75.160.1650.2ТГ</t>
  </si>
  <si>
    <t>ВК.75.160.1700.2ТГ</t>
  </si>
  <si>
    <t>ВК.75.160.1750.2ТГ</t>
  </si>
  <si>
    <t>ВК.75.160.1800.2ТГ</t>
  </si>
  <si>
    <t>ВК.75.160.1850.2ТГ</t>
  </si>
  <si>
    <t>ВК.75.160.1900.2ТГ</t>
  </si>
  <si>
    <t>ВК.75.160.1950.2ТГ</t>
  </si>
  <si>
    <t>ВК.75.160.2000.2ТГ</t>
  </si>
  <si>
    <t>ВК.75.160.2050.2ТГ</t>
  </si>
  <si>
    <t>ВК.75.160.2100.2ТГ</t>
  </si>
  <si>
    <t>ВК.75.160.2150.2ТГ</t>
  </si>
  <si>
    <t>ВК.75.160.2200.2ТГ</t>
  </si>
  <si>
    <t>ВК.75.160.2250.2ТГ</t>
  </si>
  <si>
    <t>ВК.75.160.2300.2ТГ</t>
  </si>
  <si>
    <t>ВК.75.160.2350.2ТГ</t>
  </si>
  <si>
    <t>ВК.75.160.2400.2ТГ</t>
  </si>
  <si>
    <t>ВК.75.160.2450.2ТГ</t>
  </si>
  <si>
    <t>ВК.75.160.2500.2ТГ</t>
  </si>
  <si>
    <t>ВК.75.160.2550.2ТГ</t>
  </si>
  <si>
    <t>ВК.75.160.2600.2ТГ</t>
  </si>
  <si>
    <t>ВК.75.160.2650.2ТГ</t>
  </si>
  <si>
    <t>ВК.75.160.2700.2ТГ</t>
  </si>
  <si>
    <t>ВК.75.160.2750.2ТГ</t>
  </si>
  <si>
    <t>ВК.75.160.2800.2ТГ</t>
  </si>
  <si>
    <t>ВК.75.160.2850.2ТГ</t>
  </si>
  <si>
    <t>ВК.75.160.2900.2ТГ</t>
  </si>
  <si>
    <t>ВК.75.160.2950.2ТГ</t>
  </si>
  <si>
    <t>ВК.75.160.3000.2ТГ</t>
  </si>
  <si>
    <t>ВК.75.200.600.2ТГ</t>
  </si>
  <si>
    <t>ВК.75.200.650.2ТГ</t>
  </si>
  <si>
    <t>ВК.75.200.700.2ТГ</t>
  </si>
  <si>
    <t>ВК.75.200.750.2ТГ</t>
  </si>
  <si>
    <t>ВК.75.200.800.2ТГ</t>
  </si>
  <si>
    <t>ВК.75.200.850.2ТГ</t>
  </si>
  <si>
    <t>ВК.75.200.900.2ТГ</t>
  </si>
  <si>
    <t>ВК.75.200.950.2ТГ</t>
  </si>
  <si>
    <t>ВК.75.200.1000.2ТГ</t>
  </si>
  <si>
    <t>ВК.75.200.1050.2ТГ</t>
  </si>
  <si>
    <t>ВК.75.200.1100.2ТГ</t>
  </si>
  <si>
    <t>ВК.75.200.1150.2ТГ</t>
  </si>
  <si>
    <t>ВК.75.200.1200.2ТГ</t>
  </si>
  <si>
    <t>ВК.75.200.1250.2ТГ</t>
  </si>
  <si>
    <t>ВК.75.200.1300.2ТГ</t>
  </si>
  <si>
    <t>ВК.75.200.1350.2ТГ</t>
  </si>
  <si>
    <t>ВК.75.200.1400.2ТГ</t>
  </si>
  <si>
    <t>ВК.75.200.1450.2ТГ</t>
  </si>
  <si>
    <t>ВК.75.200.1500.2ТГ</t>
  </si>
  <si>
    <t>ВК.75.200.1550.2ТГ</t>
  </si>
  <si>
    <t>ВК.75.200.1600.2ТГ</t>
  </si>
  <si>
    <t>ВК.75.200.1650.2ТГ</t>
  </si>
  <si>
    <t>ВК.75.200.1700.2ТГ</t>
  </si>
  <si>
    <t>ВК.75.200.1750.2ТГ</t>
  </si>
  <si>
    <t>ВК.75.200.1800.2ТГ</t>
  </si>
  <si>
    <t>ВК.75.200.1850.2ТГ</t>
  </si>
  <si>
    <t>ВК.75.200.1900.2ТГ</t>
  </si>
  <si>
    <t>ВК.75.200.1950.2ТГ</t>
  </si>
  <si>
    <t>ВК.75.200.2000.2ТГ</t>
  </si>
  <si>
    <t>ВК.75.200.2050.2ТГ</t>
  </si>
  <si>
    <t>ВК.75.200.2100.2ТГ</t>
  </si>
  <si>
    <t>ВК.75.200.2150.2ТГ</t>
  </si>
  <si>
    <t>ВК.75.200.2200.2ТГ</t>
  </si>
  <si>
    <t>ВК.75.200.2250.2ТГ</t>
  </si>
  <si>
    <t>ВК.75.200.2300.2ТГ</t>
  </si>
  <si>
    <t>ВК.75.200.2350.2ТГ</t>
  </si>
  <si>
    <t>ВК.75.200.2400.2ТГ</t>
  </si>
  <si>
    <t>ВК.75.200.2450.2ТГ</t>
  </si>
  <si>
    <t>ВК.75.200.2500.2ТГ</t>
  </si>
  <si>
    <t>ВК.75.200.2550.2ТГ</t>
  </si>
  <si>
    <t>ВК.75.200.2600.2ТГ</t>
  </si>
  <si>
    <t>ВК.75.200.2650.2ТГ</t>
  </si>
  <si>
    <t>ВК.75.200.2700.2ТГ</t>
  </si>
  <si>
    <t>ВК.75.200.2750.2ТГ</t>
  </si>
  <si>
    <t>ВК.75.200.2800.2ТГ</t>
  </si>
  <si>
    <t>ВК.75.200.2850.2ТГ</t>
  </si>
  <si>
    <t>ВК.75.200.2900.2ТГ</t>
  </si>
  <si>
    <t>ВК.75.200.2950.2ТГ</t>
  </si>
  <si>
    <t>ВК.75.200.3000.2ТГ</t>
  </si>
  <si>
    <t>ВК.75.260.600.2ТГ</t>
  </si>
  <si>
    <t>ВК.75.260.650.2ТГ</t>
  </si>
  <si>
    <t>ВК.75.260.700.2ТГ</t>
  </si>
  <si>
    <t>ВК.75.260.750.2ТГ</t>
  </si>
  <si>
    <t>ВК.75.260.800.2ТГ</t>
  </si>
  <si>
    <t>ВК.75.260.850.2ТГ</t>
  </si>
  <si>
    <t>ВК.75.260.900.2ТГ</t>
  </si>
  <si>
    <t>ВК.75.260.950.2ТГ</t>
  </si>
  <si>
    <t>ВК.75.260.1000.2ТГ</t>
  </si>
  <si>
    <t>ВК.75.260.1050.2ТГ</t>
  </si>
  <si>
    <t>ВК.75.260.1100.2ТГ</t>
  </si>
  <si>
    <t>ВК.75.260.1150.2ТГ</t>
  </si>
  <si>
    <t>ВК.75.260.1200.2ТГ</t>
  </si>
  <si>
    <t>ВК.75.260.1250.2ТГ</t>
  </si>
  <si>
    <t>ВК.75.260.1300.2ТГ</t>
  </si>
  <si>
    <t>ВК.75.260.1350.2ТГ</t>
  </si>
  <si>
    <t>ВК.75.260.1400.2ТГ</t>
  </si>
  <si>
    <t>ВК.75.260.1450.2ТГ</t>
  </si>
  <si>
    <t>ВК.75.260.1500.2ТГ</t>
  </si>
  <si>
    <t>ВК.75.260.1550.2ТГ</t>
  </si>
  <si>
    <t>ВК.75.260.1600.2ТГ</t>
  </si>
  <si>
    <t>ВК.75.260.1650.2ТГ</t>
  </si>
  <si>
    <t>ВК.75.260.1700.2ТГ</t>
  </si>
  <si>
    <t>ВК.75.260.1750.2ТГ</t>
  </si>
  <si>
    <t>ВК.75.260.1800.2ТГ</t>
  </si>
  <si>
    <t>ВК.75.260.1850.2ТГ</t>
  </si>
  <si>
    <t>ВК.75.260.1900.2ТГ</t>
  </si>
  <si>
    <t>ВК.75.260.1950.2ТГ</t>
  </si>
  <si>
    <t>ВК.75.260.2000.2ТГ</t>
  </si>
  <si>
    <t>ВК.75.260.2050.2ТГ</t>
  </si>
  <si>
    <t>ВК.75.260.2100.2ТГ</t>
  </si>
  <si>
    <t>ВК.75.260.2150.2ТГ</t>
  </si>
  <si>
    <t>ВК.75.260.2200.2ТГ</t>
  </si>
  <si>
    <t>ВК.75.260.2250.2ТГ</t>
  </si>
  <si>
    <t>ВК.75.260.2300.2ТГ</t>
  </si>
  <si>
    <t>ВК.75.260.2350.2ТГ</t>
  </si>
  <si>
    <t>ВК.75.260.2400.2ТГ</t>
  </si>
  <si>
    <t>ВК.75.260.2450.2ТГ</t>
  </si>
  <si>
    <t>ВК.75.260.2500.2ТГ</t>
  </si>
  <si>
    <t>ВК.75.260.2550.2ТГ</t>
  </si>
  <si>
    <t>ВК.75.260.2600.2ТГ</t>
  </si>
  <si>
    <t>ВК.75.260.2650.2ТГ</t>
  </si>
  <si>
    <t>ВК.75.260.2700.2ТГ</t>
  </si>
  <si>
    <t>ВК.75.260.2750.2ТГ</t>
  </si>
  <si>
    <t>ВК.75.260.2800.2ТГ</t>
  </si>
  <si>
    <t>ВК.75.260.2850.2ТГ</t>
  </si>
  <si>
    <t>ВК.75.260.2900.2ТГ</t>
  </si>
  <si>
    <t>ВК.75.260.2950.2ТГ</t>
  </si>
  <si>
    <t>ВК.75.260.3000.2ТГ</t>
  </si>
  <si>
    <t>ВК.75.300.600.2ТГ</t>
  </si>
  <si>
    <t>ВК.75.300.650.2ТГ</t>
  </si>
  <si>
    <t>ВК.75.300.700.2ТГ</t>
  </si>
  <si>
    <t>ВК.75.300.750.2ТГ</t>
  </si>
  <si>
    <t>ВК.75.300.800.2ТГ</t>
  </si>
  <si>
    <t>ВК.75.300.850.2ТГ</t>
  </si>
  <si>
    <t>ВК.75.300.900.2ТГ</t>
  </si>
  <si>
    <t>ВК.75.300.950.2ТГ</t>
  </si>
  <si>
    <t>ВК.75.300.1000.2ТГ</t>
  </si>
  <si>
    <t>ВК.75.300.1050.2ТГ</t>
  </si>
  <si>
    <t>ВК.75.300.1100.2ТГ</t>
  </si>
  <si>
    <t>ВК.75.300.1150.2ТГ</t>
  </si>
  <si>
    <t>ВК.75.300.1200.2ТГ</t>
  </si>
  <si>
    <t>ВК.75.300.1250.2ТГ</t>
  </si>
  <si>
    <t>ВК.75.300.1300.2ТГ</t>
  </si>
  <si>
    <t>ВК.75.300.1350.2ТГ</t>
  </si>
  <si>
    <t>ВК.75.300.1400.2ТГ</t>
  </si>
  <si>
    <t>ВК.75.300.1450.2ТГ</t>
  </si>
  <si>
    <t>ВК.75.300.1500.2ТГ</t>
  </si>
  <si>
    <t>ВК.75.300.1550.2ТГ</t>
  </si>
  <si>
    <t>ВК.75.300.1600.2ТГ</t>
  </si>
  <si>
    <t>ВК.75.300.1650.2ТГ</t>
  </si>
  <si>
    <t>ВК.75.300.1700.2ТГ</t>
  </si>
  <si>
    <t>ВК.75.300.1750.2ТГ</t>
  </si>
  <si>
    <t>ВК.75.300.1800.2ТГ</t>
  </si>
  <si>
    <t>ВК.75.300.1850.2ТГ</t>
  </si>
  <si>
    <t>ВК.75.300.1900.2ТГ</t>
  </si>
  <si>
    <t>ВК.75.300.1950.2ТГ</t>
  </si>
  <si>
    <t>ВК.75.300.2000.2ТГ</t>
  </si>
  <si>
    <t>ВК.75.300.2050.2ТГ</t>
  </si>
  <si>
    <t>ВК.75.300.2100.2ТГ</t>
  </si>
  <si>
    <t>ВК.75.300.2150.2ТГ</t>
  </si>
  <si>
    <t>ВК.75.300.2200.2ТГ</t>
  </si>
  <si>
    <t>ВК.75.300.2250.2ТГ</t>
  </si>
  <si>
    <t>ВК.75.300.2300.2ТГ</t>
  </si>
  <si>
    <t>ВК.75.300.2350.2ТГ</t>
  </si>
  <si>
    <t>ВК.75.300.2400.2ТГ</t>
  </si>
  <si>
    <t>ВК.75.300.2450.2ТГ</t>
  </si>
  <si>
    <t>ВК.75.300.2500.2ТГ</t>
  </si>
  <si>
    <t>ВК.75.300.2550.2ТГ</t>
  </si>
  <si>
    <t>ВК.75.300.2600.2ТГ</t>
  </si>
  <si>
    <t>ВК.75.300.2650.2ТГ</t>
  </si>
  <si>
    <t>ВК.75.300.2700.2ТГ</t>
  </si>
  <si>
    <t>ВК.75.300.2750.2ТГ</t>
  </si>
  <si>
    <t>ВК.75.300.2800.2ТГ</t>
  </si>
  <si>
    <t>ВК.75.300.2850.2ТГ</t>
  </si>
  <si>
    <t>ВК.75.300.2900.2ТГ</t>
  </si>
  <si>
    <t>ВК.75.300.2950.2ТГ</t>
  </si>
  <si>
    <t>ВК.75.300.3000.2ТГ</t>
  </si>
  <si>
    <t>ВК.75.300.600.4ТГ</t>
  </si>
  <si>
    <t>ВК.75.300.650.4ТГ</t>
  </si>
  <si>
    <t>ВК.75.300.700.4ТГ</t>
  </si>
  <si>
    <t>ВК.75.300.750.4ТГ</t>
  </si>
  <si>
    <t>ВК.75.300.800.4ТГ</t>
  </si>
  <si>
    <t>ВК.75.300.850.4ТГ</t>
  </si>
  <si>
    <t>ВК.75.300.900.4ТГ</t>
  </si>
  <si>
    <t>ВК.75.300.950.4ТГ</t>
  </si>
  <si>
    <t>ВК.75.300.1000.4ТГ</t>
  </si>
  <si>
    <t>ВК.75.300.1050.4ТГ</t>
  </si>
  <si>
    <t>ВК.75.300.1100.4ТГ</t>
  </si>
  <si>
    <t>ВК.75.300.1150.4ТГ</t>
  </si>
  <si>
    <t>ВК.75.300.1200.4ТГ</t>
  </si>
  <si>
    <t>ВК.75.300.1250.4ТГ</t>
  </si>
  <si>
    <t>ВК.75.300.1300.4ТГ</t>
  </si>
  <si>
    <t>ВК.75.300.1350.4ТГ</t>
  </si>
  <si>
    <t>ВК.75.300.1400.4ТГ</t>
  </si>
  <si>
    <t>ВК.75.300.1450.4ТГ</t>
  </si>
  <si>
    <t>ВК.75.300.1500.4ТГ</t>
  </si>
  <si>
    <t>ВК.75.300.1550.4ТГ</t>
  </si>
  <si>
    <t>ВК.75.300.1600.4ТГ</t>
  </si>
  <si>
    <t>ВК.75.300.1650.4ТГ</t>
  </si>
  <si>
    <t>ВК.75.300.1700.4ТГ</t>
  </si>
  <si>
    <t>ВК.75.300.1750.4ТГ</t>
  </si>
  <si>
    <t>ВК.75.300.1800.4ТГ</t>
  </si>
  <si>
    <t>ВК.75.300.1850.4ТГ</t>
  </si>
  <si>
    <t>ВК.75.300.1900.4ТГ</t>
  </si>
  <si>
    <t>ВК.75.300.1950.4ТГ</t>
  </si>
  <si>
    <t>ВК.75.300.2000.4ТГ</t>
  </si>
  <si>
    <t>ВК.75.300.2050.4ТГ</t>
  </si>
  <si>
    <t>ВК.75.300.2100.4ТГ</t>
  </si>
  <si>
    <t>ВК.75.300.2150.4ТГ</t>
  </si>
  <si>
    <t>ВК.75.300.2200.4ТГ</t>
  </si>
  <si>
    <t>ВК.75.300.2250.4ТГ</t>
  </si>
  <si>
    <t>ВК.75.300.2300.4ТГ</t>
  </si>
  <si>
    <t>ВК.75.300.2350.4ТГ</t>
  </si>
  <si>
    <t>ВК.75.300.2400.4ТГ</t>
  </si>
  <si>
    <t>ВК.75.300.2450.4ТГ</t>
  </si>
  <si>
    <t>ВК.75.300.2500.4ТГ</t>
  </si>
  <si>
    <t>ВК.75.300.2550.4ТГ</t>
  </si>
  <si>
    <t>ВК.75.300.2600.4ТГ</t>
  </si>
  <si>
    <t>ВК.75.300.2650.4ТГ</t>
  </si>
  <si>
    <t>ВК.75.300.2700.4ТГ</t>
  </si>
  <si>
    <t>ВК.75.300.2750.4ТГ</t>
  </si>
  <si>
    <t>ВК.75.300.2800.4ТГ</t>
  </si>
  <si>
    <t>ВК.75.300.2850.4ТГ</t>
  </si>
  <si>
    <t>ВК.75.300.2900.4ТГ</t>
  </si>
  <si>
    <t>ВК.75.300.2950.4ТГ</t>
  </si>
  <si>
    <t>ВК.75.300.3000.4ТГ</t>
  </si>
  <si>
    <t>ВК.75.360.600.4ТГ</t>
  </si>
  <si>
    <t>ВК.75.360.650.4ТГ</t>
  </si>
  <si>
    <t>ВК.75.360.700.4ТГ</t>
  </si>
  <si>
    <t>ВК.75.360.750.4ТГ</t>
  </si>
  <si>
    <t>ВК.75.360.800.4ТГ</t>
  </si>
  <si>
    <t>ВК.75.360.850.4ТГ</t>
  </si>
  <si>
    <t>ВК.75.360.900.4ТГ</t>
  </si>
  <si>
    <t>ВК.75.360.950.4ТГ</t>
  </si>
  <si>
    <t>ВК.75.360.1000.4ТГ</t>
  </si>
  <si>
    <t>ВК.75.360.1050.4ТГ</t>
  </si>
  <si>
    <t>ВК.75.360.1100.4ТГ</t>
  </si>
  <si>
    <t>ВК.75.360.1150.4ТГ</t>
  </si>
  <si>
    <t>ВК.75.360.1200.4ТГ</t>
  </si>
  <si>
    <t>ВК.75.360.1250.4ТГ</t>
  </si>
  <si>
    <t>ВК.75.360.1300.4ТГ</t>
  </si>
  <si>
    <t>ВК.75.360.1350.4ТГ</t>
  </si>
  <si>
    <t>ВК.75.360.1400.4ТГ</t>
  </si>
  <si>
    <t>ВК.75.360.1450.4ТГ</t>
  </si>
  <si>
    <t>ВК.75.360.1500.4ТГ</t>
  </si>
  <si>
    <t>ВК.75.360.1550.4ТГ</t>
  </si>
  <si>
    <t>ВК.75.360.1600.4ТГ</t>
  </si>
  <si>
    <t>ВК.75.360.1650.4ТГ</t>
  </si>
  <si>
    <t>ВК.75.360.1700.4ТГ</t>
  </si>
  <si>
    <t>ВК.75.360.1750.4ТГ</t>
  </si>
  <si>
    <t>ВК.75.360.1800.4ТГ</t>
  </si>
  <si>
    <t>ВК.75.360.1850.4ТГ</t>
  </si>
  <si>
    <t>ВК.75.360.1900.4ТГ</t>
  </si>
  <si>
    <t>ВК.75.360.1950.4ТГ</t>
  </si>
  <si>
    <t>ВК.75.360.2000.4ТГ</t>
  </si>
  <si>
    <t>ВК.75.360.2050.4ТГ</t>
  </si>
  <si>
    <t>ВК.75.360.2100.4ТГ</t>
  </si>
  <si>
    <t>ВК.75.360.2150.4ТГ</t>
  </si>
  <si>
    <t>ВК.75.360.2200.4ТГ</t>
  </si>
  <si>
    <t>ВК.75.360.2250.4ТГ</t>
  </si>
  <si>
    <t>ВК.75.360.2300.4ТГ</t>
  </si>
  <si>
    <t>ВК.75.360.2350.4ТГ</t>
  </si>
  <si>
    <t>ВК.75.360.2400.4ТГ</t>
  </si>
  <si>
    <t>ВК.75.360.2450.4ТГ</t>
  </si>
  <si>
    <t>ВК.75.360.2500.4ТГ</t>
  </si>
  <si>
    <t>ВК.75.360.2550.4ТГ</t>
  </si>
  <si>
    <t>ВК.75.360.2600.4ТГ</t>
  </si>
  <si>
    <t>ВК.75.360.2650.4ТГ</t>
  </si>
  <si>
    <t>ВК.75.360.2700.4ТГ</t>
  </si>
  <si>
    <t>ВК.75.360.2750.4ТГ</t>
  </si>
  <si>
    <t>ВК.75.360.2800.4ТГ</t>
  </si>
  <si>
    <t>ВК.75.360.2850.4ТГ</t>
  </si>
  <si>
    <t>ВК.75.360.2900.4ТГ</t>
  </si>
  <si>
    <t>ВК.75.360.2950.4ТГ</t>
  </si>
  <si>
    <t>ВК.75.360.3000.4ТГ</t>
  </si>
  <si>
    <t>ВК.75.400.600.4ТГ</t>
  </si>
  <si>
    <t>ВК.75.400.650.4ТГ</t>
  </si>
  <si>
    <t>ВК.75.400.700.4ТГ</t>
  </si>
  <si>
    <t>ВК.75.400.750.4ТГ</t>
  </si>
  <si>
    <t>ВК.75.400.800.4ТГ</t>
  </si>
  <si>
    <t>ВК.75.400.850.4ТГ</t>
  </si>
  <si>
    <t>ВК.75.400.900.4ТГ</t>
  </si>
  <si>
    <t>ВК.75.400.950.4ТГ</t>
  </si>
  <si>
    <t>ВК.75.400.1000.4ТГ</t>
  </si>
  <si>
    <t>ВК.75.400.1050.4ТГ</t>
  </si>
  <si>
    <t>ВК.75.400.1100.4ТГ</t>
  </si>
  <si>
    <t>ВК.75.400.1150.4ТГ</t>
  </si>
  <si>
    <t>ВК.75.400.1200.4ТГ</t>
  </si>
  <si>
    <t>ВК.75.400.1250.4ТГ</t>
  </si>
  <si>
    <t>ВК.75.400.1300.4ТГ</t>
  </si>
  <si>
    <t>ВК.75.400.1350.4ТГ</t>
  </si>
  <si>
    <t>ВК.75.400.1400.4ТГ</t>
  </si>
  <si>
    <t>ВК.75.400.1450.4ТГ</t>
  </si>
  <si>
    <t>ВК.75.400.1500.4ТГ</t>
  </si>
  <si>
    <t>ВК.75.400.1550.4ТГ</t>
  </si>
  <si>
    <t>ВК.75.400.1600.4ТГ</t>
  </si>
  <si>
    <t>ВК.75.400.1650.4ТГ</t>
  </si>
  <si>
    <t>ВК.75.400.1700.4ТГ</t>
  </si>
  <si>
    <t>ВК.75.400.1750.4ТГ</t>
  </si>
  <si>
    <t>ВК.75.400.1800.4ТГ</t>
  </si>
  <si>
    <t>ВК.75.400.1850.4ТГ</t>
  </si>
  <si>
    <t>ВК.75.400.1900.4ТГ</t>
  </si>
  <si>
    <t>ВК.75.400.1950.4ТГ</t>
  </si>
  <si>
    <t>ВК.75.400.2000.4ТГ</t>
  </si>
  <si>
    <t>ВК.75.400.2050.4ТГ</t>
  </si>
  <si>
    <t>ВК.75.400.2100.4ТГ</t>
  </si>
  <si>
    <t>ВК.75.400.2150.4ТГ</t>
  </si>
  <si>
    <t>ВК.75.400.2200.4ТГ</t>
  </si>
  <si>
    <t>ВК.75.400.2250.4ТГ</t>
  </si>
  <si>
    <t>ВК.75.400.2300.4ТГ</t>
  </si>
  <si>
    <t>ВК.75.400.2350.4ТГ</t>
  </si>
  <si>
    <t>ВК.75.400.2400.4ТГ</t>
  </si>
  <si>
    <t>ВК.75.400.2450.4ТГ</t>
  </si>
  <si>
    <t>ВК.75.400.2500.4ТГ</t>
  </si>
  <si>
    <t>ВК.75.400.2550.4ТГ</t>
  </si>
  <si>
    <t>ВК.75.400.2600.4ТГ</t>
  </si>
  <si>
    <t>ВК.75.400.2650.4ТГ</t>
  </si>
  <si>
    <t>ВК.75.400.2700.4ТГ</t>
  </si>
  <si>
    <t>ВК.75.400.2750.4ТГ</t>
  </si>
  <si>
    <t>ВК.75.400.2800.4ТГ</t>
  </si>
  <si>
    <t>ВК.75.400.2850.4ТГ</t>
  </si>
  <si>
    <t>ВК.75.400.2900.4ТГ</t>
  </si>
  <si>
    <t>ВК.75.400.2950.4ТГ</t>
  </si>
  <si>
    <t>ВК.75.400.3000.4ТГ</t>
  </si>
  <si>
    <t>ВК.75.400.600.6ТГ</t>
  </si>
  <si>
    <t>ВК.75.400.650.6ТГ</t>
  </si>
  <si>
    <t>ВК.75.400.700.6ТГ</t>
  </si>
  <si>
    <t>ВК.75.400.750.6ТГ</t>
  </si>
  <si>
    <t>ВК.75.400.800.6ТГ</t>
  </si>
  <si>
    <t>ВК.75.400.850.6ТГ</t>
  </si>
  <si>
    <t>ВК.75.400.900.6ТГ</t>
  </si>
  <si>
    <t>ВК.75.400.950.6ТГ</t>
  </si>
  <si>
    <t>ВК.75.400.1000.6ТГ</t>
  </si>
  <si>
    <t>ВК.75.400.1050.6ТГ</t>
  </si>
  <si>
    <t>ВК.75.400.1100.6ТГ</t>
  </si>
  <si>
    <t>ВК.75.400.1150.6ТГ</t>
  </si>
  <si>
    <t>ВК.75.400.1200.6ТГ</t>
  </si>
  <si>
    <t>ВК.75.400.1250.6ТГ</t>
  </si>
  <si>
    <t>ВК.75.400.1300.6ТГ</t>
  </si>
  <si>
    <t>ВК.75.400.1350.6ТГ</t>
  </si>
  <si>
    <t>ВК.75.400.1400.6ТГ</t>
  </si>
  <si>
    <t>ВК.75.400.1450.6ТГ</t>
  </si>
  <si>
    <t>ВК.75.400.1500.6ТГ</t>
  </si>
  <si>
    <t>ВК.75.400.1550.6ТГ</t>
  </si>
  <si>
    <t>ВК.75.400.1600.6ТГ</t>
  </si>
  <si>
    <t>ВК.75.400.1650.6ТГ</t>
  </si>
  <si>
    <t>ВК.75.400.1700.6ТГ</t>
  </si>
  <si>
    <t>ВК.75.400.1750.6ТГ</t>
  </si>
  <si>
    <t>ВК.75.400.1800.6ТГ</t>
  </si>
  <si>
    <t>ВК.75.400.1850.6ТГ</t>
  </si>
  <si>
    <t>ВК.75.400.1900.6ТГ</t>
  </si>
  <si>
    <t>ВК.75.400.1950.6ТГ</t>
  </si>
  <si>
    <t>ВК.75.400.2000.6ТГ</t>
  </si>
  <si>
    <t>ВК.75.400.2050.6ТГ</t>
  </si>
  <si>
    <t>ВК.75.400.2100.6ТГ</t>
  </si>
  <si>
    <t>ВК.75.400.2150.6ТГ</t>
  </si>
  <si>
    <t>ВК.75.400.2200.6ТГ</t>
  </si>
  <si>
    <t>ВК.75.400.2250.6ТГ</t>
  </si>
  <si>
    <t>ВК.75.400.2300.6ТГ</t>
  </si>
  <si>
    <t>ВК.75.400.2350.6ТГ</t>
  </si>
  <si>
    <t>ВК.75.400.2400.6ТГ</t>
  </si>
  <si>
    <t>ВК.75.400.2450.6ТГ</t>
  </si>
  <si>
    <t>ВК.75.400.2500.6ТГ</t>
  </si>
  <si>
    <t>ВК.75.400.2550.6ТГ</t>
  </si>
  <si>
    <t>ВК.75.400.2600.6ТГ</t>
  </si>
  <si>
    <t>ВК.75.400.2650.6ТГ</t>
  </si>
  <si>
    <t>ВК.75.400.2700.6ТГ</t>
  </si>
  <si>
    <t>ВК.75.400.2750.6ТГ</t>
  </si>
  <si>
    <t>ВК.75.400.2800.6ТГ</t>
  </si>
  <si>
    <t>ВК.75.400.2850.6ТГ</t>
  </si>
  <si>
    <t>ВК.75.400.2900.6ТГ</t>
  </si>
  <si>
    <t>ВК.75.400.2950.6ТГ</t>
  </si>
  <si>
    <t>ВК.75.400.3000.6ТГ</t>
  </si>
  <si>
    <t>ВК.80.160.600.2ТГ</t>
  </si>
  <si>
    <t>ВК.80.160.650.2ТГ</t>
  </si>
  <si>
    <t>ВК.80.160.700.2ТГ</t>
  </si>
  <si>
    <t>ВК.80.160.750.2ТГ</t>
  </si>
  <si>
    <t>ВК.80.160.800.2ТГ</t>
  </si>
  <si>
    <t>ВК.80.160.850.2ТГ</t>
  </si>
  <si>
    <t>ВК.80.160.900.2ТГ</t>
  </si>
  <si>
    <t>ВК.80.160.950.2ТГ</t>
  </si>
  <si>
    <t>ВК.80.160.1000.2ТГ</t>
  </si>
  <si>
    <t>ВК.80.160.1050.2ТГ</t>
  </si>
  <si>
    <t>ВК.80.160.1100.2ТГ</t>
  </si>
  <si>
    <t>ВК.80.160.1150.2ТГ</t>
  </si>
  <si>
    <t>ВК.80.160.1200.2ТГ</t>
  </si>
  <si>
    <t>ВК.80.160.1250.2ТГ</t>
  </si>
  <si>
    <t>ВК.80.160.1300.2ТГ</t>
  </si>
  <si>
    <t>ВК.80.160.1350.2ТГ</t>
  </si>
  <si>
    <t>ВК.80.160.1400.2ТГ</t>
  </si>
  <si>
    <t>ВК.80.160.1450.2ТГ</t>
  </si>
  <si>
    <t>ВК.80.160.1500.2ТГ</t>
  </si>
  <si>
    <t>ВК.80.160.1550.2ТГ</t>
  </si>
  <si>
    <t>ВК.80.160.1600.2ТГ</t>
  </si>
  <si>
    <t>ВК.80.160.1650.2ТГ</t>
  </si>
  <si>
    <t>ВК.80.160.1700.2ТГ</t>
  </si>
  <si>
    <t>ВК.80.160.1750.2ТГ</t>
  </si>
  <si>
    <t>ВК.80.160.1800.2ТГ</t>
  </si>
  <si>
    <t>ВК.80.160.1850.2ТГ</t>
  </si>
  <si>
    <t>ВК.80.160.1900.2ТГ</t>
  </si>
  <si>
    <t>ВК.80.160.1950.2ТГ</t>
  </si>
  <si>
    <t>ВК.80.160.2000.2ТГ</t>
  </si>
  <si>
    <t>ВК.80.160.2050.2ТГ</t>
  </si>
  <si>
    <t>ВК.80.160.2100.2ТГ</t>
  </si>
  <si>
    <t>ВК.80.160.2150.2ТГ</t>
  </si>
  <si>
    <t>ВК.80.160.2200.2ТГ</t>
  </si>
  <si>
    <t>ВК.80.160.2250.2ТГ</t>
  </si>
  <si>
    <t>ВК.80.160.2300.2ТГ</t>
  </si>
  <si>
    <t>ВК.80.160.2350.2ТГ</t>
  </si>
  <si>
    <t>ВК.80.160.2400.2ТГ</t>
  </si>
  <si>
    <t>ВК.80.160.2450.2ТГ</t>
  </si>
  <si>
    <t>ВК.80.160.2500.2ТГ</t>
  </si>
  <si>
    <t>ВК.80.160.2550.2ТГ</t>
  </si>
  <si>
    <t>ВК.80.160.2600.2ТГ</t>
  </si>
  <si>
    <t>ВК.80.160.2650.2ТГ</t>
  </si>
  <si>
    <t>ВК.80.160.2700.2ТГ</t>
  </si>
  <si>
    <t>ВК.80.160.2750.2ТГ</t>
  </si>
  <si>
    <t>ВК.80.160.2800.2ТГ</t>
  </si>
  <si>
    <t>ВК.80.160.2850.2ТГ</t>
  </si>
  <si>
    <t>ВК.80.160.2900.2ТГ</t>
  </si>
  <si>
    <t>ВК.80.160.2950.2ТГ</t>
  </si>
  <si>
    <t>ВК.80.160.3000.2ТГ</t>
  </si>
  <si>
    <t>ВК.80.200.600.2ТГ</t>
  </si>
  <si>
    <t>ВК.80.200.650.2ТГ</t>
  </si>
  <si>
    <t>ВК.80.200.700.2ТГ</t>
  </si>
  <si>
    <t>ВК.80.200.750.2ТГ</t>
  </si>
  <si>
    <t>ВК.80.200.800.2ТГ</t>
  </si>
  <si>
    <t>ВК.80.200.850.2ТГ</t>
  </si>
  <si>
    <t>ВК.80.200.900.2ТГ</t>
  </si>
  <si>
    <t>ВК.80.200.950.2ТГ</t>
  </si>
  <si>
    <t>ВК.80.200.1000.2ТГ</t>
  </si>
  <si>
    <t>ВК.80.200.1050.2ТГ</t>
  </si>
  <si>
    <t>ВК.80.200.1100.2ТГ</t>
  </si>
  <si>
    <t>ВК.80.200.1150.2ТГ</t>
  </si>
  <si>
    <t>ВК.80.200.1200.2ТГ</t>
  </si>
  <si>
    <t>ВК.80.200.1250.2ТГ</t>
  </si>
  <si>
    <t>ВК.80.200.1300.2ТГ</t>
  </si>
  <si>
    <t>ВК.80.200.1350.2ТГ</t>
  </si>
  <si>
    <t>ВК.80.200.1400.2ТГ</t>
  </si>
  <si>
    <t>ВК.80.200.1450.2ТГ</t>
  </si>
  <si>
    <t>ВК.80.200.1500.2ТГ</t>
  </si>
  <si>
    <t>ВК.80.200.1550.2ТГ</t>
  </si>
  <si>
    <t>ВК.80.200.1600.2ТГ</t>
  </si>
  <si>
    <t>ВК.80.200.1650.2ТГ</t>
  </si>
  <si>
    <t>ВК.80.200.1700.2ТГ</t>
  </si>
  <si>
    <t>ВК.80.200.1750.2ТГ</t>
  </si>
  <si>
    <t>ВК.80.200.1800.2ТГ</t>
  </si>
  <si>
    <t>ВК.80.200.1850.2ТГ</t>
  </si>
  <si>
    <t>ВК.80.200.1900.2ТГ</t>
  </si>
  <si>
    <t>ВК.80.200.1950.2ТГ</t>
  </si>
  <si>
    <t>ВК.80.200.2000.2ТГ</t>
  </si>
  <si>
    <t>ВК.80.200.2050.2ТГ</t>
  </si>
  <si>
    <t>ВК.80.200.2100.2ТГ</t>
  </si>
  <si>
    <t>ВК.80.200.2150.2ТГ</t>
  </si>
  <si>
    <t>ВК.80.200.2200.2ТГ</t>
  </si>
  <si>
    <t>ВК.80.200.2250.2ТГ</t>
  </si>
  <si>
    <t>ВК.80.200.2300.2ТГ</t>
  </si>
  <si>
    <t>ВК.80.200.2350.2ТГ</t>
  </si>
  <si>
    <t>ВК.80.200.2400.2ТГ</t>
  </si>
  <si>
    <t>ВК.80.200.2450.2ТГ</t>
  </si>
  <si>
    <t>ВК.80.200.2500.2ТГ</t>
  </si>
  <si>
    <t>ВК.80.200.2550.2ТГ</t>
  </si>
  <si>
    <t>ВК.80.200.2600.2ТГ</t>
  </si>
  <si>
    <t>ВК.80.200.2650.2ТГ</t>
  </si>
  <si>
    <t>ВК.80.200.2700.2ТГ</t>
  </si>
  <si>
    <t>ВК.80.200.2750.2ТГ</t>
  </si>
  <si>
    <t>ВК.80.200.2800.2ТГ</t>
  </si>
  <si>
    <t>ВК.80.200.2850.2ТГ</t>
  </si>
  <si>
    <t>ВК.80.200.2900.2ТГ</t>
  </si>
  <si>
    <t>ВК.80.200.2950.2ТГ</t>
  </si>
  <si>
    <t>ВК.80.200.3000.2ТГ</t>
  </si>
  <si>
    <t>ВК.80.260.600.2ТГ</t>
  </si>
  <si>
    <t>ВК.80.260.650.2ТГ</t>
  </si>
  <si>
    <t>ВК.80.260.700.2ТГ</t>
  </si>
  <si>
    <t>ВК.80.260.750.2ТГ</t>
  </si>
  <si>
    <t>ВК.80.260.800.2ТГ</t>
  </si>
  <si>
    <t>ВК.80.260.850.2ТГ</t>
  </si>
  <si>
    <t>ВК.80.260.900.2ТГ</t>
  </si>
  <si>
    <t>ВК.80.260.950.2ТГ</t>
  </si>
  <si>
    <t>ВК.80.260.1000.2ТГ</t>
  </si>
  <si>
    <t>ВК.80.260.1050.2ТГ</t>
  </si>
  <si>
    <t>ВК.80.260.1100.2ТГ</t>
  </si>
  <si>
    <t>ВК.80.260.1150.2ТГ</t>
  </si>
  <si>
    <t>ВК.80.260.1200.2ТГ</t>
  </si>
  <si>
    <t>ВК.80.260.1250.2ТГ</t>
  </si>
  <si>
    <t>ВК.80.260.1300.2ТГ</t>
  </si>
  <si>
    <t>ВК.80.260.1350.2ТГ</t>
  </si>
  <si>
    <t>ВК.80.260.1400.2ТГ</t>
  </si>
  <si>
    <t>ВК.80.260.1450.2ТГ</t>
  </si>
  <si>
    <t>ВК.80.260.1500.2ТГ</t>
  </si>
  <si>
    <t>ВК.80.260.1550.2ТГ</t>
  </si>
  <si>
    <t>ВК.80.260.1600.2ТГ</t>
  </si>
  <si>
    <t>ВК.80.260.1650.2ТГ</t>
  </si>
  <si>
    <t>ВК.80.260.1700.2ТГ</t>
  </si>
  <si>
    <t>ВК.80.260.1750.2ТГ</t>
  </si>
  <si>
    <t>ВК.80.260.1800.2ТГ</t>
  </si>
  <si>
    <t>ВК.80.260.1850.2ТГ</t>
  </si>
  <si>
    <t>ВК.80.260.1900.2ТГ</t>
  </si>
  <si>
    <t>ВК.80.260.1950.2ТГ</t>
  </si>
  <si>
    <t>ВК.80.260.2000.2ТГ</t>
  </si>
  <si>
    <t>ВК.80.260.2050.2ТГ</t>
  </si>
  <si>
    <t>ВК.80.260.2100.2ТГ</t>
  </si>
  <si>
    <t>ВК.80.260.2150.2ТГ</t>
  </si>
  <si>
    <t>ВК.80.260.2200.2ТГ</t>
  </si>
  <si>
    <t>ВК.80.260.2250.2ТГ</t>
  </si>
  <si>
    <t>ВК.80.260.2300.2ТГ</t>
  </si>
  <si>
    <t>ВК.80.260.2350.2ТГ</t>
  </si>
  <si>
    <t>ВК.80.260.2400.2ТГ</t>
  </si>
  <si>
    <t>ВК.80.260.2450.2ТГ</t>
  </si>
  <si>
    <t>ВК.80.260.2500.2ТГ</t>
  </si>
  <si>
    <t>ВК.80.260.2550.2ТГ</t>
  </si>
  <si>
    <t>ВК.80.260.2600.2ТГ</t>
  </si>
  <si>
    <t>ВК.80.260.2650.2ТГ</t>
  </si>
  <si>
    <t>ВК.80.260.2700.2ТГ</t>
  </si>
  <si>
    <t>ВК.80.260.2750.2ТГ</t>
  </si>
  <si>
    <t>ВК.80.260.2800.2ТГ</t>
  </si>
  <si>
    <t>ВК.80.260.2850.2ТГ</t>
  </si>
  <si>
    <t>ВК.80.260.2900.2ТГ</t>
  </si>
  <si>
    <t>ВК.80.260.2950.2ТГ</t>
  </si>
  <si>
    <t>ВК.80.260.3000.2ТГ</t>
  </si>
  <si>
    <t>ВК.80.300.600.2ТГ</t>
  </si>
  <si>
    <t>ВК.80.300.650.2ТГ</t>
  </si>
  <si>
    <t>ВК.80.300.700.2ТГ</t>
  </si>
  <si>
    <t>ВК.80.300.750.2ТГ</t>
  </si>
  <si>
    <t>ВК.80.300.800.2ТГ</t>
  </si>
  <si>
    <t>ВК.80.300.850.2ТГ</t>
  </si>
  <si>
    <t>ВК.80.300.900.2ТГ</t>
  </si>
  <si>
    <t>ВК.80.300.950.2ТГ</t>
  </si>
  <si>
    <t>ВК.80.300.1000.2ТГ</t>
  </si>
  <si>
    <t>ВК.80.300.1050.2ТГ</t>
  </si>
  <si>
    <t>ВК.80.300.1100.2ТГ</t>
  </si>
  <si>
    <t>ВК.80.300.1150.2ТГ</t>
  </si>
  <si>
    <t>ВК.80.300.1200.2ТГ</t>
  </si>
  <si>
    <t>ВК.80.300.1250.2ТГ</t>
  </si>
  <si>
    <t>ВК.80.300.1300.2ТГ</t>
  </si>
  <si>
    <t>ВК.80.300.1350.2ТГ</t>
  </si>
  <si>
    <t>ВК.80.300.1400.2ТГ</t>
  </si>
  <si>
    <t>ВК.80.300.1450.2ТГ</t>
  </si>
  <si>
    <t>ВК.80.300.1500.2ТГ</t>
  </si>
  <si>
    <t>ВК.80.300.1550.2ТГ</t>
  </si>
  <si>
    <t>ВК.80.300.1600.2ТГ</t>
  </si>
  <si>
    <t>ВК.80.300.1650.2ТГ</t>
  </si>
  <si>
    <t>ВК.80.300.1700.2ТГ</t>
  </si>
  <si>
    <t>ВК.80.300.1750.2ТГ</t>
  </si>
  <si>
    <t>ВК.80.300.1800.2ТГ</t>
  </si>
  <si>
    <t>ВК.80.300.1850.2ТГ</t>
  </si>
  <si>
    <t>ВК.80.300.1900.2ТГ</t>
  </si>
  <si>
    <t>ВК.80.300.1950.2ТГ</t>
  </si>
  <si>
    <t>ВК.80.300.2000.2ТГ</t>
  </si>
  <si>
    <t>ВК.80.300.2050.2ТГ</t>
  </si>
  <si>
    <t>ВК.80.300.2100.2ТГ</t>
  </si>
  <si>
    <t>ВК.80.300.2150.2ТГ</t>
  </si>
  <si>
    <t>ВК.80.300.2200.2ТГ</t>
  </si>
  <si>
    <t>ВК.80.300.2250.2ТГ</t>
  </si>
  <si>
    <t>ВК.80.300.2300.2ТГ</t>
  </si>
  <si>
    <t>ВК.80.300.2350.2ТГ</t>
  </si>
  <si>
    <t>ВК.80.300.2400.2ТГ</t>
  </si>
  <si>
    <t>ВК.80.300.2450.2ТГ</t>
  </si>
  <si>
    <t>ВК.80.300.2500.2ТГ</t>
  </si>
  <si>
    <t>ВК.80.300.2550.2ТГ</t>
  </si>
  <si>
    <t>ВК.80.300.2600.2ТГ</t>
  </si>
  <si>
    <t>ВК.80.300.2650.2ТГ</t>
  </si>
  <si>
    <t>ВК.80.300.2700.2ТГ</t>
  </si>
  <si>
    <t>ВК.80.300.2750.2ТГ</t>
  </si>
  <si>
    <t>ВК.80.300.2800.2ТГ</t>
  </si>
  <si>
    <t>ВК.80.300.2850.2ТГ</t>
  </si>
  <si>
    <t>ВК.80.300.2900.2ТГ</t>
  </si>
  <si>
    <t>ВК.80.300.2950.2ТГ</t>
  </si>
  <si>
    <t>ВК.80.300.3000.2ТГ</t>
  </si>
  <si>
    <t>ВК.80.300.600.4ТГ</t>
  </si>
  <si>
    <t>ВК.80.300.650.4ТГ</t>
  </si>
  <si>
    <t>ВК.80.300.700.4ТГ</t>
  </si>
  <si>
    <t>ВК.80.300.750.4ТГ</t>
  </si>
  <si>
    <t>ВК.80.300.800.4ТГ</t>
  </si>
  <si>
    <t>ВК.80.300.850.4ТГ</t>
  </si>
  <si>
    <t>ВК.80.300.900.4ТГ</t>
  </si>
  <si>
    <t>ВК.80.300.950.4ТГ</t>
  </si>
  <si>
    <t>ВК.80.300.1000.4ТГ</t>
  </si>
  <si>
    <t>ВК.80.300.1050.4ТГ</t>
  </si>
  <si>
    <t>ВК.80.300.1100.4ТГ</t>
  </si>
  <si>
    <t>ВК.80.300.1150.4ТГ</t>
  </si>
  <si>
    <t>ВК.80.300.1200.4ТГ</t>
  </si>
  <si>
    <t>ВК.80.300.1250.4ТГ</t>
  </si>
  <si>
    <t>ВК.80.300.1300.4ТГ</t>
  </si>
  <si>
    <t>ВК.80.300.1350.4ТГ</t>
  </si>
  <si>
    <t>ВК.80.300.1400.4ТГ</t>
  </si>
  <si>
    <t>ВК.80.300.1450.4ТГ</t>
  </si>
  <si>
    <t>ВК.80.300.1500.4ТГ</t>
  </si>
  <si>
    <t>ВК.80.300.1550.4ТГ</t>
  </si>
  <si>
    <t>ВК.80.300.1600.4ТГ</t>
  </si>
  <si>
    <t>ВК.80.300.1650.4ТГ</t>
  </si>
  <si>
    <t>ВК.80.300.1700.4ТГ</t>
  </si>
  <si>
    <t>ВК.80.300.1750.4ТГ</t>
  </si>
  <si>
    <t>ВК.80.300.1800.4ТГ</t>
  </si>
  <si>
    <t>ВК.80.300.1850.4ТГ</t>
  </si>
  <si>
    <t>ВК.80.300.1900.4ТГ</t>
  </si>
  <si>
    <t>ВК.80.300.1950.4ТГ</t>
  </si>
  <si>
    <t>ВК.80.300.2000.4ТГ</t>
  </si>
  <si>
    <t>ВК.80.300.2050.4ТГ</t>
  </si>
  <si>
    <t>ВК.80.300.2100.4ТГ</t>
  </si>
  <si>
    <t>ВК.80.300.2150.4ТГ</t>
  </si>
  <si>
    <t>ВК.80.300.2200.4ТГ</t>
  </si>
  <si>
    <t>ВК.80.300.2250.4ТГ</t>
  </si>
  <si>
    <t>ВК.80.300.2300.4ТГ</t>
  </si>
  <si>
    <t>ВК.80.300.2350.4ТГ</t>
  </si>
  <si>
    <t>ВК.80.300.2400.4ТГ</t>
  </si>
  <si>
    <t>ВК.80.300.2450.4ТГ</t>
  </si>
  <si>
    <t>ВК.80.300.2500.4ТГ</t>
  </si>
  <si>
    <t>ВК.80.300.2550.4ТГ</t>
  </si>
  <si>
    <t>ВК.80.300.2600.4ТГ</t>
  </si>
  <si>
    <t>ВК.80.300.2650.4ТГ</t>
  </si>
  <si>
    <t>ВК.80.300.2700.4ТГ</t>
  </si>
  <si>
    <t>ВК.80.300.2750.4ТГ</t>
  </si>
  <si>
    <t>ВК.80.300.2800.4ТГ</t>
  </si>
  <si>
    <t>ВК.80.300.2850.4ТГ</t>
  </si>
  <si>
    <t>ВК.80.300.2900.4ТГ</t>
  </si>
  <si>
    <t>ВК.80.300.2950.4ТГ</t>
  </si>
  <si>
    <t>ВК.80.300.3000.4ТГ</t>
  </si>
  <si>
    <t>ВК.80.360.600.4ТГ</t>
  </si>
  <si>
    <t>ВК.80.360.650.4ТГ</t>
  </si>
  <si>
    <t>ВК.80.360.700.4ТГ</t>
  </si>
  <si>
    <t>ВК.80.360.750.4ТГ</t>
  </si>
  <si>
    <t>ВК.80.360.800.4ТГ</t>
  </si>
  <si>
    <t>ВК.80.360.850.4ТГ</t>
  </si>
  <si>
    <t>ВК.80.360.900.4ТГ</t>
  </si>
  <si>
    <t>ВК.80.360.950.4ТГ</t>
  </si>
  <si>
    <t>ВК.80.360.1000.4ТГ</t>
  </si>
  <si>
    <t>ВК.80.360.1050.4ТГ</t>
  </si>
  <si>
    <t>ВК.80.360.1100.4ТГ</t>
  </si>
  <si>
    <t>ВК.80.360.1150.4ТГ</t>
  </si>
  <si>
    <t>ВК.80.360.1200.4ТГ</t>
  </si>
  <si>
    <t>ВК.80.360.1250.4ТГ</t>
  </si>
  <si>
    <t>ВК.80.360.1300.4ТГ</t>
  </si>
  <si>
    <t>ВК.80.360.1350.4ТГ</t>
  </si>
  <si>
    <t>ВК.80.360.1400.4ТГ</t>
  </si>
  <si>
    <t>ВК.80.360.1450.4ТГ</t>
  </si>
  <si>
    <t>ВК.80.360.1500.4ТГ</t>
  </si>
  <si>
    <t>ВК.80.360.1550.4ТГ</t>
  </si>
  <si>
    <t>ВК.80.360.1600.4ТГ</t>
  </si>
  <si>
    <t>ВК.80.360.1650.4ТГ</t>
  </si>
  <si>
    <t>ВК.80.360.1700.4ТГ</t>
  </si>
  <si>
    <t>ВК.80.360.1750.4ТГ</t>
  </si>
  <si>
    <t>ВК.80.360.1800.4ТГ</t>
  </si>
  <si>
    <t>ВК.80.360.1850.4ТГ</t>
  </si>
  <si>
    <t>ВК.80.360.1900.4ТГ</t>
  </si>
  <si>
    <t>ВК.80.360.1950.4ТГ</t>
  </si>
  <si>
    <t>ВК.80.360.2000.4ТГ</t>
  </si>
  <si>
    <t>ВК.80.360.2050.4ТГ</t>
  </si>
  <si>
    <t>ВК.80.360.2100.4ТГ</t>
  </si>
  <si>
    <t>ВК.80.360.2150.4ТГ</t>
  </si>
  <si>
    <t>ВК.80.360.2200.4ТГ</t>
  </si>
  <si>
    <t>ВК.80.360.2250.4ТГ</t>
  </si>
  <si>
    <t>ВК.80.360.2300.4ТГ</t>
  </si>
  <si>
    <t>ВК.80.360.2350.4ТГ</t>
  </si>
  <si>
    <t>ВК.80.360.2400.4ТГ</t>
  </si>
  <si>
    <t>ВК.80.360.2450.4ТГ</t>
  </si>
  <si>
    <t>ВК.80.360.2500.4ТГ</t>
  </si>
  <si>
    <t>ВК.80.360.2550.4ТГ</t>
  </si>
  <si>
    <t>ВК.80.360.2600.4ТГ</t>
  </si>
  <si>
    <t>ВК.80.360.2650.4ТГ</t>
  </si>
  <si>
    <t>ВК.80.360.2700.4ТГ</t>
  </si>
  <si>
    <t>ВК.80.360.2750.4ТГ</t>
  </si>
  <si>
    <t>ВК.80.360.2800.4ТГ</t>
  </si>
  <si>
    <t>ВК.80.360.2850.4ТГ</t>
  </si>
  <si>
    <t>ВК.80.360.2900.4ТГ</t>
  </si>
  <si>
    <t>ВК.80.360.2950.4ТГ</t>
  </si>
  <si>
    <t>ВК.80.360.3000.4ТГ</t>
  </si>
  <si>
    <t>ВК.80.400.600.4ТГ</t>
  </si>
  <si>
    <t>ВК.80.400.650.4ТГ</t>
  </si>
  <si>
    <t>ВК.80.400.700.4ТГ</t>
  </si>
  <si>
    <t>ВК.80.400.750.4ТГ</t>
  </si>
  <si>
    <t>ВК.80.400.800.4ТГ</t>
  </si>
  <si>
    <t>ВК.80.400.850.4ТГ</t>
  </si>
  <si>
    <t>ВК.80.400.900.4ТГ</t>
  </si>
  <si>
    <t>ВК.80.400.950.4ТГ</t>
  </si>
  <si>
    <t>ВК.80.400.1000.4ТГ</t>
  </si>
  <si>
    <t>ВК.80.400.1050.4ТГ</t>
  </si>
  <si>
    <t>ВК.80.400.1100.4ТГ</t>
  </si>
  <si>
    <t>ВК.80.400.1150.4ТГ</t>
  </si>
  <si>
    <t>ВК.80.400.1200.4ТГ</t>
  </si>
  <si>
    <t>ВК.80.400.1250.4ТГ</t>
  </si>
  <si>
    <t>ВК.80.400.1300.4ТГ</t>
  </si>
  <si>
    <t>ВК.80.400.1350.4ТГ</t>
  </si>
  <si>
    <t>ВК.80.400.1400.4ТГ</t>
  </si>
  <si>
    <t>ВК.80.400.1450.4ТГ</t>
  </si>
  <si>
    <t>ВК.80.400.1500.4ТГ</t>
  </si>
  <si>
    <t>ВК.80.400.1550.4ТГ</t>
  </si>
  <si>
    <t>ВК.80.400.1600.4ТГ</t>
  </si>
  <si>
    <t>ВК.80.400.1650.4ТГ</t>
  </si>
  <si>
    <t>ВК.80.400.1700.4ТГ</t>
  </si>
  <si>
    <t>ВК.80.400.1750.4ТГ</t>
  </si>
  <si>
    <t>ВК.80.400.1800.4ТГ</t>
  </si>
  <si>
    <t>ВК.80.400.1850.4ТГ</t>
  </si>
  <si>
    <t>ВК.80.400.1900.4ТГ</t>
  </si>
  <si>
    <t>ВК.80.400.1950.4ТГ</t>
  </si>
  <si>
    <t>ВК.80.400.2000.4ТГ</t>
  </si>
  <si>
    <t>ВК.80.400.2050.4ТГ</t>
  </si>
  <si>
    <t>ВК.80.400.2100.4ТГ</t>
  </si>
  <si>
    <t>ВК.80.400.2150.4ТГ</t>
  </si>
  <si>
    <t>ВК.80.400.2200.4ТГ</t>
  </si>
  <si>
    <t>ВК.80.400.2250.4ТГ</t>
  </si>
  <si>
    <t>ВК.80.400.2300.4ТГ</t>
  </si>
  <si>
    <t>ВК.80.400.2350.4ТГ</t>
  </si>
  <si>
    <t>ВК.80.400.2400.4ТГ</t>
  </si>
  <si>
    <t>ВК.80.400.2450.4ТГ</t>
  </si>
  <si>
    <t>ВК.80.400.2500.4ТГ</t>
  </si>
  <si>
    <t>ВК.80.400.2550.4ТГ</t>
  </si>
  <si>
    <t>ВК.80.400.2600.4ТГ</t>
  </si>
  <si>
    <t>ВК.80.400.2650.4ТГ</t>
  </si>
  <si>
    <t>ВК.80.400.2700.4ТГ</t>
  </si>
  <si>
    <t>ВК.80.400.2750.4ТГ</t>
  </si>
  <si>
    <t>ВК.80.400.2800.4ТГ</t>
  </si>
  <si>
    <t>ВК.80.400.2850.4ТГ</t>
  </si>
  <si>
    <t>ВК.80.400.2900.4ТГ</t>
  </si>
  <si>
    <t>ВК.80.400.2950.4ТГ</t>
  </si>
  <si>
    <t>ВК.80.400.3000.4ТГ</t>
  </si>
  <si>
    <t>ВК.80.400.600.6ТГ</t>
  </si>
  <si>
    <t>ВК.80.400.650.6ТГ</t>
  </si>
  <si>
    <t>ВК.80.400.700.6ТГ</t>
  </si>
  <si>
    <t>ВК.80.400.750.6ТГ</t>
  </si>
  <si>
    <t>ВК.80.400.800.6ТГ</t>
  </si>
  <si>
    <t>ВК.80.400.850.6ТГ</t>
  </si>
  <si>
    <t>ВК.80.400.900.6ТГ</t>
  </si>
  <si>
    <t>ВК.80.400.950.6ТГ</t>
  </si>
  <si>
    <t>ВК.80.400.1000.6ТГ</t>
  </si>
  <si>
    <t>ВК.80.400.1050.6ТГ</t>
  </si>
  <si>
    <t>ВК.80.400.1100.6ТГ</t>
  </si>
  <si>
    <t>ВК.80.400.1150.6ТГ</t>
  </si>
  <si>
    <t>ВК.80.400.1200.6ТГ</t>
  </si>
  <si>
    <t>ВК.80.400.1250.6ТГ</t>
  </si>
  <si>
    <t>ВК.80.400.1300.6ТГ</t>
  </si>
  <si>
    <t>ВК.80.400.1350.6ТГ</t>
  </si>
  <si>
    <t>ВК.80.400.1400.6ТГ</t>
  </si>
  <si>
    <t>ВК.80.400.1450.6ТГ</t>
  </si>
  <si>
    <t>ВК.80.400.1500.6ТГ</t>
  </si>
  <si>
    <t>ВК.80.400.1550.6ТГ</t>
  </si>
  <si>
    <t>ВК.80.400.1600.6ТГ</t>
  </si>
  <si>
    <t>ВК.80.400.1650.6ТГ</t>
  </si>
  <si>
    <t>ВК.80.400.1700.6ТГ</t>
  </si>
  <si>
    <t>ВК.80.400.1750.6ТГ</t>
  </si>
  <si>
    <t>ВК.80.400.1800.6ТГ</t>
  </si>
  <si>
    <t>ВК.80.400.1850.6ТГ</t>
  </si>
  <si>
    <t>ВК.80.400.1900.6ТГ</t>
  </si>
  <si>
    <t>ВК.80.400.1950.6ТГ</t>
  </si>
  <si>
    <t>ВК.80.400.2000.6ТГ</t>
  </si>
  <si>
    <t>ВК.80.400.2050.6ТГ</t>
  </si>
  <si>
    <t>ВК.80.400.2100.6ТГ</t>
  </si>
  <si>
    <t>ВК.80.400.2150.6ТГ</t>
  </si>
  <si>
    <t>ВК.80.400.2200.6ТГ</t>
  </si>
  <si>
    <t>ВК.80.400.2250.6ТГ</t>
  </si>
  <si>
    <t>ВК.80.400.2300.6ТГ</t>
  </si>
  <si>
    <t>ВК.80.400.2350.6ТГ</t>
  </si>
  <si>
    <t>ВК.80.400.2400.6ТГ</t>
  </si>
  <si>
    <t>ВК.80.400.2450.6ТГ</t>
  </si>
  <si>
    <t>ВК.80.400.2500.6ТГ</t>
  </si>
  <si>
    <t>ВК.80.400.2550.6ТГ</t>
  </si>
  <si>
    <t>ВК.80.400.2600.6ТГ</t>
  </si>
  <si>
    <t>ВК.80.400.2650.6ТГ</t>
  </si>
  <si>
    <t>ВК.80.400.2700.6ТГ</t>
  </si>
  <si>
    <t>ВК.80.400.2750.6ТГ</t>
  </si>
  <si>
    <t>ВК.80.400.2800.6ТГ</t>
  </si>
  <si>
    <t>ВК.80.400.2850.6ТГ</t>
  </si>
  <si>
    <t>ВК.80.400.2900.6ТГ</t>
  </si>
  <si>
    <t>ВК.80.400.2950.6ТГ</t>
  </si>
  <si>
    <t>ВК.80.400.3000.6ТГ</t>
  </si>
  <si>
    <t>ВК.90.160.600.2ТГ</t>
  </si>
  <si>
    <t>ВК.90.160.650.2ТГ</t>
  </si>
  <si>
    <t>ВК.90.160.700.2ТГ</t>
  </si>
  <si>
    <t>ВК.90.160.750.2ТГ</t>
  </si>
  <si>
    <t>ВК.90.160.800.2ТГ</t>
  </si>
  <si>
    <t>ВК.90.160.850.2ТГ</t>
  </si>
  <si>
    <t>ВК.90.160.900.2ТГ</t>
  </si>
  <si>
    <t>ВК.90.160.950.2ТГ</t>
  </si>
  <si>
    <t>ВК.90.160.1000.2ТГ</t>
  </si>
  <si>
    <t>ВК.90.160.1050.2ТГ</t>
  </si>
  <si>
    <t>ВК.90.160.1100.2ТГ</t>
  </si>
  <si>
    <t>ВК.90.160.1150.2ТГ</t>
  </si>
  <si>
    <t>ВК.90.160.1200.2ТГ</t>
  </si>
  <si>
    <t>ВК.90.160.1250.2ТГ</t>
  </si>
  <si>
    <t>ВК.90.160.1300.2ТГ</t>
  </si>
  <si>
    <t>ВК.90.160.1350.2ТГ</t>
  </si>
  <si>
    <t>ВК.90.160.1400.2ТГ</t>
  </si>
  <si>
    <t>ВК.90.160.1450.2ТГ</t>
  </si>
  <si>
    <t>ВК.90.160.1500.2ТГ</t>
  </si>
  <si>
    <t>ВК.90.160.1550.2ТГ</t>
  </si>
  <si>
    <t>ВК.90.160.1600.2ТГ</t>
  </si>
  <si>
    <t>ВК.90.160.1650.2ТГ</t>
  </si>
  <si>
    <t>ВК.90.160.1700.2ТГ</t>
  </si>
  <si>
    <t>ВК.90.160.1750.2ТГ</t>
  </si>
  <si>
    <t>ВК.90.160.1800.2ТГ</t>
  </si>
  <si>
    <t>ВК.90.160.1850.2ТГ</t>
  </si>
  <si>
    <t>ВК.90.160.1900.2ТГ</t>
  </si>
  <si>
    <t>ВК.90.160.1950.2ТГ</t>
  </si>
  <si>
    <t>ВК.90.160.2000.2ТГ</t>
  </si>
  <si>
    <t>ВК.90.160.2050.2ТГ</t>
  </si>
  <si>
    <t>ВК.90.160.2100.2ТГ</t>
  </si>
  <si>
    <t>ВК.90.160.2150.2ТГ</t>
  </si>
  <si>
    <t>ВК.90.160.2200.2ТГ</t>
  </si>
  <si>
    <t>ВК.90.160.2250.2ТГ</t>
  </si>
  <si>
    <t>ВК.90.160.2300.2ТГ</t>
  </si>
  <si>
    <t>ВК.90.160.2350.2ТГ</t>
  </si>
  <si>
    <t>ВК.90.160.2400.2ТГ</t>
  </si>
  <si>
    <t>ВК.90.160.2450.2ТГ</t>
  </si>
  <si>
    <t>ВК.90.160.2500.2ТГ</t>
  </si>
  <si>
    <t>ВК.90.160.2550.2ТГ</t>
  </si>
  <si>
    <t>ВК.90.160.2600.2ТГ</t>
  </si>
  <si>
    <t>ВК.90.160.2650.2ТГ</t>
  </si>
  <si>
    <t>ВК.90.160.2700.2ТГ</t>
  </si>
  <si>
    <t>ВК.90.160.2750.2ТГ</t>
  </si>
  <si>
    <t>ВК.90.160.2800.2ТГ</t>
  </si>
  <si>
    <t>ВК.90.160.2850.2ТГ</t>
  </si>
  <si>
    <t>ВК.90.160.2900.2ТГ</t>
  </si>
  <si>
    <t>ВК.90.160.2950.2ТГ</t>
  </si>
  <si>
    <t>ВК.90.160.3000.2ТГ</t>
  </si>
  <si>
    <t>ВК.90.200.600.2ТГ</t>
  </si>
  <si>
    <t>ВК.90.200.650.2ТГ</t>
  </si>
  <si>
    <t>ВК.90.200.700.2ТГ</t>
  </si>
  <si>
    <t>ВК.90.200.750.2ТГ</t>
  </si>
  <si>
    <t>ВК.90.200.800.2ТГ</t>
  </si>
  <si>
    <t>ВК.90.200.850.2ТГ</t>
  </si>
  <si>
    <t>ВК.90.200.900.2ТГ</t>
  </si>
  <si>
    <t>ВК.90.200.950.2ТГ</t>
  </si>
  <si>
    <t>ВК.90.200.1000.2ТГ</t>
  </si>
  <si>
    <t>ВК.90.200.1050.2ТГ</t>
  </si>
  <si>
    <t>ВК.90.200.1100.2ТГ</t>
  </si>
  <si>
    <t>ВК.90.200.1150.2ТГ</t>
  </si>
  <si>
    <t>ВК.90.200.1200.2ТГ</t>
  </si>
  <si>
    <t>ВК.90.200.1250.2ТГ</t>
  </si>
  <si>
    <t>ВК.90.200.1300.2ТГ</t>
  </si>
  <si>
    <t>ВК.90.200.1350.2ТГ</t>
  </si>
  <si>
    <t>ВК.90.200.1400.2ТГ</t>
  </si>
  <si>
    <t>ВК.90.200.1450.2ТГ</t>
  </si>
  <si>
    <t>ВК.90.200.1500.2ТГ</t>
  </si>
  <si>
    <t>ВК.90.200.1550.2ТГ</t>
  </si>
  <si>
    <t>ВК.90.200.1600.2ТГ</t>
  </si>
  <si>
    <t>ВК.90.200.1650.2ТГ</t>
  </si>
  <si>
    <t>ВК.90.200.1700.2ТГ</t>
  </si>
  <si>
    <t>ВК.90.200.1750.2ТГ</t>
  </si>
  <si>
    <t>ВК.90.200.1800.2ТГ</t>
  </si>
  <si>
    <t>ВК.90.200.1850.2ТГ</t>
  </si>
  <si>
    <t>ВК.90.200.1900.2ТГ</t>
  </si>
  <si>
    <t>ВК.90.200.1950.2ТГ</t>
  </si>
  <si>
    <t>ВК.90.200.2000.2ТГ</t>
  </si>
  <si>
    <t>ВК.90.200.2050.2ТГ</t>
  </si>
  <si>
    <t>ВК.90.200.2100.2ТГ</t>
  </si>
  <si>
    <t>ВК.90.200.2150.2ТГ</t>
  </si>
  <si>
    <t>ВК.90.200.2200.2ТГ</t>
  </si>
  <si>
    <t>ВК.90.200.2250.2ТГ</t>
  </si>
  <si>
    <t>ВК.90.200.2300.2ТГ</t>
  </si>
  <si>
    <t>ВК.90.200.2350.2ТГ</t>
  </si>
  <si>
    <t>ВК.90.200.2400.2ТГ</t>
  </si>
  <si>
    <t>ВК.90.200.2450.2ТГ</t>
  </si>
  <si>
    <t>ВК.90.200.2500.2ТГ</t>
  </si>
  <si>
    <t>ВК.90.200.2550.2ТГ</t>
  </si>
  <si>
    <t>ВК.90.200.2600.2ТГ</t>
  </si>
  <si>
    <t>ВК.90.200.2650.2ТГ</t>
  </si>
  <si>
    <t>ВК.90.200.2700.2ТГ</t>
  </si>
  <si>
    <t>ВК.90.200.2750.2ТГ</t>
  </si>
  <si>
    <t>ВК.90.200.2800.2ТГ</t>
  </si>
  <si>
    <t>ВК.90.200.2850.2ТГ</t>
  </si>
  <si>
    <t>ВК.90.200.2900.2ТГ</t>
  </si>
  <si>
    <t>ВК.90.200.2950.2ТГ</t>
  </si>
  <si>
    <t>ВК.90.200.3000.2ТГ</t>
  </si>
  <si>
    <t>ВК.90.260.600.2ТГ</t>
  </si>
  <si>
    <t>ВК.90.260.650.2ТГ</t>
  </si>
  <si>
    <t>ВК.90.260.700.2ТГ</t>
  </si>
  <si>
    <t>ВК.90.260.750.2ТГ</t>
  </si>
  <si>
    <t>ВК.90.260.800.2ТГ</t>
  </si>
  <si>
    <t>ВК.90.260.850.2ТГ</t>
  </si>
  <si>
    <t>ВК.90.260.900.2ТГ</t>
  </si>
  <si>
    <t>ВК.90.260.950.2ТГ</t>
  </si>
  <si>
    <t>ВК.90.260.1000.2ТГ</t>
  </si>
  <si>
    <t>ВК.90.260.1050.2ТГ</t>
  </si>
  <si>
    <t>ВК.90.260.1100.2ТГ</t>
  </si>
  <si>
    <t>ВК.90.260.1150.2ТГ</t>
  </si>
  <si>
    <t>ВК.90.260.1200.2ТГ</t>
  </si>
  <si>
    <t>ВК.90.260.1250.2ТГ</t>
  </si>
  <si>
    <t>ВК.90.260.1300.2ТГ</t>
  </si>
  <si>
    <t>ВК.90.260.1350.2ТГ</t>
  </si>
  <si>
    <t>ВК.90.260.1400.2ТГ</t>
  </si>
  <si>
    <t>ВК.90.260.1450.2ТГ</t>
  </si>
  <si>
    <t>ВК.90.260.1500.2ТГ</t>
  </si>
  <si>
    <t>ВК.90.260.1550.2ТГ</t>
  </si>
  <si>
    <t>ВК.90.260.1600.2ТГ</t>
  </si>
  <si>
    <t>ВК.90.260.1650.2ТГ</t>
  </si>
  <si>
    <t>ВК.90.260.1700.2ТГ</t>
  </si>
  <si>
    <t>ВК.90.260.1750.2ТГ</t>
  </si>
  <si>
    <t>ВК.90.260.1800.2ТГ</t>
  </si>
  <si>
    <t>ВК.90.260.1850.2ТГ</t>
  </si>
  <si>
    <t>ВК.90.260.1900.2ТГ</t>
  </si>
  <si>
    <t>ВК.90.260.1950.2ТГ</t>
  </si>
  <si>
    <t>ВК.90.260.2000.2ТГ</t>
  </si>
  <si>
    <t>ВК.90.260.2050.2ТГ</t>
  </si>
  <si>
    <t>ВК.90.260.2100.2ТГ</t>
  </si>
  <si>
    <t>ВК.90.260.2150.2ТГ</t>
  </si>
  <si>
    <t>ВК.90.260.2200.2ТГ</t>
  </si>
  <si>
    <t>ВК.90.260.2250.2ТГ</t>
  </si>
  <si>
    <t>ВК.90.260.2300.2ТГ</t>
  </si>
  <si>
    <t>ВК.90.260.2350.2ТГ</t>
  </si>
  <si>
    <t>ВК.90.260.2400.2ТГ</t>
  </si>
  <si>
    <t>ВК.90.260.2450.2ТГ</t>
  </si>
  <si>
    <t>ВК.90.260.2500.2ТГ</t>
  </si>
  <si>
    <t>ВК.90.260.2550.2ТГ</t>
  </si>
  <si>
    <t>ВК.90.260.2600.2ТГ</t>
  </si>
  <si>
    <t>ВК.90.260.2650.2ТГ</t>
  </si>
  <si>
    <t>ВК.90.260.2700.2ТГ</t>
  </si>
  <si>
    <t>ВК.90.260.2750.2ТГ</t>
  </si>
  <si>
    <t>ВК.90.260.2800.2ТГ</t>
  </si>
  <si>
    <t>ВК.90.260.2850.2ТГ</t>
  </si>
  <si>
    <t>ВК.90.260.2900.2ТГ</t>
  </si>
  <si>
    <t>ВК.90.260.2950.2ТГ</t>
  </si>
  <si>
    <t>ВК.90.260.3000.2ТГ</t>
  </si>
  <si>
    <t>ВК.90.300.600.2ТГ</t>
  </si>
  <si>
    <t>ВК.90.300.650.2ТГ</t>
  </si>
  <si>
    <t>ВК.90.300.700.2ТГ</t>
  </si>
  <si>
    <t>ВК.90.300.750.2ТГ</t>
  </si>
  <si>
    <t>ВК.90.300.800.2ТГ</t>
  </si>
  <si>
    <t>ВК.90.300.850.2ТГ</t>
  </si>
  <si>
    <t>ВК.90.300.900.2ТГ</t>
  </si>
  <si>
    <t>ВК.90.300.950.2ТГ</t>
  </si>
  <si>
    <t>ВК.90.300.1000.2ТГ</t>
  </si>
  <si>
    <t>ВК.90.300.1050.2ТГ</t>
  </si>
  <si>
    <t>ВК.90.300.1100.2ТГ</t>
  </si>
  <si>
    <t>ВК.90.300.1150.2ТГ</t>
  </si>
  <si>
    <t>ВК.90.300.1200.2ТГ</t>
  </si>
  <si>
    <t>ВК.90.300.1250.2ТГ</t>
  </si>
  <si>
    <t>ВК.90.300.1300.2ТГ</t>
  </si>
  <si>
    <t>ВК.90.300.1350.2ТГ</t>
  </si>
  <si>
    <t>ВК.90.300.1400.2ТГ</t>
  </si>
  <si>
    <t>ВК.90.300.1450.2ТГ</t>
  </si>
  <si>
    <t>ВК.90.300.1500.2ТГ</t>
  </si>
  <si>
    <t>ВК.90.300.1550.2ТГ</t>
  </si>
  <si>
    <t>ВК.90.300.1600.2ТГ</t>
  </si>
  <si>
    <t>ВК.90.300.1650.2ТГ</t>
  </si>
  <si>
    <t>ВК.90.300.1700.2ТГ</t>
  </si>
  <si>
    <t>ВК.90.300.1750.2ТГ</t>
  </si>
  <si>
    <t>ВК.90.300.1800.2ТГ</t>
  </si>
  <si>
    <t>ВК.90.300.1850.2ТГ</t>
  </si>
  <si>
    <t>ВК.90.300.1900.2ТГ</t>
  </si>
  <si>
    <t>ВК.90.300.1950.2ТГ</t>
  </si>
  <si>
    <t>ВК.90.300.2000.2ТГ</t>
  </si>
  <si>
    <t>ВК.90.300.2050.2ТГ</t>
  </si>
  <si>
    <t>ВК.90.300.2100.2ТГ</t>
  </si>
  <si>
    <t>ВК.90.300.2150.2ТГ</t>
  </si>
  <si>
    <t>ВК.90.300.2200.2ТГ</t>
  </si>
  <si>
    <t>ВК.90.300.2250.2ТГ</t>
  </si>
  <si>
    <t>ВК.90.300.2300.2ТГ</t>
  </si>
  <si>
    <t>ВК.90.300.2350.2ТГ</t>
  </si>
  <si>
    <t>ВК.90.300.2400.2ТГ</t>
  </si>
  <si>
    <t>ВК.90.300.2450.2ТГ</t>
  </si>
  <si>
    <t>ВК.90.300.2500.2ТГ</t>
  </si>
  <si>
    <t>ВК.90.300.2550.2ТГ</t>
  </si>
  <si>
    <t>ВК.90.300.2600.2ТГ</t>
  </si>
  <si>
    <t>ВК.90.300.2650.2ТГ</t>
  </si>
  <si>
    <t>ВК.90.300.2700.2ТГ</t>
  </si>
  <si>
    <t>ВК.90.300.2750.2ТГ</t>
  </si>
  <si>
    <t>ВК.90.300.2800.2ТГ</t>
  </si>
  <si>
    <t>ВК.90.300.2850.2ТГ</t>
  </si>
  <si>
    <t>ВК.90.300.2900.2ТГ</t>
  </si>
  <si>
    <t>ВК.90.300.2950.2ТГ</t>
  </si>
  <si>
    <t>ВК.90.300.3000.2ТГ</t>
  </si>
  <si>
    <t>ВК.90.300.600.4ТГ</t>
  </si>
  <si>
    <t>ВК.90.300.650.4ТГ</t>
  </si>
  <si>
    <t>ВК.90.300.700.4ТГ</t>
  </si>
  <si>
    <t>ВК.90.300.750.4ТГ</t>
  </si>
  <si>
    <t>ВК.90.300.800.4ТГ</t>
  </si>
  <si>
    <t>ВК.90.300.850.4ТГ</t>
  </si>
  <si>
    <t>ВК.90.300.900.4ТГ</t>
  </si>
  <si>
    <t>ВК.90.300.950.4ТГ</t>
  </si>
  <si>
    <t>ВК.90.300.1000.4ТГ</t>
  </si>
  <si>
    <t>ВК.90.300.1050.4ТГ</t>
  </si>
  <si>
    <t>ВК.90.300.1100.4ТГ</t>
  </si>
  <si>
    <t>ВК.90.300.1150.4ТГ</t>
  </si>
  <si>
    <t>ВК.90.300.1200.4ТГ</t>
  </si>
  <si>
    <t>ВК.90.300.1250.4ТГ</t>
  </si>
  <si>
    <t>ВК.90.300.1300.4ТГ</t>
  </si>
  <si>
    <t>ВК.90.300.1350.4ТГ</t>
  </si>
  <si>
    <t>ВК.90.300.1400.4ТГ</t>
  </si>
  <si>
    <t>ВК.90.300.1450.4ТГ</t>
  </si>
  <si>
    <t>ВК.90.300.1500.4ТГ</t>
  </si>
  <si>
    <t>ВК.90.300.1550.4ТГ</t>
  </si>
  <si>
    <t>ВК.90.300.1600.4ТГ</t>
  </si>
  <si>
    <t>ВК.90.300.1650.4ТГ</t>
  </si>
  <si>
    <t>ВК.90.300.1700.4ТГ</t>
  </si>
  <si>
    <t>ВК.90.300.1750.4ТГ</t>
  </si>
  <si>
    <t>ВК.90.300.1800.4ТГ</t>
  </si>
  <si>
    <t>ВК.90.300.1850.4ТГ</t>
  </si>
  <si>
    <t>ВК.90.300.1900.4ТГ</t>
  </si>
  <si>
    <t>ВК.90.300.1950.4ТГ</t>
  </si>
  <si>
    <t>ВК.90.300.2000.4ТГ</t>
  </si>
  <si>
    <t>ВК.90.300.2050.4ТГ</t>
  </si>
  <si>
    <t>ВК.90.300.2100.4ТГ</t>
  </si>
  <si>
    <t>ВК.90.300.2150.4ТГ</t>
  </si>
  <si>
    <t>ВК.90.300.2200.4ТГ</t>
  </si>
  <si>
    <t>ВК.90.300.2250.4ТГ</t>
  </si>
  <si>
    <t>ВК.90.300.2300.4ТГ</t>
  </si>
  <si>
    <t>ВК.90.300.2350.4ТГ</t>
  </si>
  <si>
    <t>ВК.90.300.2400.4ТГ</t>
  </si>
  <si>
    <t>ВК.90.300.2450.4ТГ</t>
  </si>
  <si>
    <t>ВК.90.300.2500.4ТГ</t>
  </si>
  <si>
    <t>ВК.90.300.2550.4ТГ</t>
  </si>
  <si>
    <t>ВК.90.300.2600.4ТГ</t>
  </si>
  <si>
    <t>ВК.90.300.2650.4ТГ</t>
  </si>
  <si>
    <t>ВК.90.300.2700.4ТГ</t>
  </si>
  <si>
    <t>ВК.90.300.2750.4ТГ</t>
  </si>
  <si>
    <t>ВК.90.300.2800.4ТГ</t>
  </si>
  <si>
    <t>ВК.90.300.2850.4ТГ</t>
  </si>
  <si>
    <t>ВК.90.300.2900.4ТГ</t>
  </si>
  <si>
    <t>ВК.90.300.2950.4ТГ</t>
  </si>
  <si>
    <t>ВК.90.300.3000.4ТГ</t>
  </si>
  <si>
    <t>ВК.90.360.600.4ТГ</t>
  </si>
  <si>
    <t>ВК.90.360.650.4ТГ</t>
  </si>
  <si>
    <t>ВК.90.360.700.4ТГ</t>
  </si>
  <si>
    <t>ВК.90.360.750.4ТГ</t>
  </si>
  <si>
    <t>ВК.90.360.800.4ТГ</t>
  </si>
  <si>
    <t>ВК.90.360.850.4ТГ</t>
  </si>
  <si>
    <t>ВК.90.360.900.4ТГ</t>
  </si>
  <si>
    <t>ВК.90.360.950.4ТГ</t>
  </si>
  <si>
    <t>ВК.90.360.1000.4ТГ</t>
  </si>
  <si>
    <t>ВК.90.360.1050.4ТГ</t>
  </si>
  <si>
    <t>ВК.90.360.1100.4ТГ</t>
  </si>
  <si>
    <t>ВК.90.360.1150.4ТГ</t>
  </si>
  <si>
    <t>ВК.90.360.1200.4ТГ</t>
  </si>
  <si>
    <t>ВК.90.360.1250.4ТГ</t>
  </si>
  <si>
    <t>ВК.90.360.1300.4ТГ</t>
  </si>
  <si>
    <t>ВК.90.360.1350.4ТГ</t>
  </si>
  <si>
    <t>ВК.90.360.1400.4ТГ</t>
  </si>
  <si>
    <t>ВК.90.360.1450.4ТГ</t>
  </si>
  <si>
    <t>ВК.90.360.1500.4ТГ</t>
  </si>
  <si>
    <t>ВК.90.360.1550.4ТГ</t>
  </si>
  <si>
    <t>ВК.90.360.1600.4ТГ</t>
  </si>
  <si>
    <t>ВК.90.360.1650.4ТГ</t>
  </si>
  <si>
    <t>ВК.90.360.1700.4ТГ</t>
  </si>
  <si>
    <t>ВК.90.360.1750.4ТГ</t>
  </si>
  <si>
    <t>ВК.90.360.1800.4ТГ</t>
  </si>
  <si>
    <t>ВК.90.360.1850.4ТГ</t>
  </si>
  <si>
    <t>ВК.90.360.1900.4ТГ</t>
  </si>
  <si>
    <t>ВК.90.360.1950.4ТГ</t>
  </si>
  <si>
    <t>ВК.90.360.2000.4ТГ</t>
  </si>
  <si>
    <t>ВК.90.360.2050.4ТГ</t>
  </si>
  <si>
    <t>ВК.90.360.2100.4ТГ</t>
  </si>
  <si>
    <t>ВК.90.360.2150.4ТГ</t>
  </si>
  <si>
    <t>ВК.90.360.2200.4ТГ</t>
  </si>
  <si>
    <t>ВК.90.360.2250.4ТГ</t>
  </si>
  <si>
    <t>ВК.90.360.2300.4ТГ</t>
  </si>
  <si>
    <t>ВК.90.360.2350.4ТГ</t>
  </si>
  <si>
    <t>ВК.90.360.2400.4ТГ</t>
  </si>
  <si>
    <t>ВК.90.360.2450.4ТГ</t>
  </si>
  <si>
    <t>ВК.90.360.2500.4ТГ</t>
  </si>
  <si>
    <t>ВК.90.360.2550.4ТГ</t>
  </si>
  <si>
    <t>ВК.90.360.2600.4ТГ</t>
  </si>
  <si>
    <t>ВК.90.360.2650.4ТГ</t>
  </si>
  <si>
    <t>ВК.90.360.2700.4ТГ</t>
  </si>
  <si>
    <t>ВК.90.360.2750.4ТГ</t>
  </si>
  <si>
    <t>ВК.90.360.2800.4ТГ</t>
  </si>
  <si>
    <t>ВК.90.360.2850.4ТГ</t>
  </si>
  <si>
    <t>ВК.90.360.2900.4ТГ</t>
  </si>
  <si>
    <t>ВК.90.360.2950.4ТГ</t>
  </si>
  <si>
    <t>ВК.90.360.3000.4ТГ</t>
  </si>
  <si>
    <t>ВК.90.400.600.4ТГ</t>
  </si>
  <si>
    <t>ВК.90.400.650.4ТГ</t>
  </si>
  <si>
    <t>ВК.90.400.700.4ТГ</t>
  </si>
  <si>
    <t>ВК.90.400.750.4ТГ</t>
  </si>
  <si>
    <t>ВК.90.400.800.4ТГ</t>
  </si>
  <si>
    <t>ВК.90.400.850.4ТГ</t>
  </si>
  <si>
    <t>ВК.90.400.900.4ТГ</t>
  </si>
  <si>
    <t>ВК.90.400.950.4ТГ</t>
  </si>
  <si>
    <t>ВК.90.400.1000.4ТГ</t>
  </si>
  <si>
    <t>ВК.90.400.1050.4ТГ</t>
  </si>
  <si>
    <t>ВК.90.400.1100.4ТГ</t>
  </si>
  <si>
    <t>ВК.90.400.1150.4ТГ</t>
  </si>
  <si>
    <t>ВК.90.400.1200.4ТГ</t>
  </si>
  <si>
    <t>ВК.90.400.1250.4ТГ</t>
  </si>
  <si>
    <t>ВК.90.400.1300.4ТГ</t>
  </si>
  <si>
    <t>ВК.90.400.1350.4ТГ</t>
  </si>
  <si>
    <t>ВК.90.400.1400.4ТГ</t>
  </si>
  <si>
    <t>ВК.90.400.1450.4ТГ</t>
  </si>
  <si>
    <t>ВК.90.400.1500.4ТГ</t>
  </si>
  <si>
    <t>ВК.90.400.1550.4ТГ</t>
  </si>
  <si>
    <t>ВК.90.400.1600.4ТГ</t>
  </si>
  <si>
    <t>ВК.90.400.1650.4ТГ</t>
  </si>
  <si>
    <t>ВК.90.400.1700.4ТГ</t>
  </si>
  <si>
    <t>ВК.90.400.1750.4ТГ</t>
  </si>
  <si>
    <t>ВК.90.400.1800.4ТГ</t>
  </si>
  <si>
    <t>ВК.90.400.1850.4ТГ</t>
  </si>
  <si>
    <t>ВК.90.400.1900.4ТГ</t>
  </si>
  <si>
    <t>ВК.90.400.1950.4ТГ</t>
  </si>
  <si>
    <t>ВК.90.400.2000.4ТГ</t>
  </si>
  <si>
    <t>ВК.90.400.2050.4ТГ</t>
  </si>
  <si>
    <t>ВК.90.400.2100.4ТГ</t>
  </si>
  <si>
    <t>ВК.90.400.2150.4ТГ</t>
  </si>
  <si>
    <t>ВК.90.400.2200.4ТГ</t>
  </si>
  <si>
    <t>ВК.90.400.2250.4ТГ</t>
  </si>
  <si>
    <t>ВК.90.400.2300.4ТГ</t>
  </si>
  <si>
    <t>ВК.90.400.2350.4ТГ</t>
  </si>
  <si>
    <t>ВК.90.400.2400.4ТГ</t>
  </si>
  <si>
    <t>ВК.90.400.2450.4ТГ</t>
  </si>
  <si>
    <t>ВК.90.400.2500.4ТГ</t>
  </si>
  <si>
    <t>ВК.90.400.2550.4ТГ</t>
  </si>
  <si>
    <t>ВК.90.400.2600.4ТГ</t>
  </si>
  <si>
    <t>ВК.90.400.2650.4ТГ</t>
  </si>
  <si>
    <t>ВК.90.400.2700.4ТГ</t>
  </si>
  <si>
    <t>ВК.90.400.2750.4ТГ</t>
  </si>
  <si>
    <t>ВК.90.400.2800.4ТГ</t>
  </si>
  <si>
    <t>ВК.90.400.2850.4ТГ</t>
  </si>
  <si>
    <t>ВК.90.400.2900.4ТГ</t>
  </si>
  <si>
    <t>ВК.90.400.2950.4ТГ</t>
  </si>
  <si>
    <t>ВК.90.400.3000.4ТГ</t>
  </si>
  <si>
    <t>ВК.90.400.600.6ТГ</t>
  </si>
  <si>
    <t>ВК.90.400.650.6ТГ</t>
  </si>
  <si>
    <t>ВК.90.400.700.6ТГ</t>
  </si>
  <si>
    <t>ВК.90.400.750.6ТГ</t>
  </si>
  <si>
    <t>ВК.90.400.800.6ТГ</t>
  </si>
  <si>
    <t>ВК.90.400.850.6ТГ</t>
  </si>
  <si>
    <t>ВК.90.400.900.6ТГ</t>
  </si>
  <si>
    <t>ВК.90.400.950.6ТГ</t>
  </si>
  <si>
    <t>ВК.90.400.1000.6ТГ</t>
  </si>
  <si>
    <t>ВК.90.400.1050.6ТГ</t>
  </si>
  <si>
    <t>ВК.90.400.1100.6ТГ</t>
  </si>
  <si>
    <t>ВК.90.400.1150.6ТГ</t>
  </si>
  <si>
    <t>ВК.90.400.1200.6ТГ</t>
  </si>
  <si>
    <t>ВК.90.400.1250.6ТГ</t>
  </si>
  <si>
    <t>ВК.90.400.1300.6ТГ</t>
  </si>
  <si>
    <t>ВК.90.400.1350.6ТГ</t>
  </si>
  <si>
    <t>ВК.90.400.1400.6ТГ</t>
  </si>
  <si>
    <t>ВК.90.400.1450.6ТГ</t>
  </si>
  <si>
    <t>ВК.90.400.1500.6ТГ</t>
  </si>
  <si>
    <t>ВК.90.400.1550.6ТГ</t>
  </si>
  <si>
    <t>ВК.90.400.1600.6ТГ</t>
  </si>
  <si>
    <t>ВК.90.400.1650.6ТГ</t>
  </si>
  <si>
    <t>ВК.90.400.1700.6ТГ</t>
  </si>
  <si>
    <t>ВК.90.400.1750.6ТГ</t>
  </si>
  <si>
    <t>ВК.90.400.1800.6ТГ</t>
  </si>
  <si>
    <t>ВК.90.400.1850.6ТГ</t>
  </si>
  <si>
    <t>ВК.90.400.1900.6ТГ</t>
  </si>
  <si>
    <t>ВК.90.400.1950.6ТГ</t>
  </si>
  <si>
    <t>ВК.90.400.2000.6ТГ</t>
  </si>
  <si>
    <t>ВК.90.400.2050.6ТГ</t>
  </si>
  <si>
    <t>ВК.90.400.2100.6ТГ</t>
  </si>
  <si>
    <t>ВК.90.400.2150.6ТГ</t>
  </si>
  <si>
    <t>ВК.90.400.2200.6ТГ</t>
  </si>
  <si>
    <t>ВК.90.400.2250.6ТГ</t>
  </si>
  <si>
    <t>ВК.90.400.2300.6ТГ</t>
  </si>
  <si>
    <t>ВК.90.400.2350.6ТГ</t>
  </si>
  <si>
    <t>ВК.90.400.2400.6ТГ</t>
  </si>
  <si>
    <t>ВК.90.400.2450.6ТГ</t>
  </si>
  <si>
    <t>ВК.90.400.2500.6ТГ</t>
  </si>
  <si>
    <t>ВК.90.400.2550.6ТГ</t>
  </si>
  <si>
    <t>ВК.90.400.2600.6ТГ</t>
  </si>
  <si>
    <t>ВК.90.400.2650.6ТГ</t>
  </si>
  <si>
    <t>ВК.90.400.2700.6ТГ</t>
  </si>
  <si>
    <t>ВК.90.400.2750.6ТГ</t>
  </si>
  <si>
    <t>ВК.90.400.2800.6ТГ</t>
  </si>
  <si>
    <t>ВК.90.400.2850.6ТГ</t>
  </si>
  <si>
    <t>ВК.90.400.2900.6ТГ</t>
  </si>
  <si>
    <t>ВК.90.400.2950.6ТГ</t>
  </si>
  <si>
    <t>ВК.90.400.3000.6ТГ</t>
  </si>
  <si>
    <t>ВК.110.160.600.2ТГ</t>
  </si>
  <si>
    <t>ВК.110.160.650.2ТГ</t>
  </si>
  <si>
    <t>ВК.110.160.700.2ТГ</t>
  </si>
  <si>
    <t>ВК.110.160.750.2ТГ</t>
  </si>
  <si>
    <t>ВК.110.160.800.2ТГ</t>
  </si>
  <si>
    <t>ВК.110.160.850.2ТГ</t>
  </si>
  <si>
    <t>ВК.110.160.900.2ТГ</t>
  </si>
  <si>
    <t>ВК.110.160.950.2ТГ</t>
  </si>
  <si>
    <t>ВК.110.160.1000.2ТГ</t>
  </si>
  <si>
    <t>ВК.110.160.1050.2ТГ</t>
  </si>
  <si>
    <t>ВК.110.160.1100.2ТГ</t>
  </si>
  <si>
    <t>ВК.110.160.1150.2ТГ</t>
  </si>
  <si>
    <t>ВК.110.160.1200.2ТГ</t>
  </si>
  <si>
    <t>ВК.110.160.1250.2ТГ</t>
  </si>
  <si>
    <t>ВК.110.160.1300.2ТГ</t>
  </si>
  <si>
    <t>ВК.110.160.1350.2ТГ</t>
  </si>
  <si>
    <t>ВК.110.160.1400.2ТГ</t>
  </si>
  <si>
    <t>ВК.110.160.1450.2ТГ</t>
  </si>
  <si>
    <t>ВК.110.160.1500.2ТГ</t>
  </si>
  <si>
    <t>ВК.110.160.1550.2ТГ</t>
  </si>
  <si>
    <t>ВК.110.160.1600.2ТГ</t>
  </si>
  <si>
    <t>ВК.110.160.1650.2ТГ</t>
  </si>
  <si>
    <t>ВК.110.160.1700.2ТГ</t>
  </si>
  <si>
    <t>ВК.110.160.1750.2ТГ</t>
  </si>
  <si>
    <t>ВК.110.160.1800.2ТГ</t>
  </si>
  <si>
    <t>ВК.110.160.1850.2ТГ</t>
  </si>
  <si>
    <t>ВК.110.160.1900.2ТГ</t>
  </si>
  <si>
    <t>ВК.110.160.1950.2ТГ</t>
  </si>
  <si>
    <t>ВК.110.160.2000.2ТГ</t>
  </si>
  <si>
    <t>ВК.110.160.2050.2ТГ</t>
  </si>
  <si>
    <t>ВК.110.160.2100.2ТГ</t>
  </si>
  <si>
    <t>ВК.110.160.2150.2ТГ</t>
  </si>
  <si>
    <t>ВК.110.160.2200.2ТГ</t>
  </si>
  <si>
    <t>ВК.110.160.2250.2ТГ</t>
  </si>
  <si>
    <t>ВК.110.160.2300.2ТГ</t>
  </si>
  <si>
    <t>ВК.110.160.2350.2ТГ</t>
  </si>
  <si>
    <t>ВК.110.160.2400.2ТГ</t>
  </si>
  <si>
    <t>ВК.110.160.2450.2ТГ</t>
  </si>
  <si>
    <t>ВК.110.160.2500.2ТГ</t>
  </si>
  <si>
    <t>ВК.110.160.2550.2ТГ</t>
  </si>
  <si>
    <t>ВК.110.160.2600.2ТГ</t>
  </si>
  <si>
    <t>ВК.110.160.2650.2ТГ</t>
  </si>
  <si>
    <t>ВК.110.160.2700.2ТГ</t>
  </si>
  <si>
    <t>ВК.110.160.2750.2ТГ</t>
  </si>
  <si>
    <t>ВК.110.160.2800.2ТГ</t>
  </si>
  <si>
    <t>ВК.110.160.2850.2ТГ</t>
  </si>
  <si>
    <t>ВК.110.160.2900.2ТГ</t>
  </si>
  <si>
    <t>ВК.110.160.2950.2ТГ</t>
  </si>
  <si>
    <t>ВК.110.160.3000.2ТГ</t>
  </si>
  <si>
    <t>ВК.110.200.600.2ТГ</t>
  </si>
  <si>
    <t>ВК.110.200.650.2ТГ</t>
  </si>
  <si>
    <t>ВК.110.200.700.2ТГ</t>
  </si>
  <si>
    <t>ВК.110.200.750.2ТГ</t>
  </si>
  <si>
    <t>ВК.110.200.800.2ТГ</t>
  </si>
  <si>
    <t>ВК.110.200.850.2ТГ</t>
  </si>
  <si>
    <t>ВК.110.200.900.2ТГ</t>
  </si>
  <si>
    <t>ВК.110.200.950.2ТГ</t>
  </si>
  <si>
    <t>ВК.110.200.1000.2ТГ</t>
  </si>
  <si>
    <t>ВК.110.200.1050.2ТГ</t>
  </si>
  <si>
    <t>ВК.110.200.1100.2ТГ</t>
  </si>
  <si>
    <t>ВК.110.200.1150.2ТГ</t>
  </si>
  <si>
    <t>ВК.110.200.1200.2ТГ</t>
  </si>
  <si>
    <t>ВК.110.200.1250.2ТГ</t>
  </si>
  <si>
    <t>ВК.110.200.1300.2ТГ</t>
  </si>
  <si>
    <t>ВК.110.200.1350.2ТГ</t>
  </si>
  <si>
    <t>ВК.110.200.1400.2ТГ</t>
  </si>
  <si>
    <t>ВК.110.200.1450.2ТГ</t>
  </si>
  <si>
    <t>ВК.110.200.1500.2ТГ</t>
  </si>
  <si>
    <t>ВК.110.200.1550.2ТГ</t>
  </si>
  <si>
    <t>ВК.110.200.1600.2ТГ</t>
  </si>
  <si>
    <t>ВК.110.200.1650.2ТГ</t>
  </si>
  <si>
    <t>ВК.110.200.1700.2ТГ</t>
  </si>
  <si>
    <t>ВК.110.200.1750.2ТГ</t>
  </si>
  <si>
    <t>ВК.110.200.1800.2ТГ</t>
  </si>
  <si>
    <t>ВК.110.200.1850.2ТГ</t>
  </si>
  <si>
    <t>ВК.110.200.1900.2ТГ</t>
  </si>
  <si>
    <t>ВК.110.200.1950.2ТГ</t>
  </si>
  <si>
    <t>ВК.110.200.2000.2ТГ</t>
  </si>
  <si>
    <t>ВК.110.200.2050.2ТГ</t>
  </si>
  <si>
    <t>ВК.110.200.2100.2ТГ</t>
  </si>
  <si>
    <t>ВК.110.200.2150.2ТГ</t>
  </si>
  <si>
    <t>ВК.110.200.2200.2ТГ</t>
  </si>
  <si>
    <t>ВК.110.200.2250.2ТГ</t>
  </si>
  <si>
    <t>ВК.110.200.2300.2ТГ</t>
  </si>
  <si>
    <t>ВК.110.200.2350.2ТГ</t>
  </si>
  <si>
    <t>ВК.110.200.2400.2ТГ</t>
  </si>
  <si>
    <t>ВК.110.200.2450.2ТГ</t>
  </si>
  <si>
    <t>ВК.110.200.2500.2ТГ</t>
  </si>
  <si>
    <t>ВК.110.200.2550.2ТГ</t>
  </si>
  <si>
    <t>ВК.110.200.2600.2ТГ</t>
  </si>
  <si>
    <t>ВК.110.200.2650.2ТГ</t>
  </si>
  <si>
    <t>ВК.110.200.2700.2ТГ</t>
  </si>
  <si>
    <t>ВК.110.200.2750.2ТГ</t>
  </si>
  <si>
    <t>ВК.110.200.2800.2ТГ</t>
  </si>
  <si>
    <t>ВК.110.200.2850.2ТГ</t>
  </si>
  <si>
    <t>ВК.110.200.2900.2ТГ</t>
  </si>
  <si>
    <t>ВК.110.200.2950.2ТГ</t>
  </si>
  <si>
    <t>ВК.110.200.3000.2ТГ</t>
  </si>
  <si>
    <t>ВК.110.260.600.2ТГ</t>
  </si>
  <si>
    <t>ВК.110.260.650.2ТГ</t>
  </si>
  <si>
    <t>ВК.110.260.700.2ТГ</t>
  </si>
  <si>
    <t>ВК.110.260.750.2ТГ</t>
  </si>
  <si>
    <t>ВК.110.260.800.2ТГ</t>
  </si>
  <si>
    <t>ВК.110.260.850.2ТГ</t>
  </si>
  <si>
    <t>ВК.110.260.900.2ТГ</t>
  </si>
  <si>
    <t>ВК.110.260.950.2ТГ</t>
  </si>
  <si>
    <t>ВК.110.260.1000.2ТГ</t>
  </si>
  <si>
    <t>ВК.110.260.1050.2ТГ</t>
  </si>
  <si>
    <t>ВК.110.260.1100.2ТГ</t>
  </si>
  <si>
    <t>ВК.110.260.1150.2ТГ</t>
  </si>
  <si>
    <t>ВК.110.260.1200.2ТГ</t>
  </si>
  <si>
    <t>ВК.110.260.1250.2ТГ</t>
  </si>
  <si>
    <t>ВК.110.260.1300.2ТГ</t>
  </si>
  <si>
    <t>ВК.110.260.1350.2ТГ</t>
  </si>
  <si>
    <t>ВК.110.260.1400.2ТГ</t>
  </si>
  <si>
    <t>ВК.110.260.1450.2ТГ</t>
  </si>
  <si>
    <t>ВК.110.260.1500.2ТГ</t>
  </si>
  <si>
    <t>ВК.110.260.1550.2ТГ</t>
  </si>
  <si>
    <t>ВК.110.260.1600.2ТГ</t>
  </si>
  <si>
    <t>ВК.110.260.1650.2ТГ</t>
  </si>
  <si>
    <t>ВК.110.260.1700.2ТГ</t>
  </si>
  <si>
    <t>ВК.110.260.1750.2ТГ</t>
  </si>
  <si>
    <t>ВК.110.260.1800.2ТГ</t>
  </si>
  <si>
    <t>ВК.110.260.1850.2ТГ</t>
  </si>
  <si>
    <t>ВК.110.260.1900.2ТГ</t>
  </si>
  <si>
    <t>ВК.110.260.1950.2ТГ</t>
  </si>
  <si>
    <t>ВК.110.260.2000.2ТГ</t>
  </si>
  <si>
    <t>ВК.110.260.2050.2ТГ</t>
  </si>
  <si>
    <t>ВК.110.260.2100.2ТГ</t>
  </si>
  <si>
    <t>ВК.110.260.2150.2ТГ</t>
  </si>
  <si>
    <t>ВК.110.260.2200.2ТГ</t>
  </si>
  <si>
    <t>ВК.110.260.2250.2ТГ</t>
  </si>
  <si>
    <t>ВК.110.260.2300.2ТГ</t>
  </si>
  <si>
    <t>ВК.110.260.2350.2ТГ</t>
  </si>
  <si>
    <t>ВК.110.260.2400.2ТГ</t>
  </si>
  <si>
    <t>ВК.110.260.2450.2ТГ</t>
  </si>
  <si>
    <t>ВК.110.260.2500.2ТГ</t>
  </si>
  <si>
    <t>ВК.110.260.2550.2ТГ</t>
  </si>
  <si>
    <t>ВК.110.260.2600.2ТГ</t>
  </si>
  <si>
    <t>ВК.110.260.2650.2ТГ</t>
  </si>
  <si>
    <t>ВК.110.260.2700.2ТГ</t>
  </si>
  <si>
    <t>ВК.110.260.2750.2ТГ</t>
  </si>
  <si>
    <t>ВК.110.260.2800.2ТГ</t>
  </si>
  <si>
    <t>ВК.110.260.2850.2ТГ</t>
  </si>
  <si>
    <t>ВК.110.260.2900.2ТГ</t>
  </si>
  <si>
    <t>ВК.110.260.2950.2ТГ</t>
  </si>
  <si>
    <t>ВК.110.260.3000.2ТГ</t>
  </si>
  <si>
    <t>ВК.110.300.600.2ТГ</t>
  </si>
  <si>
    <t>ВК.110.300.650.2ТГ</t>
  </si>
  <si>
    <t>ВК.110.300.700.2ТГ</t>
  </si>
  <si>
    <t>ВК.110.300.750.2ТГ</t>
  </si>
  <si>
    <t>ВК.110.300.800.2ТГ</t>
  </si>
  <si>
    <t>ВК.110.300.850.2ТГ</t>
  </si>
  <si>
    <t>ВК.110.300.900.2ТГ</t>
  </si>
  <si>
    <t>ВК.110.300.950.2ТГ</t>
  </si>
  <si>
    <t>ВК.110.300.1000.2ТГ</t>
  </si>
  <si>
    <t>ВК.110.300.1050.2ТГ</t>
  </si>
  <si>
    <t>ВК.110.300.1100.2ТГ</t>
  </si>
  <si>
    <t>ВК.110.300.1150.2ТГ</t>
  </si>
  <si>
    <t>ВК.110.300.1200.2ТГ</t>
  </si>
  <si>
    <t>ВК.110.300.1250.2ТГ</t>
  </si>
  <si>
    <t>ВК.110.300.1300.2ТГ</t>
  </si>
  <si>
    <t>ВК.110.300.1350.2ТГ</t>
  </si>
  <si>
    <t>ВК.110.300.1400.2ТГ</t>
  </si>
  <si>
    <t>ВК.110.300.1450.2ТГ</t>
  </si>
  <si>
    <t>ВК.110.300.1500.2ТГ</t>
  </si>
  <si>
    <t>ВК.110.300.1550.2ТГ</t>
  </si>
  <si>
    <t>ВК.110.300.1600.2ТГ</t>
  </si>
  <si>
    <t>ВК.110.300.1650.2ТГ</t>
  </si>
  <si>
    <t>ВК.110.300.1700.2ТГ</t>
  </si>
  <si>
    <t>ВК.110.300.1750.2ТГ</t>
  </si>
  <si>
    <t>ВК.110.300.1800.2ТГ</t>
  </si>
  <si>
    <t>ВК.110.300.1850.2ТГ</t>
  </si>
  <si>
    <t>ВК.110.300.1900.2ТГ</t>
  </si>
  <si>
    <t>ВК.110.300.1950.2ТГ</t>
  </si>
  <si>
    <t>ВК.110.300.2000.2ТГ</t>
  </si>
  <si>
    <t>ВК.110.300.2050.2ТГ</t>
  </si>
  <si>
    <t>ВК.110.300.2100.2ТГ</t>
  </si>
  <si>
    <t>ВК.110.300.2150.2ТГ</t>
  </si>
  <si>
    <t>ВК.110.300.2200.2ТГ</t>
  </si>
  <si>
    <t>ВК.110.300.2250.2ТГ</t>
  </si>
  <si>
    <t>ВК.110.300.2300.2ТГ</t>
  </si>
  <si>
    <t>ВК.110.300.2350.2ТГ</t>
  </si>
  <si>
    <t>ВК.110.300.2400.2ТГ</t>
  </si>
  <si>
    <t>ВК.110.300.2450.2ТГ</t>
  </si>
  <si>
    <t>ВК.110.300.2500.2ТГ</t>
  </si>
  <si>
    <t>ВК.110.300.2550.2ТГ</t>
  </si>
  <si>
    <t>ВК.110.300.2600.2ТГ</t>
  </si>
  <si>
    <t>ВК.110.300.2650.2ТГ</t>
  </si>
  <si>
    <t>ВК.110.300.2700.2ТГ</t>
  </si>
  <si>
    <t>ВК.110.300.2750.2ТГ</t>
  </si>
  <si>
    <t>ВК.110.300.2800.2ТГ</t>
  </si>
  <si>
    <t>ВК.110.300.2850.2ТГ</t>
  </si>
  <si>
    <t>ВК.110.300.2900.2ТГ</t>
  </si>
  <si>
    <t>ВК.110.300.2950.2ТГ</t>
  </si>
  <si>
    <t>ВК.110.300.3000.2ТГ</t>
  </si>
  <si>
    <t>ВК.110.300.600.4ТГ</t>
  </si>
  <si>
    <t>ВК.110.300.650.4ТГ</t>
  </si>
  <si>
    <t>ВК.110.300.700.4ТГ</t>
  </si>
  <si>
    <t>ВК.110.300.750.4ТГ</t>
  </si>
  <si>
    <t>ВК.110.300.800.4ТГ</t>
  </si>
  <si>
    <t>ВК.110.300.850.4ТГ</t>
  </si>
  <si>
    <t>ВК.110.300.900.4ТГ</t>
  </si>
  <si>
    <t>ВК.110.300.950.4ТГ</t>
  </si>
  <si>
    <t>ВК.110.300.1000.4ТГ</t>
  </si>
  <si>
    <t>ВК.110.300.1050.4ТГ</t>
  </si>
  <si>
    <t>ВК.110.300.1100.4ТГ</t>
  </si>
  <si>
    <t>ВК.110.300.1150.4ТГ</t>
  </si>
  <si>
    <t>ВК.110.300.1200.4ТГ</t>
  </si>
  <si>
    <t>ВК.110.300.1250.4ТГ</t>
  </si>
  <si>
    <t>ВК.110.300.1300.4ТГ</t>
  </si>
  <si>
    <t>ВК.110.300.1350.4ТГ</t>
  </si>
  <si>
    <t>ВК.110.300.1400.4ТГ</t>
  </si>
  <si>
    <t>ВК.110.300.1450.4ТГ</t>
  </si>
  <si>
    <t>ВК.110.300.1500.4ТГ</t>
  </si>
  <si>
    <t>ВК.110.300.1550.4ТГ</t>
  </si>
  <si>
    <t>ВК.110.300.1600.4ТГ</t>
  </si>
  <si>
    <t>ВК.110.300.1650.4ТГ</t>
  </si>
  <si>
    <t>ВК.110.300.1700.4ТГ</t>
  </si>
  <si>
    <t>ВК.110.300.1750.4ТГ</t>
  </si>
  <si>
    <t>ВК.110.300.1800.4ТГ</t>
  </si>
  <si>
    <t>ВК.110.300.1850.4ТГ</t>
  </si>
  <si>
    <t>ВК.110.300.1900.4ТГ</t>
  </si>
  <si>
    <t>ВК.110.300.1950.4ТГ</t>
  </si>
  <si>
    <t>ВК.110.300.2000.4ТГ</t>
  </si>
  <si>
    <t>ВК.110.300.2050.4ТГ</t>
  </si>
  <si>
    <t>ВК.110.300.2100.4ТГ</t>
  </si>
  <si>
    <t>ВК.110.300.2150.4ТГ</t>
  </si>
  <si>
    <t>ВК.110.300.2200.4ТГ</t>
  </si>
  <si>
    <t>ВК.110.300.2250.4ТГ</t>
  </si>
  <si>
    <t>ВК.110.300.2300.4ТГ</t>
  </si>
  <si>
    <t>ВК.110.300.2350.4ТГ</t>
  </si>
  <si>
    <t>ВК.110.300.2400.4ТГ</t>
  </si>
  <si>
    <t>ВК.110.300.2450.4ТГ</t>
  </si>
  <si>
    <t>ВК.110.300.2500.4ТГ</t>
  </si>
  <si>
    <t>ВК.110.300.2550.4ТГ</t>
  </si>
  <si>
    <t>ВК.110.300.2600.4ТГ</t>
  </si>
  <si>
    <t>ВК.110.300.2650.4ТГ</t>
  </si>
  <si>
    <t>ВК.110.300.2700.4ТГ</t>
  </si>
  <si>
    <t>ВК.110.300.2750.4ТГ</t>
  </si>
  <si>
    <t>ВК.110.300.2800.4ТГ</t>
  </si>
  <si>
    <t>ВК.110.300.2850.4ТГ</t>
  </si>
  <si>
    <t>ВК.110.300.2900.4ТГ</t>
  </si>
  <si>
    <t>ВК.110.300.2950.4ТГ</t>
  </si>
  <si>
    <t>ВК.110.300.3000.4ТГ</t>
  </si>
  <si>
    <t>ВК.110.360.600.4ТГ</t>
  </si>
  <si>
    <t>ВК.110.360.650.4ТГ</t>
  </si>
  <si>
    <t>ВК.110.360.700.4ТГ</t>
  </si>
  <si>
    <t>ВК.110.360.750.4ТГ</t>
  </si>
  <si>
    <t>ВК.110.360.800.4ТГ</t>
  </si>
  <si>
    <t>ВК.110.360.850.4ТГ</t>
  </si>
  <si>
    <t>ВК.110.360.900.4ТГ</t>
  </si>
  <si>
    <t>ВК.110.360.950.4ТГ</t>
  </si>
  <si>
    <t>ВК.110.360.1000.4ТГ</t>
  </si>
  <si>
    <t>ВК.110.360.1050.4ТГ</t>
  </si>
  <si>
    <t>ВК.110.360.1100.4ТГ</t>
  </si>
  <si>
    <t>ВК.110.360.1150.4ТГ</t>
  </si>
  <si>
    <t>ВК.110.360.1200.4ТГ</t>
  </si>
  <si>
    <t>ВК.110.360.1250.4ТГ</t>
  </si>
  <si>
    <t>ВК.110.360.1300.4ТГ</t>
  </si>
  <si>
    <t>ВК.110.360.1350.4ТГ</t>
  </si>
  <si>
    <t>ВК.110.360.1400.4ТГ</t>
  </si>
  <si>
    <t>ВК.110.360.1450.4ТГ</t>
  </si>
  <si>
    <t>ВК.110.360.1500.4ТГ</t>
  </si>
  <si>
    <t>ВК.110.360.1550.4ТГ</t>
  </si>
  <si>
    <t>ВК.110.360.1600.4ТГ</t>
  </si>
  <si>
    <t>ВК.110.360.1650.4ТГ</t>
  </si>
  <si>
    <t>ВК.110.360.1700.4ТГ</t>
  </si>
  <si>
    <t>ВК.110.360.1750.4ТГ</t>
  </si>
  <si>
    <t>ВК.110.360.1800.4ТГ</t>
  </si>
  <si>
    <t>ВК.110.360.1850.4ТГ</t>
  </si>
  <si>
    <t>ВК.110.360.1900.4ТГ</t>
  </si>
  <si>
    <t>ВК.110.360.1950.4ТГ</t>
  </si>
  <si>
    <t>ВК.110.360.2000.4ТГ</t>
  </si>
  <si>
    <t>ВК.110.360.2050.4ТГ</t>
  </si>
  <si>
    <t>ВК.110.360.2100.4ТГ</t>
  </si>
  <si>
    <t>ВК.110.360.2150.4ТГ</t>
  </si>
  <si>
    <t>ВК.110.360.2200.4ТГ</t>
  </si>
  <si>
    <t>ВК.110.360.2250.4ТГ</t>
  </si>
  <si>
    <t>ВК.110.360.2300.4ТГ</t>
  </si>
  <si>
    <t>ВК.110.360.2350.4ТГ</t>
  </si>
  <si>
    <t>ВК.110.360.2400.4ТГ</t>
  </si>
  <si>
    <t>ВК.110.360.2450.4ТГ</t>
  </si>
  <si>
    <t>ВК.110.360.2500.4ТГ</t>
  </si>
  <si>
    <t>ВК.110.360.2550.4ТГ</t>
  </si>
  <si>
    <t>ВК.110.360.2600.4ТГ</t>
  </si>
  <si>
    <t>ВК.110.360.2650.4ТГ</t>
  </si>
  <si>
    <t>ВК.110.360.2700.4ТГ</t>
  </si>
  <si>
    <t>ВК.110.360.2750.4ТГ</t>
  </si>
  <si>
    <t>ВК.110.360.2800.4ТГ</t>
  </si>
  <si>
    <t>ВК.110.360.2850.4ТГ</t>
  </si>
  <si>
    <t>ВК.110.360.2900.4ТГ</t>
  </si>
  <si>
    <t>ВК.110.360.2950.4ТГ</t>
  </si>
  <si>
    <t>ВК.110.360.3000.4ТГ</t>
  </si>
  <si>
    <t>ВК.110.400.600.4ТГ</t>
  </si>
  <si>
    <t>ВК.110.400.650.4ТГ</t>
  </si>
  <si>
    <t>ВК.110.400.700.4ТГ</t>
  </si>
  <si>
    <t>ВК.110.400.750.4ТГ</t>
  </si>
  <si>
    <t>ВК.110.400.800.4ТГ</t>
  </si>
  <si>
    <t>ВК.110.400.850.4ТГ</t>
  </si>
  <si>
    <t>ВК.110.400.900.4ТГ</t>
  </si>
  <si>
    <t>ВК.110.400.950.4ТГ</t>
  </si>
  <si>
    <t>ВК.110.400.1000.4ТГ</t>
  </si>
  <si>
    <t>ВК.110.400.1050.4ТГ</t>
  </si>
  <si>
    <t>ВК.110.400.1100.4ТГ</t>
  </si>
  <si>
    <t>ВК.110.400.1150.4ТГ</t>
  </si>
  <si>
    <t>ВК.110.400.1200.4ТГ</t>
  </si>
  <si>
    <t>ВК.110.400.1250.4ТГ</t>
  </si>
  <si>
    <t>ВК.110.400.1300.4ТГ</t>
  </si>
  <si>
    <t>ВК.110.400.1350.4ТГ</t>
  </si>
  <si>
    <t>ВК.110.400.1400.4ТГ</t>
  </si>
  <si>
    <t>ВК.110.400.1450.4ТГ</t>
  </si>
  <si>
    <t>ВК.110.400.1500.4ТГ</t>
  </si>
  <si>
    <t>ВК.110.400.1550.4ТГ</t>
  </si>
  <si>
    <t>ВК.110.400.1600.4ТГ</t>
  </si>
  <si>
    <t>ВК.110.400.1650.4ТГ</t>
  </si>
  <si>
    <t>ВК.110.400.1700.4ТГ</t>
  </si>
  <si>
    <t>ВК.110.400.1750.4ТГ</t>
  </si>
  <si>
    <t>ВК.110.400.1800.4ТГ</t>
  </si>
  <si>
    <t>ВК.110.400.1850.4ТГ</t>
  </si>
  <si>
    <t>ВК.110.400.1900.4ТГ</t>
  </si>
  <si>
    <t>ВК.110.400.1950.4ТГ</t>
  </si>
  <si>
    <t>ВК.110.400.2000.4ТГ</t>
  </si>
  <si>
    <t>ВК.110.400.2050.4ТГ</t>
  </si>
  <si>
    <t>ВК.110.400.2100.4ТГ</t>
  </si>
  <si>
    <t>ВК.110.400.2150.4ТГ</t>
  </si>
  <si>
    <t>ВК.110.400.2200.4ТГ</t>
  </si>
  <si>
    <t>ВК.110.400.2250.4ТГ</t>
  </si>
  <si>
    <t>ВК.110.400.2300.4ТГ</t>
  </si>
  <si>
    <t>ВК.110.400.2350.4ТГ</t>
  </si>
  <si>
    <t>ВК.110.400.2400.4ТГ</t>
  </si>
  <si>
    <t>ВК.110.400.2450.4ТГ</t>
  </si>
  <si>
    <t>ВК.110.400.2500.4ТГ</t>
  </si>
  <si>
    <t>ВК.110.400.2550.4ТГ</t>
  </si>
  <si>
    <t>ВК.110.400.2600.4ТГ</t>
  </si>
  <si>
    <t>ВК.110.400.2650.4ТГ</t>
  </si>
  <si>
    <t>ВК.110.400.2700.4ТГ</t>
  </si>
  <si>
    <t>ВК.110.400.2750.4ТГ</t>
  </si>
  <si>
    <t>ВК.110.400.2800.4ТГ</t>
  </si>
  <si>
    <t>ВК.110.400.2850.4ТГ</t>
  </si>
  <si>
    <t>ВК.110.400.2900.4ТГ</t>
  </si>
  <si>
    <t>ВК.110.400.2950.4ТГ</t>
  </si>
  <si>
    <t>ВК.110.400.3000.4ТГ</t>
  </si>
  <si>
    <t>ВК.110.400.600.6ТГ</t>
  </si>
  <si>
    <t>ВК.110.400.650.6ТГ</t>
  </si>
  <si>
    <t>ВК.110.400.700.6ТГ</t>
  </si>
  <si>
    <t>ВК.110.400.750.6ТГ</t>
  </si>
  <si>
    <t>ВК.110.400.800.6ТГ</t>
  </si>
  <si>
    <t>ВК.110.400.850.6ТГ</t>
  </si>
  <si>
    <t>ВК.110.400.900.6ТГ</t>
  </si>
  <si>
    <t>ВК.110.400.950.6ТГ</t>
  </si>
  <si>
    <t>ВК.110.400.1000.6ТГ</t>
  </si>
  <si>
    <t>ВК.110.400.1050.6ТГ</t>
  </si>
  <si>
    <t>ВК.110.400.1100.6ТГ</t>
  </si>
  <si>
    <t>ВК.110.400.1150.6ТГ</t>
  </si>
  <si>
    <t>ВК.110.400.1200.6ТГ</t>
  </si>
  <si>
    <t>ВК.110.400.1250.6ТГ</t>
  </si>
  <si>
    <t>ВК.110.400.1300.6ТГ</t>
  </si>
  <si>
    <t>ВК.110.400.1350.6ТГ</t>
  </si>
  <si>
    <t>ВК.110.400.1400.6ТГ</t>
  </si>
  <si>
    <t>ВК.110.400.1450.6ТГ</t>
  </si>
  <si>
    <t>ВК.110.400.1500.6ТГ</t>
  </si>
  <si>
    <t>ВК.110.400.1550.6ТГ</t>
  </si>
  <si>
    <t>ВК.110.400.1600.6ТГ</t>
  </si>
  <si>
    <t>ВК.110.400.1650.6ТГ</t>
  </si>
  <si>
    <t>ВК.110.400.1700.6ТГ</t>
  </si>
  <si>
    <t>ВК.110.400.1750.6ТГ</t>
  </si>
  <si>
    <t>ВК.110.400.1800.6ТГ</t>
  </si>
  <si>
    <t>ВК.110.400.1850.6ТГ</t>
  </si>
  <si>
    <t>ВК.110.400.1900.6ТГ</t>
  </si>
  <si>
    <t>ВК.110.400.1950.6ТГ</t>
  </si>
  <si>
    <t>ВК.110.400.2000.6ТГ</t>
  </si>
  <si>
    <t>ВК.110.400.2050.6ТГ</t>
  </si>
  <si>
    <t>ВК.110.400.2100.6ТГ</t>
  </si>
  <si>
    <t>ВК.110.400.2150.6ТГ</t>
  </si>
  <si>
    <t>ВК.110.400.2200.6ТГ</t>
  </si>
  <si>
    <t>ВК.110.400.2250.6ТГ</t>
  </si>
  <si>
    <t>ВК.110.400.2300.6ТГ</t>
  </si>
  <si>
    <t>ВК.110.400.2350.6ТГ</t>
  </si>
  <si>
    <t>ВК.110.400.2400.6ТГ</t>
  </si>
  <si>
    <t>ВК.110.400.2450.6ТГ</t>
  </si>
  <si>
    <t>ВК.110.400.2500.6ТГ</t>
  </si>
  <si>
    <t>ВК.110.400.2550.6ТГ</t>
  </si>
  <si>
    <t>ВК.110.400.2600.6ТГ</t>
  </si>
  <si>
    <t>ВК.110.400.2650.6ТГ</t>
  </si>
  <si>
    <t>ВК.110.400.2700.6ТГ</t>
  </si>
  <si>
    <t>ВК.110.400.2750.6ТГ</t>
  </si>
  <si>
    <t>ВК.110.400.2800.6ТГ</t>
  </si>
  <si>
    <t>ВК.110.400.2850.6ТГ</t>
  </si>
  <si>
    <t>ВК.110.400.2900.6ТГ</t>
  </si>
  <si>
    <t>ВК.110.400.2950.6ТГ</t>
  </si>
  <si>
    <t>ВК.110.400.3000.6ТГ</t>
  </si>
  <si>
    <t>ВК.140.160.600.4ТК</t>
  </si>
  <si>
    <t>ВК.140.160.650.4ТК</t>
  </si>
  <si>
    <t>ВК.140.160.700.4ТК</t>
  </si>
  <si>
    <t>ВК.140.160.750.4ТК</t>
  </si>
  <si>
    <t>ВК.140.160.800.4ТК</t>
  </si>
  <si>
    <t>ВК.140.160.850.4ТК</t>
  </si>
  <si>
    <t>ВК.140.160.900.4ТК</t>
  </si>
  <si>
    <t>ВК.140.160.950.4ТК</t>
  </si>
  <si>
    <t>ВК.140.160.1000.4ТК</t>
  </si>
  <si>
    <t>ВК.140.160.1050.4ТК</t>
  </si>
  <si>
    <t>ВК.140.160.1100.4ТК</t>
  </si>
  <si>
    <t>ВК.140.160.1150.4ТК</t>
  </si>
  <si>
    <t>ВК.140.160.1200.4ТК</t>
  </si>
  <si>
    <t>ВК.140.160.1250.4ТК</t>
  </si>
  <si>
    <t>ВК.140.160.1300.4ТК</t>
  </si>
  <si>
    <t>ВК.140.160.1350.4ТК</t>
  </si>
  <si>
    <t>ВК.140.160.1400.4ТК</t>
  </si>
  <si>
    <t>ВК.140.160.1450.4ТК</t>
  </si>
  <si>
    <t>ВК.140.160.1500.4ТК</t>
  </si>
  <si>
    <t>ВК.140.160.1550.4ТК</t>
  </si>
  <si>
    <t>ВК.140.160.1600.4ТК</t>
  </si>
  <si>
    <t>ВК.140.160.1650.4ТК</t>
  </si>
  <si>
    <t>ВК.140.160.1700.4ТК</t>
  </si>
  <si>
    <t>ВК.140.160.1750.4ТК</t>
  </si>
  <si>
    <t>ВК.140.160.1800.4ТК</t>
  </si>
  <si>
    <t>ВК.140.160.1850.4ТК</t>
  </si>
  <si>
    <t>ВК.140.160.1900.4ТК</t>
  </si>
  <si>
    <t>ВК.140.160.1950.4ТК</t>
  </si>
  <si>
    <t>ВК.140.160.2000.4ТК</t>
  </si>
  <si>
    <t>ВК.140.160.2050.4ТК</t>
  </si>
  <si>
    <t>ВК.140.160.2100.4ТК</t>
  </si>
  <si>
    <t>ВК.140.160.2150.4ТК</t>
  </si>
  <si>
    <t>ВК.140.160.2200.4ТК</t>
  </si>
  <si>
    <t>ВК.140.160.2250.4ТК</t>
  </si>
  <si>
    <t>ВК.140.160.2300.4ТК</t>
  </si>
  <si>
    <t>ВК.140.160.2350.4ТК</t>
  </si>
  <si>
    <t>ВК.140.160.2400.4ТК</t>
  </si>
  <si>
    <t>ВК.140.160.2450.4ТК</t>
  </si>
  <si>
    <t>ВК.140.160.2500.4ТК</t>
  </si>
  <si>
    <t>ВК.140.160.2550.4ТК</t>
  </si>
  <si>
    <t>ВК.140.160.2600.4ТК</t>
  </si>
  <si>
    <t>ВК.140.160.2650.4ТК</t>
  </si>
  <si>
    <t>ВК.140.160.2700.4ТК</t>
  </si>
  <si>
    <t>ВК.140.160.2750.4ТК</t>
  </si>
  <si>
    <t>ВК.140.160.2800.4ТК</t>
  </si>
  <si>
    <t>ВК.140.160.2850.4ТК</t>
  </si>
  <si>
    <t>ВК.140.160.2900.4ТК</t>
  </si>
  <si>
    <t>ВК.140.160.2950.4ТК</t>
  </si>
  <si>
    <t>ВК.140.160.3000.4ТК</t>
  </si>
  <si>
    <t>ВК.140.200.600.4ТК</t>
  </si>
  <si>
    <t>ВК.140.200.650.4ТК</t>
  </si>
  <si>
    <t>ВК.140.200.700.4ТК</t>
  </si>
  <si>
    <t>ВК.140.200.750.4ТК</t>
  </si>
  <si>
    <t>ВК.140.200.800.4ТК</t>
  </si>
  <si>
    <t>ВК.140.200.850.4ТК</t>
  </si>
  <si>
    <t>ВК.140.200.900.4ТК</t>
  </si>
  <si>
    <t>ВК.140.200.950.4ТК</t>
  </si>
  <si>
    <t>ВК.140.200.1000.4ТК</t>
  </si>
  <si>
    <t>ВК.140.200.1050.4ТК</t>
  </si>
  <si>
    <t>ВК.140.200.1100.4ТК</t>
  </si>
  <si>
    <t>ВК.140.200.1150.4ТК</t>
  </si>
  <si>
    <t>ВК.140.200.1200.4ТК</t>
  </si>
  <si>
    <t>ВК.140.200.1250.4ТК</t>
  </si>
  <si>
    <t>ВК.140.200.1300.4ТК</t>
  </si>
  <si>
    <t>ВК.140.200.1350.4ТК</t>
  </si>
  <si>
    <t>ВК.140.200.1400.4ТК</t>
  </si>
  <si>
    <t>ВК.140.200.1450.4ТК</t>
  </si>
  <si>
    <t>ВК.140.200.1500.4ТК</t>
  </si>
  <si>
    <t>ВК.140.200.1550.4ТК</t>
  </si>
  <si>
    <t>ВК.140.200.1600.4ТК</t>
  </si>
  <si>
    <t>ВК.140.200.1650.4ТК</t>
  </si>
  <si>
    <t>ВК.140.200.1700.4ТК</t>
  </si>
  <si>
    <t>ВК.140.200.1750.4ТК</t>
  </si>
  <si>
    <t>ВК.140.200.1800.4ТК</t>
  </si>
  <si>
    <t>ВК.140.200.1850.4ТК</t>
  </si>
  <si>
    <t>ВК.140.200.1900.4ТК</t>
  </si>
  <si>
    <t>ВК.140.200.1950.4ТК</t>
  </si>
  <si>
    <t>ВК.140.200.2000.4ТК</t>
  </si>
  <si>
    <t>ВК.140.200.2050.4ТК</t>
  </si>
  <si>
    <t>ВК.140.200.2100.4ТК</t>
  </si>
  <si>
    <t>ВК.140.200.2150.4ТК</t>
  </si>
  <si>
    <t>ВК.140.200.2200.4ТК</t>
  </si>
  <si>
    <t>ВК.140.200.2250.4ТК</t>
  </si>
  <si>
    <t>ВК.140.200.2300.4ТК</t>
  </si>
  <si>
    <t>ВК.140.200.2350.4ТК</t>
  </si>
  <si>
    <t>ВК.140.200.2400.4ТК</t>
  </si>
  <si>
    <t>ВК.140.200.2450.4ТК</t>
  </si>
  <si>
    <t>ВК.140.200.2500.4ТК</t>
  </si>
  <si>
    <t>ВК.140.200.2550.4ТК</t>
  </si>
  <si>
    <t>ВК.140.200.2600.4ТК</t>
  </si>
  <si>
    <t>ВК.140.200.2650.4ТК</t>
  </si>
  <si>
    <t>ВК.140.200.2700.4ТК</t>
  </si>
  <si>
    <t>ВК.140.200.2750.4ТК</t>
  </si>
  <si>
    <t>ВК.140.200.2800.4ТК</t>
  </si>
  <si>
    <t>ВК.140.200.2850.4ТК</t>
  </si>
  <si>
    <t>ВК.140.200.2900.4ТК</t>
  </si>
  <si>
    <t>ВК.140.200.2950.4ТК</t>
  </si>
  <si>
    <t>ВК.140.200.3000.4ТК</t>
  </si>
  <si>
    <t>ВК.140.260.600.4ТК</t>
  </si>
  <si>
    <t>ВК.140.260.650.4ТК</t>
  </si>
  <si>
    <t>ВК.140.260.700.4ТК</t>
  </si>
  <si>
    <t>ВК.140.260.750.4ТК</t>
  </si>
  <si>
    <t>ВК.140.260.800.4ТК</t>
  </si>
  <si>
    <t>ВК.140.260.850.4ТК</t>
  </si>
  <si>
    <t>ВК.140.260.900.4ТК</t>
  </si>
  <si>
    <t>ВК.140.260.950.4ТК</t>
  </si>
  <si>
    <t>ВК.140.260.1000.4ТК</t>
  </si>
  <si>
    <t>ВК.140.260.1050.4ТК</t>
  </si>
  <si>
    <t>ВК.140.260.1100.4ТК</t>
  </si>
  <si>
    <t>ВК.140.260.1150.4ТК</t>
  </si>
  <si>
    <t>ВК.140.260.1200.4ТК</t>
  </si>
  <si>
    <t>ВК.140.260.1250.4ТК</t>
  </si>
  <si>
    <t>ВК.140.260.1300.4ТК</t>
  </si>
  <si>
    <t>ВК.140.260.1350.4ТК</t>
  </si>
  <si>
    <t>ВК.140.260.1400.4ТК</t>
  </si>
  <si>
    <t>ВК.140.260.1450.4ТК</t>
  </si>
  <si>
    <t>ВК.140.260.1500.4ТК</t>
  </si>
  <si>
    <t>ВК.140.260.1550.4ТК</t>
  </si>
  <si>
    <t>ВК.140.260.1600.4ТК</t>
  </si>
  <si>
    <t>ВК.140.260.1650.4ТК</t>
  </si>
  <si>
    <t>ВК.140.260.1700.4ТК</t>
  </si>
  <si>
    <t>ВК.140.260.1750.4ТК</t>
  </si>
  <si>
    <t>ВК.140.260.1800.4ТК</t>
  </si>
  <si>
    <t>ВК.140.260.1850.4ТК</t>
  </si>
  <si>
    <t>ВК.140.260.1900.4ТК</t>
  </si>
  <si>
    <t>ВК.140.260.1950.4ТК</t>
  </si>
  <si>
    <t>ВК.140.260.2000.4ТК</t>
  </si>
  <si>
    <t>ВК.140.260.2050.4ТК</t>
  </si>
  <si>
    <t>ВК.140.260.2100.4ТК</t>
  </si>
  <si>
    <t>ВК.140.260.2150.4ТК</t>
  </si>
  <si>
    <t>ВК.140.260.2200.4ТК</t>
  </si>
  <si>
    <t>ВК.140.260.2250.4ТК</t>
  </si>
  <si>
    <t>ВК.140.260.2300.4ТК</t>
  </si>
  <si>
    <t>ВК.140.260.2350.4ТК</t>
  </si>
  <si>
    <t>ВК.140.260.2400.4ТК</t>
  </si>
  <si>
    <t>ВК.140.260.2450.4ТК</t>
  </si>
  <si>
    <t>ВК.140.260.2500.4ТК</t>
  </si>
  <si>
    <t>ВК.140.260.2550.4ТК</t>
  </si>
  <si>
    <t>ВК.140.260.2600.4ТК</t>
  </si>
  <si>
    <t>ВК.140.260.2650.4ТК</t>
  </si>
  <si>
    <t>ВК.140.260.2700.4ТК</t>
  </si>
  <si>
    <t>ВК.140.260.2750.4ТК</t>
  </si>
  <si>
    <t>ВК.140.260.2800.4ТК</t>
  </si>
  <si>
    <t>ВК.140.260.2850.4ТК</t>
  </si>
  <si>
    <t>ВК.140.260.2900.4ТК</t>
  </si>
  <si>
    <t>ВК.140.260.2950.4ТК</t>
  </si>
  <si>
    <t>ВК.140.260.3000.4ТК</t>
  </si>
  <si>
    <t>ВК.140.300.600.6ТП</t>
  </si>
  <si>
    <t>ВК.140.300.650.6ТП</t>
  </si>
  <si>
    <t>ВК.140.300.700.6ТП</t>
  </si>
  <si>
    <t>ВК.140.300.750.6ТП</t>
  </si>
  <si>
    <t>ВК.140.300.800.6ТП</t>
  </si>
  <si>
    <t>ВК.140.300.850.6ТП</t>
  </si>
  <si>
    <t>ВК.140.300.900.6ТП</t>
  </si>
  <si>
    <t>ВК.140.300.950.6ТП</t>
  </si>
  <si>
    <t>ВК.140.300.1000.6ТП</t>
  </si>
  <si>
    <t>ВК.140.300.1050.6ТП</t>
  </si>
  <si>
    <t>ВК.140.300.1100.6ТП</t>
  </si>
  <si>
    <t>ВК.140.300.1150.6ТП</t>
  </si>
  <si>
    <t>ВК.140.300.1200.6ТП</t>
  </si>
  <si>
    <t>ВК.140.300.1250.6ТП</t>
  </si>
  <si>
    <t>ВК.140.300.1300.6ТП</t>
  </si>
  <si>
    <t>ВК.140.300.1350.6ТП</t>
  </si>
  <si>
    <t>ВК.140.300.1400.6ТП</t>
  </si>
  <si>
    <t>ВК.140.300.1450.6ТП</t>
  </si>
  <si>
    <t>ВК.140.300.1500.6ТП</t>
  </si>
  <si>
    <t>ВК.140.300.1550.6ТП</t>
  </si>
  <si>
    <t>ВК.140.300.1600.6ТП</t>
  </si>
  <si>
    <t>ВК.140.300.1650.6ТП</t>
  </si>
  <si>
    <t>ВК.140.300.1700.6ТП</t>
  </si>
  <si>
    <t>ВК.140.300.1750.6ТП</t>
  </si>
  <si>
    <t>ВК.140.300.1800.6ТП</t>
  </si>
  <si>
    <t>ВК.140.300.1850.6ТП</t>
  </si>
  <si>
    <t>ВК.140.300.1900.6ТП</t>
  </si>
  <si>
    <t>ВК.140.300.1950.6ТП</t>
  </si>
  <si>
    <t>ВК.140.300.2000.6ТП</t>
  </si>
  <si>
    <t>ВК.140.300.2050.6ТП</t>
  </si>
  <si>
    <t>ВК.140.300.2100.6ТП</t>
  </si>
  <si>
    <t>ВК.140.300.2150.6ТП</t>
  </si>
  <si>
    <t>ВК.140.300.2200.6ТП</t>
  </si>
  <si>
    <t>ВК.140.300.2250.6ТП</t>
  </si>
  <si>
    <t>ВК.140.300.2300.6ТП</t>
  </si>
  <si>
    <t>ВК.140.300.2350.6ТП</t>
  </si>
  <si>
    <t>ВК.140.300.2400.6ТП</t>
  </si>
  <si>
    <t>ВК.140.300.2450.6ТП</t>
  </si>
  <si>
    <t>ВК.140.300.2500.6ТП</t>
  </si>
  <si>
    <t>ВК.140.300.2550.6ТП</t>
  </si>
  <si>
    <t>ВК.140.300.2600.6ТП</t>
  </si>
  <si>
    <t>ВК.140.300.2650.6ТП</t>
  </si>
  <si>
    <t>ВК.140.300.2700.6ТП</t>
  </si>
  <si>
    <t>ВК.140.300.2750.6ТП</t>
  </si>
  <si>
    <t>ВК.140.300.2800.6ТП</t>
  </si>
  <si>
    <t>ВК.140.300.2850.6ТП</t>
  </si>
  <si>
    <t>ВК.140.300.2900.6ТП</t>
  </si>
  <si>
    <t>ВК.140.300.2950.6ТП</t>
  </si>
  <si>
    <t>ВК.140.300.3000.6ТП</t>
  </si>
  <si>
    <t>ВК.140.300.600.8ТП</t>
  </si>
  <si>
    <t>ВК.140.300.650.8ТП</t>
  </si>
  <si>
    <t>ВК.140.300.700.8ТП</t>
  </si>
  <si>
    <t>ВК.140.300.750.8ТП</t>
  </si>
  <si>
    <t>ВК.140.300.800.8ТП</t>
  </si>
  <si>
    <t>ВК.140.300.850.8ТП</t>
  </si>
  <si>
    <t>ВК.140.300.900.8ТП</t>
  </si>
  <si>
    <t>ВК.140.300.950.8ТП</t>
  </si>
  <si>
    <t>ВК.140.300.1000.8ТП</t>
  </si>
  <si>
    <t>ВК.140.300.1050.8ТП</t>
  </si>
  <si>
    <t>ВК.140.300.1100.8ТП</t>
  </si>
  <si>
    <t>ВК.140.300.1150.8ТП</t>
  </si>
  <si>
    <t>ВК.140.300.1200.8ТП</t>
  </si>
  <si>
    <t>ВК.140.300.1250.8ТП</t>
  </si>
  <si>
    <t>ВК.140.300.1300.8ТП</t>
  </si>
  <si>
    <t>ВК.140.300.1350.8ТП</t>
  </si>
  <si>
    <t>ВК.140.300.1400.8ТП</t>
  </si>
  <si>
    <t>ВК.140.300.1450.8ТП</t>
  </si>
  <si>
    <t>ВК.140.300.1500.8ТП</t>
  </si>
  <si>
    <t>ВК.140.300.1550.8ТП</t>
  </si>
  <si>
    <t>ВК.140.300.1600.8ТП</t>
  </si>
  <si>
    <t>ВК.140.300.1650.8ТП</t>
  </si>
  <si>
    <t>ВК.140.300.1700.8ТП</t>
  </si>
  <si>
    <t>ВК.140.300.1750.8ТП</t>
  </si>
  <si>
    <t>ВК.140.300.1800.8ТП</t>
  </si>
  <si>
    <t>ВК.140.300.1850.8ТП</t>
  </si>
  <si>
    <t>ВК.140.300.1900.8ТП</t>
  </si>
  <si>
    <t>ВК.140.300.1950.8ТП</t>
  </si>
  <si>
    <t>ВК.140.300.2000.8ТП</t>
  </si>
  <si>
    <t>ВК.140.300.2050.8ТП</t>
  </si>
  <si>
    <t>ВК.140.300.2100.8ТП</t>
  </si>
  <si>
    <t>ВК.140.300.2150.8ТП</t>
  </si>
  <si>
    <t>ВК.140.300.2200.8ТП</t>
  </si>
  <si>
    <t>ВК.140.300.2250.8ТП</t>
  </si>
  <si>
    <t>ВК.140.300.2300.8ТП</t>
  </si>
  <si>
    <t>ВК.140.300.2350.8ТП</t>
  </si>
  <si>
    <t>ВК.140.300.2400.8ТП</t>
  </si>
  <si>
    <t>ВК.140.300.2450.8ТП</t>
  </si>
  <si>
    <t>ВК.140.300.2500.8ТП</t>
  </si>
  <si>
    <t>ВК.140.300.2550.8ТП</t>
  </si>
  <si>
    <t>ВК.140.300.2600.8ТП</t>
  </si>
  <si>
    <t>ВК.140.300.2650.8ТП</t>
  </si>
  <si>
    <t>ВК.140.300.2700.8ТП</t>
  </si>
  <si>
    <t>ВК.140.300.2750.8ТП</t>
  </si>
  <si>
    <t>ВК.140.300.2800.8ТП</t>
  </si>
  <si>
    <t>ВК.140.300.2850.8ТП</t>
  </si>
  <si>
    <t>ВК.140.300.2900.8ТП</t>
  </si>
  <si>
    <t>ВК.140.300.2950.8ТП</t>
  </si>
  <si>
    <t>ВК.140.300.3000.8ТП</t>
  </si>
  <si>
    <t>ВК.140.360.600.6ТП</t>
  </si>
  <si>
    <t>ВК.140.360.650.6ТП</t>
  </si>
  <si>
    <t>ВК.140.360.700.6ТП</t>
  </si>
  <si>
    <t>ВК.140.360.750.6ТП</t>
  </si>
  <si>
    <t>ВК.140.360.800.6ТП</t>
  </si>
  <si>
    <t>ВК.140.360.850.6ТП</t>
  </si>
  <si>
    <t>ВК.140.360.900.6ТП</t>
  </si>
  <si>
    <t>ВК.140.360.950.6ТП</t>
  </si>
  <si>
    <t>ВК.140.360.1000.6ТП</t>
  </si>
  <si>
    <t>ВК.140.360.1050.6ТП</t>
  </si>
  <si>
    <t>ВК.140.360.1100.6ТП</t>
  </si>
  <si>
    <t>ВК.140.360.1150.6ТП</t>
  </si>
  <si>
    <t>ВК.140.360.1200.6ТП</t>
  </si>
  <si>
    <t>ВК.140.360.1250.6ТП</t>
  </si>
  <si>
    <t>ВК.140.360.1300.6ТП</t>
  </si>
  <si>
    <t>ВК.140.360.1350.6ТП</t>
  </si>
  <si>
    <t>ВК.140.360.1400.6ТП</t>
  </si>
  <si>
    <t>ВК.140.360.1450.6ТП</t>
  </si>
  <si>
    <t>ВК.140.360.1500.6ТП</t>
  </si>
  <si>
    <t>ВК.140.360.1550.6ТП</t>
  </si>
  <si>
    <t>ВК.140.360.1600.6ТП</t>
  </si>
  <si>
    <t>ВК.140.360.1650.6ТП</t>
  </si>
  <si>
    <t>ВК.140.360.1700.6ТП</t>
  </si>
  <si>
    <t>ВК.140.360.1750.6ТП</t>
  </si>
  <si>
    <t>ВК.140.360.1800.6ТП</t>
  </si>
  <si>
    <t>ВК.140.360.1850.6ТП</t>
  </si>
  <si>
    <t>ВК.140.360.1900.6ТП</t>
  </si>
  <si>
    <t>ВК.140.360.1950.6ТП</t>
  </si>
  <si>
    <t>ВК.140.360.2000.6ТП</t>
  </si>
  <si>
    <t>ВК.140.360.2050.6ТП</t>
  </si>
  <si>
    <t>ВК.140.360.2100.6ТП</t>
  </si>
  <si>
    <t>ВК.140.360.2150.6ТП</t>
  </si>
  <si>
    <t>ВК.140.360.2200.6ТП</t>
  </si>
  <si>
    <t>ВК.140.360.2250.6ТП</t>
  </si>
  <si>
    <t>ВК.140.360.2300.6ТП</t>
  </si>
  <si>
    <t>ВК.140.360.2350.6ТП</t>
  </si>
  <si>
    <t>ВК.140.360.2400.6ТП</t>
  </si>
  <si>
    <t>ВК.140.360.2450.6ТП</t>
  </si>
  <si>
    <t>ВК.140.360.2500.6ТП</t>
  </si>
  <si>
    <t>ВК.140.360.2550.6ТП</t>
  </si>
  <si>
    <t>ВК.140.360.2600.6ТП</t>
  </si>
  <si>
    <t>ВК.140.360.2650.6ТП</t>
  </si>
  <si>
    <t>ВК.140.360.2700.6ТП</t>
  </si>
  <si>
    <t>ВК.140.360.2750.6ТП</t>
  </si>
  <si>
    <t>ВК.140.360.2800.6ТП</t>
  </si>
  <si>
    <t>ВК.140.360.2850.6ТП</t>
  </si>
  <si>
    <t>ВК.140.360.2900.6ТП</t>
  </si>
  <si>
    <t>ВК.140.360.2950.6ТП</t>
  </si>
  <si>
    <t>ВК.140.360.3000.6ТП</t>
  </si>
  <si>
    <t>ВК.140.360.600.8ТП</t>
  </si>
  <si>
    <t>ВК.140.360.650.8ТП</t>
  </si>
  <si>
    <t>ВК.140.360.700.8ТП</t>
  </si>
  <si>
    <t>ВК.140.360.750.8ТП</t>
  </si>
  <si>
    <t>ВК.140.360.800.8ТП</t>
  </si>
  <si>
    <t>ВК.140.360.850.8ТП</t>
  </si>
  <si>
    <t>ВК.140.360.900.8ТП</t>
  </si>
  <si>
    <t>ВК.140.360.950.8ТП</t>
  </si>
  <si>
    <t>ВК.140.360.1000.8ТП</t>
  </si>
  <si>
    <t>ВК.140.360.1050.8ТП</t>
  </si>
  <si>
    <t>ВК.140.360.1100.8ТП</t>
  </si>
  <si>
    <t>ВК.140.360.1150.8ТП</t>
  </si>
  <si>
    <t>ВК.140.360.1200.8ТП</t>
  </si>
  <si>
    <t>ВК.140.360.1250.8ТП</t>
  </si>
  <si>
    <t>ВК.140.360.1300.8ТП</t>
  </si>
  <si>
    <t>ВК.140.360.1350.8ТП</t>
  </si>
  <si>
    <t>ВК.140.360.1400.8ТП</t>
  </si>
  <si>
    <t>ВК.140.360.1450.8ТП</t>
  </si>
  <si>
    <t>ВК.140.360.1500.8ТП</t>
  </si>
  <si>
    <t>ВК.140.360.1550.8ТП</t>
  </si>
  <si>
    <t>ВК.140.360.1600.8ТП</t>
  </si>
  <si>
    <t>ВК.140.360.1650.8ТП</t>
  </si>
  <si>
    <t>ВК.140.360.1700.8ТП</t>
  </si>
  <si>
    <t>ВК.140.360.1750.8ТП</t>
  </si>
  <si>
    <t>ВК.140.360.1800.8ТП</t>
  </si>
  <si>
    <t>ВК.140.360.1850.8ТП</t>
  </si>
  <si>
    <t>ВК.140.360.1900.8ТП</t>
  </si>
  <si>
    <t>ВК.140.360.1950.8ТП</t>
  </si>
  <si>
    <t>ВК.140.360.2000.8ТП</t>
  </si>
  <si>
    <t>ВК.140.360.2050.8ТП</t>
  </si>
  <si>
    <t>ВК.140.360.2100.8ТП</t>
  </si>
  <si>
    <t>ВК.140.360.2150.8ТП</t>
  </si>
  <si>
    <t>ВК.140.360.2200.8ТП</t>
  </si>
  <si>
    <t>ВК.140.360.2250.8ТП</t>
  </si>
  <si>
    <t>ВК.140.360.2300.8ТП</t>
  </si>
  <si>
    <t>ВК.140.360.2350.8ТП</t>
  </si>
  <si>
    <t>ВК.140.360.2400.8ТП</t>
  </si>
  <si>
    <t>ВК.140.360.2450.8ТП</t>
  </si>
  <si>
    <t>ВК.140.360.2500.8ТП</t>
  </si>
  <si>
    <t>ВК.140.360.2550.8ТП</t>
  </si>
  <si>
    <t>ВК.140.360.2600.8ТП</t>
  </si>
  <si>
    <t>ВК.140.360.2650.8ТП</t>
  </si>
  <si>
    <t>ВК.140.360.2700.8ТП</t>
  </si>
  <si>
    <t>ВК.140.360.2750.8ТП</t>
  </si>
  <si>
    <t>ВК.140.360.2800.8ТП</t>
  </si>
  <si>
    <t>ВК.140.360.2850.8ТП</t>
  </si>
  <si>
    <t>ВК.140.360.2900.8ТП</t>
  </si>
  <si>
    <t>ВК.140.360.2950.8ТП</t>
  </si>
  <si>
    <t>ВК.140.360.3000.8ТП</t>
  </si>
  <si>
    <t>ВК.140.400.600.6ТП</t>
  </si>
  <si>
    <t>ВК.140.400.650.6ТП</t>
  </si>
  <si>
    <t>ВК.140.400.700.6ТП</t>
  </si>
  <si>
    <t>ВК.140.400.750.6ТП</t>
  </si>
  <si>
    <t>ВК.140.400.800.6ТП</t>
  </si>
  <si>
    <t>ВК.140.400.850.6ТП</t>
  </si>
  <si>
    <t>ВК.140.400.900.6ТП</t>
  </si>
  <si>
    <t>ВК.140.400.950.6ТП</t>
  </si>
  <si>
    <t>ВК.140.400.1000.6ТП</t>
  </si>
  <si>
    <t>ВК.140.400.1050.6ТП</t>
  </si>
  <si>
    <t>ВК.140.400.1100.6ТП</t>
  </si>
  <si>
    <t>ВК.140.400.1150.6ТП</t>
  </si>
  <si>
    <t>ВК.140.400.1200.6ТП</t>
  </si>
  <si>
    <t>ВК.140.400.1250.6ТП</t>
  </si>
  <si>
    <t>ВК.140.400.1300.6ТП</t>
  </si>
  <si>
    <t>ВК.140.400.1350.6ТП</t>
  </si>
  <si>
    <t>ВК.140.400.1400.6ТП</t>
  </si>
  <si>
    <t>ВК.140.400.1450.6ТП</t>
  </si>
  <si>
    <t>ВК.140.400.1500.6ТП</t>
  </si>
  <si>
    <t>ВК.140.400.1550.6ТП</t>
  </si>
  <si>
    <t>ВК.140.400.1600.6ТП</t>
  </si>
  <si>
    <t>ВК.140.400.1650.6ТП</t>
  </si>
  <si>
    <t>ВК.140.400.1700.6ТП</t>
  </si>
  <si>
    <t>ВК.140.400.1750.6ТП</t>
  </si>
  <si>
    <t>ВК.140.400.1800.6ТП</t>
  </si>
  <si>
    <t>ВК.140.400.1850.6ТП</t>
  </si>
  <si>
    <t>ВК.140.400.1900.6ТП</t>
  </si>
  <si>
    <t>ВК.140.400.1950.6ТП</t>
  </si>
  <si>
    <t>ВК.140.400.2000.6ТП</t>
  </si>
  <si>
    <t>ВК.140.400.2050.6ТП</t>
  </si>
  <si>
    <t>ВК.140.400.2100.6ТП</t>
  </si>
  <si>
    <t>ВК.140.400.2150.6ТП</t>
  </si>
  <si>
    <t>ВК.140.400.2200.6ТП</t>
  </si>
  <si>
    <t>ВК.140.400.2250.6ТП</t>
  </si>
  <si>
    <t>ВК.140.400.2300.6ТП</t>
  </si>
  <si>
    <t>ВК.140.400.2350.6ТП</t>
  </si>
  <si>
    <t>ВК.140.400.2400.6ТП</t>
  </si>
  <si>
    <t>ВК.140.400.2450.6ТП</t>
  </si>
  <si>
    <t>ВК.140.400.2500.6ТП</t>
  </si>
  <si>
    <t>ВК.140.400.2550.6ТП</t>
  </si>
  <si>
    <t>ВК.140.400.2600.6ТП</t>
  </si>
  <si>
    <t>ВК.140.400.2650.6ТП</t>
  </si>
  <si>
    <t>ВК.140.400.2700.6ТП</t>
  </si>
  <si>
    <t>ВК.140.400.2750.6ТП</t>
  </si>
  <si>
    <t>ВК.140.400.2800.6ТП</t>
  </si>
  <si>
    <t>ВК.140.400.2850.6ТП</t>
  </si>
  <si>
    <t>ВК.140.400.2900.6ТП</t>
  </si>
  <si>
    <t>ВК.140.400.2950.6ТП</t>
  </si>
  <si>
    <t>ВК.140.400.3000.6ТП</t>
  </si>
  <si>
    <t>ВК.140.400.600.8ТП</t>
  </si>
  <si>
    <t>ВК.140.400.650.8ТП</t>
  </si>
  <si>
    <t>ВК.140.400.700.8ТП</t>
  </si>
  <si>
    <t>ВК.140.400.750.8ТП</t>
  </si>
  <si>
    <t>ВК.140.400.800.8ТП</t>
  </si>
  <si>
    <t>ВК.140.400.850.8ТП</t>
  </si>
  <si>
    <t>ВК.140.400.900.8ТП</t>
  </si>
  <si>
    <t>ВК.140.400.950.8ТП</t>
  </si>
  <si>
    <t>ВК.140.400.1000.8ТП</t>
  </si>
  <si>
    <t>ВК.140.400.1050.8ТП</t>
  </si>
  <si>
    <t>ВК.140.400.1100.8ТП</t>
  </si>
  <si>
    <t>ВК.140.400.1150.8ТП</t>
  </si>
  <si>
    <t>ВК.140.400.1200.8ТП</t>
  </si>
  <si>
    <t>ВК.140.400.1250.8ТП</t>
  </si>
  <si>
    <t>ВК.140.400.1300.8ТП</t>
  </si>
  <si>
    <t>ВК.140.400.1350.8ТП</t>
  </si>
  <si>
    <t>ВК.140.400.1400.8ТП</t>
  </si>
  <si>
    <t>ВК.140.400.1450.8ТП</t>
  </si>
  <si>
    <t>ВК.140.400.1500.8ТП</t>
  </si>
  <si>
    <t>ВК.140.400.1550.8ТП</t>
  </si>
  <si>
    <t>ВК.140.400.1600.8ТП</t>
  </si>
  <si>
    <t>ВК.140.400.1650.8ТП</t>
  </si>
  <si>
    <t>ВК.140.400.1700.8ТП</t>
  </si>
  <si>
    <t>ВК.140.400.1750.8ТП</t>
  </si>
  <si>
    <t>ВК.140.400.1800.8ТП</t>
  </si>
  <si>
    <t>ВК.140.400.1850.8ТП</t>
  </si>
  <si>
    <t>ВК.140.400.1900.8ТП</t>
  </si>
  <si>
    <t>ВК.140.400.1950.8ТП</t>
  </si>
  <si>
    <t>ВК.140.400.2000.8ТП</t>
  </si>
  <si>
    <t>ВК.140.400.2050.8ТП</t>
  </si>
  <si>
    <t>ВК.140.400.2100.8ТП</t>
  </si>
  <si>
    <t>ВК.140.400.2150.8ТП</t>
  </si>
  <si>
    <t>ВК.140.400.2200.8ТП</t>
  </si>
  <si>
    <t>ВК.140.400.2250.8ТП</t>
  </si>
  <si>
    <t>ВК.140.400.2300.8ТП</t>
  </si>
  <si>
    <t>ВК.140.400.2350.8ТП</t>
  </si>
  <si>
    <t>ВК.140.400.2400.8ТП</t>
  </si>
  <si>
    <t>ВК.140.400.2450.8ТП</t>
  </si>
  <si>
    <t>ВК.140.400.2500.8ТП</t>
  </si>
  <si>
    <t>ВК.140.400.2550.8ТП</t>
  </si>
  <si>
    <t>ВК.140.400.2600.8ТП</t>
  </si>
  <si>
    <t>ВК.140.400.2650.8ТП</t>
  </si>
  <si>
    <t>ВК.140.400.2700.8ТП</t>
  </si>
  <si>
    <t>ВК.140.400.2750.8ТП</t>
  </si>
  <si>
    <t>ВК.140.400.2800.8ТП</t>
  </si>
  <si>
    <t>ВК.140.400.2850.8ТП</t>
  </si>
  <si>
    <t>ВК.140.400.2900.8ТП</t>
  </si>
  <si>
    <t>ВК.140.400.2950.8ТП</t>
  </si>
  <si>
    <t>ВК.140.400.3000.8ТП</t>
  </si>
  <si>
    <t>ВК.150.160.600.4ТК</t>
  </si>
  <si>
    <t>ВК.150.160.650.4ТК</t>
  </si>
  <si>
    <t>ВК.150.160.700.4ТК</t>
  </si>
  <si>
    <t>ВК.150.160.750.4ТК</t>
  </si>
  <si>
    <t>ВК.150.160.800.4ТК</t>
  </si>
  <si>
    <t>ВК.150.160.850.4ТК</t>
  </si>
  <si>
    <t>ВК.150.160.900.4ТК</t>
  </si>
  <si>
    <t>ВК.150.160.950.4ТК</t>
  </si>
  <si>
    <t>ВК.150.160.1000.4ТК</t>
  </si>
  <si>
    <t>ВК.150.160.1050.4ТК</t>
  </si>
  <si>
    <t>ВК.150.160.1100.4ТК</t>
  </si>
  <si>
    <t>ВК.150.160.1150.4ТК</t>
  </si>
  <si>
    <t>ВК.150.160.1200.4ТК</t>
  </si>
  <si>
    <t>ВК.150.160.1250.4ТК</t>
  </si>
  <si>
    <t>ВК.150.160.1300.4ТК</t>
  </si>
  <si>
    <t>ВК.150.160.1350.4ТК</t>
  </si>
  <si>
    <t>ВК.150.160.1400.4ТК</t>
  </si>
  <si>
    <t>ВК.150.160.1450.4ТК</t>
  </si>
  <si>
    <t>ВК.150.160.1500.4ТК</t>
  </si>
  <si>
    <t>ВК.150.160.1550.4ТК</t>
  </si>
  <si>
    <t>ВК.150.160.1600.4ТК</t>
  </si>
  <si>
    <t>ВК.150.160.1650.4ТК</t>
  </si>
  <si>
    <t>ВК.150.160.1700.4ТК</t>
  </si>
  <si>
    <t>ВК.150.160.1750.4ТК</t>
  </si>
  <si>
    <t>ВК.150.160.1800.4ТК</t>
  </si>
  <si>
    <t>ВК.150.160.1850.4ТК</t>
  </si>
  <si>
    <t>ВК.150.160.1900.4ТК</t>
  </si>
  <si>
    <t>ВК.150.160.1950.4ТК</t>
  </si>
  <si>
    <t>ВК.150.160.2000.4ТК</t>
  </si>
  <si>
    <t>ВК.150.160.2050.4ТК</t>
  </si>
  <si>
    <t>ВК.150.160.2100.4ТК</t>
  </si>
  <si>
    <t>ВК.150.160.2150.4ТК</t>
  </si>
  <si>
    <t>ВК.150.160.2200.4ТК</t>
  </si>
  <si>
    <t>ВК.150.160.2250.4ТК</t>
  </si>
  <si>
    <t>ВК.150.160.2300.4ТК</t>
  </si>
  <si>
    <t>ВК.150.160.2350.4ТК</t>
  </si>
  <si>
    <t>ВК.150.160.2400.4ТК</t>
  </si>
  <si>
    <t>ВК.150.160.2450.4ТК</t>
  </si>
  <si>
    <t>ВК.150.160.2500.4ТК</t>
  </si>
  <si>
    <t>ВК.150.160.2550.4ТК</t>
  </si>
  <si>
    <t>ВК.150.160.2600.4ТК</t>
  </si>
  <si>
    <t>ВК.150.160.2650.4ТК</t>
  </si>
  <si>
    <t>ВК.150.160.2700.4ТК</t>
  </si>
  <si>
    <t>ВК.150.160.2750.4ТК</t>
  </si>
  <si>
    <t>ВК.150.160.2800.4ТК</t>
  </si>
  <si>
    <t>ВК.150.160.2850.4ТК</t>
  </si>
  <si>
    <t>ВК.150.160.2900.4ТК</t>
  </si>
  <si>
    <t>ВК.150.160.2950.4ТК</t>
  </si>
  <si>
    <t>ВК.150.160.3000.4ТК</t>
  </si>
  <si>
    <t>ВК.150.200.600.4ТК</t>
  </si>
  <si>
    <t>ВК.150.200.650.4ТК</t>
  </si>
  <si>
    <t>ВК.150.200.700.4ТК</t>
  </si>
  <si>
    <t>ВК.150.200.750.4ТК</t>
  </si>
  <si>
    <t>ВК.150.200.800.4ТК</t>
  </si>
  <si>
    <t>ВК.150.200.850.4ТК</t>
  </si>
  <si>
    <t>ВК.150.200.900.4ТК</t>
  </si>
  <si>
    <t>ВК.150.200.950.4ТК</t>
  </si>
  <si>
    <t>ВК.150.200.1000.4ТК</t>
  </si>
  <si>
    <t>ВК.150.200.1050.4ТК</t>
  </si>
  <si>
    <t>ВК.150.200.1100.4ТК</t>
  </si>
  <si>
    <t>ВК.150.200.1150.4ТК</t>
  </si>
  <si>
    <t>ВК.150.200.1200.4ТК</t>
  </si>
  <si>
    <t>ВК.150.200.1250.4ТК</t>
  </si>
  <si>
    <t>ВК.150.200.1300.4ТК</t>
  </si>
  <si>
    <t>ВК.150.200.1350.4ТК</t>
  </si>
  <si>
    <t>ВК.150.200.1400.4ТК</t>
  </si>
  <si>
    <t>ВК.150.200.1450.4ТК</t>
  </si>
  <si>
    <t>ВК.150.200.1500.4ТК</t>
  </si>
  <si>
    <t>ВК.150.200.1550.4ТК</t>
  </si>
  <si>
    <t>ВК.150.200.1600.4ТК</t>
  </si>
  <si>
    <t>ВК.150.200.1650.4ТК</t>
  </si>
  <si>
    <t>ВК.150.200.1700.4ТК</t>
  </si>
  <si>
    <t>ВК.150.200.1750.4ТК</t>
  </si>
  <si>
    <t>ВК.150.200.1800.4ТК</t>
  </si>
  <si>
    <t>ВК.150.200.1850.4ТК</t>
  </si>
  <si>
    <t>ВК.150.200.1900.4ТК</t>
  </si>
  <si>
    <t>ВК.150.200.1950.4ТК</t>
  </si>
  <si>
    <t>ВК.150.200.2000.4ТК</t>
  </si>
  <si>
    <t>ВК.150.200.2050.4ТК</t>
  </si>
  <si>
    <t>ВК.150.200.2100.4ТК</t>
  </si>
  <si>
    <t>ВК.150.200.2150.4ТК</t>
  </si>
  <si>
    <t>ВК.150.200.2200.4ТК</t>
  </si>
  <si>
    <t>ВК.150.200.2250.4ТК</t>
  </si>
  <si>
    <t>ВК.150.200.2300.4ТК</t>
  </si>
  <si>
    <t>ВК.150.200.2350.4ТК</t>
  </si>
  <si>
    <t>ВК.150.200.2400.4ТК</t>
  </si>
  <si>
    <t>ВК.150.200.2450.4ТК</t>
  </si>
  <si>
    <t>ВК.150.200.2500.4ТК</t>
  </si>
  <si>
    <t>ВК.150.200.2550.4ТК</t>
  </si>
  <si>
    <t>ВК.150.200.2600.4ТК</t>
  </si>
  <si>
    <t>ВК.150.200.2650.4ТК</t>
  </si>
  <si>
    <t>ВК.150.200.2700.4ТК</t>
  </si>
  <si>
    <t>ВК.150.200.2750.4ТК</t>
  </si>
  <si>
    <t>ВК.150.200.2800.4ТК</t>
  </si>
  <si>
    <t>ВК.150.200.2850.4ТК</t>
  </si>
  <si>
    <t>ВК.150.200.2900.4ТК</t>
  </si>
  <si>
    <t>ВК.150.200.2950.4ТК</t>
  </si>
  <si>
    <t>ВК.150.200.3000.4ТК</t>
  </si>
  <si>
    <t>ВК.150.260.600.4ТК</t>
  </si>
  <si>
    <t>ВК.150.260.650.4ТК</t>
  </si>
  <si>
    <t>ВК.150.260.700.4ТК</t>
  </si>
  <si>
    <t>ВК.150.260.750.4ТК</t>
  </si>
  <si>
    <t>ВК.150.260.800.4ТК</t>
  </si>
  <si>
    <t>ВК.150.260.850.4ТК</t>
  </si>
  <si>
    <t>ВК.150.260.900.4ТК</t>
  </si>
  <si>
    <t>ВК.150.260.950.4ТК</t>
  </si>
  <si>
    <t>ВК.150.260.1000.4ТК</t>
  </si>
  <si>
    <t>ВК.150.260.1050.4ТК</t>
  </si>
  <si>
    <t>ВК.150.260.1100.4ТК</t>
  </si>
  <si>
    <t>ВК.150.260.1150.4ТК</t>
  </si>
  <si>
    <t>ВК.150.260.1200.4ТК</t>
  </si>
  <si>
    <t>ВК.150.260.1250.4ТК</t>
  </si>
  <si>
    <t>ВК.150.260.1300.4ТК</t>
  </si>
  <si>
    <t>ВК.150.260.1350.4ТК</t>
  </si>
  <si>
    <t>ВК.150.260.1400.4ТК</t>
  </si>
  <si>
    <t>ВК.150.260.1450.4ТК</t>
  </si>
  <si>
    <t>ВК.150.260.1500.4ТК</t>
  </si>
  <si>
    <t>ВК.150.260.1550.4ТК</t>
  </si>
  <si>
    <t>ВК.150.260.1600.4ТК</t>
  </si>
  <si>
    <t>ВК.150.260.1650.4ТК</t>
  </si>
  <si>
    <t>ВК.150.260.1700.4ТК</t>
  </si>
  <si>
    <t>ВК.150.260.1750.4ТК</t>
  </si>
  <si>
    <t>ВК.150.260.1800.4ТК</t>
  </si>
  <si>
    <t>ВК.150.260.1850.4ТК</t>
  </si>
  <si>
    <t>ВК.150.260.1900.4ТК</t>
  </si>
  <si>
    <t>ВК.150.260.1950.4ТК</t>
  </si>
  <si>
    <t>ВК.150.260.2000.4ТК</t>
  </si>
  <si>
    <t>ВК.150.260.2050.4ТК</t>
  </si>
  <si>
    <t>ВК.150.260.2100.4ТК</t>
  </si>
  <si>
    <t>ВК.150.260.2150.4ТК</t>
  </si>
  <si>
    <t>ВК.150.260.2200.4ТК</t>
  </si>
  <si>
    <t>ВК.150.260.2250.4ТК</t>
  </si>
  <si>
    <t>ВК.150.260.2300.4ТК</t>
  </si>
  <si>
    <t>ВК.150.260.2350.4ТК</t>
  </si>
  <si>
    <t>ВК.150.260.2400.4ТК</t>
  </si>
  <si>
    <t>ВК.150.260.2450.4ТК</t>
  </si>
  <si>
    <t>ВК.150.260.2500.4ТК</t>
  </si>
  <si>
    <t>ВК.150.260.2550.4ТК</t>
  </si>
  <si>
    <t>ВК.150.260.2600.4ТК</t>
  </si>
  <si>
    <t>ВК.150.260.2650.4ТК</t>
  </si>
  <si>
    <t>ВК.150.260.2700.4ТК</t>
  </si>
  <si>
    <t>ВК.150.260.2750.4ТК</t>
  </si>
  <si>
    <t>ВК.150.260.2800.4ТК</t>
  </si>
  <si>
    <t>ВК.150.260.2850.4ТК</t>
  </si>
  <si>
    <t>ВК.150.260.2900.4ТК</t>
  </si>
  <si>
    <t>ВК.150.260.2950.4ТК</t>
  </si>
  <si>
    <t>ВК.150.260.3000.4ТК</t>
  </si>
  <si>
    <t>ВК.150.300.600.6ТП</t>
  </si>
  <si>
    <t>ВК.150.300.650.6ТП</t>
  </si>
  <si>
    <t>ВК.150.300.700.6ТП</t>
  </si>
  <si>
    <t>ВК.150.300.750.6ТП</t>
  </si>
  <si>
    <t>ВК.150.300.800.6ТП</t>
  </si>
  <si>
    <t>ВК.150.300.850.6ТП</t>
  </si>
  <si>
    <t>ВК.150.300.900.6ТП</t>
  </si>
  <si>
    <t>ВК.150.300.950.6ТП</t>
  </si>
  <si>
    <t>ВК.150.300.1000.6ТП</t>
  </si>
  <si>
    <t>ВК.150.300.1050.6ТП</t>
  </si>
  <si>
    <t>ВК.150.300.1100.6ТП</t>
  </si>
  <si>
    <t>ВК.150.300.1150.6ТП</t>
  </si>
  <si>
    <t>ВК.150.300.1200.6ТП</t>
  </si>
  <si>
    <t>ВК.150.300.1250.6ТП</t>
  </si>
  <si>
    <t>ВК.150.300.1300.6ТП</t>
  </si>
  <si>
    <t>ВК.150.300.1350.6ТП</t>
  </si>
  <si>
    <t>ВК.150.300.1400.6ТП</t>
  </si>
  <si>
    <t>ВК.150.300.1450.6ТП</t>
  </si>
  <si>
    <t>ВК.150.300.1500.6ТП</t>
  </si>
  <si>
    <t>ВК.150.300.1550.6ТП</t>
  </si>
  <si>
    <t>ВК.150.300.1600.6ТП</t>
  </si>
  <si>
    <t>ВК.150.300.1650.6ТП</t>
  </si>
  <si>
    <t>ВК.150.300.1700.6ТП</t>
  </si>
  <si>
    <t>ВК.150.300.1750.6ТП</t>
  </si>
  <si>
    <t>ВК.150.300.1800.6ТП</t>
  </si>
  <si>
    <t>ВК.150.300.1850.6ТП</t>
  </si>
  <si>
    <t>ВК.150.300.1900.6ТП</t>
  </si>
  <si>
    <t>ВК.150.300.1950.6ТП</t>
  </si>
  <si>
    <t>ВК.150.300.2000.6ТП</t>
  </si>
  <si>
    <t>ВК.150.300.2050.6ТП</t>
  </si>
  <si>
    <t>ВК.150.300.2100.6ТП</t>
  </si>
  <si>
    <t>ВК.150.300.2150.6ТП</t>
  </si>
  <si>
    <t>ВК.150.300.2200.6ТП</t>
  </si>
  <si>
    <t>ВК.150.300.2250.6ТП</t>
  </si>
  <si>
    <t>ВК.150.300.2300.6ТП</t>
  </si>
  <si>
    <t>ВК.150.300.2350.6ТП</t>
  </si>
  <si>
    <t>ВК.150.300.2400.6ТП</t>
  </si>
  <si>
    <t>ВК.150.300.2450.6ТП</t>
  </si>
  <si>
    <t>ВК.150.300.2500.6ТП</t>
  </si>
  <si>
    <t>ВК.150.300.2550.6ТП</t>
  </si>
  <si>
    <t>ВК.150.300.2600.6ТП</t>
  </si>
  <si>
    <t>ВК.150.300.2650.6ТП</t>
  </si>
  <si>
    <t>ВК.150.300.2700.6ТП</t>
  </si>
  <si>
    <t>ВК.150.300.2750.6ТП</t>
  </si>
  <si>
    <t>ВК.150.300.2800.6ТП</t>
  </si>
  <si>
    <t>ВК.150.300.2850.6ТП</t>
  </si>
  <si>
    <t>ВК.150.300.2900.6ТП</t>
  </si>
  <si>
    <t>ВК.150.300.2950.6ТП</t>
  </si>
  <si>
    <t>ВК.150.300.3000.6ТП</t>
  </si>
  <si>
    <t>ВК.150.300.600.8ТП</t>
  </si>
  <si>
    <t>ВК.150.300.650.8ТП</t>
  </si>
  <si>
    <t>ВК.150.300.700.8ТП</t>
  </si>
  <si>
    <t>ВК.150.300.750.8ТП</t>
  </si>
  <si>
    <t>ВК.150.300.800.8ТП</t>
  </si>
  <si>
    <t>ВК.150.300.850.8ТП</t>
  </si>
  <si>
    <t>ВК.150.300.900.8ТП</t>
  </si>
  <si>
    <t>ВК.150.300.950.8ТП</t>
  </si>
  <si>
    <t>ВК.150.300.1000.8ТП</t>
  </si>
  <si>
    <t>ВК.150.300.1050.8ТП</t>
  </si>
  <si>
    <t>ВК.150.300.1100.8ТП</t>
  </si>
  <si>
    <t>ВК.150.300.1150.8ТП</t>
  </si>
  <si>
    <t>ВК.150.300.1200.8ТП</t>
  </si>
  <si>
    <t>ВК.150.300.1250.8ТП</t>
  </si>
  <si>
    <t>ВК.150.300.1300.8ТП</t>
  </si>
  <si>
    <t>ВК.150.300.1350.8ТП</t>
  </si>
  <si>
    <t>ВК.150.300.1400.8ТП</t>
  </si>
  <si>
    <t>ВК.150.300.1450.8ТП</t>
  </si>
  <si>
    <t>ВК.150.300.1500.8ТП</t>
  </si>
  <si>
    <t>ВК.150.300.1550.8ТП</t>
  </si>
  <si>
    <t>ВК.150.300.1600.8ТП</t>
  </si>
  <si>
    <t>ВК.150.300.1650.8ТП</t>
  </si>
  <si>
    <t>ВК.150.300.1700.8ТП</t>
  </si>
  <si>
    <t>ВК.150.300.1750.8ТП</t>
  </si>
  <si>
    <t>ВК.150.300.1800.8ТП</t>
  </si>
  <si>
    <t>ВК.150.300.1850.8ТП</t>
  </si>
  <si>
    <t>ВК.150.300.1900.8ТП</t>
  </si>
  <si>
    <t>ВК.150.300.1950.8ТП</t>
  </si>
  <si>
    <t>ВК.150.300.2000.8ТП</t>
  </si>
  <si>
    <t>ВК.150.300.2050.8ТП</t>
  </si>
  <si>
    <t>ВК.150.300.2100.8ТП</t>
  </si>
  <si>
    <t>ВК.150.300.2150.8ТП</t>
  </si>
  <si>
    <t>ВК.150.300.2200.8ТП</t>
  </si>
  <si>
    <t>ВК.150.300.2250.8ТП</t>
  </si>
  <si>
    <t>ВК.150.300.2300.8ТП</t>
  </si>
  <si>
    <t>ВК.150.300.2350.8ТП</t>
  </si>
  <si>
    <t>ВК.150.300.2400.8ТП</t>
  </si>
  <si>
    <t>ВК.150.300.2450.8ТП</t>
  </si>
  <si>
    <t>ВК.150.300.2500.8ТП</t>
  </si>
  <si>
    <t>ВК.150.300.2550.8ТП</t>
  </si>
  <si>
    <t>ВК.150.300.2600.8ТП</t>
  </si>
  <si>
    <t>ВК.150.300.2650.8ТП</t>
  </si>
  <si>
    <t>ВК.150.300.2700.8ТП</t>
  </si>
  <si>
    <t>ВК.150.300.2750.8ТП</t>
  </si>
  <si>
    <t>ВК.150.300.2800.8ТП</t>
  </si>
  <si>
    <t>ВК.150.300.2850.8ТП</t>
  </si>
  <si>
    <t>ВК.150.300.2900.8ТП</t>
  </si>
  <si>
    <t>ВК.150.300.2950.8ТП</t>
  </si>
  <si>
    <t>ВК.150.300.3000.8ТП</t>
  </si>
  <si>
    <t>ВК.150.360.600.6ТП</t>
  </si>
  <si>
    <t>ВК.150.360.650.6ТП</t>
  </si>
  <si>
    <t>ВК.150.360.700.6ТП</t>
  </si>
  <si>
    <t>ВК.150.360.750.6ТП</t>
  </si>
  <si>
    <t>ВК.150.360.800.6ТП</t>
  </si>
  <si>
    <t>ВК.150.360.850.6ТП</t>
  </si>
  <si>
    <t>ВК.150.360.900.6ТП</t>
  </si>
  <si>
    <t>ВК.150.360.950.6ТП</t>
  </si>
  <si>
    <t>ВК.150.360.1000.6ТП</t>
  </si>
  <si>
    <t>ВК.150.360.1050.6ТП</t>
  </si>
  <si>
    <t>ВК.150.360.1100.6ТП</t>
  </si>
  <si>
    <t>ВК.150.360.1150.6ТП</t>
  </si>
  <si>
    <t>ВК.150.360.1200.6ТП</t>
  </si>
  <si>
    <t>ВК.150.360.1250.6ТП</t>
  </si>
  <si>
    <t>ВК.150.360.1300.6ТП</t>
  </si>
  <si>
    <t>ВК.150.360.1350.6ТП</t>
  </si>
  <si>
    <t>ВК.150.360.1400.6ТП</t>
  </si>
  <si>
    <t>ВК.150.360.1450.6ТП</t>
  </si>
  <si>
    <t>ВК.150.360.1500.6ТП</t>
  </si>
  <si>
    <t>ВК.150.360.1550.6ТП</t>
  </si>
  <si>
    <t>ВК.150.360.1600.6ТП</t>
  </si>
  <si>
    <t>ВК.150.360.1650.6ТП</t>
  </si>
  <si>
    <t>ВК.150.360.1700.6ТП</t>
  </si>
  <si>
    <t>ВК.150.360.1750.6ТП</t>
  </si>
  <si>
    <t>ВК.150.360.1800.6ТП</t>
  </si>
  <si>
    <t>ВК.150.360.1850.6ТП</t>
  </si>
  <si>
    <t>ВК.150.360.1900.6ТП</t>
  </si>
  <si>
    <t>ВК.150.360.1950.6ТП</t>
  </si>
  <si>
    <t>ВК.150.360.2000.6ТП</t>
  </si>
  <si>
    <t>ВК.150.360.2050.6ТП</t>
  </si>
  <si>
    <t>ВК.150.360.2100.6ТП</t>
  </si>
  <si>
    <t>ВК.150.360.2150.6ТП</t>
  </si>
  <si>
    <t>ВК.150.360.2200.6ТП</t>
  </si>
  <si>
    <t>ВК.150.360.2250.6ТП</t>
  </si>
  <si>
    <t>ВК.150.360.2300.6ТП</t>
  </si>
  <si>
    <t>ВК.150.360.2350.6ТП</t>
  </si>
  <si>
    <t>ВК.150.360.2400.6ТП</t>
  </si>
  <si>
    <t>ВК.150.360.2450.6ТП</t>
  </si>
  <si>
    <t>ВК.150.360.2500.6ТП</t>
  </si>
  <si>
    <t>ВК.150.360.2550.6ТП</t>
  </si>
  <si>
    <t>ВК.150.360.2600.6ТП</t>
  </si>
  <si>
    <t>ВК.150.360.2650.6ТП</t>
  </si>
  <si>
    <t>ВК.150.360.2700.6ТП</t>
  </si>
  <si>
    <t>ВК.150.360.2750.6ТП</t>
  </si>
  <si>
    <t>ВК.150.360.2800.6ТП</t>
  </si>
  <si>
    <t>ВК.150.360.2850.6ТП</t>
  </si>
  <si>
    <t>ВК.150.360.2900.6ТП</t>
  </si>
  <si>
    <t>ВК.150.360.2950.6ТП</t>
  </si>
  <si>
    <t>ВК.150.360.3000.6ТП</t>
  </si>
  <si>
    <t>ВК.150.360.600.8ТП</t>
  </si>
  <si>
    <t>ВК.150.360.650.8ТП</t>
  </si>
  <si>
    <t>ВК.150.360.700.8ТП</t>
  </si>
  <si>
    <t>ВК.150.360.750.8ТП</t>
  </si>
  <si>
    <t>ВК.150.360.800.8ТП</t>
  </si>
  <si>
    <t>ВК.150.360.850.8ТП</t>
  </si>
  <si>
    <t>ВК.150.360.900.8ТП</t>
  </si>
  <si>
    <t>ВК.150.360.950.8ТП</t>
  </si>
  <si>
    <t>ВК.150.360.1000.8ТП</t>
  </si>
  <si>
    <t>ВК.150.360.1050.8ТП</t>
  </si>
  <si>
    <t>ВК.150.360.1100.8ТП</t>
  </si>
  <si>
    <t>ВК.150.360.1150.8ТП</t>
  </si>
  <si>
    <t>ВК.150.360.1200.8ТП</t>
  </si>
  <si>
    <t>ВК.150.360.1250.8ТП</t>
  </si>
  <si>
    <t>ВК.150.360.1300.8ТП</t>
  </si>
  <si>
    <t>ВК.150.360.1350.8ТП</t>
  </si>
  <si>
    <t>ВК.150.360.1400.8ТП</t>
  </si>
  <si>
    <t>ВК.150.360.1450.8ТП</t>
  </si>
  <si>
    <t>ВК.150.360.1500.8ТП</t>
  </si>
  <si>
    <t>ВК.150.360.1550.8ТП</t>
  </si>
  <si>
    <t>ВК.150.360.1600.8ТП</t>
  </si>
  <si>
    <t>ВК.150.360.1650.8ТП</t>
  </si>
  <si>
    <t>ВК.150.360.1700.8ТП</t>
  </si>
  <si>
    <t>ВК.150.360.1750.8ТП</t>
  </si>
  <si>
    <t>ВК.150.360.1800.8ТП</t>
  </si>
  <si>
    <t>ВК.150.360.1850.8ТП</t>
  </si>
  <si>
    <t>ВК.150.360.1900.8ТП</t>
  </si>
  <si>
    <t>ВК.150.360.1950.8ТП</t>
  </si>
  <si>
    <t>ВК.150.360.2000.8ТП</t>
  </si>
  <si>
    <t>ВК.150.360.2050.8ТП</t>
  </si>
  <si>
    <t>ВК.150.360.2100.8ТП</t>
  </si>
  <si>
    <t>ВК.150.360.2150.8ТП</t>
  </si>
  <si>
    <t>ВК.150.360.2200.8ТП</t>
  </si>
  <si>
    <t>ВК.150.360.2250.8ТП</t>
  </si>
  <si>
    <t>ВК.150.360.2300.8ТП</t>
  </si>
  <si>
    <t>ВК.150.360.2350.8ТП</t>
  </si>
  <si>
    <t>ВК.150.360.2400.8ТП</t>
  </si>
  <si>
    <t>ВК.150.360.2450.8ТП</t>
  </si>
  <si>
    <t>ВК.150.360.2500.8ТП</t>
  </si>
  <si>
    <t>ВК.150.360.2550.8ТП</t>
  </si>
  <si>
    <t>ВК.150.360.2600.8ТП</t>
  </si>
  <si>
    <t>ВК.150.360.2650.8ТП</t>
  </si>
  <si>
    <t>ВК.150.360.2700.8ТП</t>
  </si>
  <si>
    <t>ВК.150.360.2750.8ТП</t>
  </si>
  <si>
    <t>ВК.150.360.2800.8ТП</t>
  </si>
  <si>
    <t>ВК.150.360.2850.8ТП</t>
  </si>
  <si>
    <t>ВК.150.360.2900.8ТП</t>
  </si>
  <si>
    <t>ВК.150.360.2950.8ТП</t>
  </si>
  <si>
    <t>ВК.150.360.3000.8ТП</t>
  </si>
  <si>
    <t>ВК.150.400.600.6ТП</t>
  </si>
  <si>
    <t>ВК.150.400.650.6ТП</t>
  </si>
  <si>
    <t>ВК.150.400.700.6ТП</t>
  </si>
  <si>
    <t>ВК.150.400.750.6ТП</t>
  </si>
  <si>
    <t>ВК.150.400.800.6ТП</t>
  </si>
  <si>
    <t>ВК.150.400.850.6ТП</t>
  </si>
  <si>
    <t>ВК.150.400.900.6ТП</t>
  </si>
  <si>
    <t>ВК.150.400.950.6ТП</t>
  </si>
  <si>
    <t>ВК.150.400.1000.6ТП</t>
  </si>
  <si>
    <t>ВК.150.400.1050.6ТП</t>
  </si>
  <si>
    <t>ВК.150.400.1100.6ТП</t>
  </si>
  <si>
    <t>ВК.150.400.1150.6ТП</t>
  </si>
  <si>
    <t>ВК.150.400.1200.6ТП</t>
  </si>
  <si>
    <t>ВК.150.400.1250.6ТП</t>
  </si>
  <si>
    <t>ВК.150.400.1300.6ТП</t>
  </si>
  <si>
    <t>ВК.150.400.1350.6ТП</t>
  </si>
  <si>
    <t>ВК.150.400.1400.6ТП</t>
  </si>
  <si>
    <t>ВК.150.400.1450.6ТП</t>
  </si>
  <si>
    <t>ВК.150.400.1500.6ТП</t>
  </si>
  <si>
    <t>ВК.150.400.1550.6ТП</t>
  </si>
  <si>
    <t>ВК.150.400.1600.6ТП</t>
  </si>
  <si>
    <t>ВК.150.400.1650.6ТП</t>
  </si>
  <si>
    <t>ВК.150.400.1700.6ТП</t>
  </si>
  <si>
    <t>ВК.150.400.1750.6ТП</t>
  </si>
  <si>
    <t>ВК.150.400.1800.6ТП</t>
  </si>
  <si>
    <t>ВК.150.400.1850.6ТП</t>
  </si>
  <si>
    <t>ВК.150.400.1900.6ТП</t>
  </si>
  <si>
    <t>ВК.150.400.1950.6ТП</t>
  </si>
  <si>
    <t>ВК.150.400.2000.6ТП</t>
  </si>
  <si>
    <t>ВК.150.400.2050.6ТП</t>
  </si>
  <si>
    <t>ВК.150.400.2100.6ТП</t>
  </si>
  <si>
    <t>ВК.150.400.2150.6ТП</t>
  </si>
  <si>
    <t>ВК.150.400.2200.6ТП</t>
  </si>
  <si>
    <t>ВК.150.400.2250.6ТП</t>
  </si>
  <si>
    <t>ВК.150.400.2300.6ТП</t>
  </si>
  <si>
    <t>ВК.150.400.2350.6ТП</t>
  </si>
  <si>
    <t>ВК.150.400.2400.6ТП</t>
  </si>
  <si>
    <t>ВК.150.400.2450.6ТП</t>
  </si>
  <si>
    <t>ВК.150.400.2500.6ТП</t>
  </si>
  <si>
    <t>ВК.150.400.2550.6ТП</t>
  </si>
  <si>
    <t>ВК.150.400.2600.6ТП</t>
  </si>
  <si>
    <t>ВК.150.400.2650.6ТП</t>
  </si>
  <si>
    <t>ВК.150.400.2700.6ТП</t>
  </si>
  <si>
    <t>ВК.150.400.2750.6ТП</t>
  </si>
  <si>
    <t>ВК.150.400.2800.6ТП</t>
  </si>
  <si>
    <t>ВК.150.400.2850.6ТП</t>
  </si>
  <si>
    <t>ВК.150.400.2900.6ТП</t>
  </si>
  <si>
    <t>ВК.150.400.2950.6ТП</t>
  </si>
  <si>
    <t>ВК.150.400.3000.6ТП</t>
  </si>
  <si>
    <t>ВК.150.400.600.8ТП</t>
  </si>
  <si>
    <t>ВК.150.400.650.8ТП</t>
  </si>
  <si>
    <t>ВК.150.400.700.8ТП</t>
  </si>
  <si>
    <t>ВК.150.400.750.8ТП</t>
  </si>
  <si>
    <t>ВК.150.400.800.8ТП</t>
  </si>
  <si>
    <t>ВК.150.400.850.8ТП</t>
  </si>
  <si>
    <t>ВК.150.400.900.8ТП</t>
  </si>
  <si>
    <t>ВК.150.400.950.8ТП</t>
  </si>
  <si>
    <t>ВК.150.400.1000.8ТП</t>
  </si>
  <si>
    <t>ВК.150.400.1050.8ТП</t>
  </si>
  <si>
    <t>ВК.150.400.1100.8ТП</t>
  </si>
  <si>
    <t>ВК.150.400.1150.8ТП</t>
  </si>
  <si>
    <t>ВК.150.400.1200.8ТП</t>
  </si>
  <si>
    <t>ВК.150.400.1250.8ТП</t>
  </si>
  <si>
    <t>ВК.150.400.1300.8ТП</t>
  </si>
  <si>
    <t>ВК.150.400.1350.8ТП</t>
  </si>
  <si>
    <t>ВК.150.400.1400.8ТП</t>
  </si>
  <si>
    <t>ВК.150.400.1450.8ТП</t>
  </si>
  <si>
    <t>ВК.150.400.1500.8ТП</t>
  </si>
  <si>
    <t>ВК.150.400.1550.8ТП</t>
  </si>
  <si>
    <t>ВК.150.400.1600.8ТП</t>
  </si>
  <si>
    <t>ВК.150.400.1650.8ТП</t>
  </si>
  <si>
    <t>ВК.150.400.1700.8ТП</t>
  </si>
  <si>
    <t>ВК.150.400.1750.8ТП</t>
  </si>
  <si>
    <t>ВК.150.400.1800.8ТП</t>
  </si>
  <si>
    <t>ВК.150.400.1850.8ТП</t>
  </si>
  <si>
    <t>ВК.150.400.1900.8ТП</t>
  </si>
  <si>
    <t>ВК.150.400.1950.8ТП</t>
  </si>
  <si>
    <t>ВК.150.400.2000.8ТП</t>
  </si>
  <si>
    <t>ВК.150.400.2050.8ТП</t>
  </si>
  <si>
    <t>ВК.150.400.2100.8ТП</t>
  </si>
  <si>
    <t>ВК.150.400.2150.8ТП</t>
  </si>
  <si>
    <t>ВК.150.400.2200.8ТП</t>
  </si>
  <si>
    <t>ВК.150.400.2250.8ТП</t>
  </si>
  <si>
    <t>ВК.150.400.2300.8ТП</t>
  </si>
  <si>
    <t>ВК.150.400.2350.8ТП</t>
  </si>
  <si>
    <t>ВК.150.400.2400.8ТП</t>
  </si>
  <si>
    <t>ВК.150.400.2450.8ТП</t>
  </si>
  <si>
    <t>ВК.150.400.2500.8ТП</t>
  </si>
  <si>
    <t>ВК.150.400.2550.8ТП</t>
  </si>
  <si>
    <t>ВК.150.400.2600.8ТП</t>
  </si>
  <si>
    <t>ВК.150.400.2650.8ТП</t>
  </si>
  <si>
    <t>ВК.150.400.2700.8ТП</t>
  </si>
  <si>
    <t>ВК.150.400.2750.8ТП</t>
  </si>
  <si>
    <t>ВК.150.400.2800.8ТП</t>
  </si>
  <si>
    <t>ВК.150.400.2850.8ТП</t>
  </si>
  <si>
    <t>ВК.150.400.2900.8ТП</t>
  </si>
  <si>
    <t>ВК.150.400.2950.8ТП</t>
  </si>
  <si>
    <t>ВК.150.400.3000.8ТП</t>
  </si>
  <si>
    <t>ВК.200.200.600.4ТК</t>
  </si>
  <si>
    <t>ВК.200.200.650.4ТК</t>
  </si>
  <si>
    <t>ВК.200.200.700.4ТК</t>
  </si>
  <si>
    <t>ВК.200.200.750.4ТК</t>
  </si>
  <si>
    <t>ВК.200.200.800.4ТК</t>
  </si>
  <si>
    <t>ВК.200.200.850.4ТК</t>
  </si>
  <si>
    <t>ВК.200.200.900.4ТК</t>
  </si>
  <si>
    <t>ВК.200.200.950.4ТК</t>
  </si>
  <si>
    <t>ВК.200.200.1000.4ТК</t>
  </si>
  <si>
    <t>ВК.200.200.1050.4ТК</t>
  </si>
  <si>
    <t>ВК.200.200.1100.4ТК</t>
  </si>
  <si>
    <t>ВК.200.200.1150.4ТК</t>
  </si>
  <si>
    <t>ВК.200.200.1200.4ТК</t>
  </si>
  <si>
    <t>ВК.200.200.1250.4ТК</t>
  </si>
  <si>
    <t>ВК.200.200.1300.4ТК</t>
  </si>
  <si>
    <t>ВК.200.200.1350.4ТК</t>
  </si>
  <si>
    <t>ВК.200.200.1400.4ТК</t>
  </si>
  <si>
    <t>ВК.200.200.1450.4ТК</t>
  </si>
  <si>
    <t>ВК.200.200.1500.4ТК</t>
  </si>
  <si>
    <t>ВК.200.200.1550.4ТК</t>
  </si>
  <si>
    <t>ВК.200.200.1600.4ТК</t>
  </si>
  <si>
    <t>ВК.200.200.1650.4ТК</t>
  </si>
  <si>
    <t>ВК.200.200.1700.4ТК</t>
  </si>
  <si>
    <t>ВК.200.200.1750.4ТК</t>
  </si>
  <si>
    <t>ВК.200.200.1800.4ТК</t>
  </si>
  <si>
    <t>ВК.200.200.1850.4ТК</t>
  </si>
  <si>
    <t>ВК.200.200.1900.4ТК</t>
  </si>
  <si>
    <t>ВК.200.200.1950.4ТК</t>
  </si>
  <si>
    <t>ВК.200.200.2000.4ТК</t>
  </si>
  <si>
    <t>ВК.200.200.2050.4ТК</t>
  </si>
  <si>
    <t>ВК.200.200.2100.4ТК</t>
  </si>
  <si>
    <t>ВК.200.200.2150.4ТК</t>
  </si>
  <si>
    <t>ВК.200.200.2200.4ТК</t>
  </si>
  <si>
    <t>ВК.200.200.2250.4ТК</t>
  </si>
  <si>
    <t>ВК.200.200.2300.4ТК</t>
  </si>
  <si>
    <t>ВК.200.200.2350.4ТК</t>
  </si>
  <si>
    <t>ВК.200.200.2400.4ТК</t>
  </si>
  <si>
    <t>ВК.200.200.2450.4ТК</t>
  </si>
  <si>
    <t>ВК.200.200.2500.4ТК</t>
  </si>
  <si>
    <t>ВК.200.200.2550.4ТК</t>
  </si>
  <si>
    <t>ВК.200.200.2600.4ТК</t>
  </si>
  <si>
    <t>ВК.200.200.2650.4ТК</t>
  </si>
  <si>
    <t>ВК.200.200.2700.4ТК</t>
  </si>
  <si>
    <t>ВК.200.200.2750.4ТК</t>
  </si>
  <si>
    <t>ВК.200.200.2800.4ТК</t>
  </si>
  <si>
    <t>ВК.200.200.2850.4ТК</t>
  </si>
  <si>
    <t>ВК.200.200.2900.4ТК</t>
  </si>
  <si>
    <t>ВК.200.200.2950.4ТК</t>
  </si>
  <si>
    <t>ВК.200.200.3000.4ТК</t>
  </si>
  <si>
    <t>ВК.200.260.600.4ТК</t>
  </si>
  <si>
    <t>ВК.200.260.650.4ТК</t>
  </si>
  <si>
    <t>ВК.200.260.700.4ТК</t>
  </si>
  <si>
    <t>ВК.200.260.750.4ТК</t>
  </si>
  <si>
    <t>ВК.200.260.800.4ТК</t>
  </si>
  <si>
    <t>ВК.200.260.850.4ТК</t>
  </si>
  <si>
    <t>ВК.200.260.900.4ТК</t>
  </si>
  <si>
    <t>ВК.200.260.950.4ТК</t>
  </si>
  <si>
    <t>ВК.200.260.1000.4ТК</t>
  </si>
  <si>
    <t>ВК.200.260.1050.4ТК</t>
  </si>
  <si>
    <t>ВК.200.260.1100.4ТК</t>
  </si>
  <si>
    <t>ВК.200.260.1150.4ТК</t>
  </si>
  <si>
    <t>ВК.200.260.1200.4ТК</t>
  </si>
  <si>
    <t>ВК.200.260.1250.4ТК</t>
  </si>
  <si>
    <t>ВК.200.260.1300.4ТК</t>
  </si>
  <si>
    <t>ВК.200.260.1350.4ТК</t>
  </si>
  <si>
    <t>ВК.200.260.1400.4ТК</t>
  </si>
  <si>
    <t>ВК.200.260.1450.4ТК</t>
  </si>
  <si>
    <t>ВК.200.260.1500.4ТК</t>
  </si>
  <si>
    <t>ВК.200.260.1550.4ТК</t>
  </si>
  <si>
    <t>ВК.200.260.1600.4ТК</t>
  </si>
  <si>
    <t>ВК.200.260.1650.4ТК</t>
  </si>
  <si>
    <t>ВК.200.260.1700.4ТК</t>
  </si>
  <si>
    <t>ВК.200.260.1750.4ТК</t>
  </si>
  <si>
    <t>ВК.200.260.1800.4ТК</t>
  </si>
  <si>
    <t>ВК.200.260.1850.4ТК</t>
  </si>
  <si>
    <t>ВК.200.260.1900.4ТК</t>
  </si>
  <si>
    <t>ВК.200.260.1950.4ТК</t>
  </si>
  <si>
    <t>ВК.200.260.2000.4ТК</t>
  </si>
  <si>
    <t>ВК.200.260.2050.4ТК</t>
  </si>
  <si>
    <t>ВК.200.260.2100.4ТК</t>
  </si>
  <si>
    <t>ВК.200.260.2150.4ТК</t>
  </si>
  <si>
    <t>ВК.200.260.2200.4ТК</t>
  </si>
  <si>
    <t>ВК.200.260.2250.4ТК</t>
  </si>
  <si>
    <t>ВК.200.260.2300.4ТК</t>
  </si>
  <si>
    <t>ВК.200.260.2350.4ТК</t>
  </si>
  <si>
    <t>ВК.200.260.2400.4ТК</t>
  </si>
  <si>
    <t>ВК.200.260.2450.4ТК</t>
  </si>
  <si>
    <t>ВК.200.260.2500.4ТК</t>
  </si>
  <si>
    <t>ВК.200.260.2550.4ТК</t>
  </si>
  <si>
    <t>ВК.200.260.2600.4ТК</t>
  </si>
  <si>
    <t>ВК.200.260.2650.4ТК</t>
  </si>
  <si>
    <t>ВК.200.260.2700.4ТК</t>
  </si>
  <si>
    <t>ВК.200.260.2750.4ТК</t>
  </si>
  <si>
    <t>ВК.200.260.2800.4ТК</t>
  </si>
  <si>
    <t>ВК.200.260.2850.4ТК</t>
  </si>
  <si>
    <t>ВК.200.260.2900.4ТК</t>
  </si>
  <si>
    <t>ВК.200.260.2950.4ТК</t>
  </si>
  <si>
    <t>ВК.200.260.3000.4ТК</t>
  </si>
  <si>
    <t>ВК.200.300.600.4ТК</t>
  </si>
  <si>
    <t>ВК.200.300.650.4ТК</t>
  </si>
  <si>
    <t>ВК.200.300.700.4ТК</t>
  </si>
  <si>
    <t>ВК.200.300.750.4ТК</t>
  </si>
  <si>
    <t>ВК.200.300.800.4ТК</t>
  </si>
  <si>
    <t>ВК.200.300.850.4ТК</t>
  </si>
  <si>
    <t>ВК.200.300.900.4ТК</t>
  </si>
  <si>
    <t>ВК.200.300.950.4ТК</t>
  </si>
  <si>
    <t>ВК.200.300.1000.4ТК</t>
  </si>
  <si>
    <t>ВК.200.300.1050.4ТК</t>
  </si>
  <si>
    <t>ВК.200.300.1100.4ТК</t>
  </si>
  <si>
    <t>ВК.200.300.1150.4ТК</t>
  </si>
  <si>
    <t>ВК.200.300.1200.4ТК</t>
  </si>
  <si>
    <t>ВК.200.300.1250.4ТК</t>
  </si>
  <si>
    <t>ВК.200.300.1300.4ТК</t>
  </si>
  <si>
    <t>ВК.200.300.1350.4ТК</t>
  </si>
  <si>
    <t>ВК.200.300.1400.4ТК</t>
  </si>
  <si>
    <t>ВК.200.300.1450.4ТК</t>
  </si>
  <si>
    <t>ВК.200.300.1500.4ТК</t>
  </si>
  <si>
    <t>ВК.200.300.1550.4ТК</t>
  </si>
  <si>
    <t>ВК.200.300.1600.4ТК</t>
  </si>
  <si>
    <t>ВК.200.300.1650.4ТК</t>
  </si>
  <si>
    <t>ВК.200.300.1700.4ТК</t>
  </si>
  <si>
    <t>ВК.200.300.1750.4ТК</t>
  </si>
  <si>
    <t>ВК.200.300.1800.4ТК</t>
  </si>
  <si>
    <t>ВК.200.300.1850.4ТК</t>
  </si>
  <si>
    <t>ВК.200.300.1900.4ТК</t>
  </si>
  <si>
    <t>ВК.200.300.1950.4ТК</t>
  </si>
  <si>
    <t>ВК.200.300.2000.4ТК</t>
  </si>
  <si>
    <t>ВК.200.300.2050.4ТК</t>
  </si>
  <si>
    <t>ВК.200.300.2100.4ТК</t>
  </si>
  <si>
    <t>ВК.200.300.2150.4ТК</t>
  </si>
  <si>
    <t>ВК.200.300.2200.4ТК</t>
  </si>
  <si>
    <t>ВК.200.300.2250.4ТК</t>
  </si>
  <si>
    <t>ВК.200.300.2300.4ТК</t>
  </si>
  <si>
    <t>ВК.200.300.2350.4ТК</t>
  </si>
  <si>
    <t>ВК.200.300.2400.4ТК</t>
  </si>
  <si>
    <t>ВК.200.300.2450.4ТК</t>
  </si>
  <si>
    <t>ВК.200.300.2500.4ТК</t>
  </si>
  <si>
    <t>ВК.200.300.2550.4ТК</t>
  </si>
  <si>
    <t>ВК.200.300.2600.4ТК</t>
  </si>
  <si>
    <t>ВК.200.300.2650.4ТК</t>
  </si>
  <si>
    <t>ВК.200.300.2700.4ТК</t>
  </si>
  <si>
    <t>ВК.200.300.2750.4ТК</t>
  </si>
  <si>
    <t>ВК.200.300.2800.4ТК</t>
  </si>
  <si>
    <t>ВК.200.300.2850.4ТК</t>
  </si>
  <si>
    <t>ВК.200.300.2900.4ТК</t>
  </si>
  <si>
    <t>ВК.200.300.2950.4ТК</t>
  </si>
  <si>
    <t>ВК.200.300.3000.4ТК</t>
  </si>
  <si>
    <t>ВК.200.360.600.8ТП</t>
  </si>
  <si>
    <t>ВК.200.360.650.8ТП</t>
  </si>
  <si>
    <t>ВК.200.360.700.8ТП</t>
  </si>
  <si>
    <t>ВК.200.360.750.8ТП</t>
  </si>
  <si>
    <t>ВК.200.360.800.8ТП</t>
  </si>
  <si>
    <t>ВК.200.360.850.8ТП</t>
  </si>
  <si>
    <t>ВК.200.360.900.8ТП</t>
  </si>
  <si>
    <t>ВК.200.360.950.8ТП</t>
  </si>
  <si>
    <t>ВК.200.360.1000.8ТП</t>
  </si>
  <si>
    <t>ВК.200.360.1050.8ТП</t>
  </si>
  <si>
    <t>ВК.200.360.1100.8ТП</t>
  </si>
  <si>
    <t>ВК.200.360.1150.8ТП</t>
  </si>
  <si>
    <t>ВК.200.360.1200.8ТП</t>
  </si>
  <si>
    <t>ВК.200.360.1250.8ТП</t>
  </si>
  <si>
    <t>ВК.200.360.1300.8ТП</t>
  </si>
  <si>
    <t>ВК.200.360.1350.8ТП</t>
  </si>
  <si>
    <t>ВК.200.360.1400.8ТП</t>
  </si>
  <si>
    <t>ВК.200.360.1450.8ТП</t>
  </si>
  <si>
    <t>ВК.200.360.1500.8ТП</t>
  </si>
  <si>
    <t>ВК.200.360.1550.8ТП</t>
  </si>
  <si>
    <t>ВК.200.360.1600.8ТП</t>
  </si>
  <si>
    <t>ВК.200.360.1650.8ТП</t>
  </si>
  <si>
    <t>ВК.200.360.1700.8ТП</t>
  </si>
  <si>
    <t>ВК.200.360.1750.8ТП</t>
  </si>
  <si>
    <t>ВК.200.360.1800.8ТП</t>
  </si>
  <si>
    <t>ВК.200.360.1850.8ТП</t>
  </si>
  <si>
    <t>ВК.200.360.1900.8ТП</t>
  </si>
  <si>
    <t>ВК.200.360.1950.8ТП</t>
  </si>
  <si>
    <t>ВК.200.360.2000.8ТП</t>
  </si>
  <si>
    <t>ВК.200.360.2050.8ТП</t>
  </si>
  <si>
    <t>ВК.200.360.2100.8ТП</t>
  </si>
  <si>
    <t>ВК.200.360.2150.8ТП</t>
  </si>
  <si>
    <t>ВК.200.360.2200.8ТП</t>
  </si>
  <si>
    <t>ВК.200.360.2250.8ТП</t>
  </si>
  <si>
    <t>ВК.200.360.2300.8ТП</t>
  </si>
  <si>
    <t>ВК.200.360.2350.8ТП</t>
  </si>
  <si>
    <t>ВК.200.360.2400.8ТП</t>
  </si>
  <si>
    <t>ВК.200.360.2450.8ТП</t>
  </si>
  <si>
    <t>ВК.200.360.2500.8ТП</t>
  </si>
  <si>
    <t>ВК.200.360.2550.8ТП</t>
  </si>
  <si>
    <t>ВК.200.360.2600.8ТП</t>
  </si>
  <si>
    <t>ВК.200.360.2650.8ТП</t>
  </si>
  <si>
    <t>ВК.200.360.2700.8ТП</t>
  </si>
  <si>
    <t>ВК.200.360.2750.8ТП</t>
  </si>
  <si>
    <t>ВК.200.360.2800.8ТП</t>
  </si>
  <si>
    <t>ВК.200.360.2850.8ТП</t>
  </si>
  <si>
    <t>ВК.200.360.2900.8ТП</t>
  </si>
  <si>
    <t>ВК.200.360.2950.8ТП</t>
  </si>
  <si>
    <t>ВК.200.360.3000.8ТП</t>
  </si>
  <si>
    <t>ВК.300.260.600.4ТК</t>
  </si>
  <si>
    <t>ВК.300.260.650.4ТК</t>
  </si>
  <si>
    <t>ВК.300.260.700.4ТК</t>
  </si>
  <si>
    <t>ВК.300.260.750.4ТК</t>
  </si>
  <si>
    <t>ВК.300.260.800.4ТК</t>
  </si>
  <si>
    <t>ВК.300.260.850.4ТК</t>
  </si>
  <si>
    <t>ВК.300.260.900.4ТК</t>
  </si>
  <si>
    <t>ВК.300.260.950.4ТК</t>
  </si>
  <si>
    <t>ВК.300.260.1000.4ТК</t>
  </si>
  <si>
    <t>ВК.300.260.1050.4ТК</t>
  </si>
  <si>
    <t>ВК.300.260.1100.4ТК</t>
  </si>
  <si>
    <t>ВК.300.260.1150.4ТК</t>
  </si>
  <si>
    <t>ВК.300.260.1200.4ТК</t>
  </si>
  <si>
    <t>ВК.300.260.1250.4ТК</t>
  </si>
  <si>
    <t>ВК.300.260.1300.4ТК</t>
  </si>
  <si>
    <t>ВК.300.260.1350.4ТК</t>
  </si>
  <si>
    <t>ВК.300.260.1400.4ТК</t>
  </si>
  <si>
    <t>ВК.300.260.1450.4ТК</t>
  </si>
  <si>
    <t>ВК.300.260.1500.4ТК</t>
  </si>
  <si>
    <t>ВК.300.260.1550.4ТК</t>
  </si>
  <si>
    <t>ВК.300.260.1600.4ТК</t>
  </si>
  <si>
    <t>ВК.300.260.1650.4ТК</t>
  </si>
  <si>
    <t>ВК.300.260.1700.4ТК</t>
  </si>
  <si>
    <t>ВК.300.260.1750.4ТК</t>
  </si>
  <si>
    <t>ВК.300.260.1800.4ТК</t>
  </si>
  <si>
    <t>ВК.300.260.1850.4ТК</t>
  </si>
  <si>
    <t>ВК.300.260.1900.4ТК</t>
  </si>
  <si>
    <t>ВК.300.260.1950.4ТК</t>
  </si>
  <si>
    <t>ВК.300.260.2000.4ТК</t>
  </si>
  <si>
    <t>ВК.300.260.2050.4ТК</t>
  </si>
  <si>
    <t>ВК.300.260.2100.4ТК</t>
  </si>
  <si>
    <t>ВК.300.260.2150.4ТК</t>
  </si>
  <si>
    <t>ВК.300.260.2200.4ТК</t>
  </si>
  <si>
    <t>ВК.300.260.2250.4ТК</t>
  </si>
  <si>
    <t>ВК.300.260.2300.4ТК</t>
  </si>
  <si>
    <t>ВК.300.260.2350.4ТК</t>
  </si>
  <si>
    <t>ВК.300.260.2400.4ТК</t>
  </si>
  <si>
    <t>ВК.300.260.2450.4ТК</t>
  </si>
  <si>
    <t>ВК.300.260.2500.4ТК</t>
  </si>
  <si>
    <t>ВК.300.260.2550.4ТК</t>
  </si>
  <si>
    <t>ВК.300.260.2600.4ТК</t>
  </si>
  <si>
    <t>ВК.300.260.2650.4ТК</t>
  </si>
  <si>
    <t>ВК.300.260.2700.4ТК</t>
  </si>
  <si>
    <t>ВК.300.260.2750.4ТК</t>
  </si>
  <si>
    <t>ВК.300.260.2800.4ТК</t>
  </si>
  <si>
    <t>ВК.300.260.2850.4ТК</t>
  </si>
  <si>
    <t>ВК.300.260.2900.4ТК</t>
  </si>
  <si>
    <t>ВК.300.260.2950.4ТК</t>
  </si>
  <si>
    <t>ВК.300.260.3000.4ТК</t>
  </si>
  <si>
    <t>ВК.300.300.600.4ТК</t>
  </si>
  <si>
    <t>ВК.300.300.650.4ТК</t>
  </si>
  <si>
    <t>ВК.300.300.700.4ТК</t>
  </si>
  <si>
    <t>ВК.300.300.750.4ТК</t>
  </si>
  <si>
    <t>ВК.300.300.800.4ТК</t>
  </si>
  <si>
    <t>ВК.300.300.850.4ТК</t>
  </si>
  <si>
    <t>ВК.300.300.900.4ТК</t>
  </si>
  <si>
    <t>ВК.300.300.950.4ТК</t>
  </si>
  <si>
    <t>ВК.300.300.1000.4ТК</t>
  </si>
  <si>
    <t>ВК.300.300.1050.4ТК</t>
  </si>
  <si>
    <t>ВК.300.300.1100.4ТК</t>
  </si>
  <si>
    <t>ВК.300.300.1150.4ТК</t>
  </si>
  <si>
    <t>ВК.300.300.1200.4ТК</t>
  </si>
  <si>
    <t>ВК.300.300.1250.4ТК</t>
  </si>
  <si>
    <t>ВК.300.300.1300.4ТК</t>
  </si>
  <si>
    <t>ВК.300.300.1350.4ТК</t>
  </si>
  <si>
    <t>ВК.300.300.1400.4ТК</t>
  </si>
  <si>
    <t>ВК.300.300.1450.4ТК</t>
  </si>
  <si>
    <t>ВК.300.300.1500.4ТК</t>
  </si>
  <si>
    <t>ВК.300.300.1550.4ТК</t>
  </si>
  <si>
    <t>ВК.300.300.1600.4ТК</t>
  </si>
  <si>
    <t>ВК.300.300.1650.4ТК</t>
  </si>
  <si>
    <t>ВК.300.300.1700.4ТК</t>
  </si>
  <si>
    <t>ВК.300.300.1750.4ТК</t>
  </si>
  <si>
    <t>ВК.300.300.1800.4ТК</t>
  </si>
  <si>
    <t>ВК.300.300.1850.4ТК</t>
  </si>
  <si>
    <t>ВК.300.300.1900.4ТК</t>
  </si>
  <si>
    <t>ВК.300.300.1950.4ТК</t>
  </si>
  <si>
    <t>ВК.300.300.2000.4ТК</t>
  </si>
  <si>
    <t>ВК.300.300.2050.4ТК</t>
  </si>
  <si>
    <t>ВК.300.300.2100.4ТК</t>
  </si>
  <si>
    <t>ВК.300.300.2150.4ТК</t>
  </si>
  <si>
    <t>ВК.300.300.2200.4ТК</t>
  </si>
  <si>
    <t>ВК.300.300.2250.4ТК</t>
  </si>
  <si>
    <t>ВК.300.300.2300.4ТК</t>
  </si>
  <si>
    <t>ВК.300.300.2350.4ТК</t>
  </si>
  <si>
    <t>ВК.300.300.2400.4ТК</t>
  </si>
  <si>
    <t>ВК.300.300.2450.4ТК</t>
  </si>
  <si>
    <t>ВК.300.300.2500.4ТК</t>
  </si>
  <si>
    <t>ВК.300.300.2550.4ТК</t>
  </si>
  <si>
    <t>ВК.300.300.2600.4ТК</t>
  </si>
  <si>
    <t>ВК.300.300.2650.4ТК</t>
  </si>
  <si>
    <t>ВК.300.300.2700.4ТК</t>
  </si>
  <si>
    <t>ВК.300.300.2750.4ТК</t>
  </si>
  <si>
    <t>ВК.300.300.2800.4ТК</t>
  </si>
  <si>
    <t>ВК.300.300.2850.4ТК</t>
  </si>
  <si>
    <t>ВК.300.300.2900.4ТК</t>
  </si>
  <si>
    <t>ВК.300.300.2950.4ТК</t>
  </si>
  <si>
    <t>ВК.300.300.3000.4ТК</t>
  </si>
  <si>
    <t>ВК.300.360.600.8ТП</t>
  </si>
  <si>
    <t>ВК.300.360.650.8ТП</t>
  </si>
  <si>
    <t>ВК.300.360.700.8ТП</t>
  </si>
  <si>
    <t>ВК.300.360.750.8ТП</t>
  </si>
  <si>
    <t>ВК.300.360.800.8ТП</t>
  </si>
  <si>
    <t>ВК.300.360.850.8ТП</t>
  </si>
  <si>
    <t>ВК.300.360.900.8ТП</t>
  </si>
  <si>
    <t>ВК.300.360.950.8ТП</t>
  </si>
  <si>
    <t>ВК.300.360.1000.8ТП</t>
  </si>
  <si>
    <t>ВК.300.360.1050.8ТП</t>
  </si>
  <si>
    <t>ВК.300.360.1100.8ТП</t>
  </si>
  <si>
    <t>ВК.300.360.1150.8ТП</t>
  </si>
  <si>
    <t>ВК.300.360.1200.8ТП</t>
  </si>
  <si>
    <t>ВК.300.360.1250.8ТП</t>
  </si>
  <si>
    <t>ВК.300.360.1300.8ТП</t>
  </si>
  <si>
    <t>ВК.300.360.1350.8ТП</t>
  </si>
  <si>
    <t>ВК.300.360.1400.8ТП</t>
  </si>
  <si>
    <t>ВК.300.360.1450.8ТП</t>
  </si>
  <si>
    <t>ВК.300.360.1500.8ТП</t>
  </si>
  <si>
    <t>ВК.300.360.1550.8ТП</t>
  </si>
  <si>
    <t>ВК.300.360.1600.8ТП</t>
  </si>
  <si>
    <t>ВК.300.360.1650.8ТП</t>
  </si>
  <si>
    <t>ВК.300.360.1700.8ТП</t>
  </si>
  <si>
    <t>ВК.300.360.1750.8ТП</t>
  </si>
  <si>
    <t>ВК.300.360.1800.8ТП</t>
  </si>
  <si>
    <t>ВК.300.360.1850.8ТП</t>
  </si>
  <si>
    <t>ВК.300.360.1900.8ТП</t>
  </si>
  <si>
    <t>ВК.300.360.1950.8ТП</t>
  </si>
  <si>
    <t>ВК.300.360.2000.8ТП</t>
  </si>
  <si>
    <t>ВК.300.360.2050.8ТП</t>
  </si>
  <si>
    <t>ВК.300.360.2100.8ТП</t>
  </si>
  <si>
    <t>ВК.300.360.2150.8ТП</t>
  </si>
  <si>
    <t>ВК.300.360.2200.8ТП</t>
  </si>
  <si>
    <t>ВК.300.360.2250.8ТП</t>
  </si>
  <si>
    <t>ВК.300.360.2300.8ТП</t>
  </si>
  <si>
    <t>ВК.300.360.2350.8ТП</t>
  </si>
  <si>
    <t>ВК.300.360.2400.8ТП</t>
  </si>
  <si>
    <t>ВК.300.360.2450.8ТП</t>
  </si>
  <si>
    <t>ВК.300.360.2500.8ТП</t>
  </si>
  <si>
    <t>ВК.300.360.2550.8ТП</t>
  </si>
  <si>
    <t>ВК.300.360.2600.8ТП</t>
  </si>
  <si>
    <t>ВК.300.360.2650.8ТП</t>
  </si>
  <si>
    <t>ВК.300.360.2700.8ТП</t>
  </si>
  <si>
    <t>ВК.300.360.2750.8ТП</t>
  </si>
  <si>
    <t>ВК.300.360.2800.8ТП</t>
  </si>
  <si>
    <t>ВК.300.360.2850.8ТП</t>
  </si>
  <si>
    <t>ВК.300.360.2900.8ТП</t>
  </si>
  <si>
    <t>ВК.300.360.2950.8ТП</t>
  </si>
  <si>
    <t>ВК.300.360.3000.8ТП</t>
  </si>
  <si>
    <t>ВК.400.260.600.4ТК</t>
  </si>
  <si>
    <t>ВК.400.260.650.4ТК</t>
  </si>
  <si>
    <t>ВК.400.260.700.4ТК</t>
  </si>
  <si>
    <t>ВК.400.260.750.4ТК</t>
  </si>
  <si>
    <t>ВК.400.260.800.4ТК</t>
  </si>
  <si>
    <t>ВК.400.260.850.4ТК</t>
  </si>
  <si>
    <t>ВК.400.260.900.4ТК</t>
  </si>
  <si>
    <t>ВК.400.260.950.4ТК</t>
  </si>
  <si>
    <t>ВК.400.260.1000.4ТК</t>
  </si>
  <si>
    <t>ВК.400.260.1050.4ТК</t>
  </si>
  <si>
    <t>ВК.400.260.1100.4ТК</t>
  </si>
  <si>
    <t>ВК.400.260.1150.4ТК</t>
  </si>
  <si>
    <t>ВК.400.260.1200.4ТК</t>
  </si>
  <si>
    <t>ВК.400.260.1250.4ТК</t>
  </si>
  <si>
    <t>ВК.400.260.1300.4ТК</t>
  </si>
  <si>
    <t>ВК.400.260.1350.4ТК</t>
  </si>
  <si>
    <t>ВК.400.260.1400.4ТК</t>
  </si>
  <si>
    <t>ВК.400.260.1450.4ТК</t>
  </si>
  <si>
    <t>ВК.400.260.1500.4ТК</t>
  </si>
  <si>
    <t>ВК.400.260.1550.4ТК</t>
  </si>
  <si>
    <t>ВК.400.260.1600.4ТК</t>
  </si>
  <si>
    <t>ВК.400.260.1650.4ТК</t>
  </si>
  <si>
    <t>ВК.400.260.1700.4ТК</t>
  </si>
  <si>
    <t>ВК.400.260.1750.4ТК</t>
  </si>
  <si>
    <t>ВК.400.260.1800.4ТК</t>
  </si>
  <si>
    <t>ВК.400.260.1850.4ТК</t>
  </si>
  <si>
    <t>ВК.400.260.1900.4ТК</t>
  </si>
  <si>
    <t>ВК.400.260.1950.4ТК</t>
  </si>
  <si>
    <t>ВК.400.260.2000.4ТК</t>
  </si>
  <si>
    <t>ВК.400.260.2050.4ТК</t>
  </si>
  <si>
    <t>ВК.400.260.2100.4ТК</t>
  </si>
  <si>
    <t>ВК.400.260.2150.4ТК</t>
  </si>
  <si>
    <t>ВК.400.260.2200.4ТК</t>
  </si>
  <si>
    <t>ВК.400.260.2250.4ТК</t>
  </si>
  <si>
    <t>ВК.400.260.2300.4ТК</t>
  </si>
  <si>
    <t>ВК.400.260.2350.4ТК</t>
  </si>
  <si>
    <t>ВК.400.260.2400.4ТК</t>
  </si>
  <si>
    <t>ВК.400.260.2450.4ТК</t>
  </si>
  <si>
    <t>ВК.400.260.2500.4ТК</t>
  </si>
  <si>
    <t>ВК.400.260.2550.4ТК</t>
  </si>
  <si>
    <t>ВК.400.260.2600.4ТК</t>
  </si>
  <si>
    <t>ВК.400.260.2650.4ТК</t>
  </si>
  <si>
    <t>ВК.400.260.2700.4ТК</t>
  </si>
  <si>
    <t>ВК.400.260.2750.4ТК</t>
  </si>
  <si>
    <t>ВК.400.260.2800.4ТК</t>
  </si>
  <si>
    <t>ВК.400.260.2850.4ТК</t>
  </si>
  <si>
    <t>ВК.400.260.2900.4ТК</t>
  </si>
  <si>
    <t>ВК.400.260.2950.4ТК</t>
  </si>
  <si>
    <t>ВК.400.260.3000.4ТК</t>
  </si>
  <si>
    <t>ВК.400.300.600.4ТК</t>
  </si>
  <si>
    <t>ВК.400.300.650.4ТК</t>
  </si>
  <si>
    <t>ВК.400.300.700.4ТК</t>
  </si>
  <si>
    <t>ВК.400.300.750.4ТК</t>
  </si>
  <si>
    <t>ВК.400.300.800.4ТК</t>
  </si>
  <si>
    <t>ВК.400.300.850.4ТК</t>
  </si>
  <si>
    <t>ВК.400.300.900.4ТК</t>
  </si>
  <si>
    <t>ВК.400.300.950.4ТК</t>
  </si>
  <si>
    <t>ВК.400.300.1000.4ТК</t>
  </si>
  <si>
    <t>ВК.400.300.1050.4ТК</t>
  </si>
  <si>
    <t>ВК.400.300.1100.4ТК</t>
  </si>
  <si>
    <t>ВК.400.300.1150.4ТК</t>
  </si>
  <si>
    <t>ВК.400.300.1200.4ТК</t>
  </si>
  <si>
    <t>ВК.400.300.1250.4ТК</t>
  </si>
  <si>
    <t>ВК.400.300.1300.4ТК</t>
  </si>
  <si>
    <t>ВК.400.300.1350.4ТК</t>
  </si>
  <si>
    <t>ВК.400.300.1400.4ТК</t>
  </si>
  <si>
    <t>ВК.400.300.1450.4ТК</t>
  </si>
  <si>
    <t>ВК.400.300.1500.4ТК</t>
  </si>
  <si>
    <t>ВК.400.300.1550.4ТК</t>
  </si>
  <si>
    <t>ВК.400.300.1600.4ТК</t>
  </si>
  <si>
    <t>ВК.400.300.1650.4ТК</t>
  </si>
  <si>
    <t>ВК.400.300.1700.4ТК</t>
  </si>
  <si>
    <t>ВК.400.300.1750.4ТК</t>
  </si>
  <si>
    <t>ВК.400.300.1800.4ТК</t>
  </si>
  <si>
    <t>ВК.400.300.1850.4ТК</t>
  </si>
  <si>
    <t>ВК.400.300.1900.4ТК</t>
  </si>
  <si>
    <t>ВК.400.300.1950.4ТК</t>
  </si>
  <si>
    <t>ВК.400.300.2000.4ТК</t>
  </si>
  <si>
    <t>ВК.400.300.2050.4ТК</t>
  </si>
  <si>
    <t>ВК.400.300.2100.4ТК</t>
  </si>
  <si>
    <t>ВК.400.300.2150.4ТК</t>
  </si>
  <si>
    <t>ВК.400.300.2200.4ТК</t>
  </si>
  <si>
    <t>ВК.400.300.2250.4ТК</t>
  </si>
  <si>
    <t>ВК.400.300.2300.4ТК</t>
  </si>
  <si>
    <t>ВК.400.300.2350.4ТК</t>
  </si>
  <si>
    <t>ВК.400.300.2400.4ТК</t>
  </si>
  <si>
    <t>ВК.400.300.2450.4ТК</t>
  </si>
  <si>
    <t>ВК.400.300.2500.4ТК</t>
  </si>
  <si>
    <t>ВК.400.300.2550.4ТК</t>
  </si>
  <si>
    <t>ВК.400.300.2600.4ТК</t>
  </si>
  <si>
    <t>ВК.400.300.2650.4ТК</t>
  </si>
  <si>
    <t>ВК.400.300.2700.4ТК</t>
  </si>
  <si>
    <t>ВК.400.300.2750.4ТК</t>
  </si>
  <si>
    <t>ВК.400.300.2800.4ТК</t>
  </si>
  <si>
    <t>ВК.400.300.2850.4ТК</t>
  </si>
  <si>
    <t>ВК.400.300.2900.4ТК</t>
  </si>
  <si>
    <t>ВК.400.300.2950.4ТК</t>
  </si>
  <si>
    <t>ВК.400.300.3000.4ТК</t>
  </si>
  <si>
    <t>ВК.400.360.600.8ТП</t>
  </si>
  <si>
    <t>ВК.400.360.650.8ТП</t>
  </si>
  <si>
    <t>ВК.400.360.700.8ТП</t>
  </si>
  <si>
    <t>ВК.400.360.750.8ТП</t>
  </si>
  <si>
    <t>ВК.400.360.800.8ТП</t>
  </si>
  <si>
    <t>ВК.400.360.850.8ТП</t>
  </si>
  <si>
    <t>ВК.400.360.900.8ТП</t>
  </si>
  <si>
    <t>ВК.400.360.950.8ТП</t>
  </si>
  <si>
    <t>ВК.400.360.1000.8ТП</t>
  </si>
  <si>
    <t>ВК.400.360.1050.8ТП</t>
  </si>
  <si>
    <t>ВК.400.360.1100.8ТП</t>
  </si>
  <si>
    <t>ВК.400.360.1150.8ТП</t>
  </si>
  <si>
    <t>ВК.400.360.1200.8ТП</t>
  </si>
  <si>
    <t>ВК.400.360.1250.8ТП</t>
  </si>
  <si>
    <t>ВК.400.360.1300.8ТП</t>
  </si>
  <si>
    <t>ВК.400.360.1350.8ТП</t>
  </si>
  <si>
    <t>ВК.400.360.1400.8ТП</t>
  </si>
  <si>
    <t>ВК.400.360.1450.8ТП</t>
  </si>
  <si>
    <t>ВК.400.360.1500.8ТП</t>
  </si>
  <si>
    <t>ВК.400.360.1550.8ТП</t>
  </si>
  <si>
    <t>ВК.400.360.1600.8ТП</t>
  </si>
  <si>
    <t>ВК.400.360.1650.8ТП</t>
  </si>
  <si>
    <t>ВК.400.360.1700.8ТП</t>
  </si>
  <si>
    <t>ВК.400.360.1750.8ТП</t>
  </si>
  <si>
    <t>ВК.400.360.1800.8ТП</t>
  </si>
  <si>
    <t>ВК.400.360.1850.8ТП</t>
  </si>
  <si>
    <t>ВК.400.360.1900.8ТП</t>
  </si>
  <si>
    <t>ВК.400.360.1950.8ТП</t>
  </si>
  <si>
    <t>ВК.400.360.2000.8ТП</t>
  </si>
  <si>
    <t>ВК.400.360.2050.8ТП</t>
  </si>
  <si>
    <t>ВК.400.360.2100.8ТП</t>
  </si>
  <si>
    <t>ВК.400.360.2150.8ТП</t>
  </si>
  <si>
    <t>ВК.400.360.2200.8ТП</t>
  </si>
  <si>
    <t>ВК.400.360.2250.8ТП</t>
  </si>
  <si>
    <t>ВК.400.360.2300.8ТП</t>
  </si>
  <si>
    <t>ВК.400.360.2350.8ТП</t>
  </si>
  <si>
    <t>ВК.400.360.2400.8ТП</t>
  </si>
  <si>
    <t>ВК.400.360.2450.8ТП</t>
  </si>
  <si>
    <t>ВК.400.360.2500.8ТП</t>
  </si>
  <si>
    <t>ВК.400.360.2550.8ТП</t>
  </si>
  <si>
    <t>ВК.400.360.2600.8ТП</t>
  </si>
  <si>
    <t>ВК.400.360.2650.8ТП</t>
  </si>
  <si>
    <t>ВК.400.360.2700.8ТП</t>
  </si>
  <si>
    <t>ВК.400.360.2750.8ТП</t>
  </si>
  <si>
    <t>ВК.400.360.2800.8ТП</t>
  </si>
  <si>
    <t>ВК.400.360.2850.8ТП</t>
  </si>
  <si>
    <t>ВК.400.360.2900.8ТП</t>
  </si>
  <si>
    <t>ВК.400.360.2950.8ТП</t>
  </si>
  <si>
    <t>ВК.400.360.3000.8ТП</t>
  </si>
  <si>
    <t>ВК.500.260.600.4ТК</t>
  </si>
  <si>
    <t>ВК.500.260.650.4ТК</t>
  </si>
  <si>
    <t>ВК.500.260.700.4ТК</t>
  </si>
  <si>
    <t>ВК.500.260.750.4ТК</t>
  </si>
  <si>
    <t>ВК.500.260.800.4ТК</t>
  </si>
  <si>
    <t>ВК.500.260.850.4ТК</t>
  </si>
  <si>
    <t>ВК.500.260.900.4ТК</t>
  </si>
  <si>
    <t>ВК.500.260.950.4ТК</t>
  </si>
  <si>
    <t>ВК.500.260.1000.4ТК</t>
  </si>
  <si>
    <t>ВК.500.260.1050.4ТК</t>
  </si>
  <si>
    <t>ВК.500.260.1100.4ТК</t>
  </si>
  <si>
    <t>ВК.500.260.1150.4ТК</t>
  </si>
  <si>
    <t>ВК.500.260.1200.4ТК</t>
  </si>
  <si>
    <t>ВК.500.260.1250.4ТК</t>
  </si>
  <si>
    <t>ВК.500.260.1300.4ТК</t>
  </si>
  <si>
    <t>ВК.500.260.1350.4ТК</t>
  </si>
  <si>
    <t>ВК.500.260.1400.4ТК</t>
  </si>
  <si>
    <t>ВК.500.260.1450.4ТК</t>
  </si>
  <si>
    <t>ВК.500.260.1500.4ТК</t>
  </si>
  <si>
    <t>ВК.500.260.1550.4ТК</t>
  </si>
  <si>
    <t>ВК.500.260.1600.4ТК</t>
  </si>
  <si>
    <t>ВК.500.260.1650.4ТК</t>
  </si>
  <si>
    <t>ВК.500.260.1700.4ТК</t>
  </si>
  <si>
    <t>ВК.500.260.1750.4ТК</t>
  </si>
  <si>
    <t>ВК.500.260.1800.4ТК</t>
  </si>
  <si>
    <t>ВК.500.260.1850.4ТК</t>
  </si>
  <si>
    <t>ВК.500.260.1900.4ТК</t>
  </si>
  <si>
    <t>ВК.500.260.1950.4ТК</t>
  </si>
  <si>
    <t>ВК.500.260.2000.4ТК</t>
  </si>
  <si>
    <t>ВК.500.260.2050.4ТК</t>
  </si>
  <si>
    <t>ВК.500.260.2100.4ТК</t>
  </si>
  <si>
    <t>ВК.500.260.2150.4ТК</t>
  </si>
  <si>
    <t>ВК.500.260.2200.4ТК</t>
  </si>
  <si>
    <t>ВК.500.260.2250.4ТК</t>
  </si>
  <si>
    <t>ВК.500.260.2300.4ТК</t>
  </si>
  <si>
    <t>ВК.500.260.2350.4ТК</t>
  </si>
  <si>
    <t>ВК.500.260.2400.4ТК</t>
  </si>
  <si>
    <t>ВК.500.260.2450.4ТК</t>
  </si>
  <si>
    <t>ВК.500.260.2500.4ТК</t>
  </si>
  <si>
    <t>ВК.500.260.2550.4ТК</t>
  </si>
  <si>
    <t>ВК.500.260.2600.4ТК</t>
  </si>
  <si>
    <t>ВК.500.260.2650.4ТК</t>
  </si>
  <si>
    <t>ВК.500.260.2700.4ТК</t>
  </si>
  <si>
    <t>ВК.500.260.2750.4ТК</t>
  </si>
  <si>
    <t>ВК.500.260.2800.4ТК</t>
  </si>
  <si>
    <t>ВК.500.260.2850.4ТК</t>
  </si>
  <si>
    <t>ВК.500.260.2900.4ТК</t>
  </si>
  <si>
    <t>ВК.500.260.2950.4ТК</t>
  </si>
  <si>
    <t>ВК.500.260.3000.4ТК</t>
  </si>
  <si>
    <t>ВК.500.300.600.4ТК</t>
  </si>
  <si>
    <t>ВК.500.300.650.4ТК</t>
  </si>
  <si>
    <t>ВК.500.300.700.4ТК</t>
  </si>
  <si>
    <t>ВК.500.300.750.4ТК</t>
  </si>
  <si>
    <t>ВК.500.300.800.4ТК</t>
  </si>
  <si>
    <t>ВК.500.300.850.4ТК</t>
  </si>
  <si>
    <t>ВК.500.300.900.4ТК</t>
  </si>
  <si>
    <t>ВК.500.300.950.4ТК</t>
  </si>
  <si>
    <t>ВК.500.300.1000.4ТК</t>
  </si>
  <si>
    <t>ВК.500.300.1050.4ТК</t>
  </si>
  <si>
    <t>ВК.500.300.1100.4ТК</t>
  </si>
  <si>
    <t>ВК.500.300.1150.4ТК</t>
  </si>
  <si>
    <t>ВК.500.300.1200.4ТК</t>
  </si>
  <si>
    <t>ВК.500.300.1250.4ТК</t>
  </si>
  <si>
    <t>ВК.500.300.1300.4ТК</t>
  </si>
  <si>
    <t>ВК.500.300.1350.4ТК</t>
  </si>
  <si>
    <t>ВК.500.300.1400.4ТК</t>
  </si>
  <si>
    <t>ВК.500.300.1450.4ТК</t>
  </si>
  <si>
    <t>ВК.500.300.1500.4ТК</t>
  </si>
  <si>
    <t>ВК.500.300.1550.4ТК</t>
  </si>
  <si>
    <t>ВК.500.300.1600.4ТК</t>
  </si>
  <si>
    <t>ВК.500.300.1650.4ТК</t>
  </si>
  <si>
    <t>ВК.500.300.1700.4ТК</t>
  </si>
  <si>
    <t>ВК.500.300.1750.4ТК</t>
  </si>
  <si>
    <t>ВК.500.300.1800.4ТК</t>
  </si>
  <si>
    <t>ВК.500.300.1850.4ТК</t>
  </si>
  <si>
    <t>ВК.500.300.1900.4ТК</t>
  </si>
  <si>
    <t>ВК.500.300.1950.4ТК</t>
  </si>
  <si>
    <t>ВК.500.300.2000.4ТК</t>
  </si>
  <si>
    <t>ВК.500.300.2050.4ТК</t>
  </si>
  <si>
    <t>ВК.500.300.2100.4ТК</t>
  </si>
  <si>
    <t>ВК.500.300.2150.4ТК</t>
  </si>
  <si>
    <t>ВК.500.300.2200.4ТК</t>
  </si>
  <si>
    <t>ВК.500.300.2250.4ТК</t>
  </si>
  <si>
    <t>ВК.500.300.2300.4ТК</t>
  </si>
  <si>
    <t>ВК.500.300.2350.4ТК</t>
  </si>
  <si>
    <t>ВК.500.300.2400.4ТК</t>
  </si>
  <si>
    <t>ВК.500.300.2450.4ТК</t>
  </si>
  <si>
    <t>ВК.500.300.2500.4ТК</t>
  </si>
  <si>
    <t>ВК.500.300.2550.4ТК</t>
  </si>
  <si>
    <t>ВК.500.300.2600.4ТК</t>
  </si>
  <si>
    <t>ВК.500.300.2650.4ТК</t>
  </si>
  <si>
    <t>ВК.500.300.2700.4ТК</t>
  </si>
  <si>
    <t>ВК.500.300.2750.4ТК</t>
  </si>
  <si>
    <t>ВК.500.300.2800.4ТК</t>
  </si>
  <si>
    <t>ВК.500.300.2850.4ТК</t>
  </si>
  <si>
    <t>ВК.500.300.2900.4ТК</t>
  </si>
  <si>
    <t>ВК.500.300.2950.4ТК</t>
  </si>
  <si>
    <t>ВК.500.300.3000.4ТК</t>
  </si>
  <si>
    <t>ВК.500.360.600.8ТП</t>
  </si>
  <si>
    <t>ВК.500.360.650.8ТП</t>
  </si>
  <si>
    <t>ВК.500.360.700.8ТП</t>
  </si>
  <si>
    <t>ВК.500.360.750.8ТП</t>
  </si>
  <si>
    <t>ВК.500.360.800.8ТП</t>
  </si>
  <si>
    <t>ВК.500.360.850.8ТП</t>
  </si>
  <si>
    <t>ВК.500.360.900.8ТП</t>
  </si>
  <si>
    <t>ВК.500.360.950.8ТП</t>
  </si>
  <si>
    <t>ВК.500.360.1000.8ТП</t>
  </si>
  <si>
    <t>ВК.500.360.1050.8ТП</t>
  </si>
  <si>
    <t>ВК.500.360.1100.8ТП</t>
  </si>
  <si>
    <t>ВК.500.360.1150.8ТП</t>
  </si>
  <si>
    <t>ВК.500.360.1200.8ТП</t>
  </si>
  <si>
    <t>ВК.500.360.1250.8ТП</t>
  </si>
  <si>
    <t>ВК.500.360.1300.8ТП</t>
  </si>
  <si>
    <t>ВК.500.360.1350.8ТП</t>
  </si>
  <si>
    <t>ВК.500.360.1400.8ТП</t>
  </si>
  <si>
    <t>ВК.500.360.1450.8ТП</t>
  </si>
  <si>
    <t>ВК.500.360.1500.8ТП</t>
  </si>
  <si>
    <t>ВК.500.360.1550.8ТП</t>
  </si>
  <si>
    <t>ВК.500.360.1600.8ТП</t>
  </si>
  <si>
    <t>ВК.500.360.1650.8ТП</t>
  </si>
  <si>
    <t>ВК.500.360.1700.8ТП</t>
  </si>
  <si>
    <t>ВК.500.360.1750.8ТП</t>
  </si>
  <si>
    <t>ВК.500.360.1800.8ТП</t>
  </si>
  <si>
    <t>ВК.500.360.1850.8ТП</t>
  </si>
  <si>
    <t>ВК.500.360.1900.8ТП</t>
  </si>
  <si>
    <t>ВК.500.360.1950.8ТП</t>
  </si>
  <si>
    <t>ВК.500.360.2000.8ТП</t>
  </si>
  <si>
    <t>ВК.500.360.2050.8ТП</t>
  </si>
  <si>
    <t>ВК.500.360.2100.8ТП</t>
  </si>
  <si>
    <t>ВК.500.360.2150.8ТП</t>
  </si>
  <si>
    <t>ВК.500.360.2200.8ТП</t>
  </si>
  <si>
    <t>ВК.500.360.2250.8ТП</t>
  </si>
  <si>
    <t>ВК.500.360.2300.8ТП</t>
  </si>
  <si>
    <t>ВК.500.360.2350.8ТП</t>
  </si>
  <si>
    <t>ВК.500.360.2400.8ТП</t>
  </si>
  <si>
    <t>ВК.500.360.2450.8ТП</t>
  </si>
  <si>
    <t>ВК.500.360.2500.8ТП</t>
  </si>
  <si>
    <t>ВК.500.360.2550.8ТП</t>
  </si>
  <si>
    <t>ВК.500.360.2600.8ТП</t>
  </si>
  <si>
    <t>ВК.500.360.2650.8ТП</t>
  </si>
  <si>
    <t>ВК.500.360.2700.8ТП</t>
  </si>
  <si>
    <t>ВК.500.360.2750.8ТП</t>
  </si>
  <si>
    <t>ВК.500.360.2800.8ТП</t>
  </si>
  <si>
    <t>ВК.500.360.2850.8ТП</t>
  </si>
  <si>
    <t>ВК.500.360.2900.8ТП</t>
  </si>
  <si>
    <t>ВК.500.360.2950.8ТП</t>
  </si>
  <si>
    <t>ВК.500.360.3000.8ТП</t>
  </si>
  <si>
    <t>ВК.600.260.600.4ТК</t>
  </si>
  <si>
    <t>ВК.600.260.650.4ТК</t>
  </si>
  <si>
    <t>ВК.600.260.700.4ТК</t>
  </si>
  <si>
    <t>ВК.600.260.750.4ТК</t>
  </si>
  <si>
    <t>ВК.600.260.800.4ТК</t>
  </si>
  <si>
    <t>ВК.600.260.850.4ТК</t>
  </si>
  <si>
    <t>ВК.600.260.900.4ТК</t>
  </si>
  <si>
    <t>ВК.600.260.950.4ТК</t>
  </si>
  <si>
    <t>ВК.600.260.1000.4ТК</t>
  </si>
  <si>
    <t>ВК.600.260.1050.4ТК</t>
  </si>
  <si>
    <t>ВК.600.260.1100.4ТК</t>
  </si>
  <si>
    <t>ВК.600.260.1150.4ТК</t>
  </si>
  <si>
    <t>ВК.600.260.1200.4ТК</t>
  </si>
  <si>
    <t>ВК.600.260.1250.4ТК</t>
  </si>
  <si>
    <t>ВК.600.260.1300.4ТК</t>
  </si>
  <si>
    <t>ВК.600.260.1350.4ТК</t>
  </si>
  <si>
    <t>ВК.600.260.1400.4ТК</t>
  </si>
  <si>
    <t>ВК.600.260.1450.4ТК</t>
  </si>
  <si>
    <t>ВК.600.260.1500.4ТК</t>
  </si>
  <si>
    <t>ВК.600.260.1550.4ТК</t>
  </si>
  <si>
    <t>ВК.600.260.1600.4ТК</t>
  </si>
  <si>
    <t>ВК.600.260.1650.4ТК</t>
  </si>
  <si>
    <t>ВК.600.260.1700.4ТК</t>
  </si>
  <si>
    <t>ВК.600.260.1750.4ТК</t>
  </si>
  <si>
    <t>ВК.600.260.1800.4ТК</t>
  </si>
  <si>
    <t>ВК.600.260.1850.4ТК</t>
  </si>
  <si>
    <t>ВК.600.260.1900.4ТК</t>
  </si>
  <si>
    <t>ВК.600.260.1950.4ТК</t>
  </si>
  <si>
    <t>ВК.600.260.2000.4ТК</t>
  </si>
  <si>
    <t>ВК.600.260.2050.4ТК</t>
  </si>
  <si>
    <t>ВК.600.260.2100.4ТК</t>
  </si>
  <si>
    <t>ВК.600.260.2150.4ТК</t>
  </si>
  <si>
    <t>ВК.600.260.2200.4ТК</t>
  </si>
  <si>
    <t>ВК.600.260.2250.4ТК</t>
  </si>
  <si>
    <t>ВК.600.260.2300.4ТК</t>
  </si>
  <si>
    <t>ВК.600.260.2350.4ТК</t>
  </si>
  <si>
    <t>ВК.600.260.2400.4ТК</t>
  </si>
  <si>
    <t>ВК.600.260.2450.4ТК</t>
  </si>
  <si>
    <t>ВК.600.260.2500.4ТК</t>
  </si>
  <si>
    <t>ВК.600.260.2550.4ТК</t>
  </si>
  <si>
    <t>ВК.600.260.2600.4ТК</t>
  </si>
  <si>
    <t>ВК.600.260.2650.4ТК</t>
  </si>
  <si>
    <t>ВК.600.260.2700.4ТК</t>
  </si>
  <si>
    <t>ВК.600.260.2750.4ТК</t>
  </si>
  <si>
    <t>ВК.600.260.2800.4ТК</t>
  </si>
  <si>
    <t>ВК.600.260.2850.4ТК</t>
  </si>
  <si>
    <t>ВК.600.260.2900.4ТК</t>
  </si>
  <si>
    <t>ВК.600.260.2950.4ТК</t>
  </si>
  <si>
    <t>ВК.600.260.3000.4ТК</t>
  </si>
  <si>
    <t>ВК.600.300.600.4ТК</t>
  </si>
  <si>
    <t>ВК.600.300.650.4ТК</t>
  </si>
  <si>
    <t>ВК.600.300.700.4ТК</t>
  </si>
  <si>
    <t>ВК.600.300.750.4ТК</t>
  </si>
  <si>
    <t>ВК.600.300.800.4ТК</t>
  </si>
  <si>
    <t>ВК.600.300.850.4ТК</t>
  </si>
  <si>
    <t>ВК.600.300.900.4ТК</t>
  </si>
  <si>
    <t>ВК.600.300.950.4ТК</t>
  </si>
  <si>
    <t>ВК.600.300.1000.4ТК</t>
  </si>
  <si>
    <t>ВК.600.300.1050.4ТК</t>
  </si>
  <si>
    <t>ВК.600.300.1100.4ТК</t>
  </si>
  <si>
    <t>ВК.600.300.1150.4ТК</t>
  </si>
  <si>
    <t>ВК.600.300.1200.4ТК</t>
  </si>
  <si>
    <t>ВК.600.300.1250.4ТК</t>
  </si>
  <si>
    <t>ВК.600.300.1300.4ТК</t>
  </si>
  <si>
    <t>ВК.600.300.1350.4ТК</t>
  </si>
  <si>
    <t>ВК.600.300.1400.4ТК</t>
  </si>
  <si>
    <t>ВК.600.300.1450.4ТК</t>
  </si>
  <si>
    <t>ВК.600.300.1500.4ТК</t>
  </si>
  <si>
    <t>ВК.600.300.1550.4ТК</t>
  </si>
  <si>
    <t>ВК.600.300.1600.4ТК</t>
  </si>
  <si>
    <t>ВК.600.300.1650.4ТК</t>
  </si>
  <si>
    <t>ВК.600.300.1700.4ТК</t>
  </si>
  <si>
    <t>ВК.600.300.1750.4ТК</t>
  </si>
  <si>
    <t>ВК.600.300.1800.4ТК</t>
  </si>
  <si>
    <t>ВК.600.300.1850.4ТК</t>
  </si>
  <si>
    <t>ВК.600.300.1900.4ТК</t>
  </si>
  <si>
    <t>ВК.600.300.1950.4ТК</t>
  </si>
  <si>
    <t>ВК.600.300.2000.4ТК</t>
  </si>
  <si>
    <t>ВК.600.300.2050.4ТК</t>
  </si>
  <si>
    <t>ВК.600.300.2100.4ТК</t>
  </si>
  <si>
    <t>ВК.600.300.2150.4ТК</t>
  </si>
  <si>
    <t>ВК.600.300.2200.4ТК</t>
  </si>
  <si>
    <t>ВК.600.300.2250.4ТК</t>
  </si>
  <si>
    <t>ВК.600.300.2300.4ТК</t>
  </si>
  <si>
    <t>ВК.600.300.2350.4ТК</t>
  </si>
  <si>
    <t>ВК.600.300.2400.4ТК</t>
  </si>
  <si>
    <t>ВК.600.300.2450.4ТК</t>
  </si>
  <si>
    <t>ВК.600.300.2500.4ТК</t>
  </si>
  <si>
    <t>ВК.600.300.2550.4ТК</t>
  </si>
  <si>
    <t>ВК.600.300.2600.4ТК</t>
  </si>
  <si>
    <t>ВК.600.300.2650.4ТК</t>
  </si>
  <si>
    <t>ВК.600.300.2700.4ТК</t>
  </si>
  <si>
    <t>ВК.600.300.2750.4ТК</t>
  </si>
  <si>
    <t>ВК.600.300.2800.4ТК</t>
  </si>
  <si>
    <t>ВК.600.300.2850.4ТК</t>
  </si>
  <si>
    <t>ВК.600.300.2900.4ТК</t>
  </si>
  <si>
    <t>ВК.600.300.2950.4ТК</t>
  </si>
  <si>
    <t>ВК.600.300.3000.4ТК</t>
  </si>
  <si>
    <t>ВК.600.360.600.8ТП</t>
  </si>
  <si>
    <t>ВК.600.360.650.8ТП</t>
  </si>
  <si>
    <t>ВК.600.360.700.8ТП</t>
  </si>
  <si>
    <t>ВК.600.360.750.8ТП</t>
  </si>
  <si>
    <t>ВК.600.360.800.8ТП</t>
  </si>
  <si>
    <t>ВК.600.360.850.8ТП</t>
  </si>
  <si>
    <t>ВК.600.360.900.8ТП</t>
  </si>
  <si>
    <t>ВК.600.360.950.8ТП</t>
  </si>
  <si>
    <t>ВК.600.360.1000.8ТП</t>
  </si>
  <si>
    <t>ВК.600.360.1050.8ТП</t>
  </si>
  <si>
    <t>ВК.600.360.1100.8ТП</t>
  </si>
  <si>
    <t>ВК.600.360.1150.8ТП</t>
  </si>
  <si>
    <t>ВК.600.360.1200.8ТП</t>
  </si>
  <si>
    <t>ВК.600.360.1250.8ТП</t>
  </si>
  <si>
    <t>ВК.600.360.1300.8ТП</t>
  </si>
  <si>
    <t>ВК.600.360.1350.8ТП</t>
  </si>
  <si>
    <t>ВК.600.360.1400.8ТП</t>
  </si>
  <si>
    <t>ВК.600.360.1450.8ТП</t>
  </si>
  <si>
    <t>ВК.600.360.1500.8ТП</t>
  </si>
  <si>
    <t>ВК.600.360.1550.8ТП</t>
  </si>
  <si>
    <t>ВК.600.360.1600.8ТП</t>
  </si>
  <si>
    <t>ВК.600.360.1650.8ТП</t>
  </si>
  <si>
    <t>ВК.600.360.1700.8ТП</t>
  </si>
  <si>
    <t>ВК.600.360.1750.8ТП</t>
  </si>
  <si>
    <t>ВК.600.360.1800.8ТП</t>
  </si>
  <si>
    <t>ВК.600.360.1850.8ТП</t>
  </si>
  <si>
    <t>ВК.600.360.1900.8ТП</t>
  </si>
  <si>
    <t>ВК.600.360.1950.8ТП</t>
  </si>
  <si>
    <t>ВК.600.360.2000.8ТП</t>
  </si>
  <si>
    <t>ВК.600.360.2050.8ТП</t>
  </si>
  <si>
    <t>ВК.600.360.2100.8ТП</t>
  </si>
  <si>
    <t>ВК.600.360.2150.8ТП</t>
  </si>
  <si>
    <t>ВК.600.360.2200.8ТП</t>
  </si>
  <si>
    <t>ВК.600.360.2250.8ТП</t>
  </si>
  <si>
    <t>ВК.600.360.2300.8ТП</t>
  </si>
  <si>
    <t>ВК.600.360.2350.8ТП</t>
  </si>
  <si>
    <t>ВК.600.360.2400.8ТП</t>
  </si>
  <si>
    <t>ВК.600.360.2450.8ТП</t>
  </si>
  <si>
    <t>ВК.600.360.2500.8ТП</t>
  </si>
  <si>
    <t>ВК.600.360.2550.8ТП</t>
  </si>
  <si>
    <t>ВК.600.360.2600.8ТП</t>
  </si>
  <si>
    <t>ВК.600.360.2650.8ТП</t>
  </si>
  <si>
    <t>ВК.600.360.2700.8ТП</t>
  </si>
  <si>
    <t>ВК.600.360.2750.8ТП</t>
  </si>
  <si>
    <t>ВК.600.360.2800.8ТП</t>
  </si>
  <si>
    <t>ВК.600.360.2850.8ТП</t>
  </si>
  <si>
    <t>ВК.600.360.2900.8ТП</t>
  </si>
  <si>
    <t>ВК.600.360.2950.8ТП</t>
  </si>
  <si>
    <t>ВК.600.360.3000.8ТП</t>
  </si>
  <si>
    <t>Теплообменник 65х130 мм</t>
  </si>
  <si>
    <t>ВК.МАХ</t>
  </si>
  <si>
    <t>Теплообменник 65х260 мм</t>
  </si>
  <si>
    <t>Теплообменник 130х130 мм</t>
  </si>
  <si>
    <t>ВК.МАХ.90.200.600.2ТГ</t>
  </si>
  <si>
    <t>ВК.МАХ.90.200.650.2ТГ</t>
  </si>
  <si>
    <t>ВК.МАХ.90.200.700.2ТГ</t>
  </si>
  <si>
    <t>ВК.МАХ.90.200.750.2ТГ</t>
  </si>
  <si>
    <t>ВК.МАХ.90.200.800.2ТГ</t>
  </si>
  <si>
    <t>ВК.МАХ.90.200.850.2ТГ</t>
  </si>
  <si>
    <t>ВК.МАХ.90.200.900.2ТГ</t>
  </si>
  <si>
    <t>ВК.МАХ.90.200.950.2ТГ</t>
  </si>
  <si>
    <t>ВК.МАХ.90.200.1000.2ТГ</t>
  </si>
  <si>
    <t>ВК.МАХ.90.200.1050.2ТГ</t>
  </si>
  <si>
    <t>ВК.МАХ.90.200.1100.2ТГ</t>
  </si>
  <si>
    <t>ВК.МАХ.90.200.1150.2ТГ</t>
  </si>
  <si>
    <t>ВК.МАХ.90.200.1200.2ТГ</t>
  </si>
  <si>
    <t>ВК.МАХ.90.200.1250.2ТГ</t>
  </si>
  <si>
    <t>ВК.МАХ.90.200.1300.2ТГ</t>
  </si>
  <si>
    <t>ВК.МАХ.90.200.1350.2ТГ</t>
  </si>
  <si>
    <t>ВК.МАХ.90.200.1400.2ТГ</t>
  </si>
  <si>
    <t>ВК.МАХ.90.200.1450.2ТГ</t>
  </si>
  <si>
    <t>ВК.МАХ.90.200.1500.2ТГ</t>
  </si>
  <si>
    <t>ВК.МАХ.90.200.1550.2ТГ</t>
  </si>
  <si>
    <t>ВК.МАХ.90.200.1600.2ТГ</t>
  </si>
  <si>
    <t>ВК.МАХ.90.200.1650.2ТГ</t>
  </si>
  <si>
    <t>ВК.МАХ.90.200.1700.2ТГ</t>
  </si>
  <si>
    <t>ВК.МАХ.90.200.1750.2ТГ</t>
  </si>
  <si>
    <t>ВК.МАХ.90.200.1800.2ТГ</t>
  </si>
  <si>
    <t>ВК.МАХ.90.200.1850.2ТГ</t>
  </si>
  <si>
    <t>ВК.МАХ.90.200.1900.2ТГ</t>
  </si>
  <si>
    <t>ВК.МАХ.90.200.1950.2ТГ</t>
  </si>
  <si>
    <t>ВК.МАХ.90.200.2000.2ТГ</t>
  </si>
  <si>
    <t>ВК.МАХ.90.200.2050.2ТГ</t>
  </si>
  <si>
    <t>ВК.МАХ.90.200.2100.2ТГ</t>
  </si>
  <si>
    <t>ВК.МАХ.90.200.2150.2ТГ</t>
  </si>
  <si>
    <t>ВК.МАХ.90.200.2200.2ТГ</t>
  </si>
  <si>
    <t>ВК.МАХ.90.200.2250.2ТГ</t>
  </si>
  <si>
    <t>ВК.МАХ.90.200.2300.2ТГ</t>
  </si>
  <si>
    <t>ВК.МАХ.90.200.2350.2ТГ</t>
  </si>
  <si>
    <t>ВК.МАХ.90.200.2400.2ТГ</t>
  </si>
  <si>
    <t>ВК.МАХ.90.200.2450.2ТГ</t>
  </si>
  <si>
    <t>ВК.МАХ.90.200.2500.2ТГ</t>
  </si>
  <si>
    <t>ВК.МАХ.90.200.2550.2ТГ</t>
  </si>
  <si>
    <t>ВК.МАХ.90.200.2600.2ТГ</t>
  </si>
  <si>
    <t>ВК.МАХ.90.200.2650.2ТГ</t>
  </si>
  <si>
    <t>ВК.МАХ.90.200.2700.2ТГ</t>
  </si>
  <si>
    <t>ВК.МАХ.90.200.2750.2ТГ</t>
  </si>
  <si>
    <t>ВК.МАХ.90.200.2800.2ТГ</t>
  </si>
  <si>
    <t>ВК.МАХ.90.200.2850.2ТГ</t>
  </si>
  <si>
    <t>ВК.МАХ.90.200.2900.2ТГ</t>
  </si>
  <si>
    <t>ВК.МАХ.90.200.2950.2ТГ</t>
  </si>
  <si>
    <t>ВК.МАХ.90.200.3000.2ТГ</t>
  </si>
  <si>
    <t>ВК.МАХ.90.260.600.2ТГ</t>
  </si>
  <si>
    <t>ВК.МАХ.90.260.650.2ТГ</t>
  </si>
  <si>
    <t>ВК.МАХ.90.260.700.2ТГ</t>
  </si>
  <si>
    <t>ВК.МАХ.90.260.750.2ТГ</t>
  </si>
  <si>
    <t>ВК.МАХ.90.260.800.2ТГ</t>
  </si>
  <si>
    <t>ВК.МАХ.90.260.850.2ТГ</t>
  </si>
  <si>
    <t>ВК.МАХ.90.260.900.2ТГ</t>
  </si>
  <si>
    <t>ВК.МАХ.90.260.950.2ТГ</t>
  </si>
  <si>
    <t>ВК.МАХ.90.260.1000.2ТГ</t>
  </si>
  <si>
    <t>ВК.МАХ.90.260.1050.2ТГ</t>
  </si>
  <si>
    <t>ВК.МАХ.90.260.1100.2ТГ</t>
  </si>
  <si>
    <t>ВК.МАХ.90.260.1150.2ТГ</t>
  </si>
  <si>
    <t>ВК.МАХ.90.260.1200.2ТГ</t>
  </si>
  <si>
    <t>ВК.МАХ.90.260.1250.2ТГ</t>
  </si>
  <si>
    <t>ВК.МАХ.90.260.1300.2ТГ</t>
  </si>
  <si>
    <t>ВК.МАХ.90.260.1350.2ТГ</t>
  </si>
  <si>
    <t>ВК.МАХ.90.260.1400.2ТГ</t>
  </si>
  <si>
    <t>ВК.МАХ.90.260.1450.2ТГ</t>
  </si>
  <si>
    <t>ВК.МАХ.90.260.1500.2ТГ</t>
  </si>
  <si>
    <t>ВК.МАХ.90.260.1550.2ТГ</t>
  </si>
  <si>
    <t>ВК.МАХ.90.260.1600.2ТГ</t>
  </si>
  <si>
    <t>ВК.МАХ.90.260.1650.2ТГ</t>
  </si>
  <si>
    <t>ВК.МАХ.90.260.1700.2ТГ</t>
  </si>
  <si>
    <t>ВК.МАХ.90.260.1750.2ТГ</t>
  </si>
  <si>
    <t>ВК.МАХ.90.260.1800.2ТГ</t>
  </si>
  <si>
    <t>ВК.МАХ.90.260.1850.2ТГ</t>
  </si>
  <si>
    <t>ВК.МАХ.90.260.1900.2ТГ</t>
  </si>
  <si>
    <t>ВК.МАХ.90.260.1950.2ТГ</t>
  </si>
  <si>
    <t>ВК.МАХ.90.260.2000.2ТГ</t>
  </si>
  <si>
    <t>ВК.МАХ.90.260.2050.2ТГ</t>
  </si>
  <si>
    <t>ВК.МАХ.90.260.2100.2ТГ</t>
  </si>
  <si>
    <t>ВК.МАХ.90.260.2150.2ТГ</t>
  </si>
  <si>
    <t>ВК.МАХ.90.260.2200.2ТГ</t>
  </si>
  <si>
    <t>ВК.МАХ.90.260.2250.2ТГ</t>
  </si>
  <si>
    <t>ВК.МАХ.90.260.2300.2ТГ</t>
  </si>
  <si>
    <t>ВК.МАХ.90.260.2350.2ТГ</t>
  </si>
  <si>
    <t>ВК.МАХ.90.260.2400.2ТГ</t>
  </si>
  <si>
    <t>ВК.МАХ.90.260.2450.2ТГ</t>
  </si>
  <si>
    <t>ВК.МАХ.90.260.2500.2ТГ</t>
  </si>
  <si>
    <t>ВК.МАХ.90.260.2550.2ТГ</t>
  </si>
  <si>
    <t>ВК.МАХ.90.260.2600.2ТГ</t>
  </si>
  <si>
    <t>ВК.МАХ.90.260.2650.2ТГ</t>
  </si>
  <si>
    <t>ВК.МАХ.90.260.2700.2ТГ</t>
  </si>
  <si>
    <t>ВК.МАХ.90.260.2750.2ТГ</t>
  </si>
  <si>
    <t>ВК.МАХ.90.260.2800.2ТГ</t>
  </si>
  <si>
    <t>ВК.МАХ.90.260.2850.2ТГ</t>
  </si>
  <si>
    <t>ВК.МАХ.90.260.2900.2ТГ</t>
  </si>
  <si>
    <t>ВК.МАХ.90.260.2950.2ТГ</t>
  </si>
  <si>
    <t>ВК.МАХ.90.260.3000.2ТГ</t>
  </si>
  <si>
    <t>ВК.МАХ.90.300.600.2ТГ</t>
  </si>
  <si>
    <t>ВК.МАХ.90.300.650.2ТГ</t>
  </si>
  <si>
    <t>ВК.МАХ.90.300.700.2ТГ</t>
  </si>
  <si>
    <t>ВК.МАХ.90.300.750.2ТГ</t>
  </si>
  <si>
    <t>ВК.МАХ.90.300.800.2ТГ</t>
  </si>
  <si>
    <t>ВК.МАХ.90.300.850.2ТГ</t>
  </si>
  <si>
    <t>ВК.МАХ.90.300.900.2ТГ</t>
  </si>
  <si>
    <t>ВК.МАХ.90.300.950.2ТГ</t>
  </si>
  <si>
    <t>ВК.МАХ.90.300.1000.2ТГ</t>
  </si>
  <si>
    <t>ВК.МАХ.90.300.1050.2ТГ</t>
  </si>
  <si>
    <t>ВК.МАХ.90.300.1100.2ТГ</t>
  </si>
  <si>
    <t>ВК.МАХ.90.300.1150.2ТГ</t>
  </si>
  <si>
    <t>ВК.МАХ.90.300.1200.2ТГ</t>
  </si>
  <si>
    <t>ВК.МАХ.90.300.1250.2ТГ</t>
  </si>
  <si>
    <t>ВК.МАХ.90.300.1300.2ТГ</t>
  </si>
  <si>
    <t>ВК.МАХ.90.300.1350.2ТГ</t>
  </si>
  <si>
    <t>ВК.МАХ.90.300.1400.2ТГ</t>
  </si>
  <si>
    <t>ВК.МАХ.90.300.1450.2ТГ</t>
  </si>
  <si>
    <t>ВК.МАХ.90.300.1500.2ТГ</t>
  </si>
  <si>
    <t>ВК.МАХ.90.300.1550.2ТГ</t>
  </si>
  <si>
    <t>ВК.МАХ.90.300.1600.2ТГ</t>
  </si>
  <si>
    <t>ВК.МАХ.90.300.1650.2ТГ</t>
  </si>
  <si>
    <t>ВК.МАХ.90.300.1700.2ТГ</t>
  </si>
  <si>
    <t>ВК.МАХ.90.300.1750.2ТГ</t>
  </si>
  <si>
    <t>ВК.МАХ.90.300.1800.2ТГ</t>
  </si>
  <si>
    <t>ВК.МАХ.90.300.1850.2ТГ</t>
  </si>
  <si>
    <t>ВК.МАХ.90.300.1900.2ТГ</t>
  </si>
  <si>
    <t>ВК.МАХ.90.300.1950.2ТГ</t>
  </si>
  <si>
    <t>ВК.МАХ.90.300.2000.2ТГ</t>
  </si>
  <si>
    <t>ВК.МАХ.90.300.2050.2ТГ</t>
  </si>
  <si>
    <t>ВК.МАХ.90.300.2100.2ТГ</t>
  </si>
  <si>
    <t>ВК.МАХ.90.300.2150.2ТГ</t>
  </si>
  <si>
    <t>ВК.МАХ.90.300.2200.2ТГ</t>
  </si>
  <si>
    <t>ВК.МАХ.90.300.2250.2ТГ</t>
  </si>
  <si>
    <t>ВК.МАХ.90.300.2300.2ТГ</t>
  </si>
  <si>
    <t>ВК.МАХ.90.300.2350.2ТГ</t>
  </si>
  <si>
    <t>ВК.МАХ.90.300.2400.2ТГ</t>
  </si>
  <si>
    <t>ВК.МАХ.90.300.2450.2ТГ</t>
  </si>
  <si>
    <t>ВК.МАХ.90.300.2500.2ТГ</t>
  </si>
  <si>
    <t>ВК.МАХ.90.300.2550.2ТГ</t>
  </si>
  <si>
    <t>ВК.МАХ.90.300.2600.2ТГ</t>
  </si>
  <si>
    <t>ВК.МАХ.90.300.2650.2ТГ</t>
  </si>
  <si>
    <t>ВК.МАХ.90.300.2700.2ТГ</t>
  </si>
  <si>
    <t>ВК.МАХ.90.300.2750.2ТГ</t>
  </si>
  <si>
    <t>ВК.МАХ.90.300.2800.2ТГ</t>
  </si>
  <si>
    <t>ВК.МАХ.90.300.2850.2ТГ</t>
  </si>
  <si>
    <t>ВК.МАХ.90.300.2900.2ТГ</t>
  </si>
  <si>
    <t>ВК.МАХ.90.300.2950.2ТГ</t>
  </si>
  <si>
    <t>ВК.МАХ.90.300.3000.2ТГ</t>
  </si>
  <si>
    <t>ВК.МАХ.90.360.600.2ТГ</t>
  </si>
  <si>
    <t>ВК.МАХ.90.360.650.2ТГ</t>
  </si>
  <si>
    <t>ВК.МАХ.90.360.700.2ТГ</t>
  </si>
  <si>
    <t>ВК.МАХ.90.360.750.2ТГ</t>
  </si>
  <si>
    <t>ВК.МАХ.90.360.800.2ТГ</t>
  </si>
  <si>
    <t>ВК.МАХ.90.360.850.2ТГ</t>
  </si>
  <si>
    <t>ВК.МАХ.90.360.900.2ТГ</t>
  </si>
  <si>
    <t>ВК.МАХ.90.360.950.2ТГ</t>
  </si>
  <si>
    <t>ВК.МАХ.90.360.1000.2ТГ</t>
  </si>
  <si>
    <t>ВК.МАХ.90.360.1050.2ТГ</t>
  </si>
  <si>
    <t>ВК.МАХ.90.360.1100.2ТГ</t>
  </si>
  <si>
    <t>ВК.МАХ.90.360.1150.2ТГ</t>
  </si>
  <si>
    <t>ВК.МАХ.90.360.1200.2ТГ</t>
  </si>
  <si>
    <t>ВК.МАХ.90.360.1250.2ТГ</t>
  </si>
  <si>
    <t>ВК.МАХ.90.360.1300.2ТГ</t>
  </si>
  <si>
    <t>ВК.МАХ.90.360.1350.2ТГ</t>
  </si>
  <si>
    <t>ВК.МАХ.90.360.1400.2ТГ</t>
  </si>
  <si>
    <t>ВК.МАХ.90.360.1450.2ТГ</t>
  </si>
  <si>
    <t>ВК.МАХ.90.360.1500.2ТГ</t>
  </si>
  <si>
    <t>ВК.МАХ.90.360.1550.2ТГ</t>
  </si>
  <si>
    <t>ВК.МАХ.90.360.1600.2ТГ</t>
  </si>
  <si>
    <t>ВК.МАХ.90.360.1650.2ТГ</t>
  </si>
  <si>
    <t>ВК.МАХ.90.360.1700.2ТГ</t>
  </si>
  <si>
    <t>ВК.МАХ.90.360.1750.2ТГ</t>
  </si>
  <si>
    <t>ВК.МАХ.90.360.1800.2ТГ</t>
  </si>
  <si>
    <t>ВК.МАХ.90.360.1850.2ТГ</t>
  </si>
  <si>
    <t>ВК.МАХ.90.360.1900.2ТГ</t>
  </si>
  <si>
    <t>ВК.МАХ.90.360.1950.2ТГ</t>
  </si>
  <si>
    <t>ВК.МАХ.90.360.2000.2ТГ</t>
  </si>
  <si>
    <t>ВК.МАХ.90.360.2050.2ТГ</t>
  </si>
  <si>
    <t>ВК.МАХ.90.360.2100.2ТГ</t>
  </si>
  <si>
    <t>ВК.МАХ.90.360.2150.2ТГ</t>
  </si>
  <si>
    <t>ВК.МАХ.90.360.2200.2ТГ</t>
  </si>
  <si>
    <t>ВК.МАХ.90.360.2250.2ТГ</t>
  </si>
  <si>
    <t>ВК.МАХ.90.360.2300.2ТГ</t>
  </si>
  <si>
    <t>ВК.МАХ.90.360.2350.2ТГ</t>
  </si>
  <si>
    <t>ВК.МАХ.90.360.2400.2ТГ</t>
  </si>
  <si>
    <t>ВК.МАХ.90.360.2450.2ТГ</t>
  </si>
  <si>
    <t>ВК.МАХ.90.360.2500.2ТГ</t>
  </si>
  <si>
    <t>ВК.МАХ.90.360.2550.2ТГ</t>
  </si>
  <si>
    <t>ВК.МАХ.90.360.2600.2ТГ</t>
  </si>
  <si>
    <t>ВК.МАХ.90.360.2650.2ТГ</t>
  </si>
  <si>
    <t>ВК.МАХ.90.360.2700.2ТГ</t>
  </si>
  <si>
    <t>ВК.МАХ.90.360.2750.2ТГ</t>
  </si>
  <si>
    <t>ВК.МАХ.90.360.2800.2ТГ</t>
  </si>
  <si>
    <t>ВК.МАХ.90.360.2850.2ТГ</t>
  </si>
  <si>
    <t>ВК.МАХ.90.360.2900.2ТГ</t>
  </si>
  <si>
    <t>ВК.МАХ.90.360.2950.2ТГ</t>
  </si>
  <si>
    <t>ВК.МАХ.90.360.3000.2ТГ</t>
  </si>
  <si>
    <t>ВК.МАХ.90.360.600.4ТГ</t>
  </si>
  <si>
    <t>ВК.МАХ.90.360.650.4ТГ</t>
  </si>
  <si>
    <t>ВК.МАХ.90.360.700.4ТГ</t>
  </si>
  <si>
    <t>ВК.МАХ.90.360.750.4ТГ</t>
  </si>
  <si>
    <t>ВК.МАХ.90.360.800.4ТГ</t>
  </si>
  <si>
    <t>ВК.МАХ.90.360.850.4ТГ</t>
  </si>
  <si>
    <t>ВК.МАХ.90.360.900.4ТГ</t>
  </si>
  <si>
    <t>ВК.МАХ.90.360.950.4ТГ</t>
  </si>
  <si>
    <t>ВК.МАХ.90.360.1000.4ТГ</t>
  </si>
  <si>
    <t>ВК.МАХ.90.360.1050.4ТГ</t>
  </si>
  <si>
    <t>ВК.МАХ.90.360.1100.4ТГ</t>
  </si>
  <si>
    <t>ВК.МАХ.90.360.1150.4ТГ</t>
  </si>
  <si>
    <t>ВК.МАХ.90.360.1200.4ТГ</t>
  </si>
  <si>
    <t>ВК.МАХ.90.360.1250.4ТГ</t>
  </si>
  <si>
    <t>ВК.МАХ.90.360.1300.4ТГ</t>
  </si>
  <si>
    <t>ВК.МАХ.90.360.1350.4ТГ</t>
  </si>
  <si>
    <t>ВК.МАХ.90.360.1400.4ТГ</t>
  </si>
  <si>
    <t>ВК.МАХ.90.360.1450.4ТГ</t>
  </si>
  <si>
    <t>ВК.МАХ.90.360.1500.4ТГ</t>
  </si>
  <si>
    <t>ВК.МАХ.90.360.1550.4ТГ</t>
  </si>
  <si>
    <t>ВК.МАХ.90.360.1600.4ТГ</t>
  </si>
  <si>
    <t>ВК.МАХ.90.360.1650.4ТГ</t>
  </si>
  <si>
    <t>ВК.МАХ.90.360.1700.4ТГ</t>
  </si>
  <si>
    <t>ВК.МАХ.90.360.1750.4ТГ</t>
  </si>
  <si>
    <t>ВК.МАХ.90.360.1800.4ТГ</t>
  </si>
  <si>
    <t>ВК.МАХ.90.360.1850.4ТГ</t>
  </si>
  <si>
    <t>ВК.МАХ.90.360.1900.4ТГ</t>
  </si>
  <si>
    <t>ВК.МАХ.90.360.1950.4ТГ</t>
  </si>
  <si>
    <t>ВК.МАХ.90.360.2000.4ТГ</t>
  </si>
  <si>
    <t>ВК.МАХ.90.360.2050.4ТГ</t>
  </si>
  <si>
    <t>ВК.МАХ.90.360.2100.4ТГ</t>
  </si>
  <si>
    <t>ВК.МАХ.90.360.2150.4ТГ</t>
  </si>
  <si>
    <t>ВК.МАХ.90.360.2200.4ТГ</t>
  </si>
  <si>
    <t>ВК.МАХ.90.360.2250.4ТГ</t>
  </si>
  <si>
    <t>ВК.МАХ.90.360.2300.4ТГ</t>
  </si>
  <si>
    <t>ВК.МАХ.90.360.2350.4ТГ</t>
  </si>
  <si>
    <t>ВК.МАХ.90.360.2400.4ТГ</t>
  </si>
  <si>
    <t>ВК.МАХ.90.360.2450.4ТГ</t>
  </si>
  <si>
    <t>ВК.МАХ.90.360.2500.4ТГ</t>
  </si>
  <si>
    <t>ВК.МАХ.90.360.2550.4ТГ</t>
  </si>
  <si>
    <t>ВК.МАХ.90.360.2600.4ТГ</t>
  </si>
  <si>
    <t>ВК.МАХ.90.360.2650.4ТГ</t>
  </si>
  <si>
    <t>ВК.МАХ.90.360.2700.4ТГ</t>
  </si>
  <si>
    <t>ВК.МАХ.90.360.2750.4ТГ</t>
  </si>
  <si>
    <t>ВК.МАХ.90.360.2800.4ТГ</t>
  </si>
  <si>
    <t>ВК.МАХ.90.360.2850.4ТГ</t>
  </si>
  <si>
    <t>ВК.МАХ.90.360.2900.4ТГ</t>
  </si>
  <si>
    <t>ВК.МАХ.90.360.2950.4ТГ</t>
  </si>
  <si>
    <t>ВК.МАХ.90.360.3000.4ТГ</t>
  </si>
  <si>
    <t>ВК.МАХ.90.400.600.4ТГ</t>
  </si>
  <si>
    <t>ВК.МАХ.90.400.650.4ТГ</t>
  </si>
  <si>
    <t>ВК.МАХ.90.400.700.4ТГ</t>
  </si>
  <si>
    <t>ВК.МАХ.90.400.750.4ТГ</t>
  </si>
  <si>
    <t>ВК.МАХ.90.400.800.4ТГ</t>
  </si>
  <si>
    <t>ВК.МАХ.90.400.850.4ТГ</t>
  </si>
  <si>
    <t>ВК.МАХ.90.400.900.4ТГ</t>
  </si>
  <si>
    <t>ВК.МАХ.90.400.950.4ТГ</t>
  </si>
  <si>
    <t>ВК.МАХ.90.400.1000.4ТГ</t>
  </si>
  <si>
    <t>ВК.МАХ.90.400.1050.4ТГ</t>
  </si>
  <si>
    <t>ВК.МАХ.90.400.1100.4ТГ</t>
  </si>
  <si>
    <t>ВК.МАХ.90.400.1150.4ТГ</t>
  </si>
  <si>
    <t>ВК.МАХ.90.400.1200.4ТГ</t>
  </si>
  <si>
    <t>ВК.МАХ.90.400.1250.4ТГ</t>
  </si>
  <si>
    <t>ВК.МАХ.90.400.1300.4ТГ</t>
  </si>
  <si>
    <t>ВК.МАХ.90.400.1350.4ТГ</t>
  </si>
  <si>
    <t>ВК.МАХ.90.400.1400.4ТГ</t>
  </si>
  <si>
    <t>ВК.МАХ.90.400.1450.4ТГ</t>
  </si>
  <si>
    <t>ВК.МАХ.90.400.1500.4ТГ</t>
  </si>
  <si>
    <t>ВК.МАХ.90.400.1550.4ТГ</t>
  </si>
  <si>
    <t>ВК.МАХ.90.400.1600.4ТГ</t>
  </si>
  <si>
    <t>ВК.МАХ.90.400.1650.4ТГ</t>
  </si>
  <si>
    <t>ВК.МАХ.90.400.1700.4ТГ</t>
  </si>
  <si>
    <t>ВК.МАХ.90.400.1750.4ТГ</t>
  </si>
  <si>
    <t>ВК.МАХ.90.400.1800.4ТГ</t>
  </si>
  <si>
    <t>ВК.МАХ.90.400.1850.4ТГ</t>
  </si>
  <si>
    <t>ВК.МАХ.90.400.1900.4ТГ</t>
  </si>
  <si>
    <t>ВК.МАХ.90.400.1950.4ТГ</t>
  </si>
  <si>
    <t>ВК.МАХ.90.400.2000.4ТГ</t>
  </si>
  <si>
    <t>ВК.МАХ.90.400.2050.4ТГ</t>
  </si>
  <si>
    <t>ВК.МАХ.90.400.2100.4ТГ</t>
  </si>
  <si>
    <t>ВК.МАХ.90.400.2150.4ТГ</t>
  </si>
  <si>
    <t>ВК.МАХ.90.400.2200.4ТГ</t>
  </si>
  <si>
    <t>ВК.МАХ.90.400.2250.4ТГ</t>
  </si>
  <si>
    <t>ВК.МАХ.90.400.2300.4ТГ</t>
  </si>
  <si>
    <t>ВК.МАХ.90.400.2350.4ТГ</t>
  </si>
  <si>
    <t>ВК.МАХ.90.400.2400.4ТГ</t>
  </si>
  <si>
    <t>ВК.МАХ.90.400.2450.4ТГ</t>
  </si>
  <si>
    <t>ВК.МАХ.90.400.2500.4ТГ</t>
  </si>
  <si>
    <t>ВК.МАХ.90.400.2550.4ТГ</t>
  </si>
  <si>
    <t>ВК.МАХ.90.400.2600.4ТГ</t>
  </si>
  <si>
    <t>ВК.МАХ.90.400.2650.4ТГ</t>
  </si>
  <si>
    <t>ВК.МАХ.90.400.2700.4ТГ</t>
  </si>
  <si>
    <t>ВК.МАХ.90.400.2750.4ТГ</t>
  </si>
  <si>
    <t>ВК.МАХ.90.400.2800.4ТГ</t>
  </si>
  <si>
    <t>ВК.МАХ.90.400.2850.4ТГ</t>
  </si>
  <si>
    <t>ВК.МАХ.90.400.2900.4ТГ</t>
  </si>
  <si>
    <t>ВК.МАХ.90.400.2950.4ТГ</t>
  </si>
  <si>
    <t>ВК.МАХ.90.400.3000.4ТГ</t>
  </si>
  <si>
    <t>ВК.МАХ.110.200.600.2ТГ</t>
  </si>
  <si>
    <t>ВК.МАХ.110.200.650.2ТГ</t>
  </si>
  <si>
    <t>ВК.МАХ.110.200.700.2ТГ</t>
  </si>
  <si>
    <t>ВК.МАХ.110.200.750.2ТГ</t>
  </si>
  <si>
    <t>ВК.МАХ.110.200.800.2ТГ</t>
  </si>
  <si>
    <t>ВК.МАХ.110.200.850.2ТГ</t>
  </si>
  <si>
    <t>ВК.МАХ.110.200.900.2ТГ</t>
  </si>
  <si>
    <t>ВК.МАХ.110.200.950.2ТГ</t>
  </si>
  <si>
    <t>ВК.МАХ.110.200.1000.2ТГ</t>
  </si>
  <si>
    <t>ВК.МАХ.110.200.1050.2ТГ</t>
  </si>
  <si>
    <t>ВК.МАХ.110.200.1100.2ТГ</t>
  </si>
  <si>
    <t>ВК.МАХ.110.200.1150.2ТГ</t>
  </si>
  <si>
    <t>ВК.МАХ.110.200.1200.2ТГ</t>
  </si>
  <si>
    <t>ВК.МАХ.110.200.1250.2ТГ</t>
  </si>
  <si>
    <t>ВК.МАХ.110.200.1300.2ТГ</t>
  </si>
  <si>
    <t>ВК.МАХ.110.200.1350.2ТГ</t>
  </si>
  <si>
    <t>ВК.МАХ.110.200.1400.2ТГ</t>
  </si>
  <si>
    <t>ВК.МАХ.110.200.1450.2ТГ</t>
  </si>
  <si>
    <t>ВК.МАХ.110.200.1500.2ТГ</t>
  </si>
  <si>
    <t>ВК.МАХ.110.200.1550.2ТГ</t>
  </si>
  <si>
    <t>ВК.МАХ.110.200.1600.2ТГ</t>
  </si>
  <si>
    <t>ВК.МАХ.110.200.1650.2ТГ</t>
  </si>
  <si>
    <t>ВК.МАХ.110.200.1700.2ТГ</t>
  </si>
  <si>
    <t>ВК.МАХ.110.200.1750.2ТГ</t>
  </si>
  <si>
    <t>ВК.МАХ.110.200.1800.2ТГ</t>
  </si>
  <si>
    <t>ВК.МАХ.110.200.1850.2ТГ</t>
  </si>
  <si>
    <t>ВК.МАХ.110.200.1900.2ТГ</t>
  </si>
  <si>
    <t>ВК.МАХ.110.200.1950.2ТГ</t>
  </si>
  <si>
    <t>ВК.МАХ.110.200.2000.2ТГ</t>
  </si>
  <si>
    <t>ВК.МАХ.110.200.2050.2ТГ</t>
  </si>
  <si>
    <t>ВК.МАХ.110.200.2100.2ТГ</t>
  </si>
  <si>
    <t>ВК.МАХ.110.200.2150.2ТГ</t>
  </si>
  <si>
    <t>ВК.МАХ.110.200.2200.2ТГ</t>
  </si>
  <si>
    <t>ВК.МАХ.110.200.2250.2ТГ</t>
  </si>
  <si>
    <t>ВК.МАХ.110.200.2300.2ТГ</t>
  </si>
  <si>
    <t>ВК.МАХ.110.200.2350.2ТГ</t>
  </si>
  <si>
    <t>ВК.МАХ.110.200.2400.2ТГ</t>
  </si>
  <si>
    <t>ВК.МАХ.110.200.2450.2ТГ</t>
  </si>
  <si>
    <t>ВК.МАХ.110.200.2500.2ТГ</t>
  </si>
  <si>
    <t>ВК.МАХ.110.200.2550.2ТГ</t>
  </si>
  <si>
    <t>ВК.МАХ.110.200.2600.2ТГ</t>
  </si>
  <si>
    <t>ВК.МАХ.110.200.2650.2ТГ</t>
  </si>
  <si>
    <t>ВК.МАХ.110.200.2700.2ТГ</t>
  </si>
  <si>
    <t>ВК.МАХ.110.200.2750.2ТГ</t>
  </si>
  <si>
    <t>ВК.МАХ.110.200.2800.2ТГ</t>
  </si>
  <si>
    <t>ВК.МАХ.110.200.2850.2ТГ</t>
  </si>
  <si>
    <t>ВК.МАХ.110.200.2900.2ТГ</t>
  </si>
  <si>
    <t>ВК.МАХ.110.200.2950.2ТГ</t>
  </si>
  <si>
    <t>ВК.МАХ.110.200.3000.2ТГ</t>
  </si>
  <si>
    <t>ВК.МАХ.110.260.600.2ТГ</t>
  </si>
  <si>
    <t>ВК.МАХ.110.260.650.2ТГ</t>
  </si>
  <si>
    <t>ВК.МАХ.110.260.700.2ТГ</t>
  </si>
  <si>
    <t>ВК.МАХ.110.260.750.2ТГ</t>
  </si>
  <si>
    <t>ВК.МАХ.110.260.800.2ТГ</t>
  </si>
  <si>
    <t>ВК.МАХ.110.260.850.2ТГ</t>
  </si>
  <si>
    <t>ВК.МАХ.110.260.900.2ТГ</t>
  </si>
  <si>
    <t>ВК.МАХ.110.260.950.2ТГ</t>
  </si>
  <si>
    <t>ВК.МАХ.110.260.1000.2ТГ</t>
  </si>
  <si>
    <t>ВК.МАХ.110.260.1050.2ТГ</t>
  </si>
  <si>
    <t>ВК.МАХ.110.260.1100.2ТГ</t>
  </si>
  <si>
    <t>ВК.МАХ.110.260.1150.2ТГ</t>
  </si>
  <si>
    <t>ВК.МАХ.110.260.1200.2ТГ</t>
  </si>
  <si>
    <t>ВК.МАХ.110.260.1250.2ТГ</t>
  </si>
  <si>
    <t>ВК.МАХ.110.260.1300.2ТГ</t>
  </si>
  <si>
    <t>ВК.МАХ.110.260.1350.2ТГ</t>
  </si>
  <si>
    <t>ВК.МАХ.110.260.1400.2ТГ</t>
  </si>
  <si>
    <t>ВК.МАХ.110.260.1450.2ТГ</t>
  </si>
  <si>
    <t>ВК.МАХ.110.260.1500.2ТГ</t>
  </si>
  <si>
    <t>ВК.МАХ.110.260.1550.2ТГ</t>
  </si>
  <si>
    <t>ВК.МАХ.110.260.1600.2ТГ</t>
  </si>
  <si>
    <t>ВК.МАХ.110.260.1650.2ТГ</t>
  </si>
  <si>
    <t>ВК.МАХ.110.260.1700.2ТГ</t>
  </si>
  <si>
    <t>ВК.МАХ.110.260.1750.2ТГ</t>
  </si>
  <si>
    <t>ВК.МАХ.110.260.1800.2ТГ</t>
  </si>
  <si>
    <t>ВК.МАХ.110.260.1850.2ТГ</t>
  </si>
  <si>
    <t>ВК.МАХ.110.260.1900.2ТГ</t>
  </si>
  <si>
    <t>ВК.МАХ.110.260.1950.2ТГ</t>
  </si>
  <si>
    <t>ВК.МАХ.110.260.2000.2ТГ</t>
  </si>
  <si>
    <t>ВК.МАХ.110.260.2050.2ТГ</t>
  </si>
  <si>
    <t>ВК.МАХ.110.260.2100.2ТГ</t>
  </si>
  <si>
    <t>ВК.МАХ.110.260.2150.2ТГ</t>
  </si>
  <si>
    <t>ВК.МАХ.110.260.2200.2ТГ</t>
  </si>
  <si>
    <t>ВК.МАХ.110.260.2250.2ТГ</t>
  </si>
  <si>
    <t>ВК.МАХ.110.260.2300.2ТГ</t>
  </si>
  <si>
    <t>ВК.МАХ.110.260.2350.2ТГ</t>
  </si>
  <si>
    <t>ВК.МАХ.110.260.2400.2ТГ</t>
  </si>
  <si>
    <t>ВК.МАХ.110.260.2450.2ТГ</t>
  </si>
  <si>
    <t>ВК.МАХ.110.260.2500.2ТГ</t>
  </si>
  <si>
    <t>ВК.МАХ.110.260.2550.2ТГ</t>
  </si>
  <si>
    <t>ВК.МАХ.110.260.2600.2ТГ</t>
  </si>
  <si>
    <t>ВК.МАХ.110.260.2650.2ТГ</t>
  </si>
  <si>
    <t>ВК.МАХ.110.260.2700.2ТГ</t>
  </si>
  <si>
    <t>ВК.МАХ.110.260.2750.2ТГ</t>
  </si>
  <si>
    <t>ВК.МАХ.110.260.2800.2ТГ</t>
  </si>
  <si>
    <t>ВК.МАХ.110.260.2850.2ТГ</t>
  </si>
  <si>
    <t>ВК.МАХ.110.260.2900.2ТГ</t>
  </si>
  <si>
    <t>ВК.МАХ.110.260.2950.2ТГ</t>
  </si>
  <si>
    <t>ВК.МАХ.110.260.3000.2ТГ</t>
  </si>
  <si>
    <t>ВК.МАХ.110.300.600.2ТГ</t>
  </si>
  <si>
    <t>ВК.МАХ.110.300.650.2ТГ</t>
  </si>
  <si>
    <t>ВК.МАХ.110.300.700.2ТГ</t>
  </si>
  <si>
    <t>ВК.МАХ.110.300.750.2ТГ</t>
  </si>
  <si>
    <t>ВК.МАХ.110.300.800.2ТГ</t>
  </si>
  <si>
    <t>ВК.МАХ.110.300.850.2ТГ</t>
  </si>
  <si>
    <t>ВК.МАХ.110.300.900.2ТГ</t>
  </si>
  <si>
    <t>ВК.МАХ.110.300.950.2ТГ</t>
  </si>
  <si>
    <t>ВК.МАХ.110.300.1000.2ТГ</t>
  </si>
  <si>
    <t>ВК.МАХ.110.300.1050.2ТГ</t>
  </si>
  <si>
    <t>ВК.МАХ.110.300.1100.2ТГ</t>
  </si>
  <si>
    <t>ВК.МАХ.110.300.1150.2ТГ</t>
  </si>
  <si>
    <t>ВК.МАХ.110.300.1200.2ТГ</t>
  </si>
  <si>
    <t>ВК.МАХ.110.300.1250.2ТГ</t>
  </si>
  <si>
    <t>ВК.МАХ.110.300.1300.2ТГ</t>
  </si>
  <si>
    <t>ВК.МАХ.110.300.1350.2ТГ</t>
  </si>
  <si>
    <t>ВК.МАХ.110.300.1400.2ТГ</t>
  </si>
  <si>
    <t>ВК.МАХ.110.300.1450.2ТГ</t>
  </si>
  <si>
    <t>ВК.МАХ.110.300.1500.2ТГ</t>
  </si>
  <si>
    <t>ВК.МАХ.110.300.1550.2ТГ</t>
  </si>
  <si>
    <t>ВК.МАХ.110.300.1600.2ТГ</t>
  </si>
  <si>
    <t>ВК.МАХ.110.300.1650.2ТГ</t>
  </si>
  <si>
    <t>ВК.МАХ.110.300.1700.2ТГ</t>
  </si>
  <si>
    <t>ВК.МАХ.110.300.1750.2ТГ</t>
  </si>
  <si>
    <t>ВК.МАХ.110.300.1800.2ТГ</t>
  </si>
  <si>
    <t>ВК.МАХ.110.300.1850.2ТГ</t>
  </si>
  <si>
    <t>ВК.МАХ.110.300.1900.2ТГ</t>
  </si>
  <si>
    <t>ВК.МАХ.110.300.1950.2ТГ</t>
  </si>
  <si>
    <t>ВК.МАХ.110.300.2000.2ТГ</t>
  </si>
  <si>
    <t>ВК.МАХ.110.300.2050.2ТГ</t>
  </si>
  <si>
    <t>ВК.МАХ.110.300.2100.2ТГ</t>
  </si>
  <si>
    <t>ВК.МАХ.110.300.2150.2ТГ</t>
  </si>
  <si>
    <t>ВК.МАХ.110.300.2200.2ТГ</t>
  </si>
  <si>
    <t>ВК.МАХ.110.300.2250.2ТГ</t>
  </si>
  <si>
    <t>ВК.МАХ.110.300.2300.2ТГ</t>
  </si>
  <si>
    <t>ВК.МАХ.110.300.2350.2ТГ</t>
  </si>
  <si>
    <t>ВК.МАХ.110.300.2400.2ТГ</t>
  </si>
  <si>
    <t>ВК.МАХ.110.300.2450.2ТГ</t>
  </si>
  <si>
    <t>ВК.МАХ.110.300.2500.2ТГ</t>
  </si>
  <si>
    <t>ВК.МАХ.110.300.2550.2ТГ</t>
  </si>
  <si>
    <t>ВК.МАХ.110.300.2600.2ТГ</t>
  </si>
  <si>
    <t>ВК.МАХ.110.300.2650.2ТГ</t>
  </si>
  <si>
    <t>ВК.МАХ.110.300.2700.2ТГ</t>
  </si>
  <si>
    <t>ВК.МАХ.110.300.2750.2ТГ</t>
  </si>
  <si>
    <t>ВК.МАХ.110.300.2800.2ТГ</t>
  </si>
  <si>
    <t>ВК.МАХ.110.300.2850.2ТГ</t>
  </si>
  <si>
    <t>ВК.МАХ.110.300.2900.2ТГ</t>
  </si>
  <si>
    <t>ВК.МАХ.110.300.2950.2ТГ</t>
  </si>
  <si>
    <t>ВК.МАХ.110.300.3000.2ТГ</t>
  </si>
  <si>
    <t>ВК.МАХ.110.360.600.2ТГ</t>
  </si>
  <si>
    <t>ВК.МАХ.110.360.650.2ТГ</t>
  </si>
  <si>
    <t>ВК.МАХ.110.360.700.2ТГ</t>
  </si>
  <si>
    <t>ВК.МАХ.110.360.750.2ТГ</t>
  </si>
  <si>
    <t>ВК.МАХ.110.360.800.2ТГ</t>
  </si>
  <si>
    <t>ВК.МАХ.110.360.850.2ТГ</t>
  </si>
  <si>
    <t>ВК.МАХ.110.360.900.2ТГ</t>
  </si>
  <si>
    <t>ВК.МАХ.110.360.950.2ТГ</t>
  </si>
  <si>
    <t>ВК.МАХ.110.360.1000.2ТГ</t>
  </si>
  <si>
    <t>ВК.МАХ.110.360.1050.2ТГ</t>
  </si>
  <si>
    <t>ВК.МАХ.110.360.1100.2ТГ</t>
  </si>
  <si>
    <t>ВК.МАХ.110.360.1150.2ТГ</t>
  </si>
  <si>
    <t>ВК.МАХ.110.360.1200.2ТГ</t>
  </si>
  <si>
    <t>ВК.МАХ.110.360.1250.2ТГ</t>
  </si>
  <si>
    <t>ВК.МАХ.110.360.1300.2ТГ</t>
  </si>
  <si>
    <t>ВК.МАХ.110.360.1350.2ТГ</t>
  </si>
  <si>
    <t>ВК.МАХ.110.360.1400.2ТГ</t>
  </si>
  <si>
    <t>ВК.МАХ.110.360.1450.2ТГ</t>
  </si>
  <si>
    <t>ВК.МАХ.110.360.1500.2ТГ</t>
  </si>
  <si>
    <t>ВК.МАХ.110.360.1550.2ТГ</t>
  </si>
  <si>
    <t>ВК.МАХ.110.360.1600.2ТГ</t>
  </si>
  <si>
    <t>ВК.МАХ.110.360.1650.2ТГ</t>
  </si>
  <si>
    <t>ВК.МАХ.110.360.1700.2ТГ</t>
  </si>
  <si>
    <t>ВК.МАХ.110.360.1750.2ТГ</t>
  </si>
  <si>
    <t>ВК.МАХ.110.360.1800.2ТГ</t>
  </si>
  <si>
    <t>ВК.МАХ.110.360.1850.2ТГ</t>
  </si>
  <si>
    <t>ВК.МАХ.110.360.1900.2ТГ</t>
  </si>
  <si>
    <t>ВК.МАХ.110.360.1950.2ТГ</t>
  </si>
  <si>
    <t>ВК.МАХ.110.360.2000.2ТГ</t>
  </si>
  <si>
    <t>ВК.МАХ.110.360.2050.2ТГ</t>
  </si>
  <si>
    <t>ВК.МАХ.110.360.2100.2ТГ</t>
  </si>
  <si>
    <t>ВК.МАХ.110.360.2150.2ТГ</t>
  </si>
  <si>
    <t>ВК.МАХ.110.360.2200.2ТГ</t>
  </si>
  <si>
    <t>ВК.МАХ.110.360.2250.2ТГ</t>
  </si>
  <si>
    <t>ВК.МАХ.110.360.2300.2ТГ</t>
  </si>
  <si>
    <t>ВК.МАХ.110.360.2350.2ТГ</t>
  </si>
  <si>
    <t>ВК.МАХ.110.360.2400.2ТГ</t>
  </si>
  <si>
    <t>ВК.МАХ.110.360.2450.2ТГ</t>
  </si>
  <si>
    <t>ВК.МАХ.110.360.2500.2ТГ</t>
  </si>
  <si>
    <t>ВК.МАХ.110.360.2550.2ТГ</t>
  </si>
  <si>
    <t>ВК.МАХ.110.360.2600.2ТГ</t>
  </si>
  <si>
    <t>ВК.МАХ.110.360.2650.2ТГ</t>
  </si>
  <si>
    <t>ВК.МАХ.110.360.2700.2ТГ</t>
  </si>
  <si>
    <t>ВК.МАХ.110.360.2750.2ТГ</t>
  </si>
  <si>
    <t>ВК.МАХ.110.360.2800.2ТГ</t>
  </si>
  <si>
    <t>ВК.МАХ.110.360.2850.2ТГ</t>
  </si>
  <si>
    <t>ВК.МАХ.110.360.2900.2ТГ</t>
  </si>
  <si>
    <t>ВК.МАХ.110.360.2950.2ТГ</t>
  </si>
  <si>
    <t>ВК.МАХ.110.360.3000.2ТГ</t>
  </si>
  <si>
    <t>ВК.МАХ.110.360.600.4ТГ</t>
  </si>
  <si>
    <t>ВК.МАХ.110.360.650.4ТГ</t>
  </si>
  <si>
    <t>ВК.МАХ.110.360.700.4ТГ</t>
  </si>
  <si>
    <t>ВК.МАХ.110.360.750.4ТГ</t>
  </si>
  <si>
    <t>ВК.МАХ.110.360.800.4ТГ</t>
  </si>
  <si>
    <t>ВК.МАХ.110.360.850.4ТГ</t>
  </si>
  <si>
    <t>ВК.МАХ.110.360.900.4ТГ</t>
  </si>
  <si>
    <t>ВК.МАХ.110.360.950.4ТГ</t>
  </si>
  <si>
    <t>ВК.МАХ.110.360.1000.4ТГ</t>
  </si>
  <si>
    <t>ВК.МАХ.110.360.1050.4ТГ</t>
  </si>
  <si>
    <t>ВК.МАХ.110.360.1100.4ТГ</t>
  </si>
  <si>
    <t>ВК.МАХ.110.360.1150.4ТГ</t>
  </si>
  <si>
    <t>ВК.МАХ.110.360.1200.4ТГ</t>
  </si>
  <si>
    <t>ВК.МАХ.110.360.1250.4ТГ</t>
  </si>
  <si>
    <t>ВК.МАХ.110.360.1300.4ТГ</t>
  </si>
  <si>
    <t>ВК.МАХ.110.360.1350.4ТГ</t>
  </si>
  <si>
    <t>ВК.МАХ.110.360.1400.4ТГ</t>
  </si>
  <si>
    <t>ВК.МАХ.110.360.1450.4ТГ</t>
  </si>
  <si>
    <t>ВК.МАХ.110.360.1500.4ТГ</t>
  </si>
  <si>
    <t>ВК.МАХ.110.360.1550.4ТГ</t>
  </si>
  <si>
    <t>ВК.МАХ.110.360.1600.4ТГ</t>
  </si>
  <si>
    <t>ВК.МАХ.110.360.1650.4ТГ</t>
  </si>
  <si>
    <t>ВК.МАХ.110.360.1700.4ТГ</t>
  </si>
  <si>
    <t>ВК.МАХ.110.360.1750.4ТГ</t>
  </si>
  <si>
    <t>ВК.МАХ.110.360.1800.4ТГ</t>
  </si>
  <si>
    <t>ВК.МАХ.110.360.1850.4ТГ</t>
  </si>
  <si>
    <t>ВК.МАХ.110.360.1900.4ТГ</t>
  </si>
  <si>
    <t>ВК.МАХ.110.360.1950.4ТГ</t>
  </si>
  <si>
    <t>ВК.МАХ.110.360.2000.4ТГ</t>
  </si>
  <si>
    <t>ВК.МАХ.110.360.2050.4ТГ</t>
  </si>
  <si>
    <t>ВК.МАХ.110.360.2100.4ТГ</t>
  </si>
  <si>
    <t>ВК.МАХ.110.360.2150.4ТГ</t>
  </si>
  <si>
    <t>ВК.МАХ.110.360.2200.4ТГ</t>
  </si>
  <si>
    <t>ВК.МАХ.110.360.2250.4ТГ</t>
  </si>
  <si>
    <t>ВК.МАХ.110.360.2300.4ТГ</t>
  </si>
  <si>
    <t>ВК.МАХ.110.360.2350.4ТГ</t>
  </si>
  <si>
    <t>ВК.МАХ.110.360.2400.4ТГ</t>
  </si>
  <si>
    <t>ВК.МАХ.110.360.2450.4ТГ</t>
  </si>
  <si>
    <t>ВК.МАХ.110.360.2500.4ТГ</t>
  </si>
  <si>
    <t>ВК.МАХ.110.360.2550.4ТГ</t>
  </si>
  <si>
    <t>ВК.МАХ.110.360.2600.4ТГ</t>
  </si>
  <si>
    <t>ВК.МАХ.110.360.2650.4ТГ</t>
  </si>
  <si>
    <t>ВК.МАХ.110.360.2700.4ТГ</t>
  </si>
  <si>
    <t>ВК.МАХ.110.360.2750.4ТГ</t>
  </si>
  <si>
    <t>ВК.МАХ.110.360.2800.4ТГ</t>
  </si>
  <si>
    <t>ВК.МАХ.110.360.2850.4ТГ</t>
  </si>
  <si>
    <t>ВК.МАХ.110.360.2900.4ТГ</t>
  </si>
  <si>
    <t>ВК.МАХ.110.360.2950.4ТГ</t>
  </si>
  <si>
    <t>ВК.МАХ.110.360.3000.4ТГ</t>
  </si>
  <si>
    <t>ВК.МАХ.110.400.600.4ТГ</t>
  </si>
  <si>
    <t>ВК.МАХ.110.400.650.4ТГ</t>
  </si>
  <si>
    <t>ВК.МАХ.110.400.700.4ТГ</t>
  </si>
  <si>
    <t>ВК.МАХ.110.400.750.4ТГ</t>
  </si>
  <si>
    <t>ВК.МАХ.110.400.800.4ТГ</t>
  </si>
  <si>
    <t>ВК.МАХ.110.400.850.4ТГ</t>
  </si>
  <si>
    <t>ВК.МАХ.110.400.900.4ТГ</t>
  </si>
  <si>
    <t>ВК.МАХ.110.400.950.4ТГ</t>
  </si>
  <si>
    <t>ВК.МАХ.110.400.1000.4ТГ</t>
  </si>
  <si>
    <t>ВК.МАХ.110.400.1050.4ТГ</t>
  </si>
  <si>
    <t>ВК.МАХ.110.400.1100.4ТГ</t>
  </si>
  <si>
    <t>ВК.МАХ.110.400.1150.4ТГ</t>
  </si>
  <si>
    <t>ВК.МАХ.110.400.1200.4ТГ</t>
  </si>
  <si>
    <t>ВК.МАХ.110.400.1250.4ТГ</t>
  </si>
  <si>
    <t>ВК.МАХ.110.400.1300.4ТГ</t>
  </si>
  <si>
    <t>ВК.МАХ.110.400.1350.4ТГ</t>
  </si>
  <si>
    <t>ВК.МАХ.110.400.1400.4ТГ</t>
  </si>
  <si>
    <t>ВК.МАХ.110.400.1450.4ТГ</t>
  </si>
  <si>
    <t>ВК.МАХ.110.400.1500.4ТГ</t>
  </si>
  <si>
    <t>ВК.МАХ.110.400.1550.4ТГ</t>
  </si>
  <si>
    <t>ВК.МАХ.110.400.1600.4ТГ</t>
  </si>
  <si>
    <t>ВК.МАХ.110.400.1650.4ТГ</t>
  </si>
  <si>
    <t>ВК.МАХ.110.400.1700.4ТГ</t>
  </si>
  <si>
    <t>ВК.МАХ.110.400.1750.4ТГ</t>
  </si>
  <si>
    <t>ВК.МАХ.110.400.1800.4ТГ</t>
  </si>
  <si>
    <t>ВК.МАХ.110.400.1850.4ТГ</t>
  </si>
  <si>
    <t>ВК.МАХ.110.400.1900.4ТГ</t>
  </si>
  <si>
    <t>ВК.МАХ.110.400.1950.4ТГ</t>
  </si>
  <si>
    <t>ВК.МАХ.110.400.2000.4ТГ</t>
  </si>
  <si>
    <t>ВК.МАХ.110.400.2050.4ТГ</t>
  </si>
  <si>
    <t>ВК.МАХ.110.400.2100.4ТГ</t>
  </si>
  <si>
    <t>ВК.МАХ.110.400.2150.4ТГ</t>
  </si>
  <si>
    <t>ВК.МАХ.110.400.2200.4ТГ</t>
  </si>
  <si>
    <t>ВК.МАХ.110.400.2250.4ТГ</t>
  </si>
  <si>
    <t>ВК.МАХ.110.400.2300.4ТГ</t>
  </si>
  <si>
    <t>ВК.МАХ.110.400.2350.4ТГ</t>
  </si>
  <si>
    <t>ВК.МАХ.110.400.2400.4ТГ</t>
  </si>
  <si>
    <t>ВК.МАХ.110.400.2450.4ТГ</t>
  </si>
  <si>
    <t>ВК.МАХ.110.400.2500.4ТГ</t>
  </si>
  <si>
    <t>ВК.МАХ.110.400.2550.4ТГ</t>
  </si>
  <si>
    <t>ВК.МАХ.110.400.2600.4ТГ</t>
  </si>
  <si>
    <t>ВК.МАХ.110.400.2650.4ТГ</t>
  </si>
  <si>
    <t>ВК.МАХ.110.400.2700.4ТГ</t>
  </si>
  <si>
    <t>ВК.МАХ.110.400.2750.4ТГ</t>
  </si>
  <si>
    <t>ВК.МАХ.110.400.2800.4ТГ</t>
  </si>
  <si>
    <t>ВК.МАХ.110.400.2850.4ТГ</t>
  </si>
  <si>
    <t>ВК.МАХ.110.400.2900.4ТГ</t>
  </si>
  <si>
    <t>ВК.МАХ.110.400.2950.4ТГ</t>
  </si>
  <si>
    <t>ВК.МАХ.110.400.3000.4ТГ</t>
  </si>
  <si>
    <t>ВК.МАХ.150.200.600.2ТГ</t>
  </si>
  <si>
    <t>ВК.МАХ.150.200.650.2ТГ</t>
  </si>
  <si>
    <t>ВК.МАХ.150.200.700.2ТГ</t>
  </si>
  <si>
    <t>ВК.МАХ.150.200.750.2ТГ</t>
  </si>
  <si>
    <t>ВК.МАХ.150.200.800.2ТГ</t>
  </si>
  <si>
    <t>ВК.МАХ.150.200.850.2ТГ</t>
  </si>
  <si>
    <t>ВК.МАХ.150.200.900.2ТГ</t>
  </si>
  <si>
    <t>ВК.МАХ.150.200.950.2ТГ</t>
  </si>
  <si>
    <t>ВК.МАХ.150.200.1000.2ТГ</t>
  </si>
  <si>
    <t>ВК.МАХ.150.200.1050.2ТГ</t>
  </si>
  <si>
    <t>ВК.МАХ.150.200.1100.2ТГ</t>
  </si>
  <si>
    <t>ВК.МАХ.150.200.1150.2ТГ</t>
  </si>
  <si>
    <t>ВК.МАХ.150.200.1200.2ТГ</t>
  </si>
  <si>
    <t>ВК.МАХ.150.200.1250.2ТГ</t>
  </si>
  <si>
    <t>ВК.МАХ.150.200.1300.2ТГ</t>
  </si>
  <si>
    <t>ВК.МАХ.150.200.1350.2ТГ</t>
  </si>
  <si>
    <t>ВК.МАХ.150.200.1400.2ТГ</t>
  </si>
  <si>
    <t>ВК.МАХ.150.200.1450.2ТГ</t>
  </si>
  <si>
    <t>ВК.МАХ.150.200.1500.2ТГ</t>
  </si>
  <si>
    <t>ВК.МАХ.150.200.1550.2ТГ</t>
  </si>
  <si>
    <t>ВК.МАХ.150.200.1600.2ТГ</t>
  </si>
  <si>
    <t>ВК.МАХ.150.200.1650.2ТГ</t>
  </si>
  <si>
    <t>ВК.МАХ.150.200.1700.2ТГ</t>
  </si>
  <si>
    <t>ВК.МАХ.150.200.1750.2ТГ</t>
  </si>
  <si>
    <t>ВК.МАХ.150.200.1800.2ТГ</t>
  </si>
  <si>
    <t>ВК.МАХ.150.200.1850.2ТГ</t>
  </si>
  <si>
    <t>ВК.МАХ.150.200.1900.2ТГ</t>
  </si>
  <si>
    <t>ВК.МАХ.150.200.1950.2ТГ</t>
  </si>
  <si>
    <t>ВК.МАХ.150.200.2000.2ТГ</t>
  </si>
  <si>
    <t>ВК.МАХ.150.200.2050.2ТГ</t>
  </si>
  <si>
    <t>ВК.МАХ.150.200.2100.2ТГ</t>
  </si>
  <si>
    <t>ВК.МАХ.150.200.2150.2ТГ</t>
  </si>
  <si>
    <t>ВК.МАХ.150.200.2200.2ТГ</t>
  </si>
  <si>
    <t>ВК.МАХ.150.200.2250.2ТГ</t>
  </si>
  <si>
    <t>ВК.МАХ.150.200.2300.2ТГ</t>
  </si>
  <si>
    <t>ВК.МАХ.150.200.2350.2ТГ</t>
  </si>
  <si>
    <t>ВК.МАХ.150.200.2400.2ТГ</t>
  </si>
  <si>
    <t>ВК.МАХ.150.200.2450.2ТГ</t>
  </si>
  <si>
    <t>ВК.МАХ.150.200.2500.2ТГ</t>
  </si>
  <si>
    <t>ВК.МАХ.150.200.2550.2ТГ</t>
  </si>
  <si>
    <t>ВК.МАХ.150.200.2600.2ТГ</t>
  </si>
  <si>
    <t>ВК.МАХ.150.200.2650.2ТГ</t>
  </si>
  <si>
    <t>ВК.МАХ.150.200.2700.2ТГ</t>
  </si>
  <si>
    <t>ВК.МАХ.150.200.2750.2ТГ</t>
  </si>
  <si>
    <t>ВК.МАХ.150.200.2800.2ТГ</t>
  </si>
  <si>
    <t>ВК.МАХ.150.200.2850.2ТГ</t>
  </si>
  <si>
    <t>ВК.МАХ.150.200.2900.2ТГ</t>
  </si>
  <si>
    <t>ВК.МАХ.150.200.2950.2ТГ</t>
  </si>
  <si>
    <t>ВК.МАХ.150.200.3000.2ТГ</t>
  </si>
  <si>
    <t>ВК.МАХ.150.260.600.2ТГ</t>
  </si>
  <si>
    <t>ВК.МАХ.150.260.650.2ТГ</t>
  </si>
  <si>
    <t>ВК.МАХ.150.260.700.2ТГ</t>
  </si>
  <si>
    <t>ВК.МАХ.150.260.750.2ТГ</t>
  </si>
  <si>
    <t>ВК.МАХ.150.260.800.2ТГ</t>
  </si>
  <si>
    <t>ВК.МАХ.150.260.850.2ТГ</t>
  </si>
  <si>
    <t>ВК.МАХ.150.260.900.2ТГ</t>
  </si>
  <si>
    <t>ВК.МАХ.150.260.950.2ТГ</t>
  </si>
  <si>
    <t>ВК.МАХ.150.260.1000.2ТГ</t>
  </si>
  <si>
    <t>ВК.МАХ.150.260.1050.2ТГ</t>
  </si>
  <si>
    <t>ВК.МАХ.150.260.1100.2ТГ</t>
  </si>
  <si>
    <t>ВК.МАХ.150.260.1150.2ТГ</t>
  </si>
  <si>
    <t>ВК.МАХ.150.260.1200.2ТГ</t>
  </si>
  <si>
    <t>ВК.МАХ.150.260.1250.2ТГ</t>
  </si>
  <si>
    <t>ВК.МАХ.150.260.1300.2ТГ</t>
  </si>
  <si>
    <t>ВК.МАХ.150.260.1350.2ТГ</t>
  </si>
  <si>
    <t>ВК.МАХ.150.260.1400.2ТГ</t>
  </si>
  <si>
    <t>ВК.МАХ.150.260.1450.2ТГ</t>
  </si>
  <si>
    <t>ВК.МАХ.150.260.1500.2ТГ</t>
  </si>
  <si>
    <t>ВК.МАХ.150.260.1550.2ТГ</t>
  </si>
  <si>
    <t>ВК.МАХ.150.260.1600.2ТГ</t>
  </si>
  <si>
    <t>ВК.МАХ.150.260.1650.2ТГ</t>
  </si>
  <si>
    <t>ВК.МАХ.150.260.1700.2ТГ</t>
  </si>
  <si>
    <t>ВК.МАХ.150.260.1750.2ТГ</t>
  </si>
  <si>
    <t>ВК.МАХ.150.260.1800.2ТГ</t>
  </si>
  <si>
    <t>ВК.МАХ.150.260.1850.2ТГ</t>
  </si>
  <si>
    <t>ВК.МАХ.150.260.1900.2ТГ</t>
  </si>
  <si>
    <t>ВК.МАХ.150.260.1950.2ТГ</t>
  </si>
  <si>
    <t>ВК.МАХ.150.260.2000.2ТГ</t>
  </si>
  <si>
    <t>ВК.МАХ.150.260.2050.2ТГ</t>
  </si>
  <si>
    <t>ВК.МАХ.150.260.2100.2ТГ</t>
  </si>
  <si>
    <t>ВК.МАХ.150.260.2150.2ТГ</t>
  </si>
  <si>
    <t>ВК.МАХ.150.260.2200.2ТГ</t>
  </si>
  <si>
    <t>ВК.МАХ.150.260.2250.2ТГ</t>
  </si>
  <si>
    <t>ВК.МАХ.150.260.2300.2ТГ</t>
  </si>
  <si>
    <t>ВК.МАХ.150.260.2350.2ТГ</t>
  </si>
  <si>
    <t>ВК.МАХ.150.260.2400.2ТГ</t>
  </si>
  <si>
    <t>ВК.МАХ.150.260.2450.2ТГ</t>
  </si>
  <si>
    <t>ВК.МАХ.150.260.2500.2ТГ</t>
  </si>
  <si>
    <t>ВК.МАХ.150.260.2550.2ТГ</t>
  </si>
  <si>
    <t>ВК.МАХ.150.260.2600.2ТГ</t>
  </si>
  <si>
    <t>ВК.МАХ.150.260.2650.2ТГ</t>
  </si>
  <si>
    <t>ВК.МАХ.150.260.2700.2ТГ</t>
  </si>
  <si>
    <t>ВК.МАХ.150.260.2750.2ТГ</t>
  </si>
  <si>
    <t>ВК.МАХ.150.260.2800.2ТГ</t>
  </si>
  <si>
    <t>ВК.МАХ.150.260.2850.2ТГ</t>
  </si>
  <si>
    <t>ВК.МАХ.150.260.2900.2ТГ</t>
  </si>
  <si>
    <t>ВК.МАХ.150.260.2950.2ТГ</t>
  </si>
  <si>
    <t>ВК.МАХ.150.260.3000.2ТГ</t>
  </si>
  <si>
    <t>ВК.МАХ.150.300.600.2ТГ</t>
  </si>
  <si>
    <t>ВК.МАХ.150.300.650.2ТГ</t>
  </si>
  <si>
    <t>ВК.МАХ.150.300.700.2ТГ</t>
  </si>
  <si>
    <t>ВК.МАХ.150.300.750.2ТГ</t>
  </si>
  <si>
    <t>ВК.МАХ.150.300.800.2ТГ</t>
  </si>
  <si>
    <t>ВК.МАХ.150.300.850.2ТГ</t>
  </si>
  <si>
    <t>ВК.МАХ.150.300.900.2ТГ</t>
  </si>
  <si>
    <t>ВК.МАХ.150.300.950.2ТГ</t>
  </si>
  <si>
    <t>ВК.МАХ.150.300.1000.2ТГ</t>
  </si>
  <si>
    <t>ВК.МАХ.150.300.1050.2ТГ</t>
  </si>
  <si>
    <t>ВК.МАХ.150.300.1100.2ТГ</t>
  </si>
  <si>
    <t>ВК.МАХ.150.300.1150.2ТГ</t>
  </si>
  <si>
    <t>ВК.МАХ.150.300.1200.2ТГ</t>
  </si>
  <si>
    <t>ВК.МАХ.150.300.1250.2ТГ</t>
  </si>
  <si>
    <t>ВК.МАХ.150.300.1300.2ТГ</t>
  </si>
  <si>
    <t>ВК.МАХ.150.300.1350.2ТГ</t>
  </si>
  <si>
    <t>ВК.МАХ.150.300.1400.2ТГ</t>
  </si>
  <si>
    <t>ВК.МАХ.150.300.1450.2ТГ</t>
  </si>
  <si>
    <t>ВК.МАХ.150.300.1500.2ТГ</t>
  </si>
  <si>
    <t>ВК.МАХ.150.300.1550.2ТГ</t>
  </si>
  <si>
    <t>ВК.МАХ.150.300.1600.2ТГ</t>
  </si>
  <si>
    <t>ВК.МАХ.150.300.1650.2ТГ</t>
  </si>
  <si>
    <t>ВК.МАХ.150.300.1700.2ТГ</t>
  </si>
  <si>
    <t>ВК.МАХ.150.300.1750.2ТГ</t>
  </si>
  <si>
    <t>ВК.МАХ.150.300.1800.2ТГ</t>
  </si>
  <si>
    <t>ВК.МАХ.150.300.1850.2ТГ</t>
  </si>
  <si>
    <t>ВК.МАХ.150.300.1900.2ТГ</t>
  </si>
  <si>
    <t>ВК.МАХ.150.300.1950.2ТГ</t>
  </si>
  <si>
    <t>ВК.МАХ.150.300.2000.2ТГ</t>
  </si>
  <si>
    <t>ВК.МАХ.150.300.2050.2ТГ</t>
  </si>
  <si>
    <t>ВК.МАХ.150.300.2100.2ТГ</t>
  </si>
  <si>
    <t>ВК.МАХ.150.300.2150.2ТГ</t>
  </si>
  <si>
    <t>ВК.МАХ.150.300.2200.2ТГ</t>
  </si>
  <si>
    <t>ВК.МАХ.150.300.2250.2ТГ</t>
  </si>
  <si>
    <t>ВК.МАХ.150.300.2300.2ТГ</t>
  </si>
  <si>
    <t>ВК.МАХ.150.300.2350.2ТГ</t>
  </si>
  <si>
    <t>ВК.МАХ.150.300.2400.2ТГ</t>
  </si>
  <si>
    <t>ВК.МАХ.150.300.2450.2ТГ</t>
  </si>
  <si>
    <t>ВК.МАХ.150.300.2500.2ТГ</t>
  </si>
  <si>
    <t>ВК.МАХ.150.300.2550.2ТГ</t>
  </si>
  <si>
    <t>ВК.МАХ.150.300.2600.2ТГ</t>
  </si>
  <si>
    <t>ВК.МАХ.150.300.2650.2ТГ</t>
  </si>
  <si>
    <t>ВК.МАХ.150.300.2700.2ТГ</t>
  </si>
  <si>
    <t>ВК.МАХ.150.300.2750.2ТГ</t>
  </si>
  <si>
    <t>ВК.МАХ.150.300.2800.2ТГ</t>
  </si>
  <si>
    <t>ВК.МАХ.150.300.2850.2ТГ</t>
  </si>
  <si>
    <t>ВК.МАХ.150.300.2900.2ТГ</t>
  </si>
  <si>
    <t>ВК.МАХ.150.300.2950.2ТГ</t>
  </si>
  <si>
    <t>ВК.МАХ.150.300.3000.2ТГ</t>
  </si>
  <si>
    <t>ВК.МАХ.150.360.600.2ТГ</t>
  </si>
  <si>
    <t>ВК.МАХ.150.360.650.2ТГ</t>
  </si>
  <si>
    <t>ВК.МАХ.150.360.700.2ТГ</t>
  </si>
  <si>
    <t>ВК.МАХ.150.360.750.2ТГ</t>
  </si>
  <si>
    <t>ВК.МАХ.150.360.800.2ТГ</t>
  </si>
  <si>
    <t>ВК.МАХ.150.360.850.2ТГ</t>
  </si>
  <si>
    <t>ВК.МАХ.150.360.900.2ТГ</t>
  </si>
  <si>
    <t>ВК.МАХ.150.360.950.2ТГ</t>
  </si>
  <si>
    <t>ВК.МАХ.150.360.1000.2ТГ</t>
  </si>
  <si>
    <t>ВК.МАХ.150.360.1050.2ТГ</t>
  </si>
  <si>
    <t>ВК.МАХ.150.360.1100.2ТГ</t>
  </si>
  <si>
    <t>ВК.МАХ.150.360.1150.2ТГ</t>
  </si>
  <si>
    <t>ВК.МАХ.150.360.1200.2ТГ</t>
  </si>
  <si>
    <t>ВК.МАХ.150.360.1250.2ТГ</t>
  </si>
  <si>
    <t>ВК.МАХ.150.360.1300.2ТГ</t>
  </si>
  <si>
    <t>ВК.МАХ.150.360.1350.2ТГ</t>
  </si>
  <si>
    <t>ВК.МАХ.150.360.1400.2ТГ</t>
  </si>
  <si>
    <t>ВК.МАХ.150.360.1450.2ТГ</t>
  </si>
  <si>
    <t>ВК.МАХ.150.360.1500.2ТГ</t>
  </si>
  <si>
    <t>ВК.МАХ.150.360.1550.2ТГ</t>
  </si>
  <si>
    <t>ВК.МАХ.150.360.1600.2ТГ</t>
  </si>
  <si>
    <t>ВК.МАХ.150.360.1650.2ТГ</t>
  </si>
  <si>
    <t>ВК.МАХ.150.360.1700.2ТГ</t>
  </si>
  <si>
    <t>ВК.МАХ.150.360.1750.2ТГ</t>
  </si>
  <si>
    <t>ВК.МАХ.150.360.1800.2ТГ</t>
  </si>
  <si>
    <t>ВК.МАХ.150.360.1850.2ТГ</t>
  </si>
  <si>
    <t>ВК.МАХ.150.360.1900.2ТГ</t>
  </si>
  <si>
    <t>ВК.МАХ.150.360.1950.2ТГ</t>
  </si>
  <si>
    <t>ВК.МАХ.150.360.2000.2ТГ</t>
  </si>
  <si>
    <t>ВК.МАХ.150.360.2050.2ТГ</t>
  </si>
  <si>
    <t>ВК.МАХ.150.360.2100.2ТГ</t>
  </si>
  <si>
    <t>ВК.МАХ.150.360.2150.2ТГ</t>
  </si>
  <si>
    <t>ВК.МАХ.150.360.2200.2ТГ</t>
  </si>
  <si>
    <t>ВК.МАХ.150.360.2250.2ТГ</t>
  </si>
  <si>
    <t>ВК.МАХ.150.360.2300.2ТГ</t>
  </si>
  <si>
    <t>ВК.МАХ.150.360.2350.2ТГ</t>
  </si>
  <si>
    <t>ВК.МАХ.150.360.2400.2ТГ</t>
  </si>
  <si>
    <t>ВК.МАХ.150.360.2450.2ТГ</t>
  </si>
  <si>
    <t>ВК.МАХ.150.360.2500.2ТГ</t>
  </si>
  <si>
    <t>ВК.МАХ.150.360.2550.2ТГ</t>
  </si>
  <si>
    <t>ВК.МАХ.150.360.2600.2ТГ</t>
  </si>
  <si>
    <t>ВК.МАХ.150.360.2650.2ТГ</t>
  </si>
  <si>
    <t>ВК.МАХ.150.360.2700.2ТГ</t>
  </si>
  <si>
    <t>ВК.МАХ.150.360.2750.2ТГ</t>
  </si>
  <si>
    <t>ВК.МАХ.150.360.2800.2ТГ</t>
  </si>
  <si>
    <t>ВК.МАХ.150.360.2850.2ТГ</t>
  </si>
  <si>
    <t>ВК.МАХ.150.360.2900.2ТГ</t>
  </si>
  <si>
    <t>ВК.МАХ.150.360.2950.2ТГ</t>
  </si>
  <si>
    <t>ВК.МАХ.150.360.3000.2ТГ</t>
  </si>
  <si>
    <t>ВК.МАХ.150.360.600.4ТГ</t>
  </si>
  <si>
    <t>ВК.МАХ.150.360.650.4ТГ</t>
  </si>
  <si>
    <t>ВК.МАХ.150.360.700.4ТГ</t>
  </si>
  <si>
    <t>ВК.МАХ.150.360.750.4ТГ</t>
  </si>
  <si>
    <t>ВК.МАХ.150.360.800.4ТГ</t>
  </si>
  <si>
    <t>ВК.МАХ.150.360.850.4ТГ</t>
  </si>
  <si>
    <t>ВК.МАХ.150.360.900.4ТГ</t>
  </si>
  <si>
    <t>ВК.МАХ.150.360.950.4ТГ</t>
  </si>
  <si>
    <t>ВК.МАХ.150.360.1000.4ТГ</t>
  </si>
  <si>
    <t>ВК.МАХ.150.360.1050.4ТГ</t>
  </si>
  <si>
    <t>ВК.МАХ.150.360.1100.4ТГ</t>
  </si>
  <si>
    <t>ВК.МАХ.150.360.1150.4ТГ</t>
  </si>
  <si>
    <t>ВК.МАХ.150.360.1200.4ТГ</t>
  </si>
  <si>
    <t>ВК.МАХ.150.360.1250.4ТГ</t>
  </si>
  <si>
    <t>ВК.МАХ.150.360.1300.4ТГ</t>
  </si>
  <si>
    <t>ВК.МАХ.150.360.1350.4ТГ</t>
  </si>
  <si>
    <t>ВК.МАХ.150.360.1400.4ТГ</t>
  </si>
  <si>
    <t>ВК.МАХ.150.360.1450.4ТГ</t>
  </si>
  <si>
    <t>ВК.МАХ.150.360.1500.4ТГ</t>
  </si>
  <si>
    <t>ВК.МАХ.150.360.1550.4ТГ</t>
  </si>
  <si>
    <t>ВК.МАХ.150.360.1600.4ТГ</t>
  </si>
  <si>
    <t>ВК.МАХ.150.360.1650.4ТГ</t>
  </si>
  <si>
    <t>ВК.МАХ.150.360.1700.4ТГ</t>
  </si>
  <si>
    <t>ВК.МАХ.150.360.1750.4ТГ</t>
  </si>
  <si>
    <t>ВК.МАХ.150.360.1800.4ТГ</t>
  </si>
  <si>
    <t>ВК.МАХ.150.360.1850.4ТГ</t>
  </si>
  <si>
    <t>ВК.МАХ.150.360.1900.4ТГ</t>
  </si>
  <si>
    <t>ВК.МАХ.150.360.1950.4ТГ</t>
  </si>
  <si>
    <t>ВК.МАХ.150.360.2000.4ТГ</t>
  </si>
  <si>
    <t>ВК.МАХ.150.360.2050.4ТГ</t>
  </si>
  <si>
    <t>ВК.МАХ.150.360.2100.4ТГ</t>
  </si>
  <si>
    <t>ВК.МАХ.150.360.2150.4ТГ</t>
  </si>
  <si>
    <t>ВК.МАХ.150.360.2200.4ТГ</t>
  </si>
  <si>
    <t>ВК.МАХ.150.360.2250.4ТГ</t>
  </si>
  <si>
    <t>ВК.МАХ.150.360.2300.4ТГ</t>
  </si>
  <si>
    <t>ВК.МАХ.150.360.2350.4ТГ</t>
  </si>
  <si>
    <t>ВК.МАХ.150.360.2400.4ТГ</t>
  </si>
  <si>
    <t>ВК.МАХ.150.360.2450.4ТГ</t>
  </si>
  <si>
    <t>ВК.МАХ.150.360.2500.4ТГ</t>
  </si>
  <si>
    <t>ВК.МАХ.150.360.2550.4ТГ</t>
  </si>
  <si>
    <t>ВК.МАХ.150.360.2600.4ТГ</t>
  </si>
  <si>
    <t>ВК.МАХ.150.360.2650.4ТГ</t>
  </si>
  <si>
    <t>ВК.МАХ.150.360.2700.4ТГ</t>
  </si>
  <si>
    <t>ВК.МАХ.150.360.2750.4ТГ</t>
  </si>
  <si>
    <t>ВК.МАХ.150.360.2800.4ТГ</t>
  </si>
  <si>
    <t>ВК.МАХ.150.360.2850.4ТГ</t>
  </si>
  <si>
    <t>ВК.МАХ.150.360.2900.4ТГ</t>
  </si>
  <si>
    <t>ВК.МАХ.150.360.2950.4ТГ</t>
  </si>
  <si>
    <t>ВК.МАХ.150.360.3000.4ТГ</t>
  </si>
  <si>
    <t>ВК.МАХ.150.400.600.4ТГ</t>
  </si>
  <si>
    <t>ВК.МАХ.150.400.650.4ТГ</t>
  </si>
  <si>
    <t>ВК.МАХ.150.400.700.4ТГ</t>
  </si>
  <si>
    <t>ВК.МАХ.150.400.750.4ТГ</t>
  </si>
  <si>
    <t>ВК.МАХ.150.400.800.4ТГ</t>
  </si>
  <si>
    <t>ВК.МАХ.150.400.850.4ТГ</t>
  </si>
  <si>
    <t>ВК.МАХ.150.400.900.4ТГ</t>
  </si>
  <si>
    <t>ВК.МАХ.150.400.950.4ТГ</t>
  </si>
  <si>
    <t>ВК.МАХ.150.400.1000.4ТГ</t>
  </si>
  <si>
    <t>ВК.МАХ.150.400.1050.4ТГ</t>
  </si>
  <si>
    <t>ВК.МАХ.150.400.1100.4ТГ</t>
  </si>
  <si>
    <t>ВК.МАХ.150.400.1150.4ТГ</t>
  </si>
  <si>
    <t>ВК.МАХ.150.400.1200.4ТГ</t>
  </si>
  <si>
    <t>ВК.МАХ.150.400.1250.4ТГ</t>
  </si>
  <si>
    <t>ВК.МАХ.150.400.1300.4ТГ</t>
  </si>
  <si>
    <t>ВК.МАХ.150.400.1350.4ТГ</t>
  </si>
  <si>
    <t>ВК.МАХ.150.400.1400.4ТГ</t>
  </si>
  <si>
    <t>ВК.МАХ.150.400.1450.4ТГ</t>
  </si>
  <si>
    <t>ВК.МАХ.150.400.1500.4ТГ</t>
  </si>
  <si>
    <t>ВК.МАХ.150.400.1550.4ТГ</t>
  </si>
  <si>
    <t>ВК.МАХ.150.400.1600.4ТГ</t>
  </si>
  <si>
    <t>ВК.МАХ.150.400.1650.4ТГ</t>
  </si>
  <si>
    <t>ВК.МАХ.150.400.1700.4ТГ</t>
  </si>
  <si>
    <t>ВК.МАХ.150.400.1750.4ТГ</t>
  </si>
  <si>
    <t>ВК.МАХ.150.400.1800.4ТГ</t>
  </si>
  <si>
    <t>ВК.МАХ.150.400.1850.4ТГ</t>
  </si>
  <si>
    <t>ВК.МАХ.150.400.1900.4ТГ</t>
  </si>
  <si>
    <t>ВК.МАХ.150.400.1950.4ТГ</t>
  </si>
  <si>
    <t>ВК.МАХ.150.400.2000.4ТГ</t>
  </si>
  <si>
    <t>ВК.МАХ.150.400.2050.4ТГ</t>
  </si>
  <si>
    <t>ВК.МАХ.150.400.2100.4ТГ</t>
  </si>
  <si>
    <t>ВК.МАХ.150.400.2150.4ТГ</t>
  </si>
  <si>
    <t>ВК.МАХ.150.400.2200.4ТГ</t>
  </si>
  <si>
    <t>ВК.МАХ.150.400.2250.4ТГ</t>
  </si>
  <si>
    <t>ВК.МАХ.150.400.2300.4ТГ</t>
  </si>
  <si>
    <t>ВК.МАХ.150.400.2350.4ТГ</t>
  </si>
  <si>
    <t>ВК.МАХ.150.400.2400.4ТГ</t>
  </si>
  <si>
    <t>ВК.МАХ.150.400.2450.4ТГ</t>
  </si>
  <si>
    <t>ВК.МАХ.150.400.2500.4ТГ</t>
  </si>
  <si>
    <t>ВК.МАХ.150.400.2550.4ТГ</t>
  </si>
  <si>
    <t>ВК.МАХ.150.400.2600.4ТГ</t>
  </si>
  <si>
    <t>ВК.МАХ.150.400.2650.4ТГ</t>
  </si>
  <si>
    <t>ВК.МАХ.150.400.2700.4ТГ</t>
  </si>
  <si>
    <t>ВК.МАХ.150.400.2750.4ТГ</t>
  </si>
  <si>
    <t>ВК.МАХ.150.400.2800.4ТГ</t>
  </si>
  <si>
    <t>ВК.МАХ.150.400.2850.4ТГ</t>
  </si>
  <si>
    <t>ВК.МАХ.150.400.2900.4ТГ</t>
  </si>
  <si>
    <t>ВК.МАХ.150.400.2950.4ТГ</t>
  </si>
  <si>
    <t>ВК.МАХ.150.400.3000.4ТГ</t>
  </si>
  <si>
    <t>ВК.МАХ.200.200.600.4ТК</t>
  </si>
  <si>
    <t>ВК.МАХ.200.200.650.4ТК</t>
  </si>
  <si>
    <t>ВК.МАХ.200.200.700.4ТК</t>
  </si>
  <si>
    <t>ВК.МАХ.200.200.750.4ТК</t>
  </si>
  <si>
    <t>ВК.МАХ.200.200.800.4ТК</t>
  </si>
  <si>
    <t>ВК.МАХ.200.200.850.4ТК</t>
  </si>
  <si>
    <t>ВК.МАХ.200.200.900.4ТК</t>
  </si>
  <si>
    <t>ВК.МАХ.200.200.950.4ТК</t>
  </si>
  <si>
    <t>ВК.МАХ.200.200.1000.4ТК</t>
  </si>
  <si>
    <t>ВК.МАХ.200.200.1050.4ТК</t>
  </si>
  <si>
    <t>ВК.МАХ.200.200.1100.4ТК</t>
  </si>
  <si>
    <t>ВК.МАХ.200.200.1150.4ТК</t>
  </si>
  <si>
    <t>ВК.МАХ.200.200.1200.4ТК</t>
  </si>
  <si>
    <t>ВК.МАХ.200.200.1250.4ТК</t>
  </si>
  <si>
    <t>ВК.МАХ.200.200.1300.4ТК</t>
  </si>
  <si>
    <t>ВК.МАХ.200.200.1350.4ТК</t>
  </si>
  <si>
    <t>ВК.МАХ.200.200.1400.4ТК</t>
  </si>
  <si>
    <t>ВК.МАХ.200.200.1450.4ТК</t>
  </si>
  <si>
    <t>ВК.МАХ.200.200.1500.4ТК</t>
  </si>
  <si>
    <t>ВК.МАХ.200.200.1550.4ТК</t>
  </si>
  <si>
    <t>ВК.МАХ.200.200.1600.4ТК</t>
  </si>
  <si>
    <t>ВК.МАХ.200.200.1650.4ТК</t>
  </si>
  <si>
    <t>ВК.МАХ.200.200.1700.4ТК</t>
  </si>
  <si>
    <t>ВК.МАХ.200.200.1750.4ТК</t>
  </si>
  <si>
    <t>ВК.МАХ.200.200.1800.4ТК</t>
  </si>
  <si>
    <t>ВК.МАХ.200.200.1850.4ТК</t>
  </si>
  <si>
    <t>ВК.МАХ.200.200.1900.4ТК</t>
  </si>
  <si>
    <t>ВК.МАХ.200.200.1950.4ТК</t>
  </si>
  <si>
    <t>ВК.МАХ.200.200.2000.4ТК</t>
  </si>
  <si>
    <t>ВК.МАХ.200.200.2050.4ТК</t>
  </si>
  <si>
    <t>ВК.МАХ.200.200.2100.4ТК</t>
  </si>
  <si>
    <t>ВК.МАХ.200.200.2150.4ТК</t>
  </si>
  <si>
    <t>ВК.МАХ.200.200.2200.4ТК</t>
  </si>
  <si>
    <t>ВК.МАХ.200.200.2250.4ТК</t>
  </si>
  <si>
    <t>ВК.МАХ.200.200.2300.4ТК</t>
  </si>
  <si>
    <t>ВК.МАХ.200.200.2350.4ТК</t>
  </si>
  <si>
    <t>ВК.МАХ.200.200.2400.4ТК</t>
  </si>
  <si>
    <t>ВК.МАХ.200.200.2450.4ТК</t>
  </si>
  <si>
    <t>ВК.МАХ.200.200.2500.4ТК</t>
  </si>
  <si>
    <t>ВК.МАХ.200.200.2550.4ТК</t>
  </si>
  <si>
    <t>ВК.МАХ.200.200.2600.4ТК</t>
  </si>
  <si>
    <t>ВК.МАХ.200.200.2650.4ТК</t>
  </si>
  <si>
    <t>ВК.МАХ.200.200.2700.4ТК</t>
  </si>
  <si>
    <t>ВК.МАХ.200.200.2750.4ТК</t>
  </si>
  <si>
    <t>ВК.МАХ.200.200.2800.4ТК</t>
  </si>
  <si>
    <t>ВК.МАХ.200.200.2850.4ТК</t>
  </si>
  <si>
    <t>ВК.МАХ.200.200.2900.4ТК</t>
  </si>
  <si>
    <t>ВК.МАХ.200.200.2950.4ТК</t>
  </si>
  <si>
    <t>ВК.МАХ.200.200.3000.4ТК</t>
  </si>
  <si>
    <t>ВК.МАХ.200.260.600.4ТК</t>
  </si>
  <si>
    <t>ВК.МАХ.200.260.650.4ТК</t>
  </si>
  <si>
    <t>ВК.МАХ.200.260.700.4ТК</t>
  </si>
  <si>
    <t>ВК.МАХ.200.260.750.4ТК</t>
  </si>
  <si>
    <t>ВК.МАХ.200.260.800.4ТК</t>
  </si>
  <si>
    <t>ВК.МАХ.200.260.850.4ТК</t>
  </si>
  <si>
    <t>ВК.МАХ.200.260.900.4ТК</t>
  </si>
  <si>
    <t>ВК.МАХ.200.260.950.4ТК</t>
  </si>
  <si>
    <t>ВК.МАХ.200.260.1000.4ТК</t>
  </si>
  <si>
    <t>ВК.МАХ.200.260.1050.4ТК</t>
  </si>
  <si>
    <t>ВК.МАХ.200.260.1100.4ТК</t>
  </si>
  <si>
    <t>ВК.МАХ.200.260.1150.4ТК</t>
  </si>
  <si>
    <t>ВК.МАХ.200.260.1200.4ТК</t>
  </si>
  <si>
    <t>ВК.МАХ.200.260.1250.4ТК</t>
  </si>
  <si>
    <t>ВК.МАХ.200.260.1300.4ТК</t>
  </si>
  <si>
    <t>ВК.МАХ.200.260.1350.4ТК</t>
  </si>
  <si>
    <t>ВК.МАХ.200.260.1400.4ТК</t>
  </si>
  <si>
    <t>ВК.МАХ.200.260.1450.4ТК</t>
  </si>
  <si>
    <t>ВК.МАХ.200.260.1500.4ТК</t>
  </si>
  <si>
    <t>ВК.МАХ.200.260.1550.4ТК</t>
  </si>
  <si>
    <t>ВК.МАХ.200.260.1600.4ТК</t>
  </si>
  <si>
    <t>ВК.МАХ.200.260.1650.4ТК</t>
  </si>
  <si>
    <t>ВК.МАХ.200.260.1700.4ТК</t>
  </si>
  <si>
    <t>ВК.МАХ.200.260.1750.4ТК</t>
  </si>
  <si>
    <t>ВК.МАХ.200.260.1800.4ТК</t>
  </si>
  <si>
    <t>ВК.МАХ.200.260.1850.4ТК</t>
  </si>
  <si>
    <t>ВК.МАХ.200.260.1900.4ТК</t>
  </si>
  <si>
    <t>ВК.МАХ.200.260.1950.4ТК</t>
  </si>
  <si>
    <t>ВК.МАХ.200.260.2000.4ТК</t>
  </si>
  <si>
    <t>ВК.МАХ.200.260.2050.4ТК</t>
  </si>
  <si>
    <t>ВК.МАХ.200.260.2100.4ТК</t>
  </si>
  <si>
    <t>ВК.МАХ.200.260.2150.4ТК</t>
  </si>
  <si>
    <t>ВК.МАХ.200.260.2200.4ТК</t>
  </si>
  <si>
    <t>ВК.МАХ.200.260.2250.4ТК</t>
  </si>
  <si>
    <t>ВК.МАХ.200.260.2300.4ТК</t>
  </si>
  <si>
    <t>ВК.МАХ.200.260.2350.4ТК</t>
  </si>
  <si>
    <t>ВК.МАХ.200.260.2400.4ТК</t>
  </si>
  <si>
    <t>ВК.МАХ.200.260.2450.4ТК</t>
  </si>
  <si>
    <t>ВК.МАХ.200.260.2500.4ТК</t>
  </si>
  <si>
    <t>ВК.МАХ.200.260.2550.4ТК</t>
  </si>
  <si>
    <t>ВК.МАХ.200.260.2600.4ТК</t>
  </si>
  <si>
    <t>ВК.МАХ.200.260.2650.4ТК</t>
  </si>
  <si>
    <t>ВК.МАХ.200.260.2700.4ТК</t>
  </si>
  <si>
    <t>ВК.МАХ.200.260.2750.4ТК</t>
  </si>
  <si>
    <t>ВК.МАХ.200.260.2800.4ТК</t>
  </si>
  <si>
    <t>ВК.МАХ.200.260.2850.4ТК</t>
  </si>
  <si>
    <t>ВК.МАХ.200.260.2900.4ТК</t>
  </si>
  <si>
    <t>ВК.МАХ.200.260.2950.4ТК</t>
  </si>
  <si>
    <t>ВК.МАХ.200.260.3000.4ТК</t>
  </si>
  <si>
    <t>ВК.МАХ.200.300.600.4ТК</t>
  </si>
  <si>
    <t>ВК.МАХ.200.300.650.4ТК</t>
  </si>
  <si>
    <t>ВК.МАХ.200.300.700.4ТК</t>
  </si>
  <si>
    <t>ВК.МАХ.200.300.750.4ТК</t>
  </si>
  <si>
    <t>ВК.МАХ.200.300.800.4ТК</t>
  </si>
  <si>
    <t>ВК.МАХ.200.300.850.4ТК</t>
  </si>
  <si>
    <t>ВК.МАХ.200.300.900.4ТК</t>
  </si>
  <si>
    <t>ВК.МАХ.200.300.950.4ТК</t>
  </si>
  <si>
    <t>ВК.МАХ.200.300.1000.4ТК</t>
  </si>
  <si>
    <t>ВК.МАХ.200.300.1050.4ТК</t>
  </si>
  <si>
    <t>ВК.МАХ.200.300.1100.4ТК</t>
  </si>
  <si>
    <t>ВК.МАХ.200.300.1150.4ТК</t>
  </si>
  <si>
    <t>ВК.МАХ.200.300.1200.4ТК</t>
  </si>
  <si>
    <t>ВК.МАХ.200.300.1250.4ТК</t>
  </si>
  <si>
    <t>ВК.МАХ.200.300.1300.4ТК</t>
  </si>
  <si>
    <t>ВК.МАХ.200.300.1350.4ТК</t>
  </si>
  <si>
    <t>ВК.МАХ.200.300.1400.4ТК</t>
  </si>
  <si>
    <t>ВК.МАХ.200.300.1450.4ТК</t>
  </si>
  <si>
    <t>ВК.МАХ.200.300.1500.4ТК</t>
  </si>
  <si>
    <t>ВК.МАХ.200.300.1550.4ТК</t>
  </si>
  <si>
    <t>ВК.МАХ.200.300.1600.4ТК</t>
  </si>
  <si>
    <t>ВК.МАХ.200.300.1650.4ТК</t>
  </si>
  <si>
    <t>ВК.МАХ.200.300.1700.4ТК</t>
  </si>
  <si>
    <t>ВК.МАХ.200.300.1750.4ТК</t>
  </si>
  <si>
    <t>ВК.МАХ.200.300.1800.4ТК</t>
  </si>
  <si>
    <t>ВК.МАХ.200.300.1850.4ТК</t>
  </si>
  <si>
    <t>ВК.МАХ.200.300.1900.4ТК</t>
  </si>
  <si>
    <t>ВК.МАХ.200.300.1950.4ТК</t>
  </si>
  <si>
    <t>ВК.МАХ.200.300.2000.4ТК</t>
  </si>
  <si>
    <t>ВК.МАХ.200.300.2050.4ТК</t>
  </si>
  <si>
    <t>ВК.МАХ.200.300.2100.4ТК</t>
  </si>
  <si>
    <t>ВК.МАХ.200.300.2150.4ТК</t>
  </si>
  <si>
    <t>ВК.МАХ.200.300.2200.4ТК</t>
  </si>
  <si>
    <t>ВК.МАХ.200.300.2250.4ТК</t>
  </si>
  <si>
    <t>ВК.МАХ.200.300.2300.4ТК</t>
  </si>
  <si>
    <t>ВК.МАХ.200.300.2350.4ТК</t>
  </si>
  <si>
    <t>ВК.МАХ.200.300.2400.4ТК</t>
  </si>
  <si>
    <t>ВК.МАХ.200.300.2450.4ТК</t>
  </si>
  <si>
    <t>ВК.МАХ.200.300.2500.4ТК</t>
  </si>
  <si>
    <t>ВК.МАХ.200.300.2550.4ТК</t>
  </si>
  <si>
    <t>ВК.МАХ.200.300.2600.4ТК</t>
  </si>
  <si>
    <t>ВК.МАХ.200.300.2650.4ТК</t>
  </si>
  <si>
    <t>ВК.МАХ.200.300.2700.4ТК</t>
  </si>
  <si>
    <t>ВК.МАХ.200.300.2750.4ТК</t>
  </si>
  <si>
    <t>ВК.МАХ.200.300.2800.4ТК</t>
  </si>
  <si>
    <t>ВК.МАХ.200.300.2850.4ТК</t>
  </si>
  <si>
    <t>ВК.МАХ.200.300.2900.4ТК</t>
  </si>
  <si>
    <t>ВК.МАХ.200.300.2950.4ТК</t>
  </si>
  <si>
    <t>ВК.МАХ.200.300.3000.4ТК</t>
  </si>
  <si>
    <t>ВК.МАХ.200.360.600.4ТГ</t>
  </si>
  <si>
    <t>ВК.МАХ.200.360.650.4ТГ</t>
  </si>
  <si>
    <t>ВК.МАХ.200.360.700.4ТГ</t>
  </si>
  <si>
    <t>ВК.МАХ.200.360.750.4ТГ</t>
  </si>
  <si>
    <t>ВК.МАХ.200.360.800.4ТГ</t>
  </si>
  <si>
    <t>ВК.МАХ.200.360.850.4ТГ</t>
  </si>
  <si>
    <t>ВК.МАХ.200.360.900.4ТГ</t>
  </si>
  <si>
    <t>ВК.МАХ.200.360.950.4ТГ</t>
  </si>
  <si>
    <t>ВК.МАХ.200.360.1000.4ТГ</t>
  </si>
  <si>
    <t>ВК.МАХ.200.360.1050.4ТГ</t>
  </si>
  <si>
    <t>ВК.МАХ.200.360.1100.4ТГ</t>
  </si>
  <si>
    <t>ВК.МАХ.200.360.1150.4ТГ</t>
  </si>
  <si>
    <t>ВК.МАХ.200.360.1200.4ТГ</t>
  </si>
  <si>
    <t>ВК.МАХ.200.360.1250.4ТГ</t>
  </si>
  <si>
    <t>ВК.МАХ.200.360.1300.4ТГ</t>
  </si>
  <si>
    <t>ВК.МАХ.200.360.1350.4ТГ</t>
  </si>
  <si>
    <t>ВК.МАХ.200.360.1400.4ТГ</t>
  </si>
  <si>
    <t>ВК.МАХ.200.360.1450.4ТГ</t>
  </si>
  <si>
    <t>ВК.МАХ.200.360.1500.4ТГ</t>
  </si>
  <si>
    <t>ВК.МАХ.200.360.1550.4ТГ</t>
  </si>
  <si>
    <t>ВК.МАХ.200.360.1600.4ТГ</t>
  </si>
  <si>
    <t>ВК.МАХ.200.360.1650.4ТГ</t>
  </si>
  <si>
    <t>ВК.МАХ.200.360.1700.4ТГ</t>
  </si>
  <si>
    <t>ВК.МАХ.200.360.1750.4ТГ</t>
  </si>
  <si>
    <t>ВК.МАХ.200.360.1800.4ТГ</t>
  </si>
  <si>
    <t>ВК.МАХ.200.360.1850.4ТГ</t>
  </si>
  <si>
    <t>ВК.МАХ.200.360.1900.4ТГ</t>
  </si>
  <si>
    <t>ВК.МАХ.200.360.1950.4ТГ</t>
  </si>
  <si>
    <t>ВК.МАХ.200.360.2000.4ТГ</t>
  </si>
  <si>
    <t>ВК.МАХ.200.360.2050.4ТГ</t>
  </si>
  <si>
    <t>ВК.МАХ.200.360.2100.4ТГ</t>
  </si>
  <si>
    <t>ВК.МАХ.200.360.2150.4ТГ</t>
  </si>
  <si>
    <t>ВК.МАХ.200.360.2200.4ТГ</t>
  </si>
  <si>
    <t>ВК.МАХ.200.360.2250.4ТГ</t>
  </si>
  <si>
    <t>ВК.МАХ.200.360.2300.4ТГ</t>
  </si>
  <si>
    <t>ВК.МАХ.200.360.2350.4ТГ</t>
  </si>
  <si>
    <t>ВК.МАХ.200.360.2400.4ТГ</t>
  </si>
  <si>
    <t>ВК.МАХ.200.360.2450.4ТГ</t>
  </si>
  <si>
    <t>ВК.МАХ.200.360.2500.4ТГ</t>
  </si>
  <si>
    <t>ВК.МАХ.200.360.2550.4ТГ</t>
  </si>
  <si>
    <t>ВК.МАХ.200.360.2600.4ТГ</t>
  </si>
  <si>
    <t>ВК.МАХ.200.360.2650.4ТГ</t>
  </si>
  <si>
    <t>ВК.МАХ.200.360.2700.4ТГ</t>
  </si>
  <si>
    <t>ВК.МАХ.200.360.2750.4ТГ</t>
  </si>
  <si>
    <t>ВК.МАХ.200.360.2800.4ТГ</t>
  </si>
  <si>
    <t>ВК.МАХ.200.360.2850.4ТГ</t>
  </si>
  <si>
    <t>ВК.МАХ.200.360.2900.4ТГ</t>
  </si>
  <si>
    <t>ВК.МАХ.200.360.2950.4ТГ</t>
  </si>
  <si>
    <t>ВК.МАХ.200.360.3000.4ТГ</t>
  </si>
  <si>
    <t>ВК.МАХ.200.400.600.4ТГ</t>
  </si>
  <si>
    <t>ВК.МАХ.200.400.650.4ТГ</t>
  </si>
  <si>
    <t>ВК.МАХ.200.400.700.4ТГ</t>
  </si>
  <si>
    <t>ВК.МАХ.200.400.750.4ТГ</t>
  </si>
  <si>
    <t>ВК.МАХ.200.400.800.4ТГ</t>
  </si>
  <si>
    <t>ВК.МАХ.200.400.850.4ТГ</t>
  </si>
  <si>
    <t>ВК.МАХ.200.400.900.4ТГ</t>
  </si>
  <si>
    <t>ВК.МАХ.200.400.950.4ТГ</t>
  </si>
  <si>
    <t>ВК.МАХ.200.400.1000.4ТГ</t>
  </si>
  <si>
    <t>ВК.МАХ.200.400.1050.4ТГ</t>
  </si>
  <si>
    <t>ВК.МАХ.200.400.1100.4ТГ</t>
  </si>
  <si>
    <t>ВК.МАХ.200.400.1150.4ТГ</t>
  </si>
  <si>
    <t>ВК.МАХ.200.400.1200.4ТГ</t>
  </si>
  <si>
    <t>ВК.МАХ.200.400.1250.4ТГ</t>
  </si>
  <si>
    <t>ВК.МАХ.200.400.1300.4ТГ</t>
  </si>
  <si>
    <t>ВК.МАХ.200.400.1350.4ТГ</t>
  </si>
  <si>
    <t>ВК.МАХ.200.400.1400.4ТГ</t>
  </si>
  <si>
    <t>ВК.МАХ.200.400.1450.4ТГ</t>
  </si>
  <si>
    <t>ВК.МАХ.200.400.1500.4ТГ</t>
  </si>
  <si>
    <t>ВК.МАХ.200.400.1550.4ТГ</t>
  </si>
  <si>
    <t>ВК.МАХ.200.400.1600.4ТГ</t>
  </si>
  <si>
    <t>ВК.МАХ.200.400.1650.4ТГ</t>
  </si>
  <si>
    <t>ВК.МАХ.200.400.1700.4ТГ</t>
  </si>
  <si>
    <t>ВК.МАХ.200.400.1750.4ТГ</t>
  </si>
  <si>
    <t>ВК.МАХ.200.400.1800.4ТГ</t>
  </si>
  <si>
    <t>ВК.МАХ.200.400.1850.4ТГ</t>
  </si>
  <si>
    <t>ВК.МАХ.200.400.1900.4ТГ</t>
  </si>
  <si>
    <t>ВК.МАХ.200.400.1950.4ТГ</t>
  </si>
  <si>
    <t>ВК.МАХ.200.400.2000.4ТГ</t>
  </si>
  <si>
    <t>ВК.МАХ.200.400.2050.4ТГ</t>
  </si>
  <si>
    <t>ВК.МАХ.200.400.2100.4ТГ</t>
  </si>
  <si>
    <t>ВК.МАХ.200.400.2150.4ТГ</t>
  </si>
  <si>
    <t>ВК.МАХ.200.400.2200.4ТГ</t>
  </si>
  <si>
    <t>ВК.МАХ.200.400.2250.4ТГ</t>
  </si>
  <si>
    <t>ВК.МАХ.200.400.2300.4ТГ</t>
  </si>
  <si>
    <t>ВК.МАХ.200.400.2350.4ТГ</t>
  </si>
  <si>
    <t>ВК.МАХ.200.400.2400.4ТГ</t>
  </si>
  <si>
    <t>ВК.МАХ.200.400.2450.4ТГ</t>
  </si>
  <si>
    <t>ВК.МАХ.200.400.2500.4ТГ</t>
  </si>
  <si>
    <t>ВК.МАХ.200.400.2550.4ТГ</t>
  </si>
  <si>
    <t>ВК.МАХ.200.400.2600.4ТГ</t>
  </si>
  <si>
    <t>ВК.МАХ.200.400.2650.4ТГ</t>
  </si>
  <si>
    <t>ВК.МАХ.200.400.2700.4ТГ</t>
  </si>
  <si>
    <t>ВК.МАХ.200.400.2750.4ТГ</t>
  </si>
  <si>
    <t>ВК.МАХ.200.400.2800.4ТГ</t>
  </si>
  <si>
    <t>ВК.МАХ.200.400.2850.4ТГ</t>
  </si>
  <si>
    <t>ВК.МАХ.200.400.2900.4ТГ</t>
  </si>
  <si>
    <t>ВК.МАХ.200.400.2950.4ТГ</t>
  </si>
  <si>
    <t>ВК.МАХ.200.400.3000.4ТГ</t>
  </si>
  <si>
    <t>ВК.МАХ.90 мм</t>
  </si>
  <si>
    <t>ВК.МАХ.110 мм</t>
  </si>
  <si>
    <t>ВК.МАХ.150 мм</t>
  </si>
  <si>
    <t>ВК.МАХ.200 мм</t>
  </si>
  <si>
    <t>• МАХ  - труба ø22 мм</t>
  </si>
  <si>
    <t>МАХ.</t>
  </si>
  <si>
    <t>ВК.МАХ.090.200.ХХХ.2ТГ</t>
  </si>
  <si>
    <t>ВК.МАХ.090.260.ХХХ.2ТГ</t>
  </si>
  <si>
    <t>ВК.МАХ.090.300.ХХХ.2ТГ</t>
  </si>
  <si>
    <t>ВК.МАХ.090.360.ХХХ.2ТГ</t>
  </si>
  <si>
    <t>ВК.МАХ.090.360.ХХХ.4ТГ</t>
  </si>
  <si>
    <t>ВК.МАХ.090.400.ХХХ.4ТГ</t>
  </si>
  <si>
    <t>ВК.МАХ.110.200.ХХХ.2ТГ</t>
  </si>
  <si>
    <t>ВК.МАХ.110.260.ХХХ.2ТГ</t>
  </si>
  <si>
    <t>ВК.МАХ.110.300.ХХХ.2ТГ</t>
  </si>
  <si>
    <t>ВК.МАХ.110.360.ХХХ.2ТГ</t>
  </si>
  <si>
    <t>ВК.МАХ.110.360.ХХХ.4ТГ</t>
  </si>
  <si>
    <t>ВК.МАХ.110.400.ХХХ.4ТГ</t>
  </si>
  <si>
    <t>ВК.МАХ.150.200.ХХХ.2ТГ</t>
  </si>
  <si>
    <t>ВК.МАХ.150.260.ХХХ.2ТГ</t>
  </si>
  <si>
    <t>ВК.МАХ.150.300.ХХХ.2ТГ</t>
  </si>
  <si>
    <t>ВК.МАХ.150.360.ХХХ.2ТГ</t>
  </si>
  <si>
    <t>ВК.МАХ.150.360.ХХХ.4ТГ</t>
  </si>
  <si>
    <t>ВК.МАХ.150.400.ХХХ.4ТГ</t>
  </si>
  <si>
    <t>ВК.МАХ.200.160.ХХХ.2ТВ</t>
  </si>
  <si>
    <t>2ТВ</t>
  </si>
  <si>
    <t>ВК.МАХ.200.200.ХХХ.4ТК</t>
  </si>
  <si>
    <t>ВК.МАХ.200.260.ХХХ.4ТК</t>
  </si>
  <si>
    <t>ВК.МАХ.200.300.ХХХ.4ТК</t>
  </si>
  <si>
    <t>ВК.МАХ.200.360.ХХХ.4ТГ</t>
  </si>
  <si>
    <t>ВК.МАХ.200.400.ХХХ.4ТГ</t>
  </si>
  <si>
    <t>Стоимость с НДС, руб</t>
  </si>
  <si>
    <t>Исполнение алюминиевой решетки с нерж пружиной</t>
  </si>
  <si>
    <t xml:space="preserve">Цена 1 пог. м, руб </t>
  </si>
  <si>
    <t>Калькулятор для подбора внутрипольного конвектора с приточной вениляцей VITRON.</t>
  </si>
  <si>
    <t>Расход воздуха м3</t>
  </si>
  <si>
    <t>Максимальная скорость воздуха в системе, м/с</t>
  </si>
  <si>
    <t>ВКВ.МАХ</t>
  </si>
  <si>
    <t>ВКВ.МАХ 24В</t>
  </si>
  <si>
    <t>ВКВТХ 24В</t>
  </si>
  <si>
    <t>Кол-во патрубков, шт</t>
  </si>
  <si>
    <r>
      <rPr>
        <sz val="16"/>
        <color theme="1"/>
        <rFont val="Calibri"/>
        <family val="2"/>
        <charset val="204"/>
      </rPr>
      <t>ø</t>
    </r>
    <r>
      <rPr>
        <sz val="13.6"/>
        <color theme="1"/>
        <rFont val="Calibri"/>
        <family val="2"/>
      </rPr>
      <t xml:space="preserve"> патрубка, мм</t>
    </r>
  </si>
  <si>
    <t>ВК.065.260.ХХХ.2ТГ.24V</t>
  </si>
  <si>
    <t>ВКВ.МАХ.090.260.ХХХ.2ТГ.24V</t>
  </si>
  <si>
    <t>ВКВ.МАХ.090.300.ХХХ.2ТГ.24V</t>
  </si>
  <si>
    <t>ВКВ.МАХ.090.360.ХХХ.2ТГ.24V</t>
  </si>
  <si>
    <t>ВКВ.МАХ.090.400.ХХХ.2ТГ.24V</t>
  </si>
  <si>
    <t>ВКВ.МАХ.110.260.ХХХ.2ТГ.24V</t>
  </si>
  <si>
    <t>ВКВ.МАХ.110.300.ХХХ.2ТГ.24V</t>
  </si>
  <si>
    <t>ВКВ.МАХ.110.360.ХХХ.2ТГ.24V</t>
  </si>
  <si>
    <t>ВКВ.МАХ.110.400.ХХХ.2ТГ.24V</t>
  </si>
  <si>
    <t>ВКВ.МАХ.150.200.ХХХ.2ТГ.24V</t>
  </si>
  <si>
    <t>ВКВ.МАХ.150.260.ХХХ.2ТГ.24V</t>
  </si>
  <si>
    <t>ВКВ.МАХ.150.300.ХХХ.2ТГ.24V</t>
  </si>
  <si>
    <t>ВКВ.МАХ.150.360.ХХХ.2ТГ.24V</t>
  </si>
  <si>
    <t>ВКВ.МАХ.090.260.ХХХ.2ТГ</t>
  </si>
  <si>
    <t>ВКВ.МАХ.090.300.ХХХ.2ТГ</t>
  </si>
  <si>
    <t>ВКВ.МАХ.090.360.ХХХ.2ТГ</t>
  </si>
  <si>
    <t>ВКВ.МАХ.090.400.ХХХ.2ТГ</t>
  </si>
  <si>
    <t>ВКВ.МАХ.110.260.ХХХ.2ТГ</t>
  </si>
  <si>
    <t>ВКВ.МАХ.110.300.ХХХ.2ТГ</t>
  </si>
  <si>
    <t>ВКВ.МАХ.110.360.ХХХ.2ТГ</t>
  </si>
  <si>
    <t>ВКВ.МАХ.110.400.ХХХ.2ТГ</t>
  </si>
  <si>
    <t>ВКВ.МАХ.150.200.ХХХ.2ТГ</t>
  </si>
  <si>
    <t>ВКВ.МАХ.150.260.ХХХ.2ТГ</t>
  </si>
  <si>
    <t>ВКВ.МАХ.150.300.ХХХ.2ТГ</t>
  </si>
  <si>
    <t>ВКВ.МАХ.150.360.ХХХ.2ТГ</t>
  </si>
  <si>
    <t>ВКВ.МАХ.200.200.ХХХ.2ТГ</t>
  </si>
  <si>
    <t>ВКВ.МАХ.200.260.ХХХ.2ТГ</t>
  </si>
  <si>
    <t>ВКВ.МАХ.200.300.ХХХ.4ТГ</t>
  </si>
  <si>
    <t>ВКВ.МАХ.200.360.ХХХ.4ТГ</t>
  </si>
  <si>
    <t>• РПО – решетка на резиновом основании с окантовкой;</t>
  </si>
  <si>
    <t>• РПР – решетка на резиновом основании с рамкой;</t>
  </si>
  <si>
    <r>
      <rPr>
        <sz val="7"/>
        <color theme="1"/>
        <rFont val="Times New Roman"/>
        <family val="1"/>
        <charset val="204"/>
      </rPr>
      <t xml:space="preserve"> • </t>
    </r>
    <r>
      <rPr>
        <sz val="14"/>
        <color theme="1"/>
        <rFont val="Times New Roman"/>
        <family val="1"/>
        <charset val="204"/>
      </rPr>
      <t>РПF – решетка на резиновом основании с F-образной окантовкой;</t>
    </r>
  </si>
  <si>
    <r>
      <rPr>
        <sz val="7"/>
        <color theme="1"/>
        <rFont val="Times New Roman"/>
        <family val="1"/>
        <charset val="204"/>
      </rPr>
      <t xml:space="preserve"> • </t>
    </r>
    <r>
      <rPr>
        <sz val="14"/>
        <color theme="1"/>
        <rFont val="Times New Roman"/>
        <family val="1"/>
        <charset val="204"/>
      </rPr>
      <t>РПZ – решетка на резиновом основании с Z-рамкой;</t>
    </r>
  </si>
  <si>
    <t>* - Стоимость наценки 4800 руб.</t>
  </si>
  <si>
    <t>Декоративная крышка</t>
  </si>
  <si>
    <r>
      <t>Стоимость руб.</t>
    </r>
    <r>
      <rPr>
        <b/>
        <sz val="16"/>
        <color theme="0"/>
        <rFont val="Calibri"/>
        <family val="2"/>
        <charset val="204"/>
      </rPr>
      <t xml:space="preserve"> </t>
    </r>
    <r>
      <rPr>
        <b/>
        <sz val="16"/>
        <color theme="0"/>
        <rFont val="Calibri"/>
        <family val="2"/>
        <charset val="204"/>
        <scheme val="minor"/>
      </rPr>
      <t>с НДС</t>
    </r>
  </si>
  <si>
    <r>
      <t>Стоимость руб.</t>
    </r>
    <r>
      <rPr>
        <b/>
        <sz val="16"/>
        <color theme="0"/>
        <rFont val="Calibri"/>
        <family val="2"/>
        <charset val="204"/>
      </rPr>
      <t xml:space="preserve"> </t>
    </r>
    <r>
      <rPr>
        <b/>
        <sz val="16"/>
        <color theme="0"/>
        <rFont val="Calibri"/>
        <family val="2"/>
        <charset val="204"/>
        <scheme val="minor"/>
      </rPr>
      <t xml:space="preserve">с НДС </t>
    </r>
  </si>
  <si>
    <t xml:space="preserve">Исполнение решетки на резиновом основании </t>
  </si>
  <si>
    <t>Без надбавки</t>
  </si>
  <si>
    <t>Надбавка к цене алюминиевой решетки и рамки шагом 13 мм, коэф.</t>
  </si>
  <si>
    <t>Минимальная надбавка 11 000 руб.</t>
  </si>
  <si>
    <t>Минимальная надбавка 8 000 руб.</t>
  </si>
  <si>
    <t>*Услуга подбора цвета для дубовой решетки по образцу заказчика - 11 000 руб.</t>
  </si>
  <si>
    <t>*Минимальная надбавка на покраску дубовой решетки - 8 000 руб.</t>
  </si>
  <si>
    <t>Посезонная вкладка и монтажные крышки</t>
  </si>
  <si>
    <t>• ДК №1– Декоративная крышка узор №1;</t>
  </si>
  <si>
    <t>600-1199</t>
  </si>
  <si>
    <t>1200-1699</t>
  </si>
  <si>
    <t>1700-2199</t>
  </si>
  <si>
    <t>2200-2699</t>
  </si>
  <si>
    <t>2700-3000</t>
  </si>
  <si>
    <t>Скорость потока, м/с</t>
  </si>
  <si>
    <t>Для быстрого перехода в интересующий вас раздел нажмите на одну из ссылок ниже:</t>
  </si>
  <si>
    <t>Транспортные цвета, муары и шагрени в палитру не входят и обсуждаются отдельно.</t>
  </si>
  <si>
    <t xml:space="preserve">Исполнение с выемкой под колонну применяется для установки конвектора проходящего через любые виды колон. </t>
  </si>
  <si>
    <t>Конвектор с вентилятором, с корпусом из оцинкованной стали (ОЦ 1мм), крашеный в черный цвет, с алюминиевой решеткой и окантовкой.</t>
  </si>
  <si>
    <t>Конвектор с вентилятором, с корпусом из нержавеющей стали (AISI 0,8мм), с алюминиевой решеткой и окантовкой.</t>
  </si>
  <si>
    <t>Конвектор с вентилятором, с корпусом из оцинкованной стали (ОЦ 1мм), крашеный в черный цвет, с алюминиевой решеткой и рамкой (либо окантовкой).</t>
  </si>
  <si>
    <t>Конвектор с вентилятором, с корпусом из нержавеющей стали(AISI  0,8мм), с алюминиевой решеткой и рамкой (либо окантовкой).</t>
  </si>
  <si>
    <t>Стоимость решетки и рамки (либо окантовкой) в составе конвектора.</t>
  </si>
  <si>
    <t xml:space="preserve"> Стоимость решетки и окантовки из нержавеющей стали (AISI) в составе конвектора.</t>
  </si>
  <si>
    <t>Стоимость дубовой доски</t>
  </si>
  <si>
    <t>Конвектор встраиваемый в подоконник с решёткой с дубовой доской.</t>
  </si>
  <si>
    <t>Таблица, показывающая конвекторы к комплекты подключения, которые к ним подходят</t>
  </si>
  <si>
    <t>Комплект подключения №1</t>
  </si>
  <si>
    <t>Комплект подключения №2</t>
  </si>
  <si>
    <t>Комплект подключения №3</t>
  </si>
  <si>
    <t>Комплект подключения №3С</t>
  </si>
  <si>
    <t>Комплект подключения №3Т</t>
  </si>
  <si>
    <t>Комплект подключения №4</t>
  </si>
  <si>
    <t>Комплект подключения №5</t>
  </si>
  <si>
    <t>Термостат W-Therm WB 0-10V  (110V-240VAC, fan control 0-10V, WIFI, black)</t>
  </si>
  <si>
    <t>Термостат W-Therm WW 0-10V (110V-240VAC, fan control 0-10V, WIFI, white)</t>
  </si>
  <si>
    <t>Термостат W-Therm fancoil RWB 0-10V  (110V-240VAC, fan control 0-10V, WIFI, RS485, black)</t>
  </si>
  <si>
    <t>Термостат W-Therm fancoil RWW 0-10V (110V-240VAC, fan control 0-10V, WIFI, RS485, white)</t>
  </si>
  <si>
    <r>
      <t xml:space="preserve">Термостатическая головка MINI DIAMANT Белая M30*1,5 с логотипом Vitron </t>
    </r>
    <r>
      <rPr>
        <sz val="12"/>
        <color theme="1"/>
        <rFont val="Calibri"/>
        <family val="2"/>
        <charset val="204"/>
        <scheme val="minor"/>
      </rPr>
      <t>Производство Польша</t>
    </r>
  </si>
  <si>
    <t>ВК ВКЭ 220В</t>
  </si>
  <si>
    <t>ВКВТХ 24В ВКВ 24В</t>
  </si>
  <si>
    <t>VITRON.30.248.220VAC-1I</t>
  </si>
  <si>
    <t>ВКВ.65.260.700.2ТГ.24</t>
  </si>
  <si>
    <t>ВКВ.65.260.750.2ТГ.24</t>
  </si>
  <si>
    <t>ВКВ.65.260.800.2ТГ.24</t>
  </si>
  <si>
    <t>ВКВ.65.260.850.2ТГ.24</t>
  </si>
  <si>
    <t>ВКВ.65.260.900.2ТГ.24</t>
  </si>
  <si>
    <t>ВКВ.65.260.950.2ТГ.24</t>
  </si>
  <si>
    <t>ВКВ.65.260.1000.2ТГ.24</t>
  </si>
  <si>
    <t>ВКВ.65.260.1050.2ТГ.24</t>
  </si>
  <si>
    <t>ВКВ.65.260.1100.2ТГ.24</t>
  </si>
  <si>
    <t>ВКВ.65.260.1150.2ТГ.24</t>
  </si>
  <si>
    <t>ВКВ.65.260.1200.2ТГ.24</t>
  </si>
  <si>
    <t>ВКВ.65.260.1250.2ТГ.24</t>
  </si>
  <si>
    <t>ВКВ.65.260.1300.2ТГ.24</t>
  </si>
  <si>
    <t>ВКВ.65.260.1350.2ТГ.24</t>
  </si>
  <si>
    <t>ВКВ.65.260.1400.2ТГ.24</t>
  </si>
  <si>
    <t>ВКВ.65.260.1450.2ТГ.24</t>
  </si>
  <si>
    <t>ВКВ.65.260.1500.2ТГ.24</t>
  </si>
  <si>
    <t>ВКВ.65.260.1550.2ТГ.24</t>
  </si>
  <si>
    <t>ВКВ.65.260.1600.2ТГ.24</t>
  </si>
  <si>
    <t>ВКВ.65.260.1650.2ТГ.24</t>
  </si>
  <si>
    <t>ВКВ.65.260.1700.2ТГ.24</t>
  </si>
  <si>
    <t>ВКВ.65.260.1750.2ТГ.24</t>
  </si>
  <si>
    <t>ВКВ.65.260.1800.2ТГ.24</t>
  </si>
  <si>
    <t>ВКВ.65.260.1850.2ТГ.24</t>
  </si>
  <si>
    <t>ВКВ.65.260.1900.2ТГ.24</t>
  </si>
  <si>
    <t>ВКВ.65.260.1950.2ТГ.24</t>
  </si>
  <si>
    <t>ВКВ.65.260.2000.2ТГ.24</t>
  </si>
  <si>
    <t>ВКВ.65.260.2050.2ТГ.24</t>
  </si>
  <si>
    <t>ВКВ.65.260.2100.2ТГ.24</t>
  </si>
  <si>
    <t>ВКВ.65.260.2150.2ТГ.24</t>
  </si>
  <si>
    <t>ВКВ.65.260.2200.2ТГ.24</t>
  </si>
  <si>
    <t>ВКВ.65.260.2250.2ТГ.24</t>
  </si>
  <si>
    <t>ВКВ.65.260.2300.2ТГ.24</t>
  </si>
  <si>
    <t>ВКВ.65.260.2350.2ТГ.24</t>
  </si>
  <si>
    <t>ВКВ.65.260.2400.2ТГ.24</t>
  </si>
  <si>
    <t>ВКВ.65.260.2450.2ТГ.24</t>
  </si>
  <si>
    <t>ВКВ.65.260.2500.2ТГ.24</t>
  </si>
  <si>
    <t>ВКВ.65.260.2550.2ТГ.24</t>
  </si>
  <si>
    <t>ВКВ.65.260.2600.2ТГ.24</t>
  </si>
  <si>
    <t>ВКВ.65.260.2650.2ТГ.24</t>
  </si>
  <si>
    <t>ВКВ.65.260.2700.2ТГ.24</t>
  </si>
  <si>
    <t>ВКВ.65.260.2750.2ТГ.24</t>
  </si>
  <si>
    <t>ВКВ.65.260.2800.2ТГ.24</t>
  </si>
  <si>
    <t>ВКВ.65.260.2850.2ТГ.24</t>
  </si>
  <si>
    <t>ВКВ.65.260.2900.2ТГ.24</t>
  </si>
  <si>
    <t>ВКВ.65.260.2950.2ТГ.24</t>
  </si>
  <si>
    <t>ВКВ.65.260.3000.2ТГ.24</t>
  </si>
  <si>
    <t>ВКВ.65.300.700.2ТГ.24</t>
  </si>
  <si>
    <t>ВКВ.65.300.750.2ТГ.24</t>
  </si>
  <si>
    <t>ВКВ.65.300.800.2ТГ.24</t>
  </si>
  <si>
    <t>ВКВ.65.300.850.2ТГ.24</t>
  </si>
  <si>
    <t>ВКВ.65.300.900.2ТГ.24</t>
  </si>
  <si>
    <t>ВКВ.65.300.950.2ТГ.24</t>
  </si>
  <si>
    <t>ВКВ.65.300.1000.2ТГ.24</t>
  </si>
  <si>
    <t>ВКВ.65.300.1050.2ТГ.24</t>
  </si>
  <si>
    <t>ВКВ.65.300.1100.2ТГ.24</t>
  </si>
  <si>
    <t>ВКВ.65.300.1150.2ТГ.24</t>
  </si>
  <si>
    <t>ВКВ.65.300.1200.2ТГ.24</t>
  </si>
  <si>
    <t>ВКВ.65.300.1250.2ТГ.24</t>
  </si>
  <si>
    <t>ВКВ.65.300.1300.2ТГ.24</t>
  </si>
  <si>
    <t>ВКВ.65.300.1350.2ТГ.24</t>
  </si>
  <si>
    <t>ВКВ.65.300.1400.2ТГ.24</t>
  </si>
  <si>
    <t>ВКВ.65.300.1450.2ТГ.24</t>
  </si>
  <si>
    <t>ВКВ.65.300.1500.2ТГ.24</t>
  </si>
  <si>
    <t>ВКВ.65.300.1550.2ТГ.24</t>
  </si>
  <si>
    <t>ВКВ.65.300.1600.2ТГ.24</t>
  </si>
  <si>
    <t>ВКВ.65.300.1650.2ТГ.24</t>
  </si>
  <si>
    <t>ВКВ.65.300.1700.2ТГ.24</t>
  </si>
  <si>
    <t>ВКВ.65.300.1750.2ТГ.24</t>
  </si>
  <si>
    <t>ВКВ.65.300.1800.2ТГ.24</t>
  </si>
  <si>
    <t>ВКВ.65.300.1850.2ТГ.24</t>
  </si>
  <si>
    <t>ВКВ.65.300.1900.2ТГ.24</t>
  </si>
  <si>
    <t>ВКВ.65.300.1950.2ТГ.24</t>
  </si>
  <si>
    <t>ВКВ.65.300.2000.2ТГ.24</t>
  </si>
  <si>
    <t>ВКВ.65.300.2050.2ТГ.24</t>
  </si>
  <si>
    <t>ВКВ.65.300.2100.2ТГ.24</t>
  </si>
  <si>
    <t>ВКВ.65.300.2150.2ТГ.24</t>
  </si>
  <si>
    <t>ВКВ.65.300.2200.2ТГ.24</t>
  </si>
  <si>
    <t>ВКВ.65.300.2250.2ТГ.24</t>
  </si>
  <si>
    <t>ВКВ.65.300.2300.2ТГ.24</t>
  </si>
  <si>
    <t>ВКВ.65.300.2350.2ТГ.24</t>
  </si>
  <si>
    <t>ВКВ.65.300.2400.2ТГ.24</t>
  </si>
  <si>
    <t>ВКВ.65.300.2450.2ТГ.24</t>
  </si>
  <si>
    <t>ВКВ.65.300.2500.2ТГ.24</t>
  </si>
  <si>
    <t>ВКВ.65.300.2550.2ТГ.24</t>
  </si>
  <si>
    <t>ВКВ.65.300.2600.2ТГ.24</t>
  </si>
  <si>
    <t>ВКВ.65.300.2650.2ТГ.24</t>
  </si>
  <si>
    <t>ВКВ.65.300.2700.2ТГ.24</t>
  </si>
  <si>
    <t>ВКВ.65.300.2750.2ТГ.24</t>
  </si>
  <si>
    <t>ВКВ.65.300.2800.2ТГ.24</t>
  </si>
  <si>
    <t>ВКВ.65.300.2850.2ТГ.24</t>
  </si>
  <si>
    <t>ВКВ.65.300.2900.2ТГ.24</t>
  </si>
  <si>
    <t>ВКВ.65.300.2950.2ТГ.24</t>
  </si>
  <si>
    <t>ВКВ.65.300.3000.2ТГ.24</t>
  </si>
  <si>
    <t>ВКВ.70.260.700.2ТГ.24</t>
  </si>
  <si>
    <t>ВКВ.70.260.750.2ТГ.24</t>
  </si>
  <si>
    <t>ВКВ.70.260.800.2ТГ.24</t>
  </si>
  <si>
    <t>ВКВ.70.260.850.2ТГ.24</t>
  </si>
  <si>
    <t>ВКВ.70.260.900.2ТГ.24</t>
  </si>
  <si>
    <t>ВКВ.70.260.950.2ТГ.24</t>
  </si>
  <si>
    <t>ВКВ.70.260.1000.2ТГ.24</t>
  </si>
  <si>
    <t>ВКВ.70.260.1050.2ТГ.24</t>
  </si>
  <si>
    <t>ВКВ.70.260.1100.2ТГ.24</t>
  </si>
  <si>
    <t>ВКВ.70.260.1150.2ТГ.24</t>
  </si>
  <si>
    <t>ВКВ.70.260.1200.2ТГ.24</t>
  </si>
  <si>
    <t>ВКВ.70.260.1250.2ТГ.24</t>
  </si>
  <si>
    <t>ВКВ.70.260.1300.2ТГ.24</t>
  </si>
  <si>
    <t>ВКВ.70.260.1350.2ТГ.24</t>
  </si>
  <si>
    <t>ВКВ.70.260.1400.2ТГ.24</t>
  </si>
  <si>
    <t>ВКВ.70.260.1450.2ТГ.24</t>
  </si>
  <si>
    <t>ВКВ.70.260.1500.2ТГ.24</t>
  </si>
  <si>
    <t>ВКВ.70.260.1550.2ТГ.24</t>
  </si>
  <si>
    <t>ВКВ.70.260.1600.2ТГ.24</t>
  </si>
  <si>
    <t>ВКВ.70.260.1650.2ТГ.24</t>
  </si>
  <si>
    <t>ВКВ.70.260.1700.2ТГ.24</t>
  </si>
  <si>
    <t>ВКВ.70.260.1750.2ТГ.24</t>
  </si>
  <si>
    <t>ВКВ.70.260.1800.2ТГ.24</t>
  </si>
  <si>
    <t>ВКВ.70.260.1850.2ТГ.24</t>
  </si>
  <si>
    <t>ВКВ.70.260.1900.2ТГ.24</t>
  </si>
  <si>
    <t>ВКВ.70.260.1950.2ТГ.24</t>
  </si>
  <si>
    <t>ВКВ.70.260.2000.2ТГ.24</t>
  </si>
  <si>
    <t>ВКВ.70.260.2050.2ТГ.24</t>
  </si>
  <si>
    <t>ВКВ.70.260.2100.2ТГ.24</t>
  </si>
  <si>
    <t>ВКВ.70.260.2150.2ТГ.24</t>
  </si>
  <si>
    <t>ВКВ.70.260.2200.2ТГ.24</t>
  </si>
  <si>
    <t>ВКВ.70.260.2250.2ТГ.24</t>
  </si>
  <si>
    <t>ВКВ.70.260.2300.2ТГ.24</t>
  </si>
  <si>
    <t>ВКВ.70.260.2350.2ТГ.24</t>
  </si>
  <si>
    <t>ВКВ.70.260.2400.2ТГ.24</t>
  </si>
  <si>
    <t>ВКВ.70.260.2450.2ТГ.24</t>
  </si>
  <si>
    <t>ВКВ.70.260.2500.2ТГ.24</t>
  </si>
  <si>
    <t>ВКВ.70.260.2550.2ТГ.24</t>
  </si>
  <si>
    <t>ВКВ.70.260.2600.2ТГ.24</t>
  </si>
  <si>
    <t>ВКВ.70.260.2650.2ТГ.24</t>
  </si>
  <si>
    <t>ВКВ.70.260.2700.2ТГ.24</t>
  </si>
  <si>
    <t>ВКВ.70.260.2750.2ТГ.24</t>
  </si>
  <si>
    <t>ВКВ.70.260.2800.2ТГ.24</t>
  </si>
  <si>
    <t>ВКВ.70.260.2850.2ТГ.24</t>
  </si>
  <si>
    <t>ВКВ.70.260.2900.2ТГ.24</t>
  </si>
  <si>
    <t>ВКВ.70.260.2950.2ТГ.24</t>
  </si>
  <si>
    <t>ВКВ.70.260.3000.2ТГ.24</t>
  </si>
  <si>
    <t>ВКВ.70.300.700.2ТГ.24</t>
  </si>
  <si>
    <t>ВКВ.70.300.750.2ТГ.24</t>
  </si>
  <si>
    <t>ВКВ.70.300.800.2ТГ.24</t>
  </si>
  <si>
    <t>ВКВ.70.300.850.2ТГ.24</t>
  </si>
  <si>
    <t>ВКВ.70.300.900.2ТГ.24</t>
  </si>
  <si>
    <t>ВКВ.70.300.950.2ТГ.24</t>
  </si>
  <si>
    <t>ВКВ.70.300.1000.2ТГ.24</t>
  </si>
  <si>
    <t>ВКВ.70.300.1050.2ТГ.24</t>
  </si>
  <si>
    <t>ВКВ.70.300.1100.2ТГ.24</t>
  </si>
  <si>
    <t>ВКВ.70.300.1150.2ТГ.24</t>
  </si>
  <si>
    <t>ВКВ.70.300.1200.2ТГ.24</t>
  </si>
  <si>
    <t>ВКВ.70.300.1250.2ТГ.24</t>
  </si>
  <si>
    <t>ВКВ.70.300.1300.2ТГ.24</t>
  </si>
  <si>
    <t>ВКВ.70.300.1350.2ТГ.24</t>
  </si>
  <si>
    <t>ВКВ.70.300.1400.2ТГ.24</t>
  </si>
  <si>
    <t>ВКВ.70.300.1450.2ТГ.24</t>
  </si>
  <si>
    <t>ВКВ.70.300.1500.2ТГ.24</t>
  </si>
  <si>
    <t>ВКВ.70.300.1550.2ТГ.24</t>
  </si>
  <si>
    <t>ВКВ.70.300.1600.2ТГ.24</t>
  </si>
  <si>
    <t>ВКВ.70.300.1650.2ТГ.24</t>
  </si>
  <si>
    <t>ВКВ.70.300.1700.2ТГ.24</t>
  </si>
  <si>
    <t>ВКВ.70.300.1750.2ТГ.24</t>
  </si>
  <si>
    <t>ВКВ.70.300.1800.2ТГ.24</t>
  </si>
  <si>
    <t>ВКВ.70.300.1850.2ТГ.24</t>
  </si>
  <si>
    <t>ВКВ.70.300.1900.2ТГ.24</t>
  </si>
  <si>
    <t>ВКВ.70.300.1950.2ТГ.24</t>
  </si>
  <si>
    <t>ВКВ.70.300.2000.2ТГ.24</t>
  </si>
  <si>
    <t>ВКВ.70.300.2050.2ТГ.24</t>
  </si>
  <si>
    <t>ВКВ.70.300.2100.2ТГ.24</t>
  </si>
  <si>
    <t>ВКВ.70.300.2150.2ТГ.24</t>
  </si>
  <si>
    <t>ВКВ.70.300.2200.2ТГ.24</t>
  </si>
  <si>
    <t>ВКВ.70.300.2250.2ТГ.24</t>
  </si>
  <si>
    <t>ВКВ.70.300.2300.2ТГ.24</t>
  </si>
  <si>
    <t>ВКВ.70.300.2350.2ТГ.24</t>
  </si>
  <si>
    <t>ВКВ.70.300.2400.2ТГ.24</t>
  </si>
  <si>
    <t>ВКВ.70.300.2450.2ТГ.24</t>
  </si>
  <si>
    <t>ВКВ.70.300.2500.2ТГ.24</t>
  </si>
  <si>
    <t>ВКВ.70.300.2550.2ТГ.24</t>
  </si>
  <si>
    <t>ВКВ.70.300.2600.2ТГ.24</t>
  </si>
  <si>
    <t>ВКВ.70.300.2650.2ТГ.24</t>
  </si>
  <si>
    <t>ВКВ.70.300.2700.2ТГ.24</t>
  </si>
  <si>
    <t>ВКВ.70.300.2750.2ТГ.24</t>
  </si>
  <si>
    <t>ВКВ.70.300.2800.2ТГ.24</t>
  </si>
  <si>
    <t>ВКВ.70.300.2850.2ТГ.24</t>
  </si>
  <si>
    <t>ВКВ.70.300.2900.2ТГ.24</t>
  </si>
  <si>
    <t>ВКВ.70.300.2950.2ТГ.24</t>
  </si>
  <si>
    <t>ВКВ.70.300.3000.2ТГ.24</t>
  </si>
  <si>
    <t>ВКВ.75.260.700.2ТГ.24</t>
  </si>
  <si>
    <t>ВКВ.75.260.750.2ТГ.24</t>
  </si>
  <si>
    <t>ВКВ.75.260.800.2ТГ.24</t>
  </si>
  <si>
    <t>ВКВ.75.260.850.2ТГ.24</t>
  </si>
  <si>
    <t>ВКВ.75.260.900.2ТГ.24</t>
  </si>
  <si>
    <t>ВКВ.75.260.950.2ТГ.24</t>
  </si>
  <si>
    <t>ВКВ.75.260.1000.2ТГ.24</t>
  </si>
  <si>
    <t>ВКВ.75.260.1050.2ТГ.24</t>
  </si>
  <si>
    <t>ВКВ.75.260.1100.2ТГ.24</t>
  </si>
  <si>
    <t>ВКВ.75.260.1150.2ТГ.24</t>
  </si>
  <si>
    <t>ВКВ.75.260.1200.2ТГ.24</t>
  </si>
  <si>
    <t>ВКВ.75.260.1250.2ТГ.24</t>
  </si>
  <si>
    <t>ВКВ.75.260.1300.2ТГ.24</t>
  </si>
  <si>
    <t>ВКВ.75.260.1350.2ТГ.24</t>
  </si>
  <si>
    <t>ВКВ.75.260.1400.2ТГ.24</t>
  </si>
  <si>
    <t>ВКВ.75.260.1450.2ТГ.24</t>
  </si>
  <si>
    <t>ВКВ.75.260.1500.2ТГ.24</t>
  </si>
  <si>
    <t>ВКВ.75.260.1550.2ТГ.24</t>
  </si>
  <si>
    <t>ВКВ.75.260.1600.2ТГ.24</t>
  </si>
  <si>
    <t>ВКВ.75.260.1650.2ТГ.24</t>
  </si>
  <si>
    <t>ВКВ.75.260.1700.2ТГ.24</t>
  </si>
  <si>
    <t>ВКВ.75.260.1750.2ТГ.24</t>
  </si>
  <si>
    <t>ВКВ.75.260.1800.2ТГ.24</t>
  </si>
  <si>
    <t>ВКВ.75.260.1850.2ТГ.24</t>
  </si>
  <si>
    <t>ВКВ.75.260.1900.2ТГ.24</t>
  </si>
  <si>
    <t>ВКВ.75.260.1950.2ТГ.24</t>
  </si>
  <si>
    <t>ВКВ.75.260.2000.2ТГ.24</t>
  </si>
  <si>
    <t>ВКВ.75.260.2050.2ТГ.24</t>
  </si>
  <si>
    <t>ВКВ.75.260.2100.2ТГ.24</t>
  </si>
  <si>
    <t>ВКВ.75.260.2150.2ТГ.24</t>
  </si>
  <si>
    <t>ВКВ.75.260.2200.2ТГ.24</t>
  </si>
  <si>
    <t>ВКВ.75.260.2250.2ТГ.24</t>
  </si>
  <si>
    <t>ВКВ.75.260.2300.2ТГ.24</t>
  </si>
  <si>
    <t>ВКВ.75.260.2350.2ТГ.24</t>
  </si>
  <si>
    <t>ВКВ.75.260.2400.2ТГ.24</t>
  </si>
  <si>
    <t>ВКВ.75.260.2450.2ТГ.24</t>
  </si>
  <si>
    <t>ВКВ.75.260.2500.2ТГ.24</t>
  </si>
  <si>
    <t>ВКВ.75.260.2550.2ТГ.24</t>
  </si>
  <si>
    <t>ВКВ.75.260.2600.2ТГ.24</t>
  </si>
  <si>
    <t>ВКВ.75.260.2650.2ТГ.24</t>
  </si>
  <si>
    <t>ВКВ.75.260.2700.2ТГ.24</t>
  </si>
  <si>
    <t>ВКВ.75.260.2750.2ТГ.24</t>
  </si>
  <si>
    <t>ВКВ.75.260.2800.2ТГ.24</t>
  </si>
  <si>
    <t>ВКВ.75.260.2850.2ТГ.24</t>
  </si>
  <si>
    <t>ВКВ.75.260.2900.2ТГ.24</t>
  </si>
  <si>
    <t>ВКВ.75.260.2950.2ТГ.24</t>
  </si>
  <si>
    <t>ВКВ.75.260.3000.2ТГ.24</t>
  </si>
  <si>
    <t>ВКВ.75.300.700.2ТГ.24</t>
  </si>
  <si>
    <t>ВКВ.75.300.750.2ТГ.24</t>
  </si>
  <si>
    <t>ВКВ.75.300.800.2ТГ.24</t>
  </si>
  <si>
    <t>ВКВ.75.300.850.2ТГ.24</t>
  </si>
  <si>
    <t>ВКВ.75.300.900.2ТГ.24</t>
  </si>
  <si>
    <t>ВКВ.75.300.950.2ТГ.24</t>
  </si>
  <si>
    <t>ВКВ.75.300.1000.2ТГ.24</t>
  </si>
  <si>
    <t>ВКВ.75.300.1050.2ТГ.24</t>
  </si>
  <si>
    <t>ВКВ.75.300.1100.2ТГ.24</t>
  </si>
  <si>
    <t>ВКВ.75.300.1150.2ТГ.24</t>
  </si>
  <si>
    <t>ВКВ.75.300.1200.2ТГ.24</t>
  </si>
  <si>
    <t>ВКВ.75.300.1250.2ТГ.24</t>
  </si>
  <si>
    <t>ВКВ.75.300.1300.2ТГ.24</t>
  </si>
  <si>
    <t>ВКВ.75.300.1350.2ТГ.24</t>
  </si>
  <si>
    <t>ВКВ.75.300.1400.2ТГ.24</t>
  </si>
  <si>
    <t>ВКВ.75.300.1450.2ТГ.24</t>
  </si>
  <si>
    <t>ВКВ.75.300.1500.2ТГ.24</t>
  </si>
  <si>
    <t>ВКВ.75.300.1550.2ТГ.24</t>
  </si>
  <si>
    <t>ВКВ.75.300.1600.2ТГ.24</t>
  </si>
  <si>
    <t>ВКВ.75.300.1650.2ТГ.24</t>
  </si>
  <si>
    <t>ВКВ.75.300.1700.2ТГ.24</t>
  </si>
  <si>
    <t>ВКВ.75.300.1750.2ТГ.24</t>
  </si>
  <si>
    <t>ВКВ.75.300.1800.2ТГ.24</t>
  </si>
  <si>
    <t>ВКВ.75.300.1850.2ТГ.24</t>
  </si>
  <si>
    <t>ВКВ.75.300.1900.2ТГ.24</t>
  </si>
  <si>
    <t>ВКВ.75.300.1950.2ТГ.24</t>
  </si>
  <si>
    <t>ВКВ.75.300.2000.2ТГ.24</t>
  </si>
  <si>
    <t>ВКВ.75.300.2050.2ТГ.24</t>
  </si>
  <si>
    <t>ВКВ.75.300.2100.2ТГ.24</t>
  </si>
  <si>
    <t>ВКВ.75.300.2150.2ТГ.24</t>
  </si>
  <si>
    <t>ВКВ.75.300.2200.2ТГ.24</t>
  </si>
  <si>
    <t>ВКВ.75.300.2250.2ТГ.24</t>
  </si>
  <si>
    <t>ВКВ.75.300.2300.2ТГ.24</t>
  </si>
  <si>
    <t>ВКВ.75.300.2350.2ТГ.24</t>
  </si>
  <si>
    <t>ВКВ.75.300.2400.2ТГ.24</t>
  </si>
  <si>
    <t>ВКВ.75.300.2450.2ТГ.24</t>
  </si>
  <si>
    <t>ВКВ.75.300.2500.2ТГ.24</t>
  </si>
  <si>
    <t>ВКВ.75.300.2550.2ТГ.24</t>
  </si>
  <si>
    <t>ВКВ.75.300.2600.2ТГ.24</t>
  </si>
  <si>
    <t>ВКВ.75.300.2650.2ТГ.24</t>
  </si>
  <si>
    <t>ВКВ.75.300.2700.2ТГ.24</t>
  </si>
  <si>
    <t>ВКВ.75.300.2750.2ТГ.24</t>
  </si>
  <si>
    <t>ВКВ.75.300.2800.2ТГ.24</t>
  </si>
  <si>
    <t>ВКВ.75.300.2850.2ТГ.24</t>
  </si>
  <si>
    <t>ВКВ.75.300.2900.2ТГ.24</t>
  </si>
  <si>
    <t>ВКВ.75.300.2950.2ТГ.24</t>
  </si>
  <si>
    <t>ВКВ.75.300.3000.2ТГ.24</t>
  </si>
  <si>
    <t>ВКВ.75.360.700.4ТГ.24</t>
  </si>
  <si>
    <t>ВКВ.75.360.750.4ТГ.24</t>
  </si>
  <si>
    <t>ВКВ.75.360.800.4ТГ.24</t>
  </si>
  <si>
    <t>ВКВ.75.360.850.4ТГ.24</t>
  </si>
  <si>
    <t>ВКВ.75.360.900.4ТГ.24</t>
  </si>
  <si>
    <t>ВКВ.75.360.950.4ТГ.24</t>
  </si>
  <si>
    <t>ВКВ.75.360.1000.4ТГ.24</t>
  </si>
  <si>
    <t>ВКВ.75.360.1050.4ТГ.24</t>
  </si>
  <si>
    <t>ВКВ.75.360.1100.4ТГ.24</t>
  </si>
  <si>
    <t>ВКВ.75.360.1150.4ТГ.24</t>
  </si>
  <si>
    <t>ВКВ.75.360.1200.4ТГ.24</t>
  </si>
  <si>
    <t>ВКВ.75.360.1250.4ТГ.24</t>
  </si>
  <si>
    <t>ВКВ.75.360.1300.4ТГ.24</t>
  </si>
  <si>
    <t>ВКВ.75.360.1350.4ТГ.24</t>
  </si>
  <si>
    <t>ВКВ.75.360.1400.4ТГ.24</t>
  </si>
  <si>
    <t>ВКВ.75.360.1450.4ТГ.24</t>
  </si>
  <si>
    <t>ВКВ.75.360.1500.4ТГ.24</t>
  </si>
  <si>
    <t>ВКВ.75.360.1550.4ТГ.24</t>
  </si>
  <si>
    <t>ВКВ.75.360.1600.4ТГ.24</t>
  </si>
  <si>
    <t>ВКВ.75.360.1650.4ТГ.24</t>
  </si>
  <si>
    <t>ВКВ.75.360.1700.4ТГ.24</t>
  </si>
  <si>
    <t>ВКВ.75.360.1750.4ТГ.24</t>
  </si>
  <si>
    <t>ВКВ.75.360.1800.4ТГ.24</t>
  </si>
  <si>
    <t>ВКВ.75.360.1850.4ТГ.24</t>
  </si>
  <si>
    <t>ВКВ.75.360.1900.4ТГ.24</t>
  </si>
  <si>
    <t>ВКВ.75.360.1950.4ТГ.24</t>
  </si>
  <si>
    <t>ВКВ.75.360.2000.4ТГ.24</t>
  </si>
  <si>
    <t>ВКВ.75.360.2050.4ТГ.24</t>
  </si>
  <si>
    <t>ВКВ.75.360.2100.4ТГ.24</t>
  </si>
  <si>
    <t>ВКВ.75.360.2150.4ТГ.24</t>
  </si>
  <si>
    <t>ВКВ.75.360.2200.4ТГ.24</t>
  </si>
  <si>
    <t>ВКВ.75.360.2250.4ТГ.24</t>
  </si>
  <si>
    <t>ВКВ.75.360.2300.4ТГ.24</t>
  </si>
  <si>
    <t>ВКВ.75.360.2350.4ТГ.24</t>
  </si>
  <si>
    <t>ВКВ.75.360.2400.4ТГ.24</t>
  </si>
  <si>
    <t>ВКВ.75.360.2450.4ТГ.24</t>
  </si>
  <si>
    <t>ВКВ.75.360.2500.4ТГ.24</t>
  </si>
  <si>
    <t>ВКВ.75.360.2550.4ТГ.24</t>
  </si>
  <si>
    <t>ВКВ.75.360.2600.4ТГ.24</t>
  </si>
  <si>
    <t>ВКВ.75.360.2650.4ТГ.24</t>
  </si>
  <si>
    <t>ВКВ.75.360.2700.4ТГ.24</t>
  </si>
  <si>
    <t>ВКВ.75.360.2750.4ТГ.24</t>
  </si>
  <si>
    <t>ВКВ.75.360.2800.4ТГ.24</t>
  </si>
  <si>
    <t>ВКВ.75.360.2850.4ТГ.24</t>
  </si>
  <si>
    <t>ВКВ.75.360.2900.4ТГ.24</t>
  </si>
  <si>
    <t>ВКВ.75.360.2950.4ТГ.24</t>
  </si>
  <si>
    <t>ВКВ.75.360.3000.4ТГ.24</t>
  </si>
  <si>
    <t>ВКВ.75.400.700.4ТГ.24</t>
  </si>
  <si>
    <t>ВКВ.75.400.750.4ТГ.24</t>
  </si>
  <si>
    <t>ВКВ.75.400.800.4ТГ.24</t>
  </si>
  <si>
    <t>ВКВ.75.400.850.4ТГ.24</t>
  </si>
  <si>
    <t>ВКВ.75.400.900.4ТГ.24</t>
  </si>
  <si>
    <t>ВКВ.75.400.950.4ТГ.24</t>
  </si>
  <si>
    <t>ВКВ.75.400.1000.4ТГ.24</t>
  </si>
  <si>
    <t>ВКВ.75.400.1050.4ТГ.24</t>
  </si>
  <si>
    <t>ВКВ.75.400.1100.4ТГ.24</t>
  </si>
  <si>
    <t>ВКВ.75.400.1150.4ТГ.24</t>
  </si>
  <si>
    <t>ВКВ.75.400.1200.4ТГ.24</t>
  </si>
  <si>
    <t>ВКВ.75.400.1250.4ТГ.24</t>
  </si>
  <si>
    <t>ВКВ.75.400.1300.4ТГ.24</t>
  </si>
  <si>
    <t>ВКВ.75.400.1350.4ТГ.24</t>
  </si>
  <si>
    <t>ВКВ.75.400.1400.4ТГ.24</t>
  </si>
  <si>
    <t>ВКВ.75.400.1450.4ТГ.24</t>
  </si>
  <si>
    <t>ВКВ.75.400.1500.4ТГ.24</t>
  </si>
  <si>
    <t>ВКВ.75.400.1550.4ТГ.24</t>
  </si>
  <si>
    <t>ВКВ.75.400.1600.4ТГ.24</t>
  </si>
  <si>
    <t>ВКВ.75.400.1650.4ТГ.24</t>
  </si>
  <si>
    <t>ВКВ.75.400.1700.4ТГ.24</t>
  </si>
  <si>
    <t>ВКВ.75.400.1750.4ТГ.24</t>
  </si>
  <si>
    <t>ВКВ.75.400.1800.4ТГ.24</t>
  </si>
  <si>
    <t>ВКВ.75.400.1850.4ТГ.24</t>
  </si>
  <si>
    <t>ВКВ.75.400.1900.4ТГ.24</t>
  </si>
  <si>
    <t>ВКВ.75.400.1950.4ТГ.24</t>
  </si>
  <si>
    <t>ВКВ.75.400.2000.4ТГ.24</t>
  </si>
  <si>
    <t>ВКВ.75.400.2050.4ТГ.24</t>
  </si>
  <si>
    <t>ВКВ.75.400.2100.4ТГ.24</t>
  </si>
  <si>
    <t>ВКВ.75.400.2150.4ТГ.24</t>
  </si>
  <si>
    <t>ВКВ.75.400.2200.4ТГ.24</t>
  </si>
  <si>
    <t>ВКВ.75.400.2250.4ТГ.24</t>
  </si>
  <si>
    <t>ВКВ.75.400.2300.4ТГ.24</t>
  </si>
  <si>
    <t>ВКВ.75.400.2350.4ТГ.24</t>
  </si>
  <si>
    <t>ВКВ.75.400.2400.4ТГ.24</t>
  </si>
  <si>
    <t>ВКВ.75.400.2450.4ТГ.24</t>
  </si>
  <si>
    <t>ВКВ.75.400.2500.4ТГ.24</t>
  </si>
  <si>
    <t>ВКВ.75.400.2550.4ТГ.24</t>
  </si>
  <si>
    <t>ВКВ.75.400.2600.4ТГ.24</t>
  </si>
  <si>
    <t>ВКВ.75.400.2650.4ТГ.24</t>
  </si>
  <si>
    <t>ВКВ.75.400.2700.4ТГ.24</t>
  </si>
  <si>
    <t>ВКВ.75.400.2750.4ТГ.24</t>
  </si>
  <si>
    <t>ВКВ.75.400.2800.4ТГ.24</t>
  </si>
  <si>
    <t>ВКВ.75.400.2850.4ТГ.24</t>
  </si>
  <si>
    <t>ВКВ.75.400.2900.4ТГ.24</t>
  </si>
  <si>
    <t>ВКВ.75.400.2950.4ТГ.24</t>
  </si>
  <si>
    <t>ВКВ.75.400.3000.4ТГ.24</t>
  </si>
  <si>
    <t>ВКВ.80.260.700.2ТГ.24</t>
  </si>
  <si>
    <t>ВКВ.80.260.750.2ТГ.24</t>
  </si>
  <si>
    <t>ВКВ.80.260.800.2ТГ.24</t>
  </si>
  <si>
    <t>ВКВ.80.260.850.2ТГ.24</t>
  </si>
  <si>
    <t>ВКВ.80.260.900.2ТГ.24</t>
  </si>
  <si>
    <t>ВКВ.80.260.950.2ТГ.24</t>
  </si>
  <si>
    <t>ВКВ.80.260.1000.2ТГ.24</t>
  </si>
  <si>
    <t>ВКВ.80.260.1050.2ТГ.24</t>
  </si>
  <si>
    <t>ВКВ.80.260.1100.2ТГ.24</t>
  </si>
  <si>
    <t>ВКВ.80.260.1150.2ТГ.24</t>
  </si>
  <si>
    <t>ВКВ.80.260.1200.2ТГ.24</t>
  </si>
  <si>
    <t>ВКВ.80.260.1250.2ТГ.24</t>
  </si>
  <si>
    <t>ВКВ.80.260.1300.2ТГ.24</t>
  </si>
  <si>
    <t>ВКВ.80.260.1350.2ТГ.24</t>
  </si>
  <si>
    <t>ВКВ.80.260.1400.2ТГ.24</t>
  </si>
  <si>
    <t>ВКВ.80.260.1450.2ТГ.24</t>
  </si>
  <si>
    <t>ВКВ.80.260.1500.2ТГ.24</t>
  </si>
  <si>
    <t>ВКВ.80.260.1550.2ТГ.24</t>
  </si>
  <si>
    <t>ВКВ.80.260.1600.2ТГ.24</t>
  </si>
  <si>
    <t>ВКВ.80.260.1650.2ТГ.24</t>
  </si>
  <si>
    <t>ВКВ.80.260.1700.2ТГ.24</t>
  </si>
  <si>
    <t>ВКВ.80.260.1750.2ТГ.24</t>
  </si>
  <si>
    <t>ВКВ.80.260.1800.2ТГ.24</t>
  </si>
  <si>
    <t>ВКВ.80.260.1850.2ТГ.24</t>
  </si>
  <si>
    <t>ВКВ.80.260.1900.2ТГ.24</t>
  </si>
  <si>
    <t>ВКВ.80.260.1950.2ТГ.24</t>
  </si>
  <si>
    <t>ВКВ.80.260.2000.2ТГ.24</t>
  </si>
  <si>
    <t>ВКВ.80.260.2050.2ТГ.24</t>
  </si>
  <si>
    <t>ВКВ.80.260.2100.2ТГ.24</t>
  </si>
  <si>
    <t>ВКВ.80.260.2150.2ТГ.24</t>
  </si>
  <si>
    <t>ВКВ.80.260.2200.2ТГ.24</t>
  </si>
  <si>
    <t>ВКВ.80.260.2250.2ТГ.24</t>
  </si>
  <si>
    <t>ВКВ.80.260.2300.2ТГ.24</t>
  </si>
  <si>
    <t>ВКВ.80.260.2350.2ТГ.24</t>
  </si>
  <si>
    <t>ВКВ.80.260.2400.2ТГ.24</t>
  </si>
  <si>
    <t>ВКВ.80.260.2450.2ТГ.24</t>
  </si>
  <si>
    <t>ВКВ.80.260.2500.2ТГ.24</t>
  </si>
  <si>
    <t>ВКВ.80.260.2550.2ТГ.24</t>
  </si>
  <si>
    <t>ВКВ.80.260.2600.2ТГ.24</t>
  </si>
  <si>
    <t>ВКВ.80.260.2650.2ТГ.24</t>
  </si>
  <si>
    <t>ВКВ.80.260.2700.2ТГ.24</t>
  </si>
  <si>
    <t>ВКВ.80.260.2750.2ТГ.24</t>
  </si>
  <si>
    <t>ВКВ.80.260.2800.2ТГ.24</t>
  </si>
  <si>
    <t>ВКВ.80.260.2850.2ТГ.24</t>
  </si>
  <si>
    <t>ВКВ.80.260.2900.2ТГ.24</t>
  </si>
  <si>
    <t>ВКВ.80.260.2950.2ТГ.24</t>
  </si>
  <si>
    <t>ВКВ.80.260.3000.2ТГ.24</t>
  </si>
  <si>
    <t>ВКВ.80.300.700.2ТГ.24</t>
  </si>
  <si>
    <t>ВКВ.80.300.750.2ТГ.24</t>
  </si>
  <si>
    <t>ВКВ.80.300.800.2ТГ.24</t>
  </si>
  <si>
    <t>ВКВ.80.300.850.2ТГ.24</t>
  </si>
  <si>
    <t>ВКВ.80.300.900.2ТГ.24</t>
  </si>
  <si>
    <t>ВКВ.80.300.950.2ТГ.24</t>
  </si>
  <si>
    <t>ВКВ.80.300.1000.2ТГ.24</t>
  </si>
  <si>
    <t>ВКВ.80.300.1050.2ТГ.24</t>
  </si>
  <si>
    <t>ВКВ.80.300.1100.2ТГ.24</t>
  </si>
  <si>
    <t>ВКВ.80.300.1150.2ТГ.24</t>
  </si>
  <si>
    <t>ВКВ.80.300.1200.2ТГ.24</t>
  </si>
  <si>
    <t>ВКВ.80.300.1250.2ТГ.24</t>
  </si>
  <si>
    <t>ВКВ.80.300.1300.2ТГ.24</t>
  </si>
  <si>
    <t>ВКВ.80.300.1350.2ТГ.24</t>
  </si>
  <si>
    <t>ВКВ.80.300.1400.2ТГ.24</t>
  </si>
  <si>
    <t>ВКВ.80.300.1450.2ТГ.24</t>
  </si>
  <si>
    <t>ВКВ.80.300.1500.2ТГ.24</t>
  </si>
  <si>
    <t>ВКВ.80.300.1550.2ТГ.24</t>
  </si>
  <si>
    <t>ВКВ.80.300.1600.2ТГ.24</t>
  </si>
  <si>
    <t>ВКВ.80.300.1650.2ТГ.24</t>
  </si>
  <si>
    <t>ВКВ.80.300.1700.2ТГ.24</t>
  </si>
  <si>
    <t>ВКВ.80.300.1750.2ТГ.24</t>
  </si>
  <si>
    <t>ВКВ.80.300.1800.2ТГ.24</t>
  </si>
  <si>
    <t>ВКВ.80.300.1850.2ТГ.24</t>
  </si>
  <si>
    <t>ВКВ.80.300.1900.2ТГ.24</t>
  </si>
  <si>
    <t>ВКВ.80.300.1950.2ТГ.24</t>
  </si>
  <si>
    <t>ВКВ.80.300.2000.2ТГ.24</t>
  </si>
  <si>
    <t>ВКВ.80.300.2050.2ТГ.24</t>
  </si>
  <si>
    <t>ВКВ.80.300.2100.2ТГ.24</t>
  </si>
  <si>
    <t>ВКВ.80.300.2150.2ТГ.24</t>
  </si>
  <si>
    <t>ВКВ.80.300.2200.2ТГ.24</t>
  </si>
  <si>
    <t>ВКВ.80.300.2250.2ТГ.24</t>
  </si>
  <si>
    <t>ВКВ.80.300.2300.2ТГ.24</t>
  </si>
  <si>
    <t>ВКВ.80.300.2350.2ТГ.24</t>
  </si>
  <si>
    <t>ВКВ.80.300.2400.2ТГ.24</t>
  </si>
  <si>
    <t>ВКВ.80.300.2450.2ТГ.24</t>
  </si>
  <si>
    <t>ВКВ.80.300.2500.2ТГ.24</t>
  </si>
  <si>
    <t>ВКВ.80.300.2550.2ТГ.24</t>
  </si>
  <si>
    <t>ВКВ.80.300.2600.2ТГ.24</t>
  </si>
  <si>
    <t>ВКВ.80.300.2650.2ТГ.24</t>
  </si>
  <si>
    <t>ВКВ.80.300.2700.2ТГ.24</t>
  </si>
  <si>
    <t>ВКВ.80.300.2750.2ТГ.24</t>
  </si>
  <si>
    <t>ВКВ.80.300.2800.2ТГ.24</t>
  </si>
  <si>
    <t>ВКВ.80.300.2850.2ТГ.24</t>
  </si>
  <si>
    <t>ВКВ.80.300.2900.2ТГ.24</t>
  </si>
  <si>
    <t>ВКВ.80.300.2950.2ТГ.24</t>
  </si>
  <si>
    <t>ВКВ.80.300.3000.2ТГ.24</t>
  </si>
  <si>
    <t>ВКВ.80.360.700.4ТГ.24</t>
  </si>
  <si>
    <t>ВКВ.80.360.750.4ТГ.24</t>
  </si>
  <si>
    <t>ВКВ.80.360.800.4ТГ.24</t>
  </si>
  <si>
    <t>ВКВ.80.360.850.4ТГ.24</t>
  </si>
  <si>
    <t>ВКВ.80.360.900.4ТГ.24</t>
  </si>
  <si>
    <t>ВКВ.80.360.950.4ТГ.24</t>
  </si>
  <si>
    <t>ВКВ.80.360.1000.4ТГ.24</t>
  </si>
  <si>
    <t>ВКВ.80.360.1050.4ТГ.24</t>
  </si>
  <si>
    <t>ВКВ.80.360.1100.4ТГ.24</t>
  </si>
  <si>
    <t>ВКВ.80.360.1150.4ТГ.24</t>
  </si>
  <si>
    <t>ВКВ.80.360.1200.4ТГ.24</t>
  </si>
  <si>
    <t>ВКВ.80.360.1250.4ТГ.24</t>
  </si>
  <si>
    <t>ВКВ.80.360.1300.4ТГ.24</t>
  </si>
  <si>
    <t>ВКВ.80.360.1350.4ТГ.24</t>
  </si>
  <si>
    <t>ВКВ.80.360.1400.4ТГ.24</t>
  </si>
  <si>
    <t>ВКВ.80.360.1450.4ТГ.24</t>
  </si>
  <si>
    <t>ВКВ.80.360.1500.4ТГ.24</t>
  </si>
  <si>
    <t>ВКВ.80.360.1550.4ТГ.24</t>
  </si>
  <si>
    <t>ВКВ.80.360.1600.4ТГ.24</t>
  </si>
  <si>
    <t>ВКВ.80.360.1650.4ТГ.24</t>
  </si>
  <si>
    <t>ВКВ.80.360.1700.4ТГ.24</t>
  </si>
  <si>
    <t>ВКВ.80.360.1750.4ТГ.24</t>
  </si>
  <si>
    <t>ВКВ.80.360.1800.4ТГ.24</t>
  </si>
  <si>
    <t>ВКВ.80.360.1850.4ТГ.24</t>
  </si>
  <si>
    <t>ВКВ.80.360.1900.4ТГ.24</t>
  </si>
  <si>
    <t>ВКВ.80.360.1950.4ТГ.24</t>
  </si>
  <si>
    <t>ВКВ.80.360.2000.4ТГ.24</t>
  </si>
  <si>
    <t>ВКВ.80.360.2050.4ТГ.24</t>
  </si>
  <si>
    <t>ВКВ.80.360.2100.4ТГ.24</t>
  </si>
  <si>
    <t>ВКВ.80.360.2150.4ТГ.24</t>
  </si>
  <si>
    <t>ВКВ.80.360.2200.4ТГ.24</t>
  </si>
  <si>
    <t>ВКВ.80.360.2250.4ТГ.24</t>
  </si>
  <si>
    <t>ВКВ.80.360.2300.4ТГ.24</t>
  </si>
  <si>
    <t>ВКВ.80.360.2350.4ТГ.24</t>
  </si>
  <si>
    <t>ВКВ.80.360.2400.4ТГ.24</t>
  </si>
  <si>
    <t>ВКВ.80.360.2450.4ТГ.24</t>
  </si>
  <si>
    <t>ВКВ.80.360.2500.4ТГ.24</t>
  </si>
  <si>
    <t>ВКВ.80.360.2550.4ТГ.24</t>
  </si>
  <si>
    <t>ВКВ.80.360.2600.4ТГ.24</t>
  </si>
  <si>
    <t>ВКВ.80.360.2650.4ТГ.24</t>
  </si>
  <si>
    <t>ВКВ.80.360.2700.4ТГ.24</t>
  </si>
  <si>
    <t>ВКВ.80.360.2750.4ТГ.24</t>
  </si>
  <si>
    <t>ВКВ.80.360.2800.4ТГ.24</t>
  </si>
  <si>
    <t>ВКВ.80.360.2850.4ТГ.24</t>
  </si>
  <si>
    <t>ВКВ.80.360.2900.4ТГ.24</t>
  </si>
  <si>
    <t>ВКВ.80.360.2950.4ТГ.24</t>
  </si>
  <si>
    <t>ВКВ.80.360.3000.4ТГ.24</t>
  </si>
  <si>
    <t>ВКВ.80.400.700.4ТГ.24</t>
  </si>
  <si>
    <t>ВКВ.80.400.750.4ТГ.24</t>
  </si>
  <si>
    <t>ВКВ.80.400.800.4ТГ.24</t>
  </si>
  <si>
    <t>ВКВ.80.400.850.4ТГ.24</t>
  </si>
  <si>
    <t>ВКВ.80.400.900.4ТГ.24</t>
  </si>
  <si>
    <t>ВКВ.80.400.950.4ТГ.24</t>
  </si>
  <si>
    <t>ВКВ.80.400.1000.4ТГ.24</t>
  </si>
  <si>
    <t>ВКВ.80.400.1050.4ТГ.24</t>
  </si>
  <si>
    <t>ВКВ.80.400.1100.4ТГ.24</t>
  </si>
  <si>
    <t>ВКВ.80.400.1150.4ТГ.24</t>
  </si>
  <si>
    <t>ВКВ.80.400.1200.4ТГ.24</t>
  </si>
  <si>
    <t>ВКВ.80.400.1250.4ТГ.24</t>
  </si>
  <si>
    <t>ВКВ.80.400.1300.4ТГ.24</t>
  </si>
  <si>
    <t>ВКВ.80.400.1350.4ТГ.24</t>
  </si>
  <si>
    <t>ВКВ.80.400.1400.4ТГ.24</t>
  </si>
  <si>
    <t>ВКВ.80.400.1450.4ТГ.24</t>
  </si>
  <si>
    <t>ВКВ.80.400.1500.4ТГ.24</t>
  </si>
  <si>
    <t>ВКВ.80.400.1550.4ТГ.24</t>
  </si>
  <si>
    <t>ВКВ.80.400.1600.4ТГ.24</t>
  </si>
  <si>
    <t>ВКВ.80.400.1650.4ТГ.24</t>
  </si>
  <si>
    <t>ВКВ.80.400.1700.4ТГ.24</t>
  </si>
  <si>
    <t>ВКВ.80.400.1750.4ТГ.24</t>
  </si>
  <si>
    <t>ВКВ.80.400.1800.4ТГ.24</t>
  </si>
  <si>
    <t>ВКВ.80.400.1850.4ТГ.24</t>
  </si>
  <si>
    <t>ВКВ.80.400.1900.4ТГ.24</t>
  </si>
  <si>
    <t>ВКВ.80.400.1950.4ТГ.24</t>
  </si>
  <si>
    <t>ВКВ.80.400.2000.4ТГ.24</t>
  </si>
  <si>
    <t>ВКВ.80.400.2050.4ТГ.24</t>
  </si>
  <si>
    <t>ВКВ.80.400.2100.4ТГ.24</t>
  </si>
  <si>
    <t>ВКВ.80.400.2150.4ТГ.24</t>
  </si>
  <si>
    <t>ВКВ.80.400.2200.4ТГ.24</t>
  </si>
  <si>
    <t>ВКВ.80.400.2250.4ТГ.24</t>
  </si>
  <si>
    <t>ВКВ.80.400.2300.4ТГ.24</t>
  </si>
  <si>
    <t>ВКВ.80.400.2350.4ТГ.24</t>
  </si>
  <si>
    <t>ВКВ.80.400.2400.4ТГ.24</t>
  </si>
  <si>
    <t>ВКВ.80.400.2450.4ТГ.24</t>
  </si>
  <si>
    <t>ВКВ.80.400.2500.4ТГ.24</t>
  </si>
  <si>
    <t>ВКВ.80.400.2550.4ТГ.24</t>
  </si>
  <si>
    <t>ВКВ.80.400.2600.4ТГ.24</t>
  </si>
  <si>
    <t>ВКВ.80.400.2650.4ТГ.24</t>
  </si>
  <si>
    <t>ВКВ.80.400.2700.4ТГ.24</t>
  </si>
  <si>
    <t>ВКВ.80.400.2750.4ТГ.24</t>
  </si>
  <si>
    <t>ВКВ.80.400.2800.4ТГ.24</t>
  </si>
  <si>
    <t>ВКВ.80.400.2850.4ТГ.24</t>
  </si>
  <si>
    <t>ВКВ.80.400.2900.4ТГ.24</t>
  </si>
  <si>
    <t>ВКВ.80.400.2950.4ТГ.24</t>
  </si>
  <si>
    <t>ВКВ.80.400.3000.4ТГ.24</t>
  </si>
  <si>
    <t>ВКВ.90.200.700.2ТГ.24</t>
  </si>
  <si>
    <t>ВКВ.90.200.750.2ТГ.24</t>
  </si>
  <si>
    <t>ВКВ.90.200.800.2ТГ.24</t>
  </si>
  <si>
    <t>ВКВ.90.200.850.2ТГ.24</t>
  </si>
  <si>
    <t>ВКВ.90.200.900.2ТГ.24</t>
  </si>
  <si>
    <t>ВКВ.90.200.950.2ТГ.24</t>
  </si>
  <si>
    <t>ВКВ.90.200.1000.2ТГ.24</t>
  </si>
  <si>
    <t>ВКВ.90.200.1050.2ТГ.24</t>
  </si>
  <si>
    <t>ВКВ.90.200.1100.2ТГ.24</t>
  </si>
  <si>
    <t>ВКВ.90.200.1150.2ТГ.24</t>
  </si>
  <si>
    <t>ВКВ.90.200.1200.2ТГ.24</t>
  </si>
  <si>
    <t>ВКВ.90.200.1250.2ТГ.24</t>
  </si>
  <si>
    <t>ВКВ.90.200.1300.2ТГ.24</t>
  </si>
  <si>
    <t>ВКВ.90.200.1350.2ТГ.24</t>
  </si>
  <si>
    <t>ВКВ.90.200.1400.2ТГ.24</t>
  </si>
  <si>
    <t>ВКВ.90.200.1450.2ТГ.24</t>
  </si>
  <si>
    <t>ВКВ.90.200.1500.2ТГ.24</t>
  </si>
  <si>
    <t>ВКВ.90.200.1550.2ТГ.24</t>
  </si>
  <si>
    <t>ВКВ.90.200.1600.2ТГ.24</t>
  </si>
  <si>
    <t>ВКВ.90.200.1650.2ТГ.24</t>
  </si>
  <si>
    <t>ВКВ.90.200.1700.2ТГ.24</t>
  </si>
  <si>
    <t>ВКВ.90.200.1750.2ТГ.24</t>
  </si>
  <si>
    <t>ВКВ.90.200.1800.2ТГ.24</t>
  </si>
  <si>
    <t>ВКВ.90.200.1850.2ТГ.24</t>
  </si>
  <si>
    <t>ВКВ.90.200.1900.2ТГ.24</t>
  </si>
  <si>
    <t>ВКВ.90.200.1950.2ТГ.24</t>
  </si>
  <si>
    <t>ВКВ.90.200.2000.2ТГ.24</t>
  </si>
  <si>
    <t>ВКВ.90.200.2050.2ТГ.24</t>
  </si>
  <si>
    <t>ВКВ.90.200.2100.2ТГ.24</t>
  </si>
  <si>
    <t>ВКВ.90.200.2150.2ТГ.24</t>
  </si>
  <si>
    <t>ВКВ.90.200.2200.2ТГ.24</t>
  </si>
  <si>
    <t>ВКВ.90.200.2250.2ТГ.24</t>
  </si>
  <si>
    <t>ВКВ.90.200.2300.2ТГ.24</t>
  </si>
  <si>
    <t>ВКВ.90.200.2350.2ТГ.24</t>
  </si>
  <si>
    <t>ВКВ.90.200.2400.2ТГ.24</t>
  </si>
  <si>
    <t>ВКВ.90.200.2450.2ТГ.24</t>
  </si>
  <si>
    <t>ВКВ.90.200.2500.2ТГ.24</t>
  </si>
  <si>
    <t>ВКВ.90.200.2550.2ТГ.24</t>
  </si>
  <si>
    <t>ВКВ.90.200.2600.2ТГ.24</t>
  </si>
  <si>
    <t>ВКВ.90.200.2650.2ТГ.24</t>
  </si>
  <si>
    <t>ВКВ.90.200.2700.2ТГ.24</t>
  </si>
  <si>
    <t>ВКВ.90.200.2750.2ТГ.24</t>
  </si>
  <si>
    <t>ВКВ.90.200.2800.2ТГ.24</t>
  </si>
  <si>
    <t>ВКВ.90.200.2850.2ТГ.24</t>
  </si>
  <si>
    <t>ВКВ.90.200.2900.2ТГ.24</t>
  </si>
  <si>
    <t>ВКВ.90.200.2950.2ТГ.24</t>
  </si>
  <si>
    <t>ВКВ.90.200.3000.2ТГ.24</t>
  </si>
  <si>
    <t>ВКВ.90.260.700.2ТГ.24</t>
  </si>
  <si>
    <t>ВКВ.90.260.750.2ТГ.24</t>
  </si>
  <si>
    <t>ВКВ.90.260.800.2ТГ.24</t>
  </si>
  <si>
    <t>ВКВ.90.260.850.2ТГ.24</t>
  </si>
  <si>
    <t>ВКВ.90.260.900.2ТГ.24</t>
  </si>
  <si>
    <t>ВКВ.90.260.950.2ТГ.24</t>
  </si>
  <si>
    <t>ВКВ.90.260.1000.2ТГ.24</t>
  </si>
  <si>
    <t>ВКВ.90.260.1050.2ТГ.24</t>
  </si>
  <si>
    <t>ВКВ.90.260.1100.2ТГ.24</t>
  </si>
  <si>
    <t>ВКВ.90.260.1150.2ТГ.24</t>
  </si>
  <si>
    <t>ВКВ.90.260.1200.2ТГ.24</t>
  </si>
  <si>
    <t>ВКВ.90.260.1250.2ТГ.24</t>
  </si>
  <si>
    <t>ВКВ.90.260.1300.2ТГ.24</t>
  </si>
  <si>
    <t>ВКВ.90.260.1350.2ТГ.24</t>
  </si>
  <si>
    <t>ВКВ.90.260.1400.2ТГ.24</t>
  </si>
  <si>
    <t>ВКВ.90.260.1450.2ТГ.24</t>
  </si>
  <si>
    <t>ВКВ.90.260.1500.2ТГ.24</t>
  </si>
  <si>
    <t>ВКВ.90.260.1550.2ТГ.24</t>
  </si>
  <si>
    <t>ВКВ.90.260.1600.2ТГ.24</t>
  </si>
  <si>
    <t>ВКВ.90.260.1650.2ТГ.24</t>
  </si>
  <si>
    <t>ВКВ.90.260.1700.2ТГ.24</t>
  </si>
  <si>
    <t>ВКВ.90.260.1750.2ТГ.24</t>
  </si>
  <si>
    <t>ВКВ.90.260.1800.2ТГ.24</t>
  </si>
  <si>
    <t>ВКВ.90.260.1850.2ТГ.24</t>
  </si>
  <si>
    <t>ВКВ.90.260.1900.2ТГ.24</t>
  </si>
  <si>
    <t>ВКВ.90.260.1950.2ТГ.24</t>
  </si>
  <si>
    <t>ВКВ.90.260.2000.2ТГ.24</t>
  </si>
  <si>
    <t>ВКВ.90.260.2050.2ТГ.24</t>
  </si>
  <si>
    <t>ВКВ.90.260.2100.2ТГ.24</t>
  </si>
  <si>
    <t>ВКВ.90.260.2150.2ТГ.24</t>
  </si>
  <si>
    <t>ВКВ.90.260.2200.2ТГ.24</t>
  </si>
  <si>
    <t>ВКВ.90.260.2250.2ТГ.24</t>
  </si>
  <si>
    <t>ВКВ.90.260.2300.2ТГ.24</t>
  </si>
  <si>
    <t>ВКВ.90.260.2350.2ТГ.24</t>
  </si>
  <si>
    <t>ВКВ.90.260.2400.2ТГ.24</t>
  </si>
  <si>
    <t>ВКВ.90.260.2450.2ТГ.24</t>
  </si>
  <si>
    <t>ВКВ.90.260.2500.2ТГ.24</t>
  </si>
  <si>
    <t>ВКВ.90.260.2550.2ТГ.24</t>
  </si>
  <si>
    <t>ВКВ.90.260.2600.2ТГ.24</t>
  </si>
  <si>
    <t>ВКВ.90.260.2650.2ТГ.24</t>
  </si>
  <si>
    <t>ВКВ.90.260.2700.2ТГ.24</t>
  </si>
  <si>
    <t>ВКВ.90.260.2750.2ТГ.24</t>
  </si>
  <si>
    <t>ВКВ.90.260.2800.2ТГ.24</t>
  </si>
  <si>
    <t>ВКВ.90.260.2850.2ТГ.24</t>
  </si>
  <si>
    <t>ВКВ.90.260.2900.2ТГ.24</t>
  </si>
  <si>
    <t>ВКВ.90.260.2950.2ТГ.24</t>
  </si>
  <si>
    <t>ВКВ.90.260.3000.2ТГ.24</t>
  </si>
  <si>
    <t>ВКВ.90.300.700.2ТГ.24</t>
  </si>
  <si>
    <t>ВКВ.90.300.750.2ТГ.24</t>
  </si>
  <si>
    <t>ВКВ.90.300.800.2ТГ.24</t>
  </si>
  <si>
    <t>ВКВ.90.300.850.2ТГ.24</t>
  </si>
  <si>
    <t>ВКВ.90.300.900.2ТГ.24</t>
  </si>
  <si>
    <t>ВКВ.90.300.950.2ТГ.24</t>
  </si>
  <si>
    <t>ВКВ.90.300.1000.2ТГ.24</t>
  </si>
  <si>
    <t>ВКВ.90.300.1050.2ТГ.24</t>
  </si>
  <si>
    <t>ВКВ.90.300.1100.2ТГ.24</t>
  </si>
  <si>
    <t>ВКВ.90.300.1150.2ТГ.24</t>
  </si>
  <si>
    <t>ВКВ.90.300.1200.2ТГ.24</t>
  </si>
  <si>
    <t>ВКВ.90.300.1250.2ТГ.24</t>
  </si>
  <si>
    <t>ВКВ.90.300.1300.2ТГ.24</t>
  </si>
  <si>
    <t>ВКВ.90.300.1350.2ТГ.24</t>
  </si>
  <si>
    <t>ВКВ.90.300.1400.2ТГ.24</t>
  </si>
  <si>
    <t>ВКВ.90.300.1450.2ТГ.24</t>
  </si>
  <si>
    <t>ВКВ.90.300.1500.2ТГ.24</t>
  </si>
  <si>
    <t>ВКВ.90.300.1550.2ТГ.24</t>
  </si>
  <si>
    <t>ВКВ.90.300.1600.2ТГ.24</t>
  </si>
  <si>
    <t>ВКВ.90.300.1650.2ТГ.24</t>
  </si>
  <si>
    <t>ВКВ.90.300.1700.2ТГ.24</t>
  </si>
  <si>
    <t>ВКВ.90.300.1750.2ТГ.24</t>
  </si>
  <si>
    <t>ВКВ.90.300.1800.2ТГ.24</t>
  </si>
  <si>
    <t>ВКВ.90.300.1850.2ТГ.24</t>
  </si>
  <si>
    <t>ВКВ.90.300.1900.2ТГ.24</t>
  </si>
  <si>
    <t>ВКВ.90.300.1950.2ТГ.24</t>
  </si>
  <si>
    <t>ВКВ.90.300.2000.2ТГ.24</t>
  </si>
  <si>
    <t>ВКВ.90.300.2050.2ТГ.24</t>
  </si>
  <si>
    <t>ВКВ.90.300.2100.2ТГ.24</t>
  </si>
  <si>
    <t>ВКВ.90.300.2150.2ТГ.24</t>
  </si>
  <si>
    <t>ВКВ.90.300.2200.2ТГ.24</t>
  </si>
  <si>
    <t>ВКВ.90.300.2250.2ТГ.24</t>
  </si>
  <si>
    <t>ВКВ.90.300.2300.2ТГ.24</t>
  </si>
  <si>
    <t>ВКВ.90.300.2350.2ТГ.24</t>
  </si>
  <si>
    <t>ВКВ.90.300.2400.2ТГ.24</t>
  </si>
  <si>
    <t>ВКВ.90.300.2450.2ТГ.24</t>
  </si>
  <si>
    <t>ВКВ.90.300.2500.2ТГ.24</t>
  </si>
  <si>
    <t>ВКВ.90.300.2550.2ТГ.24</t>
  </si>
  <si>
    <t>ВКВ.90.300.2600.2ТГ.24</t>
  </si>
  <si>
    <t>ВКВ.90.300.2650.2ТГ.24</t>
  </si>
  <si>
    <t>ВКВ.90.300.2700.2ТГ.24</t>
  </si>
  <si>
    <t>ВКВ.90.300.2750.2ТГ.24</t>
  </si>
  <si>
    <t>ВКВ.90.300.2800.2ТГ.24</t>
  </si>
  <si>
    <t>ВКВ.90.300.2850.2ТГ.24</t>
  </si>
  <si>
    <t>ВКВ.90.300.2900.2ТГ.24</t>
  </si>
  <si>
    <t>ВКВ.90.300.2950.2ТГ.24</t>
  </si>
  <si>
    <t>ВКВ.90.300.3000.2ТГ.24</t>
  </si>
  <si>
    <t>ВКВ.90.360.700.4ТГ.24</t>
  </si>
  <si>
    <t>ВКВ.90.360.750.4ТГ.24</t>
  </si>
  <si>
    <t>ВКВ.90.360.800.4ТГ.24</t>
  </si>
  <si>
    <t>ВКВ.90.360.850.4ТГ.24</t>
  </si>
  <si>
    <t>ВКВ.90.360.900.4ТГ.24</t>
  </si>
  <si>
    <t>ВКВ.90.360.950.4ТГ.24</t>
  </si>
  <si>
    <t>ВКВ.90.360.1000.4ТГ.24</t>
  </si>
  <si>
    <t>ВКВ.90.360.1050.4ТГ.24</t>
  </si>
  <si>
    <t>ВКВ.90.360.1100.4ТГ.24</t>
  </si>
  <si>
    <t>ВКВ.90.360.1150.4ТГ.24</t>
  </si>
  <si>
    <t>ВКВ.90.360.1200.4ТГ.24</t>
  </si>
  <si>
    <t>ВКВ.90.360.1250.4ТГ.24</t>
  </si>
  <si>
    <t>ВКВ.90.360.1300.4ТГ.24</t>
  </si>
  <si>
    <t>ВКВ.90.360.1350.4ТГ.24</t>
  </si>
  <si>
    <t>ВКВ.90.360.1400.4ТГ.24</t>
  </si>
  <si>
    <t>ВКВ.90.360.1450.4ТГ.24</t>
  </si>
  <si>
    <t>ВКВ.90.360.1500.4ТГ.24</t>
  </si>
  <si>
    <t>ВКВ.90.360.1550.4ТГ.24</t>
  </si>
  <si>
    <t>ВКВ.90.360.1600.4ТГ.24</t>
  </si>
  <si>
    <t>ВКВ.90.360.1650.4ТГ.24</t>
  </si>
  <si>
    <t>ВКВ.90.360.1700.4ТГ.24</t>
  </si>
  <si>
    <t>ВКВ.90.360.1750.4ТГ.24</t>
  </si>
  <si>
    <t>ВКВ.90.360.1800.4ТГ.24</t>
  </si>
  <si>
    <t>ВКВ.90.360.1850.4ТГ.24</t>
  </si>
  <si>
    <t>ВКВ.90.360.1900.4ТГ.24</t>
  </si>
  <si>
    <t>ВКВ.90.360.1950.4ТГ.24</t>
  </si>
  <si>
    <t>ВКВ.90.360.2000.4ТГ.24</t>
  </si>
  <si>
    <t>ВКВ.90.360.2050.4ТГ.24</t>
  </si>
  <si>
    <t>ВКВ.90.360.2100.4ТГ.24</t>
  </si>
  <si>
    <t>ВКВ.90.360.2150.4ТГ.24</t>
  </si>
  <si>
    <t>ВКВ.90.360.2200.4ТГ.24</t>
  </si>
  <si>
    <t>ВКВ.90.360.2250.4ТГ.24</t>
  </si>
  <si>
    <t>ВКВ.90.360.2300.4ТГ.24</t>
  </si>
  <si>
    <t>ВКВ.90.360.2350.4ТГ.24</t>
  </si>
  <si>
    <t>ВКВ.90.360.2400.4ТГ.24</t>
  </si>
  <si>
    <t>ВКВ.90.360.2450.4ТГ.24</t>
  </si>
  <si>
    <t>ВКВ.90.360.2500.4ТГ.24</t>
  </si>
  <si>
    <t>ВКВ.90.360.2550.4ТГ.24</t>
  </si>
  <si>
    <t>ВКВ.90.360.2600.4ТГ.24</t>
  </si>
  <si>
    <t>ВКВ.90.360.2650.4ТГ.24</t>
  </si>
  <si>
    <t>ВКВ.90.360.2700.4ТГ.24</t>
  </si>
  <si>
    <t>ВКВ.90.360.2750.4ТГ.24</t>
  </si>
  <si>
    <t>ВКВ.90.360.2800.4ТГ.24</t>
  </si>
  <si>
    <t>ВКВ.90.360.2850.4ТГ.24</t>
  </si>
  <si>
    <t>ВКВ.90.360.2900.4ТГ.24</t>
  </si>
  <si>
    <t>ВКВ.90.360.2950.4ТГ.24</t>
  </si>
  <si>
    <t>ВКВ.90.360.3000.4ТГ.24</t>
  </si>
  <si>
    <t>ВКВ.90.400.700.4ТГ.24</t>
  </si>
  <si>
    <t>ВКВ.90.400.750.4ТГ.24</t>
  </si>
  <si>
    <t>ВКВ.90.400.800.4ТГ.24</t>
  </si>
  <si>
    <t>ВКВ.90.400.850.4ТГ.24</t>
  </si>
  <si>
    <t>ВКВ.90.400.900.4ТГ.24</t>
  </si>
  <si>
    <t>ВКВ.90.400.950.4ТГ.24</t>
  </si>
  <si>
    <t>ВКВ.90.400.1000.4ТГ.24</t>
  </si>
  <si>
    <t>ВКВ.90.400.1050.4ТГ.24</t>
  </si>
  <si>
    <t>ВКВ.90.400.1100.4ТГ.24</t>
  </si>
  <si>
    <t>ВКВ.90.400.1150.4ТГ.24</t>
  </si>
  <si>
    <t>ВКВ.90.400.1200.4ТГ.24</t>
  </si>
  <si>
    <t>ВКВ.90.400.1250.4ТГ.24</t>
  </si>
  <si>
    <t>ВКВ.90.400.1300.4ТГ.24</t>
  </si>
  <si>
    <t>ВКВ.90.400.1350.4ТГ.24</t>
  </si>
  <si>
    <t>ВКВ.90.400.1400.4ТГ.24</t>
  </si>
  <si>
    <t>ВКВ.90.400.1450.4ТГ.24</t>
  </si>
  <si>
    <t>ВКВ.90.400.1500.4ТГ.24</t>
  </si>
  <si>
    <t>ВКВ.90.400.1550.4ТГ.24</t>
  </si>
  <si>
    <t>ВКВ.90.400.1600.4ТГ.24</t>
  </si>
  <si>
    <t>ВКВ.90.400.1650.4ТГ.24</t>
  </si>
  <si>
    <t>ВКВ.90.400.1700.4ТГ.24</t>
  </si>
  <si>
    <t>ВКВ.90.400.1750.4ТГ.24</t>
  </si>
  <si>
    <t>ВКВ.90.400.1800.4ТГ.24</t>
  </si>
  <si>
    <t>ВКВ.90.400.1850.4ТГ.24</t>
  </si>
  <si>
    <t>ВКВ.90.400.1900.4ТГ.24</t>
  </si>
  <si>
    <t>ВКВ.90.400.1950.4ТГ.24</t>
  </si>
  <si>
    <t>ВКВ.90.400.2000.4ТГ.24</t>
  </si>
  <si>
    <t>ВКВ.90.400.2050.4ТГ.24</t>
  </si>
  <si>
    <t>ВКВ.90.400.2100.4ТГ.24</t>
  </si>
  <si>
    <t>ВКВ.90.400.2150.4ТГ.24</t>
  </si>
  <si>
    <t>ВКВ.90.400.2200.4ТГ.24</t>
  </si>
  <si>
    <t>ВКВ.90.400.2250.4ТГ.24</t>
  </si>
  <si>
    <t>ВКВ.90.400.2300.4ТГ.24</t>
  </si>
  <si>
    <t>ВКВ.90.400.2350.4ТГ.24</t>
  </si>
  <si>
    <t>ВКВ.90.400.2400.4ТГ.24</t>
  </si>
  <si>
    <t>ВКВ.90.400.2450.4ТГ.24</t>
  </si>
  <si>
    <t>ВКВ.90.400.2500.4ТГ.24</t>
  </si>
  <si>
    <t>ВКВ.90.400.2550.4ТГ.24</t>
  </si>
  <si>
    <t>ВКВ.90.400.2600.4ТГ.24</t>
  </si>
  <si>
    <t>ВКВ.90.400.2650.4ТГ.24</t>
  </si>
  <si>
    <t>ВКВ.90.400.2700.4ТГ.24</t>
  </si>
  <si>
    <t>ВКВ.90.400.2750.4ТГ.24</t>
  </si>
  <si>
    <t>ВКВ.90.400.2800.4ТГ.24</t>
  </si>
  <si>
    <t>ВКВ.90.400.2850.4ТГ.24</t>
  </si>
  <si>
    <t>ВКВ.90.400.2900.4ТГ.24</t>
  </si>
  <si>
    <t>ВКВ.90.400.2950.4ТГ.24</t>
  </si>
  <si>
    <t>ВКВ.90.400.3000.4ТГ.24</t>
  </si>
  <si>
    <t>ВКВ.110.200.700.2ТГ.24</t>
  </si>
  <si>
    <t>ВКВ.110.200.750.2ТГ.24</t>
  </si>
  <si>
    <t>ВКВ.110.200.800.2ТГ.24</t>
  </si>
  <si>
    <t>ВКВ.110.200.850.2ТГ.24</t>
  </si>
  <si>
    <t>ВКВ.110.200.900.2ТГ.24</t>
  </si>
  <si>
    <t>ВКВ.110.200.950.2ТГ.24</t>
  </si>
  <si>
    <t>ВКВ.110.200.1000.2ТГ.24</t>
  </si>
  <si>
    <t>ВКВ.110.200.1050.2ТГ.24</t>
  </si>
  <si>
    <t>ВКВ.110.200.1100.2ТГ.24</t>
  </si>
  <si>
    <t>ВКВ.110.200.1150.2ТГ.24</t>
  </si>
  <si>
    <t>ВКВ.110.200.1200.2ТГ.24</t>
  </si>
  <si>
    <t>ВКВ.110.200.1250.2ТГ.24</t>
  </si>
  <si>
    <t>ВКВ.110.200.1300.2ТГ.24</t>
  </si>
  <si>
    <t>ВКВ.110.200.1350.2ТГ.24</t>
  </si>
  <si>
    <t>ВКВ.110.200.1400.2ТГ.24</t>
  </si>
  <si>
    <t>ВКВ.110.200.1450.2ТГ.24</t>
  </si>
  <si>
    <t>ВКВ.110.200.1500.2ТГ.24</t>
  </si>
  <si>
    <t>ВКВ.110.200.1550.2ТГ.24</t>
  </si>
  <si>
    <t>ВКВ.110.200.1600.2ТГ.24</t>
  </si>
  <si>
    <t>ВКВ.110.200.1650.2ТГ.24</t>
  </si>
  <si>
    <t>ВКВ.110.200.1700.2ТГ.24</t>
  </si>
  <si>
    <t>ВКВ.110.200.1750.2ТГ.24</t>
  </si>
  <si>
    <t>ВКВ.110.200.1800.2ТГ.24</t>
  </si>
  <si>
    <t>ВКВ.110.200.1850.2ТГ.24</t>
  </si>
  <si>
    <t>ВКВ.110.200.1900.2ТГ.24</t>
  </si>
  <si>
    <t>ВКВ.110.200.1950.2ТГ.24</t>
  </si>
  <si>
    <t>ВКВ.110.200.2000.2ТГ.24</t>
  </si>
  <si>
    <t>ВКВ.110.200.2050.2ТГ.24</t>
  </si>
  <si>
    <t>ВКВ.110.200.2100.2ТГ.24</t>
  </si>
  <si>
    <t>ВКВ.110.200.2150.2ТГ.24</t>
  </si>
  <si>
    <t>ВКВ.110.200.2200.2ТГ.24</t>
  </si>
  <si>
    <t>ВКВ.110.200.2250.2ТГ.24</t>
  </si>
  <si>
    <t>ВКВ.110.200.2300.2ТГ.24</t>
  </si>
  <si>
    <t>ВКВ.110.200.2350.2ТГ.24</t>
  </si>
  <si>
    <t>ВКВ.110.200.2400.2ТГ.24</t>
  </si>
  <si>
    <t>ВКВ.110.200.2450.2ТГ.24</t>
  </si>
  <si>
    <t>ВКВ.110.200.2500.2ТГ.24</t>
  </si>
  <si>
    <t>ВКВ.110.200.2550.2ТГ.24</t>
  </si>
  <si>
    <t>ВКВ.110.200.2600.2ТГ.24</t>
  </si>
  <si>
    <t>ВКВ.110.200.2650.2ТГ.24</t>
  </si>
  <si>
    <t>ВКВ.110.200.2700.2ТГ.24</t>
  </si>
  <si>
    <t>ВКВ.110.200.2750.2ТГ.24</t>
  </si>
  <si>
    <t>ВКВ.110.200.2800.2ТГ.24</t>
  </si>
  <si>
    <t>ВКВ.110.200.2850.2ТГ.24</t>
  </si>
  <si>
    <t>ВКВ.110.200.2900.2ТГ.24</t>
  </si>
  <si>
    <t>ВКВ.110.200.2950.2ТГ.24</t>
  </si>
  <si>
    <t>ВКВ.110.200.3000.2ТГ.24</t>
  </si>
  <si>
    <t>ВКВ.110.260.700.2ТГ.24</t>
  </si>
  <si>
    <t>ВКВ.110.260.750.2ТГ.24</t>
  </si>
  <si>
    <t>ВКВ.110.260.800.2ТГ.24</t>
  </si>
  <si>
    <t>ВКВ.110.260.850.2ТГ.24</t>
  </si>
  <si>
    <t>ВКВ.110.260.900.2ТГ.24</t>
  </si>
  <si>
    <t>ВКВ.110.260.950.2ТГ.24</t>
  </si>
  <si>
    <t>ВКВ.110.260.1000.2ТГ.24</t>
  </si>
  <si>
    <t>ВКВ.110.260.1050.2ТГ.24</t>
  </si>
  <si>
    <t>ВКВ.110.260.1100.2ТГ.24</t>
  </si>
  <si>
    <t>ВКВ.110.260.1150.2ТГ.24</t>
  </si>
  <si>
    <t>ВКВ.110.260.1200.2ТГ.24</t>
  </si>
  <si>
    <t>ВКВ.110.260.1250.2ТГ.24</t>
  </si>
  <si>
    <t>ВКВ.110.260.1300.2ТГ.24</t>
  </si>
  <si>
    <t>ВКВ.110.260.1350.2ТГ.24</t>
  </si>
  <si>
    <t>ВКВ.110.260.1400.2ТГ.24</t>
  </si>
  <si>
    <t>ВКВ.110.260.1450.2ТГ.24</t>
  </si>
  <si>
    <t>ВКВ.110.260.1500.2ТГ.24</t>
  </si>
  <si>
    <t>ВКВ.110.260.1550.2ТГ.24</t>
  </si>
  <si>
    <t>ВКВ.110.260.1600.2ТГ.24</t>
  </si>
  <si>
    <t>ВКВ.110.260.1650.2ТГ.24</t>
  </si>
  <si>
    <t>ВКВ.110.260.1700.2ТГ.24</t>
  </si>
  <si>
    <t>ВКВ.110.260.1750.2ТГ.24</t>
  </si>
  <si>
    <t>ВКВ.110.260.1800.2ТГ.24</t>
  </si>
  <si>
    <t>ВКВ.110.260.1850.2ТГ.24</t>
  </si>
  <si>
    <t>ВКВ.110.260.1900.2ТГ.24</t>
  </si>
  <si>
    <t>ВКВ.110.260.1950.2ТГ.24</t>
  </si>
  <si>
    <t>ВКВ.110.260.2000.2ТГ.24</t>
  </si>
  <si>
    <t>ВКВ.110.260.2050.2ТГ.24</t>
  </si>
  <si>
    <t>ВКВ.110.260.2100.2ТГ.24</t>
  </si>
  <si>
    <t>ВКВ.110.260.2150.2ТГ.24</t>
  </si>
  <si>
    <t>ВКВ.110.260.2200.2ТГ.24</t>
  </si>
  <si>
    <t>ВКВ.110.260.2250.2ТГ.24</t>
  </si>
  <si>
    <t>ВКВ.110.260.2300.2ТГ.24</t>
  </si>
  <si>
    <t>ВКВ.110.260.2350.2ТГ.24</t>
  </si>
  <si>
    <t>ВКВ.110.260.2400.2ТГ.24</t>
  </si>
  <si>
    <t>ВКВ.110.260.2450.2ТГ.24</t>
  </si>
  <si>
    <t>ВКВ.110.260.2500.2ТГ.24</t>
  </si>
  <si>
    <t>ВКВ.110.260.2550.2ТГ.24</t>
  </si>
  <si>
    <t>ВКВ.110.260.2600.2ТГ.24</t>
  </si>
  <si>
    <t>ВКВ.110.260.2650.2ТГ.24</t>
  </si>
  <si>
    <t>ВКВ.110.260.2700.2ТГ.24</t>
  </si>
  <si>
    <t>ВКВ.110.260.2750.2ТГ.24</t>
  </si>
  <si>
    <t>ВКВ.110.260.2800.2ТГ.24</t>
  </si>
  <si>
    <t>ВКВ.110.260.2850.2ТГ.24</t>
  </si>
  <si>
    <t>ВКВ.110.260.2900.2ТГ.24</t>
  </si>
  <si>
    <t>ВКВ.110.260.2950.2ТГ.24</t>
  </si>
  <si>
    <t>ВКВ.110.260.3000.2ТГ.24</t>
  </si>
  <si>
    <t>ВКВ.110.300.700.2ТГ.24</t>
  </si>
  <si>
    <t>ВКВ.110.300.750.2ТГ.24</t>
  </si>
  <si>
    <t>ВКВ.110.300.800.2ТГ.24</t>
  </si>
  <si>
    <t>ВКВ.110.300.850.2ТГ.24</t>
  </si>
  <si>
    <t>ВКВ.110.300.900.2ТГ.24</t>
  </si>
  <si>
    <t>ВКВ.110.300.950.2ТГ.24</t>
  </si>
  <si>
    <t>ВКВ.110.300.1000.2ТГ.24</t>
  </si>
  <si>
    <t>ВКВ.110.300.1050.2ТГ.24</t>
  </si>
  <si>
    <t>ВКВ.110.300.1100.2ТГ.24</t>
  </si>
  <si>
    <t>ВКВ.110.300.1150.2ТГ.24</t>
  </si>
  <si>
    <t>ВКВ.110.300.1200.2ТГ.24</t>
  </si>
  <si>
    <t>ВКВ.110.300.1250.2ТГ.24</t>
  </si>
  <si>
    <t>ВКВ.110.300.1300.2ТГ.24</t>
  </si>
  <si>
    <t>ВКВ.110.300.1350.2ТГ.24</t>
  </si>
  <si>
    <t>ВКВ.110.300.1400.2ТГ.24</t>
  </si>
  <si>
    <t>ВКВ.110.300.1450.2ТГ.24</t>
  </si>
  <si>
    <t>ВКВ.110.300.1500.2ТГ.24</t>
  </si>
  <si>
    <t>ВКВ.110.300.1550.2ТГ.24</t>
  </si>
  <si>
    <t>ВКВ.110.300.1600.2ТГ.24</t>
  </si>
  <si>
    <t>ВКВ.110.300.1650.2ТГ.24</t>
  </si>
  <si>
    <t>ВКВ.110.300.1700.2ТГ.24</t>
  </si>
  <si>
    <t>ВКВ.110.300.1750.2ТГ.24</t>
  </si>
  <si>
    <t>ВКВ.110.300.1800.2ТГ.24</t>
  </si>
  <si>
    <t>ВКВ.110.300.1850.2ТГ.24</t>
  </si>
  <si>
    <t>ВКВ.110.300.1900.2ТГ.24</t>
  </si>
  <si>
    <t>ВКВ.110.300.1950.2ТГ.24</t>
  </si>
  <si>
    <t>ВКВ.110.300.2000.2ТГ.24</t>
  </si>
  <si>
    <t>ВКВ.110.300.2050.2ТГ.24</t>
  </si>
  <si>
    <t>ВКВ.110.300.2100.2ТГ.24</t>
  </si>
  <si>
    <t>ВКВ.110.300.2150.2ТГ.24</t>
  </si>
  <si>
    <t>ВКВ.110.300.2200.2ТГ.24</t>
  </si>
  <si>
    <t>ВКВ.110.300.2250.2ТГ.24</t>
  </si>
  <si>
    <t>ВКВ.110.300.2300.2ТГ.24</t>
  </si>
  <si>
    <t>ВКВ.110.300.2350.2ТГ.24</t>
  </si>
  <si>
    <t>ВКВ.110.300.2400.2ТГ.24</t>
  </si>
  <si>
    <t>ВКВ.110.300.2450.2ТГ.24</t>
  </si>
  <si>
    <t>ВКВ.110.300.2500.2ТГ.24</t>
  </si>
  <si>
    <t>ВКВ.110.300.2550.2ТГ.24</t>
  </si>
  <si>
    <t>ВКВ.110.300.2600.2ТГ.24</t>
  </si>
  <si>
    <t>ВКВ.110.300.2650.2ТГ.24</t>
  </si>
  <si>
    <t>ВКВ.110.300.2700.2ТГ.24</t>
  </si>
  <si>
    <t>ВКВ.110.300.2750.2ТГ.24</t>
  </si>
  <si>
    <t>ВКВ.110.300.2800.2ТГ.24</t>
  </si>
  <si>
    <t>ВКВ.110.300.2850.2ТГ.24</t>
  </si>
  <si>
    <t>ВКВ.110.300.2900.2ТГ.24</t>
  </si>
  <si>
    <t>ВКВ.110.300.2950.2ТГ.24</t>
  </si>
  <si>
    <t>ВКВ.110.300.3000.2ТГ.24</t>
  </si>
  <si>
    <t>ВКВ.110.360.700.4ТГ.24</t>
  </si>
  <si>
    <t>ВКВ.110.360.750.4ТГ.24</t>
  </si>
  <si>
    <t>ВКВ.110.360.800.4ТГ.24</t>
  </si>
  <si>
    <t>ВКВ.110.360.850.4ТГ.24</t>
  </si>
  <si>
    <t>ВКВ.110.360.900.4ТГ.24</t>
  </si>
  <si>
    <t>ВКВ.110.360.950.4ТГ.24</t>
  </si>
  <si>
    <t>ВКВ.110.360.1000.4ТГ.24</t>
  </si>
  <si>
    <t>ВКВ.110.360.1050.4ТГ.24</t>
  </si>
  <si>
    <t>ВКВ.110.360.1100.4ТГ.24</t>
  </si>
  <si>
    <t>ВКВ.110.360.1150.4ТГ.24</t>
  </si>
  <si>
    <t>ВКВ.110.360.1200.4ТГ.24</t>
  </si>
  <si>
    <t>ВКВ.110.360.1250.4ТГ.24</t>
  </si>
  <si>
    <t>ВКВ.110.360.1300.4ТГ.24</t>
  </si>
  <si>
    <t>ВКВ.110.360.1350.4ТГ.24</t>
  </si>
  <si>
    <t>ВКВ.110.360.1400.4ТГ.24</t>
  </si>
  <si>
    <t>ВКВ.110.360.1450.4ТГ.24</t>
  </si>
  <si>
    <t>ВКВ.110.360.1500.4ТГ.24</t>
  </si>
  <si>
    <t>ВКВ.110.360.1550.4ТГ.24</t>
  </si>
  <si>
    <t>ВКВ.110.360.1600.4ТГ.24</t>
  </si>
  <si>
    <t>ВКВ.110.360.1650.4ТГ.24</t>
  </si>
  <si>
    <t>ВКВ.110.360.1700.4ТГ.24</t>
  </si>
  <si>
    <t>ВКВ.110.360.1750.4ТГ.24</t>
  </si>
  <si>
    <t>ВКВ.110.360.1800.4ТГ.24</t>
  </si>
  <si>
    <t>ВКВ.110.360.1850.4ТГ.24</t>
  </si>
  <si>
    <t>ВКВ.110.360.1900.4ТГ.24</t>
  </si>
  <si>
    <t>ВКВ.110.360.1950.4ТГ.24</t>
  </si>
  <si>
    <t>ВКВ.110.360.2000.4ТГ.24</t>
  </si>
  <si>
    <t>ВКВ.110.360.2050.4ТГ.24</t>
  </si>
  <si>
    <t>ВКВ.110.360.2100.4ТГ.24</t>
  </si>
  <si>
    <t>ВКВ.110.360.2150.4ТГ.24</t>
  </si>
  <si>
    <t>ВКВ.110.360.2200.4ТГ.24</t>
  </si>
  <si>
    <t>ВКВ.110.360.2250.4ТГ.24</t>
  </si>
  <si>
    <t>ВКВ.110.360.2300.4ТГ.24</t>
  </si>
  <si>
    <t>ВКВ.110.360.2350.4ТГ.24</t>
  </si>
  <si>
    <t>ВКВ.110.360.2400.4ТГ.24</t>
  </si>
  <si>
    <t>ВКВ.110.360.2450.4ТГ.24</t>
  </si>
  <si>
    <t>ВКВ.110.360.2500.4ТГ.24</t>
  </si>
  <si>
    <t>ВКВ.110.360.2550.4ТГ.24</t>
  </si>
  <si>
    <t>ВКВ.110.360.2600.4ТГ.24</t>
  </si>
  <si>
    <t>ВКВ.110.360.2650.4ТГ.24</t>
  </si>
  <si>
    <t>ВКВ.110.360.2700.4ТГ.24</t>
  </si>
  <si>
    <t>ВКВ.110.360.2750.4ТГ.24</t>
  </si>
  <si>
    <t>ВКВ.110.360.2800.4ТГ.24</t>
  </si>
  <si>
    <t>ВКВ.110.360.2850.4ТГ.24</t>
  </si>
  <si>
    <t>ВКВ.110.360.2900.4ТГ.24</t>
  </si>
  <si>
    <t>ВКВ.110.360.2950.4ТГ.24</t>
  </si>
  <si>
    <t>ВКВ.110.360.3000.4ТГ.24</t>
  </si>
  <si>
    <t>ВКВ.110.400.700.4ТГ.24</t>
  </si>
  <si>
    <t>ВКВ.110.400.750.4ТГ.24</t>
  </si>
  <si>
    <t>ВКВ.110.400.800.4ТГ.24</t>
  </si>
  <si>
    <t>ВКВ.110.400.850.4ТГ.24</t>
  </si>
  <si>
    <t>ВКВ.110.400.900.4ТГ.24</t>
  </si>
  <si>
    <t>ВКВ.110.400.950.4ТГ.24</t>
  </si>
  <si>
    <t>ВКВ.110.400.1000.4ТГ.24</t>
  </si>
  <si>
    <t>ВКВ.110.400.1050.4ТГ.24</t>
  </si>
  <si>
    <t>ВКВ.110.400.1100.4ТГ.24</t>
  </si>
  <si>
    <t>ВКВ.110.400.1150.4ТГ.24</t>
  </si>
  <si>
    <t>ВКВ.110.400.1200.4ТГ.24</t>
  </si>
  <si>
    <t>ВКВ.110.400.1250.4ТГ.24</t>
  </si>
  <si>
    <t>ВКВ.110.400.1300.4ТГ.24</t>
  </si>
  <si>
    <t>ВКВ.110.400.1350.4ТГ.24</t>
  </si>
  <si>
    <t>ВКВ.110.400.1400.4ТГ.24</t>
  </si>
  <si>
    <t>ВКВ.110.400.1450.4ТГ.24</t>
  </si>
  <si>
    <t>ВКВ.110.400.1500.4ТГ.24</t>
  </si>
  <si>
    <t>ВКВ.110.400.1550.4ТГ.24</t>
  </si>
  <si>
    <t>ВКВ.110.400.1600.4ТГ.24</t>
  </si>
  <si>
    <t>ВКВ.110.400.1650.4ТГ.24</t>
  </si>
  <si>
    <t>ВКВ.110.400.1700.4ТГ.24</t>
  </si>
  <si>
    <t>ВКВ.110.400.1750.4ТГ.24</t>
  </si>
  <si>
    <t>ВКВ.110.400.1800.4ТГ.24</t>
  </si>
  <si>
    <t>ВКВ.110.400.1850.4ТГ.24</t>
  </si>
  <si>
    <t>ВКВ.110.400.1900.4ТГ.24</t>
  </si>
  <si>
    <t>ВКВ.110.400.1950.4ТГ.24</t>
  </si>
  <si>
    <t>ВКВ.110.400.2000.4ТГ.24</t>
  </si>
  <si>
    <t>ВКВ.110.400.2050.4ТГ.24</t>
  </si>
  <si>
    <t>ВКВ.110.400.2100.4ТГ.24</t>
  </si>
  <si>
    <t>ВКВ.110.400.2150.4ТГ.24</t>
  </si>
  <si>
    <t>ВКВ.110.400.2200.4ТГ.24</t>
  </si>
  <si>
    <t>ВКВ.110.400.2250.4ТГ.24</t>
  </si>
  <si>
    <t>ВКВ.110.400.2300.4ТГ.24</t>
  </si>
  <si>
    <t>ВКВ.110.400.2350.4ТГ.24</t>
  </si>
  <si>
    <t>ВКВ.110.400.2400.4ТГ.24</t>
  </si>
  <si>
    <t>ВКВ.110.400.2450.4ТГ.24</t>
  </si>
  <si>
    <t>ВКВ.110.400.2500.4ТГ.24</t>
  </si>
  <si>
    <t>ВКВ.110.400.2550.4ТГ.24</t>
  </si>
  <si>
    <t>ВКВ.110.400.2600.4ТГ.24</t>
  </si>
  <si>
    <t>ВКВ.110.400.2650.4ТГ.24</t>
  </si>
  <si>
    <t>ВКВ.110.400.2700.4ТГ.24</t>
  </si>
  <si>
    <t>ВКВ.110.400.2750.4ТГ.24</t>
  </si>
  <si>
    <t>ВКВ.110.400.2800.4ТГ.24</t>
  </si>
  <si>
    <t>ВКВ.110.400.2850.4ТГ.24</t>
  </si>
  <si>
    <t>ВКВ.110.400.2900.4ТГ.24</t>
  </si>
  <si>
    <t>ВКВ.110.400.2950.4ТГ.24</t>
  </si>
  <si>
    <t>ВКВ.110.400.3000.4ТГ.24</t>
  </si>
  <si>
    <t>ВКВ.140.160.700.2ТГ.24</t>
  </si>
  <si>
    <t>ВКВ.140.160.750.2ТГ.24</t>
  </si>
  <si>
    <t>ВКВ.140.160.800.2ТГ.24</t>
  </si>
  <si>
    <t>ВКВ.140.160.850.2ТГ.24</t>
  </si>
  <si>
    <t>ВКВ.140.160.900.2ТГ.24</t>
  </si>
  <si>
    <t>ВКВ.140.160.950.2ТГ.24</t>
  </si>
  <si>
    <t>ВКВ.140.160.1000.2ТГ.24</t>
  </si>
  <si>
    <t>ВКВ.140.160.1050.2ТГ.24</t>
  </si>
  <si>
    <t>ВКВ.140.160.1100.2ТГ.24</t>
  </si>
  <si>
    <t>ВКВ.140.160.1150.2ТГ.24</t>
  </si>
  <si>
    <t>ВКВ.140.160.1200.2ТГ.24</t>
  </si>
  <si>
    <t>ВКВ.140.160.1250.2ТГ.24</t>
  </si>
  <si>
    <t>ВКВ.140.160.1300.2ТГ.24</t>
  </si>
  <si>
    <t>ВКВ.140.160.1350.2ТГ.24</t>
  </si>
  <si>
    <t>ВКВ.140.160.1400.2ТГ.24</t>
  </si>
  <si>
    <t>ВКВ.140.160.1450.2ТГ.24</t>
  </si>
  <si>
    <t>ВКВ.140.160.1500.2ТГ.24</t>
  </si>
  <si>
    <t>ВКВ.140.160.1550.2ТГ.24</t>
  </si>
  <si>
    <t>ВКВ.140.160.1600.2ТГ.24</t>
  </si>
  <si>
    <t>ВКВ.140.160.1650.2ТГ.24</t>
  </si>
  <si>
    <t>ВКВ.140.160.1700.2ТГ.24</t>
  </si>
  <si>
    <t>ВКВ.140.160.1750.2ТГ.24</t>
  </si>
  <si>
    <t>ВКВ.140.160.1800.2ТГ.24</t>
  </si>
  <si>
    <t>ВКВ.140.160.1850.2ТГ.24</t>
  </si>
  <si>
    <t>ВКВ.140.160.1900.2ТГ.24</t>
  </si>
  <si>
    <t>ВКВ.140.160.1950.2ТГ.24</t>
  </si>
  <si>
    <t>ВКВ.140.160.2000.2ТГ.24</t>
  </si>
  <si>
    <t>ВКВ.140.160.2050.2ТГ.24</t>
  </si>
  <si>
    <t>ВКВ.140.160.2100.2ТГ.24</t>
  </si>
  <si>
    <t>ВКВ.140.160.2150.2ТГ.24</t>
  </si>
  <si>
    <t>ВКВ.140.160.2200.2ТГ.24</t>
  </si>
  <si>
    <t>ВКВ.140.160.2250.2ТГ.24</t>
  </si>
  <si>
    <t>ВКВ.140.160.2300.2ТГ.24</t>
  </si>
  <si>
    <t>ВКВ.140.160.2350.2ТГ.24</t>
  </si>
  <si>
    <t>ВКВ.140.160.2400.2ТГ.24</t>
  </si>
  <si>
    <t>ВКВ.140.160.2450.2ТГ.24</t>
  </si>
  <si>
    <t>ВКВ.140.160.2500.2ТГ.24</t>
  </si>
  <si>
    <t>ВКВ.140.160.2550.2ТГ.24</t>
  </si>
  <si>
    <t>ВКВ.140.160.2600.2ТГ.24</t>
  </si>
  <si>
    <t>ВКВ.140.160.2650.2ТГ.24</t>
  </si>
  <si>
    <t>ВКВ.140.160.2700.2ТГ.24</t>
  </si>
  <si>
    <t>ВКВ.140.160.2750.2ТГ.24</t>
  </si>
  <si>
    <t>ВКВ.140.160.2800.2ТГ.24</t>
  </si>
  <si>
    <t>ВКВ.140.160.2850.2ТГ.24</t>
  </si>
  <si>
    <t>ВКВ.140.160.2900.2ТГ.24</t>
  </si>
  <si>
    <t>ВКВ.140.160.2950.2ТГ.24</t>
  </si>
  <si>
    <t>ВКВ.140.160.3000.2ТГ.24</t>
  </si>
  <si>
    <t>ВКВ.140.200.700.2ТГ.24</t>
  </si>
  <si>
    <t>ВКВ.140.200.750.2ТГ.24</t>
  </si>
  <si>
    <t>ВКВ.140.200.800.2ТГ.24</t>
  </si>
  <si>
    <t>ВКВ.140.200.850.2ТГ.24</t>
  </si>
  <si>
    <t>ВКВ.140.200.900.2ТГ.24</t>
  </si>
  <si>
    <t>ВКВ.140.200.950.2ТГ.24</t>
  </si>
  <si>
    <t>ВКВ.140.200.1000.2ТГ.24</t>
  </si>
  <si>
    <t>ВКВ.140.200.1050.2ТГ.24</t>
  </si>
  <si>
    <t>ВКВ.140.200.1100.2ТГ.24</t>
  </si>
  <si>
    <t>ВКВ.140.200.1150.2ТГ.24</t>
  </si>
  <si>
    <t>ВКВ.140.200.1200.2ТГ.24</t>
  </si>
  <si>
    <t>ВКВ.140.200.1250.2ТГ.24</t>
  </si>
  <si>
    <t>ВКВ.140.200.1300.2ТГ.24</t>
  </si>
  <si>
    <t>ВКВ.140.200.1350.2ТГ.24</t>
  </si>
  <si>
    <t>ВКВ.140.200.1400.2ТГ.24</t>
  </si>
  <si>
    <t>ВКВ.140.200.1450.2ТГ.24</t>
  </si>
  <si>
    <t>ВКВ.140.200.1500.2ТГ.24</t>
  </si>
  <si>
    <t>ВКВ.140.200.1550.2ТГ.24</t>
  </si>
  <si>
    <t>ВКВ.140.200.1600.2ТГ.24</t>
  </si>
  <si>
    <t>ВКВ.140.200.1650.2ТГ.24</t>
  </si>
  <si>
    <t>ВКВ.140.200.1700.2ТГ.24</t>
  </si>
  <si>
    <t>ВКВ.140.200.1750.2ТГ.24</t>
  </si>
  <si>
    <t>ВКВ.140.200.1800.2ТГ.24</t>
  </si>
  <si>
    <t>ВКВ.140.200.1850.2ТГ.24</t>
  </si>
  <si>
    <t>ВКВ.140.200.1900.2ТГ.24</t>
  </si>
  <si>
    <t>ВКВ.140.200.1950.2ТГ.24</t>
  </si>
  <si>
    <t>ВКВ.140.200.2000.2ТГ.24</t>
  </si>
  <si>
    <t>ВКВ.140.200.2050.2ТГ.24</t>
  </si>
  <si>
    <t>ВКВ.140.200.2100.2ТГ.24</t>
  </si>
  <si>
    <t>ВКВ.140.200.2150.2ТГ.24</t>
  </si>
  <si>
    <t>ВКВ.140.200.2200.2ТГ.24</t>
  </si>
  <si>
    <t>ВКВ.140.200.2250.2ТГ.24</t>
  </si>
  <si>
    <t>ВКВ.140.200.2300.2ТГ.24</t>
  </si>
  <si>
    <t>ВКВ.140.200.2350.2ТГ.24</t>
  </si>
  <si>
    <t>ВКВ.140.200.2400.2ТГ.24</t>
  </si>
  <si>
    <t>ВКВ.140.200.2450.2ТГ.24</t>
  </si>
  <si>
    <t>ВКВ.140.200.2500.2ТГ.24</t>
  </si>
  <si>
    <t>ВКВ.140.200.2550.2ТГ.24</t>
  </si>
  <si>
    <t>ВКВ.140.200.2600.2ТГ.24</t>
  </si>
  <si>
    <t>ВКВ.140.200.2650.2ТГ.24</t>
  </si>
  <si>
    <t>ВКВ.140.200.2700.2ТГ.24</t>
  </si>
  <si>
    <t>ВКВ.140.200.2750.2ТГ.24</t>
  </si>
  <si>
    <t>ВКВ.140.200.2800.2ТГ.24</t>
  </si>
  <si>
    <t>ВКВ.140.200.2850.2ТГ.24</t>
  </si>
  <si>
    <t>ВКВ.140.200.2900.2ТГ.24</t>
  </si>
  <si>
    <t>ВКВ.140.200.2950.2ТГ.24</t>
  </si>
  <si>
    <t>ВКВ.140.200.3000.2ТГ.24</t>
  </si>
  <si>
    <t>ВКВ.140.260.700.4ТК.24</t>
  </si>
  <si>
    <t>ВКВ.140.260.750.4ТК.24</t>
  </si>
  <si>
    <t>ВКВ.140.260.800.4ТК.24</t>
  </si>
  <si>
    <t>ВКВ.140.260.850.4ТК.24</t>
  </si>
  <si>
    <t>ВКВ.140.260.900.4ТК.24</t>
  </si>
  <si>
    <t>ВКВ.140.260.950.4ТК.24</t>
  </si>
  <si>
    <t>ВКВ.140.260.1000.4ТК.24</t>
  </si>
  <si>
    <t>ВКВ.140.260.1050.4ТК.24</t>
  </si>
  <si>
    <t>ВКВ.140.260.1100.4ТК.24</t>
  </si>
  <si>
    <t>ВКВ.140.260.1150.4ТК.24</t>
  </si>
  <si>
    <t>ВКВ.140.260.1200.4ТК.24</t>
  </si>
  <si>
    <t>ВКВ.140.260.1250.4ТК.24</t>
  </si>
  <si>
    <t>ВКВ.140.260.1300.4ТК.24</t>
  </si>
  <si>
    <t>ВКВ.140.260.1350.4ТК.24</t>
  </si>
  <si>
    <t>ВКВ.140.260.1400.4ТК.24</t>
  </si>
  <si>
    <t>ВКВ.140.260.1450.4ТК.24</t>
  </si>
  <si>
    <t>ВКВ.140.260.1500.4ТК.24</t>
  </si>
  <si>
    <t>ВКВ.140.260.1550.4ТК.24</t>
  </si>
  <si>
    <t>ВКВ.140.260.1600.4ТК.24</t>
  </si>
  <si>
    <t>ВКВ.140.260.1650.4ТК.24</t>
  </si>
  <si>
    <t>ВКВ.140.260.1700.4ТК.24</t>
  </si>
  <si>
    <t>ВКВ.140.260.1750.4ТК.24</t>
  </si>
  <si>
    <t>ВКВ.140.260.1800.4ТК.24</t>
  </si>
  <si>
    <t>ВКВ.140.260.1850.4ТК.24</t>
  </si>
  <si>
    <t>ВКВ.140.260.1900.4ТК.24</t>
  </si>
  <si>
    <t>ВКВ.140.260.1950.4ТК.24</t>
  </si>
  <si>
    <t>ВКВ.140.260.2000.4ТК.24</t>
  </si>
  <si>
    <t>ВКВ.140.260.2050.4ТК.24</t>
  </si>
  <si>
    <t>ВКВ.140.260.2100.4ТК.24</t>
  </si>
  <si>
    <t>ВКВ.140.260.2150.4ТК.24</t>
  </si>
  <si>
    <t>ВКВ.140.260.2200.4ТК.24</t>
  </si>
  <si>
    <t>ВКВ.140.260.2250.4ТК.24</t>
  </si>
  <si>
    <t>ВКВ.140.260.2300.4ТК.24</t>
  </si>
  <si>
    <t>ВКВ.140.260.2350.4ТК.24</t>
  </si>
  <si>
    <t>ВКВ.140.260.2400.4ТК.24</t>
  </si>
  <si>
    <t>ВКВ.140.260.2450.4ТК.24</t>
  </si>
  <si>
    <t>ВКВ.140.260.2500.4ТК.24</t>
  </si>
  <si>
    <t>ВКВ.140.260.2550.4ТК.24</t>
  </si>
  <si>
    <t>ВКВ.140.260.2600.4ТК.24</t>
  </si>
  <si>
    <t>ВКВ.140.260.2650.4ТК.24</t>
  </si>
  <si>
    <t>ВКВ.140.260.2700.4ТК.24</t>
  </si>
  <si>
    <t>ВКВ.140.260.2750.4ТК.24</t>
  </si>
  <si>
    <t>ВКВ.140.260.2800.4ТК.24</t>
  </si>
  <si>
    <t>ВКВ.140.260.2850.4ТК.24</t>
  </si>
  <si>
    <t>ВКВ.140.260.2900.4ТК.24</t>
  </si>
  <si>
    <t>ВКВ.140.260.2950.4ТК.24</t>
  </si>
  <si>
    <t>ВКВ.140.260.3000.4ТК.24</t>
  </si>
  <si>
    <t>ВКВ.140.300.700.4ТК.24</t>
  </si>
  <si>
    <t>ВКВ.140.300.750.4ТК.24</t>
  </si>
  <si>
    <t>ВКВ.140.300.800.4ТК.24</t>
  </si>
  <si>
    <t>ВКВ.140.300.850.4ТК.24</t>
  </si>
  <si>
    <t>ВКВ.140.300.900.4ТК.24</t>
  </si>
  <si>
    <t>ВКВ.140.300.950.4ТК.24</t>
  </si>
  <si>
    <t>ВКВ.140.300.1000.4ТК.24</t>
  </si>
  <si>
    <t>ВКВ.140.300.1050.4ТК.24</t>
  </si>
  <si>
    <t>ВКВ.140.300.1100.4ТК.24</t>
  </si>
  <si>
    <t>ВКВ.140.300.1150.4ТК.24</t>
  </si>
  <si>
    <t>ВКВ.140.300.1200.4ТК.24</t>
  </si>
  <si>
    <t>ВКВ.140.300.1250.4ТК.24</t>
  </si>
  <si>
    <t>ВКВ.140.300.1300.4ТК.24</t>
  </si>
  <si>
    <t>ВКВ.140.300.1350.4ТК.24</t>
  </si>
  <si>
    <t>ВКВ.140.300.1400.4ТК.24</t>
  </si>
  <si>
    <t>ВКВ.140.300.1450.4ТК.24</t>
  </si>
  <si>
    <t>ВКВ.140.300.1500.4ТК.24</t>
  </si>
  <si>
    <t>ВКВ.140.300.1550.4ТК.24</t>
  </si>
  <si>
    <t>ВКВ.140.300.1600.4ТК.24</t>
  </si>
  <si>
    <t>ВКВ.140.300.1650.4ТК.24</t>
  </si>
  <si>
    <t>ВКВ.140.300.1700.4ТК.24</t>
  </si>
  <si>
    <t>ВКВ.140.300.1750.4ТК.24</t>
  </si>
  <si>
    <t>ВКВ.140.300.1800.4ТК.24</t>
  </si>
  <si>
    <t>ВКВ.140.300.1850.4ТК.24</t>
  </si>
  <si>
    <t>ВКВ.140.300.1900.4ТК.24</t>
  </si>
  <si>
    <t>ВКВ.140.300.1950.4ТК.24</t>
  </si>
  <si>
    <t>ВКВ.140.300.2000.4ТК.24</t>
  </si>
  <si>
    <t>ВКВ.140.300.2050.4ТК.24</t>
  </si>
  <si>
    <t>ВКВ.140.300.2100.4ТК.24</t>
  </si>
  <si>
    <t>ВКВ.140.300.2150.4ТК.24</t>
  </si>
  <si>
    <t>ВКВ.140.300.2200.4ТК.24</t>
  </si>
  <si>
    <t>ВКВ.140.300.2250.4ТК.24</t>
  </si>
  <si>
    <t>ВКВ.140.300.2300.4ТК.24</t>
  </si>
  <si>
    <t>ВКВ.140.300.2350.4ТК.24</t>
  </si>
  <si>
    <t>ВКВ.140.300.2400.4ТК.24</t>
  </si>
  <si>
    <t>ВКВ.140.300.2450.4ТК.24</t>
  </si>
  <si>
    <t>ВКВ.140.300.2500.4ТК.24</t>
  </si>
  <si>
    <t>ВКВ.140.300.2550.4ТК.24</t>
  </si>
  <si>
    <t>ВКВ.140.300.2600.4ТК.24</t>
  </si>
  <si>
    <t>ВКВ.140.300.2650.4ТК.24</t>
  </si>
  <si>
    <t>ВКВ.140.300.2700.4ТК.24</t>
  </si>
  <si>
    <t>ВКВ.140.300.2750.4ТК.24</t>
  </si>
  <si>
    <t>ВКВ.140.300.2800.4ТК.24</t>
  </si>
  <si>
    <t>ВКВ.140.300.2850.4ТК.24</t>
  </si>
  <si>
    <t>ВКВ.140.300.2900.4ТК.24</t>
  </si>
  <si>
    <t>ВКВ.140.300.2950.4ТК.24</t>
  </si>
  <si>
    <t>ВКВ.140.300.3000.4ТК.24</t>
  </si>
  <si>
    <t>ВКВ.140.360.700.6ТП.24</t>
  </si>
  <si>
    <t>ВКВ.140.360.750.6ТП.24</t>
  </si>
  <si>
    <t>ВКВ.140.360.800.6ТП.24</t>
  </si>
  <si>
    <t>ВКВ.140.360.850.6ТП.24</t>
  </si>
  <si>
    <t>ВКВ.140.360.900.6ТП.24</t>
  </si>
  <si>
    <t>ВКВ.140.360.950.6ТП.24</t>
  </si>
  <si>
    <t>ВКВ.140.360.1000.6ТП.24</t>
  </si>
  <si>
    <t>ВКВ.140.360.1050.6ТП.24</t>
  </si>
  <si>
    <t>ВКВ.140.360.1100.6ТП.24</t>
  </si>
  <si>
    <t>ВКВ.140.360.1150.6ТП.24</t>
  </si>
  <si>
    <t>ВКВ.140.360.1200.6ТП.24</t>
  </si>
  <si>
    <t>ВКВ.140.360.1250.6ТП.24</t>
  </si>
  <si>
    <t>ВКВ.140.360.1300.6ТП.24</t>
  </si>
  <si>
    <t>ВКВ.140.360.1350.6ТП.24</t>
  </si>
  <si>
    <t>ВКВ.140.360.1400.6ТП.24</t>
  </si>
  <si>
    <t>ВКВ.140.360.1450.6ТП.24</t>
  </si>
  <si>
    <t>ВКВ.140.360.1500.6ТП.24</t>
  </si>
  <si>
    <t>ВКВ.140.360.1550.6ТП.24</t>
  </si>
  <si>
    <t>ВКВ.140.360.1600.6ТП.24</t>
  </si>
  <si>
    <t>ВКВ.140.360.1650.6ТП.24</t>
  </si>
  <si>
    <t>ВКВ.140.360.1700.6ТП.24</t>
  </si>
  <si>
    <t>ВКВ.140.360.1750.6ТП.24</t>
  </si>
  <si>
    <t>ВКВ.140.360.1800.6ТП.24</t>
  </si>
  <si>
    <t>ВКВ.140.360.1850.6ТП.24</t>
  </si>
  <si>
    <t>ВКВ.140.360.1900.6ТП.24</t>
  </si>
  <si>
    <t>ВКВ.140.360.1950.6ТП.24</t>
  </si>
  <si>
    <t>ВКВ.140.360.2000.6ТП.24</t>
  </si>
  <si>
    <t>ВКВ.140.360.2050.6ТП.24</t>
  </si>
  <si>
    <t>ВКВ.140.360.2100.6ТП.24</t>
  </si>
  <si>
    <t>ВКВ.140.360.2150.6ТП.24</t>
  </si>
  <si>
    <t>ВКВ.140.360.2200.6ТП.24</t>
  </si>
  <si>
    <t>ВКВ.140.360.2250.6ТП.24</t>
  </si>
  <si>
    <t>ВКВ.140.360.2300.6ТП.24</t>
  </si>
  <si>
    <t>ВКВ.140.360.2350.6ТП.24</t>
  </si>
  <si>
    <t>ВКВ.140.360.2400.6ТП.24</t>
  </si>
  <si>
    <t>ВКВ.140.360.2450.6ТП.24</t>
  </si>
  <si>
    <t>ВКВ.140.360.2500.6ТП.24</t>
  </si>
  <si>
    <t>ВКВ.140.360.2550.6ТП.24</t>
  </si>
  <si>
    <t>ВКВ.140.360.2600.6ТП.24</t>
  </si>
  <si>
    <t>ВКВ.140.360.2650.6ТП.24</t>
  </si>
  <si>
    <t>ВКВ.140.360.2700.6ТП.24</t>
  </si>
  <si>
    <t>ВКВ.140.360.2750.6ТП.24</t>
  </si>
  <si>
    <t>ВКВ.140.360.2800.6ТП.24</t>
  </si>
  <si>
    <t>ВКВ.140.360.2850.6ТП.24</t>
  </si>
  <si>
    <t>ВКВ.140.360.2900.6ТП.24</t>
  </si>
  <si>
    <t>ВКВ.140.360.2950.6ТП.24</t>
  </si>
  <si>
    <t>ВКВ.140.360.3000.6ТП.24</t>
  </si>
  <si>
    <t>ВКВ.140.360.700.8ТП.24</t>
  </si>
  <si>
    <t>ВКВ.140.360.750.8ТП.24</t>
  </si>
  <si>
    <t>ВКВ.140.360.800.8ТП.24</t>
  </si>
  <si>
    <t>ВКВ.140.360.850.8ТП.24</t>
  </si>
  <si>
    <t>ВКВ.140.360.900.8ТП.24</t>
  </si>
  <si>
    <t>ВКВ.140.360.950.8ТП.24</t>
  </si>
  <si>
    <t>ВКВ.140.360.1000.8ТП.24</t>
  </si>
  <si>
    <t>ВКВ.140.360.1050.8ТП.24</t>
  </si>
  <si>
    <t>ВКВ.140.360.1100.8ТП.24</t>
  </si>
  <si>
    <t>ВКВ.140.360.1150.8ТП.24</t>
  </si>
  <si>
    <t>ВКВ.140.360.1200.8ТП.24</t>
  </si>
  <si>
    <t>ВКВ.140.360.1250.8ТП.24</t>
  </si>
  <si>
    <t>ВКВ.140.360.1300.8ТП.24</t>
  </si>
  <si>
    <t>ВКВ.140.360.1350.8ТП.24</t>
  </si>
  <si>
    <t>ВКВ.140.360.1400.8ТП.24</t>
  </si>
  <si>
    <t>ВКВ.140.360.1450.8ТП.24</t>
  </si>
  <si>
    <t>ВКВ.140.360.1500.8ТП.24</t>
  </si>
  <si>
    <t>ВКВ.140.360.1550.8ТП.24</t>
  </si>
  <si>
    <t>ВКВ.140.360.1600.8ТП.24</t>
  </si>
  <si>
    <t>ВКВ.140.360.1650.8ТП.24</t>
  </si>
  <si>
    <t>ВКВ.140.360.1700.8ТП.24</t>
  </si>
  <si>
    <t>ВКВ.140.360.1750.8ТП.24</t>
  </si>
  <si>
    <t>ВКВ.140.360.1800.8ТП.24</t>
  </si>
  <si>
    <t>ВКВ.140.360.1850.8ТП.24</t>
  </si>
  <si>
    <t>ВКВ.140.360.1900.8ТП.24</t>
  </si>
  <si>
    <t>ВКВ.140.360.1950.8ТП.24</t>
  </si>
  <si>
    <t>ВКВ.140.360.2000.8ТП.24</t>
  </si>
  <si>
    <t>ВКВ.140.360.2050.8ТП.24</t>
  </si>
  <si>
    <t>ВКВ.140.360.2100.8ТП.24</t>
  </si>
  <si>
    <t>ВКВ.140.360.2150.8ТП.24</t>
  </si>
  <si>
    <t>ВКВ.140.360.2200.8ТП.24</t>
  </si>
  <si>
    <t>ВКВ.140.360.2250.8ТП.24</t>
  </si>
  <si>
    <t>ВКВ.140.360.2300.8ТП.24</t>
  </si>
  <si>
    <t>ВКВ.140.360.2350.8ТП.24</t>
  </si>
  <si>
    <t>ВКВ.140.360.2400.8ТП.24</t>
  </si>
  <si>
    <t>ВКВ.140.360.2450.8ТП.24</t>
  </si>
  <si>
    <t>ВКВ.140.360.2500.8ТП.24</t>
  </si>
  <si>
    <t>ВКВ.140.360.2550.8ТП.24</t>
  </si>
  <si>
    <t>ВКВ.140.360.2600.8ТП.24</t>
  </si>
  <si>
    <t>ВКВ.140.360.2650.8ТП.24</t>
  </si>
  <si>
    <t>ВКВ.140.360.2700.8ТП.24</t>
  </si>
  <si>
    <t>ВКВ.140.360.2750.8ТП.24</t>
  </si>
  <si>
    <t>ВКВ.140.360.2800.8ТП.24</t>
  </si>
  <si>
    <t>ВКВ.140.360.2850.8ТП.24</t>
  </si>
  <si>
    <t>ВКВ.140.360.2900.8ТП.24</t>
  </si>
  <si>
    <t>ВКВ.140.360.2950.8ТП.24</t>
  </si>
  <si>
    <t>ВКВ.140.360.3000.8ТП.24</t>
  </si>
  <si>
    <t>ВКВ.140.400.700.6ТП.24</t>
  </si>
  <si>
    <t>ВКВ.140.400.750.6ТП.24</t>
  </si>
  <si>
    <t>ВКВ.140.400.800.6ТП.24</t>
  </si>
  <si>
    <t>ВКВ.140.400.850.6ТП.24</t>
  </si>
  <si>
    <t>ВКВ.140.400.900.6ТП.24</t>
  </si>
  <si>
    <t>ВКВ.140.400.950.6ТП.24</t>
  </si>
  <si>
    <t>ВКВ.140.400.1000.6ТП.24</t>
  </si>
  <si>
    <t>ВКВ.140.400.1050.6ТП.24</t>
  </si>
  <si>
    <t>ВКВ.140.400.1100.6ТП.24</t>
  </si>
  <si>
    <t>ВКВ.140.400.1150.6ТП.24</t>
  </si>
  <si>
    <t>ВКВ.140.400.1200.6ТП.24</t>
  </si>
  <si>
    <t>ВКВ.140.400.1250.6ТП.24</t>
  </si>
  <si>
    <t>ВКВ.140.400.1300.6ТП.24</t>
  </si>
  <si>
    <t>ВКВ.140.400.1350.6ТП.24</t>
  </si>
  <si>
    <t>ВКВ.140.400.1400.6ТП.24</t>
  </si>
  <si>
    <t>ВКВ.140.400.1450.6ТП.24</t>
  </si>
  <si>
    <t>ВКВ.140.400.1500.6ТП.24</t>
  </si>
  <si>
    <t>ВКВ.140.400.1550.6ТП.24</t>
  </si>
  <si>
    <t>ВКВ.140.400.1600.6ТП.24</t>
  </si>
  <si>
    <t>ВКВ.140.400.1650.6ТП.24</t>
  </si>
  <si>
    <t>ВКВ.140.400.1700.6ТП.24</t>
  </si>
  <si>
    <t>ВКВ.140.400.1750.6ТП.24</t>
  </si>
  <si>
    <t>ВКВ.140.400.1800.6ТП.24</t>
  </si>
  <si>
    <t>ВКВ.140.400.1850.6ТП.24</t>
  </si>
  <si>
    <t>ВКВ.140.400.1900.6ТП.24</t>
  </si>
  <si>
    <t>ВКВ.140.400.1950.6ТП.24</t>
  </si>
  <si>
    <t>ВКВ.140.400.2000.6ТП.24</t>
  </si>
  <si>
    <t>ВКВ.140.400.2050.6ТП.24</t>
  </si>
  <si>
    <t>ВКВ.140.400.2100.6ТП.24</t>
  </si>
  <si>
    <t>ВКВ.140.400.2150.6ТП.24</t>
  </si>
  <si>
    <t>ВКВ.140.400.2200.6ТП.24</t>
  </si>
  <si>
    <t>ВКВ.140.400.2250.6ТП.24</t>
  </si>
  <si>
    <t>ВКВ.140.400.2300.6ТП.24</t>
  </si>
  <si>
    <t>ВКВ.140.400.2350.6ТП.24</t>
  </si>
  <si>
    <t>ВКВ.140.400.2400.6ТП.24</t>
  </si>
  <si>
    <t>ВКВ.140.400.2450.6ТП.24</t>
  </si>
  <si>
    <t>ВКВ.140.400.2500.6ТП.24</t>
  </si>
  <si>
    <t>ВКВ.140.400.2550.6ТП.24</t>
  </si>
  <si>
    <t>ВКВ.140.400.2600.6ТП.24</t>
  </si>
  <si>
    <t>ВКВ.140.400.2650.6ТП.24</t>
  </si>
  <si>
    <t>ВКВ.140.400.2700.6ТП.24</t>
  </si>
  <si>
    <t>ВКВ.140.400.2750.6ТП.24</t>
  </si>
  <si>
    <t>ВКВ.140.400.2800.6ТП.24</t>
  </si>
  <si>
    <t>ВКВ.140.400.2850.6ТП.24</t>
  </si>
  <si>
    <t>ВКВ.140.400.2900.6ТП.24</t>
  </si>
  <si>
    <t>ВКВ.140.400.2950.6ТП.24</t>
  </si>
  <si>
    <t>ВКВ.140.400.3000.6ТП.24</t>
  </si>
  <si>
    <t>ВКВ.140.400.700.8ТП.24</t>
  </si>
  <si>
    <t>ВКВ.140.400.750.8ТП.24</t>
  </si>
  <si>
    <t>ВКВ.140.400.800.8ТП.24</t>
  </si>
  <si>
    <t>ВКВ.140.400.850.8ТП.24</t>
  </si>
  <si>
    <t>ВКВ.140.400.900.8ТП.24</t>
  </si>
  <si>
    <t>ВКВ.140.400.950.8ТП.24</t>
  </si>
  <si>
    <t>ВКВ.140.400.1000.8ТП.24</t>
  </si>
  <si>
    <t>ВКВ.140.400.1050.8ТП.24</t>
  </si>
  <si>
    <t>ВКВ.140.400.1100.8ТП.24</t>
  </si>
  <si>
    <t>ВКВ.140.400.1150.8ТП.24</t>
  </si>
  <si>
    <t>ВКВ.140.400.1200.8ТП.24</t>
  </si>
  <si>
    <t>ВКВ.140.400.1250.8ТП.24</t>
  </si>
  <si>
    <t>ВКВ.140.400.1300.8ТП.24</t>
  </si>
  <si>
    <t>ВКВ.140.400.1350.8ТП.24</t>
  </si>
  <si>
    <t>ВКВ.140.400.1400.8ТП.24</t>
  </si>
  <si>
    <t>ВКВ.140.400.1450.8ТП.24</t>
  </si>
  <si>
    <t>ВКВ.140.400.1500.8ТП.24</t>
  </si>
  <si>
    <t>ВКВ.140.400.1550.8ТП.24</t>
  </si>
  <si>
    <t>ВКВ.140.400.1600.8ТП.24</t>
  </si>
  <si>
    <t>ВКВ.140.400.1650.8ТП.24</t>
  </si>
  <si>
    <t>ВКВ.140.400.1700.8ТП.24</t>
  </si>
  <si>
    <t>ВКВ.140.400.1750.8ТП.24</t>
  </si>
  <si>
    <t>ВКВ.140.400.1800.8ТП.24</t>
  </si>
  <si>
    <t>ВКВ.140.400.1850.8ТП.24</t>
  </si>
  <si>
    <t>ВКВ.140.400.1900.8ТП.24</t>
  </si>
  <si>
    <t>ВКВ.140.400.1950.8ТП.24</t>
  </si>
  <si>
    <t>ВКВ.140.400.2000.8ТП.24</t>
  </si>
  <si>
    <t>ВКВ.140.400.2050.8ТП.24</t>
  </si>
  <si>
    <t>ВКВ.140.400.2100.8ТП.24</t>
  </si>
  <si>
    <t>ВКВ.140.400.2150.8ТП.24</t>
  </si>
  <si>
    <t>ВКВ.140.400.2200.8ТП.24</t>
  </si>
  <si>
    <t>ВКВ.140.400.2250.8ТП.24</t>
  </si>
  <si>
    <t>ВКВ.140.400.2300.8ТП.24</t>
  </si>
  <si>
    <t>ВКВ.140.400.2350.8ТП.24</t>
  </si>
  <si>
    <t>ВКВ.140.400.2400.8ТП.24</t>
  </si>
  <si>
    <t>ВКВ.140.400.2450.8ТП.24</t>
  </si>
  <si>
    <t>ВКВ.140.400.2500.8ТП.24</t>
  </si>
  <si>
    <t>ВКВ.140.400.2550.8ТП.24</t>
  </si>
  <si>
    <t>ВКВ.140.400.2600.8ТП.24</t>
  </si>
  <si>
    <t>ВКВ.140.400.2650.8ТП.24</t>
  </si>
  <si>
    <t>ВКВ.140.400.2700.8ТП.24</t>
  </si>
  <si>
    <t>ВКВ.140.400.2750.8ТП.24</t>
  </si>
  <si>
    <t>ВКВ.140.400.2800.8ТП.24</t>
  </si>
  <si>
    <t>ВКВ.140.400.2850.8ТП.24</t>
  </si>
  <si>
    <t>ВКВ.140.400.2900.8ТП.24</t>
  </si>
  <si>
    <t>ВКВ.140.400.2950.8ТП.24</t>
  </si>
  <si>
    <t>ВКВ.140.400.3000.8ТП.24</t>
  </si>
  <si>
    <t>ВКВ.150.160.700.2ТГ.24</t>
  </si>
  <si>
    <t>ВКВ.150.160.750.2ТГ.24</t>
  </si>
  <si>
    <t>ВКВ.150.160.800.2ТГ.24</t>
  </si>
  <si>
    <t>ВКВ.150.160.850.2ТГ.24</t>
  </si>
  <si>
    <t>ВКВ.150.160.900.2ТГ.24</t>
  </si>
  <si>
    <t>ВКВ.150.160.950.2ТГ.24</t>
  </si>
  <si>
    <t>ВКВ.150.160.1000.2ТГ.24</t>
  </si>
  <si>
    <t>ВКВ.150.160.1050.2ТГ.24</t>
  </si>
  <si>
    <t>ВКВ.150.160.1100.2ТГ.24</t>
  </si>
  <si>
    <t>ВКВ.150.160.1150.2ТГ.24</t>
  </si>
  <si>
    <t>ВКВ.150.160.1200.2ТГ.24</t>
  </si>
  <si>
    <t>ВКВ.150.160.1250.2ТГ.24</t>
  </si>
  <si>
    <t>ВКВ.150.160.1300.2ТГ.24</t>
  </si>
  <si>
    <t>ВКВ.150.160.1350.2ТГ.24</t>
  </si>
  <si>
    <t>ВКВ.150.160.1400.2ТГ.24</t>
  </si>
  <si>
    <t>ВКВ.150.160.1450.2ТГ.24</t>
  </si>
  <si>
    <t>ВКВ.150.160.1500.2ТГ.24</t>
  </si>
  <si>
    <t>ВКВ.150.160.1550.2ТГ.24</t>
  </si>
  <si>
    <t>ВКВ.150.160.1600.2ТГ.24</t>
  </si>
  <si>
    <t>ВКВ.150.160.1650.2ТГ.24</t>
  </si>
  <si>
    <t>ВКВ.150.160.1700.2ТГ.24</t>
  </si>
  <si>
    <t>ВКВ.150.160.1750.2ТГ.24</t>
  </si>
  <si>
    <t>ВКВ.150.160.1800.2ТГ.24</t>
  </si>
  <si>
    <t>ВКВ.150.160.1850.2ТГ.24</t>
  </si>
  <si>
    <t>ВКВ.150.160.1900.2ТГ.24</t>
  </si>
  <si>
    <t>ВКВ.150.160.1950.2ТГ.24</t>
  </si>
  <si>
    <t>ВКВ.150.160.2000.2ТГ.24</t>
  </si>
  <si>
    <t>ВКВ.150.160.2050.2ТГ.24</t>
  </si>
  <si>
    <t>ВКВ.150.160.2100.2ТГ.24</t>
  </si>
  <si>
    <t>ВКВ.150.160.2150.2ТГ.24</t>
  </si>
  <si>
    <t>ВКВ.150.160.2200.2ТГ.24</t>
  </si>
  <si>
    <t>ВКВ.150.160.2250.2ТГ.24</t>
  </si>
  <si>
    <t>ВКВ.150.160.2300.2ТГ.24</t>
  </si>
  <si>
    <t>ВКВ.150.160.2350.2ТГ.24</t>
  </si>
  <si>
    <t>ВКВ.150.160.2400.2ТГ.24</t>
  </si>
  <si>
    <t>ВКВ.150.160.2450.2ТГ.24</t>
  </si>
  <si>
    <t>ВКВ.150.160.2500.2ТГ.24</t>
  </si>
  <si>
    <t>ВКВ.150.160.2550.2ТГ.24</t>
  </si>
  <si>
    <t>ВКВ.150.160.2600.2ТГ.24</t>
  </si>
  <si>
    <t>ВКВ.150.160.2650.2ТГ.24</t>
  </si>
  <si>
    <t>ВКВ.150.160.2700.2ТГ.24</t>
  </si>
  <si>
    <t>ВКВ.150.160.2750.2ТГ.24</t>
  </si>
  <si>
    <t>ВКВ.150.160.2800.2ТГ.24</t>
  </si>
  <si>
    <t>ВКВ.150.160.2850.2ТГ.24</t>
  </si>
  <si>
    <t>ВКВ.150.160.2900.2ТГ.24</t>
  </si>
  <si>
    <t>ВКВ.150.160.2950.2ТГ.24</t>
  </si>
  <si>
    <t>ВКВ.150.160.3000.2ТГ.24</t>
  </si>
  <si>
    <t>ВКВ.150.200.700.2ТГ.24</t>
  </si>
  <si>
    <t>ВКВ.150.200.750.2ТГ.24</t>
  </si>
  <si>
    <t>ВКВ.150.200.800.2ТГ.24</t>
  </si>
  <si>
    <t>ВКВ.150.200.850.2ТГ.24</t>
  </si>
  <si>
    <t>ВКВ.150.200.900.2ТГ.24</t>
  </si>
  <si>
    <t>ВКВ.150.200.950.2ТГ.24</t>
  </si>
  <si>
    <t>ВКВ.150.200.1000.2ТГ.24</t>
  </si>
  <si>
    <t>ВКВ.150.200.1050.2ТГ.24</t>
  </si>
  <si>
    <t>ВКВ.150.200.1100.2ТГ.24</t>
  </si>
  <si>
    <t>ВКВ.150.200.1150.2ТГ.24</t>
  </si>
  <si>
    <t>ВКВ.150.200.1200.2ТГ.24</t>
  </si>
  <si>
    <t>ВКВ.150.200.1250.2ТГ.24</t>
  </si>
  <si>
    <t>ВКВ.150.200.1300.2ТГ.24</t>
  </si>
  <si>
    <t>ВКВ.150.200.1350.2ТГ.24</t>
  </si>
  <si>
    <t>ВКВ.150.200.1400.2ТГ.24</t>
  </si>
  <si>
    <t>ВКВ.150.200.1450.2ТГ.24</t>
  </si>
  <si>
    <t>ВКВ.150.200.1500.2ТГ.24</t>
  </si>
  <si>
    <t>ВКВ.150.200.1550.2ТГ.24</t>
  </si>
  <si>
    <t>ВКВ.150.200.1600.2ТГ.24</t>
  </si>
  <si>
    <t>ВКВ.150.200.1650.2ТГ.24</t>
  </si>
  <si>
    <t>ВКВ.150.200.1700.2ТГ.24</t>
  </si>
  <si>
    <t>ВКВ.150.200.1750.2ТГ.24</t>
  </si>
  <si>
    <t>ВКВ.150.200.1800.2ТГ.24</t>
  </si>
  <si>
    <t>ВКВ.150.200.1850.2ТГ.24</t>
  </si>
  <si>
    <t>ВКВ.150.200.1900.2ТГ.24</t>
  </si>
  <si>
    <t>ВКВ.150.200.1950.2ТГ.24</t>
  </si>
  <si>
    <t>ВКВ.150.200.2000.2ТГ.24</t>
  </si>
  <si>
    <t>ВКВ.150.200.2050.2ТГ.24</t>
  </si>
  <si>
    <t>ВКВ.150.200.2100.2ТГ.24</t>
  </si>
  <si>
    <t>ВКВ.150.200.2150.2ТГ.24</t>
  </si>
  <si>
    <t>ВКВ.150.200.2200.2ТГ.24</t>
  </si>
  <si>
    <t>ВКВ.150.200.2250.2ТГ.24</t>
  </si>
  <si>
    <t>ВКВ.150.200.2300.2ТГ.24</t>
  </si>
  <si>
    <t>ВКВ.150.200.2350.2ТГ.24</t>
  </si>
  <si>
    <t>ВКВ.150.200.2400.2ТГ.24</t>
  </si>
  <si>
    <t>ВКВ.150.200.2450.2ТГ.24</t>
  </si>
  <si>
    <t>ВКВ.150.200.2500.2ТГ.24</t>
  </si>
  <si>
    <t>ВКВ.150.200.2550.2ТГ.24</t>
  </si>
  <si>
    <t>ВКВ.150.200.2600.2ТГ.24</t>
  </si>
  <si>
    <t>ВКВ.150.200.2650.2ТГ.24</t>
  </si>
  <si>
    <t>ВКВ.150.200.2700.2ТГ.24</t>
  </si>
  <si>
    <t>ВКВ.150.200.2750.2ТГ.24</t>
  </si>
  <si>
    <t>ВКВ.150.200.2800.2ТГ.24</t>
  </si>
  <si>
    <t>ВКВ.150.200.2850.2ТГ.24</t>
  </si>
  <si>
    <t>ВКВ.150.200.2900.2ТГ.24</t>
  </si>
  <si>
    <t>ВКВ.150.200.2950.2ТГ.24</t>
  </si>
  <si>
    <t>ВКВ.150.200.3000.2ТГ.24</t>
  </si>
  <si>
    <t>ВКВ.150.260.700.4ТК.24</t>
  </si>
  <si>
    <t>ВКВ.150.260.750.4ТК.24</t>
  </si>
  <si>
    <t>ВКВ.150.260.800.4ТК.24</t>
  </si>
  <si>
    <t>ВКВ.150.260.850.4ТК.24</t>
  </si>
  <si>
    <t>ВКВ.150.260.900.4ТК.24</t>
  </si>
  <si>
    <t>ВКВ.150.260.950.4ТК.24</t>
  </si>
  <si>
    <t>ВКВ.150.260.1000.4ТК.24</t>
  </si>
  <si>
    <t>ВКВ.150.260.1050.4ТК.24</t>
  </si>
  <si>
    <t>ВКВ.150.260.1100.4ТК.24</t>
  </si>
  <si>
    <t>ВКВ.150.260.1150.4ТК.24</t>
  </si>
  <si>
    <t>ВКВ.150.260.1200.4ТК.24</t>
  </si>
  <si>
    <t>ВКВ.150.260.1250.4ТК.24</t>
  </si>
  <si>
    <t>ВКВ.150.260.1300.4ТК.24</t>
  </si>
  <si>
    <t>ВКВ.150.260.1350.4ТК.24</t>
  </si>
  <si>
    <t>ВКВ.150.260.1400.4ТК.24</t>
  </si>
  <si>
    <t>ВКВ.150.260.1450.4ТК.24</t>
  </si>
  <si>
    <t>ВКВ.150.260.1500.4ТК.24</t>
  </si>
  <si>
    <t>ВКВ.150.260.1550.4ТК.24</t>
  </si>
  <si>
    <t>ВКВ.150.260.1600.4ТК.24</t>
  </si>
  <si>
    <t>ВКВ.150.260.1650.4ТК.24</t>
  </si>
  <si>
    <t>ВКВ.150.260.1700.4ТК.24</t>
  </si>
  <si>
    <t>ВКВ.150.260.1750.4ТК.24</t>
  </si>
  <si>
    <t>ВКВ.150.260.1800.4ТК.24</t>
  </si>
  <si>
    <t>ВКВ.150.260.1850.4ТК.24</t>
  </si>
  <si>
    <t>ВКВ.150.260.1900.4ТК.24</t>
  </si>
  <si>
    <t>ВКВ.150.260.1950.4ТК.24</t>
  </si>
  <si>
    <t>ВКВ.150.260.2000.4ТК.24</t>
  </si>
  <si>
    <t>ВКВ.150.260.2050.4ТК.24</t>
  </si>
  <si>
    <t>ВКВ.150.260.2100.4ТК.24</t>
  </si>
  <si>
    <t>ВКВ.150.260.2150.4ТК.24</t>
  </si>
  <si>
    <t>ВКВ.150.260.2200.4ТК.24</t>
  </si>
  <si>
    <t>ВКВ.150.260.2250.4ТК.24</t>
  </si>
  <si>
    <t>ВКВ.150.260.2300.4ТК.24</t>
  </si>
  <si>
    <t>ВКВ.150.260.2350.4ТК.24</t>
  </si>
  <si>
    <t>ВКВ.150.260.2400.4ТК.24</t>
  </si>
  <si>
    <t>ВКВ.150.260.2450.4ТК.24</t>
  </si>
  <si>
    <t>ВКВ.150.260.2500.4ТК.24</t>
  </si>
  <si>
    <t>ВКВ.150.260.2550.4ТК.24</t>
  </si>
  <si>
    <t>ВКВ.150.260.2600.4ТК.24</t>
  </si>
  <si>
    <t>ВКВ.150.260.2650.4ТК.24</t>
  </si>
  <si>
    <t>ВКВ.150.260.2700.4ТК.24</t>
  </si>
  <si>
    <t>ВКВ.150.260.2750.4ТК.24</t>
  </si>
  <si>
    <t>ВКВ.150.260.2800.4ТК.24</t>
  </si>
  <si>
    <t>ВКВ.150.260.2850.4ТК.24</t>
  </si>
  <si>
    <t>ВКВ.150.260.2900.4ТК.24</t>
  </si>
  <si>
    <t>ВКВ.150.260.2950.4ТК.24</t>
  </si>
  <si>
    <t>ВКВ.150.260.3000.4ТК.24</t>
  </si>
  <si>
    <t>ВКВ.150.300.700.4ТК.24</t>
  </si>
  <si>
    <t>ВКВ.150.300.750.4ТК.24</t>
  </si>
  <si>
    <t>ВКВ.150.300.800.4ТК.24</t>
  </si>
  <si>
    <t>ВКВ.150.300.850.4ТК.24</t>
  </si>
  <si>
    <t>ВКВ.150.300.900.4ТК.24</t>
  </si>
  <si>
    <t>ВКВ.150.300.950.4ТК.24</t>
  </si>
  <si>
    <t>ВКВ.150.300.1000.4ТК.24</t>
  </si>
  <si>
    <t>ВКВ.150.300.1050.4ТК.24</t>
  </si>
  <si>
    <t>ВКВ.150.300.1100.4ТК.24</t>
  </si>
  <si>
    <t>ВКВ.150.300.1150.4ТК.24</t>
  </si>
  <si>
    <t>ВКВ.150.300.1200.4ТК.24</t>
  </si>
  <si>
    <t>ВКВ.150.300.1250.4ТК.24</t>
  </si>
  <si>
    <t>ВКВ.150.300.1300.4ТК.24</t>
  </si>
  <si>
    <t>ВКВ.150.300.1350.4ТК.24</t>
  </si>
  <si>
    <t>ВКВ.150.300.1400.4ТК.24</t>
  </si>
  <si>
    <t>ВКВ.150.300.1450.4ТК.24</t>
  </si>
  <si>
    <t>ВКВ.150.300.1500.4ТК.24</t>
  </si>
  <si>
    <t>ВКВ.150.300.1550.4ТК.24</t>
  </si>
  <si>
    <t>ВКВ.150.300.1600.4ТК.24</t>
  </si>
  <si>
    <t>ВКВ.150.300.1650.4ТК.24</t>
  </si>
  <si>
    <t>ВКВ.150.300.1700.4ТК.24</t>
  </si>
  <si>
    <t>ВКВ.150.300.1750.4ТК.24</t>
  </si>
  <si>
    <t>ВКВ.150.300.1800.4ТК.24</t>
  </si>
  <si>
    <t>ВКВ.150.300.1850.4ТК.24</t>
  </si>
  <si>
    <t>ВКВ.150.300.1900.4ТК.24</t>
  </si>
  <si>
    <t>ВКВ.150.300.1950.4ТК.24</t>
  </si>
  <si>
    <t>ВКВ.150.300.2000.4ТК.24</t>
  </si>
  <si>
    <t>ВКВ.150.300.2050.4ТК.24</t>
  </si>
  <si>
    <t>ВКВ.150.300.2100.4ТК.24</t>
  </si>
  <si>
    <t>ВКВ.150.300.2150.4ТК.24</t>
  </si>
  <si>
    <t>ВКВ.150.300.2200.4ТК.24</t>
  </si>
  <si>
    <t>ВКВ.150.300.2250.4ТК.24</t>
  </si>
  <si>
    <t>ВКВ.150.300.2300.4ТК.24</t>
  </si>
  <si>
    <t>ВКВ.150.300.2350.4ТК.24</t>
  </si>
  <si>
    <t>ВКВ.150.300.2400.4ТК.24</t>
  </si>
  <si>
    <t>ВКВ.150.300.2450.4ТК.24</t>
  </si>
  <si>
    <t>ВКВ.150.300.2500.4ТК.24</t>
  </si>
  <si>
    <t>ВКВ.150.300.2550.4ТК.24</t>
  </si>
  <si>
    <t>ВКВ.150.300.2600.4ТК.24</t>
  </si>
  <si>
    <t>ВКВ.150.300.2650.4ТК.24</t>
  </si>
  <si>
    <t>ВКВ.150.300.2700.4ТК.24</t>
  </si>
  <si>
    <t>ВКВ.150.300.2750.4ТК.24</t>
  </si>
  <si>
    <t>ВКВ.150.300.2800.4ТК.24</t>
  </si>
  <si>
    <t>ВКВ.150.300.2850.4ТК.24</t>
  </si>
  <si>
    <t>ВКВ.150.300.2900.4ТК.24</t>
  </si>
  <si>
    <t>ВКВ.150.300.2950.4ТК.24</t>
  </si>
  <si>
    <t>ВКВ.150.300.3000.4ТК.24</t>
  </si>
  <si>
    <t>ВКВ.150.360.700.6ТП.24</t>
  </si>
  <si>
    <t>ВКВ.150.360.750.6ТП.24</t>
  </si>
  <si>
    <t>ВКВ.150.360.800.6ТП.24</t>
  </si>
  <si>
    <t>ВКВ.150.360.850.6ТП.24</t>
  </si>
  <si>
    <t>ВКВ.150.360.900.6ТП.24</t>
  </si>
  <si>
    <t>ВКВ.150.360.950.6ТП.24</t>
  </si>
  <si>
    <t>ВКВ.150.360.1000.6ТП.24</t>
  </si>
  <si>
    <t>ВКВ.150.360.1050.6ТП.24</t>
  </si>
  <si>
    <t>ВКВ.150.360.1100.6ТП.24</t>
  </si>
  <si>
    <t>ВКВ.150.360.1150.6ТП.24</t>
  </si>
  <si>
    <t>ВКВ.150.360.1200.6ТП.24</t>
  </si>
  <si>
    <t>ВКВ.150.360.1250.6ТП.24</t>
  </si>
  <si>
    <t>ВКВ.150.360.1300.6ТП.24</t>
  </si>
  <si>
    <t>ВКВ.150.360.1350.6ТП.24</t>
  </si>
  <si>
    <t>ВКВ.150.360.1400.6ТП.24</t>
  </si>
  <si>
    <t>ВКВ.150.360.1450.6ТП.24</t>
  </si>
  <si>
    <t>ВКВ.150.360.1500.6ТП.24</t>
  </si>
  <si>
    <t>ВКВ.150.360.1550.6ТП.24</t>
  </si>
  <si>
    <t>ВКВ.150.360.1600.6ТП.24</t>
  </si>
  <si>
    <t>ВКВ.150.360.1650.6ТП.24</t>
  </si>
  <si>
    <t>ВКВ.150.360.1700.6ТП.24</t>
  </si>
  <si>
    <t>ВКВ.150.360.1750.6ТП.24</t>
  </si>
  <si>
    <t>ВКВ.150.360.1800.6ТП.24</t>
  </si>
  <si>
    <t>ВКВ.150.360.1850.6ТП.24</t>
  </si>
  <si>
    <t>ВКВ.150.360.1900.6ТП.24</t>
  </si>
  <si>
    <t>ВКВ.150.360.1950.6ТП.24</t>
  </si>
  <si>
    <t>ВКВ.150.360.2000.6ТП.24</t>
  </si>
  <si>
    <t>ВКВ.150.360.2050.6ТП.24</t>
  </si>
  <si>
    <t>ВКВ.150.360.2100.6ТП.24</t>
  </si>
  <si>
    <t>ВКВ.150.360.2150.6ТП.24</t>
  </si>
  <si>
    <t>ВКВ.150.360.2200.6ТП.24</t>
  </si>
  <si>
    <t>ВКВ.150.360.2250.6ТП.24</t>
  </si>
  <si>
    <t>ВКВ.150.360.2300.6ТП.24</t>
  </si>
  <si>
    <t>ВКВ.150.360.2350.6ТП.24</t>
  </si>
  <si>
    <t>ВКВ.150.360.2400.6ТП.24</t>
  </si>
  <si>
    <t>ВКВ.150.360.2450.6ТП.24</t>
  </si>
  <si>
    <t>ВКВ.150.360.2500.6ТП.24</t>
  </si>
  <si>
    <t>ВКВ.150.360.2550.6ТП.24</t>
  </si>
  <si>
    <t>ВКВ.150.360.2600.6ТП.24</t>
  </si>
  <si>
    <t>ВКВ.150.360.2650.6ТП.24</t>
  </si>
  <si>
    <t>ВКВ.150.360.2700.6ТП.24</t>
  </si>
  <si>
    <t>ВКВ.150.360.2750.6ТП.24</t>
  </si>
  <si>
    <t>ВКВ.150.360.2800.6ТП.24</t>
  </si>
  <si>
    <t>ВКВ.150.360.2850.6ТП.24</t>
  </si>
  <si>
    <t>ВКВ.150.360.2900.6ТП.24</t>
  </si>
  <si>
    <t>ВКВ.150.360.2950.6ТП.24</t>
  </si>
  <si>
    <t>ВКВ.150.360.3000.6ТП.24</t>
  </si>
  <si>
    <t>ВКВ.150.360.700.8ТП.24</t>
  </si>
  <si>
    <t>ВКВ.150.360.750.8ТП.24</t>
  </si>
  <si>
    <t>ВКВ.150.360.800.8ТП.24</t>
  </si>
  <si>
    <t>ВКВ.150.360.850.8ТП.24</t>
  </si>
  <si>
    <t>ВКВ.150.360.900.8ТП.24</t>
  </si>
  <si>
    <t>ВКВ.150.360.950.8ТП.24</t>
  </si>
  <si>
    <t>ВКВ.150.360.1000.8ТП.24</t>
  </si>
  <si>
    <t>ВКВ.150.360.1050.8ТП.24</t>
  </si>
  <si>
    <t>ВКВ.150.360.1100.8ТП.24</t>
  </si>
  <si>
    <t>ВКВ.150.360.1150.8ТП.24</t>
  </si>
  <si>
    <t>ВКВ.150.360.1200.8ТП.24</t>
  </si>
  <si>
    <t>ВКВ.150.360.1250.8ТП.24</t>
  </si>
  <si>
    <t>ВКВ.150.360.1300.8ТП.24</t>
  </si>
  <si>
    <t>ВКВ.150.360.1350.8ТП.24</t>
  </si>
  <si>
    <t>ВКВ.150.360.1400.8ТП.24</t>
  </si>
  <si>
    <t>ВКВ.150.360.1450.8ТП.24</t>
  </si>
  <si>
    <t>ВКВ.150.360.1500.8ТП.24</t>
  </si>
  <si>
    <t>ВКВ.150.360.1550.8ТП.24</t>
  </si>
  <si>
    <t>ВКВ.150.360.1600.8ТП.24</t>
  </si>
  <si>
    <t>ВКВ.150.360.1650.8ТП.24</t>
  </si>
  <si>
    <t>ВКВ.150.360.1700.8ТП.24</t>
  </si>
  <si>
    <t>ВКВ.150.360.1750.8ТП.24</t>
  </si>
  <si>
    <t>ВКВ.150.360.1800.8ТП.24</t>
  </si>
  <si>
    <t>ВКВ.150.360.1850.8ТП.24</t>
  </si>
  <si>
    <t>ВКВ.150.360.1900.8ТП.24</t>
  </si>
  <si>
    <t>ВКВ.150.360.1950.8ТП.24</t>
  </si>
  <si>
    <t>ВКВ.150.360.2000.8ТП.24</t>
  </si>
  <si>
    <t>ВКВ.150.360.2050.8ТП.24</t>
  </si>
  <si>
    <t>ВКВ.150.360.2100.8ТП.24</t>
  </si>
  <si>
    <t>ВКВ.150.360.2150.8ТП.24</t>
  </si>
  <si>
    <t>ВКВ.150.360.2200.8ТП.24</t>
  </si>
  <si>
    <t>ВКВ.150.360.2250.8ТП.24</t>
  </si>
  <si>
    <t>ВКВ.150.360.2300.8ТП.24</t>
  </si>
  <si>
    <t>ВКВ.150.360.2350.8ТП.24</t>
  </si>
  <si>
    <t>ВКВ.150.360.2400.8ТП.24</t>
  </si>
  <si>
    <t>ВКВ.150.360.2450.8ТП.24</t>
  </si>
  <si>
    <t>ВКВ.150.360.2500.8ТП.24</t>
  </si>
  <si>
    <t>ВКВ.150.360.2550.8ТП.24</t>
  </si>
  <si>
    <t>ВКВ.150.360.2600.8ТП.24</t>
  </si>
  <si>
    <t>ВКВ.150.360.2650.8ТП.24</t>
  </si>
  <si>
    <t>ВКВ.150.360.2700.8ТП.24</t>
  </si>
  <si>
    <t>ВКВ.150.360.2750.8ТП.24</t>
  </si>
  <si>
    <t>ВКВ.150.360.2800.8ТП.24</t>
  </si>
  <si>
    <t>ВКВ.150.360.2850.8ТП.24</t>
  </si>
  <si>
    <t>ВКВ.150.360.2900.8ТП.24</t>
  </si>
  <si>
    <t>ВКВ.150.360.2950.8ТП.24</t>
  </si>
  <si>
    <t>ВКВ.150.360.3000.8ТП.24</t>
  </si>
  <si>
    <t>ВКВ.150.400.700.6ТП.24</t>
  </si>
  <si>
    <t>ВКВ.150.400.750.6ТП.24</t>
  </si>
  <si>
    <t>ВКВ.150.400.800.6ТП.24</t>
  </si>
  <si>
    <t>ВКВ.150.400.850.6ТП.24</t>
  </si>
  <si>
    <t>ВКВ.150.400.900.6ТП.24</t>
  </si>
  <si>
    <t>ВКВ.150.400.950.6ТП.24</t>
  </si>
  <si>
    <t>ВКВ.150.400.1000.6ТП.24</t>
  </si>
  <si>
    <t>ВКВ.150.400.1050.6ТП.24</t>
  </si>
  <si>
    <t>ВКВ.150.400.1100.6ТП.24</t>
  </si>
  <si>
    <t>ВКВ.150.400.1150.6ТП.24</t>
  </si>
  <si>
    <t>ВКВ.150.400.1200.6ТП.24</t>
  </si>
  <si>
    <t>ВКВ.150.400.1250.6ТП.24</t>
  </si>
  <si>
    <t>ВКВ.150.400.1300.6ТП.24</t>
  </si>
  <si>
    <t>ВКВ.150.400.1350.6ТП.24</t>
  </si>
  <si>
    <t>ВКВ.150.400.1400.6ТП.24</t>
  </si>
  <si>
    <t>ВКВ.150.400.1450.6ТП.24</t>
  </si>
  <si>
    <t>ВКВ.150.400.1500.6ТП.24</t>
  </si>
  <si>
    <t>ВКВ.150.400.1550.6ТП.24</t>
  </si>
  <si>
    <t>ВКВ.150.400.1600.6ТП.24</t>
  </si>
  <si>
    <t>ВКВ.150.400.1650.6ТП.24</t>
  </si>
  <si>
    <t>ВКВ.150.400.1700.6ТП.24</t>
  </si>
  <si>
    <t>ВКВ.150.400.1750.6ТП.24</t>
  </si>
  <si>
    <t>ВКВ.150.400.1800.6ТП.24</t>
  </si>
  <si>
    <t>ВКВ.150.400.1850.6ТП.24</t>
  </si>
  <si>
    <t>ВКВ.150.400.1900.6ТП.24</t>
  </si>
  <si>
    <t>ВКВ.150.400.1950.6ТП.24</t>
  </si>
  <si>
    <t>ВКВ.150.400.2000.6ТП.24</t>
  </si>
  <si>
    <t>ВКВ.150.400.2050.6ТП.24</t>
  </si>
  <si>
    <t>ВКВ.150.400.2100.6ТП.24</t>
  </si>
  <si>
    <t>ВКВ.150.400.2150.6ТП.24</t>
  </si>
  <si>
    <t>ВКВ.150.400.2200.6ТП.24</t>
  </si>
  <si>
    <t>ВКВ.150.400.2250.6ТП.24</t>
  </si>
  <si>
    <t>ВКВ.150.400.2300.6ТП.24</t>
  </si>
  <si>
    <t>ВКВ.150.400.2350.6ТП.24</t>
  </si>
  <si>
    <t>ВКВ.150.400.2400.6ТП.24</t>
  </si>
  <si>
    <t>ВКВ.150.400.2450.6ТП.24</t>
  </si>
  <si>
    <t>ВКВ.150.400.2500.6ТП.24</t>
  </si>
  <si>
    <t>ВКВ.150.400.2550.6ТП.24</t>
  </si>
  <si>
    <t>ВКВ.150.400.2600.6ТП.24</t>
  </si>
  <si>
    <t>ВКВ.150.400.2650.6ТП.24</t>
  </si>
  <si>
    <t>ВКВ.150.400.2700.6ТП.24</t>
  </si>
  <si>
    <t>ВКВ.150.400.2750.6ТП.24</t>
  </si>
  <si>
    <t>ВКВ.150.400.2800.6ТП.24</t>
  </si>
  <si>
    <t>ВКВ.150.400.2850.6ТП.24</t>
  </si>
  <si>
    <t>ВКВ.150.400.2900.6ТП.24</t>
  </si>
  <si>
    <t>ВКВ.150.400.2950.6ТП.24</t>
  </si>
  <si>
    <t>ВКВ.150.400.3000.6ТП.24</t>
  </si>
  <si>
    <t>ВКВ.150.400.700.8ТП.24</t>
  </si>
  <si>
    <t>ВКВ.150.400.750.8ТП.24</t>
  </si>
  <si>
    <t>ВКВ.150.400.800.8ТП.24</t>
  </si>
  <si>
    <t>ВКВ.150.400.850.8ТП.24</t>
  </si>
  <si>
    <t>ВКВ.150.400.900.8ТП.24</t>
  </si>
  <si>
    <t>ВКВ.150.400.950.8ТП.24</t>
  </si>
  <si>
    <t>ВКВ.150.400.1000.8ТП.24</t>
  </si>
  <si>
    <t>ВКВ.150.400.1050.8ТП.24</t>
  </si>
  <si>
    <t>ВКВ.150.400.1100.8ТП.24</t>
  </si>
  <si>
    <t>ВКВ.150.400.1150.8ТП.24</t>
  </si>
  <si>
    <t>ВКВ.150.400.1200.8ТП.24</t>
  </si>
  <si>
    <t>ВКВ.150.400.1250.8ТП.24</t>
  </si>
  <si>
    <t>ВКВ.150.400.1300.8ТП.24</t>
  </si>
  <si>
    <t>ВКВ.150.400.1350.8ТП.24</t>
  </si>
  <si>
    <t>ВКВ.150.400.1400.8ТП.24</t>
  </si>
  <si>
    <t>ВКВ.150.400.1450.8ТП.24</t>
  </si>
  <si>
    <t>ВКВ.150.400.1500.8ТП.24</t>
  </si>
  <si>
    <t>ВКВ.150.400.1550.8ТП.24</t>
  </si>
  <si>
    <t>ВКВ.150.400.1600.8ТП.24</t>
  </si>
  <si>
    <t>ВКВ.150.400.1650.8ТП.24</t>
  </si>
  <si>
    <t>ВКВ.150.400.1700.8ТП.24</t>
  </si>
  <si>
    <t>ВКВ.150.400.1750.8ТП.24</t>
  </si>
  <si>
    <t>ВКВ.150.400.1800.8ТП.24</t>
  </si>
  <si>
    <t>ВКВ.150.400.1850.8ТП.24</t>
  </si>
  <si>
    <t>ВКВ.150.400.1900.8ТП.24</t>
  </si>
  <si>
    <t>ВКВ.150.400.1950.8ТП.24</t>
  </si>
  <si>
    <t>ВКВ.150.400.2000.8ТП.24</t>
  </si>
  <si>
    <t>ВКВ.150.400.2050.8ТП.24</t>
  </si>
  <si>
    <t>ВКВ.150.400.2100.8ТП.24</t>
  </si>
  <si>
    <t>ВКВ.150.400.2150.8ТП.24</t>
  </si>
  <si>
    <t>ВКВ.150.400.2200.8ТП.24</t>
  </si>
  <si>
    <t>ВКВ.150.400.2250.8ТП.24</t>
  </si>
  <si>
    <t>ВКВ.150.400.2300.8ТП.24</t>
  </si>
  <si>
    <t>ВКВ.150.400.2350.8ТП.24</t>
  </si>
  <si>
    <t>ВКВ.150.400.2400.8ТП.24</t>
  </si>
  <si>
    <t>ВКВ.150.400.2450.8ТП.24</t>
  </si>
  <si>
    <t>ВКВ.150.400.2500.8ТП.24</t>
  </si>
  <si>
    <t>ВКВ.150.400.2550.8ТП.24</t>
  </si>
  <si>
    <t>ВКВ.150.400.2600.8ТП.24</t>
  </si>
  <si>
    <t>ВКВ.150.400.2650.8ТП.24</t>
  </si>
  <si>
    <t>ВКВ.150.400.2700.8ТП.24</t>
  </si>
  <si>
    <t>ВКВ.150.400.2750.8ТП.24</t>
  </si>
  <si>
    <t>ВКВ.150.400.2800.8ТП.24</t>
  </si>
  <si>
    <t>ВКВ.150.400.2850.8ТП.24</t>
  </si>
  <si>
    <t>ВКВ.150.400.2900.8ТП.24</t>
  </si>
  <si>
    <t>ВКВ.150.400.2950.8ТП.24</t>
  </si>
  <si>
    <t>ВКВ.150.400.3000.8ТП.24</t>
  </si>
  <si>
    <t>ВКВТХ.130.260.700.4ТК.24</t>
  </si>
  <si>
    <t>ВКВТХ.130.260.750.4ТК.24</t>
  </si>
  <si>
    <t>ВКВТХ.130.260.800.4ТК.24</t>
  </si>
  <si>
    <t>ВКВТХ.130.260.850.4ТК.24</t>
  </si>
  <si>
    <t>ВКВТХ.130.260.900.4ТК.24</t>
  </si>
  <si>
    <t>ВКВТХ.130.260.950.4ТК.24</t>
  </si>
  <si>
    <t>ВКВТХ.130.260.1000.4ТК.24</t>
  </si>
  <si>
    <t>ВКВТХ.130.260.1050.4ТК.24</t>
  </si>
  <si>
    <t>ВКВТХ.130.260.1100.4ТК.24</t>
  </si>
  <si>
    <t>ВКВТХ.130.260.1150.4ТК.24</t>
  </si>
  <si>
    <t>ВКВТХ.130.260.1200.4ТК.24</t>
  </si>
  <si>
    <t>ВКВТХ.130.260.1250.4ТК.24</t>
  </si>
  <si>
    <t>ВКВТХ.130.260.1300.4ТК.24</t>
  </si>
  <si>
    <t>ВКВТХ.130.260.1350.4ТК.24</t>
  </si>
  <si>
    <t>ВКВТХ.130.260.1400.4ТК.24</t>
  </si>
  <si>
    <t>ВКВТХ.130.260.1450.4ТК.24</t>
  </si>
  <si>
    <t>ВКВТХ.130.260.1500.4ТК.24</t>
  </si>
  <si>
    <t>ВКВТХ.130.260.1550.4ТК.24</t>
  </si>
  <si>
    <t>ВКВТХ.130.260.1600.4ТК.24</t>
  </si>
  <si>
    <t>ВКВТХ.130.260.1650.4ТК.24</t>
  </si>
  <si>
    <t>ВКВТХ.130.260.1700.4ТК.24</t>
  </si>
  <si>
    <t>ВКВТХ.130.260.1750.4ТК.24</t>
  </si>
  <si>
    <t>ВКВТХ.130.260.1800.4ТК.24</t>
  </si>
  <si>
    <t>ВКВТХ.130.260.1850.4ТК.24</t>
  </si>
  <si>
    <t>ВКВТХ.130.260.1900.4ТК.24</t>
  </si>
  <si>
    <t>ВКВТХ.130.260.1950.4ТК.24</t>
  </si>
  <si>
    <t>ВКВТХ.130.260.2000.4ТК.24</t>
  </si>
  <si>
    <t>ВКВТХ.130.260.2050.4ТК.24</t>
  </si>
  <si>
    <t>ВКВТХ.130.260.2100.4ТК.24</t>
  </si>
  <si>
    <t>ВКВТХ.130.260.2150.4ТК.24</t>
  </si>
  <si>
    <t>ВКВТХ.130.260.2200.4ТК.24</t>
  </si>
  <si>
    <t>ВКВТХ.130.260.2250.4ТК.24</t>
  </si>
  <si>
    <t>ВКВТХ.130.260.2300.4ТК.24</t>
  </si>
  <si>
    <t>ВКВТХ.130.260.2350.4ТК.24</t>
  </si>
  <si>
    <t>ВКВТХ.130.260.2400.4ТК.24</t>
  </si>
  <si>
    <t>ВКВТХ.130.260.2450.4ТК.24</t>
  </si>
  <si>
    <t>ВКВТХ.130.260.2500.4ТК.24</t>
  </si>
  <si>
    <t>ВКВТХ.130.260.2550.4ТК.24</t>
  </si>
  <si>
    <t>ВКВТХ.130.260.2600.4ТК.24</t>
  </si>
  <si>
    <t>ВКВТХ.130.260.2650.4ТК.24</t>
  </si>
  <si>
    <t>ВКВТХ.130.260.2700.4ТК.24</t>
  </si>
  <si>
    <t>ВКВТХ.130.260.2750.4ТК.24</t>
  </si>
  <si>
    <t>ВКВТХ.130.260.2800.4ТК.24</t>
  </si>
  <si>
    <t>ВКВТХ.130.260.2850.4ТК.24</t>
  </si>
  <si>
    <t>ВКВТХ.130.260.2900.4ТК.24</t>
  </si>
  <si>
    <t>ВКВТХ.130.260.2950.4ТК.24</t>
  </si>
  <si>
    <t>ВКВТХ.130.260.3000.4ТК.24</t>
  </si>
  <si>
    <t>ВКВТХ.150.300.700.4ТК.24</t>
  </si>
  <si>
    <t>ВКВТХ.150.300.750.4ТК.24</t>
  </si>
  <si>
    <t>ВКВТХ.150.300.800.4ТК.24</t>
  </si>
  <si>
    <t>ВКВТХ.150.300.850.4ТК.24</t>
  </si>
  <si>
    <t>ВКВТХ.150.300.900.4ТК.24</t>
  </si>
  <si>
    <t>ВКВТХ.150.300.950.4ТК.24</t>
  </si>
  <si>
    <t>ВКВТХ.150.300.1000.4ТК.24</t>
  </si>
  <si>
    <t>ВКВТХ.150.300.1050.4ТК.24</t>
  </si>
  <si>
    <t>ВКВТХ.150.300.1100.4ТК.24</t>
  </si>
  <si>
    <t>ВКВТХ.150.300.1150.4ТК.24</t>
  </si>
  <si>
    <t>ВКВТХ.150.300.1200.4ТК.24</t>
  </si>
  <si>
    <t>ВКВТХ.150.300.1250.4ТК.24</t>
  </si>
  <si>
    <t>ВКВТХ.150.300.1300.4ТК.24</t>
  </si>
  <si>
    <t>ВКВТХ.150.300.1350.4ТК.24</t>
  </si>
  <si>
    <t>ВКВТХ.150.300.1400.4ТК.24</t>
  </si>
  <si>
    <t>ВКВТХ.150.300.1450.4ТК.24</t>
  </si>
  <si>
    <t>ВКВТХ.150.300.1500.4ТК.24</t>
  </si>
  <si>
    <t>ВКВТХ.150.300.1550.4ТК.24</t>
  </si>
  <si>
    <t>ВКВТХ.150.300.1600.4ТК.24</t>
  </si>
  <si>
    <t>ВКВТХ.150.300.1650.4ТК.24</t>
  </si>
  <si>
    <t>ВКВТХ.150.300.1700.4ТК.24</t>
  </si>
  <si>
    <t>ВКВТХ.150.300.1750.4ТК.24</t>
  </si>
  <si>
    <t>ВКВТХ.150.300.1800.4ТК.24</t>
  </si>
  <si>
    <t>ВКВТХ.150.300.1850.4ТК.24</t>
  </si>
  <si>
    <t>ВКВТХ.150.300.1900.4ТК.24</t>
  </si>
  <si>
    <t>ВКВТХ.150.300.1950.4ТК.24</t>
  </si>
  <si>
    <t>ВКВТХ.150.300.2000.4ТК.24</t>
  </si>
  <si>
    <t>ВКВТХ.150.300.2050.4ТК.24</t>
  </si>
  <si>
    <t>ВКВТХ.150.300.2100.4ТК.24</t>
  </si>
  <si>
    <t>ВКВТХ.150.300.2150.4ТК.24</t>
  </si>
  <si>
    <t>ВКВТХ.150.300.2200.4ТК.24</t>
  </si>
  <si>
    <t>ВКВТХ.150.300.2250.4ТК.24</t>
  </si>
  <si>
    <t>ВКВТХ.150.300.2300.4ТК.24</t>
  </si>
  <si>
    <t>ВКВТХ.150.300.2350.4ТК.24</t>
  </si>
  <si>
    <t>ВКВТХ.150.300.2400.4ТК.24</t>
  </si>
  <si>
    <t>ВКВТХ.150.300.2450.4ТК.24</t>
  </si>
  <si>
    <t>ВКВТХ.150.300.2500.4ТК.24</t>
  </si>
  <si>
    <t>ВКВТХ.150.300.2550.4ТК.24</t>
  </si>
  <si>
    <t>ВКВТХ.150.300.2600.4ТК.24</t>
  </si>
  <si>
    <t>ВКВТХ.150.300.2650.4ТК.24</t>
  </si>
  <si>
    <t>ВКВТХ.150.300.2700.4ТК.24</t>
  </si>
  <si>
    <t>ВКВТХ.150.300.2750.4ТК.24</t>
  </si>
  <si>
    <t>ВКВТХ.150.300.2800.4ТК.24</t>
  </si>
  <si>
    <t>ВКВТХ.150.300.2850.4ТК.24</t>
  </si>
  <si>
    <t>ВКВТХ.150.300.2900.4ТК.24</t>
  </si>
  <si>
    <t>ВКВТХ.150.300.2950.4ТК.24</t>
  </si>
  <si>
    <t>ВКВТХ.150.300.3000.4ТК.24</t>
  </si>
  <si>
    <t>ВКВМ.90.335.500.4ТГ.24</t>
  </si>
  <si>
    <t>ВКВП.90.290.1000.2ТГ.24</t>
  </si>
  <si>
    <t>ВКВП.90.290.900.2ТГ.24</t>
  </si>
  <si>
    <t>ВКВП.90.290.1250.2ТГ.24</t>
  </si>
  <si>
    <t>ВКВП.90.290.1500.2ТГ.24</t>
  </si>
  <si>
    <t>ВКВ+ВКЭ.90.360.700.2ТГ.24</t>
  </si>
  <si>
    <t>ВКВ+ВКЭ.90.360.750.2ТГ.24</t>
  </si>
  <si>
    <t>ВКВ+ВКЭ.90.360.800.2ТГ.24</t>
  </si>
  <si>
    <t>ВКВ+ВКЭ.90.360.850.2ТГ.24</t>
  </si>
  <si>
    <t>ВКВ+ВКЭ.90.360.900.2ТГ.24</t>
  </si>
  <si>
    <t>ВКВ+ВКЭ.90.360.950.2ТГ.24</t>
  </si>
  <si>
    <t>ВКВ+ВКЭ.90.360.1000.2ТГ.24</t>
  </si>
  <si>
    <t>ВКВ+ВКЭ.90.360.1050.2ТГ.24</t>
  </si>
  <si>
    <t>ВКВ+ВКЭ.90.360.1100.2ТГ.24</t>
  </si>
  <si>
    <t>ВКВ+ВКЭ.90.360.1150.2ТГ.24</t>
  </si>
  <si>
    <t>ВКВ+ВКЭ.90.360.1200.2ТГ.24</t>
  </si>
  <si>
    <t>ВКВ+ВКЭ.90.360.1250.2ТГ.24</t>
  </si>
  <si>
    <t>ВКВ+ВКЭ.90.360.1300.2ТГ.24</t>
  </si>
  <si>
    <t>ВКВ+ВКЭ.90.360.1350.2ТГ.24</t>
  </si>
  <si>
    <t>ВКВ+ВКЭ.90.360.1400.2ТГ.24</t>
  </si>
  <si>
    <t>ВКВ+ВКЭ.90.360.1450.2ТГ.24</t>
  </si>
  <si>
    <t>ВКВ+ВКЭ.90.360.1500.2ТГ.24</t>
  </si>
  <si>
    <t>ВКВ+ВКЭ.90.360.1550.2ТГ.24</t>
  </si>
  <si>
    <t>ВКВ+ВКЭ.90.360.1600.2ТГ.24</t>
  </si>
  <si>
    <t>ВКВ+ВКЭ.90.360.1650.2ТГ.24</t>
  </si>
  <si>
    <t>ВКВ+ВКЭ.90.360.1700.2ТГ.24</t>
  </si>
  <si>
    <t>ВКВ+ВКЭ.90.360.1750.2ТГ.24</t>
  </si>
  <si>
    <t>ВКВ+ВКЭ.90.360.1800.2ТГ.24</t>
  </si>
  <si>
    <t>ВКВ+ВКЭ.90.360.1850.2ТГ.24</t>
  </si>
  <si>
    <t>ВКВ+ВКЭ.90.360.1900.2ТГ.24</t>
  </si>
  <si>
    <t>ВКВ+ВКЭ.90.360.1950.2ТГ.24</t>
  </si>
  <si>
    <t>ВКВ+ВКЭ.90.360.2000.2ТГ.24</t>
  </si>
  <si>
    <t>ВКВ+ВКЭ.90.360.2050.2ТГ.24</t>
  </si>
  <si>
    <t>ВКВ+ВКЭ.90.360.2100.2ТГ.24</t>
  </si>
  <si>
    <t>ВКВ+ВКЭ.90.360.2150.2ТГ.24</t>
  </si>
  <si>
    <t>ВКВ+ВКЭ.90.360.2200.2ТГ.24</t>
  </si>
  <si>
    <t>ВКВ+ВКЭ.90.360.2250.2ТГ.24</t>
  </si>
  <si>
    <t>ВКВ+ВКЭ.90.360.2300.2ТГ.24</t>
  </si>
  <si>
    <t>ВКВ+ВКЭ.90.360.2350.2ТГ.24</t>
  </si>
  <si>
    <t>ВКВ+ВКЭ.90.360.2400.2ТГ.24</t>
  </si>
  <si>
    <t>ВКВ+ВКЭ.90.360.2450.2ТГ.24</t>
  </si>
  <si>
    <t>ВКВ+ВКЭ.90.360.2500.2ТГ.24</t>
  </si>
  <si>
    <t>ВКВ+ВКЭ.90.360.2550.2ТГ.24</t>
  </si>
  <si>
    <t>ВКВ+ВКЭ.90.360.2600.2ТГ.24</t>
  </si>
  <si>
    <t>ВКВ+ВКЭ.90.360.2650.2ТГ.24</t>
  </si>
  <si>
    <t>ВКВ+ВКЭ.90.360.2700.2ТГ.24</t>
  </si>
  <si>
    <t>ВКВ+ВКЭ.90.360.2750.2ТГ.24</t>
  </si>
  <si>
    <t>ВКВ+ВКЭ.90.360.2800.2ТГ.24</t>
  </si>
  <si>
    <t>ВКВ+ВКЭ.90.360.2850.2ТГ.24</t>
  </si>
  <si>
    <t>ВКВ+ВКЭ.90.360.2900.2ТГ.24</t>
  </si>
  <si>
    <t>ВКВ+ВКЭ.90.360.2950.2ТГ.24</t>
  </si>
  <si>
    <t>ВКВ+ВКЭ.90.360.3000.2ТГ.24</t>
  </si>
  <si>
    <t>ВТ.65.130.2ТГ.ХХХ</t>
  </si>
  <si>
    <t>ВТ.130.130.4ТК(4ТГ).ХХХ</t>
  </si>
  <si>
    <t>ВТ.130.195.6ТП(6ТГ).ХХХ</t>
  </si>
  <si>
    <t>ВТ.130.260.8ТП.ХХХ</t>
  </si>
  <si>
    <t>130 (65)</t>
  </si>
  <si>
    <t>130 (260)</t>
  </si>
  <si>
    <t>195 (390)</t>
  </si>
  <si>
    <t>* исполнение теплооменника для конвектора с принудительной конвекцией +15%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</si>
</sst>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2" formatCode="_-* #,##0\ &quot;₽&quot;_-;\-* #,##0\ &quot;₽&quot;_-;_-* &quot;-&quot;\ &quot;₽&quot;_-;_-@_-"/>
    <numFmt numFmtId="44" formatCode="_-* #,##0.00\ &quot;₽&quot;_-;\-* #,##0.00\ &quot;₽&quot;_-;_-* &quot;-&quot;??\ &quot;₽&quot;_-;_-@_-"/>
    <numFmt numFmtId="164" formatCode="#,##0\ &quot;₽&quot;"/>
    <numFmt numFmtId="165" formatCode="#,##0.00\ [$₽-419];\-#,##0.00\ [$₽-419]"/>
    <numFmt numFmtId="166" formatCode="[$€-2]\ #,##0.00;\-[$€-2]\ #,##0.00"/>
    <numFmt numFmtId="167" formatCode="#,##0\ [$₽-419];\-#,##0\ [$₽-419]"/>
    <numFmt numFmtId="168" formatCode="#,##0.00_ ;\-#,##0.00\ "/>
    <numFmt numFmtId="169" formatCode="0.0"/>
    <numFmt numFmtId="170" formatCode="#,##0.000\ [$₽-419];\-#,##0.000\ [$₽-419]"/>
    <numFmt numFmtId="171" formatCode="_-* #,##0\ &quot;₽&quot;_-;\-* #,##0\ &quot;₽&quot;_-;_-* &quot;-&quot;??\ &quot;₽&quot;_-;_-@_-"/>
    <numFmt numFmtId="172" formatCode="0.000"/>
  </numFmts>
  <fonts count="93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6"/>
      <color theme="1"/>
      <name val="Georgia"/>
      <family val="1"/>
      <charset val="204"/>
    </font>
    <font>
      <b/>
      <sz val="16"/>
      <color theme="1"/>
      <name val="Georgia"/>
      <family val="1"/>
      <charset val="204"/>
    </font>
    <font>
      <u/>
      <sz val="11"/>
      <color theme="10"/>
      <name val="Calibri"/>
      <family val="2"/>
      <charset val="204"/>
      <scheme val="minor"/>
    </font>
    <font>
      <b/>
      <u/>
      <sz val="16"/>
      <color theme="1"/>
      <name val="Georgia"/>
      <family val="1"/>
      <charset val="204"/>
    </font>
    <font>
      <b/>
      <sz val="22"/>
      <color theme="1"/>
      <name val="Georgia"/>
      <family val="1"/>
      <charset val="204"/>
    </font>
    <font>
      <b/>
      <i/>
      <sz val="14"/>
      <color theme="1"/>
      <name val="Georgia"/>
      <family val="1"/>
      <charset val="204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u/>
      <sz val="12"/>
      <color theme="1"/>
      <name val="Calibri"/>
      <family val="2"/>
      <charset val="204"/>
      <scheme val="minor"/>
    </font>
    <font>
      <b/>
      <u/>
      <sz val="14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4"/>
      <color theme="0"/>
      <name val="Calibri Light"/>
      <family val="2"/>
      <charset val="204"/>
      <scheme val="major"/>
    </font>
    <font>
      <b/>
      <shadow/>
      <sz val="12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2"/>
      <color theme="0"/>
      <name val="Calibri"/>
      <family val="2"/>
      <charset val="204"/>
      <scheme val="minor"/>
    </font>
    <font>
      <b/>
      <u/>
      <sz val="16"/>
      <name val="Georgia"/>
      <family val="1"/>
      <charset val="204"/>
    </font>
    <font>
      <b/>
      <u/>
      <sz val="16"/>
      <color rgb="FF92D050"/>
      <name val="Georgia"/>
      <family val="1"/>
      <charset val="204"/>
    </font>
    <font>
      <sz val="11"/>
      <color rgb="FF92D050"/>
      <name val="Calibri"/>
      <family val="2"/>
      <charset val="204"/>
      <scheme val="minor"/>
    </font>
    <font>
      <b/>
      <sz val="16"/>
      <name val="Georgia"/>
      <family val="1"/>
      <charset val="204"/>
    </font>
    <font>
      <b/>
      <sz val="1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sz val="12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60"/>
      <color rgb="FFFF0000"/>
      <name val="Calibri"/>
      <family val="2"/>
      <charset val="204"/>
      <scheme val="minor"/>
    </font>
    <font>
      <sz val="18"/>
      <color rgb="FFFF00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b/>
      <sz val="14"/>
      <color rgb="FFFF330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6"/>
      <color theme="1"/>
      <name val="Times New Roman"/>
      <family val="1"/>
      <charset val="204"/>
    </font>
    <font>
      <b/>
      <sz val="15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14"/>
      <color theme="1"/>
      <name val="Symbol"/>
      <family val="1"/>
      <charset val="2"/>
    </font>
    <font>
      <b/>
      <sz val="13"/>
      <color theme="1"/>
      <name val="Times New Roman"/>
      <family val="1"/>
      <charset val="204"/>
    </font>
    <font>
      <b/>
      <sz val="11.5"/>
      <color rgb="FF000000"/>
      <name val="Arial"/>
      <family val="2"/>
      <charset val="204"/>
    </font>
    <font>
      <sz val="11.5"/>
      <color rgb="FF000000"/>
      <name val="Arial"/>
      <family val="2"/>
      <charset val="204"/>
    </font>
    <font>
      <sz val="16"/>
      <color theme="1"/>
      <name val="Calibri"/>
      <family val="2"/>
      <charset val="204"/>
      <scheme val="minor"/>
    </font>
    <font>
      <sz val="16"/>
      <color rgb="FFFF0000"/>
      <name val="Calibri"/>
      <family val="2"/>
      <charset val="204"/>
      <scheme val="minor"/>
    </font>
    <font>
      <b/>
      <i/>
      <u/>
      <sz val="18"/>
      <color theme="10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sz val="20"/>
      <color theme="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6"/>
      <color theme="1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36"/>
      <color theme="1"/>
      <name val="Calibri"/>
      <family val="2"/>
      <charset val="204"/>
      <scheme val="minor"/>
    </font>
    <font>
      <b/>
      <sz val="22"/>
      <color theme="1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6"/>
      <color theme="1"/>
      <name val="Calibri"/>
      <family val="2"/>
      <scheme val="minor"/>
    </font>
    <font>
      <b/>
      <sz val="28"/>
      <color theme="1"/>
      <name val="Calibri"/>
      <family val="2"/>
      <charset val="204"/>
      <scheme val="minor"/>
    </font>
    <font>
      <sz val="16"/>
      <name val="Calibri"/>
      <family val="2"/>
      <charset val="204"/>
      <scheme val="minor"/>
    </font>
    <font>
      <b/>
      <u/>
      <sz val="11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u/>
      <sz val="12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2"/>
      <color indexed="8"/>
      <name val="Calibri"/>
      <family val="2"/>
      <charset val="204"/>
    </font>
    <font>
      <sz val="26"/>
      <color theme="1"/>
      <name val="Calibri"/>
      <family val="2"/>
      <scheme val="minor"/>
    </font>
    <font>
      <sz val="26"/>
      <color theme="1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b/>
      <sz val="16"/>
      <color theme="0"/>
      <name val="Calibri Light"/>
      <family val="2"/>
      <charset val="204"/>
      <scheme val="major"/>
    </font>
    <font>
      <b/>
      <sz val="16"/>
      <color theme="0"/>
      <name val="Calibri"/>
      <family val="2"/>
      <charset val="204"/>
      <scheme val="minor"/>
    </font>
    <font>
      <b/>
      <sz val="16"/>
      <color theme="0"/>
      <name val="Calibri"/>
      <family val="2"/>
      <charset val="204"/>
    </font>
    <font>
      <b/>
      <sz val="11"/>
      <color rgb="FF000000"/>
      <name val="Yandex-sans"/>
      <charset val="204"/>
    </font>
    <font>
      <sz val="12"/>
      <color indexed="8"/>
      <name val="Arial"/>
      <family val="2"/>
      <charset val="204"/>
    </font>
    <font>
      <b/>
      <sz val="12"/>
      <color indexed="8"/>
      <name val="Arial"/>
      <family val="2"/>
      <charset val="204"/>
    </font>
    <font>
      <b/>
      <sz val="24"/>
      <color theme="1"/>
      <name val="Calibri"/>
      <family val="2"/>
      <charset val="204"/>
      <scheme val="minor"/>
    </font>
    <font>
      <sz val="12"/>
      <color theme="1"/>
      <name val="Arial"/>
      <family val="2"/>
      <charset val="204"/>
    </font>
    <font>
      <sz val="12"/>
      <color rgb="FF000000"/>
      <name val="Calibri"/>
      <family val="2"/>
      <charset val="204"/>
      <scheme val="minor"/>
    </font>
    <font>
      <sz val="28"/>
      <color theme="1"/>
      <name val="Calibri"/>
      <family val="2"/>
      <charset val="204"/>
      <scheme val="minor"/>
    </font>
    <font>
      <shadow/>
      <sz val="12"/>
      <name val="Calibri"/>
      <family val="2"/>
      <charset val="204"/>
      <scheme val="minor"/>
    </font>
    <font>
      <sz val="11"/>
      <color rgb="FF000000"/>
      <name val="Yandex-sans"/>
      <charset val="204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charset val="204"/>
    </font>
    <font>
      <sz val="13.6"/>
      <color theme="1"/>
      <name val="Calibri"/>
      <family val="2"/>
    </font>
    <font>
      <b/>
      <sz val="36"/>
      <name val="Calibri"/>
      <family val="2"/>
      <charset val="204"/>
      <scheme val="minor"/>
    </font>
    <font>
      <sz val="14"/>
      <color theme="1"/>
      <name val="Calibri"/>
      <family val="2"/>
      <scheme val="minor"/>
    </font>
    <font>
      <b/>
      <sz val="18"/>
      <name val="Calibri"/>
      <family val="2"/>
      <charset val="204"/>
      <scheme val="minor"/>
    </font>
    <font>
      <b/>
      <sz val="12"/>
      <color rgb="FFFF0000"/>
      <name val="Calibri"/>
      <family val="2"/>
      <charset val="204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07BD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7D7D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7C80"/>
        <bgColor indexed="64"/>
      </patternFill>
    </fill>
  </fills>
  <borders count="1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 diagonalUp="1" diagonalDown="1">
      <left style="medium">
        <color indexed="64"/>
      </left>
      <right/>
      <top style="medium">
        <color indexed="64"/>
      </top>
      <bottom style="medium">
        <color indexed="64"/>
      </bottom>
      <diagonal style="thin">
        <color auto="1"/>
      </diagonal>
    </border>
    <border diagonalUp="1" diagonalDown="1">
      <left/>
      <right/>
      <top style="medium">
        <color indexed="64"/>
      </top>
      <bottom style="medium">
        <color indexed="64"/>
      </bottom>
      <diagonal style="thin">
        <color auto="1"/>
      </diagonal>
    </border>
    <border diagonalUp="1" diagonalDown="1">
      <left/>
      <right style="medium">
        <color indexed="64"/>
      </right>
      <top style="medium">
        <color indexed="64"/>
      </top>
      <bottom style="medium">
        <color indexed="64"/>
      </bottom>
      <diagonal style="thin">
        <color auto="1"/>
      </diagonal>
    </border>
    <border diagonalUp="1" diagonalDown="1">
      <left/>
      <right/>
      <top/>
      <bottom/>
      <diagonal style="thin">
        <color auto="1"/>
      </diagonal>
    </border>
    <border diagonalUp="1" diagonalDown="1">
      <left style="medium">
        <color indexed="64"/>
      </left>
      <right style="thin">
        <color indexed="64"/>
      </right>
      <top/>
      <bottom style="medium">
        <color indexed="64"/>
      </bottom>
      <diagonal style="thin">
        <color auto="1"/>
      </diagonal>
    </border>
    <border diagonalUp="1" diagonalDown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 diagonalDown="1">
      <left style="thin">
        <color indexed="64"/>
      </left>
      <right style="medium">
        <color indexed="64"/>
      </right>
      <top/>
      <bottom style="medium">
        <color indexed="64"/>
      </bottom>
      <diagonal style="thin">
        <color auto="1"/>
      </diagonal>
    </border>
    <border diagonalUp="1" diagonalDown="1"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 diagonalDown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auto="1"/>
      </diagonal>
    </border>
    <border diagonalUp="1" diagonalDown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auto="1"/>
      </diagonal>
    </border>
    <border diagonalUp="1" diagonalDown="1"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 style="thin">
        <color auto="1"/>
      </diagonal>
    </border>
    <border diagonalUp="1" diagonalDown="1"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 style="thin">
        <color auto="1"/>
      </diagonal>
    </border>
    <border diagonalUp="1" diagonalDown="1">
      <left style="thin">
        <color indexed="64"/>
      </left>
      <right/>
      <top style="medium">
        <color indexed="64"/>
      </top>
      <bottom style="medium">
        <color indexed="64"/>
      </bottom>
      <diagonal style="thin">
        <color auto="1"/>
      </diagonal>
    </border>
    <border diagonalUp="1" diagonalDown="1"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 style="thin">
        <color auto="1"/>
      </diagonal>
    </border>
    <border diagonalUp="1" diagonalDown="1"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 diagonalDown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auto="1"/>
      </diagonal>
    </border>
    <border diagonalUp="1" diagonalDown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auto="1"/>
      </diagonal>
    </border>
    <border diagonalUp="1" diagonalDown="1">
      <left style="medium">
        <color indexed="64"/>
      </left>
      <right style="medium">
        <color indexed="64"/>
      </right>
      <top/>
      <bottom style="thin">
        <color indexed="64"/>
      </bottom>
      <diagonal style="thin">
        <color auto="1"/>
      </diagonal>
    </border>
    <border diagonalUp="1"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 diagonalUp="1" diagonalDown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auto="1"/>
      </diagonal>
    </border>
    <border diagonalUp="1" diagonalDown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auto="1"/>
      </diagonal>
    </border>
    <border diagonalUp="1" diagonalDown="1">
      <left style="medium">
        <color indexed="64"/>
      </left>
      <right style="thin">
        <color indexed="64"/>
      </right>
      <top/>
      <bottom style="thin">
        <color indexed="64"/>
      </bottom>
      <diagonal style="thin">
        <color auto="1"/>
      </diagonal>
    </border>
    <border diagonalUp="1" diagonalDown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Up="1" diagonalDown="1"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 diagonalDown="1">
      <left/>
      <right style="thin">
        <color indexed="64"/>
      </right>
      <top style="thin">
        <color indexed="64"/>
      </top>
      <bottom style="thin">
        <color indexed="64"/>
      </bottom>
      <diagonal style="thin">
        <color auto="1"/>
      </diagonal>
    </border>
    <border diagonalUp="1" diagonalDown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auto="1"/>
      </diagonal>
    </border>
    <border diagonalUp="1" diagonalDown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auto="1"/>
      </diagonal>
    </border>
    <border diagonalUp="1" diagonalDown="1">
      <left style="thin">
        <color indexed="64"/>
      </left>
      <right/>
      <top style="thin">
        <color indexed="64"/>
      </top>
      <bottom style="thin">
        <color indexed="64"/>
      </bottom>
      <diagonal style="thin">
        <color auto="1"/>
      </diagonal>
    </border>
    <border diagonalUp="1" diagonalDown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auto="1"/>
      </diagonal>
    </border>
    <border diagonalUp="1" diagonalDown="1">
      <left style="medium">
        <color indexed="64"/>
      </left>
      <right style="medium">
        <color indexed="64"/>
      </right>
      <top style="medium">
        <color indexed="64"/>
      </top>
      <bottom/>
      <diagonal style="thin">
        <color auto="1"/>
      </diagonal>
    </border>
    <border diagonalUp="1" diagonalDown="1">
      <left style="medium">
        <color indexed="64"/>
      </left>
      <right/>
      <top/>
      <bottom style="medium">
        <color indexed="64"/>
      </bottom>
      <diagonal style="thin">
        <color auto="1"/>
      </diagonal>
    </border>
    <border diagonalUp="1" diagonalDown="1">
      <left/>
      <right style="medium">
        <color indexed="64"/>
      </right>
      <top/>
      <bottom style="medium">
        <color indexed="64"/>
      </bottom>
      <diagonal style="thin">
        <color auto="1"/>
      </diagonal>
    </border>
    <border diagonalUp="1" diagonalDown="1">
      <left style="medium">
        <color indexed="64"/>
      </left>
      <right style="medium">
        <color indexed="64"/>
      </right>
      <top/>
      <bottom/>
      <diagonal style="thin">
        <color auto="1"/>
      </diagonal>
    </border>
    <border diagonalUp="1" diagonalDown="1">
      <left/>
      <right style="thin">
        <color indexed="64"/>
      </right>
      <top style="thin">
        <color indexed="64"/>
      </top>
      <bottom/>
      <diagonal style="thin">
        <color auto="1"/>
      </diagonal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auto="1"/>
      </diagonal>
    </border>
    <border diagonalUp="1" diagonalDown="1">
      <left style="thin">
        <color indexed="64"/>
      </left>
      <right style="medium">
        <color indexed="64"/>
      </right>
      <top style="thin">
        <color indexed="64"/>
      </top>
      <bottom/>
      <diagonal style="thin">
        <color auto="1"/>
      </diagonal>
    </border>
    <border diagonalUp="1" diagonalDown="1">
      <left style="medium">
        <color indexed="64"/>
      </left>
      <right style="medium">
        <color indexed="64"/>
      </right>
      <top/>
      <bottom style="medium">
        <color indexed="64"/>
      </bottom>
      <diagonal style="thin">
        <color auto="1"/>
      </diagonal>
    </border>
    <border diagonalUp="1" diagonalDown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auto="1"/>
      </diagonal>
    </border>
    <border diagonalUp="1" diagonalDown="1"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auto="1"/>
      </diagonal>
    </border>
    <border diagonalUp="1" diagonalDown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auto="1"/>
      </diagonal>
    </border>
    <border diagonalUp="1" diagonalDown="1">
      <left style="medium">
        <color indexed="64"/>
      </left>
      <right/>
      <top style="thin">
        <color indexed="64"/>
      </top>
      <bottom/>
      <diagonal style="thin">
        <color auto="1"/>
      </diagonal>
    </border>
    <border diagonalUp="1" diagonalDown="1">
      <left style="medium">
        <color indexed="64"/>
      </left>
      <right style="medium">
        <color indexed="64"/>
      </right>
      <top style="thin">
        <color indexed="64"/>
      </top>
      <bottom/>
      <diagonal style="thin">
        <color auto="1"/>
      </diagonal>
    </border>
    <border diagonalUp="1" diagonalDown="1">
      <left style="medium">
        <color indexed="64"/>
      </left>
      <right style="thin">
        <color indexed="64"/>
      </right>
      <top style="thin">
        <color indexed="64"/>
      </top>
      <bottom/>
      <diagonal style="thin">
        <color auto="1"/>
      </diagonal>
    </border>
    <border diagonalUp="1" diagonalDown="1"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auto="1"/>
      </diagonal>
    </border>
    <border diagonalUp="1" diagonalDown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auto="1"/>
      </diagonal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 diagonalUp="1" diagonalDown="1">
      <left/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 diagonalDown="1">
      <left/>
      <right/>
      <top style="medium">
        <color indexed="64"/>
      </top>
      <bottom style="thin">
        <color indexed="64"/>
      </bottom>
      <diagonal style="thin">
        <color indexed="64"/>
      </diagonal>
    </border>
    <border diagonalUp="1" diagonalDown="1">
      <left style="thick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 diagonalDown="1">
      <left style="medium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 diagonalDown="1">
      <left/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 diagonalDown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 diagonalDown="1"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 diagonalDown="1">
      <left style="medium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 diagonalDown="1">
      <left/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 diagonalDown="1">
      <left/>
      <right/>
      <top style="thin">
        <color indexed="64"/>
      </top>
      <bottom style="medium">
        <color indexed="64"/>
      </bottom>
      <diagonal style="thin">
        <color indexed="64"/>
      </diagonal>
    </border>
    <border diagonalUp="1" diagonalDown="1">
      <left style="thick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 diagonalDown="1">
      <left style="medium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medium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 diagonalUp="1" diagonalDown="1">
      <left style="medium">
        <color indexed="64"/>
      </left>
      <right/>
      <top style="medium">
        <color indexed="64"/>
      </top>
      <bottom/>
      <diagonal style="thin">
        <color indexed="64"/>
      </diagonal>
    </border>
    <border diagonalUp="1" diagonalDown="1">
      <left/>
      <right style="medium">
        <color indexed="64"/>
      </right>
      <top style="medium">
        <color indexed="64"/>
      </top>
      <bottom/>
      <diagonal style="thin">
        <color indexed="64"/>
      </diagonal>
    </border>
    <border diagonalUp="1" diagonalDown="1">
      <left/>
      <right/>
      <top style="medium">
        <color indexed="64"/>
      </top>
      <bottom/>
      <diagonal style="thin">
        <color indexed="64"/>
      </diagonal>
    </border>
    <border diagonalUp="1" diagonalDown="1">
      <left/>
      <right/>
      <top/>
      <bottom style="medium">
        <color indexed="64"/>
      </bottom>
      <diagonal style="thin">
        <color indexed="64"/>
      </diagonal>
    </border>
    <border diagonalUp="1" diagonalDown="1"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 diagonalDown="1">
      <left/>
      <right style="medium">
        <color indexed="64"/>
      </right>
      <top/>
      <bottom style="thin">
        <color indexed="64"/>
      </bottom>
      <diagonal style="thin">
        <color indexed="64"/>
      </diagonal>
    </border>
  </borders>
  <cellStyleXfs count="14">
    <xf numFmtId="165" fontId="0" fillId="0" borderId="0"/>
    <xf numFmtId="165" fontId="4" fillId="0" borderId="0" applyNumberFormat="0" applyFill="0" applyBorder="0" applyAlignment="0" applyProtection="0"/>
    <xf numFmtId="165" fontId="14" fillId="7" borderId="0" applyNumberFormat="0" applyBorder="0" applyAlignment="0" applyProtection="0"/>
    <xf numFmtId="165" fontId="14" fillId="8" borderId="0" applyNumberFormat="0" applyBorder="0" applyAlignment="0" applyProtection="0"/>
    <xf numFmtId="44" fontId="30" fillId="0" borderId="0" applyFont="0" applyFill="0" applyBorder="0" applyAlignment="0" applyProtection="0"/>
    <xf numFmtId="165" fontId="30" fillId="0" borderId="0"/>
    <xf numFmtId="0" fontId="33" fillId="0" borderId="0"/>
    <xf numFmtId="44" fontId="30" fillId="0" borderId="0" applyFont="0" applyFill="0" applyBorder="0" applyAlignment="0" applyProtection="0"/>
    <xf numFmtId="165" fontId="30" fillId="0" borderId="0"/>
    <xf numFmtId="0" fontId="72" fillId="43" borderId="0" applyNumberFormat="0" applyBorder="0" applyAlignment="0" applyProtection="0"/>
    <xf numFmtId="0" fontId="73" fillId="44" borderId="0" applyNumberFormat="0" applyBorder="0" applyAlignment="0" applyProtection="0"/>
    <xf numFmtId="44" fontId="30" fillId="0" borderId="0" applyFont="0" applyFill="0" applyBorder="0" applyAlignment="0" applyProtection="0"/>
    <xf numFmtId="42" fontId="30" fillId="0" borderId="0" applyFont="0" applyFill="0" applyBorder="0" applyAlignment="0" applyProtection="0"/>
    <xf numFmtId="44" fontId="30" fillId="0" borderId="0" applyFont="0" applyFill="0" applyBorder="0" applyAlignment="0" applyProtection="0"/>
  </cellStyleXfs>
  <cellXfs count="3013">
    <xf numFmtId="165" fontId="0" fillId="0" borderId="0" xfId="0"/>
    <xf numFmtId="2" fontId="0" fillId="0" borderId="0" xfId="0" applyNumberFormat="1"/>
    <xf numFmtId="1" fontId="0" fillId="0" borderId="0" xfId="0" applyNumberFormat="1"/>
    <xf numFmtId="165" fontId="3" fillId="2" borderId="0" xfId="0" applyFont="1" applyFill="1"/>
    <xf numFmtId="165" fontId="5" fillId="2" borderId="0" xfId="1" applyFont="1" applyFill="1"/>
    <xf numFmtId="165" fontId="3" fillId="3" borderId="0" xfId="0" applyFont="1" applyFill="1" applyAlignment="1">
      <alignment vertical="center"/>
    </xf>
    <xf numFmtId="165" fontId="3" fillId="4" borderId="0" xfId="0" applyFont="1" applyFill="1" applyAlignment="1">
      <alignment vertical="center"/>
    </xf>
    <xf numFmtId="165" fontId="8" fillId="0" borderId="0" xfId="0" applyFont="1"/>
    <xf numFmtId="1" fontId="8" fillId="0" borderId="0" xfId="0" applyNumberFormat="1" applyFont="1" applyAlignment="1">
      <alignment horizontal="center"/>
    </xf>
    <xf numFmtId="2" fontId="8" fillId="0" borderId="0" xfId="0" applyNumberFormat="1" applyFont="1"/>
    <xf numFmtId="165" fontId="5" fillId="3" borderId="0" xfId="1" applyFont="1" applyFill="1" applyAlignment="1">
      <alignment vertical="center"/>
    </xf>
    <xf numFmtId="165" fontId="5" fillId="3" borderId="0" xfId="1" applyFont="1" applyFill="1"/>
    <xf numFmtId="165" fontId="5" fillId="3" borderId="0" xfId="1" applyFont="1" applyFill="1" applyAlignment="1"/>
    <xf numFmtId="165" fontId="5" fillId="4" borderId="0" xfId="1" applyFont="1" applyFill="1" applyAlignment="1">
      <alignment horizontal="left" vertical="center"/>
    </xf>
    <xf numFmtId="165" fontId="9" fillId="0" borderId="0" xfId="0" applyFont="1" applyAlignment="1">
      <alignment horizontal="left" vertical="center"/>
    </xf>
    <xf numFmtId="165" fontId="12" fillId="6" borderId="0" xfId="1" applyFont="1" applyFill="1"/>
    <xf numFmtId="165" fontId="12" fillId="0" borderId="0" xfId="1" applyFont="1" applyFill="1" applyAlignment="1"/>
    <xf numFmtId="165" fontId="0" fillId="12" borderId="0" xfId="0" applyFill="1"/>
    <xf numFmtId="165" fontId="3" fillId="2" borderId="0" xfId="0" applyFont="1" applyFill="1" applyAlignment="1">
      <alignment horizontal="right"/>
    </xf>
    <xf numFmtId="165" fontId="3" fillId="9" borderId="0" xfId="0" applyFont="1" applyFill="1" applyAlignment="1">
      <alignment vertical="center"/>
    </xf>
    <xf numFmtId="165" fontId="19" fillId="9" borderId="0" xfId="1" applyFont="1" applyFill="1" applyAlignment="1">
      <alignment vertical="center"/>
    </xf>
    <xf numFmtId="165" fontId="20" fillId="9" borderId="0" xfId="1" applyFont="1" applyFill="1" applyAlignment="1">
      <alignment vertical="center"/>
    </xf>
    <xf numFmtId="165" fontId="3" fillId="13" borderId="0" xfId="0" applyFont="1" applyFill="1" applyAlignment="1">
      <alignment vertical="center"/>
    </xf>
    <xf numFmtId="165" fontId="5" fillId="13" borderId="0" xfId="1" applyFont="1" applyFill="1"/>
    <xf numFmtId="165" fontId="0" fillId="12" borderId="0" xfId="0" applyFill="1" applyAlignment="1"/>
    <xf numFmtId="165" fontId="9" fillId="14" borderId="21" xfId="0" applyFont="1" applyFill="1" applyBorder="1"/>
    <xf numFmtId="165" fontId="9" fillId="14" borderId="24" xfId="0" applyFont="1" applyFill="1" applyBorder="1"/>
    <xf numFmtId="165" fontId="9" fillId="14" borderId="15" xfId="0" applyFont="1" applyFill="1" applyBorder="1"/>
    <xf numFmtId="165" fontId="9" fillId="14" borderId="17" xfId="0" applyFont="1" applyFill="1" applyBorder="1"/>
    <xf numFmtId="165" fontId="9" fillId="15" borderId="21" xfId="0" applyFont="1" applyFill="1" applyBorder="1"/>
    <xf numFmtId="165" fontId="9" fillId="15" borderId="24" xfId="0" applyFont="1" applyFill="1" applyBorder="1"/>
    <xf numFmtId="165" fontId="9" fillId="15" borderId="15" xfId="0" applyFont="1" applyFill="1" applyBorder="1"/>
    <xf numFmtId="165" fontId="9" fillId="15" borderId="17" xfId="0" applyFont="1" applyFill="1" applyBorder="1"/>
    <xf numFmtId="1" fontId="9" fillId="2" borderId="11" xfId="0" applyNumberFormat="1" applyFont="1" applyFill="1" applyBorder="1" applyAlignment="1">
      <alignment horizontal="center" vertical="center" wrapText="1"/>
    </xf>
    <xf numFmtId="165" fontId="8" fillId="0" borderId="0" xfId="0" applyFont="1" applyAlignment="1">
      <alignment horizontal="center" vertical="center"/>
    </xf>
    <xf numFmtId="165" fontId="24" fillId="0" borderId="0" xfId="0" applyFont="1"/>
    <xf numFmtId="165" fontId="22" fillId="17" borderId="0" xfId="0" applyFont="1" applyFill="1"/>
    <xf numFmtId="165" fontId="19" fillId="17" borderId="0" xfId="1" applyFont="1" applyFill="1"/>
    <xf numFmtId="165" fontId="15" fillId="3" borderId="3" xfId="2" applyFont="1" applyFill="1" applyBorder="1" applyAlignment="1">
      <alignment horizontal="center" vertical="center"/>
    </xf>
    <xf numFmtId="165" fontId="15" fillId="3" borderId="6" xfId="2" applyFont="1" applyFill="1" applyBorder="1" applyAlignment="1">
      <alignment horizontal="center" vertical="center"/>
    </xf>
    <xf numFmtId="165" fontId="15" fillId="3" borderId="0" xfId="2" applyFont="1" applyFill="1" applyBorder="1" applyAlignment="1">
      <alignment horizontal="center" vertical="center"/>
    </xf>
    <xf numFmtId="165" fontId="15" fillId="3" borderId="11" xfId="2" applyFont="1" applyFill="1" applyBorder="1" applyAlignment="1">
      <alignment horizontal="center" vertical="center"/>
    </xf>
    <xf numFmtId="165" fontId="22" fillId="18" borderId="0" xfId="0" applyFont="1" applyFill="1"/>
    <xf numFmtId="165" fontId="19" fillId="18" borderId="0" xfId="1" applyFont="1" applyFill="1"/>
    <xf numFmtId="165" fontId="9" fillId="14" borderId="12" xfId="0" applyFont="1" applyFill="1" applyBorder="1" applyAlignment="1">
      <alignment horizontal="center"/>
    </xf>
    <xf numFmtId="165" fontId="9" fillId="14" borderId="14" xfId="0" applyFont="1" applyFill="1" applyBorder="1" applyAlignment="1">
      <alignment horizontal="center"/>
    </xf>
    <xf numFmtId="1" fontId="9" fillId="2" borderId="11" xfId="0" applyNumberFormat="1" applyFont="1" applyFill="1" applyBorder="1" applyAlignment="1">
      <alignment horizontal="center" vertical="center" wrapText="1"/>
    </xf>
    <xf numFmtId="165" fontId="9" fillId="2" borderId="5" xfId="0" applyFont="1" applyFill="1" applyBorder="1" applyAlignment="1">
      <alignment horizontal="center"/>
    </xf>
    <xf numFmtId="3" fontId="9" fillId="2" borderId="6" xfId="0" applyNumberFormat="1" applyFont="1" applyFill="1" applyBorder="1" applyAlignment="1">
      <alignment horizontal="center"/>
    </xf>
    <xf numFmtId="165" fontId="9" fillId="2" borderId="6" xfId="0" applyFont="1" applyFill="1" applyBorder="1" applyAlignment="1">
      <alignment horizontal="left"/>
    </xf>
    <xf numFmtId="165" fontId="9" fillId="2" borderId="8" xfId="0" applyFont="1" applyFill="1" applyBorder="1" applyAlignment="1">
      <alignment horizontal="center"/>
    </xf>
    <xf numFmtId="3" fontId="9" fillId="2" borderId="9" xfId="0" applyNumberFormat="1" applyFont="1" applyFill="1" applyBorder="1" applyAlignment="1">
      <alignment horizontal="center"/>
    </xf>
    <xf numFmtId="165" fontId="9" fillId="2" borderId="2" xfId="0" applyFont="1" applyFill="1" applyBorder="1" applyAlignment="1">
      <alignment horizontal="center"/>
    </xf>
    <xf numFmtId="3" fontId="9" fillId="2" borderId="3" xfId="0" applyNumberFormat="1" applyFont="1" applyFill="1" applyBorder="1" applyAlignment="1">
      <alignment horizontal="center"/>
    </xf>
    <xf numFmtId="165" fontId="9" fillId="2" borderId="0" xfId="0" applyFont="1" applyFill="1" applyBorder="1" applyAlignment="1">
      <alignment horizontal="left"/>
    </xf>
    <xf numFmtId="3" fontId="9" fillId="2" borderId="0" xfId="0" applyNumberFormat="1" applyFont="1" applyFill="1" applyBorder="1" applyAlignment="1">
      <alignment horizontal="center"/>
    </xf>
    <xf numFmtId="165" fontId="19" fillId="2" borderId="0" xfId="1" applyFont="1" applyFill="1"/>
    <xf numFmtId="165" fontId="9" fillId="19" borderId="8" xfId="0" applyFont="1" applyFill="1" applyBorder="1" applyAlignment="1">
      <alignment horizontal="center"/>
    </xf>
    <xf numFmtId="3" fontId="9" fillId="19" borderId="9" xfId="0" applyNumberFormat="1" applyFont="1" applyFill="1" applyBorder="1" applyAlignment="1">
      <alignment horizontal="center"/>
    </xf>
    <xf numFmtId="1" fontId="9" fillId="19" borderId="9" xfId="0" applyNumberFormat="1" applyFont="1" applyFill="1" applyBorder="1" applyAlignment="1">
      <alignment horizontal="left"/>
    </xf>
    <xf numFmtId="3" fontId="9" fillId="19" borderId="6" xfId="0" applyNumberFormat="1" applyFont="1" applyFill="1" applyBorder="1" applyAlignment="1">
      <alignment horizontal="center"/>
    </xf>
    <xf numFmtId="165" fontId="9" fillId="19" borderId="6" xfId="0" applyFont="1" applyFill="1" applyBorder="1" applyAlignment="1">
      <alignment horizontal="left"/>
    </xf>
    <xf numFmtId="165" fontId="9" fillId="19" borderId="5" xfId="0" applyFont="1" applyFill="1" applyBorder="1" applyAlignment="1">
      <alignment horizontal="center"/>
    </xf>
    <xf numFmtId="1" fontId="9" fillId="19" borderId="6" xfId="0" applyNumberFormat="1" applyFont="1" applyFill="1" applyBorder="1" applyAlignment="1">
      <alignment horizontal="left"/>
    </xf>
    <xf numFmtId="165" fontId="9" fillId="19" borderId="2" xfId="0" applyFont="1" applyFill="1" applyBorder="1" applyAlignment="1">
      <alignment horizontal="center"/>
    </xf>
    <xf numFmtId="3" fontId="9" fillId="19" borderId="3" xfId="0" applyNumberFormat="1" applyFont="1" applyFill="1" applyBorder="1" applyAlignment="1">
      <alignment horizontal="center"/>
    </xf>
    <xf numFmtId="1" fontId="9" fillId="19" borderId="3" xfId="0" applyNumberFormat="1" applyFont="1" applyFill="1" applyBorder="1" applyAlignment="1">
      <alignment horizontal="left"/>
    </xf>
    <xf numFmtId="164" fontId="8" fillId="0" borderId="12" xfId="0" applyNumberFormat="1" applyFont="1" applyBorder="1" applyAlignment="1">
      <alignment horizontal="center" vertical="center"/>
    </xf>
    <xf numFmtId="164" fontId="8" fillId="0" borderId="13" xfId="0" applyNumberFormat="1" applyFont="1" applyBorder="1" applyAlignment="1">
      <alignment horizontal="center" vertical="center"/>
    </xf>
    <xf numFmtId="164" fontId="8" fillId="0" borderId="15" xfId="0" applyNumberFormat="1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164" fontId="8" fillId="0" borderId="17" xfId="0" applyNumberFormat="1" applyFont="1" applyBorder="1" applyAlignment="1">
      <alignment horizontal="center" vertical="center"/>
    </xf>
    <xf numFmtId="164" fontId="8" fillId="0" borderId="18" xfId="0" applyNumberFormat="1" applyFont="1" applyBorder="1" applyAlignment="1">
      <alignment horizontal="center" vertical="center"/>
    </xf>
    <xf numFmtId="165" fontId="0" fillId="0" borderId="20" xfId="0" applyBorder="1"/>
    <xf numFmtId="165" fontId="0" fillId="0" borderId="0" xfId="0"/>
    <xf numFmtId="1" fontId="8" fillId="0" borderId="30" xfId="0" applyNumberFormat="1" applyFont="1" applyBorder="1" applyAlignment="1">
      <alignment horizontal="center" vertical="center"/>
    </xf>
    <xf numFmtId="1" fontId="0" fillId="12" borderId="0" xfId="0" applyNumberFormat="1" applyFill="1"/>
    <xf numFmtId="165" fontId="6" fillId="12" borderId="0" xfId="0" applyFont="1" applyFill="1"/>
    <xf numFmtId="165" fontId="7" fillId="12" borderId="0" xfId="0" applyFont="1" applyFill="1"/>
    <xf numFmtId="165" fontId="21" fillId="12" borderId="0" xfId="0" applyFont="1" applyFill="1"/>
    <xf numFmtId="165" fontId="3" fillId="12" borderId="0" xfId="0" applyFont="1" applyFill="1"/>
    <xf numFmtId="165" fontId="1" fillId="12" borderId="0" xfId="0" applyFont="1" applyFill="1"/>
    <xf numFmtId="165" fontId="22" fillId="12" borderId="0" xfId="0" applyFont="1" applyFill="1"/>
    <xf numFmtId="165" fontId="23" fillId="12" borderId="0" xfId="0" applyFont="1" applyFill="1"/>
    <xf numFmtId="165" fontId="24" fillId="12" borderId="0" xfId="0" applyFont="1" applyFill="1"/>
    <xf numFmtId="165" fontId="2" fillId="12" borderId="0" xfId="0" applyFont="1" applyFill="1"/>
    <xf numFmtId="165" fontId="27" fillId="12" borderId="0" xfId="0" applyFont="1" applyFill="1"/>
    <xf numFmtId="1" fontId="8" fillId="0" borderId="30" xfId="0" applyNumberFormat="1" applyFont="1" applyBorder="1" applyAlignment="1">
      <alignment horizontal="center"/>
    </xf>
    <xf numFmtId="164" fontId="11" fillId="0" borderId="32" xfId="0" applyNumberFormat="1" applyFont="1" applyBorder="1" applyAlignment="1">
      <alignment horizontal="center" vertical="center"/>
    </xf>
    <xf numFmtId="164" fontId="11" fillId="0" borderId="33" xfId="0" applyNumberFormat="1" applyFont="1" applyBorder="1" applyAlignment="1">
      <alignment horizontal="center" vertical="center"/>
    </xf>
    <xf numFmtId="164" fontId="11" fillId="0" borderId="22" xfId="0" applyNumberFormat="1" applyFont="1" applyBorder="1" applyAlignment="1">
      <alignment horizontal="center" vertical="center"/>
    </xf>
    <xf numFmtId="165" fontId="22" fillId="19" borderId="0" xfId="0" applyFont="1" applyFill="1"/>
    <xf numFmtId="165" fontId="3" fillId="19" borderId="0" xfId="0" applyFont="1" applyFill="1"/>
    <xf numFmtId="165" fontId="30" fillId="0" borderId="0" xfId="5"/>
    <xf numFmtId="2" fontId="30" fillId="0" borderId="0" xfId="5" applyNumberFormat="1"/>
    <xf numFmtId="165" fontId="30" fillId="0" borderId="0" xfId="5" applyAlignment="1">
      <alignment horizontal="left" vertical="center"/>
    </xf>
    <xf numFmtId="1" fontId="8" fillId="0" borderId="0" xfId="0" applyNumberFormat="1" applyFont="1"/>
    <xf numFmtId="1" fontId="12" fillId="6" borderId="0" xfId="1" applyNumberFormat="1" applyFont="1" applyFill="1" applyAlignment="1"/>
    <xf numFmtId="1" fontId="12" fillId="0" borderId="0" xfId="1" applyNumberFormat="1" applyFont="1" applyFill="1" applyAlignment="1"/>
    <xf numFmtId="1" fontId="9" fillId="2" borderId="6" xfId="0" applyNumberFormat="1" applyFont="1" applyFill="1" applyBorder="1" applyAlignment="1">
      <alignment horizontal="left"/>
    </xf>
    <xf numFmtId="1" fontId="9" fillId="2" borderId="0" xfId="0" applyNumberFormat="1" applyFont="1" applyFill="1" applyBorder="1" applyAlignment="1">
      <alignment horizontal="left"/>
    </xf>
    <xf numFmtId="1" fontId="9" fillId="2" borderId="20" xfId="0" applyNumberFormat="1" applyFont="1" applyFill="1" applyBorder="1" applyAlignment="1">
      <alignment horizontal="center" vertical="center"/>
    </xf>
    <xf numFmtId="1" fontId="9" fillId="2" borderId="8" xfId="0" applyNumberFormat="1" applyFont="1" applyFill="1" applyBorder="1" applyAlignment="1">
      <alignment horizontal="center" vertical="center"/>
    </xf>
    <xf numFmtId="166" fontId="0" fillId="0" borderId="0" xfId="0" applyNumberFormat="1"/>
    <xf numFmtId="166" fontId="18" fillId="3" borderId="22" xfId="2" applyNumberFormat="1" applyFont="1" applyFill="1" applyBorder="1" applyAlignment="1">
      <alignment horizontal="center" vertical="center" wrapText="1" shrinkToFit="1"/>
    </xf>
    <xf numFmtId="166" fontId="18" fillId="3" borderId="25" xfId="2" applyNumberFormat="1" applyFont="1" applyFill="1" applyBorder="1" applyAlignment="1">
      <alignment horizontal="center" vertical="center" wrapText="1" shrinkToFit="1"/>
    </xf>
    <xf numFmtId="1" fontId="12" fillId="6" borderId="0" xfId="1" applyNumberFormat="1" applyFont="1" applyFill="1"/>
    <xf numFmtId="1" fontId="15" fillId="3" borderId="11" xfId="2" applyNumberFormat="1" applyFont="1" applyFill="1" applyBorder="1" applyAlignment="1">
      <alignment horizontal="center" vertical="center"/>
    </xf>
    <xf numFmtId="0" fontId="8" fillId="0" borderId="0" xfId="0" applyNumberFormat="1" applyFont="1"/>
    <xf numFmtId="0" fontId="12" fillId="0" borderId="0" xfId="1" applyNumberFormat="1" applyFont="1" applyFill="1" applyAlignment="1"/>
    <xf numFmtId="0" fontId="9" fillId="2" borderId="6" xfId="0" applyNumberFormat="1" applyFont="1" applyFill="1" applyBorder="1" applyAlignment="1">
      <alignment horizontal="left"/>
    </xf>
    <xf numFmtId="0" fontId="9" fillId="2" borderId="0" xfId="0" applyNumberFormat="1" applyFont="1" applyFill="1" applyBorder="1" applyAlignment="1">
      <alignment horizontal="left"/>
    </xf>
    <xf numFmtId="3" fontId="8" fillId="0" borderId="34" xfId="0" applyNumberFormat="1" applyFont="1" applyBorder="1" applyAlignment="1">
      <alignment horizontal="center" vertical="center"/>
    </xf>
    <xf numFmtId="0" fontId="8" fillId="0" borderId="30" xfId="0" applyNumberFormat="1" applyFont="1" applyBorder="1" applyAlignment="1">
      <alignment horizontal="center" vertical="center"/>
    </xf>
    <xf numFmtId="1" fontId="26" fillId="0" borderId="34" xfId="0" applyNumberFormat="1" applyFont="1" applyFill="1" applyBorder="1" applyAlignment="1">
      <alignment horizontal="center"/>
    </xf>
    <xf numFmtId="0" fontId="9" fillId="2" borderId="20" xfId="0" applyNumberFormat="1" applyFont="1" applyFill="1" applyBorder="1" applyAlignment="1">
      <alignment horizontal="center" vertical="center"/>
    </xf>
    <xf numFmtId="164" fontId="8" fillId="0" borderId="0" xfId="4" applyNumberFormat="1" applyFont="1" applyAlignment="1">
      <alignment horizontal="right"/>
    </xf>
    <xf numFmtId="164" fontId="0" fillId="0" borderId="0" xfId="4" applyNumberFormat="1" applyFont="1"/>
    <xf numFmtId="164" fontId="8" fillId="0" borderId="0" xfId="4" applyNumberFormat="1" applyFont="1"/>
    <xf numFmtId="164" fontId="8" fillId="0" borderId="30" xfId="4" applyNumberFormat="1" applyFont="1" applyBorder="1" applyAlignment="1">
      <alignment horizontal="right" vertical="center"/>
    </xf>
    <xf numFmtId="164" fontId="8" fillId="0" borderId="30" xfId="4" applyNumberFormat="1" applyFont="1" applyBorder="1"/>
    <xf numFmtId="164" fontId="8" fillId="0" borderId="30" xfId="4" applyNumberFormat="1" applyFont="1" applyBorder="1" applyAlignment="1">
      <alignment horizontal="right"/>
    </xf>
    <xf numFmtId="164" fontId="0" fillId="0" borderId="0" xfId="0" applyNumberFormat="1"/>
    <xf numFmtId="164" fontId="8" fillId="0" borderId="30" xfId="0" applyNumberFormat="1" applyFont="1" applyBorder="1"/>
    <xf numFmtId="165" fontId="8" fillId="0" borderId="0" xfId="0" applyFont="1" applyFill="1"/>
    <xf numFmtId="1" fontId="8" fillId="0" borderId="0" xfId="0" applyNumberFormat="1" applyFont="1" applyFill="1"/>
    <xf numFmtId="165" fontId="12" fillId="6" borderId="0" xfId="1" applyFont="1" applyFill="1" applyAlignment="1"/>
    <xf numFmtId="167" fontId="0" fillId="0" borderId="0" xfId="0" applyNumberFormat="1"/>
    <xf numFmtId="165" fontId="9" fillId="21" borderId="8" xfId="0" applyFont="1" applyFill="1" applyBorder="1" applyAlignment="1">
      <alignment horizontal="center"/>
    </xf>
    <xf numFmtId="3" fontId="9" fillId="21" borderId="6" xfId="0" applyNumberFormat="1" applyFont="1" applyFill="1" applyBorder="1" applyAlignment="1">
      <alignment horizontal="center"/>
    </xf>
    <xf numFmtId="1" fontId="9" fillId="21" borderId="6" xfId="0" applyNumberFormat="1" applyFont="1" applyFill="1" applyBorder="1" applyAlignment="1">
      <alignment horizontal="left"/>
    </xf>
    <xf numFmtId="3" fontId="9" fillId="21" borderId="9" xfId="0" applyNumberFormat="1" applyFont="1" applyFill="1" applyBorder="1" applyAlignment="1">
      <alignment horizontal="center"/>
    </xf>
    <xf numFmtId="168" fontId="9" fillId="14" borderId="16" xfId="0" applyNumberFormat="1" applyFont="1" applyFill="1" applyBorder="1" applyAlignment="1">
      <alignment horizontal="center"/>
    </xf>
    <xf numFmtId="168" fontId="9" fillId="14" borderId="19" xfId="0" applyNumberFormat="1" applyFont="1" applyFill="1" applyBorder="1" applyAlignment="1">
      <alignment horizontal="center"/>
    </xf>
    <xf numFmtId="168" fontId="9" fillId="15" borderId="16" xfId="0" applyNumberFormat="1" applyFont="1" applyFill="1" applyBorder="1" applyAlignment="1">
      <alignment horizontal="center"/>
    </xf>
    <xf numFmtId="168" fontId="9" fillId="15" borderId="19" xfId="0" applyNumberFormat="1" applyFont="1" applyFill="1" applyBorder="1" applyAlignment="1">
      <alignment horizontal="center"/>
    </xf>
    <xf numFmtId="167" fontId="9" fillId="14" borderId="35" xfId="0" applyNumberFormat="1" applyFont="1" applyFill="1" applyBorder="1" applyAlignment="1">
      <alignment horizontal="center"/>
    </xf>
    <xf numFmtId="167" fontId="9" fillId="14" borderId="19" xfId="0" applyNumberFormat="1" applyFont="1" applyFill="1" applyBorder="1" applyAlignment="1">
      <alignment horizontal="center"/>
    </xf>
    <xf numFmtId="165" fontId="9" fillId="14" borderId="31" xfId="0" applyFont="1" applyFill="1" applyBorder="1" applyAlignment="1">
      <alignment horizontal="left"/>
    </xf>
    <xf numFmtId="165" fontId="9" fillId="15" borderId="8" xfId="0" applyFont="1" applyFill="1" applyBorder="1" applyAlignment="1"/>
    <xf numFmtId="165" fontId="9" fillId="15" borderId="10" xfId="0" applyFont="1" applyFill="1" applyBorder="1" applyAlignment="1"/>
    <xf numFmtId="165" fontId="9" fillId="14" borderId="15" xfId="0" applyFont="1" applyFill="1" applyBorder="1" applyAlignment="1">
      <alignment wrapText="1"/>
    </xf>
    <xf numFmtId="3" fontId="8" fillId="0" borderId="36" xfId="0" applyNumberFormat="1" applyFont="1" applyBorder="1" applyAlignment="1">
      <alignment horizontal="center" vertical="center"/>
    </xf>
    <xf numFmtId="1" fontId="8" fillId="0" borderId="37" xfId="0" applyNumberFormat="1" applyFont="1" applyBorder="1" applyAlignment="1">
      <alignment horizontal="center" vertical="center"/>
    </xf>
    <xf numFmtId="1" fontId="8" fillId="0" borderId="37" xfId="0" applyNumberFormat="1" applyFont="1" applyBorder="1" applyAlignment="1">
      <alignment horizontal="center"/>
    </xf>
    <xf numFmtId="164" fontId="8" fillId="0" borderId="37" xfId="0" applyNumberFormat="1" applyFont="1" applyBorder="1"/>
    <xf numFmtId="3" fontId="8" fillId="0" borderId="38" xfId="0" applyNumberFormat="1" applyFont="1" applyBorder="1" applyAlignment="1">
      <alignment horizontal="center" vertical="center"/>
    </xf>
    <xf numFmtId="1" fontId="8" fillId="0" borderId="39" xfId="0" applyNumberFormat="1" applyFont="1" applyBorder="1" applyAlignment="1">
      <alignment horizontal="center" vertical="center"/>
    </xf>
    <xf numFmtId="1" fontId="8" fillId="0" borderId="39" xfId="0" applyNumberFormat="1" applyFont="1" applyBorder="1" applyAlignment="1">
      <alignment horizontal="center"/>
    </xf>
    <xf numFmtId="164" fontId="8" fillId="0" borderId="39" xfId="0" applyNumberFormat="1" applyFont="1" applyBorder="1"/>
    <xf numFmtId="165" fontId="9" fillId="14" borderId="12" xfId="0" applyFont="1" applyFill="1" applyBorder="1"/>
    <xf numFmtId="165" fontId="9" fillId="14" borderId="14" xfId="0" applyFont="1" applyFill="1" applyBorder="1"/>
    <xf numFmtId="165" fontId="9" fillId="14" borderId="17" xfId="0" applyFont="1" applyFill="1" applyBorder="1" applyAlignment="1">
      <alignment wrapText="1"/>
    </xf>
    <xf numFmtId="1" fontId="9" fillId="14" borderId="16" xfId="0" applyNumberFormat="1" applyFont="1" applyFill="1" applyBorder="1" applyAlignment="1">
      <alignment horizontal="center" vertical="center"/>
    </xf>
    <xf numFmtId="1" fontId="9" fillId="14" borderId="19" xfId="0" applyNumberFormat="1" applyFont="1" applyFill="1" applyBorder="1" applyAlignment="1">
      <alignment horizontal="center" vertical="center"/>
    </xf>
    <xf numFmtId="165" fontId="0" fillId="12" borderId="0" xfId="0" applyFill="1" applyBorder="1"/>
    <xf numFmtId="0" fontId="0" fillId="12" borderId="0" xfId="0" applyNumberFormat="1" applyFill="1" applyBorder="1"/>
    <xf numFmtId="0" fontId="8" fillId="0" borderId="39" xfId="0" applyNumberFormat="1" applyFont="1" applyBorder="1" applyAlignment="1">
      <alignment horizontal="center" vertical="center"/>
    </xf>
    <xf numFmtId="164" fontId="8" fillId="0" borderId="39" xfId="4" applyNumberFormat="1" applyFont="1" applyBorder="1" applyAlignment="1">
      <alignment horizontal="right"/>
    </xf>
    <xf numFmtId="164" fontId="8" fillId="0" borderId="39" xfId="4" applyNumberFormat="1" applyFont="1" applyBorder="1"/>
    <xf numFmtId="165" fontId="9" fillId="12" borderId="0" xfId="0" applyFont="1" applyFill="1" applyBorder="1" applyAlignment="1">
      <alignment horizontal="center"/>
    </xf>
    <xf numFmtId="165" fontId="0" fillId="12" borderId="42" xfId="0" applyFill="1" applyBorder="1"/>
    <xf numFmtId="165" fontId="0" fillId="12" borderId="43" xfId="0" applyFill="1" applyBorder="1"/>
    <xf numFmtId="165" fontId="0" fillId="12" borderId="44" xfId="0" applyFill="1" applyBorder="1"/>
    <xf numFmtId="165" fontId="9" fillId="12" borderId="41" xfId="0" applyFont="1" applyFill="1" applyBorder="1"/>
    <xf numFmtId="165" fontId="9" fillId="12" borderId="0" xfId="0" applyFont="1" applyFill="1" applyBorder="1" applyAlignment="1"/>
    <xf numFmtId="1" fontId="9" fillId="21" borderId="9" xfId="0" applyNumberFormat="1" applyFont="1" applyFill="1" applyBorder="1" applyAlignment="1">
      <alignment horizontal="left"/>
    </xf>
    <xf numFmtId="165" fontId="9" fillId="21" borderId="9" xfId="0" applyFont="1" applyFill="1" applyBorder="1" applyAlignment="1">
      <alignment horizontal="left"/>
    </xf>
    <xf numFmtId="0" fontId="8" fillId="0" borderId="37" xfId="0" applyNumberFormat="1" applyFont="1" applyBorder="1" applyAlignment="1">
      <alignment horizontal="center" vertical="center"/>
    </xf>
    <xf numFmtId="164" fontId="8" fillId="0" borderId="37" xfId="4" applyNumberFormat="1" applyFont="1" applyBorder="1"/>
    <xf numFmtId="165" fontId="9" fillId="14" borderId="32" xfId="0" applyFont="1" applyFill="1" applyBorder="1" applyAlignment="1">
      <alignment horizontal="center" vertical="center"/>
    </xf>
    <xf numFmtId="165" fontId="9" fillId="14" borderId="12" xfId="0" applyFont="1" applyFill="1" applyBorder="1" applyAlignment="1">
      <alignment horizontal="center" vertical="center" wrapText="1"/>
    </xf>
    <xf numFmtId="1" fontId="9" fillId="14" borderId="14" xfId="0" applyNumberFormat="1" applyFont="1" applyFill="1" applyBorder="1" applyAlignment="1">
      <alignment horizontal="center" vertical="center" wrapText="1"/>
    </xf>
    <xf numFmtId="165" fontId="9" fillId="14" borderId="15" xfId="0" applyFont="1" applyFill="1" applyBorder="1" applyAlignment="1">
      <alignment horizontal="left"/>
    </xf>
    <xf numFmtId="165" fontId="9" fillId="14" borderId="32" xfId="0" applyFont="1" applyFill="1" applyBorder="1" applyAlignment="1">
      <alignment horizontal="center" vertical="center" wrapText="1"/>
    </xf>
    <xf numFmtId="2" fontId="0" fillId="0" borderId="0" xfId="4" applyNumberFormat="1" applyFont="1"/>
    <xf numFmtId="2" fontId="8" fillId="0" borderId="0" xfId="4" applyNumberFormat="1" applyFont="1"/>
    <xf numFmtId="2" fontId="9" fillId="2" borderId="11" xfId="0" applyNumberFormat="1" applyFont="1" applyFill="1" applyBorder="1" applyAlignment="1">
      <alignment horizontal="center" vertical="center" wrapText="1"/>
    </xf>
    <xf numFmtId="2" fontId="9" fillId="2" borderId="20" xfId="0" applyNumberFormat="1" applyFont="1" applyFill="1" applyBorder="1" applyAlignment="1">
      <alignment horizontal="center" vertical="center"/>
    </xf>
    <xf numFmtId="165" fontId="0" fillId="0" borderId="30" xfId="0" applyBorder="1"/>
    <xf numFmtId="2" fontId="9" fillId="2" borderId="11" xfId="4" applyNumberFormat="1" applyFont="1" applyFill="1" applyBorder="1" applyAlignment="1">
      <alignment horizontal="center" vertical="center" wrapText="1" shrinkToFit="1"/>
    </xf>
    <xf numFmtId="3" fontId="8" fillId="0" borderId="37" xfId="0" applyNumberFormat="1" applyFont="1" applyBorder="1" applyAlignment="1">
      <alignment horizontal="center" vertical="center"/>
    </xf>
    <xf numFmtId="2" fontId="8" fillId="0" borderId="37" xfId="4" applyNumberFormat="1" applyFont="1" applyBorder="1"/>
    <xf numFmtId="164" fontId="8" fillId="0" borderId="37" xfId="4" applyNumberFormat="1" applyFont="1" applyBorder="1" applyAlignment="1">
      <alignment horizontal="right"/>
    </xf>
    <xf numFmtId="3" fontId="8" fillId="0" borderId="30" xfId="0" applyNumberFormat="1" applyFont="1" applyBorder="1" applyAlignment="1">
      <alignment horizontal="center" vertical="center"/>
    </xf>
    <xf numFmtId="2" fontId="8" fillId="0" borderId="30" xfId="4" applyNumberFormat="1" applyFont="1" applyBorder="1"/>
    <xf numFmtId="3" fontId="8" fillId="0" borderId="39" xfId="0" applyNumberFormat="1" applyFont="1" applyBorder="1" applyAlignment="1">
      <alignment horizontal="center" vertical="center"/>
    </xf>
    <xf numFmtId="2" fontId="8" fillId="0" borderId="39" xfId="4" applyNumberFormat="1" applyFont="1" applyBorder="1"/>
    <xf numFmtId="164" fontId="8" fillId="0" borderId="37" xfId="4" applyNumberFormat="1" applyFont="1" applyBorder="1" applyAlignment="1">
      <alignment horizontal="right" vertical="center"/>
    </xf>
    <xf numFmtId="164" fontId="8" fillId="0" borderId="39" xfId="4" applyNumberFormat="1" applyFont="1" applyBorder="1" applyAlignment="1">
      <alignment horizontal="right" vertical="center"/>
    </xf>
    <xf numFmtId="2" fontId="8" fillId="0" borderId="37" xfId="0" applyNumberFormat="1" applyFont="1" applyBorder="1"/>
    <xf numFmtId="2" fontId="8" fillId="0" borderId="30" xfId="0" applyNumberFormat="1" applyFont="1" applyBorder="1"/>
    <xf numFmtId="2" fontId="8" fillId="0" borderId="39" xfId="0" applyNumberFormat="1" applyFont="1" applyBorder="1"/>
    <xf numFmtId="2" fontId="30" fillId="0" borderId="30" xfId="5" applyNumberFormat="1" applyBorder="1"/>
    <xf numFmtId="2" fontId="30" fillId="0" borderId="39" xfId="5" applyNumberFormat="1" applyBorder="1"/>
    <xf numFmtId="2" fontId="0" fillId="0" borderId="39" xfId="0" applyNumberFormat="1" applyBorder="1"/>
    <xf numFmtId="2" fontId="0" fillId="0" borderId="37" xfId="0" applyNumberFormat="1" applyBorder="1"/>
    <xf numFmtId="2" fontId="0" fillId="0" borderId="30" xfId="0" applyNumberFormat="1" applyBorder="1"/>
    <xf numFmtId="167" fontId="8" fillId="0" borderId="37" xfId="0" applyNumberFormat="1" applyFont="1" applyBorder="1"/>
    <xf numFmtId="167" fontId="8" fillId="0" borderId="30" xfId="0" applyNumberFormat="1" applyFont="1" applyBorder="1"/>
    <xf numFmtId="167" fontId="8" fillId="0" borderId="39" xfId="0" applyNumberFormat="1" applyFont="1" applyBorder="1"/>
    <xf numFmtId="2" fontId="8" fillId="0" borderId="37" xfId="5" applyNumberFormat="1" applyFont="1" applyBorder="1"/>
    <xf numFmtId="2" fontId="8" fillId="0" borderId="30" xfId="5" applyNumberFormat="1" applyFont="1" applyBorder="1"/>
    <xf numFmtId="165" fontId="9" fillId="6" borderId="47" xfId="0" applyFont="1" applyFill="1" applyBorder="1"/>
    <xf numFmtId="0" fontId="8" fillId="0" borderId="47" xfId="0" applyNumberFormat="1" applyFont="1" applyBorder="1" applyAlignment="1">
      <alignment horizontal="center" vertical="center"/>
    </xf>
    <xf numFmtId="165" fontId="3" fillId="6" borderId="0" xfId="0" applyFont="1" applyFill="1" applyAlignment="1">
      <alignment vertical="center"/>
    </xf>
    <xf numFmtId="165" fontId="5" fillId="6" borderId="0" xfId="1" applyFont="1" applyFill="1" applyAlignment="1">
      <alignment horizontal="left" vertical="center"/>
    </xf>
    <xf numFmtId="0" fontId="9" fillId="6" borderId="20" xfId="0" applyNumberFormat="1" applyFont="1" applyFill="1" applyBorder="1" applyAlignment="1">
      <alignment horizontal="center" vertical="center"/>
    </xf>
    <xf numFmtId="167" fontId="8" fillId="0" borderId="47" xfId="0" applyNumberFormat="1" applyFont="1" applyBorder="1"/>
    <xf numFmtId="2" fontId="8" fillId="0" borderId="39" xfId="5" applyNumberFormat="1" applyFont="1" applyBorder="1"/>
    <xf numFmtId="0" fontId="19" fillId="2" borderId="0" xfId="1" applyNumberFormat="1" applyFont="1" applyFill="1"/>
    <xf numFmtId="165" fontId="30" fillId="12" borderId="0" xfId="0" applyFont="1" applyFill="1" applyAlignment="1">
      <alignment horizontal="center" vertical="center"/>
    </xf>
    <xf numFmtId="165" fontId="35" fillId="12" borderId="0" xfId="0" applyFont="1" applyFill="1" applyAlignment="1">
      <alignment horizontal="left" vertical="center"/>
    </xf>
    <xf numFmtId="165" fontId="36" fillId="12" borderId="0" xfId="0" applyFont="1" applyFill="1" applyAlignment="1">
      <alignment vertical="center"/>
    </xf>
    <xf numFmtId="165" fontId="37" fillId="12" borderId="0" xfId="0" applyFont="1" applyFill="1" applyAlignment="1">
      <alignment vertical="center"/>
    </xf>
    <xf numFmtId="165" fontId="38" fillId="12" borderId="0" xfId="0" applyFont="1" applyFill="1" applyAlignment="1">
      <alignment horizontal="justify" vertical="center"/>
    </xf>
    <xf numFmtId="165" fontId="37" fillId="12" borderId="0" xfId="0" applyFont="1" applyFill="1" applyAlignment="1">
      <alignment horizontal="justify" vertical="center"/>
    </xf>
    <xf numFmtId="165" fontId="40" fillId="12" borderId="0" xfId="0" applyFont="1" applyFill="1" applyAlignment="1">
      <alignment vertical="center"/>
    </xf>
    <xf numFmtId="165" fontId="41" fillId="12" borderId="0" xfId="0" applyFont="1" applyFill="1" applyAlignment="1">
      <alignment horizontal="justify" vertical="center"/>
    </xf>
    <xf numFmtId="0" fontId="9" fillId="14" borderId="15" xfId="4" applyNumberFormat="1" applyFont="1" applyFill="1" applyBorder="1" applyAlignment="1">
      <alignment horizontal="center" vertical="center"/>
    </xf>
    <xf numFmtId="0" fontId="9" fillId="14" borderId="17" xfId="4" applyNumberFormat="1" applyFont="1" applyFill="1" applyBorder="1" applyAlignment="1">
      <alignment horizontal="center" vertical="center"/>
    </xf>
    <xf numFmtId="165" fontId="30" fillId="12" borderId="0" xfId="5" applyFill="1"/>
    <xf numFmtId="165" fontId="38" fillId="12" borderId="0" xfId="0" applyFont="1" applyFill="1"/>
    <xf numFmtId="165" fontId="12" fillId="6" borderId="0" xfId="1" applyFont="1" applyFill="1" applyAlignment="1"/>
    <xf numFmtId="165" fontId="22" fillId="24" borderId="0" xfId="0" applyFont="1" applyFill="1"/>
    <xf numFmtId="165" fontId="19" fillId="24" borderId="0" xfId="1" applyFont="1" applyFill="1" applyAlignment="1">
      <alignment horizontal="left"/>
    </xf>
    <xf numFmtId="165" fontId="3" fillId="24" borderId="0" xfId="0" applyFont="1" applyFill="1"/>
    <xf numFmtId="165" fontId="22" fillId="21" borderId="0" xfId="0" applyFont="1" applyFill="1"/>
    <xf numFmtId="165" fontId="19" fillId="21" borderId="0" xfId="1" applyFont="1" applyFill="1" applyAlignment="1">
      <alignment horizontal="left"/>
    </xf>
    <xf numFmtId="165" fontId="3" fillId="21" borderId="0" xfId="0" applyFont="1" applyFill="1"/>
    <xf numFmtId="165" fontId="9" fillId="24" borderId="8" xfId="0" applyFont="1" applyFill="1" applyBorder="1" applyAlignment="1">
      <alignment horizontal="center"/>
    </xf>
    <xf numFmtId="3" fontId="9" fillId="24" borderId="9" xfId="0" applyNumberFormat="1" applyFont="1" applyFill="1" applyBorder="1" applyAlignment="1">
      <alignment horizontal="center"/>
    </xf>
    <xf numFmtId="1" fontId="9" fillId="24" borderId="9" xfId="0" applyNumberFormat="1" applyFont="1" applyFill="1" applyBorder="1" applyAlignment="1">
      <alignment horizontal="left"/>
    </xf>
    <xf numFmtId="165" fontId="9" fillId="24" borderId="9" xfId="0" applyFont="1" applyFill="1" applyBorder="1" applyAlignment="1">
      <alignment horizontal="left"/>
    </xf>
    <xf numFmtId="3" fontId="8" fillId="0" borderId="49" xfId="0" applyNumberFormat="1" applyFont="1" applyBorder="1" applyAlignment="1">
      <alignment horizontal="center" vertical="center"/>
    </xf>
    <xf numFmtId="1" fontId="8" fillId="0" borderId="20" xfId="0" applyNumberFormat="1" applyFont="1" applyBorder="1" applyAlignment="1">
      <alignment horizontal="center" vertical="center"/>
    </xf>
    <xf numFmtId="2" fontId="0" fillId="0" borderId="20" xfId="0" applyNumberFormat="1" applyBorder="1"/>
    <xf numFmtId="1" fontId="8" fillId="0" borderId="20" xfId="0" applyNumberFormat="1" applyFont="1" applyBorder="1" applyAlignment="1">
      <alignment horizontal="center"/>
    </xf>
    <xf numFmtId="164" fontId="8" fillId="0" borderId="20" xfId="0" applyNumberFormat="1" applyFont="1" applyBorder="1"/>
    <xf numFmtId="165" fontId="30" fillId="0" borderId="30" xfId="5" applyBorder="1" applyAlignment="1">
      <alignment horizontal="left" vertical="center"/>
    </xf>
    <xf numFmtId="165" fontId="30" fillId="0" borderId="30" xfId="5" applyBorder="1"/>
    <xf numFmtId="165" fontId="30" fillId="0" borderId="30" xfId="5" applyFill="1" applyBorder="1" applyAlignment="1"/>
    <xf numFmtId="165" fontId="9" fillId="0" borderId="30" xfId="5" applyFont="1" applyBorder="1" applyAlignment="1">
      <alignment horizontal="left" vertical="center"/>
    </xf>
    <xf numFmtId="165" fontId="16" fillId="0" borderId="30" xfId="5" applyFont="1" applyBorder="1" applyAlignment="1">
      <alignment horizontal="left" vertical="center" wrapText="1" shrinkToFit="1"/>
    </xf>
    <xf numFmtId="165" fontId="9" fillId="0" borderId="30" xfId="5" applyFont="1" applyBorder="1" applyAlignment="1">
      <alignment horizontal="left" vertical="center" wrapText="1"/>
    </xf>
    <xf numFmtId="165" fontId="17" fillId="0" borderId="30" xfId="5" applyFont="1" applyBorder="1" applyAlignment="1">
      <alignment horizontal="left" vertical="center"/>
    </xf>
    <xf numFmtId="165" fontId="30" fillId="0" borderId="39" xfId="5" applyBorder="1"/>
    <xf numFmtId="165" fontId="42" fillId="12" borderId="0" xfId="0" applyFont="1" applyFill="1" applyAlignment="1">
      <alignment vertical="center"/>
    </xf>
    <xf numFmtId="165" fontId="43" fillId="12" borderId="0" xfId="0" applyFont="1" applyFill="1" applyAlignment="1">
      <alignment vertical="center"/>
    </xf>
    <xf numFmtId="165" fontId="3" fillId="25" borderId="0" xfId="0" applyFont="1" applyFill="1" applyAlignment="1">
      <alignment vertical="center"/>
    </xf>
    <xf numFmtId="165" fontId="5" fillId="25" borderId="0" xfId="1" applyFont="1" applyFill="1"/>
    <xf numFmtId="164" fontId="8" fillId="0" borderId="0" xfId="0" applyNumberFormat="1" applyFont="1"/>
    <xf numFmtId="1" fontId="9" fillId="2" borderId="9" xfId="0" applyNumberFormat="1" applyFont="1" applyFill="1" applyBorder="1" applyAlignment="1">
      <alignment horizontal="left"/>
    </xf>
    <xf numFmtId="165" fontId="9" fillId="2" borderId="10" xfId="0" applyFont="1" applyFill="1" applyBorder="1" applyAlignment="1">
      <alignment horizontal="left"/>
    </xf>
    <xf numFmtId="0" fontId="30" fillId="0" borderId="0" xfId="5" applyNumberFormat="1"/>
    <xf numFmtId="165" fontId="3" fillId="26" borderId="0" xfId="0" applyFont="1" applyFill="1"/>
    <xf numFmtId="165" fontId="3" fillId="26" borderId="0" xfId="0" applyFont="1" applyFill="1" applyAlignment="1">
      <alignment horizontal="right"/>
    </xf>
    <xf numFmtId="165" fontId="22" fillId="26" borderId="0" xfId="0" applyFont="1" applyFill="1"/>
    <xf numFmtId="2" fontId="9" fillId="26" borderId="11" xfId="4" applyNumberFormat="1" applyFont="1" applyFill="1" applyBorder="1" applyAlignment="1">
      <alignment horizontal="center" vertical="center" wrapText="1" shrinkToFit="1"/>
    </xf>
    <xf numFmtId="165" fontId="9" fillId="26" borderId="5" xfId="0" applyFont="1" applyFill="1" applyBorder="1" applyAlignment="1">
      <alignment horizontal="center"/>
    </xf>
    <xf numFmtId="3" fontId="9" fillId="26" borderId="6" xfId="0" applyNumberFormat="1" applyFont="1" applyFill="1" applyBorder="1" applyAlignment="1">
      <alignment horizontal="center"/>
    </xf>
    <xf numFmtId="1" fontId="9" fillId="26" borderId="6" xfId="0" applyNumberFormat="1" applyFont="1" applyFill="1" applyBorder="1" applyAlignment="1">
      <alignment horizontal="left"/>
    </xf>
    <xf numFmtId="165" fontId="9" fillId="26" borderId="6" xfId="0" applyFont="1" applyFill="1" applyBorder="1" applyAlignment="1">
      <alignment horizontal="left"/>
    </xf>
    <xf numFmtId="3" fontId="9" fillId="26" borderId="9" xfId="0" applyNumberFormat="1" applyFont="1" applyFill="1" applyBorder="1" applyAlignment="1">
      <alignment horizontal="center"/>
    </xf>
    <xf numFmtId="165" fontId="9" fillId="26" borderId="27" xfId="0" applyFont="1" applyFill="1" applyBorder="1" applyAlignment="1">
      <alignment horizontal="center"/>
    </xf>
    <xf numFmtId="3" fontId="9" fillId="26" borderId="3" xfId="0" applyNumberFormat="1" applyFont="1" applyFill="1" applyBorder="1" applyAlignment="1">
      <alignment horizontal="center"/>
    </xf>
    <xf numFmtId="1" fontId="9" fillId="26" borderId="0" xfId="0" applyNumberFormat="1" applyFont="1" applyFill="1" applyBorder="1" applyAlignment="1">
      <alignment horizontal="left"/>
    </xf>
    <xf numFmtId="3" fontId="9" fillId="26" borderId="0" xfId="0" applyNumberFormat="1" applyFont="1" applyFill="1" applyBorder="1" applyAlignment="1">
      <alignment horizontal="center"/>
    </xf>
    <xf numFmtId="165" fontId="19" fillId="26" borderId="0" xfId="0" applyFont="1" applyFill="1"/>
    <xf numFmtId="165" fontId="19" fillId="26" borderId="0" xfId="1" applyFont="1" applyFill="1"/>
    <xf numFmtId="1" fontId="8" fillId="0" borderId="30" xfId="0" applyNumberFormat="1" applyFont="1" applyBorder="1" applyAlignment="1">
      <alignment horizontal="center" vertical="center" wrapText="1"/>
    </xf>
    <xf numFmtId="165" fontId="0" fillId="0" borderId="30" xfId="0" applyBorder="1" applyAlignment="1">
      <alignment horizontal="center" vertical="center" wrapText="1"/>
    </xf>
    <xf numFmtId="1" fontId="8" fillId="0" borderId="30" xfId="0" applyNumberFormat="1" applyFont="1" applyFill="1" applyBorder="1" applyAlignment="1">
      <alignment horizontal="center" vertical="center"/>
    </xf>
    <xf numFmtId="1" fontId="25" fillId="0" borderId="30" xfId="0" applyNumberFormat="1" applyFont="1" applyBorder="1" applyAlignment="1">
      <alignment horizontal="center" vertical="center"/>
    </xf>
    <xf numFmtId="164" fontId="0" fillId="9" borderId="39" xfId="0" applyNumberFormat="1" applyFill="1" applyBorder="1" applyAlignment="1">
      <alignment horizontal="center" vertical="center"/>
    </xf>
    <xf numFmtId="2" fontId="8" fillId="0" borderId="39" xfId="0" applyNumberFormat="1" applyFont="1" applyFill="1" applyBorder="1" applyAlignment="1">
      <alignment horizontal="center" vertical="center" wrapText="1"/>
    </xf>
    <xf numFmtId="165" fontId="0" fillId="12" borderId="0" xfId="0" applyFill="1" applyAlignment="1">
      <alignment horizontal="center" vertical="center"/>
    </xf>
    <xf numFmtId="2" fontId="8" fillId="12" borderId="0" xfId="0" applyNumberFormat="1" applyFont="1" applyFill="1" applyBorder="1" applyAlignment="1">
      <alignment horizontal="center" vertical="center"/>
    </xf>
    <xf numFmtId="1" fontId="25" fillId="12" borderId="0" xfId="0" applyNumberFormat="1" applyFont="1" applyFill="1" applyBorder="1" applyAlignment="1">
      <alignment horizontal="center" vertical="center"/>
    </xf>
    <xf numFmtId="1" fontId="8" fillId="12" borderId="0" xfId="0" applyNumberFormat="1" applyFont="1" applyFill="1" applyBorder="1" applyAlignment="1">
      <alignment horizontal="center" vertical="center" wrapText="1"/>
    </xf>
    <xf numFmtId="165" fontId="0" fillId="12" borderId="0" xfId="0" applyFill="1" applyBorder="1" applyAlignment="1">
      <alignment horizontal="center" vertical="center" wrapText="1"/>
    </xf>
    <xf numFmtId="165" fontId="0" fillId="12" borderId="0" xfId="0" applyFill="1" applyBorder="1" applyAlignment="1">
      <alignment horizontal="center" vertical="center"/>
    </xf>
    <xf numFmtId="166" fontId="9" fillId="12" borderId="0" xfId="0" applyNumberFormat="1" applyFont="1" applyFill="1" applyBorder="1" applyAlignment="1">
      <alignment horizontal="center" vertical="center"/>
    </xf>
    <xf numFmtId="2" fontId="8" fillId="12" borderId="0" xfId="0" applyNumberFormat="1" applyFont="1" applyFill="1" applyBorder="1" applyAlignment="1">
      <alignment vertical="center"/>
    </xf>
    <xf numFmtId="2" fontId="11" fillId="0" borderId="10" xfId="0" applyNumberFormat="1" applyFont="1" applyFill="1" applyBorder="1" applyAlignment="1">
      <alignment horizontal="center" vertical="center" wrapText="1"/>
    </xf>
    <xf numFmtId="2" fontId="11" fillId="0" borderId="20" xfId="0" applyNumberFormat="1" applyFont="1" applyFill="1" applyBorder="1" applyAlignment="1">
      <alignment horizontal="center" vertical="center"/>
    </xf>
    <xf numFmtId="166" fontId="0" fillId="12" borderId="0" xfId="0" applyNumberFormat="1" applyFill="1"/>
    <xf numFmtId="3" fontId="9" fillId="26" borderId="10" xfId="0" applyNumberFormat="1" applyFont="1" applyFill="1" applyBorder="1" applyAlignment="1">
      <alignment horizontal="center" vertical="center"/>
    </xf>
    <xf numFmtId="3" fontId="9" fillId="24" borderId="10" xfId="0" applyNumberFormat="1" applyFont="1" applyFill="1" applyBorder="1" applyAlignment="1">
      <alignment horizontal="center" vertical="center"/>
    </xf>
    <xf numFmtId="3" fontId="9" fillId="21" borderId="10" xfId="0" applyNumberFormat="1" applyFont="1" applyFill="1" applyBorder="1" applyAlignment="1">
      <alignment horizontal="center" vertical="center"/>
    </xf>
    <xf numFmtId="0" fontId="9" fillId="24" borderId="20" xfId="0" applyNumberFormat="1" applyFont="1" applyFill="1" applyBorder="1" applyAlignment="1">
      <alignment horizontal="center" vertical="center"/>
    </xf>
    <xf numFmtId="2" fontId="9" fillId="24" borderId="11" xfId="4" applyNumberFormat="1" applyFont="1" applyFill="1" applyBorder="1" applyAlignment="1">
      <alignment horizontal="center" vertical="center" wrapText="1" shrinkToFit="1"/>
    </xf>
    <xf numFmtId="3" fontId="9" fillId="20" borderId="10" xfId="0" applyNumberFormat="1" applyFont="1" applyFill="1" applyBorder="1" applyAlignment="1">
      <alignment horizontal="center" vertical="center"/>
    </xf>
    <xf numFmtId="0" fontId="9" fillId="20" borderId="20" xfId="0" applyNumberFormat="1" applyFont="1" applyFill="1" applyBorder="1" applyAlignment="1">
      <alignment horizontal="center" vertical="center"/>
    </xf>
    <xf numFmtId="2" fontId="9" fillId="20" borderId="11" xfId="4" applyNumberFormat="1" applyFont="1" applyFill="1" applyBorder="1" applyAlignment="1">
      <alignment horizontal="center" vertical="center" wrapText="1" shrinkToFit="1"/>
    </xf>
    <xf numFmtId="0" fontId="9" fillId="26" borderId="20" xfId="0" applyNumberFormat="1" applyFont="1" applyFill="1" applyBorder="1" applyAlignment="1">
      <alignment horizontal="center" vertical="center"/>
    </xf>
    <xf numFmtId="0" fontId="9" fillId="21" borderId="20" xfId="0" applyNumberFormat="1" applyFont="1" applyFill="1" applyBorder="1" applyAlignment="1">
      <alignment horizontal="center" vertical="center"/>
    </xf>
    <xf numFmtId="2" fontId="9" fillId="21" borderId="11" xfId="4" applyNumberFormat="1" applyFont="1" applyFill="1" applyBorder="1" applyAlignment="1">
      <alignment horizontal="center" vertical="center" wrapText="1" shrinkToFit="1"/>
    </xf>
    <xf numFmtId="164" fontId="47" fillId="24" borderId="8" xfId="4" applyNumberFormat="1" applyFont="1" applyFill="1" applyBorder="1" applyAlignment="1">
      <alignment horizontal="center" vertical="center" wrapText="1"/>
    </xf>
    <xf numFmtId="165" fontId="12" fillId="6" borderId="0" xfId="1" applyFont="1" applyFill="1" applyAlignment="1">
      <alignment horizontal="left"/>
    </xf>
    <xf numFmtId="165" fontId="30" fillId="12" borderId="0" xfId="5" applyFill="1" applyAlignment="1">
      <alignment horizontal="left" vertical="center"/>
    </xf>
    <xf numFmtId="2" fontId="8" fillId="0" borderId="47" xfId="5" applyNumberFormat="1" applyFont="1" applyBorder="1"/>
    <xf numFmtId="1" fontId="8" fillId="0" borderId="47" xfId="0" applyNumberFormat="1" applyFont="1" applyBorder="1" applyAlignment="1">
      <alignment horizontal="center"/>
    </xf>
    <xf numFmtId="164" fontId="8" fillId="0" borderId="47" xfId="0" applyNumberFormat="1" applyFont="1" applyBorder="1"/>
    <xf numFmtId="164" fontId="8" fillId="0" borderId="47" xfId="4" applyNumberFormat="1" applyFont="1" applyBorder="1"/>
    <xf numFmtId="2" fontId="8" fillId="0" borderId="50" xfId="5" applyNumberFormat="1" applyFont="1" applyBorder="1"/>
    <xf numFmtId="1" fontId="8" fillId="0" borderId="50" xfId="0" applyNumberFormat="1" applyFont="1" applyBorder="1" applyAlignment="1">
      <alignment horizontal="center"/>
    </xf>
    <xf numFmtId="164" fontId="8" fillId="0" borderId="50" xfId="0" applyNumberFormat="1" applyFont="1" applyBorder="1"/>
    <xf numFmtId="164" fontId="8" fillId="0" borderId="50" xfId="4" applyNumberFormat="1" applyFont="1" applyBorder="1"/>
    <xf numFmtId="164" fontId="8" fillId="0" borderId="53" xfId="4" applyNumberFormat="1" applyFont="1" applyBorder="1"/>
    <xf numFmtId="164" fontId="8" fillId="0" borderId="48" xfId="4" applyNumberFormat="1" applyFont="1" applyBorder="1"/>
    <xf numFmtId="164" fontId="8" fillId="0" borderId="54" xfId="4" applyNumberFormat="1" applyFont="1" applyBorder="1"/>
    <xf numFmtId="164" fontId="8" fillId="0" borderId="12" xfId="4" applyNumberFormat="1" applyFont="1" applyBorder="1"/>
    <xf numFmtId="164" fontId="8" fillId="0" borderId="14" xfId="4" applyNumberFormat="1" applyFont="1" applyBorder="1"/>
    <xf numFmtId="164" fontId="8" fillId="0" borderId="15" xfId="4" applyNumberFormat="1" applyFont="1" applyBorder="1"/>
    <xf numFmtId="164" fontId="8" fillId="0" borderId="16" xfId="4" applyNumberFormat="1" applyFont="1" applyBorder="1"/>
    <xf numFmtId="164" fontId="8" fillId="0" borderId="17" xfId="4" applyNumberFormat="1" applyFont="1" applyBorder="1"/>
    <xf numFmtId="164" fontId="8" fillId="0" borderId="19" xfId="4" applyNumberFormat="1" applyFont="1" applyBorder="1"/>
    <xf numFmtId="164" fontId="8" fillId="0" borderId="12" xfId="0" applyNumberFormat="1" applyFont="1" applyBorder="1"/>
    <xf numFmtId="164" fontId="8" fillId="0" borderId="15" xfId="0" applyNumberFormat="1" applyFont="1" applyBorder="1"/>
    <xf numFmtId="164" fontId="8" fillId="0" borderId="17" xfId="0" applyNumberFormat="1" applyFont="1" applyBorder="1"/>
    <xf numFmtId="3" fontId="8" fillId="0" borderId="50" xfId="0" applyNumberFormat="1" applyFont="1" applyBorder="1" applyAlignment="1">
      <alignment horizontal="center" vertical="center"/>
    </xf>
    <xf numFmtId="1" fontId="8" fillId="0" borderId="50" xfId="0" applyNumberFormat="1" applyFont="1" applyBorder="1" applyAlignment="1">
      <alignment horizontal="center" vertical="center"/>
    </xf>
    <xf numFmtId="164" fontId="8" fillId="0" borderId="55" xfId="4" applyNumberFormat="1" applyFont="1" applyBorder="1"/>
    <xf numFmtId="164" fontId="8" fillId="0" borderId="59" xfId="0" applyNumberFormat="1" applyFont="1" applyBorder="1"/>
    <xf numFmtId="164" fontId="8" fillId="0" borderId="63" xfId="4" applyNumberFormat="1" applyFont="1" applyBorder="1"/>
    <xf numFmtId="3" fontId="8" fillId="0" borderId="47" xfId="0" applyNumberFormat="1" applyFont="1" applyBorder="1" applyAlignment="1">
      <alignment horizontal="center" vertical="center"/>
    </xf>
    <xf numFmtId="1" fontId="8" fillId="0" borderId="47" xfId="0" applyNumberFormat="1" applyFont="1" applyBorder="1" applyAlignment="1">
      <alignment horizontal="center" vertical="center"/>
    </xf>
    <xf numFmtId="164" fontId="8" fillId="0" borderId="56" xfId="4" applyNumberFormat="1" applyFont="1" applyBorder="1"/>
    <xf numFmtId="164" fontId="8" fillId="0" borderId="21" xfId="0" applyNumberFormat="1" applyFont="1" applyBorder="1"/>
    <xf numFmtId="164" fontId="8" fillId="0" borderId="24" xfId="4" applyNumberFormat="1" applyFont="1" applyBorder="1"/>
    <xf numFmtId="164" fontId="8" fillId="0" borderId="47" xfId="4" applyNumberFormat="1" applyFont="1" applyBorder="1" applyAlignment="1">
      <alignment horizontal="right"/>
    </xf>
    <xf numFmtId="2" fontId="8" fillId="0" borderId="50" xfId="4" applyNumberFormat="1" applyFont="1" applyBorder="1"/>
    <xf numFmtId="164" fontId="8" fillId="0" borderId="50" xfId="4" applyNumberFormat="1" applyFont="1" applyBorder="1" applyAlignment="1">
      <alignment horizontal="right" vertical="center"/>
    </xf>
    <xf numFmtId="2" fontId="8" fillId="0" borderId="47" xfId="4" applyNumberFormat="1" applyFont="1" applyBorder="1"/>
    <xf numFmtId="164" fontId="8" fillId="0" borderId="47" xfId="4" applyNumberFormat="1" applyFont="1" applyBorder="1" applyAlignment="1">
      <alignment horizontal="right" vertical="center"/>
    </xf>
    <xf numFmtId="164" fontId="8" fillId="0" borderId="50" xfId="4" applyNumberFormat="1" applyFont="1" applyBorder="1" applyAlignment="1">
      <alignment horizontal="right"/>
    </xf>
    <xf numFmtId="2" fontId="8" fillId="0" borderId="50" xfId="0" applyNumberFormat="1" applyFont="1" applyBorder="1"/>
    <xf numFmtId="2" fontId="8" fillId="0" borderId="47" xfId="0" applyNumberFormat="1" applyFont="1" applyBorder="1"/>
    <xf numFmtId="167" fontId="8" fillId="0" borderId="50" xfId="0" applyNumberFormat="1" applyFont="1" applyBorder="1"/>
    <xf numFmtId="2" fontId="30" fillId="0" borderId="47" xfId="5" applyNumberFormat="1" applyBorder="1"/>
    <xf numFmtId="2" fontId="30" fillId="0" borderId="50" xfId="5" applyNumberFormat="1" applyBorder="1"/>
    <xf numFmtId="164" fontId="8" fillId="0" borderId="16" xfId="0" applyNumberFormat="1" applyFont="1" applyBorder="1"/>
    <xf numFmtId="164" fontId="8" fillId="0" borderId="19" xfId="0" applyNumberFormat="1" applyFont="1" applyBorder="1"/>
    <xf numFmtId="3" fontId="8" fillId="0" borderId="68" xfId="0" applyNumberFormat="1" applyFont="1" applyBorder="1" applyAlignment="1">
      <alignment horizontal="center" vertical="center"/>
    </xf>
    <xf numFmtId="164" fontId="8" fillId="0" borderId="24" xfId="0" applyNumberFormat="1" applyFont="1" applyBorder="1"/>
    <xf numFmtId="3" fontId="8" fillId="0" borderId="69" xfId="0" applyNumberFormat="1" applyFont="1" applyBorder="1" applyAlignment="1">
      <alignment horizontal="center" vertical="center"/>
    </xf>
    <xf numFmtId="164" fontId="8" fillId="0" borderId="63" xfId="0" applyNumberFormat="1" applyFont="1" applyBorder="1"/>
    <xf numFmtId="167" fontId="8" fillId="0" borderId="48" xfId="0" applyNumberFormat="1" applyFont="1" applyBorder="1"/>
    <xf numFmtId="165" fontId="10" fillId="12" borderId="0" xfId="0" applyFont="1" applyFill="1"/>
    <xf numFmtId="165" fontId="9" fillId="2" borderId="54" xfId="0" applyFont="1" applyFill="1" applyBorder="1" applyAlignment="1">
      <alignment horizontal="center"/>
    </xf>
    <xf numFmtId="3" fontId="9" fillId="2" borderId="72" xfId="0" applyNumberFormat="1" applyFont="1" applyFill="1" applyBorder="1" applyAlignment="1">
      <alignment horizontal="center"/>
    </xf>
    <xf numFmtId="1" fontId="9" fillId="2" borderId="72" xfId="0" applyNumberFormat="1" applyFont="1" applyFill="1" applyBorder="1" applyAlignment="1">
      <alignment horizontal="left"/>
    </xf>
    <xf numFmtId="165" fontId="9" fillId="2" borderId="72" xfId="0" applyFont="1" applyFill="1" applyBorder="1" applyAlignment="1">
      <alignment horizontal="left"/>
    </xf>
    <xf numFmtId="165" fontId="12" fillId="6" borderId="0" xfId="1" applyFont="1" applyFill="1" applyAlignment="1"/>
    <xf numFmtId="165" fontId="49" fillId="12" borderId="0" xfId="0" applyFont="1" applyFill="1" applyAlignment="1" applyProtection="1">
      <alignment horizontal="center"/>
      <protection hidden="1"/>
    </xf>
    <xf numFmtId="165" fontId="49" fillId="12" borderId="70" xfId="0" applyFont="1" applyFill="1" applyBorder="1" applyAlignment="1">
      <alignment horizontal="right" wrapText="1"/>
    </xf>
    <xf numFmtId="165" fontId="49" fillId="12" borderId="37" xfId="0" applyFont="1" applyFill="1" applyBorder="1" applyAlignment="1" applyProtection="1">
      <alignment horizontal="right"/>
      <protection hidden="1"/>
    </xf>
    <xf numFmtId="1" fontId="49" fillId="22" borderId="14" xfId="0" applyNumberFormat="1" applyFont="1" applyFill="1" applyBorder="1" applyAlignment="1" applyProtection="1">
      <alignment horizontal="right"/>
      <protection locked="0"/>
    </xf>
    <xf numFmtId="1" fontId="49" fillId="12" borderId="0" xfId="0" applyNumberFormat="1" applyFont="1" applyFill="1" applyBorder="1" applyAlignment="1" applyProtection="1">
      <alignment horizontal="right"/>
      <protection locked="0"/>
    </xf>
    <xf numFmtId="1" fontId="0" fillId="12" borderId="0" xfId="0" applyNumberFormat="1" applyFill="1" applyBorder="1"/>
    <xf numFmtId="165" fontId="49" fillId="12" borderId="30" xfId="0" applyFont="1" applyFill="1" applyBorder="1" applyAlignment="1" applyProtection="1">
      <alignment horizontal="right"/>
      <protection hidden="1"/>
    </xf>
    <xf numFmtId="1" fontId="49" fillId="22" borderId="16" xfId="0" applyNumberFormat="1" applyFont="1" applyFill="1" applyBorder="1" applyAlignment="1" applyProtection="1">
      <alignment horizontal="right"/>
      <protection locked="0"/>
    </xf>
    <xf numFmtId="165" fontId="49" fillId="12" borderId="17" xfId="0" applyFont="1" applyFill="1" applyBorder="1" applyAlignment="1">
      <alignment horizontal="right"/>
    </xf>
    <xf numFmtId="1" fontId="49" fillId="12" borderId="19" xfId="0" applyNumberFormat="1" applyFont="1" applyFill="1" applyBorder="1" applyAlignment="1">
      <alignment horizontal="right"/>
    </xf>
    <xf numFmtId="1" fontId="49" fillId="12" borderId="0" xfId="0" applyNumberFormat="1" applyFont="1" applyFill="1" applyBorder="1" applyAlignment="1">
      <alignment horizontal="right"/>
    </xf>
    <xf numFmtId="165" fontId="49" fillId="12" borderId="0" xfId="0" applyFont="1" applyFill="1" applyBorder="1" applyAlignment="1">
      <alignment horizontal="right"/>
    </xf>
    <xf numFmtId="1" fontId="49" fillId="12" borderId="12" xfId="0" applyNumberFormat="1" applyFont="1" applyFill="1" applyBorder="1" applyAlignment="1">
      <alignment horizontal="right"/>
    </xf>
    <xf numFmtId="165" fontId="49" fillId="12" borderId="15" xfId="0" applyFont="1" applyFill="1" applyBorder="1" applyAlignment="1">
      <alignment horizontal="right"/>
    </xf>
    <xf numFmtId="1" fontId="50" fillId="12" borderId="0" xfId="0" applyNumberFormat="1" applyFont="1" applyFill="1"/>
    <xf numFmtId="1" fontId="49" fillId="22" borderId="19" xfId="0" applyNumberFormat="1" applyFont="1" applyFill="1" applyBorder="1" applyAlignment="1" applyProtection="1">
      <alignment horizontal="right"/>
      <protection locked="0"/>
    </xf>
    <xf numFmtId="1" fontId="0" fillId="12" borderId="58" xfId="0" applyNumberFormat="1" applyFill="1" applyBorder="1"/>
    <xf numFmtId="165" fontId="0" fillId="12" borderId="11" xfId="0" applyFill="1" applyBorder="1" applyAlignment="1">
      <alignment horizontal="center" vertical="center"/>
    </xf>
    <xf numFmtId="165" fontId="0" fillId="12" borderId="37" xfId="0" applyFill="1" applyBorder="1" applyAlignment="1">
      <alignment horizontal="center" vertical="center"/>
    </xf>
    <xf numFmtId="1" fontId="0" fillId="12" borderId="37" xfId="0" applyNumberFormat="1" applyFill="1" applyBorder="1"/>
    <xf numFmtId="1" fontId="0" fillId="12" borderId="75" xfId="0" applyNumberFormat="1" applyFill="1" applyBorder="1" applyAlignment="1"/>
    <xf numFmtId="1" fontId="0" fillId="12" borderId="1" xfId="0" applyNumberFormat="1" applyFill="1" applyBorder="1"/>
    <xf numFmtId="165" fontId="0" fillId="12" borderId="20" xfId="0" applyFill="1" applyBorder="1" applyAlignment="1">
      <alignment horizontal="center" vertical="center"/>
    </xf>
    <xf numFmtId="165" fontId="0" fillId="12" borderId="30" xfId="0" applyFill="1" applyBorder="1" applyAlignment="1">
      <alignment horizontal="center" vertical="center"/>
    </xf>
    <xf numFmtId="1" fontId="0" fillId="12" borderId="30" xfId="0" applyNumberFormat="1" applyFill="1" applyBorder="1"/>
    <xf numFmtId="1" fontId="0" fillId="12" borderId="58" xfId="0" applyNumberFormat="1" applyFill="1" applyBorder="1" applyAlignment="1"/>
    <xf numFmtId="165" fontId="0" fillId="12" borderId="0" xfId="0" applyFill="1" applyBorder="1" applyAlignment="1">
      <alignment horizontal="right"/>
    </xf>
    <xf numFmtId="1" fontId="0" fillId="12" borderId="39" xfId="0" applyNumberFormat="1" applyFill="1" applyBorder="1"/>
    <xf numFmtId="1" fontId="0" fillId="30" borderId="66" xfId="0" applyNumberFormat="1" applyFill="1" applyBorder="1"/>
    <xf numFmtId="2" fontId="0" fillId="30" borderId="1" xfId="0" applyNumberFormat="1" applyFill="1" applyBorder="1"/>
    <xf numFmtId="1" fontId="0" fillId="30" borderId="1" xfId="0" applyNumberFormat="1" applyFill="1" applyBorder="1"/>
    <xf numFmtId="169" fontId="0" fillId="30" borderId="1" xfId="0" applyNumberFormat="1" applyFill="1" applyBorder="1"/>
    <xf numFmtId="1" fontId="0" fillId="9" borderId="66" xfId="0" applyNumberFormat="1" applyFill="1" applyBorder="1" applyAlignment="1">
      <alignment horizontal="right"/>
    </xf>
    <xf numFmtId="1" fontId="0" fillId="9" borderId="1" xfId="0" applyNumberFormat="1" applyFill="1" applyBorder="1" applyAlignment="1">
      <alignment horizontal="right" vertical="center"/>
    </xf>
    <xf numFmtId="1" fontId="0" fillId="9" borderId="16" xfId="0" applyNumberFormat="1" applyFill="1" applyBorder="1" applyAlignment="1">
      <alignment horizontal="right" vertical="center"/>
    </xf>
    <xf numFmtId="1" fontId="0" fillId="12" borderId="0" xfId="0" applyNumberFormat="1" applyFill="1" applyBorder="1" applyAlignment="1">
      <alignment horizontal="right" vertical="center"/>
    </xf>
    <xf numFmtId="1" fontId="0" fillId="32" borderId="66" xfId="0" applyNumberFormat="1" applyFill="1" applyBorder="1" applyAlignment="1">
      <alignment horizontal="right"/>
    </xf>
    <xf numFmtId="1" fontId="0" fillId="32" borderId="40" xfId="0" applyNumberFormat="1" applyFill="1" applyBorder="1" applyAlignment="1">
      <alignment horizontal="right"/>
    </xf>
    <xf numFmtId="1" fontId="0" fillId="12" borderId="0" xfId="0" applyNumberFormat="1" applyFill="1" applyBorder="1" applyAlignment="1">
      <alignment horizontal="right"/>
    </xf>
    <xf numFmtId="1" fontId="0" fillId="33" borderId="66" xfId="0" applyNumberFormat="1" applyFill="1" applyBorder="1" applyAlignment="1">
      <alignment horizontal="right"/>
    </xf>
    <xf numFmtId="1" fontId="0" fillId="33" borderId="1" xfId="0" applyNumberFormat="1" applyFill="1" applyBorder="1" applyAlignment="1">
      <alignment horizontal="right" vertical="center"/>
    </xf>
    <xf numFmtId="1" fontId="52" fillId="33" borderId="1" xfId="0" applyNumberFormat="1" applyFont="1" applyFill="1" applyBorder="1" applyAlignment="1">
      <alignment horizontal="right" vertical="center"/>
    </xf>
    <xf numFmtId="165" fontId="52" fillId="12" borderId="0" xfId="0" applyFont="1" applyFill="1" applyBorder="1" applyAlignment="1">
      <alignment horizontal="right" vertical="center"/>
    </xf>
    <xf numFmtId="1" fontId="0" fillId="16" borderId="66" xfId="0" applyNumberFormat="1" applyFill="1" applyBorder="1" applyAlignment="1">
      <alignment horizontal="right"/>
    </xf>
    <xf numFmtId="1" fontId="0" fillId="16" borderId="1" xfId="0" applyNumberFormat="1" applyFill="1" applyBorder="1" applyAlignment="1">
      <alignment horizontal="right" vertical="center"/>
    </xf>
    <xf numFmtId="1" fontId="0" fillId="16" borderId="16" xfId="0" applyNumberFormat="1" applyFill="1" applyBorder="1" applyAlignment="1">
      <alignment horizontal="right" vertical="center"/>
    </xf>
    <xf numFmtId="1" fontId="0" fillId="23" borderId="66" xfId="0" applyNumberFormat="1" applyFill="1" applyBorder="1" applyAlignment="1">
      <alignment horizontal="right"/>
    </xf>
    <xf numFmtId="1" fontId="53" fillId="23" borderId="1" xfId="0" applyNumberFormat="1" applyFont="1" applyFill="1" applyBorder="1" applyAlignment="1">
      <alignment horizontal="right" vertical="center"/>
    </xf>
    <xf numFmtId="1" fontId="0" fillId="23" borderId="1" xfId="0" applyNumberFormat="1" applyFill="1" applyBorder="1" applyAlignment="1">
      <alignment horizontal="right" vertical="center"/>
    </xf>
    <xf numFmtId="1" fontId="52" fillId="23" borderId="1" xfId="0" applyNumberFormat="1" applyFont="1" applyFill="1" applyBorder="1" applyAlignment="1">
      <alignment horizontal="right" vertical="center"/>
    </xf>
    <xf numFmtId="1" fontId="52" fillId="23" borderId="16" xfId="0" applyNumberFormat="1" applyFont="1" applyFill="1" applyBorder="1" applyAlignment="1">
      <alignment horizontal="right" vertical="center"/>
    </xf>
    <xf numFmtId="1" fontId="52" fillId="12" borderId="0" xfId="0" applyNumberFormat="1" applyFont="1" applyFill="1" applyBorder="1" applyAlignment="1">
      <alignment horizontal="right" vertical="center"/>
    </xf>
    <xf numFmtId="1" fontId="0" fillId="10" borderId="1" xfId="0" applyNumberFormat="1" applyFill="1" applyBorder="1" applyAlignment="1">
      <alignment horizontal="right" vertical="center"/>
    </xf>
    <xf numFmtId="1" fontId="0" fillId="10" borderId="16" xfId="0" applyNumberFormat="1" applyFill="1" applyBorder="1" applyAlignment="1">
      <alignment horizontal="right" vertical="center"/>
    </xf>
    <xf numFmtId="1" fontId="0" fillId="5" borderId="1" xfId="0" applyNumberFormat="1" applyFill="1" applyBorder="1" applyAlignment="1">
      <alignment horizontal="right" vertical="center"/>
    </xf>
    <xf numFmtId="1" fontId="0" fillId="5" borderId="16" xfId="0" applyNumberFormat="1" applyFill="1" applyBorder="1" applyAlignment="1">
      <alignment horizontal="right" vertical="center"/>
    </xf>
    <xf numFmtId="1" fontId="54" fillId="34" borderId="1" xfId="0" applyNumberFormat="1" applyFont="1" applyFill="1" applyBorder="1" applyAlignment="1">
      <alignment horizontal="right" vertical="center"/>
    </xf>
    <xf numFmtId="1" fontId="0" fillId="34" borderId="1" xfId="0" applyNumberFormat="1" applyFont="1" applyFill="1" applyBorder="1" applyAlignment="1">
      <alignment horizontal="right" vertical="center"/>
    </xf>
    <xf numFmtId="1" fontId="0" fillId="34" borderId="1" xfId="0" applyNumberFormat="1" applyFill="1" applyBorder="1" applyAlignment="1">
      <alignment horizontal="right" vertical="center"/>
    </xf>
    <xf numFmtId="1" fontId="54" fillId="34" borderId="16" xfId="0" applyNumberFormat="1" applyFont="1" applyFill="1" applyBorder="1" applyAlignment="1">
      <alignment horizontal="right" vertical="center"/>
    </xf>
    <xf numFmtId="1" fontId="54" fillId="12" borderId="0" xfId="0" applyNumberFormat="1" applyFont="1" applyFill="1" applyBorder="1" applyAlignment="1">
      <alignment horizontal="right" vertical="center"/>
    </xf>
    <xf numFmtId="1" fontId="0" fillId="4" borderId="1" xfId="0" applyNumberFormat="1" applyFill="1" applyBorder="1" applyAlignment="1">
      <alignment horizontal="right" vertical="center"/>
    </xf>
    <xf numFmtId="1" fontId="0" fillId="4" borderId="16" xfId="0" applyNumberFormat="1" applyFill="1" applyBorder="1" applyAlignment="1">
      <alignment horizontal="right" vertical="center"/>
    </xf>
    <xf numFmtId="1" fontId="0" fillId="35" borderId="18" xfId="0" applyNumberFormat="1" applyFill="1" applyBorder="1" applyAlignment="1">
      <alignment horizontal="right" vertical="center"/>
    </xf>
    <xf numFmtId="1" fontId="0" fillId="35" borderId="19" xfId="0" applyNumberFormat="1" applyFill="1" applyBorder="1" applyAlignment="1">
      <alignment horizontal="right" vertical="center"/>
    </xf>
    <xf numFmtId="2" fontId="0" fillId="12" borderId="0" xfId="0" applyNumberFormat="1" applyFill="1" applyBorder="1" applyAlignment="1">
      <alignment horizontal="right"/>
    </xf>
    <xf numFmtId="1" fontId="0" fillId="0" borderId="66" xfId="0" applyNumberFormat="1" applyFill="1" applyBorder="1" applyAlignment="1">
      <alignment horizontal="right"/>
    </xf>
    <xf numFmtId="1" fontId="0" fillId="0" borderId="1" xfId="0" applyNumberFormat="1" applyFill="1" applyBorder="1" applyAlignment="1">
      <alignment horizontal="right" vertical="center"/>
    </xf>
    <xf numFmtId="1" fontId="0" fillId="0" borderId="16" xfId="0" applyNumberFormat="1" applyFill="1" applyBorder="1" applyAlignment="1">
      <alignment horizontal="right" vertical="center"/>
    </xf>
    <xf numFmtId="1" fontId="0" fillId="0" borderId="40" xfId="0" applyNumberFormat="1" applyFill="1" applyBorder="1" applyAlignment="1">
      <alignment horizontal="right"/>
    </xf>
    <xf numFmtId="1" fontId="0" fillId="22" borderId="66" xfId="0" applyNumberFormat="1" applyFill="1" applyBorder="1" applyAlignment="1">
      <alignment horizontal="right"/>
    </xf>
    <xf numFmtId="1" fontId="0" fillId="22" borderId="1" xfId="0" applyNumberFormat="1" applyFill="1" applyBorder="1" applyAlignment="1">
      <alignment horizontal="right" vertical="center"/>
    </xf>
    <xf numFmtId="1" fontId="52" fillId="22" borderId="1" xfId="0" applyNumberFormat="1" applyFont="1" applyFill="1" applyBorder="1" applyAlignment="1">
      <alignment horizontal="right" vertical="center"/>
    </xf>
    <xf numFmtId="1" fontId="0" fillId="11" borderId="66" xfId="0" applyNumberFormat="1" applyFill="1" applyBorder="1" applyAlignment="1">
      <alignment horizontal="right"/>
    </xf>
    <xf numFmtId="1" fontId="0" fillId="11" borderId="1" xfId="0" applyNumberFormat="1" applyFill="1" applyBorder="1" applyAlignment="1">
      <alignment horizontal="right" vertical="center"/>
    </xf>
    <xf numFmtId="1" fontId="0" fillId="11" borderId="16" xfId="0" applyNumberFormat="1" applyFill="1" applyBorder="1" applyAlignment="1">
      <alignment horizontal="right" vertical="center"/>
    </xf>
    <xf numFmtId="1" fontId="0" fillId="36" borderId="66" xfId="0" applyNumberFormat="1" applyFill="1" applyBorder="1" applyAlignment="1">
      <alignment horizontal="right"/>
    </xf>
    <xf numFmtId="1" fontId="53" fillId="36" borderId="1" xfId="0" applyNumberFormat="1" applyFont="1" applyFill="1" applyBorder="1" applyAlignment="1">
      <alignment horizontal="right" vertical="center"/>
    </xf>
    <xf numFmtId="1" fontId="0" fillId="36" borderId="1" xfId="0" applyNumberFormat="1" applyFill="1" applyBorder="1" applyAlignment="1">
      <alignment horizontal="right" vertical="center"/>
    </xf>
    <xf numFmtId="1" fontId="52" fillId="36" borderId="1" xfId="0" applyNumberFormat="1" applyFont="1" applyFill="1" applyBorder="1" applyAlignment="1">
      <alignment horizontal="right" vertical="center"/>
    </xf>
    <xf numFmtId="1" fontId="52" fillId="36" borderId="16" xfId="0" applyNumberFormat="1" applyFont="1" applyFill="1" applyBorder="1" applyAlignment="1">
      <alignment horizontal="right" vertical="center"/>
    </xf>
    <xf numFmtId="1" fontId="0" fillId="37" borderId="1" xfId="0" applyNumberFormat="1" applyFill="1" applyBorder="1" applyAlignment="1">
      <alignment horizontal="right" vertical="center"/>
    </xf>
    <xf numFmtId="1" fontId="54" fillId="0" borderId="1" xfId="0" applyNumberFormat="1" applyFont="1" applyFill="1" applyBorder="1" applyAlignment="1">
      <alignment horizontal="right" vertical="center"/>
    </xf>
    <xf numFmtId="1" fontId="0" fillId="0" borderId="1" xfId="0" applyNumberFormat="1" applyFont="1" applyFill="1" applyBorder="1" applyAlignment="1">
      <alignment horizontal="right" vertical="center"/>
    </xf>
    <xf numFmtId="1" fontId="54" fillId="0" borderId="16" xfId="0" applyNumberFormat="1" applyFont="1" applyFill="1" applyBorder="1" applyAlignment="1">
      <alignment horizontal="right" vertical="center"/>
    </xf>
    <xf numFmtId="2" fontId="0" fillId="0" borderId="76" xfId="0" applyNumberFormat="1" applyFill="1" applyBorder="1" applyAlignment="1">
      <alignment horizontal="right"/>
    </xf>
    <xf numFmtId="2" fontId="0" fillId="12" borderId="0" xfId="0" applyNumberFormat="1" applyFill="1" applyBorder="1"/>
    <xf numFmtId="1" fontId="0" fillId="12" borderId="0" xfId="0" applyNumberFormat="1" applyFill="1" applyBorder="1" applyAlignment="1">
      <alignment horizontal="center" vertical="center"/>
    </xf>
    <xf numFmtId="165" fontId="49" fillId="30" borderId="47" xfId="0" applyFont="1" applyFill="1" applyBorder="1" applyAlignment="1">
      <alignment horizontal="center" vertical="center"/>
    </xf>
    <xf numFmtId="165" fontId="49" fillId="30" borderId="51" xfId="0" applyFont="1" applyFill="1" applyBorder="1" applyAlignment="1">
      <alignment horizontal="center" vertical="center"/>
    </xf>
    <xf numFmtId="165" fontId="49" fillId="30" borderId="30" xfId="0" applyFont="1" applyFill="1" applyBorder="1" applyAlignment="1">
      <alignment horizontal="center" vertical="center"/>
    </xf>
    <xf numFmtId="165" fontId="49" fillId="30" borderId="40" xfId="0" applyFont="1" applyFill="1" applyBorder="1" applyAlignment="1">
      <alignment horizontal="center" vertical="center"/>
    </xf>
    <xf numFmtId="165" fontId="49" fillId="30" borderId="39" xfId="0" applyFont="1" applyFill="1" applyBorder="1" applyAlignment="1">
      <alignment horizontal="center" vertical="center"/>
    </xf>
    <xf numFmtId="165" fontId="49" fillId="30" borderId="62" xfId="0" applyFont="1" applyFill="1" applyBorder="1" applyAlignment="1">
      <alignment horizontal="center" vertical="center"/>
    </xf>
    <xf numFmtId="165" fontId="49" fillId="29" borderId="51" xfId="0" applyFont="1" applyFill="1" applyBorder="1" applyAlignment="1">
      <alignment horizontal="center" vertical="center"/>
    </xf>
    <xf numFmtId="165" fontId="49" fillId="29" borderId="40" xfId="0" applyFont="1" applyFill="1" applyBorder="1" applyAlignment="1">
      <alignment horizontal="center" vertical="center"/>
    </xf>
    <xf numFmtId="165" fontId="49" fillId="29" borderId="62" xfId="0" applyFont="1" applyFill="1" applyBorder="1" applyAlignment="1">
      <alignment horizontal="center" vertical="center"/>
    </xf>
    <xf numFmtId="165" fontId="49" fillId="31" borderId="61" xfId="0" applyFont="1" applyFill="1" applyBorder="1" applyAlignment="1">
      <alignment horizontal="center" vertical="center"/>
    </xf>
    <xf numFmtId="165" fontId="49" fillId="31" borderId="40" xfId="0" applyFont="1" applyFill="1" applyBorder="1" applyAlignment="1">
      <alignment horizontal="center" vertical="center"/>
    </xf>
    <xf numFmtId="165" fontId="49" fillId="31" borderId="62" xfId="0" applyFont="1" applyFill="1" applyBorder="1" applyAlignment="1">
      <alignment horizontal="center" vertical="center"/>
    </xf>
    <xf numFmtId="165" fontId="49" fillId="9" borderId="61" xfId="0" applyFont="1" applyFill="1" applyBorder="1" applyAlignment="1">
      <alignment horizontal="center" vertical="center"/>
    </xf>
    <xf numFmtId="165" fontId="49" fillId="9" borderId="40" xfId="0" applyFont="1" applyFill="1" applyBorder="1" applyAlignment="1">
      <alignment horizontal="center" vertical="center"/>
    </xf>
    <xf numFmtId="165" fontId="49" fillId="9" borderId="52" xfId="0" applyFont="1" applyFill="1" applyBorder="1" applyAlignment="1">
      <alignment horizontal="center" vertical="center"/>
    </xf>
    <xf numFmtId="165" fontId="49" fillId="32" borderId="37" xfId="0" applyFont="1" applyFill="1" applyBorder="1" applyAlignment="1">
      <alignment horizontal="center" vertical="center"/>
    </xf>
    <xf numFmtId="165" fontId="49" fillId="32" borderId="61" xfId="0" applyFont="1" applyFill="1" applyBorder="1" applyAlignment="1">
      <alignment horizontal="center" vertical="center"/>
    </xf>
    <xf numFmtId="165" fontId="49" fillId="32" borderId="30" xfId="0" applyFont="1" applyFill="1" applyBorder="1" applyAlignment="1">
      <alignment horizontal="center" vertical="center"/>
    </xf>
    <xf numFmtId="165" fontId="49" fillId="32" borderId="40" xfId="0" applyFont="1" applyFill="1" applyBorder="1" applyAlignment="1">
      <alignment horizontal="center" vertical="center"/>
    </xf>
    <xf numFmtId="165" fontId="49" fillId="32" borderId="50" xfId="0" applyFont="1" applyFill="1" applyBorder="1" applyAlignment="1">
      <alignment horizontal="center" vertical="center"/>
    </xf>
    <xf numFmtId="165" fontId="49" fillId="32" borderId="52" xfId="0" applyFont="1" applyFill="1" applyBorder="1" applyAlignment="1">
      <alignment horizontal="center" vertical="center"/>
    </xf>
    <xf numFmtId="165" fontId="49" fillId="33" borderId="37" xfId="0" applyFont="1" applyFill="1" applyBorder="1" applyAlignment="1">
      <alignment horizontal="center" vertical="center"/>
    </xf>
    <xf numFmtId="165" fontId="49" fillId="33" borderId="30" xfId="0" applyFont="1" applyFill="1" applyBorder="1" applyAlignment="1">
      <alignment horizontal="center" vertical="center"/>
    </xf>
    <xf numFmtId="165" fontId="49" fillId="33" borderId="39" xfId="0" applyFont="1" applyFill="1" applyBorder="1" applyAlignment="1">
      <alignment horizontal="center" vertical="center"/>
    </xf>
    <xf numFmtId="165" fontId="49" fillId="16" borderId="37" xfId="0" applyFont="1" applyFill="1" applyBorder="1" applyAlignment="1">
      <alignment horizontal="center" vertical="center"/>
    </xf>
    <xf numFmtId="165" fontId="49" fillId="16" borderId="30" xfId="0" applyFont="1" applyFill="1" applyBorder="1" applyAlignment="1">
      <alignment horizontal="center" vertical="center"/>
    </xf>
    <xf numFmtId="165" fontId="49" fillId="16" borderId="39" xfId="0" applyFont="1" applyFill="1" applyBorder="1" applyAlignment="1">
      <alignment horizontal="center" vertical="center"/>
    </xf>
    <xf numFmtId="165" fontId="49" fillId="23" borderId="37" xfId="0" applyFont="1" applyFill="1" applyBorder="1" applyAlignment="1">
      <alignment horizontal="center" vertical="center"/>
    </xf>
    <xf numFmtId="165" fontId="49" fillId="23" borderId="30" xfId="0" applyFont="1" applyFill="1" applyBorder="1" applyAlignment="1">
      <alignment horizontal="center" vertical="center"/>
    </xf>
    <xf numFmtId="165" fontId="49" fillId="23" borderId="39" xfId="0" applyFont="1" applyFill="1" applyBorder="1" applyAlignment="1">
      <alignment horizontal="center" vertical="center"/>
    </xf>
    <xf numFmtId="165" fontId="49" fillId="10" borderId="37" xfId="0" applyFont="1" applyFill="1" applyBorder="1" applyAlignment="1">
      <alignment horizontal="center" vertical="center"/>
    </xf>
    <xf numFmtId="165" fontId="49" fillId="10" borderId="30" xfId="0" applyFont="1" applyFill="1" applyBorder="1" applyAlignment="1">
      <alignment horizontal="center" vertical="center"/>
    </xf>
    <xf numFmtId="165" fontId="49" fillId="10" borderId="39" xfId="0" applyFont="1" applyFill="1" applyBorder="1" applyAlignment="1">
      <alignment horizontal="center" vertical="center"/>
    </xf>
    <xf numFmtId="165" fontId="49" fillId="5" borderId="47" xfId="0" applyFont="1" applyFill="1" applyBorder="1" applyAlignment="1">
      <alignment horizontal="center" vertical="center"/>
    </xf>
    <xf numFmtId="165" fontId="49" fillId="5" borderId="30" xfId="0" applyFont="1" applyFill="1" applyBorder="1" applyAlignment="1">
      <alignment horizontal="center" vertical="center"/>
    </xf>
    <xf numFmtId="165" fontId="49" fillId="5" borderId="50" xfId="0" applyFont="1" applyFill="1" applyBorder="1" applyAlignment="1">
      <alignment horizontal="center" vertical="center"/>
    </xf>
    <xf numFmtId="165" fontId="49" fillId="34" borderId="37" xfId="0" applyFont="1" applyFill="1" applyBorder="1" applyAlignment="1">
      <alignment horizontal="center" vertical="center"/>
    </xf>
    <xf numFmtId="165" fontId="49" fillId="34" borderId="30" xfId="0" applyFont="1" applyFill="1" applyBorder="1" applyAlignment="1">
      <alignment horizontal="center" vertical="center"/>
    </xf>
    <xf numFmtId="165" fontId="49" fillId="34" borderId="39" xfId="0" applyFont="1" applyFill="1" applyBorder="1" applyAlignment="1">
      <alignment horizontal="center" vertical="center"/>
    </xf>
    <xf numFmtId="165" fontId="49" fillId="4" borderId="37" xfId="0" applyFont="1" applyFill="1" applyBorder="1" applyAlignment="1">
      <alignment horizontal="center" vertical="center"/>
    </xf>
    <xf numFmtId="165" fontId="49" fillId="4" borderId="30" xfId="0" applyFont="1" applyFill="1" applyBorder="1" applyAlignment="1">
      <alignment horizontal="center" vertical="center"/>
    </xf>
    <xf numFmtId="165" fontId="49" fillId="4" borderId="39" xfId="0" applyFont="1" applyFill="1" applyBorder="1" applyAlignment="1">
      <alignment horizontal="center" vertical="center"/>
    </xf>
    <xf numFmtId="165" fontId="49" fillId="35" borderId="37" xfId="0" applyFont="1" applyFill="1" applyBorder="1" applyAlignment="1">
      <alignment horizontal="center" vertical="center"/>
    </xf>
    <xf numFmtId="165" fontId="49" fillId="35" borderId="30" xfId="0" applyFont="1" applyFill="1" applyBorder="1" applyAlignment="1">
      <alignment horizontal="center" vertical="center"/>
    </xf>
    <xf numFmtId="165" fontId="49" fillId="35" borderId="39" xfId="0" applyFont="1" applyFill="1" applyBorder="1" applyAlignment="1">
      <alignment horizontal="center" vertical="center"/>
    </xf>
    <xf numFmtId="165" fontId="49" fillId="22" borderId="37" xfId="0" applyFont="1" applyFill="1" applyBorder="1" applyAlignment="1">
      <alignment horizontal="center" vertical="center"/>
    </xf>
    <xf numFmtId="165" fontId="49" fillId="22" borderId="30" xfId="0" applyFont="1" applyFill="1" applyBorder="1" applyAlignment="1">
      <alignment horizontal="center" vertical="center"/>
    </xf>
    <xf numFmtId="165" fontId="49" fillId="22" borderId="39" xfId="0" applyFont="1" applyFill="1" applyBorder="1" applyAlignment="1">
      <alignment horizontal="center" vertical="center"/>
    </xf>
    <xf numFmtId="2" fontId="0" fillId="12" borderId="0" xfId="0" applyNumberFormat="1" applyFill="1" applyBorder="1" applyAlignment="1">
      <alignment horizontal="center" vertical="center"/>
    </xf>
    <xf numFmtId="1" fontId="49" fillId="30" borderId="51" xfId="0" applyNumberFormat="1" applyFont="1" applyFill="1" applyBorder="1" applyAlignment="1">
      <alignment horizontal="center" vertical="center"/>
    </xf>
    <xf numFmtId="1" fontId="49" fillId="30" borderId="40" xfId="0" applyNumberFormat="1" applyFont="1" applyFill="1" applyBorder="1" applyAlignment="1">
      <alignment horizontal="center" vertical="center"/>
    </xf>
    <xf numFmtId="1" fontId="49" fillId="30" borderId="62" xfId="0" applyNumberFormat="1" applyFont="1" applyFill="1" applyBorder="1" applyAlignment="1">
      <alignment horizontal="center" vertical="center"/>
    </xf>
    <xf numFmtId="1" fontId="49" fillId="29" borderId="51" xfId="0" applyNumberFormat="1" applyFont="1" applyFill="1" applyBorder="1" applyAlignment="1">
      <alignment horizontal="center" vertical="center"/>
    </xf>
    <xf numFmtId="1" fontId="49" fillId="29" borderId="40" xfId="0" applyNumberFormat="1" applyFont="1" applyFill="1" applyBorder="1" applyAlignment="1">
      <alignment horizontal="center" vertical="center"/>
    </xf>
    <xf numFmtId="1" fontId="49" fillId="29" borderId="62" xfId="0" applyNumberFormat="1" applyFont="1" applyFill="1" applyBorder="1" applyAlignment="1">
      <alignment horizontal="center" vertical="center"/>
    </xf>
    <xf numFmtId="1" fontId="49" fillId="31" borderId="61" xfId="0" applyNumberFormat="1" applyFont="1" applyFill="1" applyBorder="1" applyAlignment="1">
      <alignment horizontal="center" vertical="center"/>
    </xf>
    <xf numFmtId="1" fontId="49" fillId="31" borderId="40" xfId="0" applyNumberFormat="1" applyFont="1" applyFill="1" applyBorder="1" applyAlignment="1">
      <alignment horizontal="center" vertical="center"/>
    </xf>
    <xf numFmtId="1" fontId="49" fillId="31" borderId="62" xfId="0" applyNumberFormat="1" applyFont="1" applyFill="1" applyBorder="1" applyAlignment="1">
      <alignment horizontal="center" vertical="center"/>
    </xf>
    <xf numFmtId="1" fontId="49" fillId="9" borderId="40" xfId="0" applyNumberFormat="1" applyFont="1" applyFill="1" applyBorder="1" applyAlignment="1">
      <alignment horizontal="center" vertical="center"/>
    </xf>
    <xf numFmtId="1" fontId="49" fillId="9" borderId="61" xfId="0" applyNumberFormat="1" applyFont="1" applyFill="1" applyBorder="1" applyAlignment="1">
      <alignment horizontal="center" vertical="center"/>
    </xf>
    <xf numFmtId="1" fontId="49" fillId="9" borderId="52" xfId="0" applyNumberFormat="1" applyFont="1" applyFill="1" applyBorder="1" applyAlignment="1">
      <alignment horizontal="center" vertical="center"/>
    </xf>
    <xf numFmtId="1" fontId="49" fillId="32" borderId="61" xfId="0" applyNumberFormat="1" applyFont="1" applyFill="1" applyBorder="1" applyAlignment="1">
      <alignment horizontal="center" vertical="center"/>
    </xf>
    <xf numFmtId="1" fontId="49" fillId="32" borderId="40" xfId="0" applyNumberFormat="1" applyFont="1" applyFill="1" applyBorder="1" applyAlignment="1">
      <alignment horizontal="center" vertical="center"/>
    </xf>
    <xf numFmtId="1" fontId="49" fillId="32" borderId="52" xfId="0" applyNumberFormat="1" applyFont="1" applyFill="1" applyBorder="1" applyAlignment="1">
      <alignment horizontal="center" vertical="center"/>
    </xf>
    <xf numFmtId="1" fontId="49" fillId="33" borderId="37" xfId="0" applyNumberFormat="1" applyFont="1" applyFill="1" applyBorder="1" applyAlignment="1">
      <alignment horizontal="center" vertical="center"/>
    </xf>
    <xf numFmtId="1" fontId="49" fillId="33" borderId="30" xfId="0" applyNumberFormat="1" applyFont="1" applyFill="1" applyBorder="1" applyAlignment="1">
      <alignment horizontal="center" vertical="center"/>
    </xf>
    <xf numFmtId="1" fontId="49" fillId="33" borderId="39" xfId="0" applyNumberFormat="1" applyFont="1" applyFill="1" applyBorder="1" applyAlignment="1">
      <alignment horizontal="center" vertical="center"/>
    </xf>
    <xf numFmtId="1" fontId="49" fillId="16" borderId="37" xfId="0" applyNumberFormat="1" applyFont="1" applyFill="1" applyBorder="1" applyAlignment="1">
      <alignment horizontal="center" vertical="center"/>
    </xf>
    <xf numFmtId="1" fontId="49" fillId="16" borderId="30" xfId="0" applyNumberFormat="1" applyFont="1" applyFill="1" applyBorder="1" applyAlignment="1">
      <alignment horizontal="center" vertical="center"/>
    </xf>
    <xf numFmtId="1" fontId="49" fillId="16" borderId="39" xfId="0" applyNumberFormat="1" applyFont="1" applyFill="1" applyBorder="1" applyAlignment="1">
      <alignment horizontal="center" vertical="center"/>
    </xf>
    <xf numFmtId="1" fontId="49" fillId="23" borderId="37" xfId="0" applyNumberFormat="1" applyFont="1" applyFill="1" applyBorder="1" applyAlignment="1">
      <alignment horizontal="center" vertical="center"/>
    </xf>
    <xf numFmtId="1" fontId="49" fillId="23" borderId="30" xfId="0" applyNumberFormat="1" applyFont="1" applyFill="1" applyBorder="1" applyAlignment="1">
      <alignment horizontal="center" vertical="center"/>
    </xf>
    <xf numFmtId="1" fontId="49" fillId="10" borderId="37" xfId="0" applyNumberFormat="1" applyFont="1" applyFill="1" applyBorder="1" applyAlignment="1">
      <alignment horizontal="center" vertical="center"/>
    </xf>
    <xf numFmtId="1" fontId="49" fillId="10" borderId="30" xfId="0" applyNumberFormat="1" applyFont="1" applyFill="1" applyBorder="1" applyAlignment="1">
      <alignment horizontal="center" vertical="center"/>
    </xf>
    <xf numFmtId="1" fontId="49" fillId="10" borderId="39" xfId="0" applyNumberFormat="1" applyFont="1" applyFill="1" applyBorder="1" applyAlignment="1">
      <alignment horizontal="center" vertical="center"/>
    </xf>
    <xf numFmtId="1" fontId="49" fillId="5" borderId="47" xfId="0" applyNumberFormat="1" applyFont="1" applyFill="1" applyBorder="1" applyAlignment="1">
      <alignment horizontal="center" vertical="center"/>
    </xf>
    <xf numFmtId="1" fontId="49" fillId="5" borderId="30" xfId="0" applyNumberFormat="1" applyFont="1" applyFill="1" applyBorder="1" applyAlignment="1">
      <alignment horizontal="center" vertical="center"/>
    </xf>
    <xf numFmtId="1" fontId="49" fillId="5" borderId="50" xfId="0" applyNumberFormat="1" applyFont="1" applyFill="1" applyBorder="1" applyAlignment="1">
      <alignment horizontal="center" vertical="center"/>
    </xf>
    <xf numFmtId="1" fontId="49" fillId="34" borderId="37" xfId="0" applyNumberFormat="1" applyFont="1" applyFill="1" applyBorder="1" applyAlignment="1">
      <alignment horizontal="center" vertical="center"/>
    </xf>
    <xf numFmtId="1" fontId="49" fillId="34" borderId="30" xfId="0" applyNumberFormat="1" applyFont="1" applyFill="1" applyBorder="1" applyAlignment="1">
      <alignment horizontal="center" vertical="center"/>
    </xf>
    <xf numFmtId="1" fontId="49" fillId="34" borderId="39" xfId="0" applyNumberFormat="1" applyFont="1" applyFill="1" applyBorder="1" applyAlignment="1">
      <alignment horizontal="center" vertical="center"/>
    </xf>
    <xf numFmtId="1" fontId="49" fillId="4" borderId="37" xfId="0" applyNumberFormat="1" applyFont="1" applyFill="1" applyBorder="1" applyAlignment="1">
      <alignment horizontal="center" vertical="center"/>
    </xf>
    <xf numFmtId="1" fontId="49" fillId="4" borderId="30" xfId="0" applyNumberFormat="1" applyFont="1" applyFill="1" applyBorder="1" applyAlignment="1">
      <alignment horizontal="center" vertical="center"/>
    </xf>
    <xf numFmtId="1" fontId="49" fillId="4" borderId="39" xfId="0" applyNumberFormat="1" applyFont="1" applyFill="1" applyBorder="1" applyAlignment="1">
      <alignment horizontal="center" vertical="center"/>
    </xf>
    <xf numFmtId="1" fontId="49" fillId="35" borderId="37" xfId="0" applyNumberFormat="1" applyFont="1" applyFill="1" applyBorder="1" applyAlignment="1">
      <alignment horizontal="center" vertical="center"/>
    </xf>
    <xf numFmtId="1" fontId="49" fillId="35" borderId="30" xfId="0" applyNumberFormat="1" applyFont="1" applyFill="1" applyBorder="1" applyAlignment="1">
      <alignment horizontal="center" vertical="center"/>
    </xf>
    <xf numFmtId="1" fontId="49" fillId="35" borderId="39" xfId="0" applyNumberFormat="1" applyFont="1" applyFill="1" applyBorder="1" applyAlignment="1">
      <alignment horizontal="center" vertical="center"/>
    </xf>
    <xf numFmtId="1" fontId="49" fillId="22" borderId="37" xfId="0" applyNumberFormat="1" applyFont="1" applyFill="1" applyBorder="1" applyAlignment="1">
      <alignment horizontal="center" vertical="center"/>
    </xf>
    <xf numFmtId="1" fontId="49" fillId="22" borderId="30" xfId="0" applyNumberFormat="1" applyFont="1" applyFill="1" applyBorder="1" applyAlignment="1">
      <alignment horizontal="center" vertical="center"/>
    </xf>
    <xf numFmtId="1" fontId="49" fillId="22" borderId="39" xfId="0" applyNumberFormat="1" applyFont="1" applyFill="1" applyBorder="1" applyAlignment="1">
      <alignment horizontal="center" vertical="center"/>
    </xf>
    <xf numFmtId="165" fontId="3" fillId="39" borderId="0" xfId="0" applyFont="1" applyFill="1" applyAlignment="1">
      <alignment vertical="center"/>
    </xf>
    <xf numFmtId="165" fontId="19" fillId="39" borderId="0" xfId="1" applyFont="1" applyFill="1" applyAlignment="1">
      <alignment horizontal="left" vertical="center"/>
    </xf>
    <xf numFmtId="165" fontId="5" fillId="39" borderId="0" xfId="1" applyFont="1" applyFill="1"/>
    <xf numFmtId="2" fontId="0" fillId="29" borderId="12" xfId="0" applyNumberFormat="1" applyFont="1" applyFill="1" applyBorder="1" applyAlignment="1">
      <alignment horizontal="center"/>
    </xf>
    <xf numFmtId="2" fontId="0" fillId="29" borderId="13" xfId="0" applyNumberFormat="1" applyFont="1" applyFill="1" applyBorder="1" applyAlignment="1">
      <alignment horizontal="center" vertical="center"/>
    </xf>
    <xf numFmtId="2" fontId="0" fillId="29" borderId="14" xfId="0" applyNumberFormat="1" applyFont="1" applyFill="1" applyBorder="1" applyAlignment="1">
      <alignment horizontal="center" vertical="center"/>
    </xf>
    <xf numFmtId="2" fontId="0" fillId="31" borderId="15" xfId="0" applyNumberFormat="1" applyFill="1" applyBorder="1" applyAlignment="1">
      <alignment horizontal="center"/>
    </xf>
    <xf numFmtId="2" fontId="0" fillId="31" borderId="1" xfId="0" applyNumberFormat="1" applyFill="1" applyBorder="1" applyAlignment="1">
      <alignment horizontal="center" vertical="center"/>
    </xf>
    <xf numFmtId="2" fontId="0" fillId="31" borderId="16" xfId="0" applyNumberFormat="1" applyFill="1" applyBorder="1" applyAlignment="1">
      <alignment horizontal="center" vertical="center"/>
    </xf>
    <xf numFmtId="2" fontId="0" fillId="9" borderId="66" xfId="0" applyNumberFormat="1" applyFill="1" applyBorder="1"/>
    <xf numFmtId="2" fontId="0" fillId="9" borderId="1" xfId="0" applyNumberFormat="1" applyFill="1" applyBorder="1"/>
    <xf numFmtId="2" fontId="0" fillId="9" borderId="16" xfId="0" applyNumberFormat="1" applyFill="1" applyBorder="1"/>
    <xf numFmtId="2" fontId="0" fillId="32" borderId="15" xfId="0" applyNumberFormat="1" applyFill="1" applyBorder="1"/>
    <xf numFmtId="2" fontId="0" fillId="32" borderId="1" xfId="0" applyNumberFormat="1" applyFill="1" applyBorder="1"/>
    <xf numFmtId="2" fontId="0" fillId="32" borderId="16" xfId="0" applyNumberFormat="1" applyFill="1" applyBorder="1"/>
    <xf numFmtId="2" fontId="0" fillId="33" borderId="66" xfId="0" applyNumberFormat="1" applyFill="1" applyBorder="1"/>
    <xf numFmtId="2" fontId="0" fillId="33" borderId="1" xfId="0" applyNumberFormat="1" applyFill="1" applyBorder="1"/>
    <xf numFmtId="2" fontId="0" fillId="33" borderId="16" xfId="0" applyNumberFormat="1" applyFill="1" applyBorder="1"/>
    <xf numFmtId="2" fontId="0" fillId="16" borderId="66" xfId="0" applyNumberFormat="1" applyFill="1" applyBorder="1"/>
    <xf numFmtId="2" fontId="0" fillId="16" borderId="1" xfId="0" applyNumberFormat="1" applyFill="1" applyBorder="1"/>
    <xf numFmtId="2" fontId="0" fillId="16" borderId="16" xfId="0" applyNumberFormat="1" applyFill="1" applyBorder="1"/>
    <xf numFmtId="2" fontId="0" fillId="23" borderId="66" xfId="0" applyNumberFormat="1" applyFill="1" applyBorder="1"/>
    <xf numFmtId="2" fontId="0" fillId="23" borderId="1" xfId="0" applyNumberFormat="1" applyFill="1" applyBorder="1"/>
    <xf numFmtId="2" fontId="0" fillId="23" borderId="16" xfId="0" applyNumberFormat="1" applyFill="1" applyBorder="1"/>
    <xf numFmtId="2" fontId="0" fillId="10" borderId="66" xfId="0" applyNumberFormat="1" applyFill="1" applyBorder="1"/>
    <xf numFmtId="2" fontId="0" fillId="10" borderId="1" xfId="0" applyNumberFormat="1" applyFill="1" applyBorder="1"/>
    <xf numFmtId="2" fontId="0" fillId="10" borderId="16" xfId="0" applyNumberFormat="1" applyFill="1" applyBorder="1"/>
    <xf numFmtId="2" fontId="0" fillId="5" borderId="66" xfId="0" applyNumberFormat="1" applyFill="1" applyBorder="1"/>
    <xf numFmtId="2" fontId="0" fillId="5" borderId="1" xfId="0" applyNumberFormat="1" applyFill="1" applyBorder="1"/>
    <xf numFmtId="2" fontId="0" fillId="5" borderId="16" xfId="0" applyNumberFormat="1" applyFill="1" applyBorder="1"/>
    <xf numFmtId="2" fontId="0" fillId="34" borderId="66" xfId="0" applyNumberFormat="1" applyFill="1" applyBorder="1"/>
    <xf numFmtId="2" fontId="0" fillId="34" borderId="1" xfId="0" applyNumberFormat="1" applyFill="1" applyBorder="1"/>
    <xf numFmtId="2" fontId="0" fillId="34" borderId="16" xfId="0" applyNumberFormat="1" applyFill="1" applyBorder="1"/>
    <xf numFmtId="2" fontId="0" fillId="4" borderId="66" xfId="0" applyNumberFormat="1" applyFill="1" applyBorder="1"/>
    <xf numFmtId="2" fontId="0" fillId="4" borderId="1" xfId="0" applyNumberFormat="1" applyFill="1" applyBorder="1"/>
    <xf numFmtId="2" fontId="0" fillId="4" borderId="16" xfId="0" applyNumberFormat="1" applyFill="1" applyBorder="1"/>
    <xf numFmtId="2" fontId="0" fillId="35" borderId="76" xfId="0" applyNumberFormat="1" applyFill="1" applyBorder="1"/>
    <xf numFmtId="2" fontId="0" fillId="35" borderId="18" xfId="0" applyNumberFormat="1" applyFill="1" applyBorder="1"/>
    <xf numFmtId="2" fontId="0" fillId="35" borderId="19" xfId="0" applyNumberFormat="1" applyFill="1" applyBorder="1"/>
    <xf numFmtId="1" fontId="0" fillId="12" borderId="16" xfId="0" applyNumberFormat="1" applyFill="1" applyBorder="1" applyAlignment="1">
      <alignment horizontal="center" vertical="center"/>
    </xf>
    <xf numFmtId="1" fontId="0" fillId="12" borderId="18" xfId="0" applyNumberFormat="1" applyFill="1" applyBorder="1" applyAlignment="1">
      <alignment vertical="center"/>
    </xf>
    <xf numFmtId="1" fontId="0" fillId="12" borderId="19" xfId="0" applyNumberFormat="1" applyFill="1" applyBorder="1" applyAlignment="1">
      <alignment horizontal="center" vertical="center"/>
    </xf>
    <xf numFmtId="2" fontId="0" fillId="12" borderId="37" xfId="0" applyNumberFormat="1" applyFill="1" applyBorder="1" applyAlignment="1">
      <alignment horizontal="center" vertical="center"/>
    </xf>
    <xf numFmtId="2" fontId="0" fillId="12" borderId="30" xfId="0" applyNumberFormat="1" applyFill="1" applyBorder="1" applyAlignment="1">
      <alignment horizontal="center" vertical="center"/>
    </xf>
    <xf numFmtId="1" fontId="0" fillId="12" borderId="37" xfId="0" applyNumberFormat="1" applyFill="1" applyBorder="1" applyAlignment="1">
      <alignment horizontal="center" vertical="center"/>
    </xf>
    <xf numFmtId="1" fontId="0" fillId="12" borderId="30" xfId="0" applyNumberFormat="1" applyFill="1" applyBorder="1" applyAlignment="1">
      <alignment horizontal="center" vertical="center"/>
    </xf>
    <xf numFmtId="1" fontId="0" fillId="12" borderId="39" xfId="0" applyNumberFormat="1" applyFill="1" applyBorder="1" applyAlignment="1">
      <alignment horizontal="center" vertical="center"/>
    </xf>
    <xf numFmtId="1" fontId="0" fillId="29" borderId="77" xfId="0" applyNumberFormat="1" applyFill="1" applyBorder="1" applyAlignment="1">
      <alignment horizontal="right"/>
    </xf>
    <xf numFmtId="1" fontId="0" fillId="29" borderId="51" xfId="0" applyNumberFormat="1" applyFill="1" applyBorder="1" applyAlignment="1">
      <alignment horizontal="right"/>
    </xf>
    <xf numFmtId="1" fontId="0" fillId="31" borderId="66" xfId="0" applyNumberFormat="1" applyFill="1" applyBorder="1" applyAlignment="1">
      <alignment horizontal="right"/>
    </xf>
    <xf numFmtId="1" fontId="0" fillId="31" borderId="40" xfId="0" applyNumberFormat="1" applyFill="1" applyBorder="1" applyAlignment="1">
      <alignment horizontal="right"/>
    </xf>
    <xf numFmtId="1" fontId="52" fillId="33" borderId="16" xfId="0" applyNumberFormat="1" applyFont="1" applyFill="1" applyBorder="1" applyAlignment="1">
      <alignment horizontal="right" vertical="center"/>
    </xf>
    <xf numFmtId="1" fontId="0" fillId="10" borderId="66" xfId="0" applyNumberFormat="1" applyFill="1" applyBorder="1" applyAlignment="1">
      <alignment horizontal="right"/>
    </xf>
    <xf numFmtId="1" fontId="0" fillId="5" borderId="66" xfId="0" applyNumberFormat="1" applyFill="1" applyBorder="1" applyAlignment="1">
      <alignment horizontal="right"/>
    </xf>
    <xf numFmtId="1" fontId="54" fillId="34" borderId="66" xfId="0" applyNumberFormat="1" applyFont="1" applyFill="1" applyBorder="1" applyAlignment="1">
      <alignment horizontal="right"/>
    </xf>
    <xf numFmtId="1" fontId="0" fillId="4" borderId="66" xfId="0" applyNumberFormat="1" applyFill="1" applyBorder="1" applyAlignment="1">
      <alignment horizontal="right"/>
    </xf>
    <xf numFmtId="1" fontId="0" fillId="35" borderId="76" xfId="0" applyNumberFormat="1" applyFill="1" applyBorder="1" applyAlignment="1">
      <alignment horizontal="right"/>
    </xf>
    <xf numFmtId="2" fontId="0" fillId="0" borderId="0" xfId="0" applyNumberFormat="1" applyFill="1" applyBorder="1" applyAlignment="1">
      <alignment horizontal="right"/>
    </xf>
    <xf numFmtId="2" fontId="0" fillId="0" borderId="12" xfId="0" applyNumberFormat="1" applyFont="1" applyFill="1" applyBorder="1" applyAlignment="1">
      <alignment horizontal="center"/>
    </xf>
    <xf numFmtId="2" fontId="0" fillId="0" borderId="13" xfId="0" applyNumberFormat="1" applyFont="1" applyFill="1" applyBorder="1" applyAlignment="1">
      <alignment horizontal="center" vertical="center"/>
    </xf>
    <xf numFmtId="2" fontId="0" fillId="0" borderId="14" xfId="0" applyNumberFormat="1" applyFont="1" applyFill="1" applyBorder="1" applyAlignment="1">
      <alignment horizontal="center" vertical="center"/>
    </xf>
    <xf numFmtId="2" fontId="0" fillId="0" borderId="15" xfId="0" applyNumberFormat="1" applyFill="1" applyBorder="1" applyAlignment="1">
      <alignment horizontal="center"/>
    </xf>
    <xf numFmtId="2" fontId="0" fillId="0" borderId="1" xfId="0" applyNumberFormat="1" applyFill="1" applyBorder="1" applyAlignment="1">
      <alignment horizontal="center" vertical="center"/>
    </xf>
    <xf numFmtId="2" fontId="0" fillId="0" borderId="16" xfId="0" applyNumberForma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right" vertical="center"/>
    </xf>
    <xf numFmtId="2" fontId="0" fillId="0" borderId="66" xfId="0" applyNumberFormat="1" applyFill="1" applyBorder="1"/>
    <xf numFmtId="2" fontId="0" fillId="0" borderId="1" xfId="0" applyNumberFormat="1" applyFill="1" applyBorder="1"/>
    <xf numFmtId="2" fontId="0" fillId="0" borderId="16" xfId="0" applyNumberFormat="1" applyFill="1" applyBorder="1"/>
    <xf numFmtId="2" fontId="0" fillId="0" borderId="15" xfId="0" applyNumberFormat="1" applyFill="1" applyBorder="1"/>
    <xf numFmtId="2" fontId="52" fillId="0" borderId="0" xfId="0" applyNumberFormat="1" applyFont="1" applyFill="1" applyBorder="1" applyAlignment="1">
      <alignment horizontal="right" vertical="center"/>
    </xf>
    <xf numFmtId="2" fontId="0" fillId="22" borderId="66" xfId="0" applyNumberFormat="1" applyFill="1" applyBorder="1"/>
    <xf numFmtId="2" fontId="0" fillId="22" borderId="1" xfId="0" applyNumberFormat="1" applyFill="1" applyBorder="1"/>
    <xf numFmtId="2" fontId="0" fillId="22" borderId="16" xfId="0" applyNumberFormat="1" applyFill="1" applyBorder="1"/>
    <xf numFmtId="2" fontId="0" fillId="11" borderId="66" xfId="0" applyNumberFormat="1" applyFill="1" applyBorder="1"/>
    <xf numFmtId="2" fontId="0" fillId="11" borderId="1" xfId="0" applyNumberFormat="1" applyFill="1" applyBorder="1"/>
    <xf numFmtId="2" fontId="0" fillId="11" borderId="16" xfId="0" applyNumberFormat="1" applyFill="1" applyBorder="1"/>
    <xf numFmtId="2" fontId="0" fillId="36" borderId="66" xfId="0" applyNumberFormat="1" applyFill="1" applyBorder="1"/>
    <xf numFmtId="2" fontId="0" fillId="36" borderId="1" xfId="0" applyNumberFormat="1" applyFill="1" applyBorder="1"/>
    <xf numFmtId="2" fontId="0" fillId="36" borderId="16" xfId="0" applyNumberFormat="1" applyFill="1" applyBorder="1"/>
    <xf numFmtId="2" fontId="0" fillId="37" borderId="66" xfId="0" applyNumberFormat="1" applyFill="1" applyBorder="1"/>
    <xf numFmtId="2" fontId="0" fillId="37" borderId="1" xfId="0" applyNumberFormat="1" applyFill="1" applyBorder="1"/>
    <xf numFmtId="2" fontId="0" fillId="37" borderId="16" xfId="0" applyNumberFormat="1" applyFill="1" applyBorder="1"/>
    <xf numFmtId="2" fontId="54" fillId="0" borderId="0" xfId="0" applyNumberFormat="1" applyFont="1" applyFill="1" applyBorder="1" applyAlignment="1">
      <alignment horizontal="right" vertical="center"/>
    </xf>
    <xf numFmtId="2" fontId="0" fillId="0" borderId="18" xfId="0" applyNumberFormat="1" applyFill="1" applyBorder="1" applyAlignment="1">
      <alignment horizontal="right" vertical="center"/>
    </xf>
    <xf numFmtId="2" fontId="0" fillId="0" borderId="19" xfId="0" applyNumberFormat="1" applyFill="1" applyBorder="1" applyAlignment="1">
      <alignment horizontal="right" vertical="center"/>
    </xf>
    <xf numFmtId="2" fontId="0" fillId="0" borderId="76" xfId="0" applyNumberFormat="1" applyFill="1" applyBorder="1"/>
    <xf numFmtId="2" fontId="0" fillId="0" borderId="18" xfId="0" applyNumberFormat="1" applyFill="1" applyBorder="1"/>
    <xf numFmtId="2" fontId="0" fillId="0" borderId="19" xfId="0" applyNumberFormat="1" applyFill="1" applyBorder="1"/>
    <xf numFmtId="1" fontId="52" fillId="22" borderId="16" xfId="0" applyNumberFormat="1" applyFont="1" applyFill="1" applyBorder="1" applyAlignment="1">
      <alignment horizontal="right" vertical="center"/>
    </xf>
    <xf numFmtId="1" fontId="0" fillId="12" borderId="11" xfId="0" applyNumberFormat="1" applyFill="1" applyBorder="1" applyAlignment="1">
      <alignment horizontal="center" vertical="center"/>
    </xf>
    <xf numFmtId="1" fontId="0" fillId="12" borderId="20" xfId="0" applyNumberFormat="1" applyFill="1" applyBorder="1" applyAlignment="1">
      <alignment horizontal="center" vertical="center"/>
    </xf>
    <xf numFmtId="1" fontId="0" fillId="12" borderId="26" xfId="0" applyNumberFormat="1" applyFill="1" applyBorder="1" applyAlignment="1">
      <alignment horizontal="center" vertical="center"/>
    </xf>
    <xf numFmtId="1" fontId="0" fillId="0" borderId="77" xfId="0" applyNumberFormat="1" applyFill="1" applyBorder="1" applyAlignment="1">
      <alignment horizontal="right"/>
    </xf>
    <xf numFmtId="1" fontId="0" fillId="0" borderId="51" xfId="0" applyNumberFormat="1" applyFill="1" applyBorder="1" applyAlignment="1">
      <alignment horizontal="right"/>
    </xf>
    <xf numFmtId="1" fontId="54" fillId="0" borderId="66" xfId="0" applyNumberFormat="1" applyFont="1" applyFill="1" applyBorder="1" applyAlignment="1">
      <alignment horizontal="right"/>
    </xf>
    <xf numFmtId="1" fontId="0" fillId="12" borderId="47" xfId="0" applyNumberFormat="1" applyFill="1" applyBorder="1" applyAlignment="1">
      <alignment horizontal="center" vertical="center"/>
    </xf>
    <xf numFmtId="1" fontId="49" fillId="12" borderId="70" xfId="0" applyNumberFormat="1" applyFont="1" applyFill="1" applyBorder="1" applyAlignment="1">
      <alignment vertical="center"/>
    </xf>
    <xf numFmtId="1" fontId="49" fillId="12" borderId="75" xfId="0" applyNumberFormat="1" applyFont="1" applyFill="1" applyBorder="1" applyAlignment="1">
      <alignment vertical="center"/>
    </xf>
    <xf numFmtId="1" fontId="49" fillId="12" borderId="25" xfId="0" applyNumberFormat="1" applyFont="1" applyFill="1" applyBorder="1" applyAlignment="1">
      <alignment vertical="center"/>
    </xf>
    <xf numFmtId="165" fontId="0" fillId="12" borderId="0" xfId="0" applyFill="1" applyProtection="1">
      <protection hidden="1"/>
    </xf>
    <xf numFmtId="165" fontId="0" fillId="12" borderId="0" xfId="0" applyFill="1" applyAlignment="1" applyProtection="1">
      <alignment horizontal="center"/>
      <protection hidden="1"/>
    </xf>
    <xf numFmtId="165" fontId="0" fillId="12" borderId="11" xfId="0" applyFill="1" applyBorder="1" applyAlignment="1" applyProtection="1">
      <alignment horizontal="right" wrapText="1"/>
      <protection hidden="1"/>
    </xf>
    <xf numFmtId="1" fontId="49" fillId="22" borderId="61" xfId="0" applyNumberFormat="1" applyFont="1" applyFill="1" applyBorder="1" applyAlignment="1" applyProtection="1">
      <alignment horizontal="right"/>
      <protection locked="0"/>
    </xf>
    <xf numFmtId="1" fontId="49" fillId="12" borderId="0" xfId="0" applyNumberFormat="1" applyFont="1" applyFill="1" applyBorder="1" applyProtection="1">
      <protection hidden="1"/>
    </xf>
    <xf numFmtId="165" fontId="49" fillId="12" borderId="0" xfId="0" applyFont="1" applyFill="1" applyProtection="1">
      <protection hidden="1"/>
    </xf>
    <xf numFmtId="1" fontId="0" fillId="12" borderId="0" xfId="0" applyNumberFormat="1" applyFill="1" applyBorder="1" applyProtection="1">
      <protection hidden="1"/>
    </xf>
    <xf numFmtId="1" fontId="49" fillId="22" borderId="40" xfId="0" applyNumberFormat="1" applyFont="1" applyFill="1" applyBorder="1" applyAlignment="1" applyProtection="1">
      <alignment horizontal="right"/>
      <protection locked="0"/>
    </xf>
    <xf numFmtId="165" fontId="49" fillId="12" borderId="39" xfId="0" applyFont="1" applyFill="1" applyBorder="1" applyAlignment="1" applyProtection="1">
      <alignment horizontal="right"/>
      <protection hidden="1"/>
    </xf>
    <xf numFmtId="1" fontId="49" fillId="12" borderId="62" xfId="0" applyNumberFormat="1" applyFont="1" applyFill="1" applyBorder="1" applyAlignment="1" applyProtection="1">
      <alignment horizontal="right"/>
      <protection hidden="1"/>
    </xf>
    <xf numFmtId="165" fontId="49" fillId="12" borderId="0" xfId="0" applyFont="1" applyFill="1" applyBorder="1" applyAlignment="1" applyProtection="1">
      <alignment horizontal="right"/>
      <protection hidden="1"/>
    </xf>
    <xf numFmtId="1" fontId="49" fillId="12" borderId="0" xfId="0" applyNumberFormat="1" applyFont="1" applyFill="1" applyBorder="1" applyAlignment="1" applyProtection="1">
      <alignment horizontal="right"/>
      <protection hidden="1"/>
    </xf>
    <xf numFmtId="1" fontId="49" fillId="12" borderId="12" xfId="0" applyNumberFormat="1" applyFont="1" applyFill="1" applyBorder="1" applyAlignment="1" applyProtection="1">
      <alignment horizontal="right"/>
      <protection hidden="1"/>
    </xf>
    <xf numFmtId="165" fontId="49" fillId="12" borderId="15" xfId="0" applyFont="1" applyFill="1" applyBorder="1" applyAlignment="1" applyProtection="1">
      <alignment horizontal="right"/>
      <protection hidden="1"/>
    </xf>
    <xf numFmtId="1" fontId="56" fillId="12" borderId="0" xfId="0" applyNumberFormat="1" applyFont="1" applyFill="1" applyProtection="1">
      <protection hidden="1"/>
    </xf>
    <xf numFmtId="165" fontId="49" fillId="12" borderId="17" xfId="0" applyFont="1" applyFill="1" applyBorder="1" applyAlignment="1" applyProtection="1">
      <alignment horizontal="right"/>
      <protection hidden="1"/>
    </xf>
    <xf numFmtId="165" fontId="49" fillId="12" borderId="20" xfId="0" applyFont="1" applyFill="1" applyBorder="1" applyAlignment="1" applyProtection="1">
      <alignment horizontal="right"/>
      <protection hidden="1"/>
    </xf>
    <xf numFmtId="1" fontId="49" fillId="22" borderId="20" xfId="0" applyNumberFormat="1" applyFont="1" applyFill="1" applyBorder="1" applyAlignment="1" applyProtection="1">
      <alignment horizontal="right"/>
      <protection locked="0"/>
    </xf>
    <xf numFmtId="165" fontId="49" fillId="12" borderId="0" xfId="0" applyFont="1" applyFill="1" applyBorder="1" applyAlignment="1" applyProtection="1">
      <alignment horizontal="center" vertical="center"/>
      <protection hidden="1"/>
    </xf>
    <xf numFmtId="165" fontId="49" fillId="12" borderId="37" xfId="0" applyFont="1" applyFill="1" applyBorder="1" applyAlignment="1" applyProtection="1">
      <alignment horizontal="center" vertical="center"/>
      <protection hidden="1"/>
    </xf>
    <xf numFmtId="165" fontId="49" fillId="12" borderId="39" xfId="0" applyFont="1" applyFill="1" applyBorder="1" applyAlignment="1" applyProtection="1">
      <alignment horizontal="center" vertical="center"/>
      <protection hidden="1"/>
    </xf>
    <xf numFmtId="1" fontId="49" fillId="29" borderId="58" xfId="0" applyNumberFormat="1" applyFont="1" applyFill="1" applyBorder="1" applyAlignment="1" applyProtection="1">
      <alignment horizontal="right" vertical="center"/>
      <protection hidden="1"/>
    </xf>
    <xf numFmtId="1" fontId="49" fillId="31" borderId="1" xfId="0" applyNumberFormat="1" applyFont="1" applyFill="1" applyBorder="1" applyAlignment="1" applyProtection="1">
      <alignment horizontal="right" vertical="center"/>
      <protection hidden="1"/>
    </xf>
    <xf numFmtId="1" fontId="49" fillId="9" borderId="66" xfId="0" applyNumberFormat="1" applyFont="1" applyFill="1" applyBorder="1" applyProtection="1">
      <protection hidden="1"/>
    </xf>
    <xf numFmtId="1" fontId="49" fillId="9" borderId="1" xfId="0" applyNumberFormat="1" applyFont="1" applyFill="1" applyBorder="1" applyAlignment="1" applyProtection="1">
      <alignment horizontal="center" vertical="center"/>
      <protection hidden="1"/>
    </xf>
    <xf numFmtId="1" fontId="49" fillId="9" borderId="16" xfId="0" applyNumberFormat="1" applyFont="1" applyFill="1" applyBorder="1" applyAlignment="1" applyProtection="1">
      <alignment horizontal="center" vertical="center"/>
      <protection hidden="1"/>
    </xf>
    <xf numFmtId="1" fontId="49" fillId="32" borderId="1" xfId="0" applyNumberFormat="1" applyFont="1" applyFill="1" applyBorder="1" applyAlignment="1" applyProtection="1">
      <alignment horizontal="right"/>
      <protection hidden="1"/>
    </xf>
    <xf numFmtId="1" fontId="49" fillId="33" borderId="66" xfId="0" applyNumberFormat="1" applyFont="1" applyFill="1" applyBorder="1" applyProtection="1">
      <protection hidden="1"/>
    </xf>
    <xf numFmtId="1" fontId="49" fillId="33" borderId="1" xfId="0" applyNumberFormat="1" applyFont="1" applyFill="1" applyBorder="1" applyAlignment="1" applyProtection="1">
      <alignment horizontal="center" vertical="center"/>
      <protection hidden="1"/>
    </xf>
    <xf numFmtId="1" fontId="57" fillId="33" borderId="1" xfId="0" applyNumberFormat="1" applyFont="1" applyFill="1" applyBorder="1" applyAlignment="1" applyProtection="1">
      <alignment horizontal="center" vertical="center"/>
      <protection hidden="1"/>
    </xf>
    <xf numFmtId="1" fontId="49" fillId="37" borderId="66" xfId="0" applyNumberFormat="1" applyFont="1" applyFill="1" applyBorder="1" applyProtection="1">
      <protection hidden="1"/>
    </xf>
    <xf numFmtId="1" fontId="49" fillId="37" borderId="1" xfId="0" applyNumberFormat="1" applyFont="1" applyFill="1" applyBorder="1" applyAlignment="1" applyProtection="1">
      <alignment horizontal="center" vertical="center"/>
      <protection hidden="1"/>
    </xf>
    <xf numFmtId="1" fontId="49" fillId="37" borderId="16" xfId="0" applyNumberFormat="1" applyFont="1" applyFill="1" applyBorder="1" applyAlignment="1" applyProtection="1">
      <alignment horizontal="center" vertical="center"/>
      <protection hidden="1"/>
    </xf>
    <xf numFmtId="1" fontId="49" fillId="23" borderId="66" xfId="0" applyNumberFormat="1" applyFont="1" applyFill="1" applyBorder="1" applyProtection="1">
      <protection hidden="1"/>
    </xf>
    <xf numFmtId="1" fontId="58" fillId="23" borderId="1" xfId="0" applyNumberFormat="1" applyFont="1" applyFill="1" applyBorder="1" applyAlignment="1" applyProtection="1">
      <alignment horizontal="center" vertical="center"/>
      <protection hidden="1"/>
    </xf>
    <xf numFmtId="1" fontId="57" fillId="23" borderId="1" xfId="0" applyNumberFormat="1" applyFont="1" applyFill="1" applyBorder="1" applyAlignment="1" applyProtection="1">
      <alignment horizontal="center" vertical="center"/>
      <protection hidden="1"/>
    </xf>
    <xf numFmtId="1" fontId="49" fillId="23" borderId="1" xfId="0" applyNumberFormat="1" applyFont="1" applyFill="1" applyBorder="1" applyAlignment="1" applyProtection="1">
      <alignment horizontal="center" vertical="center"/>
      <protection hidden="1"/>
    </xf>
    <xf numFmtId="1" fontId="57" fillId="23" borderId="16" xfId="0" applyNumberFormat="1" applyFont="1" applyFill="1" applyBorder="1" applyAlignment="1" applyProtection="1">
      <alignment horizontal="center" vertical="center"/>
      <protection hidden="1"/>
    </xf>
    <xf numFmtId="1" fontId="49" fillId="10" borderId="66" xfId="0" applyNumberFormat="1" applyFont="1" applyFill="1" applyBorder="1" applyProtection="1">
      <protection hidden="1"/>
    </xf>
    <xf numFmtId="1" fontId="49" fillId="10" borderId="1" xfId="0" applyNumberFormat="1" applyFont="1" applyFill="1" applyBorder="1" applyAlignment="1" applyProtection="1">
      <alignment horizontal="center" vertical="center"/>
      <protection hidden="1"/>
    </xf>
    <xf numFmtId="1" fontId="49" fillId="10" borderId="16" xfId="0" applyNumberFormat="1" applyFont="1" applyFill="1" applyBorder="1" applyAlignment="1" applyProtection="1">
      <alignment horizontal="center" vertical="center"/>
      <protection hidden="1"/>
    </xf>
    <xf numFmtId="1" fontId="49" fillId="5" borderId="66" xfId="0" applyNumberFormat="1" applyFont="1" applyFill="1" applyBorder="1" applyProtection="1">
      <protection hidden="1"/>
    </xf>
    <xf numFmtId="1" fontId="49" fillId="5" borderId="1" xfId="0" applyNumberFormat="1" applyFont="1" applyFill="1" applyBorder="1" applyAlignment="1" applyProtection="1">
      <alignment horizontal="center" vertical="center"/>
      <protection hidden="1"/>
    </xf>
    <xf numFmtId="1" fontId="49" fillId="5" borderId="16" xfId="0" applyNumberFormat="1" applyFont="1" applyFill="1" applyBorder="1" applyAlignment="1" applyProtection="1">
      <alignment horizontal="center" vertical="center"/>
      <protection hidden="1"/>
    </xf>
    <xf numFmtId="1" fontId="49" fillId="34" borderId="66" xfId="0" applyNumberFormat="1" applyFont="1" applyFill="1" applyBorder="1" applyProtection="1">
      <protection hidden="1"/>
    </xf>
    <xf numFmtId="1" fontId="49" fillId="34" borderId="1" xfId="0" applyNumberFormat="1" applyFont="1" applyFill="1" applyBorder="1" applyAlignment="1" applyProtection="1">
      <alignment horizontal="center" vertical="center"/>
      <protection hidden="1"/>
    </xf>
    <xf numFmtId="1" fontId="49" fillId="34" borderId="16" xfId="0" applyNumberFormat="1" applyFont="1" applyFill="1" applyBorder="1" applyAlignment="1" applyProtection="1">
      <alignment horizontal="center" vertical="center"/>
      <protection hidden="1"/>
    </xf>
    <xf numFmtId="1" fontId="49" fillId="12" borderId="39" xfId="0" applyNumberFormat="1" applyFont="1" applyFill="1" applyBorder="1" applyProtection="1">
      <protection hidden="1"/>
    </xf>
    <xf numFmtId="1" fontId="49" fillId="4" borderId="66" xfId="0" applyNumberFormat="1" applyFont="1" applyFill="1" applyBorder="1" applyProtection="1">
      <protection hidden="1"/>
    </xf>
    <xf numFmtId="1" fontId="49" fillId="4" borderId="1" xfId="0" applyNumberFormat="1" applyFont="1" applyFill="1" applyBorder="1" applyAlignment="1" applyProtection="1">
      <alignment horizontal="center" vertical="center"/>
      <protection hidden="1"/>
    </xf>
    <xf numFmtId="1" fontId="49" fillId="4" borderId="16" xfId="0" applyNumberFormat="1" applyFont="1" applyFill="1" applyBorder="1" applyAlignment="1" applyProtection="1">
      <alignment horizontal="center" vertical="center"/>
      <protection hidden="1"/>
    </xf>
    <xf numFmtId="1" fontId="49" fillId="35" borderId="76" xfId="0" applyNumberFormat="1" applyFont="1" applyFill="1" applyBorder="1" applyProtection="1">
      <protection hidden="1"/>
    </xf>
    <xf numFmtId="1" fontId="49" fillId="35" borderId="18" xfId="0" applyNumberFormat="1" applyFont="1" applyFill="1" applyBorder="1" applyAlignment="1" applyProtection="1">
      <alignment horizontal="center" vertical="center"/>
      <protection hidden="1"/>
    </xf>
    <xf numFmtId="1" fontId="49" fillId="35" borderId="19" xfId="0" applyNumberFormat="1" applyFont="1" applyFill="1" applyBorder="1" applyAlignment="1" applyProtection="1">
      <alignment horizontal="center" vertical="center"/>
      <protection hidden="1"/>
    </xf>
    <xf numFmtId="1" fontId="49" fillId="12" borderId="0" xfId="0" applyNumberFormat="1" applyFont="1" applyFill="1" applyBorder="1" applyAlignment="1" applyProtection="1">
      <alignment horizontal="center" vertical="center"/>
      <protection hidden="1"/>
    </xf>
    <xf numFmtId="165" fontId="49" fillId="12" borderId="0" xfId="0" applyFont="1" applyFill="1" applyBorder="1" applyProtection="1">
      <protection hidden="1"/>
    </xf>
    <xf numFmtId="1" fontId="49" fillId="12" borderId="1" xfId="0" applyNumberFormat="1" applyFont="1" applyFill="1" applyBorder="1" applyAlignment="1" applyProtection="1">
      <alignment horizontal="center" vertical="center"/>
      <protection hidden="1"/>
    </xf>
    <xf numFmtId="1" fontId="49" fillId="12" borderId="16" xfId="0" applyNumberFormat="1" applyFont="1" applyFill="1" applyBorder="1" applyAlignment="1" applyProtection="1">
      <alignment horizontal="center" vertical="center"/>
      <protection hidden="1"/>
    </xf>
    <xf numFmtId="1" fontId="0" fillId="12" borderId="0" xfId="0" applyNumberFormat="1" applyFont="1" applyFill="1" applyBorder="1" applyAlignment="1" applyProtection="1">
      <alignment horizontal="center" vertical="center"/>
      <protection hidden="1"/>
    </xf>
    <xf numFmtId="2" fontId="49" fillId="12" borderId="0" xfId="0" applyNumberFormat="1" applyFont="1" applyFill="1" applyBorder="1" applyProtection="1">
      <protection hidden="1"/>
    </xf>
    <xf numFmtId="165" fontId="49" fillId="12" borderId="8" xfId="0" applyFont="1" applyFill="1" applyBorder="1" applyAlignment="1" applyProtection="1">
      <alignment horizontal="center" vertical="center"/>
      <protection hidden="1"/>
    </xf>
    <xf numFmtId="165" fontId="49" fillId="12" borderId="20" xfId="0" applyFont="1" applyFill="1" applyBorder="1" applyAlignment="1" applyProtection="1">
      <alignment horizontal="center" vertical="center"/>
      <protection hidden="1"/>
    </xf>
    <xf numFmtId="165" fontId="49" fillId="12" borderId="32" xfId="0" applyFont="1" applyFill="1" applyBorder="1" applyAlignment="1" applyProtection="1">
      <alignment vertical="center"/>
      <protection hidden="1"/>
    </xf>
    <xf numFmtId="165" fontId="49" fillId="12" borderId="33" xfId="0" applyFont="1" applyFill="1" applyBorder="1" applyAlignment="1" applyProtection="1">
      <alignment vertical="center"/>
      <protection hidden="1"/>
    </xf>
    <xf numFmtId="165" fontId="0" fillId="12" borderId="33" xfId="0" applyFill="1" applyBorder="1" applyAlignment="1" applyProtection="1">
      <alignment vertical="center"/>
      <protection hidden="1"/>
    </xf>
    <xf numFmtId="165" fontId="0" fillId="12" borderId="22" xfId="0" applyFill="1" applyBorder="1" applyAlignment="1" applyProtection="1">
      <alignment vertical="center"/>
      <protection hidden="1"/>
    </xf>
    <xf numFmtId="165" fontId="59" fillId="12" borderId="8" xfId="0" applyFont="1" applyFill="1" applyBorder="1" applyAlignment="1" applyProtection="1">
      <alignment horizontal="center" vertical="center"/>
      <protection hidden="1"/>
    </xf>
    <xf numFmtId="165" fontId="59" fillId="12" borderId="10" xfId="0" applyFont="1" applyFill="1" applyBorder="1" applyAlignment="1" applyProtection="1">
      <alignment horizontal="center" vertical="center"/>
      <protection hidden="1"/>
    </xf>
    <xf numFmtId="1" fontId="49" fillId="12" borderId="9" xfId="0" applyNumberFormat="1" applyFont="1" applyFill="1" applyBorder="1" applyAlignment="1">
      <alignment horizontal="center" vertical="center"/>
    </xf>
    <xf numFmtId="1" fontId="49" fillId="12" borderId="20" xfId="0" applyNumberFormat="1" applyFont="1" applyFill="1" applyBorder="1" applyAlignment="1">
      <alignment horizontal="center" vertical="center"/>
    </xf>
    <xf numFmtId="165" fontId="0" fillId="12" borderId="4" xfId="0" applyFill="1" applyBorder="1" applyAlignment="1" applyProtection="1">
      <alignment horizontal="right" wrapText="1"/>
      <protection hidden="1"/>
    </xf>
    <xf numFmtId="165" fontId="59" fillId="12" borderId="9" xfId="0" applyFont="1" applyFill="1" applyBorder="1" applyAlignment="1" applyProtection="1">
      <alignment horizontal="center" vertical="center"/>
      <protection hidden="1"/>
    </xf>
    <xf numFmtId="1" fontId="0" fillId="12" borderId="0" xfId="0" applyNumberFormat="1" applyFont="1" applyFill="1" applyBorder="1" applyProtection="1">
      <protection hidden="1"/>
    </xf>
    <xf numFmtId="1" fontId="0" fillId="12" borderId="0" xfId="0" applyNumberFormat="1" applyFill="1" applyProtection="1">
      <protection hidden="1"/>
    </xf>
    <xf numFmtId="2" fontId="49" fillId="12" borderId="20" xfId="0" applyNumberFormat="1" applyFont="1" applyFill="1" applyBorder="1" applyAlignment="1" applyProtection="1">
      <protection hidden="1"/>
    </xf>
    <xf numFmtId="2" fontId="0" fillId="12" borderId="0" xfId="0" applyNumberFormat="1" applyFill="1" applyProtection="1">
      <protection hidden="1"/>
    </xf>
    <xf numFmtId="2" fontId="49" fillId="12" borderId="20" xfId="0" applyNumberFormat="1" applyFont="1" applyFill="1" applyBorder="1" applyAlignment="1" applyProtection="1">
      <alignment horizontal="right"/>
      <protection hidden="1"/>
    </xf>
    <xf numFmtId="1" fontId="49" fillId="12" borderId="20" xfId="0" applyNumberFormat="1" applyFont="1" applyFill="1" applyBorder="1" applyAlignment="1" applyProtection="1">
      <alignment horizontal="right"/>
      <protection hidden="1"/>
    </xf>
    <xf numFmtId="1" fontId="49" fillId="12" borderId="47" xfId="0" applyNumberFormat="1" applyFont="1" applyFill="1" applyBorder="1" applyAlignment="1" applyProtection="1">
      <alignment horizontal="center" vertical="center"/>
      <protection hidden="1"/>
    </xf>
    <xf numFmtId="1" fontId="49" fillId="12" borderId="30" xfId="0" applyNumberFormat="1" applyFont="1" applyFill="1" applyBorder="1" applyAlignment="1" applyProtection="1">
      <alignment horizontal="center" vertical="center"/>
      <protection hidden="1"/>
    </xf>
    <xf numFmtId="1" fontId="49" fillId="12" borderId="30" xfId="0" applyNumberFormat="1" applyFont="1" applyFill="1" applyBorder="1" applyProtection="1">
      <protection hidden="1"/>
    </xf>
    <xf numFmtId="2" fontId="49" fillId="29" borderId="77" xfId="0" applyNumberFormat="1" applyFont="1" applyFill="1" applyBorder="1" applyAlignment="1" applyProtection="1">
      <alignment horizontal="right" vertical="center"/>
      <protection hidden="1"/>
    </xf>
    <xf numFmtId="2" fontId="49" fillId="29" borderId="58" xfId="0" applyNumberFormat="1" applyFont="1" applyFill="1" applyBorder="1" applyAlignment="1" applyProtection="1">
      <alignment horizontal="right" vertical="center"/>
      <protection hidden="1"/>
    </xf>
    <xf numFmtId="2" fontId="49" fillId="29" borderId="24" xfId="0" applyNumberFormat="1" applyFont="1" applyFill="1" applyBorder="1" applyAlignment="1" applyProtection="1">
      <alignment horizontal="right" vertical="center"/>
      <protection hidden="1"/>
    </xf>
    <xf numFmtId="2" fontId="0" fillId="29" borderId="58" xfId="0" applyNumberFormat="1" applyFont="1" applyFill="1" applyBorder="1" applyAlignment="1">
      <alignment horizontal="right" vertical="center"/>
    </xf>
    <xf numFmtId="2" fontId="49" fillId="31" borderId="66" xfId="0" applyNumberFormat="1" applyFont="1" applyFill="1" applyBorder="1" applyAlignment="1" applyProtection="1">
      <alignment horizontal="right" vertical="center"/>
      <protection hidden="1"/>
    </xf>
    <xf numFmtId="2" fontId="49" fillId="31" borderId="1" xfId="0" applyNumberFormat="1" applyFont="1" applyFill="1" applyBorder="1" applyAlignment="1" applyProtection="1">
      <alignment horizontal="right" vertical="center"/>
      <protection hidden="1"/>
    </xf>
    <xf numFmtId="2" fontId="49" fillId="31" borderId="16" xfId="0" applyNumberFormat="1" applyFont="1" applyFill="1" applyBorder="1" applyAlignment="1" applyProtection="1">
      <alignment horizontal="right" vertical="center"/>
      <protection hidden="1"/>
    </xf>
    <xf numFmtId="2" fontId="0" fillId="31" borderId="1" xfId="0" applyNumberFormat="1" applyFill="1" applyBorder="1" applyAlignment="1">
      <alignment horizontal="right" vertical="center"/>
    </xf>
    <xf numFmtId="2" fontId="49" fillId="9" borderId="66" xfId="0" applyNumberFormat="1" applyFont="1" applyFill="1" applyBorder="1" applyProtection="1">
      <protection hidden="1"/>
    </xf>
    <xf numFmtId="2" fontId="49" fillId="9" borderId="1" xfId="0" applyNumberFormat="1" applyFont="1" applyFill="1" applyBorder="1" applyProtection="1">
      <protection hidden="1"/>
    </xf>
    <xf numFmtId="2" fontId="49" fillId="9" borderId="16" xfId="0" applyNumberFormat="1" applyFont="1" applyFill="1" applyBorder="1" applyProtection="1">
      <protection hidden="1"/>
    </xf>
    <xf numFmtId="2" fontId="49" fillId="32" borderId="66" xfId="0" applyNumberFormat="1" applyFont="1" applyFill="1" applyBorder="1" applyAlignment="1" applyProtection="1">
      <alignment horizontal="right" vertical="center"/>
      <protection hidden="1"/>
    </xf>
    <xf numFmtId="2" fontId="49" fillId="32" borderId="1" xfId="0" applyNumberFormat="1" applyFont="1" applyFill="1" applyBorder="1" applyAlignment="1" applyProtection="1">
      <alignment horizontal="right" vertical="center"/>
      <protection hidden="1"/>
    </xf>
    <xf numFmtId="2" fontId="49" fillId="32" borderId="16" xfId="0" applyNumberFormat="1" applyFont="1" applyFill="1" applyBorder="1" applyAlignment="1" applyProtection="1">
      <alignment horizontal="right" vertical="center"/>
      <protection hidden="1"/>
    </xf>
    <xf numFmtId="2" fontId="0" fillId="32" borderId="1" xfId="0" applyNumberFormat="1" applyFill="1" applyBorder="1" applyAlignment="1">
      <alignment horizontal="right"/>
    </xf>
    <xf numFmtId="2" fontId="49" fillId="33" borderId="66" xfId="0" applyNumberFormat="1" applyFont="1" applyFill="1" applyBorder="1" applyProtection="1">
      <protection hidden="1"/>
    </xf>
    <xf numFmtId="2" fontId="49" fillId="33" borderId="1" xfId="0" applyNumberFormat="1" applyFont="1" applyFill="1" applyBorder="1" applyProtection="1">
      <protection hidden="1"/>
    </xf>
    <xf numFmtId="2" fontId="49" fillId="33" borderId="16" xfId="0" applyNumberFormat="1" applyFont="1" applyFill="1" applyBorder="1" applyProtection="1">
      <protection hidden="1"/>
    </xf>
    <xf numFmtId="2" fontId="49" fillId="37" borderId="66" xfId="0" applyNumberFormat="1" applyFont="1" applyFill="1" applyBorder="1" applyProtection="1">
      <protection hidden="1"/>
    </xf>
    <xf numFmtId="2" fontId="49" fillId="37" borderId="1" xfId="0" applyNumberFormat="1" applyFont="1" applyFill="1" applyBorder="1" applyProtection="1">
      <protection hidden="1"/>
    </xf>
    <xf numFmtId="2" fontId="49" fillId="37" borderId="16" xfId="0" applyNumberFormat="1" applyFont="1" applyFill="1" applyBorder="1" applyProtection="1">
      <protection hidden="1"/>
    </xf>
    <xf numFmtId="2" fontId="49" fillId="23" borderId="66" xfId="0" applyNumberFormat="1" applyFont="1" applyFill="1" applyBorder="1" applyProtection="1">
      <protection hidden="1"/>
    </xf>
    <xf numFmtId="2" fontId="49" fillId="23" borderId="1" xfId="0" applyNumberFormat="1" applyFont="1" applyFill="1" applyBorder="1" applyProtection="1">
      <protection hidden="1"/>
    </xf>
    <xf numFmtId="2" fontId="49" fillId="23" borderId="16" xfId="0" applyNumberFormat="1" applyFont="1" applyFill="1" applyBorder="1" applyProtection="1">
      <protection hidden="1"/>
    </xf>
    <xf numFmtId="2" fontId="49" fillId="10" borderId="66" xfId="0" applyNumberFormat="1" applyFont="1" applyFill="1" applyBorder="1" applyProtection="1">
      <protection hidden="1"/>
    </xf>
    <xf numFmtId="2" fontId="49" fillId="10" borderId="1" xfId="0" applyNumberFormat="1" applyFont="1" applyFill="1" applyBorder="1" applyProtection="1">
      <protection hidden="1"/>
    </xf>
    <xf numFmtId="2" fontId="49" fillId="10" borderId="16" xfId="0" applyNumberFormat="1" applyFont="1" applyFill="1" applyBorder="1" applyProtection="1">
      <protection hidden="1"/>
    </xf>
    <xf numFmtId="2" fontId="49" fillId="5" borderId="66" xfId="0" applyNumberFormat="1" applyFont="1" applyFill="1" applyBorder="1" applyProtection="1">
      <protection hidden="1"/>
    </xf>
    <xf numFmtId="2" fontId="49" fillId="5" borderId="1" xfId="0" applyNumberFormat="1" applyFont="1" applyFill="1" applyBorder="1" applyProtection="1">
      <protection hidden="1"/>
    </xf>
    <xf numFmtId="2" fontId="49" fillId="5" borderId="16" xfId="0" applyNumberFormat="1" applyFont="1" applyFill="1" applyBorder="1" applyProtection="1">
      <protection hidden="1"/>
    </xf>
    <xf numFmtId="2" fontId="49" fillId="34" borderId="66" xfId="0" applyNumberFormat="1" applyFont="1" applyFill="1" applyBorder="1" applyProtection="1">
      <protection hidden="1"/>
    </xf>
    <xf numFmtId="2" fontId="49" fillId="34" borderId="1" xfId="0" applyNumberFormat="1" applyFont="1" applyFill="1" applyBorder="1" applyProtection="1">
      <protection hidden="1"/>
    </xf>
    <xf numFmtId="2" fontId="49" fillId="34" borderId="16" xfId="0" applyNumberFormat="1" applyFont="1" applyFill="1" applyBorder="1" applyProtection="1">
      <protection hidden="1"/>
    </xf>
    <xf numFmtId="2" fontId="49" fillId="4" borderId="66" xfId="0" applyNumberFormat="1" applyFont="1" applyFill="1" applyBorder="1" applyProtection="1">
      <protection hidden="1"/>
    </xf>
    <xf numFmtId="2" fontId="49" fillId="4" borderId="1" xfId="0" applyNumberFormat="1" applyFont="1" applyFill="1" applyBorder="1" applyProtection="1">
      <protection hidden="1"/>
    </xf>
    <xf numFmtId="2" fontId="49" fillId="4" borderId="16" xfId="0" applyNumberFormat="1" applyFont="1" applyFill="1" applyBorder="1" applyProtection="1">
      <protection hidden="1"/>
    </xf>
    <xf numFmtId="2" fontId="49" fillId="35" borderId="76" xfId="0" applyNumberFormat="1" applyFont="1" applyFill="1" applyBorder="1" applyProtection="1">
      <protection hidden="1"/>
    </xf>
    <xf numFmtId="2" fontId="49" fillId="35" borderId="18" xfId="0" applyNumberFormat="1" applyFont="1" applyFill="1" applyBorder="1" applyProtection="1">
      <protection hidden="1"/>
    </xf>
    <xf numFmtId="2" fontId="49" fillId="35" borderId="19" xfId="0" applyNumberFormat="1" applyFont="1" applyFill="1" applyBorder="1" applyProtection="1">
      <protection hidden="1"/>
    </xf>
    <xf numFmtId="1" fontId="49" fillId="29" borderId="77" xfId="0" applyNumberFormat="1" applyFont="1" applyFill="1" applyBorder="1" applyAlignment="1" applyProtection="1">
      <alignment horizontal="right" vertical="center"/>
      <protection hidden="1"/>
    </xf>
    <xf numFmtId="1" fontId="49" fillId="29" borderId="24" xfId="0" applyNumberFormat="1" applyFont="1" applyFill="1" applyBorder="1" applyAlignment="1" applyProtection="1">
      <alignment horizontal="right" vertical="center"/>
      <protection hidden="1"/>
    </xf>
    <xf numFmtId="1" fontId="49" fillId="31" borderId="66" xfId="0" applyNumberFormat="1" applyFont="1" applyFill="1" applyBorder="1" applyAlignment="1" applyProtection="1">
      <alignment horizontal="right" vertical="center"/>
      <protection hidden="1"/>
    </xf>
    <xf numFmtId="1" fontId="49" fillId="31" borderId="16" xfId="0" applyNumberFormat="1" applyFont="1" applyFill="1" applyBorder="1" applyAlignment="1" applyProtection="1">
      <alignment horizontal="right" vertical="center"/>
      <protection hidden="1"/>
    </xf>
    <xf numFmtId="1" fontId="49" fillId="32" borderId="66" xfId="0" applyNumberFormat="1" applyFont="1" applyFill="1" applyBorder="1" applyAlignment="1" applyProtection="1">
      <alignment horizontal="right" vertical="center"/>
      <protection hidden="1"/>
    </xf>
    <xf numFmtId="1" fontId="49" fillId="32" borderId="1" xfId="0" applyNumberFormat="1" applyFont="1" applyFill="1" applyBorder="1" applyAlignment="1" applyProtection="1">
      <alignment horizontal="right" vertical="center"/>
      <protection hidden="1"/>
    </xf>
    <xf numFmtId="1" fontId="49" fillId="32" borderId="16" xfId="0" applyNumberFormat="1" applyFont="1" applyFill="1" applyBorder="1" applyAlignment="1" applyProtection="1">
      <alignment horizontal="right" vertical="center"/>
      <protection hidden="1"/>
    </xf>
    <xf numFmtId="1" fontId="57" fillId="33" borderId="16" xfId="0" applyNumberFormat="1" applyFont="1" applyFill="1" applyBorder="1" applyAlignment="1" applyProtection="1">
      <alignment horizontal="center" vertical="center"/>
      <protection hidden="1"/>
    </xf>
    <xf numFmtId="1" fontId="49" fillId="12" borderId="39" xfId="0" applyNumberFormat="1" applyFont="1" applyFill="1" applyBorder="1" applyAlignment="1" applyProtection="1">
      <alignment horizontal="center" vertical="center"/>
      <protection hidden="1"/>
    </xf>
    <xf numFmtId="1" fontId="49" fillId="12" borderId="13" xfId="0" applyNumberFormat="1" applyFont="1" applyFill="1" applyBorder="1" applyAlignment="1" applyProtection="1">
      <alignment horizontal="center" vertical="center"/>
      <protection hidden="1"/>
    </xf>
    <xf numFmtId="1" fontId="49" fillId="12" borderId="14" xfId="0" applyNumberFormat="1" applyFont="1" applyFill="1" applyBorder="1" applyAlignment="1" applyProtection="1">
      <alignment horizontal="center" vertical="center"/>
      <protection hidden="1"/>
    </xf>
    <xf numFmtId="1" fontId="49" fillId="12" borderId="37" xfId="0" applyNumberFormat="1" applyFont="1" applyFill="1" applyBorder="1" applyAlignment="1" applyProtection="1">
      <alignment horizontal="center" vertical="center"/>
      <protection hidden="1"/>
    </xf>
    <xf numFmtId="1" fontId="49" fillId="12" borderId="18" xfId="0" applyNumberFormat="1" applyFont="1" applyFill="1" applyBorder="1" applyAlignment="1" applyProtection="1">
      <alignment horizontal="center" vertical="center"/>
      <protection hidden="1"/>
    </xf>
    <xf numFmtId="1" fontId="49" fillId="12" borderId="19" xfId="0" applyNumberFormat="1" applyFont="1" applyFill="1" applyBorder="1" applyAlignment="1" applyProtection="1">
      <alignment horizontal="center" vertical="center"/>
      <protection hidden="1"/>
    </xf>
    <xf numFmtId="2" fontId="49" fillId="29" borderId="58" xfId="0" applyNumberFormat="1" applyFont="1" applyFill="1" applyBorder="1" applyAlignment="1" applyProtection="1">
      <alignment vertical="center"/>
      <protection hidden="1"/>
    </xf>
    <xf numFmtId="2" fontId="49" fillId="29" borderId="78" xfId="0" applyNumberFormat="1" applyFont="1" applyFill="1" applyBorder="1" applyAlignment="1" applyProtection="1">
      <alignment vertical="center"/>
      <protection hidden="1"/>
    </xf>
    <xf numFmtId="2" fontId="49" fillId="31" borderId="1" xfId="0" applyNumberFormat="1" applyFont="1" applyFill="1" applyBorder="1" applyAlignment="1" applyProtection="1">
      <alignment vertical="center"/>
      <protection hidden="1"/>
    </xf>
    <xf numFmtId="2" fontId="49" fillId="31" borderId="79" xfId="0" applyNumberFormat="1" applyFont="1" applyFill="1" applyBorder="1" applyAlignment="1" applyProtection="1">
      <alignment vertical="center"/>
      <protection hidden="1"/>
    </xf>
    <xf numFmtId="2" fontId="49" fillId="9" borderId="1" xfId="0" applyNumberFormat="1" applyFont="1" applyFill="1" applyBorder="1" applyAlignment="1" applyProtection="1">
      <alignment vertical="center"/>
      <protection hidden="1"/>
    </xf>
    <xf numFmtId="2" fontId="49" fillId="9" borderId="79" xfId="0" applyNumberFormat="1" applyFont="1" applyFill="1" applyBorder="1" applyAlignment="1" applyProtection="1">
      <alignment vertical="center"/>
      <protection hidden="1"/>
    </xf>
    <xf numFmtId="2" fontId="49" fillId="32" borderId="1" xfId="0" applyNumberFormat="1" applyFont="1" applyFill="1" applyBorder="1" applyAlignment="1" applyProtection="1">
      <alignment vertical="center"/>
      <protection hidden="1"/>
    </xf>
    <xf numFmtId="2" fontId="49" fillId="32" borderId="79" xfId="0" applyNumberFormat="1" applyFont="1" applyFill="1" applyBorder="1" applyAlignment="1" applyProtection="1">
      <alignment vertical="center"/>
      <protection hidden="1"/>
    </xf>
    <xf numFmtId="2" fontId="49" fillId="33" borderId="1" xfId="0" applyNumberFormat="1" applyFont="1" applyFill="1" applyBorder="1" applyAlignment="1" applyProtection="1">
      <alignment vertical="center"/>
      <protection hidden="1"/>
    </xf>
    <xf numFmtId="2" fontId="49" fillId="33" borderId="79" xfId="0" applyNumberFormat="1" applyFont="1" applyFill="1" applyBorder="1" applyAlignment="1" applyProtection="1">
      <alignment vertical="center"/>
      <protection hidden="1"/>
    </xf>
    <xf numFmtId="2" fontId="49" fillId="37" borderId="1" xfId="0" applyNumberFormat="1" applyFont="1" applyFill="1" applyBorder="1" applyAlignment="1" applyProtection="1">
      <alignment vertical="center"/>
      <protection hidden="1"/>
    </xf>
    <xf numFmtId="2" fontId="49" fillId="37" borderId="79" xfId="0" applyNumberFormat="1" applyFont="1" applyFill="1" applyBorder="1" applyAlignment="1" applyProtection="1">
      <alignment vertical="center"/>
      <protection hidden="1"/>
    </xf>
    <xf numFmtId="2" fontId="49" fillId="23" borderId="1" xfId="0" applyNumberFormat="1" applyFont="1" applyFill="1" applyBorder="1" applyAlignment="1" applyProtection="1">
      <alignment vertical="center"/>
      <protection hidden="1"/>
    </xf>
    <xf numFmtId="2" fontId="49" fillId="23" borderId="79" xfId="0" applyNumberFormat="1" applyFont="1" applyFill="1" applyBorder="1" applyAlignment="1" applyProtection="1">
      <alignment vertical="center"/>
      <protection hidden="1"/>
    </xf>
    <xf numFmtId="2" fontId="49" fillId="23" borderId="1" xfId="0" applyNumberFormat="1" applyFont="1" applyFill="1" applyBorder="1" applyAlignment="1" applyProtection="1">
      <protection hidden="1"/>
    </xf>
    <xf numFmtId="2" fontId="49" fillId="23" borderId="79" xfId="0" applyNumberFormat="1" applyFont="1" applyFill="1" applyBorder="1" applyAlignment="1" applyProtection="1">
      <protection hidden="1"/>
    </xf>
    <xf numFmtId="2" fontId="49" fillId="23" borderId="18" xfId="0" applyNumberFormat="1" applyFont="1" applyFill="1" applyBorder="1" applyAlignment="1" applyProtection="1">
      <protection hidden="1"/>
    </xf>
    <xf numFmtId="2" fontId="49" fillId="23" borderId="80" xfId="0" applyNumberFormat="1" applyFont="1" applyFill="1" applyBorder="1" applyAlignment="1" applyProtection="1">
      <protection hidden="1"/>
    </xf>
    <xf numFmtId="1" fontId="49" fillId="12" borderId="32" xfId="0" applyNumberFormat="1" applyFont="1" applyFill="1" applyBorder="1" applyAlignment="1" applyProtection="1">
      <alignment horizontal="right" vertical="center"/>
      <protection hidden="1"/>
    </xf>
    <xf numFmtId="1" fontId="49" fillId="12" borderId="33" xfId="0" applyNumberFormat="1" applyFont="1" applyFill="1" applyBorder="1" applyProtection="1">
      <protection hidden="1"/>
    </xf>
    <xf numFmtId="1" fontId="49" fillId="12" borderId="57" xfId="0" applyNumberFormat="1" applyFont="1" applyFill="1" applyBorder="1" applyProtection="1">
      <protection hidden="1"/>
    </xf>
    <xf numFmtId="1" fontId="49" fillId="29" borderId="21" xfId="0" applyNumberFormat="1" applyFont="1" applyFill="1" applyBorder="1" applyAlignment="1" applyProtection="1">
      <alignment horizontal="center" vertical="center"/>
      <protection hidden="1"/>
    </xf>
    <xf numFmtId="1" fontId="49" fillId="31" borderId="15" xfId="0" applyNumberFormat="1" applyFont="1" applyFill="1" applyBorder="1" applyAlignment="1" applyProtection="1">
      <alignment horizontal="center" vertical="center"/>
      <protection hidden="1"/>
    </xf>
    <xf numFmtId="1" fontId="49" fillId="9" borderId="15" xfId="0" applyNumberFormat="1" applyFont="1" applyFill="1" applyBorder="1" applyAlignment="1" applyProtection="1">
      <alignment horizontal="center" vertical="center"/>
      <protection hidden="1"/>
    </xf>
    <xf numFmtId="1" fontId="49" fillId="32" borderId="15" xfId="0" applyNumberFormat="1" applyFont="1" applyFill="1" applyBorder="1" applyAlignment="1" applyProtection="1">
      <alignment horizontal="center" vertical="center"/>
      <protection hidden="1"/>
    </xf>
    <xf numFmtId="1" fontId="49" fillId="33" borderId="15" xfId="0" applyNumberFormat="1" applyFont="1" applyFill="1" applyBorder="1" applyAlignment="1" applyProtection="1">
      <alignment horizontal="center" vertical="center"/>
      <protection hidden="1"/>
    </xf>
    <xf numFmtId="1" fontId="49" fillId="37" borderId="15" xfId="0" applyNumberFormat="1" applyFont="1" applyFill="1" applyBorder="1" applyAlignment="1" applyProtection="1">
      <alignment horizontal="center" vertical="center"/>
      <protection hidden="1"/>
    </xf>
    <xf numFmtId="1" fontId="49" fillId="23" borderId="15" xfId="0" applyNumberFormat="1" applyFont="1" applyFill="1" applyBorder="1" applyAlignment="1" applyProtection="1">
      <alignment horizontal="center" vertical="center"/>
      <protection hidden="1"/>
    </xf>
    <xf numFmtId="1" fontId="49" fillId="12" borderId="32" xfId="0" applyNumberFormat="1" applyFont="1" applyFill="1" applyBorder="1" applyAlignment="1" applyProtection="1">
      <alignment vertical="center"/>
      <protection hidden="1"/>
    </xf>
    <xf numFmtId="1" fontId="49" fillId="12" borderId="33" xfId="0" applyNumberFormat="1" applyFont="1" applyFill="1" applyBorder="1" applyAlignment="1" applyProtection="1">
      <alignment vertical="center"/>
      <protection hidden="1"/>
    </xf>
    <xf numFmtId="1" fontId="0" fillId="12" borderId="33" xfId="0" applyNumberFormat="1" applyFill="1" applyBorder="1" applyAlignment="1" applyProtection="1">
      <alignment vertical="center"/>
      <protection hidden="1"/>
    </xf>
    <xf numFmtId="1" fontId="0" fillId="12" borderId="22" xfId="0" applyNumberFormat="1" applyFill="1" applyBorder="1" applyAlignment="1" applyProtection="1">
      <alignment vertical="center"/>
      <protection hidden="1"/>
    </xf>
    <xf numFmtId="165" fontId="59" fillId="12" borderId="10" xfId="0" applyFont="1" applyFill="1" applyBorder="1" applyAlignment="1" applyProtection="1">
      <alignment vertical="center"/>
      <protection hidden="1"/>
    </xf>
    <xf numFmtId="165" fontId="3" fillId="40" borderId="0" xfId="0" applyFont="1" applyFill="1" applyAlignment="1">
      <alignment vertical="center"/>
    </xf>
    <xf numFmtId="165" fontId="19" fillId="40" borderId="0" xfId="1" applyFont="1" applyFill="1" applyAlignment="1">
      <alignment horizontal="left" vertical="center"/>
    </xf>
    <xf numFmtId="165" fontId="5" fillId="40" borderId="0" xfId="1" applyFont="1" applyFill="1"/>
    <xf numFmtId="165" fontId="49" fillId="29" borderId="61" xfId="0" applyFont="1" applyFill="1" applyBorder="1" applyAlignment="1">
      <alignment horizontal="center" vertical="center"/>
    </xf>
    <xf numFmtId="1" fontId="49" fillId="29" borderId="61" xfId="0" applyNumberFormat="1" applyFont="1" applyFill="1" applyBorder="1" applyAlignment="1">
      <alignment horizontal="center" vertical="center"/>
    </xf>
    <xf numFmtId="2" fontId="0" fillId="0" borderId="0" xfId="0" applyNumberFormat="1" applyFill="1" applyBorder="1"/>
    <xf numFmtId="165" fontId="0" fillId="12" borderId="8" xfId="0" applyFill="1" applyBorder="1" applyAlignment="1">
      <alignment horizontal="center" vertical="center"/>
    </xf>
    <xf numFmtId="1" fontId="0" fillId="12" borderId="12" xfId="0" applyNumberFormat="1" applyFill="1" applyBorder="1" applyAlignment="1">
      <alignment horizontal="center" vertical="center"/>
    </xf>
    <xf numFmtId="1" fontId="52" fillId="12" borderId="1" xfId="0" applyNumberFormat="1" applyFont="1" applyFill="1" applyBorder="1" applyAlignment="1">
      <alignment horizontal="center" vertical="center"/>
    </xf>
    <xf numFmtId="1" fontId="0" fillId="12" borderId="15" xfId="0" applyNumberFormat="1" applyFill="1" applyBorder="1" applyAlignment="1">
      <alignment horizontal="center" vertical="center"/>
    </xf>
    <xf numFmtId="1" fontId="53" fillId="12" borderId="60" xfId="0" applyNumberFormat="1" applyFont="1" applyFill="1" applyBorder="1" applyAlignment="1">
      <alignment horizontal="center" vertical="center"/>
    </xf>
    <xf numFmtId="1" fontId="52" fillId="12" borderId="60" xfId="0" applyNumberFormat="1" applyFont="1" applyFill="1" applyBorder="1" applyAlignment="1">
      <alignment horizontal="center" vertical="center"/>
    </xf>
    <xf numFmtId="1" fontId="52" fillId="12" borderId="63" xfId="0" applyNumberFormat="1" applyFont="1" applyFill="1" applyBorder="1" applyAlignment="1">
      <alignment horizontal="center" vertical="center"/>
    </xf>
    <xf numFmtId="1" fontId="0" fillId="12" borderId="17" xfId="0" applyNumberFormat="1" applyFill="1" applyBorder="1" applyAlignment="1">
      <alignment horizontal="center" vertical="center"/>
    </xf>
    <xf numFmtId="1" fontId="0" fillId="12" borderId="63" xfId="0" applyNumberFormat="1" applyFill="1" applyBorder="1" applyAlignment="1">
      <alignment horizontal="center" vertical="center"/>
    </xf>
    <xf numFmtId="1" fontId="0" fillId="12" borderId="53" xfId="0" applyNumberFormat="1" applyFill="1" applyBorder="1" applyAlignment="1">
      <alignment horizontal="center" vertical="center"/>
    </xf>
    <xf numFmtId="1" fontId="0" fillId="12" borderId="48" xfId="0" applyNumberFormat="1" applyFill="1" applyBorder="1" applyAlignment="1">
      <alignment horizontal="center" vertical="center"/>
    </xf>
    <xf numFmtId="1" fontId="0" fillId="12" borderId="55" xfId="0" applyNumberFormat="1" applyFill="1" applyBorder="1" applyAlignment="1">
      <alignment horizontal="center" vertical="center"/>
    </xf>
    <xf numFmtId="1" fontId="0" fillId="12" borderId="54" xfId="0" applyNumberFormat="1" applyFill="1" applyBorder="1" applyAlignment="1">
      <alignment horizontal="center" vertical="center"/>
    </xf>
    <xf numFmtId="1" fontId="49" fillId="12" borderId="37" xfId="0" applyNumberFormat="1" applyFont="1" applyFill="1" applyBorder="1"/>
    <xf numFmtId="1" fontId="49" fillId="12" borderId="30" xfId="0" applyNumberFormat="1" applyFont="1" applyFill="1" applyBorder="1"/>
    <xf numFmtId="1" fontId="49" fillId="12" borderId="39" xfId="0" applyNumberFormat="1" applyFont="1" applyFill="1" applyBorder="1"/>
    <xf numFmtId="1" fontId="49" fillId="12" borderId="47" xfId="0" applyNumberFormat="1" applyFont="1" applyFill="1" applyBorder="1"/>
    <xf numFmtId="165" fontId="49" fillId="12" borderId="3" xfId="0" applyFont="1" applyFill="1" applyBorder="1" applyAlignment="1">
      <alignment horizontal="center" vertical="center"/>
    </xf>
    <xf numFmtId="165" fontId="49" fillId="12" borderId="6" xfId="0" applyFont="1" applyFill="1" applyBorder="1" applyAlignment="1">
      <alignment horizontal="center" vertical="center"/>
    </xf>
    <xf numFmtId="165" fontId="49" fillId="12" borderId="71" xfId="0" applyFont="1" applyFill="1" applyBorder="1" applyAlignment="1">
      <alignment horizontal="center" vertical="center"/>
    </xf>
    <xf numFmtId="165" fontId="49" fillId="12" borderId="73" xfId="0" applyFont="1" applyFill="1" applyBorder="1" applyAlignment="1">
      <alignment horizontal="center" vertical="center"/>
    </xf>
    <xf numFmtId="165" fontId="49" fillId="12" borderId="72" xfId="0" applyFont="1" applyFill="1" applyBorder="1" applyAlignment="1">
      <alignment horizontal="center" vertical="center"/>
    </xf>
    <xf numFmtId="165" fontId="49" fillId="12" borderId="64" xfId="0" applyFont="1" applyFill="1" applyBorder="1" applyAlignment="1">
      <alignment horizontal="center" vertical="center"/>
    </xf>
    <xf numFmtId="1" fontId="24" fillId="12" borderId="0" xfId="0" applyNumberFormat="1" applyFont="1" applyFill="1"/>
    <xf numFmtId="165" fontId="61" fillId="12" borderId="0" xfId="0" applyFont="1" applyFill="1"/>
    <xf numFmtId="165" fontId="61" fillId="12" borderId="3" xfId="0" applyFont="1" applyFill="1" applyBorder="1" applyAlignment="1">
      <alignment horizontal="right" wrapText="1"/>
    </xf>
    <xf numFmtId="1" fontId="61" fillId="12" borderId="3" xfId="0" applyNumberFormat="1" applyFont="1" applyFill="1" applyBorder="1" applyAlignment="1">
      <alignment horizontal="right" wrapText="1"/>
    </xf>
    <xf numFmtId="1" fontId="61" fillId="22" borderId="0" xfId="0" applyNumberFormat="1" applyFont="1" applyFill="1" applyBorder="1" applyAlignment="1" applyProtection="1">
      <alignment horizontal="right"/>
      <protection locked="0"/>
    </xf>
    <xf numFmtId="1" fontId="61" fillId="12" borderId="0" xfId="0" applyNumberFormat="1" applyFont="1" applyFill="1" applyBorder="1" applyAlignment="1" applyProtection="1">
      <alignment horizontal="right"/>
      <protection locked="0"/>
    </xf>
    <xf numFmtId="1" fontId="61" fillId="12" borderId="0" xfId="0" applyNumberFormat="1" applyFont="1" applyFill="1" applyBorder="1" applyAlignment="1">
      <alignment horizontal="right"/>
    </xf>
    <xf numFmtId="2" fontId="61" fillId="12" borderId="25" xfId="0" applyNumberFormat="1" applyFont="1" applyFill="1" applyBorder="1" applyAlignment="1">
      <alignment horizontal="right"/>
    </xf>
    <xf numFmtId="2" fontId="0" fillId="12" borderId="12" xfId="0" applyNumberFormat="1" applyFill="1" applyBorder="1"/>
    <xf numFmtId="2" fontId="0" fillId="12" borderId="13" xfId="0" applyNumberFormat="1" applyFill="1" applyBorder="1"/>
    <xf numFmtId="2" fontId="0" fillId="12" borderId="14" xfId="0" applyNumberFormat="1" applyFill="1" applyBorder="1"/>
    <xf numFmtId="2" fontId="0" fillId="12" borderId="21" xfId="0" applyNumberFormat="1" applyFill="1" applyBorder="1"/>
    <xf numFmtId="2" fontId="0" fillId="12" borderId="58" xfId="0" applyNumberFormat="1" applyFill="1" applyBorder="1"/>
    <xf numFmtId="2" fontId="0" fillId="12" borderId="24" xfId="0" applyNumberFormat="1" applyFill="1" applyBorder="1"/>
    <xf numFmtId="2" fontId="0" fillId="12" borderId="31" xfId="0" applyNumberFormat="1" applyFill="1" applyBorder="1"/>
    <xf numFmtId="2" fontId="0" fillId="12" borderId="81" xfId="0" applyNumberFormat="1" applyFill="1" applyBorder="1"/>
    <xf numFmtId="2" fontId="0" fillId="12" borderId="82" xfId="0" applyNumberFormat="1" applyFill="1" applyBorder="1"/>
    <xf numFmtId="1" fontId="0" fillId="12" borderId="50" xfId="0" applyNumberFormat="1" applyFill="1" applyBorder="1"/>
    <xf numFmtId="1" fontId="52" fillId="12" borderId="15" xfId="0" applyNumberFormat="1" applyFont="1" applyFill="1" applyBorder="1" applyAlignment="1">
      <alignment horizontal="center" vertical="center"/>
    </xf>
    <xf numFmtId="1" fontId="52" fillId="12" borderId="16" xfId="0" applyNumberFormat="1" applyFont="1" applyFill="1" applyBorder="1" applyAlignment="1">
      <alignment horizontal="center" vertical="center"/>
    </xf>
    <xf numFmtId="1" fontId="52" fillId="12" borderId="59" xfId="0" applyNumberFormat="1" applyFont="1" applyFill="1" applyBorder="1" applyAlignment="1">
      <alignment horizontal="center" vertical="center"/>
    </xf>
    <xf numFmtId="165" fontId="49" fillId="28" borderId="61" xfId="0" applyFont="1" applyFill="1" applyBorder="1" applyAlignment="1">
      <alignment horizontal="center" vertical="center"/>
    </xf>
    <xf numFmtId="165" fontId="49" fillId="28" borderId="40" xfId="0" applyFont="1" applyFill="1" applyBorder="1" applyAlignment="1">
      <alignment horizontal="center" vertical="center"/>
    </xf>
    <xf numFmtId="165" fontId="49" fillId="28" borderId="62" xfId="0" applyFont="1" applyFill="1" applyBorder="1" applyAlignment="1">
      <alignment horizontal="center" vertical="center"/>
    </xf>
    <xf numFmtId="165" fontId="49" fillId="41" borderId="71" xfId="0" applyFont="1" applyFill="1" applyBorder="1" applyAlignment="1">
      <alignment horizontal="center" vertical="center"/>
    </xf>
    <xf numFmtId="165" fontId="49" fillId="41" borderId="73" xfId="0" applyFont="1" applyFill="1" applyBorder="1" applyAlignment="1">
      <alignment horizontal="center" vertical="center"/>
    </xf>
    <xf numFmtId="165" fontId="49" fillId="41" borderId="72" xfId="0" applyFont="1" applyFill="1" applyBorder="1" applyAlignment="1">
      <alignment horizontal="center" vertical="center"/>
    </xf>
    <xf numFmtId="165" fontId="49" fillId="12" borderId="10" xfId="0" applyFont="1" applyFill="1" applyBorder="1" applyAlignment="1" applyProtection="1">
      <protection hidden="1"/>
    </xf>
    <xf numFmtId="165" fontId="49" fillId="12" borderId="11" xfId="0" applyFont="1" applyFill="1" applyBorder="1" applyAlignment="1" applyProtection="1">
      <alignment horizontal="center" vertical="center"/>
      <protection hidden="1"/>
    </xf>
    <xf numFmtId="1" fontId="49" fillId="12" borderId="12" xfId="0" applyNumberFormat="1" applyFont="1" applyFill="1" applyBorder="1" applyAlignment="1" applyProtection="1">
      <alignment horizontal="center" vertical="center"/>
      <protection hidden="1"/>
    </xf>
    <xf numFmtId="1" fontId="57" fillId="12" borderId="13" xfId="0" applyNumberFormat="1" applyFont="1" applyFill="1" applyBorder="1" applyAlignment="1" applyProtection="1">
      <alignment horizontal="center" vertical="center"/>
      <protection hidden="1"/>
    </xf>
    <xf numFmtId="1" fontId="57" fillId="12" borderId="1" xfId="0" applyNumberFormat="1" applyFont="1" applyFill="1" applyBorder="1" applyAlignment="1" applyProtection="1">
      <alignment horizontal="center" vertical="center"/>
      <protection hidden="1"/>
    </xf>
    <xf numFmtId="1" fontId="49" fillId="12" borderId="15" xfId="0" applyNumberFormat="1" applyFont="1" applyFill="1" applyBorder="1" applyAlignment="1" applyProtection="1">
      <alignment horizontal="center" vertical="center"/>
      <protection hidden="1"/>
    </xf>
    <xf numFmtId="1" fontId="57" fillId="12" borderId="60" xfId="0" applyNumberFormat="1" applyFont="1" applyFill="1" applyBorder="1" applyAlignment="1" applyProtection="1">
      <alignment horizontal="center" vertical="center"/>
      <protection hidden="1"/>
    </xf>
    <xf numFmtId="1" fontId="57" fillId="12" borderId="63" xfId="0" applyNumberFormat="1" applyFont="1" applyFill="1" applyBorder="1" applyAlignment="1" applyProtection="1">
      <alignment horizontal="center" vertical="center"/>
      <protection hidden="1"/>
    </xf>
    <xf numFmtId="1" fontId="49" fillId="12" borderId="17" xfId="0" applyNumberFormat="1" applyFont="1" applyFill="1" applyBorder="1" applyAlignment="1" applyProtection="1">
      <alignment horizontal="center" vertical="center"/>
      <protection hidden="1"/>
    </xf>
    <xf numFmtId="2" fontId="49" fillId="12" borderId="1" xfId="0" applyNumberFormat="1" applyFont="1" applyFill="1" applyBorder="1" applyAlignment="1" applyProtection="1">
      <alignment horizontal="center" vertical="center"/>
      <protection hidden="1"/>
    </xf>
    <xf numFmtId="1" fontId="49" fillId="12" borderId="37" xfId="0" applyNumberFormat="1" applyFont="1" applyFill="1" applyBorder="1" applyProtection="1">
      <protection hidden="1"/>
    </xf>
    <xf numFmtId="1" fontId="57" fillId="12" borderId="15" xfId="0" applyNumberFormat="1" applyFont="1" applyFill="1" applyBorder="1" applyAlignment="1" applyProtection="1">
      <alignment horizontal="center" vertical="center"/>
      <protection hidden="1"/>
    </xf>
    <xf numFmtId="1" fontId="57" fillId="12" borderId="16" xfId="0" applyNumberFormat="1" applyFont="1" applyFill="1" applyBorder="1" applyAlignment="1" applyProtection="1">
      <alignment horizontal="center" vertical="center"/>
      <protection hidden="1"/>
    </xf>
    <xf numFmtId="1" fontId="57" fillId="12" borderId="50" xfId="0" applyNumberFormat="1" applyFont="1" applyFill="1" applyBorder="1" applyProtection="1">
      <protection hidden="1"/>
    </xf>
    <xf numFmtId="1" fontId="57" fillId="12" borderId="59" xfId="0" applyNumberFormat="1" applyFont="1" applyFill="1" applyBorder="1" applyAlignment="1" applyProtection="1">
      <alignment horizontal="center" vertical="center"/>
      <protection hidden="1"/>
    </xf>
    <xf numFmtId="1" fontId="49" fillId="12" borderId="60" xfId="0" applyNumberFormat="1" applyFont="1" applyFill="1" applyBorder="1" applyAlignment="1" applyProtection="1">
      <alignment horizontal="center" vertical="center"/>
      <protection hidden="1"/>
    </xf>
    <xf numFmtId="1" fontId="49" fillId="12" borderId="53" xfId="0" applyNumberFormat="1" applyFont="1" applyFill="1" applyBorder="1" applyAlignment="1" applyProtection="1">
      <alignment horizontal="center" vertical="center"/>
      <protection hidden="1"/>
    </xf>
    <xf numFmtId="1" fontId="49" fillId="12" borderId="48" xfId="0" applyNumberFormat="1" applyFont="1" applyFill="1" applyBorder="1" applyAlignment="1" applyProtection="1">
      <alignment horizontal="center" vertical="center"/>
      <protection hidden="1"/>
    </xf>
    <xf numFmtId="1" fontId="49" fillId="12" borderId="55" xfId="0" applyNumberFormat="1" applyFont="1" applyFill="1" applyBorder="1" applyAlignment="1" applyProtection="1">
      <alignment horizontal="center" vertical="center"/>
      <protection hidden="1"/>
    </xf>
    <xf numFmtId="1" fontId="49" fillId="12" borderId="63" xfId="0" applyNumberFormat="1" applyFont="1" applyFill="1" applyBorder="1" applyAlignment="1" applyProtection="1">
      <alignment horizontal="center" vertical="center"/>
      <protection hidden="1"/>
    </xf>
    <xf numFmtId="167" fontId="49" fillId="12" borderId="5" xfId="0" applyNumberFormat="1" applyFont="1" applyFill="1" applyBorder="1" applyAlignment="1" applyProtection="1">
      <alignment horizontal="right" vertical="center"/>
      <protection hidden="1"/>
    </xf>
    <xf numFmtId="167" fontId="49" fillId="12" borderId="5" xfId="0" applyNumberFormat="1" applyFont="1" applyFill="1" applyBorder="1" applyProtection="1">
      <protection hidden="1"/>
    </xf>
    <xf numFmtId="167" fontId="49" fillId="12" borderId="20" xfId="0" applyNumberFormat="1" applyFont="1" applyFill="1" applyBorder="1" applyProtection="1">
      <protection hidden="1"/>
    </xf>
    <xf numFmtId="167" fontId="49" fillId="12" borderId="7" xfId="0" applyNumberFormat="1" applyFont="1" applyFill="1" applyBorder="1" applyProtection="1">
      <protection hidden="1"/>
    </xf>
    <xf numFmtId="167" fontId="49" fillId="12" borderId="58" xfId="0" applyNumberFormat="1" applyFont="1" applyFill="1" applyBorder="1" applyAlignment="1" applyProtection="1">
      <alignment horizontal="center" vertical="center"/>
      <protection hidden="1"/>
    </xf>
    <xf numFmtId="167" fontId="49" fillId="12" borderId="1" xfId="0" applyNumberFormat="1" applyFont="1" applyFill="1" applyBorder="1" applyAlignment="1" applyProtection="1">
      <alignment horizontal="center" vertical="center"/>
      <protection hidden="1"/>
    </xf>
    <xf numFmtId="2" fontId="49" fillId="12" borderId="58" xfId="0" applyNumberFormat="1" applyFont="1" applyFill="1" applyBorder="1" applyAlignment="1" applyProtection="1">
      <alignment horizontal="center" vertical="center"/>
      <protection hidden="1"/>
    </xf>
    <xf numFmtId="2" fontId="49" fillId="12" borderId="0" xfId="0" applyNumberFormat="1" applyFont="1" applyFill="1" applyProtection="1">
      <protection hidden="1"/>
    </xf>
    <xf numFmtId="2" fontId="49" fillId="12" borderId="12" xfId="0" applyNumberFormat="1" applyFont="1" applyFill="1" applyBorder="1" applyProtection="1">
      <protection hidden="1"/>
    </xf>
    <xf numFmtId="2" fontId="49" fillId="12" borderId="13" xfId="0" applyNumberFormat="1" applyFont="1" applyFill="1" applyBorder="1" applyProtection="1">
      <protection hidden="1"/>
    </xf>
    <xf numFmtId="2" fontId="49" fillId="12" borderId="14" xfId="0" applyNumberFormat="1" applyFont="1" applyFill="1" applyBorder="1" applyProtection="1">
      <protection hidden="1"/>
    </xf>
    <xf numFmtId="2" fontId="49" fillId="12" borderId="21" xfId="0" applyNumberFormat="1" applyFont="1" applyFill="1" applyBorder="1" applyProtection="1">
      <protection hidden="1"/>
    </xf>
    <xf numFmtId="2" fontId="49" fillId="12" borderId="58" xfId="0" applyNumberFormat="1" applyFont="1" applyFill="1" applyBorder="1" applyProtection="1">
      <protection hidden="1"/>
    </xf>
    <xf numFmtId="2" fontId="49" fillId="12" borderId="24" xfId="0" applyNumberFormat="1" applyFont="1" applyFill="1" applyBorder="1" applyProtection="1">
      <protection hidden="1"/>
    </xf>
    <xf numFmtId="2" fontId="49" fillId="12" borderId="31" xfId="0" applyNumberFormat="1" applyFont="1" applyFill="1" applyBorder="1" applyProtection="1">
      <protection hidden="1"/>
    </xf>
    <xf numFmtId="2" fontId="49" fillId="12" borderId="81" xfId="0" applyNumberFormat="1" applyFont="1" applyFill="1" applyBorder="1" applyProtection="1">
      <protection hidden="1"/>
    </xf>
    <xf numFmtId="2" fontId="49" fillId="12" borderId="82" xfId="0" applyNumberFormat="1" applyFont="1" applyFill="1" applyBorder="1" applyProtection="1">
      <protection hidden="1"/>
    </xf>
    <xf numFmtId="165" fontId="49" fillId="12" borderId="61" xfId="0" applyFont="1" applyFill="1" applyBorder="1" applyAlignment="1" applyProtection="1">
      <alignment horizontal="center" vertical="center"/>
      <protection hidden="1"/>
    </xf>
    <xf numFmtId="165" fontId="49" fillId="12" borderId="40" xfId="0" applyFont="1" applyFill="1" applyBorder="1" applyAlignment="1" applyProtection="1">
      <alignment horizontal="center" vertical="center"/>
      <protection hidden="1"/>
    </xf>
    <xf numFmtId="165" fontId="49" fillId="12" borderId="62" xfId="0" applyFont="1" applyFill="1" applyBorder="1" applyAlignment="1" applyProtection="1">
      <alignment horizontal="center" vertical="center"/>
      <protection hidden="1"/>
    </xf>
    <xf numFmtId="165" fontId="49" fillId="12" borderId="51" xfId="0" applyFont="1" applyFill="1" applyBorder="1" applyAlignment="1" applyProtection="1">
      <alignment horizontal="center" vertical="center"/>
      <protection hidden="1"/>
    </xf>
    <xf numFmtId="165" fontId="12" fillId="6" borderId="0" xfId="1" applyFont="1" applyFill="1" applyAlignment="1"/>
    <xf numFmtId="165" fontId="9" fillId="0" borderId="0" xfId="0" applyFont="1" applyFill="1" applyBorder="1" applyAlignment="1">
      <alignment horizontal="center" vertical="center"/>
    </xf>
    <xf numFmtId="165" fontId="9" fillId="2" borderId="8" xfId="0" applyFont="1" applyFill="1" applyBorder="1" applyAlignment="1">
      <alignment horizontal="center" vertical="center"/>
    </xf>
    <xf numFmtId="165" fontId="9" fillId="2" borderId="10" xfId="0" applyFont="1" applyFill="1" applyBorder="1" applyAlignment="1">
      <alignment horizontal="center" vertical="center"/>
    </xf>
    <xf numFmtId="165" fontId="49" fillId="12" borderId="6" xfId="0" applyFont="1" applyFill="1" applyBorder="1" applyAlignment="1">
      <alignment horizontal="center" vertical="center" textRotation="45"/>
    </xf>
    <xf numFmtId="165" fontId="61" fillId="29" borderId="61" xfId="0" applyFont="1" applyFill="1" applyBorder="1" applyAlignment="1" applyProtection="1">
      <alignment horizontal="center" vertical="center"/>
      <protection hidden="1"/>
    </xf>
    <xf numFmtId="1" fontId="61" fillId="29" borderId="37" xfId="0" applyNumberFormat="1" applyFont="1" applyFill="1" applyBorder="1" applyProtection="1">
      <protection hidden="1"/>
    </xf>
    <xf numFmtId="165" fontId="61" fillId="29" borderId="40" xfId="0" applyFont="1" applyFill="1" applyBorder="1" applyAlignment="1" applyProtection="1">
      <alignment horizontal="center" vertical="center"/>
      <protection hidden="1"/>
    </xf>
    <xf numFmtId="1" fontId="61" fillId="29" borderId="30" xfId="0" applyNumberFormat="1" applyFont="1" applyFill="1" applyBorder="1" applyProtection="1">
      <protection hidden="1"/>
    </xf>
    <xf numFmtId="165" fontId="61" fillId="29" borderId="62" xfId="0" applyFont="1" applyFill="1" applyBorder="1" applyAlignment="1" applyProtection="1">
      <alignment horizontal="center" vertical="center"/>
      <protection hidden="1"/>
    </xf>
    <xf numFmtId="1" fontId="61" fillId="29" borderId="39" xfId="0" applyNumberFormat="1" applyFont="1" applyFill="1" applyBorder="1" applyProtection="1">
      <protection hidden="1"/>
    </xf>
    <xf numFmtId="165" fontId="61" fillId="31" borderId="61" xfId="0" applyFont="1" applyFill="1" applyBorder="1" applyAlignment="1" applyProtection="1">
      <alignment horizontal="center" vertical="center"/>
      <protection hidden="1"/>
    </xf>
    <xf numFmtId="1" fontId="61" fillId="31" borderId="37" xfId="0" applyNumberFormat="1" applyFont="1" applyFill="1" applyBorder="1" applyProtection="1">
      <protection hidden="1"/>
    </xf>
    <xf numFmtId="165" fontId="61" fillId="31" borderId="40" xfId="0" applyFont="1" applyFill="1" applyBorder="1" applyAlignment="1" applyProtection="1">
      <alignment horizontal="center" vertical="center"/>
      <protection hidden="1"/>
    </xf>
    <xf numFmtId="1" fontId="61" fillId="31" borderId="30" xfId="0" applyNumberFormat="1" applyFont="1" applyFill="1" applyBorder="1" applyProtection="1">
      <protection hidden="1"/>
    </xf>
    <xf numFmtId="165" fontId="61" fillId="31" borderId="62" xfId="0" applyFont="1" applyFill="1" applyBorder="1" applyAlignment="1" applyProtection="1">
      <alignment horizontal="center" vertical="center"/>
      <protection hidden="1"/>
    </xf>
    <xf numFmtId="1" fontId="61" fillId="31" borderId="39" xfId="0" applyNumberFormat="1" applyFont="1" applyFill="1" applyBorder="1" applyProtection="1">
      <protection hidden="1"/>
    </xf>
    <xf numFmtId="165" fontId="61" fillId="9" borderId="61" xfId="0" applyFont="1" applyFill="1" applyBorder="1" applyAlignment="1" applyProtection="1">
      <alignment horizontal="center" vertical="center"/>
      <protection hidden="1"/>
    </xf>
    <xf numFmtId="1" fontId="61" fillId="9" borderId="37" xfId="0" applyNumberFormat="1" applyFont="1" applyFill="1" applyBorder="1" applyProtection="1">
      <protection hidden="1"/>
    </xf>
    <xf numFmtId="165" fontId="61" fillId="9" borderId="40" xfId="0" applyFont="1" applyFill="1" applyBorder="1" applyAlignment="1" applyProtection="1">
      <alignment horizontal="center" vertical="center"/>
      <protection hidden="1"/>
    </xf>
    <xf numFmtId="1" fontId="61" fillId="9" borderId="30" xfId="0" applyNumberFormat="1" applyFont="1" applyFill="1" applyBorder="1" applyProtection="1">
      <protection hidden="1"/>
    </xf>
    <xf numFmtId="165" fontId="61" fillId="9" borderId="62" xfId="0" applyFont="1" applyFill="1" applyBorder="1" applyAlignment="1" applyProtection="1">
      <alignment horizontal="center" vertical="center"/>
      <protection hidden="1"/>
    </xf>
    <xf numFmtId="1" fontId="61" fillId="9" borderId="39" xfId="0" applyNumberFormat="1" applyFont="1" applyFill="1" applyBorder="1" applyProtection="1">
      <protection hidden="1"/>
    </xf>
    <xf numFmtId="165" fontId="61" fillId="32" borderId="61" xfId="0" applyFont="1" applyFill="1" applyBorder="1" applyAlignment="1" applyProtection="1">
      <alignment horizontal="center" vertical="center"/>
      <protection hidden="1"/>
    </xf>
    <xf numFmtId="1" fontId="61" fillId="32" borderId="37" xfId="0" applyNumberFormat="1" applyFont="1" applyFill="1" applyBorder="1" applyProtection="1">
      <protection hidden="1"/>
    </xf>
    <xf numFmtId="165" fontId="61" fillId="32" borderId="40" xfId="0" applyFont="1" applyFill="1" applyBorder="1" applyAlignment="1" applyProtection="1">
      <alignment horizontal="center" vertical="center"/>
      <protection hidden="1"/>
    </xf>
    <xf numFmtId="1" fontId="61" fillId="32" borderId="30" xfId="0" applyNumberFormat="1" applyFont="1" applyFill="1" applyBorder="1" applyProtection="1">
      <protection hidden="1"/>
    </xf>
    <xf numFmtId="165" fontId="61" fillId="32" borderId="52" xfId="0" applyFont="1" applyFill="1" applyBorder="1" applyAlignment="1" applyProtection="1">
      <alignment horizontal="center" vertical="center"/>
      <protection hidden="1"/>
    </xf>
    <xf numFmtId="1" fontId="61" fillId="32" borderId="50" xfId="0" applyNumberFormat="1" applyFont="1" applyFill="1" applyBorder="1" applyProtection="1">
      <protection hidden="1"/>
    </xf>
    <xf numFmtId="165" fontId="61" fillId="33" borderId="37" xfId="0" applyFont="1" applyFill="1" applyBorder="1" applyAlignment="1" applyProtection="1">
      <alignment horizontal="center" vertical="center"/>
      <protection hidden="1"/>
    </xf>
    <xf numFmtId="1" fontId="61" fillId="33" borderId="37" xfId="0" applyNumberFormat="1" applyFont="1" applyFill="1" applyBorder="1" applyProtection="1">
      <protection hidden="1"/>
    </xf>
    <xf numFmtId="165" fontId="61" fillId="33" borderId="30" xfId="0" applyFont="1" applyFill="1" applyBorder="1" applyAlignment="1" applyProtection="1">
      <alignment horizontal="center" vertical="center"/>
      <protection hidden="1"/>
    </xf>
    <xf numFmtId="1" fontId="61" fillId="33" borderId="30" xfId="0" applyNumberFormat="1" applyFont="1" applyFill="1" applyBorder="1" applyProtection="1">
      <protection hidden="1"/>
    </xf>
    <xf numFmtId="165" fontId="61" fillId="33" borderId="39" xfId="0" applyFont="1" applyFill="1" applyBorder="1" applyAlignment="1" applyProtection="1">
      <alignment horizontal="center" vertical="center"/>
      <protection hidden="1"/>
    </xf>
    <xf numFmtId="1" fontId="61" fillId="33" borderId="39" xfId="0" applyNumberFormat="1" applyFont="1" applyFill="1" applyBorder="1" applyProtection="1">
      <protection hidden="1"/>
    </xf>
    <xf numFmtId="1" fontId="61" fillId="16" borderId="47" xfId="0" applyNumberFormat="1" applyFont="1" applyFill="1" applyBorder="1" applyProtection="1">
      <protection hidden="1"/>
    </xf>
    <xf numFmtId="165" fontId="61" fillId="16" borderId="40" xfId="0" applyFont="1" applyFill="1" applyBorder="1" applyAlignment="1" applyProtection="1">
      <alignment horizontal="center" vertical="center"/>
      <protection hidden="1"/>
    </xf>
    <xf numFmtId="1" fontId="61" fillId="16" borderId="30" xfId="0" applyNumberFormat="1" applyFont="1" applyFill="1" applyBorder="1" applyProtection="1">
      <protection hidden="1"/>
    </xf>
    <xf numFmtId="165" fontId="61" fillId="16" borderId="62" xfId="0" applyFont="1" applyFill="1" applyBorder="1" applyAlignment="1" applyProtection="1">
      <alignment horizontal="center" vertical="center"/>
      <protection hidden="1"/>
    </xf>
    <xf numFmtId="1" fontId="61" fillId="16" borderId="39" xfId="0" applyNumberFormat="1" applyFont="1" applyFill="1" applyBorder="1" applyProtection="1">
      <protection hidden="1"/>
    </xf>
    <xf numFmtId="1" fontId="61" fillId="23" borderId="37" xfId="0" applyNumberFormat="1" applyFont="1" applyFill="1" applyBorder="1" applyProtection="1">
      <protection hidden="1"/>
    </xf>
    <xf numFmtId="1" fontId="61" fillId="23" borderId="30" xfId="0" applyNumberFormat="1" applyFont="1" applyFill="1" applyBorder="1" applyProtection="1">
      <protection hidden="1"/>
    </xf>
    <xf numFmtId="1" fontId="61" fillId="23" borderId="39" xfId="0" applyNumberFormat="1" applyFont="1" applyFill="1" applyBorder="1" applyProtection="1">
      <protection hidden="1"/>
    </xf>
    <xf numFmtId="1" fontId="61" fillId="12" borderId="8" xfId="0" applyNumberFormat="1" applyFont="1" applyFill="1" applyBorder="1" applyAlignment="1" applyProtection="1">
      <alignment horizontal="center" vertical="center"/>
      <protection hidden="1"/>
    </xf>
    <xf numFmtId="1" fontId="61" fillId="12" borderId="20" xfId="0" applyNumberFormat="1" applyFont="1" applyFill="1" applyBorder="1" applyAlignment="1" applyProtection="1">
      <alignment horizontal="center" vertical="center"/>
      <protection hidden="1"/>
    </xf>
    <xf numFmtId="1" fontId="61" fillId="12" borderId="32" xfId="0" applyNumberFormat="1" applyFont="1" applyFill="1" applyBorder="1" applyAlignment="1" applyProtection="1">
      <alignment vertical="center"/>
      <protection hidden="1"/>
    </xf>
    <xf numFmtId="1" fontId="61" fillId="12" borderId="33" xfId="0" applyNumberFormat="1" applyFont="1" applyFill="1" applyBorder="1" applyAlignment="1" applyProtection="1">
      <alignment vertical="center"/>
      <protection hidden="1"/>
    </xf>
    <xf numFmtId="1" fontId="24" fillId="12" borderId="33" xfId="0" applyNumberFormat="1" applyFont="1" applyFill="1" applyBorder="1" applyAlignment="1" applyProtection="1">
      <alignment vertical="center"/>
      <protection hidden="1"/>
    </xf>
    <xf numFmtId="1" fontId="24" fillId="12" borderId="22" xfId="0" applyNumberFormat="1" applyFont="1" applyFill="1" applyBorder="1" applyAlignment="1" applyProtection="1">
      <alignment vertical="center"/>
      <protection hidden="1"/>
    </xf>
    <xf numFmtId="165" fontId="61" fillId="12" borderId="3" xfId="0" applyFont="1" applyFill="1" applyBorder="1" applyAlignment="1" applyProtection="1">
      <alignment horizontal="center" vertical="center"/>
      <protection hidden="1"/>
    </xf>
    <xf numFmtId="165" fontId="61" fillId="12" borderId="6" xfId="0" applyFont="1" applyFill="1" applyBorder="1" applyAlignment="1" applyProtection="1">
      <alignment horizontal="center" vertical="center"/>
      <protection hidden="1"/>
    </xf>
    <xf numFmtId="165" fontId="61" fillId="5" borderId="61" xfId="0" applyFont="1" applyFill="1" applyBorder="1" applyAlignment="1" applyProtection="1">
      <alignment horizontal="center" vertical="center"/>
      <protection hidden="1"/>
    </xf>
    <xf numFmtId="1" fontId="61" fillId="5" borderId="37" xfId="0" applyNumberFormat="1" applyFont="1" applyFill="1" applyBorder="1" applyProtection="1">
      <protection hidden="1"/>
    </xf>
    <xf numFmtId="165" fontId="61" fillId="12" borderId="40" xfId="0" applyFont="1" applyFill="1" applyBorder="1" applyAlignment="1" applyProtection="1">
      <alignment horizontal="center" vertical="center"/>
      <protection hidden="1"/>
    </xf>
    <xf numFmtId="1" fontId="61" fillId="12" borderId="30" xfId="0" applyNumberFormat="1" applyFont="1" applyFill="1" applyBorder="1" applyProtection="1">
      <protection hidden="1"/>
    </xf>
    <xf numFmtId="165" fontId="61" fillId="12" borderId="62" xfId="0" applyFont="1" applyFill="1" applyBorder="1" applyAlignment="1" applyProtection="1">
      <alignment horizontal="center" vertical="center"/>
      <protection hidden="1"/>
    </xf>
    <xf numFmtId="1" fontId="61" fillId="12" borderId="39" xfId="0" applyNumberFormat="1" applyFont="1" applyFill="1" applyBorder="1" applyProtection="1">
      <protection hidden="1"/>
    </xf>
    <xf numFmtId="165" fontId="61" fillId="12" borderId="61" xfId="0" applyFont="1" applyFill="1" applyBorder="1" applyAlignment="1" applyProtection="1">
      <alignment horizontal="center" vertical="center"/>
      <protection hidden="1"/>
    </xf>
    <xf numFmtId="1" fontId="61" fillId="12" borderId="37" xfId="0" applyNumberFormat="1" applyFont="1" applyFill="1" applyBorder="1" applyProtection="1">
      <protection hidden="1"/>
    </xf>
    <xf numFmtId="165" fontId="61" fillId="42" borderId="62" xfId="0" applyFont="1" applyFill="1" applyBorder="1" applyAlignment="1" applyProtection="1">
      <alignment horizontal="center" vertical="center"/>
      <protection hidden="1"/>
    </xf>
    <xf numFmtId="165" fontId="67" fillId="6" borderId="0" xfId="1" applyFont="1" applyFill="1" applyAlignment="1"/>
    <xf numFmtId="165" fontId="1" fillId="0" borderId="20" xfId="0" applyFont="1" applyBorder="1" applyAlignment="1">
      <alignment horizontal="center" vertical="center" wrapText="1"/>
    </xf>
    <xf numFmtId="165" fontId="1" fillId="0" borderId="20" xfId="0" applyFont="1" applyBorder="1" applyAlignment="1">
      <alignment horizontal="center" vertical="center"/>
    </xf>
    <xf numFmtId="165" fontId="0" fillId="12" borderId="0" xfId="0" applyFill="1"/>
    <xf numFmtId="0" fontId="9" fillId="14" borderId="21" xfId="4" applyNumberFormat="1" applyFont="1" applyFill="1" applyBorder="1" applyAlignment="1">
      <alignment horizontal="center" vertical="center"/>
    </xf>
    <xf numFmtId="165" fontId="9" fillId="14" borderId="22" xfId="0" applyFont="1" applyFill="1" applyBorder="1" applyAlignment="1">
      <alignment horizontal="center" vertical="center" wrapText="1"/>
    </xf>
    <xf numFmtId="165" fontId="68" fillId="12" borderId="0" xfId="0" applyFont="1" applyFill="1"/>
    <xf numFmtId="9" fontId="9" fillId="14" borderId="22" xfId="0" applyNumberFormat="1" applyFont="1" applyFill="1" applyBorder="1" applyAlignment="1">
      <alignment horizontal="center" vertical="center"/>
    </xf>
    <xf numFmtId="165" fontId="9" fillId="14" borderId="31" xfId="0" applyFont="1" applyFill="1" applyBorder="1" applyAlignment="1">
      <alignment horizontal="center" vertical="center" wrapText="1"/>
    </xf>
    <xf numFmtId="1" fontId="9" fillId="14" borderId="82" xfId="0" applyNumberFormat="1" applyFont="1" applyFill="1" applyBorder="1" applyAlignment="1">
      <alignment horizontal="center" vertical="center" wrapText="1"/>
    </xf>
    <xf numFmtId="165" fontId="9" fillId="14" borderId="15" xfId="0" applyFont="1" applyFill="1" applyBorder="1" applyAlignment="1">
      <alignment horizontal="center" vertical="center" wrapText="1"/>
    </xf>
    <xf numFmtId="1" fontId="9" fillId="14" borderId="16" xfId="0" applyNumberFormat="1" applyFont="1" applyFill="1" applyBorder="1" applyAlignment="1">
      <alignment horizontal="center" vertical="center" wrapText="1"/>
    </xf>
    <xf numFmtId="165" fontId="9" fillId="0" borderId="0" xfId="0" applyFont="1" applyFill="1" applyBorder="1" applyAlignment="1">
      <alignment horizontal="center" vertical="center"/>
    </xf>
    <xf numFmtId="165" fontId="10" fillId="12" borderId="0" xfId="0" applyFont="1" applyFill="1" applyAlignment="1">
      <alignment horizontal="center"/>
    </xf>
    <xf numFmtId="165" fontId="0" fillId="12" borderId="0" xfId="0" applyFill="1"/>
    <xf numFmtId="165" fontId="10" fillId="12" borderId="0" xfId="0" applyFont="1" applyFill="1" applyAlignment="1"/>
    <xf numFmtId="1" fontId="9" fillId="23" borderId="11" xfId="0" applyNumberFormat="1" applyFont="1" applyFill="1" applyBorder="1" applyAlignment="1">
      <alignment horizontal="center" vertical="center" wrapText="1"/>
    </xf>
    <xf numFmtId="1" fontId="9" fillId="23" borderId="20" xfId="0" applyNumberFormat="1" applyFont="1" applyFill="1" applyBorder="1" applyAlignment="1">
      <alignment horizontal="center" vertical="center"/>
    </xf>
    <xf numFmtId="2" fontId="0" fillId="12" borderId="0" xfId="0" applyNumberFormat="1" applyFill="1"/>
    <xf numFmtId="1" fontId="8" fillId="12" borderId="0" xfId="0" applyNumberFormat="1" applyFont="1" applyFill="1" applyAlignment="1">
      <alignment horizontal="center"/>
    </xf>
    <xf numFmtId="165" fontId="0" fillId="12" borderId="0" xfId="0" applyFill="1"/>
    <xf numFmtId="165" fontId="0" fillId="12" borderId="0" xfId="0" applyFill="1"/>
    <xf numFmtId="165" fontId="49" fillId="12" borderId="8" xfId="0" applyFont="1" applyFill="1" applyBorder="1" applyAlignment="1" applyProtection="1">
      <alignment horizontal="center" vertical="center"/>
      <protection hidden="1"/>
    </xf>
    <xf numFmtId="165" fontId="0" fillId="12" borderId="0" xfId="0" applyFill="1" applyAlignment="1">
      <alignment vertical="top"/>
    </xf>
    <xf numFmtId="165" fontId="0" fillId="12" borderId="0" xfId="0" applyFill="1"/>
    <xf numFmtId="165" fontId="61" fillId="12" borderId="0" xfId="0" applyFont="1" applyFill="1" applyBorder="1" applyAlignment="1" applyProtection="1">
      <alignment horizontal="center" vertical="center"/>
      <protection hidden="1"/>
    </xf>
    <xf numFmtId="1" fontId="61" fillId="12" borderId="0" xfId="0" applyNumberFormat="1" applyFont="1" applyFill="1" applyBorder="1" applyProtection="1">
      <protection hidden="1"/>
    </xf>
    <xf numFmtId="165" fontId="49" fillId="12" borderId="20" xfId="0" applyFont="1" applyFill="1" applyBorder="1" applyAlignment="1" applyProtection="1">
      <protection hidden="1"/>
    </xf>
    <xf numFmtId="2" fontId="49" fillId="29" borderId="21" xfId="0" applyNumberFormat="1" applyFont="1" applyFill="1" applyBorder="1" applyAlignment="1" applyProtection="1">
      <alignment horizontal="center" vertical="center"/>
      <protection hidden="1"/>
    </xf>
    <xf numFmtId="2" fontId="49" fillId="31" borderId="15" xfId="0" applyNumberFormat="1" applyFont="1" applyFill="1" applyBorder="1" applyAlignment="1" applyProtection="1">
      <alignment horizontal="center" vertical="center"/>
      <protection hidden="1"/>
    </xf>
    <xf numFmtId="2" fontId="49" fillId="9" borderId="15" xfId="0" applyNumberFormat="1" applyFont="1" applyFill="1" applyBorder="1" applyAlignment="1" applyProtection="1">
      <alignment horizontal="center" vertical="center"/>
      <protection hidden="1"/>
    </xf>
    <xf numFmtId="2" fontId="49" fillId="32" borderId="15" xfId="0" applyNumberFormat="1" applyFont="1" applyFill="1" applyBorder="1" applyAlignment="1" applyProtection="1">
      <alignment horizontal="center" vertical="center"/>
      <protection hidden="1"/>
    </xf>
    <xf numFmtId="2" fontId="49" fillId="33" borderId="15" xfId="0" applyNumberFormat="1" applyFont="1" applyFill="1" applyBorder="1" applyAlignment="1" applyProtection="1">
      <alignment horizontal="center" vertical="center"/>
      <protection hidden="1"/>
    </xf>
    <xf numFmtId="2" fontId="49" fillId="37" borderId="15" xfId="0" applyNumberFormat="1" applyFont="1" applyFill="1" applyBorder="1" applyAlignment="1" applyProtection="1">
      <alignment horizontal="center" vertical="center"/>
      <protection hidden="1"/>
    </xf>
    <xf numFmtId="2" fontId="49" fillId="23" borderId="15" xfId="0" applyNumberFormat="1" applyFont="1" applyFill="1" applyBorder="1" applyAlignment="1" applyProtection="1">
      <alignment horizontal="center" vertical="center"/>
      <protection hidden="1"/>
    </xf>
    <xf numFmtId="1" fontId="49" fillId="23" borderId="37" xfId="0" applyNumberFormat="1" applyFont="1" applyFill="1" applyBorder="1" applyProtection="1">
      <protection hidden="1"/>
    </xf>
    <xf numFmtId="165" fontId="49" fillId="23" borderId="61" xfId="0" applyFont="1" applyFill="1" applyBorder="1" applyAlignment="1" applyProtection="1">
      <alignment horizontal="center" vertical="center"/>
      <protection hidden="1"/>
    </xf>
    <xf numFmtId="1" fontId="55" fillId="12" borderId="4" xfId="0" applyNumberFormat="1" applyFont="1" applyFill="1" applyBorder="1" applyAlignment="1" applyProtection="1">
      <alignment horizontal="right"/>
      <protection hidden="1"/>
    </xf>
    <xf numFmtId="165" fontId="49" fillId="23" borderId="71" xfId="0" applyFont="1" applyFill="1" applyBorder="1" applyAlignment="1" applyProtection="1">
      <alignment horizontal="center" vertical="center"/>
      <protection hidden="1"/>
    </xf>
    <xf numFmtId="1" fontId="49" fillId="23" borderId="61" xfId="0" applyNumberFormat="1" applyFont="1" applyFill="1" applyBorder="1" applyProtection="1">
      <protection hidden="1"/>
    </xf>
    <xf numFmtId="1" fontId="49" fillId="12" borderId="8" xfId="0" applyNumberFormat="1" applyFont="1" applyFill="1" applyBorder="1" applyAlignment="1" applyProtection="1">
      <alignment horizontal="center" vertical="center"/>
      <protection hidden="1"/>
    </xf>
    <xf numFmtId="1" fontId="49" fillId="12" borderId="20" xfId="0" applyNumberFormat="1" applyFont="1" applyFill="1" applyBorder="1" applyAlignment="1" applyProtection="1">
      <alignment horizontal="center" vertical="center"/>
      <protection hidden="1"/>
    </xf>
    <xf numFmtId="1" fontId="49" fillId="35" borderId="67" xfId="0" applyNumberFormat="1" applyFont="1" applyFill="1" applyBorder="1" applyProtection="1">
      <protection hidden="1"/>
    </xf>
    <xf numFmtId="1" fontId="49" fillId="35" borderId="60" xfId="0" applyNumberFormat="1" applyFont="1" applyFill="1" applyBorder="1" applyAlignment="1" applyProtection="1">
      <alignment horizontal="center" vertical="center"/>
      <protection hidden="1"/>
    </xf>
    <xf numFmtId="1" fontId="49" fillId="12" borderId="50" xfId="0" applyNumberFormat="1" applyFont="1" applyFill="1" applyBorder="1" applyAlignment="1" applyProtection="1">
      <alignment horizontal="center" vertical="center"/>
      <protection hidden="1"/>
    </xf>
    <xf numFmtId="2" fontId="49" fillId="35" borderId="67" xfId="0" applyNumberFormat="1" applyFont="1" applyFill="1" applyBorder="1" applyProtection="1">
      <protection hidden="1"/>
    </xf>
    <xf numFmtId="2" fontId="49" fillId="35" borderId="60" xfId="0" applyNumberFormat="1" applyFont="1" applyFill="1" applyBorder="1" applyProtection="1">
      <protection hidden="1"/>
    </xf>
    <xf numFmtId="2" fontId="49" fillId="35" borderId="63" xfId="0" applyNumberFormat="1" applyFont="1" applyFill="1" applyBorder="1" applyProtection="1">
      <protection hidden="1"/>
    </xf>
    <xf numFmtId="1" fontId="49" fillId="23" borderId="13" xfId="0" applyNumberFormat="1" applyFont="1" applyFill="1" applyBorder="1" applyProtection="1">
      <protection hidden="1"/>
    </xf>
    <xf numFmtId="1" fontId="49" fillId="23" borderId="14" xfId="0" applyNumberFormat="1" applyFont="1" applyFill="1" applyBorder="1" applyProtection="1">
      <protection hidden="1"/>
    </xf>
    <xf numFmtId="165" fontId="49" fillId="23" borderId="62" xfId="0" applyFont="1" applyFill="1" applyBorder="1" applyAlignment="1" applyProtection="1">
      <alignment horizontal="center" vertical="center"/>
      <protection hidden="1"/>
    </xf>
    <xf numFmtId="165" fontId="49" fillId="23" borderId="72" xfId="0" applyFont="1" applyFill="1" applyBorder="1" applyAlignment="1" applyProtection="1">
      <alignment horizontal="center" vertical="center"/>
      <protection hidden="1"/>
    </xf>
    <xf numFmtId="1" fontId="49" fillId="23" borderId="18" xfId="0" applyNumberFormat="1" applyFont="1" applyFill="1" applyBorder="1" applyProtection="1">
      <protection hidden="1"/>
    </xf>
    <xf numFmtId="1" fontId="49" fillId="23" borderId="19" xfId="0" applyNumberFormat="1" applyFont="1" applyFill="1" applyBorder="1" applyProtection="1">
      <protection hidden="1"/>
    </xf>
    <xf numFmtId="1" fontId="49" fillId="12" borderId="47" xfId="0" applyNumberFormat="1" applyFont="1" applyFill="1" applyBorder="1" applyProtection="1">
      <protection hidden="1"/>
    </xf>
    <xf numFmtId="1" fontId="61" fillId="42" borderId="39" xfId="0" applyNumberFormat="1" applyFont="1" applyFill="1" applyBorder="1" applyProtection="1">
      <protection hidden="1"/>
    </xf>
    <xf numFmtId="165" fontId="8" fillId="12" borderId="0" xfId="0" applyFont="1" applyFill="1"/>
    <xf numFmtId="1" fontId="8" fillId="12" borderId="0" xfId="0" applyNumberFormat="1" applyFont="1" applyFill="1"/>
    <xf numFmtId="164" fontId="0" fillId="12" borderId="0" xfId="0" applyNumberFormat="1" applyFill="1"/>
    <xf numFmtId="165" fontId="0" fillId="12" borderId="0" xfId="0" applyFill="1"/>
    <xf numFmtId="165" fontId="49" fillId="31" borderId="51" xfId="0" applyFont="1" applyFill="1" applyBorder="1" applyAlignment="1">
      <alignment horizontal="center" vertical="center"/>
    </xf>
    <xf numFmtId="1" fontId="49" fillId="31" borderId="51" xfId="0" applyNumberFormat="1" applyFont="1" applyFill="1" applyBorder="1" applyAlignment="1">
      <alignment horizontal="center" vertical="center"/>
    </xf>
    <xf numFmtId="1" fontId="49" fillId="12" borderId="54" xfId="0" applyNumberFormat="1" applyFont="1" applyFill="1" applyBorder="1" applyAlignment="1" applyProtection="1">
      <alignment horizontal="center" vertical="center"/>
      <protection hidden="1"/>
    </xf>
    <xf numFmtId="1" fontId="49" fillId="22" borderId="66" xfId="0" applyNumberFormat="1" applyFont="1" applyFill="1" applyBorder="1" applyProtection="1">
      <protection hidden="1"/>
    </xf>
    <xf numFmtId="2" fontId="49" fillId="22" borderId="66" xfId="0" applyNumberFormat="1" applyFont="1" applyFill="1" applyBorder="1" applyProtection="1">
      <protection hidden="1"/>
    </xf>
    <xf numFmtId="2" fontId="49" fillId="22" borderId="1" xfId="0" applyNumberFormat="1" applyFont="1" applyFill="1" applyBorder="1" applyProtection="1">
      <protection hidden="1"/>
    </xf>
    <xf numFmtId="2" fontId="49" fillId="22" borderId="16" xfId="0" applyNumberFormat="1" applyFont="1" applyFill="1" applyBorder="1" applyProtection="1">
      <protection hidden="1"/>
    </xf>
    <xf numFmtId="1" fontId="49" fillId="22" borderId="15" xfId="0" applyNumberFormat="1" applyFont="1" applyFill="1" applyBorder="1" applyAlignment="1" applyProtection="1">
      <alignment horizontal="center" vertical="center"/>
      <protection hidden="1"/>
    </xf>
    <xf numFmtId="2" fontId="49" fillId="22" borderId="1" xfId="0" applyNumberFormat="1" applyFont="1" applyFill="1" applyBorder="1" applyAlignment="1" applyProtection="1">
      <alignment vertical="center"/>
      <protection hidden="1"/>
    </xf>
    <xf numFmtId="2" fontId="49" fillId="22" borderId="79" xfId="0" applyNumberFormat="1" applyFont="1" applyFill="1" applyBorder="1" applyAlignment="1" applyProtection="1">
      <alignment vertical="center"/>
      <protection hidden="1"/>
    </xf>
    <xf numFmtId="1" fontId="61" fillId="22" borderId="37" xfId="0" applyNumberFormat="1" applyFont="1" applyFill="1" applyBorder="1" applyProtection="1">
      <protection hidden="1"/>
    </xf>
    <xf numFmtId="1" fontId="61" fillId="22" borderId="30" xfId="0" applyNumberFormat="1" applyFont="1" applyFill="1" applyBorder="1" applyProtection="1">
      <protection hidden="1"/>
    </xf>
    <xf numFmtId="1" fontId="61" fillId="22" borderId="39" xfId="0" applyNumberFormat="1" applyFont="1" applyFill="1" applyBorder="1" applyProtection="1">
      <protection hidden="1"/>
    </xf>
    <xf numFmtId="165" fontId="0" fillId="12" borderId="0" xfId="0" applyFill="1"/>
    <xf numFmtId="165" fontId="72" fillId="43" borderId="66" xfId="9" applyNumberFormat="1" applyBorder="1"/>
    <xf numFmtId="165" fontId="72" fillId="43" borderId="1" xfId="9" applyNumberFormat="1" applyBorder="1"/>
    <xf numFmtId="165" fontId="49" fillId="30" borderId="37" xfId="0" applyFont="1" applyFill="1" applyBorder="1" applyAlignment="1">
      <alignment horizontal="center" vertical="center"/>
    </xf>
    <xf numFmtId="1" fontId="49" fillId="30" borderId="61" xfId="0" applyNumberFormat="1" applyFont="1" applyFill="1" applyBorder="1" applyAlignment="1">
      <alignment horizontal="center" vertical="center"/>
    </xf>
    <xf numFmtId="165" fontId="49" fillId="30" borderId="61" xfId="0" applyFont="1" applyFill="1" applyBorder="1" applyAlignment="1">
      <alignment horizontal="center" vertical="center"/>
    </xf>
    <xf numFmtId="165" fontId="72" fillId="43" borderId="65" xfId="9" applyNumberFormat="1" applyBorder="1"/>
    <xf numFmtId="165" fontId="72" fillId="43" borderId="13" xfId="9" applyNumberFormat="1" applyBorder="1"/>
    <xf numFmtId="165" fontId="72" fillId="43" borderId="14" xfId="9" applyNumberFormat="1" applyBorder="1"/>
    <xf numFmtId="165" fontId="72" fillId="43" borderId="16" xfId="9" applyNumberFormat="1" applyBorder="1"/>
    <xf numFmtId="165" fontId="72" fillId="43" borderId="76" xfId="9" applyNumberFormat="1" applyBorder="1"/>
    <xf numFmtId="165" fontId="72" fillId="43" borderId="18" xfId="9" applyNumberFormat="1" applyBorder="1"/>
    <xf numFmtId="165" fontId="72" fillId="43" borderId="19" xfId="9" applyNumberFormat="1" applyBorder="1"/>
    <xf numFmtId="165" fontId="49" fillId="9" borderId="62" xfId="0" applyFont="1" applyFill="1" applyBorder="1" applyAlignment="1">
      <alignment horizontal="center" vertical="center"/>
    </xf>
    <xf numFmtId="1" fontId="49" fillId="9" borderId="62" xfId="0" applyNumberFormat="1" applyFont="1" applyFill="1" applyBorder="1" applyAlignment="1">
      <alignment horizontal="center" vertical="center"/>
    </xf>
    <xf numFmtId="165" fontId="49" fillId="32" borderId="39" xfId="0" applyFont="1" applyFill="1" applyBorder="1" applyAlignment="1">
      <alignment horizontal="center" vertical="center"/>
    </xf>
    <xf numFmtId="1" fontId="49" fillId="32" borderId="62" xfId="0" applyNumberFormat="1" applyFont="1" applyFill="1" applyBorder="1" applyAlignment="1">
      <alignment horizontal="center" vertical="center"/>
    </xf>
    <xf numFmtId="165" fontId="49" fillId="32" borderId="62" xfId="0" applyFont="1" applyFill="1" applyBorder="1" applyAlignment="1">
      <alignment horizontal="center" vertical="center"/>
    </xf>
    <xf numFmtId="1" fontId="49" fillId="23" borderId="39" xfId="0" applyNumberFormat="1" applyFont="1" applyFill="1" applyBorder="1" applyAlignment="1">
      <alignment horizontal="center" vertical="center"/>
    </xf>
    <xf numFmtId="165" fontId="49" fillId="5" borderId="37" xfId="0" applyFont="1" applyFill="1" applyBorder="1" applyAlignment="1">
      <alignment horizontal="center" vertical="center"/>
    </xf>
    <xf numFmtId="1" fontId="49" fillId="5" borderId="37" xfId="0" applyNumberFormat="1" applyFont="1" applyFill="1" applyBorder="1" applyAlignment="1">
      <alignment horizontal="center" vertical="center"/>
    </xf>
    <xf numFmtId="165" fontId="49" fillId="5" borderId="39" xfId="0" applyFont="1" applyFill="1" applyBorder="1" applyAlignment="1">
      <alignment horizontal="center" vertical="center"/>
    </xf>
    <xf numFmtId="1" fontId="49" fillId="5" borderId="39" xfId="0" applyNumberFormat="1" applyFont="1" applyFill="1" applyBorder="1" applyAlignment="1">
      <alignment horizontal="center" vertical="center"/>
    </xf>
    <xf numFmtId="165" fontId="0" fillId="12" borderId="0" xfId="0" applyFill="1"/>
    <xf numFmtId="165" fontId="73" fillId="44" borderId="83" xfId="10" applyNumberFormat="1" applyBorder="1"/>
    <xf numFmtId="165" fontId="73" fillId="44" borderId="84" xfId="10" applyNumberFormat="1" applyBorder="1"/>
    <xf numFmtId="165" fontId="73" fillId="44" borderId="85" xfId="10" applyNumberFormat="1" applyBorder="1"/>
    <xf numFmtId="167" fontId="30" fillId="0" borderId="0" xfId="5" applyNumberFormat="1"/>
    <xf numFmtId="165" fontId="74" fillId="3" borderId="20" xfId="2" applyFont="1" applyFill="1" applyBorder="1" applyAlignment="1">
      <alignment horizontal="center" vertical="center"/>
    </xf>
    <xf numFmtId="165" fontId="10" fillId="0" borderId="47" xfId="5" applyFont="1" applyBorder="1" applyAlignment="1">
      <alignment horizontal="center" vertical="center"/>
    </xf>
    <xf numFmtId="165" fontId="30" fillId="0" borderId="47" xfId="5" applyBorder="1" applyAlignment="1">
      <alignment horizontal="left" vertical="center"/>
    </xf>
    <xf numFmtId="165" fontId="30" fillId="0" borderId="47" xfId="5" applyBorder="1"/>
    <xf numFmtId="165" fontId="10" fillId="0" borderId="30" xfId="5" applyFont="1" applyBorder="1" applyAlignment="1">
      <alignment horizontal="center" vertical="center"/>
    </xf>
    <xf numFmtId="165" fontId="10" fillId="0" borderId="30" xfId="5" applyFont="1" applyBorder="1" applyAlignment="1">
      <alignment horizontal="center" vertical="center" wrapText="1"/>
    </xf>
    <xf numFmtId="165" fontId="77" fillId="0" borderId="30" xfId="0" applyFont="1" applyBorder="1" applyAlignment="1">
      <alignment vertical="center" wrapText="1"/>
    </xf>
    <xf numFmtId="165" fontId="10" fillId="0" borderId="30" xfId="5" applyFont="1" applyBorder="1" applyAlignment="1">
      <alignment vertical="center" wrapText="1"/>
    </xf>
    <xf numFmtId="165" fontId="9" fillId="0" borderId="30" xfId="5" applyFont="1" applyBorder="1" applyAlignment="1">
      <alignment vertical="center" wrapText="1"/>
    </xf>
    <xf numFmtId="165" fontId="78" fillId="0" borderId="30" xfId="0" applyFont="1" applyBorder="1" applyAlignment="1">
      <alignment horizontal="left" vertical="center" wrapText="1"/>
    </xf>
    <xf numFmtId="165" fontId="9" fillId="0" borderId="39" xfId="5" applyFont="1" applyBorder="1" applyAlignment="1">
      <alignment vertical="center" wrapText="1"/>
    </xf>
    <xf numFmtId="167" fontId="30" fillId="12" borderId="0" xfId="5" applyNumberFormat="1" applyFill="1"/>
    <xf numFmtId="165" fontId="9" fillId="12" borderId="0" xfId="0" applyFont="1" applyFill="1" applyAlignment="1">
      <alignment horizontal="left" vertical="center"/>
    </xf>
    <xf numFmtId="165" fontId="0" fillId="12" borderId="0" xfId="0" applyFill="1"/>
    <xf numFmtId="165" fontId="12" fillId="6" borderId="0" xfId="1" applyFont="1" applyFill="1" applyAlignment="1"/>
    <xf numFmtId="165" fontId="49" fillId="12" borderId="40" xfId="0" applyFont="1" applyFill="1" applyBorder="1" applyAlignment="1">
      <alignment horizontal="center" vertical="center"/>
    </xf>
    <xf numFmtId="165" fontId="49" fillId="12" borderId="62" xfId="0" applyFont="1" applyFill="1" applyBorder="1" applyAlignment="1">
      <alignment horizontal="center" vertical="center"/>
    </xf>
    <xf numFmtId="165" fontId="49" fillId="12" borderId="51" xfId="0" applyFont="1" applyFill="1" applyBorder="1" applyAlignment="1">
      <alignment horizontal="center" vertical="center"/>
    </xf>
    <xf numFmtId="1" fontId="0" fillId="12" borderId="13" xfId="0" applyNumberFormat="1" applyFill="1" applyBorder="1" applyAlignment="1">
      <alignment horizontal="center" vertical="center"/>
    </xf>
    <xf numFmtId="1" fontId="0" fillId="12" borderId="18" xfId="0" applyNumberFormat="1" applyFill="1" applyBorder="1" applyAlignment="1">
      <alignment horizontal="center" vertical="center"/>
    </xf>
    <xf numFmtId="1" fontId="0" fillId="12" borderId="14" xfId="0" applyNumberFormat="1" applyFill="1" applyBorder="1" applyAlignment="1">
      <alignment horizontal="center" vertical="center"/>
    </xf>
    <xf numFmtId="1" fontId="0" fillId="12" borderId="60" xfId="0" applyNumberFormat="1" applyFill="1" applyBorder="1" applyAlignment="1">
      <alignment horizontal="center" vertical="center"/>
    </xf>
    <xf numFmtId="165" fontId="0" fillId="12" borderId="0" xfId="0" applyFill="1"/>
    <xf numFmtId="1" fontId="0" fillId="12" borderId="1" xfId="0" applyNumberFormat="1" applyFill="1" applyBorder="1" applyAlignment="1">
      <alignment horizontal="center" vertical="center"/>
    </xf>
    <xf numFmtId="165" fontId="24" fillId="12" borderId="0" xfId="0" applyFont="1" applyFill="1"/>
    <xf numFmtId="165" fontId="0" fillId="12" borderId="0" xfId="0" applyFill="1"/>
    <xf numFmtId="167" fontId="11" fillId="22" borderId="47" xfId="0" applyNumberFormat="1" applyFont="1" applyFill="1" applyBorder="1" applyAlignment="1" applyProtection="1">
      <alignment horizontal="center" vertical="center"/>
      <protection hidden="1"/>
    </xf>
    <xf numFmtId="167" fontId="11" fillId="22" borderId="30" xfId="0" applyNumberFormat="1" applyFont="1" applyFill="1" applyBorder="1" applyAlignment="1" applyProtection="1">
      <alignment horizontal="center" vertical="center"/>
      <protection hidden="1"/>
    </xf>
    <xf numFmtId="165" fontId="0" fillId="12" borderId="0" xfId="0" applyFill="1"/>
    <xf numFmtId="165" fontId="5" fillId="26" borderId="0" xfId="1" applyFont="1" applyFill="1"/>
    <xf numFmtId="165" fontId="0" fillId="12" borderId="0" xfId="0" applyFill="1"/>
    <xf numFmtId="1" fontId="49" fillId="30" borderId="37" xfId="0" applyNumberFormat="1" applyFont="1" applyFill="1" applyBorder="1" applyProtection="1">
      <protection hidden="1"/>
    </xf>
    <xf numFmtId="1" fontId="49" fillId="30" borderId="30" xfId="0" applyNumberFormat="1" applyFont="1" applyFill="1" applyBorder="1" applyProtection="1">
      <protection hidden="1"/>
    </xf>
    <xf numFmtId="1" fontId="49" fillId="30" borderId="39" xfId="0" applyNumberFormat="1" applyFont="1" applyFill="1" applyBorder="1" applyProtection="1">
      <protection hidden="1"/>
    </xf>
    <xf numFmtId="1" fontId="49" fillId="30" borderId="47" xfId="0" applyNumberFormat="1" applyFont="1" applyFill="1" applyBorder="1" applyProtection="1">
      <protection hidden="1"/>
    </xf>
    <xf numFmtId="1" fontId="49" fillId="29" borderId="37" xfId="0" applyNumberFormat="1" applyFont="1" applyFill="1" applyBorder="1" applyProtection="1">
      <protection hidden="1"/>
    </xf>
    <xf numFmtId="1" fontId="49" fillId="29" borderId="30" xfId="0" applyNumberFormat="1" applyFont="1" applyFill="1" applyBorder="1" applyProtection="1">
      <protection hidden="1"/>
    </xf>
    <xf numFmtId="1" fontId="49" fillId="29" borderId="39" xfId="0" applyNumberFormat="1" applyFont="1" applyFill="1" applyBorder="1" applyProtection="1">
      <protection hidden="1"/>
    </xf>
    <xf numFmtId="1" fontId="49" fillId="29" borderId="47" xfId="0" applyNumberFormat="1" applyFont="1" applyFill="1" applyBorder="1" applyProtection="1">
      <protection hidden="1"/>
    </xf>
    <xf numFmtId="1" fontId="49" fillId="31" borderId="37" xfId="0" applyNumberFormat="1" applyFont="1" applyFill="1" applyBorder="1" applyProtection="1">
      <protection hidden="1"/>
    </xf>
    <xf numFmtId="1" fontId="49" fillId="31" borderId="30" xfId="0" applyNumberFormat="1" applyFont="1" applyFill="1" applyBorder="1" applyProtection="1">
      <protection hidden="1"/>
    </xf>
    <xf numFmtId="1" fontId="49" fillId="31" borderId="39" xfId="0" applyNumberFormat="1" applyFont="1" applyFill="1" applyBorder="1" applyProtection="1">
      <protection hidden="1"/>
    </xf>
    <xf numFmtId="1" fontId="49" fillId="31" borderId="47" xfId="0" applyNumberFormat="1" applyFont="1" applyFill="1" applyBorder="1" applyProtection="1">
      <protection hidden="1"/>
    </xf>
    <xf numFmtId="1" fontId="49" fillId="9" borderId="37" xfId="0" applyNumberFormat="1" applyFont="1" applyFill="1" applyBorder="1" applyProtection="1">
      <protection hidden="1"/>
    </xf>
    <xf numFmtId="1" fontId="49" fillId="9" borderId="30" xfId="0" applyNumberFormat="1" applyFont="1" applyFill="1" applyBorder="1" applyProtection="1">
      <protection hidden="1"/>
    </xf>
    <xf numFmtId="1" fontId="49" fillId="9" borderId="39" xfId="0" applyNumberFormat="1" applyFont="1" applyFill="1" applyBorder="1" applyProtection="1">
      <protection hidden="1"/>
    </xf>
    <xf numFmtId="1" fontId="49" fillId="32" borderId="37" xfId="0" applyNumberFormat="1" applyFont="1" applyFill="1" applyBorder="1" applyProtection="1">
      <protection hidden="1"/>
    </xf>
    <xf numFmtId="1" fontId="49" fillId="32" borderId="30" xfId="0" applyNumberFormat="1" applyFont="1" applyFill="1" applyBorder="1" applyProtection="1">
      <protection hidden="1"/>
    </xf>
    <xf numFmtId="1" fontId="49" fillId="32" borderId="39" xfId="0" applyNumberFormat="1" applyFont="1" applyFill="1" applyBorder="1" applyProtection="1">
      <protection hidden="1"/>
    </xf>
    <xf numFmtId="1" fontId="49" fillId="33" borderId="65" xfId="0" applyNumberFormat="1" applyFont="1" applyFill="1" applyBorder="1" applyProtection="1">
      <protection hidden="1"/>
    </xf>
    <xf numFmtId="1" fontId="49" fillId="33" borderId="12" xfId="0" applyNumberFormat="1" applyFont="1" applyFill="1" applyBorder="1" applyProtection="1">
      <protection hidden="1"/>
    </xf>
    <xf numFmtId="1" fontId="49" fillId="33" borderId="37" xfId="0" applyNumberFormat="1" applyFont="1" applyFill="1" applyBorder="1" applyProtection="1">
      <protection hidden="1"/>
    </xf>
    <xf numFmtId="1" fontId="49" fillId="33" borderId="15" xfId="0" applyNumberFormat="1" applyFont="1" applyFill="1" applyBorder="1" applyProtection="1">
      <protection hidden="1"/>
    </xf>
    <xf numFmtId="1" fontId="49" fillId="33" borderId="30" xfId="0" applyNumberFormat="1" applyFont="1" applyFill="1" applyBorder="1" applyProtection="1">
      <protection hidden="1"/>
    </xf>
    <xf numFmtId="1" fontId="49" fillId="33" borderId="76" xfId="0" applyNumberFormat="1" applyFont="1" applyFill="1" applyBorder="1" applyProtection="1">
      <protection hidden="1"/>
    </xf>
    <xf numFmtId="1" fontId="49" fillId="33" borderId="17" xfId="0" applyNumberFormat="1" applyFont="1" applyFill="1" applyBorder="1" applyProtection="1">
      <protection hidden="1"/>
    </xf>
    <xf numFmtId="1" fontId="49" fillId="33" borderId="39" xfId="0" applyNumberFormat="1" applyFont="1" applyFill="1" applyBorder="1" applyProtection="1">
      <protection hidden="1"/>
    </xf>
    <xf numFmtId="1" fontId="49" fillId="16" borderId="12" xfId="0" applyNumberFormat="1" applyFont="1" applyFill="1" applyBorder="1" applyProtection="1">
      <protection hidden="1"/>
    </xf>
    <xf numFmtId="1" fontId="49" fillId="16" borderId="37" xfId="0" applyNumberFormat="1" applyFont="1" applyFill="1" applyBorder="1" applyProtection="1">
      <protection hidden="1"/>
    </xf>
    <xf numFmtId="1" fontId="49" fillId="16" borderId="15" xfId="0" applyNumberFormat="1" applyFont="1" applyFill="1" applyBorder="1" applyProtection="1">
      <protection hidden="1"/>
    </xf>
    <xf numFmtId="1" fontId="49" fillId="16" borderId="30" xfId="0" applyNumberFormat="1" applyFont="1" applyFill="1" applyBorder="1" applyProtection="1">
      <protection hidden="1"/>
    </xf>
    <xf numFmtId="1" fontId="49" fillId="16" borderId="17" xfId="0" applyNumberFormat="1" applyFont="1" applyFill="1" applyBorder="1" applyProtection="1">
      <protection hidden="1"/>
    </xf>
    <xf numFmtId="1" fontId="49" fillId="16" borderId="39" xfId="0" applyNumberFormat="1" applyFont="1" applyFill="1" applyBorder="1" applyProtection="1">
      <protection hidden="1"/>
    </xf>
    <xf numFmtId="1" fontId="49" fillId="22" borderId="37" xfId="0" applyNumberFormat="1" applyFont="1" applyFill="1" applyBorder="1" applyProtection="1">
      <protection hidden="1"/>
    </xf>
    <xf numFmtId="1" fontId="49" fillId="22" borderId="30" xfId="0" applyNumberFormat="1" applyFont="1" applyFill="1" applyBorder="1" applyProtection="1">
      <protection hidden="1"/>
    </xf>
    <xf numFmtId="1" fontId="49" fillId="22" borderId="39" xfId="0" applyNumberFormat="1" applyFont="1" applyFill="1" applyBorder="1" applyProtection="1">
      <protection hidden="1"/>
    </xf>
    <xf numFmtId="1" fontId="49" fillId="23" borderId="30" xfId="0" applyNumberFormat="1" applyFont="1" applyFill="1" applyBorder="1" applyProtection="1">
      <protection hidden="1"/>
    </xf>
    <xf numFmtId="1" fontId="49" fillId="23" borderId="39" xfId="0" applyNumberFormat="1" applyFont="1" applyFill="1" applyBorder="1" applyProtection="1">
      <protection hidden="1"/>
    </xf>
    <xf numFmtId="1" fontId="49" fillId="10" borderId="12" xfId="0" applyNumberFormat="1" applyFont="1" applyFill="1" applyBorder="1" applyProtection="1">
      <protection hidden="1"/>
    </xf>
    <xf numFmtId="1" fontId="49" fillId="10" borderId="15" xfId="0" applyNumberFormat="1" applyFont="1" applyFill="1" applyBorder="1" applyProtection="1">
      <protection hidden="1"/>
    </xf>
    <xf numFmtId="1" fontId="49" fillId="10" borderId="30" xfId="0" applyNumberFormat="1" applyFont="1" applyFill="1" applyBorder="1" applyProtection="1">
      <protection hidden="1"/>
    </xf>
    <xf numFmtId="1" fontId="49" fillId="10" borderId="17" xfId="0" applyNumberFormat="1" applyFont="1" applyFill="1" applyBorder="1" applyProtection="1">
      <protection hidden="1"/>
    </xf>
    <xf numFmtId="1" fontId="49" fillId="10" borderId="39" xfId="0" applyNumberFormat="1" applyFont="1" applyFill="1" applyBorder="1" applyProtection="1">
      <protection hidden="1"/>
    </xf>
    <xf numFmtId="1" fontId="49" fillId="5" borderId="12" xfId="0" applyNumberFormat="1" applyFont="1" applyFill="1" applyBorder="1" applyProtection="1">
      <protection hidden="1"/>
    </xf>
    <xf numFmtId="1" fontId="49" fillId="5" borderId="37" xfId="0" applyNumberFormat="1" applyFont="1" applyFill="1" applyBorder="1" applyProtection="1">
      <protection hidden="1"/>
    </xf>
    <xf numFmtId="1" fontId="49" fillId="5" borderId="15" xfId="0" applyNumberFormat="1" applyFont="1" applyFill="1" applyBorder="1" applyProtection="1">
      <protection hidden="1"/>
    </xf>
    <xf numFmtId="1" fontId="49" fillId="5" borderId="30" xfId="0" applyNumberFormat="1" applyFont="1" applyFill="1" applyBorder="1" applyProtection="1">
      <protection hidden="1"/>
    </xf>
    <xf numFmtId="1" fontId="49" fillId="5" borderId="17" xfId="0" applyNumberFormat="1" applyFont="1" applyFill="1" applyBorder="1" applyProtection="1">
      <protection hidden="1"/>
    </xf>
    <xf numFmtId="1" fontId="49" fillId="5" borderId="39" xfId="0" applyNumberFormat="1" applyFont="1" applyFill="1" applyBorder="1" applyProtection="1">
      <protection hidden="1"/>
    </xf>
    <xf numFmtId="1" fontId="49" fillId="34" borderId="12" xfId="0" applyNumberFormat="1" applyFont="1" applyFill="1" applyBorder="1" applyProtection="1">
      <protection hidden="1"/>
    </xf>
    <xf numFmtId="1" fontId="49" fillId="34" borderId="37" xfId="0" applyNumberFormat="1" applyFont="1" applyFill="1" applyBorder="1" applyProtection="1">
      <protection hidden="1"/>
    </xf>
    <xf numFmtId="1" fontId="49" fillId="34" borderId="15" xfId="0" applyNumberFormat="1" applyFont="1" applyFill="1" applyBorder="1" applyProtection="1">
      <protection hidden="1"/>
    </xf>
    <xf numFmtId="1" fontId="49" fillId="34" borderId="30" xfId="0" applyNumberFormat="1" applyFont="1" applyFill="1" applyBorder="1" applyProtection="1">
      <protection hidden="1"/>
    </xf>
    <xf numFmtId="1" fontId="49" fillId="34" borderId="17" xfId="0" applyNumberFormat="1" applyFont="1" applyFill="1" applyBorder="1" applyProtection="1">
      <protection hidden="1"/>
    </xf>
    <xf numFmtId="1" fontId="49" fillId="34" borderId="39" xfId="0" applyNumberFormat="1" applyFont="1" applyFill="1" applyBorder="1" applyProtection="1">
      <protection hidden="1"/>
    </xf>
    <xf numFmtId="1" fontId="49" fillId="4" borderId="12" xfId="0" applyNumberFormat="1" applyFont="1" applyFill="1" applyBorder="1" applyProtection="1">
      <protection hidden="1"/>
    </xf>
    <xf numFmtId="1" fontId="49" fillId="4" borderId="37" xfId="0" applyNumberFormat="1" applyFont="1" applyFill="1" applyBorder="1" applyProtection="1">
      <protection hidden="1"/>
    </xf>
    <xf numFmtId="1" fontId="49" fillId="4" borderId="15" xfId="0" applyNumberFormat="1" applyFont="1" applyFill="1" applyBorder="1" applyProtection="1">
      <protection hidden="1"/>
    </xf>
    <xf numFmtId="1" fontId="49" fillId="4" borderId="30" xfId="0" applyNumberFormat="1" applyFont="1" applyFill="1" applyBorder="1" applyProtection="1">
      <protection hidden="1"/>
    </xf>
    <xf numFmtId="1" fontId="49" fillId="4" borderId="17" xfId="0" applyNumberFormat="1" applyFont="1" applyFill="1" applyBorder="1" applyProtection="1">
      <protection hidden="1"/>
    </xf>
    <xf numFmtId="1" fontId="49" fillId="4" borderId="39" xfId="0" applyNumberFormat="1" applyFont="1" applyFill="1" applyBorder="1" applyProtection="1">
      <protection hidden="1"/>
    </xf>
    <xf numFmtId="1" fontId="49" fillId="35" borderId="12" xfId="0" applyNumberFormat="1" applyFont="1" applyFill="1" applyBorder="1" applyProtection="1">
      <protection hidden="1"/>
    </xf>
    <xf numFmtId="1" fontId="49" fillId="35" borderId="37" xfId="0" applyNumberFormat="1" applyFont="1" applyFill="1" applyBorder="1" applyProtection="1">
      <protection hidden="1"/>
    </xf>
    <xf numFmtId="1" fontId="49" fillId="35" borderId="15" xfId="0" applyNumberFormat="1" applyFont="1" applyFill="1" applyBorder="1" applyProtection="1">
      <protection hidden="1"/>
    </xf>
    <xf numFmtId="1" fontId="49" fillId="35" borderId="30" xfId="0" applyNumberFormat="1" applyFont="1" applyFill="1" applyBorder="1" applyProtection="1">
      <protection hidden="1"/>
    </xf>
    <xf numFmtId="1" fontId="49" fillId="35" borderId="17" xfId="0" applyNumberFormat="1" applyFont="1" applyFill="1" applyBorder="1" applyProtection="1">
      <protection hidden="1"/>
    </xf>
    <xf numFmtId="1" fontId="49" fillId="35" borderId="39" xfId="0" applyNumberFormat="1" applyFont="1" applyFill="1" applyBorder="1" applyProtection="1">
      <protection hidden="1"/>
    </xf>
    <xf numFmtId="1" fontId="49" fillId="12" borderId="70" xfId="0" applyNumberFormat="1" applyFont="1" applyFill="1" applyBorder="1" applyAlignment="1" applyProtection="1">
      <alignment vertical="center"/>
      <protection hidden="1"/>
    </xf>
    <xf numFmtId="1" fontId="49" fillId="12" borderId="75" xfId="0" applyNumberFormat="1" applyFont="1" applyFill="1" applyBorder="1" applyAlignment="1" applyProtection="1">
      <alignment vertical="center"/>
      <protection hidden="1"/>
    </xf>
    <xf numFmtId="1" fontId="49" fillId="12" borderId="25" xfId="0" applyNumberFormat="1" applyFont="1" applyFill="1" applyBorder="1" applyAlignment="1" applyProtection="1">
      <alignment vertical="center"/>
      <protection hidden="1"/>
    </xf>
    <xf numFmtId="1" fontId="49" fillId="28" borderId="37" xfId="0" applyNumberFormat="1" applyFont="1" applyFill="1" applyBorder="1" applyProtection="1">
      <protection hidden="1"/>
    </xf>
    <xf numFmtId="1" fontId="49" fillId="28" borderId="30" xfId="0" applyNumberFormat="1" applyFont="1" applyFill="1" applyBorder="1" applyProtection="1">
      <protection hidden="1"/>
    </xf>
    <xf numFmtId="1" fontId="49" fillId="41" borderId="37" xfId="0" applyNumberFormat="1" applyFont="1" applyFill="1" applyBorder="1" applyProtection="1">
      <protection hidden="1"/>
    </xf>
    <xf numFmtId="1" fontId="49" fillId="41" borderId="30" xfId="0" applyNumberFormat="1" applyFont="1" applyFill="1" applyBorder="1" applyProtection="1">
      <protection hidden="1"/>
    </xf>
    <xf numFmtId="1" fontId="49" fillId="41" borderId="39" xfId="0" applyNumberFormat="1" applyFont="1" applyFill="1" applyBorder="1" applyProtection="1">
      <protection hidden="1"/>
    </xf>
    <xf numFmtId="165" fontId="61" fillId="22" borderId="37" xfId="0" applyFont="1" applyFill="1" applyBorder="1" applyAlignment="1" applyProtection="1">
      <alignment horizontal="center" vertical="center"/>
      <protection hidden="1"/>
    </xf>
    <xf numFmtId="165" fontId="61" fillId="22" borderId="30" xfId="0" applyFont="1" applyFill="1" applyBorder="1" applyAlignment="1" applyProtection="1">
      <alignment horizontal="center" vertical="center"/>
      <protection hidden="1"/>
    </xf>
    <xf numFmtId="165" fontId="61" fillId="22" borderId="39" xfId="0" applyFont="1" applyFill="1" applyBorder="1" applyAlignment="1" applyProtection="1">
      <alignment horizontal="center" vertical="center"/>
      <protection hidden="1"/>
    </xf>
    <xf numFmtId="165" fontId="9" fillId="26" borderId="8" xfId="0" applyFont="1" applyFill="1" applyBorder="1" applyAlignment="1">
      <alignment horizontal="center"/>
    </xf>
    <xf numFmtId="1" fontId="9" fillId="26" borderId="9" xfId="0" applyNumberFormat="1" applyFont="1" applyFill="1" applyBorder="1" applyAlignment="1">
      <alignment horizontal="left"/>
    </xf>
    <xf numFmtId="165" fontId="9" fillId="14" borderId="20" xfId="0" applyFont="1" applyFill="1" applyBorder="1" applyAlignment="1">
      <alignment horizontal="center" vertical="center" wrapText="1"/>
    </xf>
    <xf numFmtId="9" fontId="9" fillId="14" borderId="22" xfId="0" applyNumberFormat="1" applyFont="1" applyFill="1" applyBorder="1" applyAlignment="1">
      <alignment horizontal="center" vertical="center" wrapText="1"/>
    </xf>
    <xf numFmtId="165" fontId="12" fillId="6" borderId="0" xfId="1" applyFont="1" applyFill="1" applyAlignment="1"/>
    <xf numFmtId="165" fontId="0" fillId="12" borderId="0" xfId="0" applyFill="1"/>
    <xf numFmtId="165" fontId="0" fillId="12" borderId="0" xfId="0" applyFill="1"/>
    <xf numFmtId="165" fontId="22" fillId="45" borderId="0" xfId="0" applyFont="1" applyFill="1"/>
    <xf numFmtId="165" fontId="5" fillId="45" borderId="0" xfId="1" applyFont="1" applyFill="1" applyAlignment="1">
      <alignment horizontal="left"/>
    </xf>
    <xf numFmtId="165" fontId="19" fillId="45" borderId="0" xfId="1" applyFont="1" applyFill="1" applyAlignment="1">
      <alignment horizontal="left"/>
    </xf>
    <xf numFmtId="165" fontId="3" fillId="45" borderId="0" xfId="0" applyFont="1" applyFill="1"/>
    <xf numFmtId="3" fontId="9" fillId="45" borderId="10" xfId="0" applyNumberFormat="1" applyFont="1" applyFill="1" applyBorder="1" applyAlignment="1">
      <alignment horizontal="center" vertical="center"/>
    </xf>
    <xf numFmtId="0" fontId="9" fillId="45" borderId="20" xfId="0" applyNumberFormat="1" applyFont="1" applyFill="1" applyBorder="1" applyAlignment="1">
      <alignment horizontal="center" vertical="center"/>
    </xf>
    <xf numFmtId="2" fontId="9" fillId="45" borderId="11" xfId="4" applyNumberFormat="1" applyFont="1" applyFill="1" applyBorder="1" applyAlignment="1">
      <alignment horizontal="center" vertical="center" wrapText="1" shrinkToFit="1"/>
    </xf>
    <xf numFmtId="165" fontId="9" fillId="45" borderId="5" xfId="0" applyFont="1" applyFill="1" applyBorder="1" applyAlignment="1">
      <alignment horizontal="center"/>
    </xf>
    <xf numFmtId="3" fontId="9" fillId="45" borderId="6" xfId="0" applyNumberFormat="1" applyFont="1" applyFill="1" applyBorder="1" applyAlignment="1">
      <alignment horizontal="center"/>
    </xf>
    <xf numFmtId="1" fontId="9" fillId="45" borderId="6" xfId="0" applyNumberFormat="1" applyFont="1" applyFill="1" applyBorder="1" applyAlignment="1">
      <alignment horizontal="left"/>
    </xf>
    <xf numFmtId="165" fontId="9" fillId="45" borderId="6" xfId="0" applyFont="1" applyFill="1" applyBorder="1" applyAlignment="1">
      <alignment horizontal="left"/>
    </xf>
    <xf numFmtId="3" fontId="9" fillId="45" borderId="9" xfId="0" applyNumberFormat="1" applyFont="1" applyFill="1" applyBorder="1" applyAlignment="1">
      <alignment horizontal="center"/>
    </xf>
    <xf numFmtId="165" fontId="0" fillId="12" borderId="0" xfId="0" applyFill="1"/>
    <xf numFmtId="165" fontId="30" fillId="0" borderId="0" xfId="8"/>
    <xf numFmtId="164" fontId="11" fillId="0" borderId="8" xfId="0" applyNumberFormat="1" applyFont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165" fontId="9" fillId="9" borderId="8" xfId="0" applyFont="1" applyFill="1" applyBorder="1" applyAlignment="1">
      <alignment horizontal="center"/>
    </xf>
    <xf numFmtId="165" fontId="9" fillId="9" borderId="10" xfId="0" applyFont="1" applyFill="1" applyBorder="1" applyAlignment="1">
      <alignment horizontal="center"/>
    </xf>
    <xf numFmtId="165" fontId="0" fillId="12" borderId="0" xfId="0" applyFill="1"/>
    <xf numFmtId="170" fontId="68" fillId="12" borderId="0" xfId="0" applyNumberFormat="1" applyFont="1" applyFill="1" applyAlignment="1"/>
    <xf numFmtId="165" fontId="9" fillId="14" borderId="22" xfId="0" applyFont="1" applyFill="1" applyBorder="1" applyAlignment="1">
      <alignment horizontal="center" vertical="center"/>
    </xf>
    <xf numFmtId="164" fontId="9" fillId="14" borderId="24" xfId="0" applyNumberFormat="1" applyFont="1" applyFill="1" applyBorder="1" applyAlignment="1">
      <alignment horizontal="center" vertical="center" wrapText="1"/>
    </xf>
    <xf numFmtId="164" fontId="9" fillId="14" borderId="16" xfId="0" applyNumberFormat="1" applyFont="1" applyFill="1" applyBorder="1" applyAlignment="1">
      <alignment horizontal="center" vertical="center" wrapText="1"/>
    </xf>
    <xf numFmtId="164" fontId="9" fillId="14" borderId="19" xfId="0" applyNumberFormat="1" applyFont="1" applyFill="1" applyBorder="1" applyAlignment="1">
      <alignment horizontal="center" vertical="center" wrapText="1"/>
    </xf>
    <xf numFmtId="165" fontId="9" fillId="14" borderId="12" xfId="0" applyFont="1" applyFill="1" applyBorder="1" applyAlignment="1">
      <alignment horizontal="center"/>
    </xf>
    <xf numFmtId="165" fontId="0" fillId="12" borderId="0" xfId="0" applyFill="1"/>
    <xf numFmtId="165" fontId="9" fillId="14" borderId="19" xfId="0" applyFont="1" applyFill="1" applyBorder="1" applyAlignment="1">
      <alignment horizontal="center" vertical="center" wrapText="1"/>
    </xf>
    <xf numFmtId="2" fontId="8" fillId="0" borderId="30" xfId="0" applyNumberFormat="1" applyFont="1" applyFill="1" applyBorder="1" applyAlignment="1">
      <alignment horizontal="center" vertical="center" wrapText="1"/>
    </xf>
    <xf numFmtId="164" fontId="0" fillId="9" borderId="30" xfId="0" applyNumberFormat="1" applyFill="1" applyBorder="1" applyAlignment="1">
      <alignment horizontal="center" vertical="center"/>
    </xf>
    <xf numFmtId="165" fontId="0" fillId="12" borderId="0" xfId="0" applyFill="1"/>
    <xf numFmtId="2" fontId="9" fillId="14" borderId="16" xfId="0" applyNumberFormat="1" applyFont="1" applyFill="1" applyBorder="1" applyAlignment="1">
      <alignment horizontal="center" vertical="center" wrapText="1"/>
    </xf>
    <xf numFmtId="2" fontId="9" fillId="14" borderId="19" xfId="0" applyNumberFormat="1" applyFont="1" applyFill="1" applyBorder="1" applyAlignment="1">
      <alignment horizontal="center" vertical="center" wrapText="1"/>
    </xf>
    <xf numFmtId="2" fontId="9" fillId="14" borderId="14" xfId="0" applyNumberFormat="1" applyFont="1" applyFill="1" applyBorder="1" applyAlignment="1">
      <alignment horizontal="center" vertical="center" wrapText="1"/>
    </xf>
    <xf numFmtId="165" fontId="0" fillId="12" borderId="0" xfId="0" applyFill="1"/>
    <xf numFmtId="165" fontId="74" fillId="4" borderId="29" xfId="2" applyFont="1" applyFill="1" applyBorder="1" applyAlignment="1">
      <alignment horizontal="center" vertical="center"/>
    </xf>
    <xf numFmtId="165" fontId="74" fillId="4" borderId="20" xfId="2" applyFont="1" applyFill="1" applyBorder="1" applyAlignment="1">
      <alignment horizontal="center" vertical="center"/>
    </xf>
    <xf numFmtId="165" fontId="0" fillId="12" borderId="0" xfId="0" applyFill="1"/>
    <xf numFmtId="165" fontId="9" fillId="12" borderId="0" xfId="0" applyFont="1" applyFill="1" applyBorder="1" applyAlignment="1">
      <alignment horizontal="center" vertical="center"/>
    </xf>
    <xf numFmtId="165" fontId="0" fillId="12" borderId="27" xfId="0" applyFill="1" applyBorder="1" applyAlignment="1"/>
    <xf numFmtId="165" fontId="0" fillId="12" borderId="0" xfId="0" applyFill="1" applyBorder="1" applyAlignment="1"/>
    <xf numFmtId="165" fontId="0" fillId="12" borderId="28" xfId="0" applyFill="1" applyBorder="1" applyAlignment="1"/>
    <xf numFmtId="165" fontId="0" fillId="12" borderId="5" xfId="0" applyFill="1" applyBorder="1" applyAlignment="1"/>
    <xf numFmtId="165" fontId="0" fillId="12" borderId="6" xfId="0" applyFill="1" applyBorder="1" applyAlignment="1"/>
    <xf numFmtId="165" fontId="0" fillId="12" borderId="7" xfId="0" applyFill="1" applyBorder="1" applyAlignment="1"/>
    <xf numFmtId="165" fontId="0" fillId="12" borderId="0" xfId="0" applyFill="1"/>
    <xf numFmtId="165" fontId="12" fillId="6" borderId="0" xfId="1" applyFont="1" applyFill="1" applyAlignment="1"/>
    <xf numFmtId="165" fontId="9" fillId="14" borderId="40" xfId="0" applyFont="1" applyFill="1" applyBorder="1" applyAlignment="1">
      <alignment horizontal="center"/>
    </xf>
    <xf numFmtId="165" fontId="0" fillId="12" borderId="0" xfId="0" applyFill="1"/>
    <xf numFmtId="165" fontId="49" fillId="12" borderId="8" xfId="0" applyFont="1" applyFill="1" applyBorder="1" applyAlignment="1" applyProtection="1">
      <alignment horizontal="center" vertical="center"/>
      <protection hidden="1"/>
    </xf>
    <xf numFmtId="1" fontId="49" fillId="12" borderId="60" xfId="0" applyNumberFormat="1" applyFont="1" applyFill="1" applyBorder="1" applyAlignment="1" applyProtection="1">
      <alignment horizontal="center" vertical="center"/>
      <protection hidden="1"/>
    </xf>
    <xf numFmtId="1" fontId="49" fillId="12" borderId="18" xfId="0" applyNumberFormat="1" applyFont="1" applyFill="1" applyBorder="1" applyAlignment="1" applyProtection="1">
      <alignment horizontal="center" vertical="center"/>
      <protection hidden="1"/>
    </xf>
    <xf numFmtId="3" fontId="9" fillId="2" borderId="10" xfId="0" applyNumberFormat="1" applyFont="1" applyFill="1" applyBorder="1" applyAlignment="1">
      <alignment horizontal="center" vertical="center"/>
    </xf>
    <xf numFmtId="165" fontId="9" fillId="14" borderId="59" xfId="0" applyFont="1" applyFill="1" applyBorder="1" applyAlignment="1">
      <alignment horizontal="center"/>
    </xf>
    <xf numFmtId="165" fontId="9" fillId="14" borderId="51" xfId="0" applyFont="1" applyFill="1" applyBorder="1" applyAlignment="1">
      <alignment horizontal="center"/>
    </xf>
    <xf numFmtId="165" fontId="9" fillId="38" borderId="24" xfId="0" applyFont="1" applyFill="1" applyBorder="1" applyAlignment="1">
      <alignment horizontal="center"/>
    </xf>
    <xf numFmtId="165" fontId="9" fillId="38" borderId="16" xfId="0" applyFont="1" applyFill="1" applyBorder="1" applyAlignment="1">
      <alignment horizontal="center"/>
    </xf>
    <xf numFmtId="165" fontId="9" fillId="14" borderId="30" xfId="0" applyFont="1" applyFill="1" applyBorder="1" applyAlignment="1">
      <alignment horizontal="center"/>
    </xf>
    <xf numFmtId="164" fontId="9" fillId="14" borderId="40" xfId="0" applyNumberFormat="1" applyFont="1" applyFill="1" applyBorder="1" applyAlignment="1">
      <alignment horizontal="center"/>
    </xf>
    <xf numFmtId="164" fontId="9" fillId="38" borderId="16" xfId="0" applyNumberFormat="1" applyFont="1" applyFill="1" applyBorder="1" applyAlignment="1">
      <alignment horizontal="center"/>
    </xf>
    <xf numFmtId="165" fontId="9" fillId="14" borderId="39" xfId="0" applyFont="1" applyFill="1" applyBorder="1" applyAlignment="1">
      <alignment horizontal="center"/>
    </xf>
    <xf numFmtId="164" fontId="9" fillId="14" borderId="62" xfId="0" applyNumberFormat="1" applyFont="1" applyFill="1" applyBorder="1" applyAlignment="1">
      <alignment horizontal="center"/>
    </xf>
    <xf numFmtId="164" fontId="9" fillId="38" borderId="19" xfId="0" applyNumberFormat="1" applyFont="1" applyFill="1" applyBorder="1" applyAlignment="1">
      <alignment horizontal="center"/>
    </xf>
    <xf numFmtId="167" fontId="8" fillId="0" borderId="54" xfId="0" applyNumberFormat="1" applyFont="1" applyBorder="1"/>
    <xf numFmtId="1" fontId="26" fillId="0" borderId="69" xfId="0" applyNumberFormat="1" applyFont="1" applyFill="1" applyBorder="1" applyAlignment="1">
      <alignment horizontal="center"/>
    </xf>
    <xf numFmtId="167" fontId="8" fillId="0" borderId="55" xfId="0" applyNumberFormat="1" applyFont="1" applyBorder="1"/>
    <xf numFmtId="1" fontId="26" fillId="0" borderId="68" xfId="0" applyNumberFormat="1" applyFont="1" applyFill="1" applyBorder="1" applyAlignment="1">
      <alignment horizontal="center"/>
    </xf>
    <xf numFmtId="167" fontId="8" fillId="0" borderId="56" xfId="0" applyNumberFormat="1" applyFont="1" applyBorder="1"/>
    <xf numFmtId="1" fontId="26" fillId="0" borderId="38" xfId="0" applyNumberFormat="1" applyFont="1" applyFill="1" applyBorder="1" applyAlignment="1">
      <alignment horizontal="center"/>
    </xf>
    <xf numFmtId="165" fontId="81" fillId="0" borderId="39" xfId="0" applyFont="1" applyBorder="1" applyAlignment="1">
      <alignment horizontal="left" vertical="center" wrapText="1"/>
    </xf>
    <xf numFmtId="167" fontId="11" fillId="22" borderId="39" xfId="0" applyNumberFormat="1" applyFont="1" applyFill="1" applyBorder="1" applyAlignment="1" applyProtection="1">
      <alignment horizontal="center" vertical="center"/>
      <protection hidden="1"/>
    </xf>
    <xf numFmtId="165" fontId="0" fillId="12" borderId="0" xfId="0" applyFill="1"/>
    <xf numFmtId="165" fontId="0" fillId="12" borderId="0" xfId="0" applyFill="1"/>
    <xf numFmtId="165" fontId="0" fillId="12" borderId="0" xfId="0" applyFill="1"/>
    <xf numFmtId="9" fontId="9" fillId="14" borderId="10" xfId="0" applyNumberFormat="1" applyFont="1" applyFill="1" applyBorder="1" applyAlignment="1">
      <alignment horizontal="center" vertical="center"/>
    </xf>
    <xf numFmtId="165" fontId="0" fillId="12" borderId="0" xfId="0" applyFill="1"/>
    <xf numFmtId="165" fontId="0" fillId="12" borderId="0" xfId="0" applyFill="1" applyAlignment="1">
      <alignment wrapText="1"/>
    </xf>
    <xf numFmtId="170" fontId="0" fillId="12" borderId="0" xfId="0" applyNumberFormat="1" applyFill="1"/>
    <xf numFmtId="0" fontId="9" fillId="14" borderId="12" xfId="4" applyNumberFormat="1" applyFont="1" applyFill="1" applyBorder="1" applyAlignment="1">
      <alignment horizontal="center" vertical="center"/>
    </xf>
    <xf numFmtId="165" fontId="82" fillId="0" borderId="30" xfId="0" applyFont="1" applyBorder="1" applyAlignment="1">
      <alignment horizontal="center" vertical="center"/>
    </xf>
    <xf numFmtId="165" fontId="12" fillId="0" borderId="0" xfId="1" applyFont="1" applyFill="1" applyAlignment="1" applyProtection="1"/>
    <xf numFmtId="165" fontId="0" fillId="12" borderId="0" xfId="0" applyFill="1"/>
    <xf numFmtId="165" fontId="0" fillId="0" borderId="26" xfId="0" applyBorder="1" applyAlignment="1">
      <alignment horizontal="center"/>
    </xf>
    <xf numFmtId="165" fontId="8" fillId="0" borderId="26" xfId="0" applyFont="1" applyBorder="1" applyAlignment="1">
      <alignment horizontal="center" vertical="center"/>
    </xf>
    <xf numFmtId="165" fontId="9" fillId="0" borderId="26" xfId="0" applyFont="1" applyBorder="1" applyAlignment="1">
      <alignment horizontal="left" vertical="center" wrapText="1"/>
    </xf>
    <xf numFmtId="167" fontId="47" fillId="10" borderId="26" xfId="0" applyNumberFormat="1" applyFont="1" applyFill="1" applyBorder="1" applyAlignment="1">
      <alignment horizontal="center" vertical="center"/>
    </xf>
    <xf numFmtId="165" fontId="83" fillId="0" borderId="20" xfId="0" applyFont="1" applyBorder="1" applyAlignment="1">
      <alignment horizontal="center" vertical="center"/>
    </xf>
    <xf numFmtId="165" fontId="9" fillId="0" borderId="26" xfId="0" applyFont="1" applyBorder="1" applyAlignment="1">
      <alignment horizontal="left" vertical="center"/>
    </xf>
    <xf numFmtId="165" fontId="0" fillId="0" borderId="26" xfId="0" applyBorder="1"/>
    <xf numFmtId="164" fontId="47" fillId="10" borderId="26" xfId="0" applyNumberFormat="1" applyFont="1" applyFill="1" applyBorder="1" applyAlignment="1">
      <alignment horizontal="center" vertical="center"/>
    </xf>
    <xf numFmtId="165" fontId="9" fillId="0" borderId="20" xfId="0" applyFont="1" applyBorder="1" applyAlignment="1">
      <alignment horizontal="left" vertical="center" wrapText="1"/>
    </xf>
    <xf numFmtId="165" fontId="8" fillId="0" borderId="20" xfId="0" applyFont="1" applyBorder="1" applyAlignment="1">
      <alignment horizontal="left" vertical="center" wrapText="1"/>
    </xf>
    <xf numFmtId="165" fontId="0" fillId="0" borderId="9" xfId="0" applyBorder="1"/>
    <xf numFmtId="167" fontId="47" fillId="10" borderId="20" xfId="0" applyNumberFormat="1" applyFont="1" applyFill="1" applyBorder="1" applyAlignment="1">
      <alignment horizontal="center" vertical="center"/>
    </xf>
    <xf numFmtId="1" fontId="49" fillId="12" borderId="18" xfId="0" applyNumberFormat="1" applyFont="1" applyFill="1" applyBorder="1" applyAlignment="1" applyProtection="1">
      <alignment horizontal="center" vertical="center"/>
      <protection hidden="1"/>
    </xf>
    <xf numFmtId="1" fontId="49" fillId="22" borderId="66" xfId="0" applyNumberFormat="1" applyFont="1" applyFill="1" applyBorder="1" applyAlignment="1" applyProtection="1">
      <alignment horizontal="right"/>
      <protection hidden="1"/>
    </xf>
    <xf numFmtId="1" fontId="49" fillId="23" borderId="1" xfId="0" applyNumberFormat="1" applyFont="1" applyFill="1" applyBorder="1" applyAlignment="1" applyProtection="1">
      <alignment horizontal="right"/>
      <protection hidden="1"/>
    </xf>
    <xf numFmtId="2" fontId="49" fillId="22" borderId="1" xfId="0" applyNumberFormat="1" applyFont="1" applyFill="1" applyBorder="1" applyAlignment="1" applyProtection="1">
      <alignment horizontal="right"/>
      <protection hidden="1"/>
    </xf>
    <xf numFmtId="2" fontId="49" fillId="23" borderId="1" xfId="0" applyNumberFormat="1" applyFont="1" applyFill="1" applyBorder="1" applyAlignment="1" applyProtection="1">
      <alignment horizontal="right"/>
      <protection hidden="1"/>
    </xf>
    <xf numFmtId="1" fontId="61" fillId="22" borderId="50" xfId="0" applyNumberFormat="1" applyFont="1" applyFill="1" applyBorder="1" applyProtection="1">
      <protection hidden="1"/>
    </xf>
    <xf numFmtId="1" fontId="61" fillId="22" borderId="0" xfId="0" applyNumberFormat="1" applyFont="1" applyFill="1" applyBorder="1" applyProtection="1">
      <protection hidden="1"/>
    </xf>
    <xf numFmtId="165" fontId="63" fillId="12" borderId="0" xfId="0" applyFont="1" applyFill="1" applyBorder="1" applyAlignment="1" applyProtection="1">
      <alignment horizontal="center" vertical="center" textRotation="90"/>
      <protection hidden="1"/>
    </xf>
    <xf numFmtId="1" fontId="49" fillId="22" borderId="40" xfId="0" applyNumberFormat="1" applyFont="1" applyFill="1" applyBorder="1" applyAlignment="1" applyProtection="1">
      <alignment horizontal="right"/>
      <protection hidden="1"/>
    </xf>
    <xf numFmtId="1" fontId="49" fillId="23" borderId="16" xfId="0" applyNumberFormat="1" applyFont="1" applyFill="1" applyBorder="1" applyAlignment="1" applyProtection="1">
      <alignment horizontal="right"/>
      <protection hidden="1"/>
    </xf>
    <xf numFmtId="1" fontId="49" fillId="10" borderId="1" xfId="0" applyNumberFormat="1" applyFont="1" applyFill="1" applyBorder="1" applyAlignment="1" applyProtection="1">
      <alignment horizontal="right"/>
      <protection hidden="1"/>
    </xf>
    <xf numFmtId="1" fontId="49" fillId="10" borderId="16" xfId="0" applyNumberFormat="1" applyFont="1" applyFill="1" applyBorder="1" applyAlignment="1" applyProtection="1">
      <alignment horizontal="right"/>
      <protection hidden="1"/>
    </xf>
    <xf numFmtId="1" fontId="49" fillId="5" borderId="1" xfId="0" applyNumberFormat="1" applyFont="1" applyFill="1" applyBorder="1" applyAlignment="1" applyProtection="1">
      <alignment horizontal="right"/>
      <protection hidden="1"/>
    </xf>
    <xf numFmtId="1" fontId="49" fillId="5" borderId="16" xfId="0" applyNumberFormat="1" applyFont="1" applyFill="1" applyBorder="1" applyAlignment="1" applyProtection="1">
      <alignment horizontal="right"/>
      <protection hidden="1"/>
    </xf>
    <xf numFmtId="1" fontId="49" fillId="34" borderId="1" xfId="0" applyNumberFormat="1" applyFont="1" applyFill="1" applyBorder="1" applyAlignment="1" applyProtection="1">
      <alignment horizontal="right"/>
      <protection hidden="1"/>
    </xf>
    <xf numFmtId="1" fontId="49" fillId="34" borderId="16" xfId="0" applyNumberFormat="1" applyFont="1" applyFill="1" applyBorder="1" applyAlignment="1" applyProtection="1">
      <alignment horizontal="right"/>
      <protection hidden="1"/>
    </xf>
    <xf numFmtId="1" fontId="49" fillId="4" borderId="1" xfId="0" applyNumberFormat="1" applyFont="1" applyFill="1" applyBorder="1" applyAlignment="1" applyProtection="1">
      <alignment horizontal="right"/>
      <protection hidden="1"/>
    </xf>
    <xf numFmtId="1" fontId="49" fillId="4" borderId="16" xfId="0" applyNumberFormat="1" applyFont="1" applyFill="1" applyBorder="1" applyAlignment="1" applyProtection="1">
      <alignment horizontal="right"/>
      <protection hidden="1"/>
    </xf>
    <xf numFmtId="1" fontId="49" fillId="35" borderId="18" xfId="0" applyNumberFormat="1" applyFont="1" applyFill="1" applyBorder="1" applyAlignment="1" applyProtection="1">
      <alignment horizontal="right"/>
      <protection hidden="1"/>
    </xf>
    <xf numFmtId="1" fontId="49" fillId="35" borderId="19" xfId="0" applyNumberFormat="1" applyFont="1" applyFill="1" applyBorder="1" applyAlignment="1" applyProtection="1">
      <alignment horizontal="right"/>
      <protection hidden="1"/>
    </xf>
    <xf numFmtId="165" fontId="61" fillId="23" borderId="37" xfId="0" applyFont="1" applyFill="1" applyBorder="1" applyAlignment="1" applyProtection="1">
      <alignment horizontal="center" vertical="center"/>
      <protection hidden="1"/>
    </xf>
    <xf numFmtId="165" fontId="61" fillId="23" borderId="30" xfId="0" applyFont="1" applyFill="1" applyBorder="1" applyAlignment="1" applyProtection="1">
      <alignment horizontal="center" vertical="center"/>
      <protection hidden="1"/>
    </xf>
    <xf numFmtId="165" fontId="61" fillId="23" borderId="39" xfId="0" applyFont="1" applyFill="1" applyBorder="1" applyAlignment="1" applyProtection="1">
      <alignment horizontal="center" vertical="center"/>
      <protection hidden="1"/>
    </xf>
    <xf numFmtId="165" fontId="9" fillId="26" borderId="9" xfId="0" applyFont="1" applyFill="1" applyBorder="1" applyAlignment="1">
      <alignment horizontal="left"/>
    </xf>
    <xf numFmtId="165" fontId="17" fillId="0" borderId="30" xfId="5" applyFont="1" applyBorder="1" applyAlignment="1">
      <alignment horizontal="left" vertical="center" wrapText="1"/>
    </xf>
    <xf numFmtId="165" fontId="0" fillId="12" borderId="0" xfId="0" applyFill="1"/>
    <xf numFmtId="165" fontId="0" fillId="12" borderId="0" xfId="0" applyFill="1"/>
    <xf numFmtId="165" fontId="0" fillId="0" borderId="50" xfId="0" applyBorder="1"/>
    <xf numFmtId="2" fontId="8" fillId="0" borderId="29" xfId="5" applyNumberFormat="1" applyFont="1" applyBorder="1"/>
    <xf numFmtId="1" fontId="61" fillId="16" borderId="62" xfId="0" applyNumberFormat="1" applyFont="1" applyFill="1" applyBorder="1" applyAlignment="1" applyProtection="1">
      <alignment horizontal="center" vertical="center"/>
      <protection hidden="1"/>
    </xf>
    <xf numFmtId="165" fontId="61" fillId="16" borderId="61" xfId="0" applyFont="1" applyFill="1" applyBorder="1" applyAlignment="1" applyProtection="1">
      <alignment horizontal="center" vertical="center"/>
      <protection hidden="1"/>
    </xf>
    <xf numFmtId="1" fontId="61" fillId="16" borderId="37" xfId="0" applyNumberFormat="1" applyFont="1" applyFill="1" applyBorder="1" applyProtection="1">
      <protection hidden="1"/>
    </xf>
    <xf numFmtId="165" fontId="0" fillId="12" borderId="0" xfId="0" applyFill="1"/>
    <xf numFmtId="165" fontId="24" fillId="12" borderId="0" xfId="0" applyFont="1" applyFill="1"/>
    <xf numFmtId="1" fontId="49" fillId="22" borderId="0" xfId="0" applyNumberFormat="1" applyFont="1" applyFill="1" applyBorder="1" applyAlignment="1" applyProtection="1">
      <alignment horizontal="right"/>
      <protection locked="0"/>
    </xf>
    <xf numFmtId="165" fontId="9" fillId="14" borderId="14" xfId="0" applyFont="1" applyFill="1" applyBorder="1" applyAlignment="1">
      <alignment horizontal="center" vertical="center" wrapText="1"/>
    </xf>
    <xf numFmtId="165" fontId="0" fillId="12" borderId="0" xfId="0" applyFill="1"/>
    <xf numFmtId="0" fontId="9" fillId="40" borderId="20" xfId="0" applyNumberFormat="1" applyFont="1" applyFill="1" applyBorder="1" applyAlignment="1">
      <alignment horizontal="center" vertical="center"/>
    </xf>
    <xf numFmtId="165" fontId="9" fillId="40" borderId="47" xfId="0" applyFont="1" applyFill="1" applyBorder="1"/>
    <xf numFmtId="165" fontId="0" fillId="12" borderId="0" xfId="0" applyFill="1"/>
    <xf numFmtId="164" fontId="9" fillId="9" borderId="30" xfId="0" applyNumberFormat="1" applyFont="1" applyFill="1" applyBorder="1" applyAlignment="1">
      <alignment horizontal="center" vertical="center"/>
    </xf>
    <xf numFmtId="165" fontId="12" fillId="6" borderId="0" xfId="1" applyFont="1" applyFill="1" applyAlignment="1"/>
    <xf numFmtId="165" fontId="0" fillId="12" borderId="0" xfId="0" applyFill="1"/>
    <xf numFmtId="3" fontId="9" fillId="46" borderId="10" xfId="0" applyNumberFormat="1" applyFont="1" applyFill="1" applyBorder="1" applyAlignment="1">
      <alignment horizontal="center" vertical="center"/>
    </xf>
    <xf numFmtId="1" fontId="9" fillId="46" borderId="20" xfId="0" applyNumberFormat="1" applyFont="1" applyFill="1" applyBorder="1" applyAlignment="1">
      <alignment horizontal="center" vertical="center"/>
    </xf>
    <xf numFmtId="2" fontId="9" fillId="46" borderId="20" xfId="4" applyNumberFormat="1" applyFont="1" applyFill="1" applyBorder="1" applyAlignment="1">
      <alignment horizontal="center" vertical="center" wrapText="1" shrinkToFit="1"/>
    </xf>
    <xf numFmtId="165" fontId="9" fillId="46" borderId="5" xfId="0" applyFont="1" applyFill="1" applyBorder="1" applyAlignment="1">
      <alignment horizontal="center"/>
    </xf>
    <xf numFmtId="3" fontId="9" fillId="46" borderId="6" xfId="0" applyNumberFormat="1" applyFont="1" applyFill="1" applyBorder="1" applyAlignment="1">
      <alignment horizontal="center"/>
    </xf>
    <xf numFmtId="1" fontId="9" fillId="46" borderId="6" xfId="0" applyNumberFormat="1" applyFont="1" applyFill="1" applyBorder="1" applyAlignment="1">
      <alignment horizontal="left"/>
    </xf>
    <xf numFmtId="165" fontId="9" fillId="46" borderId="6" xfId="0" applyFont="1" applyFill="1" applyBorder="1" applyAlignment="1">
      <alignment horizontal="left"/>
    </xf>
    <xf numFmtId="3" fontId="9" fillId="46" borderId="9" xfId="0" applyNumberFormat="1" applyFont="1" applyFill="1" applyBorder="1" applyAlignment="1">
      <alignment horizontal="center"/>
    </xf>
    <xf numFmtId="165" fontId="9" fillId="46" borderId="27" xfId="0" applyFont="1" applyFill="1" applyBorder="1" applyAlignment="1">
      <alignment horizontal="center"/>
    </xf>
    <xf numFmtId="3" fontId="9" fillId="46" borderId="3" xfId="0" applyNumberFormat="1" applyFont="1" applyFill="1" applyBorder="1" applyAlignment="1">
      <alignment horizontal="center"/>
    </xf>
    <xf numFmtId="1" fontId="9" fillId="46" borderId="0" xfId="0" applyNumberFormat="1" applyFont="1" applyFill="1" applyAlignment="1">
      <alignment horizontal="left"/>
    </xf>
    <xf numFmtId="3" fontId="9" fillId="46" borderId="0" xfId="0" applyNumberFormat="1" applyFont="1" applyFill="1" applyAlignment="1">
      <alignment horizontal="center"/>
    </xf>
    <xf numFmtId="165" fontId="9" fillId="46" borderId="0" xfId="0" applyFont="1" applyFill="1" applyAlignment="1">
      <alignment horizontal="left"/>
    </xf>
    <xf numFmtId="164" fontId="8" fillId="0" borderId="59" xfId="4" applyNumberFormat="1" applyFont="1" applyBorder="1"/>
    <xf numFmtId="164" fontId="8" fillId="0" borderId="21" xfId="4" applyNumberFormat="1" applyFont="1" applyBorder="1"/>
    <xf numFmtId="0" fontId="9" fillId="46" borderId="20" xfId="0" applyNumberFormat="1" applyFont="1" applyFill="1" applyBorder="1" applyAlignment="1">
      <alignment horizontal="center" vertical="center"/>
    </xf>
    <xf numFmtId="2" fontId="9" fillId="46" borderId="11" xfId="4" applyNumberFormat="1" applyFont="1" applyFill="1" applyBorder="1" applyAlignment="1">
      <alignment horizontal="center" vertical="center" wrapText="1" shrinkToFit="1"/>
    </xf>
    <xf numFmtId="1" fontId="9" fillId="46" borderId="9" xfId="0" applyNumberFormat="1" applyFont="1" applyFill="1" applyBorder="1" applyAlignment="1">
      <alignment horizontal="left"/>
    </xf>
    <xf numFmtId="171" fontId="8" fillId="0" borderId="37" xfId="4" applyNumberFormat="1" applyFont="1" applyBorder="1"/>
    <xf numFmtId="164" fontId="8" fillId="0" borderId="53" xfId="7" applyNumberFormat="1" applyFont="1" applyBorder="1"/>
    <xf numFmtId="171" fontId="8" fillId="0" borderId="30" xfId="4" applyNumberFormat="1" applyFont="1" applyBorder="1"/>
    <xf numFmtId="164" fontId="8" fillId="0" borderId="48" xfId="7" applyNumberFormat="1" applyFont="1" applyBorder="1"/>
    <xf numFmtId="171" fontId="8" fillId="0" borderId="50" xfId="4" applyNumberFormat="1" applyFont="1" applyBorder="1"/>
    <xf numFmtId="164" fontId="8" fillId="0" borderId="55" xfId="7" applyNumberFormat="1" applyFont="1" applyBorder="1"/>
    <xf numFmtId="165" fontId="9" fillId="46" borderId="8" xfId="0" applyFont="1" applyFill="1" applyBorder="1" applyAlignment="1">
      <alignment horizontal="center"/>
    </xf>
    <xf numFmtId="165" fontId="9" fillId="46" borderId="9" xfId="0" applyFont="1" applyFill="1" applyBorder="1" applyAlignment="1">
      <alignment horizontal="left"/>
    </xf>
    <xf numFmtId="2" fontId="30" fillId="0" borderId="37" xfId="5" applyNumberFormat="1" applyBorder="1"/>
    <xf numFmtId="1" fontId="8" fillId="0" borderId="29" xfId="0" applyNumberFormat="1" applyFont="1" applyBorder="1" applyAlignment="1">
      <alignment horizontal="center" vertical="center"/>
    </xf>
    <xf numFmtId="164" fontId="8" fillId="0" borderId="31" xfId="0" applyNumberFormat="1" applyFont="1" applyBorder="1"/>
    <xf numFmtId="164" fontId="8" fillId="0" borderId="82" xfId="4" applyNumberFormat="1" applyFont="1" applyBorder="1"/>
    <xf numFmtId="165" fontId="8" fillId="0" borderId="0" xfId="0" applyFont="1" applyAlignment="1">
      <alignment vertical="top"/>
    </xf>
    <xf numFmtId="165" fontId="3" fillId="46" borderId="0" xfId="0" applyFont="1" applyFill="1"/>
    <xf numFmtId="165" fontId="5" fillId="46" borderId="0" xfId="1" applyFont="1" applyFill="1"/>
    <xf numFmtId="165" fontId="3" fillId="46" borderId="0" xfId="0" applyFont="1" applyFill="1" applyAlignment="1">
      <alignment horizontal="right"/>
    </xf>
    <xf numFmtId="165" fontId="19" fillId="46" borderId="0" xfId="1" applyFont="1" applyFill="1"/>
    <xf numFmtId="1" fontId="49" fillId="12" borderId="9" xfId="0" applyNumberFormat="1" applyFont="1" applyFill="1" applyBorder="1" applyAlignment="1" applyProtection="1">
      <alignment horizontal="center" vertical="center"/>
      <protection hidden="1"/>
    </xf>
    <xf numFmtId="1" fontId="49" fillId="22" borderId="12" xfId="0" applyNumberFormat="1" applyFont="1" applyFill="1" applyBorder="1" applyProtection="1">
      <protection hidden="1"/>
    </xf>
    <xf numFmtId="1" fontId="49" fillId="22" borderId="53" xfId="0" applyNumberFormat="1" applyFont="1" applyFill="1" applyBorder="1" applyProtection="1">
      <protection hidden="1"/>
    </xf>
    <xf numFmtId="1" fontId="49" fillId="22" borderId="15" xfId="0" applyNumberFormat="1" applyFont="1" applyFill="1" applyBorder="1" applyProtection="1">
      <protection hidden="1"/>
    </xf>
    <xf numFmtId="1" fontId="49" fillId="22" borderId="48" xfId="0" applyNumberFormat="1" applyFont="1" applyFill="1" applyBorder="1" applyProtection="1">
      <protection hidden="1"/>
    </xf>
    <xf numFmtId="1" fontId="49" fillId="22" borderId="17" xfId="0" applyNumberFormat="1" applyFont="1" applyFill="1" applyBorder="1" applyProtection="1">
      <protection hidden="1"/>
    </xf>
    <xf numFmtId="1" fontId="49" fillId="22" borderId="54" xfId="0" applyNumberFormat="1" applyFont="1" applyFill="1" applyBorder="1" applyProtection="1">
      <protection hidden="1"/>
    </xf>
    <xf numFmtId="165" fontId="49" fillId="36" borderId="37" xfId="0" applyFont="1" applyFill="1" applyBorder="1" applyAlignment="1">
      <alignment horizontal="center" vertical="center"/>
    </xf>
    <xf numFmtId="1" fontId="49" fillId="36" borderId="37" xfId="0" applyNumberFormat="1" applyFont="1" applyFill="1" applyBorder="1" applyAlignment="1">
      <alignment horizontal="center" vertical="center"/>
    </xf>
    <xf numFmtId="1" fontId="49" fillId="36" borderId="12" xfId="0" applyNumberFormat="1" applyFont="1" applyFill="1" applyBorder="1" applyProtection="1">
      <protection hidden="1"/>
    </xf>
    <xf numFmtId="1" fontId="49" fillId="36" borderId="53" xfId="0" applyNumberFormat="1" applyFont="1" applyFill="1" applyBorder="1" applyProtection="1">
      <protection hidden="1"/>
    </xf>
    <xf numFmtId="1" fontId="49" fillId="36" borderId="37" xfId="0" applyNumberFormat="1" applyFont="1" applyFill="1" applyBorder="1" applyProtection="1">
      <protection hidden="1"/>
    </xf>
    <xf numFmtId="165" fontId="49" fillId="36" borderId="30" xfId="0" applyFont="1" applyFill="1" applyBorder="1" applyAlignment="1">
      <alignment horizontal="center" vertical="center"/>
    </xf>
    <xf numFmtId="1" fontId="49" fillId="36" borderId="30" xfId="0" applyNumberFormat="1" applyFont="1" applyFill="1" applyBorder="1" applyAlignment="1">
      <alignment horizontal="center" vertical="center"/>
    </xf>
    <xf numFmtId="1" fontId="49" fillId="36" borderId="15" xfId="0" applyNumberFormat="1" applyFont="1" applyFill="1" applyBorder="1" applyProtection="1">
      <protection hidden="1"/>
    </xf>
    <xf numFmtId="1" fontId="49" fillId="36" borderId="48" xfId="0" applyNumberFormat="1" applyFont="1" applyFill="1" applyBorder="1" applyProtection="1">
      <protection hidden="1"/>
    </xf>
    <xf numFmtId="1" fontId="49" fillId="36" borderId="30" xfId="0" applyNumberFormat="1" applyFont="1" applyFill="1" applyBorder="1" applyProtection="1">
      <protection hidden="1"/>
    </xf>
    <xf numFmtId="165" fontId="49" fillId="36" borderId="39" xfId="0" applyFont="1" applyFill="1" applyBorder="1" applyAlignment="1">
      <alignment horizontal="center" vertical="center"/>
    </xf>
    <xf numFmtId="1" fontId="49" fillId="36" borderId="39" xfId="0" applyNumberFormat="1" applyFont="1" applyFill="1" applyBorder="1" applyAlignment="1">
      <alignment horizontal="center" vertical="center"/>
    </xf>
    <xf numFmtId="1" fontId="49" fillId="36" borderId="17" xfId="0" applyNumberFormat="1" applyFont="1" applyFill="1" applyBorder="1" applyProtection="1">
      <protection hidden="1"/>
    </xf>
    <xf numFmtId="1" fontId="49" fillId="36" borderId="54" xfId="0" applyNumberFormat="1" applyFont="1" applyFill="1" applyBorder="1" applyProtection="1">
      <protection hidden="1"/>
    </xf>
    <xf numFmtId="1" fontId="49" fillId="36" borderId="39" xfId="0" applyNumberFormat="1" applyFont="1" applyFill="1" applyBorder="1" applyProtection="1">
      <protection hidden="1"/>
    </xf>
    <xf numFmtId="165" fontId="49" fillId="37" borderId="37" xfId="0" applyFont="1" applyFill="1" applyBorder="1" applyAlignment="1">
      <alignment horizontal="center" vertical="center"/>
    </xf>
    <xf numFmtId="1" fontId="49" fillId="37" borderId="37" xfId="0" applyNumberFormat="1" applyFont="1" applyFill="1" applyBorder="1" applyAlignment="1">
      <alignment horizontal="center" vertical="center"/>
    </xf>
    <xf numFmtId="1" fontId="49" fillId="37" borderId="37" xfId="0" applyNumberFormat="1" applyFont="1" applyFill="1" applyBorder="1" applyProtection="1">
      <protection hidden="1"/>
    </xf>
    <xf numFmtId="1" fontId="49" fillId="37" borderId="53" xfId="0" applyNumberFormat="1" applyFont="1" applyFill="1" applyBorder="1" applyProtection="1">
      <protection hidden="1"/>
    </xf>
    <xf numFmtId="165" fontId="49" fillId="37" borderId="30" xfId="0" applyFont="1" applyFill="1" applyBorder="1" applyAlignment="1">
      <alignment horizontal="center" vertical="center"/>
    </xf>
    <xf numFmtId="1" fontId="49" fillId="37" borderId="30" xfId="0" applyNumberFormat="1" applyFont="1" applyFill="1" applyBorder="1" applyAlignment="1">
      <alignment horizontal="center" vertical="center"/>
    </xf>
    <xf numFmtId="1" fontId="49" fillId="37" borderId="30" xfId="0" applyNumberFormat="1" applyFont="1" applyFill="1" applyBorder="1" applyProtection="1">
      <protection hidden="1"/>
    </xf>
    <xf numFmtId="1" fontId="49" fillId="37" borderId="48" xfId="0" applyNumberFormat="1" applyFont="1" applyFill="1" applyBorder="1" applyProtection="1">
      <protection hidden="1"/>
    </xf>
    <xf numFmtId="165" fontId="49" fillId="37" borderId="39" xfId="0" applyFont="1" applyFill="1" applyBorder="1" applyAlignment="1">
      <alignment horizontal="center" vertical="center"/>
    </xf>
    <xf numFmtId="1" fontId="49" fillId="37" borderId="39" xfId="0" applyNumberFormat="1" applyFont="1" applyFill="1" applyBorder="1" applyAlignment="1">
      <alignment horizontal="center" vertical="center"/>
    </xf>
    <xf numFmtId="1" fontId="49" fillId="37" borderId="39" xfId="0" applyNumberFormat="1" applyFont="1" applyFill="1" applyBorder="1" applyProtection="1">
      <protection hidden="1"/>
    </xf>
    <xf numFmtId="1" fontId="49" fillId="37" borderId="54" xfId="0" applyNumberFormat="1" applyFont="1" applyFill="1" applyBorder="1" applyProtection="1">
      <protection hidden="1"/>
    </xf>
    <xf numFmtId="165" fontId="49" fillId="38" borderId="37" xfId="0" applyFont="1" applyFill="1" applyBorder="1" applyAlignment="1">
      <alignment horizontal="center" vertical="center"/>
    </xf>
    <xf numFmtId="1" fontId="49" fillId="38" borderId="37" xfId="0" applyNumberFormat="1" applyFont="1" applyFill="1" applyBorder="1" applyAlignment="1">
      <alignment horizontal="center" vertical="center"/>
    </xf>
    <xf numFmtId="1" fontId="49" fillId="38" borderId="37" xfId="0" applyNumberFormat="1" applyFont="1" applyFill="1" applyBorder="1" applyProtection="1">
      <protection hidden="1"/>
    </xf>
    <xf numFmtId="1" fontId="49" fillId="38" borderId="53" xfId="0" applyNumberFormat="1" applyFont="1" applyFill="1" applyBorder="1" applyProtection="1">
      <protection hidden="1"/>
    </xf>
    <xf numFmtId="165" fontId="49" fillId="38" borderId="30" xfId="0" applyFont="1" applyFill="1" applyBorder="1" applyAlignment="1">
      <alignment horizontal="center" vertical="center"/>
    </xf>
    <xf numFmtId="1" fontId="49" fillId="38" borderId="30" xfId="0" applyNumberFormat="1" applyFont="1" applyFill="1" applyBorder="1" applyAlignment="1">
      <alignment horizontal="center" vertical="center"/>
    </xf>
    <xf numFmtId="1" fontId="49" fillId="38" borderId="30" xfId="0" applyNumberFormat="1" applyFont="1" applyFill="1" applyBorder="1" applyProtection="1">
      <protection hidden="1"/>
    </xf>
    <xf numFmtId="1" fontId="49" fillId="38" borderId="48" xfId="0" applyNumberFormat="1" applyFont="1" applyFill="1" applyBorder="1" applyProtection="1">
      <protection hidden="1"/>
    </xf>
    <xf numFmtId="165" fontId="59" fillId="12" borderId="0" xfId="0" applyFont="1" applyFill="1" applyAlignment="1">
      <alignment horizontal="center" vertical="center" textRotation="90"/>
    </xf>
    <xf numFmtId="165" fontId="49" fillId="38" borderId="39" xfId="0" applyFont="1" applyFill="1" applyBorder="1" applyAlignment="1">
      <alignment horizontal="center" vertical="center"/>
    </xf>
    <xf numFmtId="1" fontId="49" fillId="38" borderId="39" xfId="0" applyNumberFormat="1" applyFont="1" applyFill="1" applyBorder="1" applyAlignment="1">
      <alignment horizontal="center" vertical="center"/>
    </xf>
    <xf numFmtId="1" fontId="49" fillId="38" borderId="39" xfId="0" applyNumberFormat="1" applyFont="1" applyFill="1" applyBorder="1" applyProtection="1">
      <protection hidden="1"/>
    </xf>
    <xf numFmtId="165" fontId="0" fillId="0" borderId="50" xfId="0" applyBorder="1" applyAlignment="1">
      <alignment horizontal="center" vertical="center"/>
    </xf>
    <xf numFmtId="2" fontId="8" fillId="0" borderId="50" xfId="0" applyNumberFormat="1" applyFont="1" applyFill="1" applyBorder="1" applyAlignment="1">
      <alignment horizontal="center" vertical="center"/>
    </xf>
    <xf numFmtId="1" fontId="25" fillId="0" borderId="50" xfId="0" applyNumberFormat="1" applyFont="1" applyBorder="1" applyAlignment="1">
      <alignment horizontal="center" vertical="center"/>
    </xf>
    <xf numFmtId="1" fontId="8" fillId="0" borderId="50" xfId="0" applyNumberFormat="1" applyFont="1" applyBorder="1" applyAlignment="1">
      <alignment horizontal="center" vertical="center" wrapText="1"/>
    </xf>
    <xf numFmtId="165" fontId="0" fillId="0" borderId="50" xfId="0" applyBorder="1" applyAlignment="1">
      <alignment horizontal="center" vertical="center" wrapText="1"/>
    </xf>
    <xf numFmtId="164" fontId="9" fillId="9" borderId="50" xfId="0" applyNumberFormat="1" applyFont="1" applyFill="1" applyBorder="1" applyAlignment="1">
      <alignment horizontal="center" vertical="center"/>
    </xf>
    <xf numFmtId="2" fontId="8" fillId="0" borderId="20" xfId="0" applyNumberFormat="1" applyFont="1" applyFill="1" applyBorder="1" applyAlignment="1">
      <alignment horizontal="center" vertical="center"/>
    </xf>
    <xf numFmtId="1" fontId="25" fillId="0" borderId="20" xfId="0" applyNumberFormat="1" applyFont="1" applyBorder="1" applyAlignment="1">
      <alignment horizontal="center" vertical="center"/>
    </xf>
    <xf numFmtId="1" fontId="8" fillId="0" borderId="20" xfId="0" applyNumberFormat="1" applyFont="1" applyBorder="1" applyAlignment="1">
      <alignment horizontal="center" vertical="center" wrapText="1"/>
    </xf>
    <xf numFmtId="165" fontId="0" fillId="0" borderId="20" xfId="0" applyBorder="1" applyAlignment="1">
      <alignment horizontal="center" vertical="center" wrapText="1"/>
    </xf>
    <xf numFmtId="165" fontId="0" fillId="0" borderId="20" xfId="0" applyBorder="1" applyAlignment="1">
      <alignment horizontal="center" vertical="center"/>
    </xf>
    <xf numFmtId="164" fontId="9" fillId="9" borderId="20" xfId="0" applyNumberFormat="1" applyFont="1" applyFill="1" applyBorder="1" applyAlignment="1">
      <alignment horizontal="center" vertical="center"/>
    </xf>
    <xf numFmtId="165" fontId="9" fillId="14" borderId="14" xfId="0" applyFont="1" applyFill="1" applyBorder="1" applyAlignment="1">
      <alignment horizontal="center"/>
    </xf>
    <xf numFmtId="165" fontId="0" fillId="12" borderId="0" xfId="0" applyFill="1"/>
    <xf numFmtId="165" fontId="0" fillId="12" borderId="0" xfId="0" applyFill="1"/>
    <xf numFmtId="165" fontId="49" fillId="12" borderId="0" xfId="0" applyFont="1" applyFill="1" applyAlignment="1" applyProtection="1">
      <alignment horizontal="right"/>
      <protection hidden="1"/>
    </xf>
    <xf numFmtId="1" fontId="49" fillId="12" borderId="0" xfId="0" applyNumberFormat="1" applyFont="1" applyFill="1" applyAlignment="1" applyProtection="1">
      <alignment horizontal="right"/>
      <protection locked="0"/>
    </xf>
    <xf numFmtId="1" fontId="49" fillId="12" borderId="0" xfId="0" applyNumberFormat="1" applyFont="1" applyFill="1" applyProtection="1">
      <protection hidden="1"/>
    </xf>
    <xf numFmtId="1" fontId="49" fillId="12" borderId="0" xfId="0" applyNumberFormat="1" applyFont="1" applyFill="1" applyAlignment="1" applyProtection="1">
      <alignment horizontal="right"/>
      <protection hidden="1"/>
    </xf>
    <xf numFmtId="165" fontId="49" fillId="12" borderId="8" xfId="0" applyFont="1" applyFill="1" applyBorder="1" applyAlignment="1" applyProtection="1">
      <alignment horizontal="right" wrapText="1"/>
      <protection hidden="1"/>
    </xf>
    <xf numFmtId="165" fontId="49" fillId="12" borderId="0" xfId="0" applyFont="1" applyFill="1" applyAlignment="1" applyProtection="1">
      <alignment horizontal="center" vertical="center"/>
      <protection hidden="1"/>
    </xf>
    <xf numFmtId="2" fontId="49" fillId="12" borderId="20" xfId="0" applyNumberFormat="1" applyFont="1" applyFill="1" applyBorder="1" applyProtection="1">
      <protection hidden="1"/>
    </xf>
    <xf numFmtId="2" fontId="0" fillId="29" borderId="58" xfId="0" applyNumberFormat="1" applyFill="1" applyBorder="1" applyAlignment="1">
      <alignment horizontal="right" vertical="center"/>
    </xf>
    <xf numFmtId="2" fontId="49" fillId="23" borderId="79" xfId="0" applyNumberFormat="1" applyFont="1" applyFill="1" applyBorder="1" applyProtection="1">
      <protection hidden="1"/>
    </xf>
    <xf numFmtId="2" fontId="49" fillId="23" borderId="18" xfId="0" applyNumberFormat="1" applyFont="1" applyFill="1" applyBorder="1" applyProtection="1">
      <protection hidden="1"/>
    </xf>
    <xf numFmtId="2" fontId="49" fillId="23" borderId="80" xfId="0" applyNumberFormat="1" applyFont="1" applyFill="1" applyBorder="1" applyProtection="1">
      <protection hidden="1"/>
    </xf>
    <xf numFmtId="1" fontId="49" fillId="29" borderId="65" xfId="0" applyNumberFormat="1" applyFont="1" applyFill="1" applyBorder="1" applyAlignment="1" applyProtection="1">
      <alignment horizontal="right"/>
      <protection hidden="1"/>
    </xf>
    <xf numFmtId="1" fontId="49" fillId="29" borderId="13" xfId="0" applyNumberFormat="1" applyFont="1" applyFill="1" applyBorder="1" applyAlignment="1" applyProtection="1">
      <alignment horizontal="right"/>
      <protection hidden="1"/>
    </xf>
    <xf numFmtId="1" fontId="49" fillId="29" borderId="14" xfId="0" applyNumberFormat="1" applyFont="1" applyFill="1" applyBorder="1" applyAlignment="1" applyProtection="1">
      <alignment horizontal="right"/>
      <protection hidden="1"/>
    </xf>
    <xf numFmtId="2" fontId="49" fillId="29" borderId="77" xfId="0" applyNumberFormat="1" applyFont="1" applyFill="1" applyBorder="1" applyAlignment="1" applyProtection="1">
      <alignment horizontal="right"/>
      <protection hidden="1"/>
    </xf>
    <xf numFmtId="2" fontId="49" fillId="29" borderId="58" xfId="0" applyNumberFormat="1" applyFont="1" applyFill="1" applyBorder="1" applyAlignment="1" applyProtection="1">
      <alignment horizontal="right"/>
      <protection hidden="1"/>
    </xf>
    <xf numFmtId="2" fontId="0" fillId="29" borderId="58" xfId="0" applyNumberFormat="1" applyFill="1" applyBorder="1" applyAlignment="1">
      <alignment horizontal="right"/>
    </xf>
    <xf numFmtId="2" fontId="49" fillId="29" borderId="24" xfId="0" applyNumberFormat="1" applyFont="1" applyFill="1" applyBorder="1" applyAlignment="1" applyProtection="1">
      <alignment horizontal="right"/>
      <protection hidden="1"/>
    </xf>
    <xf numFmtId="1" fontId="49" fillId="31" borderId="66" xfId="0" applyNumberFormat="1" applyFont="1" applyFill="1" applyBorder="1" applyAlignment="1" applyProtection="1">
      <alignment horizontal="right"/>
      <protection hidden="1"/>
    </xf>
    <xf numFmtId="1" fontId="49" fillId="31" borderId="1" xfId="0" applyNumberFormat="1" applyFont="1" applyFill="1" applyBorder="1" applyAlignment="1" applyProtection="1">
      <alignment horizontal="right"/>
      <protection hidden="1"/>
    </xf>
    <xf numFmtId="1" fontId="49" fillId="31" borderId="16" xfId="0" applyNumberFormat="1" applyFont="1" applyFill="1" applyBorder="1" applyAlignment="1" applyProtection="1">
      <alignment horizontal="right"/>
      <protection hidden="1"/>
    </xf>
    <xf numFmtId="2" fontId="49" fillId="31" borderId="66" xfId="0" applyNumberFormat="1" applyFont="1" applyFill="1" applyBorder="1" applyAlignment="1" applyProtection="1">
      <alignment horizontal="right"/>
      <protection hidden="1"/>
    </xf>
    <xf numFmtId="2" fontId="49" fillId="31" borderId="1" xfId="0" applyNumberFormat="1" applyFont="1" applyFill="1" applyBorder="1" applyAlignment="1" applyProtection="1">
      <alignment horizontal="right"/>
      <protection hidden="1"/>
    </xf>
    <xf numFmtId="2" fontId="0" fillId="31" borderId="1" xfId="0" applyNumberFormat="1" applyFill="1" applyBorder="1" applyAlignment="1">
      <alignment horizontal="right"/>
    </xf>
    <xf numFmtId="2" fontId="49" fillId="31" borderId="16" xfId="0" applyNumberFormat="1" applyFont="1" applyFill="1" applyBorder="1" applyAlignment="1" applyProtection="1">
      <alignment horizontal="right"/>
      <protection hidden="1"/>
    </xf>
    <xf numFmtId="1" fontId="49" fillId="9" borderId="66" xfId="0" applyNumberFormat="1" applyFont="1" applyFill="1" applyBorder="1" applyAlignment="1" applyProtection="1">
      <alignment horizontal="right"/>
      <protection hidden="1"/>
    </xf>
    <xf numFmtId="1" fontId="49" fillId="9" borderId="1" xfId="0" applyNumberFormat="1" applyFont="1" applyFill="1" applyBorder="1" applyAlignment="1" applyProtection="1">
      <alignment horizontal="right"/>
      <protection hidden="1"/>
    </xf>
    <xf numFmtId="1" fontId="49" fillId="9" borderId="16" xfId="0" applyNumberFormat="1" applyFont="1" applyFill="1" applyBorder="1" applyAlignment="1" applyProtection="1">
      <alignment horizontal="right"/>
      <protection hidden="1"/>
    </xf>
    <xf numFmtId="2" fontId="49" fillId="9" borderId="66" xfId="0" applyNumberFormat="1" applyFont="1" applyFill="1" applyBorder="1" applyAlignment="1" applyProtection="1">
      <alignment horizontal="right"/>
      <protection hidden="1"/>
    </xf>
    <xf numFmtId="2" fontId="49" fillId="9" borderId="1" xfId="0" applyNumberFormat="1" applyFont="1" applyFill="1" applyBorder="1" applyAlignment="1" applyProtection="1">
      <alignment horizontal="right"/>
      <protection hidden="1"/>
    </xf>
    <xf numFmtId="2" fontId="49" fillId="9" borderId="16" xfId="0" applyNumberFormat="1" applyFont="1" applyFill="1" applyBorder="1" applyAlignment="1" applyProtection="1">
      <alignment horizontal="right"/>
      <protection hidden="1"/>
    </xf>
    <xf numFmtId="1" fontId="49" fillId="32" borderId="66" xfId="0" applyNumberFormat="1" applyFont="1" applyFill="1" applyBorder="1" applyAlignment="1" applyProtection="1">
      <alignment horizontal="right"/>
      <protection hidden="1"/>
    </xf>
    <xf numFmtId="1" fontId="49" fillId="32" borderId="16" xfId="0" applyNumberFormat="1" applyFont="1" applyFill="1" applyBorder="1" applyAlignment="1" applyProtection="1">
      <alignment horizontal="right"/>
      <protection hidden="1"/>
    </xf>
    <xf numFmtId="2" fontId="49" fillId="32" borderId="66" xfId="0" applyNumberFormat="1" applyFont="1" applyFill="1" applyBorder="1" applyAlignment="1" applyProtection="1">
      <alignment horizontal="right"/>
      <protection hidden="1"/>
    </xf>
    <xf numFmtId="2" fontId="49" fillId="32" borderId="1" xfId="0" applyNumberFormat="1" applyFont="1" applyFill="1" applyBorder="1" applyAlignment="1" applyProtection="1">
      <alignment horizontal="right"/>
      <protection hidden="1"/>
    </xf>
    <xf numFmtId="2" fontId="49" fillId="32" borderId="16" xfId="0" applyNumberFormat="1" applyFont="1" applyFill="1" applyBorder="1" applyAlignment="1" applyProtection="1">
      <alignment horizontal="right"/>
      <protection hidden="1"/>
    </xf>
    <xf numFmtId="1" fontId="49" fillId="33" borderId="66" xfId="0" applyNumberFormat="1" applyFont="1" applyFill="1" applyBorder="1" applyAlignment="1" applyProtection="1">
      <alignment horizontal="right"/>
      <protection hidden="1"/>
    </xf>
    <xf numFmtId="1" fontId="57" fillId="33" borderId="1" xfId="0" applyNumberFormat="1" applyFont="1" applyFill="1" applyBorder="1" applyAlignment="1" applyProtection="1">
      <alignment horizontal="right"/>
      <protection hidden="1"/>
    </xf>
    <xf numFmtId="1" fontId="49" fillId="33" borderId="1" xfId="0" applyNumberFormat="1" applyFont="1" applyFill="1" applyBorder="1" applyAlignment="1" applyProtection="1">
      <alignment horizontal="right"/>
      <protection hidden="1"/>
    </xf>
    <xf numFmtId="1" fontId="57" fillId="33" borderId="16" xfId="0" applyNumberFormat="1" applyFont="1" applyFill="1" applyBorder="1" applyAlignment="1" applyProtection="1">
      <alignment horizontal="right"/>
      <protection hidden="1"/>
    </xf>
    <xf numFmtId="2" fontId="49" fillId="33" borderId="66" xfId="0" applyNumberFormat="1" applyFont="1" applyFill="1" applyBorder="1" applyAlignment="1" applyProtection="1">
      <alignment horizontal="right"/>
      <protection hidden="1"/>
    </xf>
    <xf numFmtId="2" fontId="49" fillId="33" borderId="1" xfId="0" applyNumberFormat="1" applyFont="1" applyFill="1" applyBorder="1" applyAlignment="1" applyProtection="1">
      <alignment horizontal="right"/>
      <protection hidden="1"/>
    </xf>
    <xf numFmtId="2" fontId="49" fillId="33" borderId="16" xfId="0" applyNumberFormat="1" applyFont="1" applyFill="1" applyBorder="1" applyAlignment="1" applyProtection="1">
      <alignment horizontal="right"/>
      <protection hidden="1"/>
    </xf>
    <xf numFmtId="1" fontId="49" fillId="37" borderId="66" xfId="0" applyNumberFormat="1" applyFont="1" applyFill="1" applyBorder="1" applyAlignment="1" applyProtection="1">
      <alignment horizontal="right"/>
      <protection hidden="1"/>
    </xf>
    <xf numFmtId="1" fontId="49" fillId="37" borderId="1" xfId="0" applyNumberFormat="1" applyFont="1" applyFill="1" applyBorder="1" applyAlignment="1" applyProtection="1">
      <alignment horizontal="right"/>
      <protection hidden="1"/>
    </xf>
    <xf numFmtId="1" fontId="49" fillId="37" borderId="16" xfId="0" applyNumberFormat="1" applyFont="1" applyFill="1" applyBorder="1" applyAlignment="1" applyProtection="1">
      <alignment horizontal="right"/>
      <protection hidden="1"/>
    </xf>
    <xf numFmtId="2" fontId="49" fillId="37" borderId="66" xfId="0" applyNumberFormat="1" applyFont="1" applyFill="1" applyBorder="1" applyAlignment="1" applyProtection="1">
      <alignment horizontal="right"/>
      <protection hidden="1"/>
    </xf>
    <xf numFmtId="2" fontId="49" fillId="37" borderId="1" xfId="0" applyNumberFormat="1" applyFont="1" applyFill="1" applyBorder="1" applyAlignment="1" applyProtection="1">
      <alignment horizontal="right"/>
      <protection hidden="1"/>
    </xf>
    <xf numFmtId="2" fontId="49" fillId="37" borderId="16" xfId="0" applyNumberFormat="1" applyFont="1" applyFill="1" applyBorder="1" applyAlignment="1" applyProtection="1">
      <alignment horizontal="right"/>
      <protection hidden="1"/>
    </xf>
    <xf numFmtId="2" fontId="49" fillId="22" borderId="66" xfId="0" applyNumberFormat="1" applyFont="1" applyFill="1" applyBorder="1" applyAlignment="1" applyProtection="1">
      <alignment horizontal="right"/>
      <protection hidden="1"/>
    </xf>
    <xf numFmtId="2" fontId="49" fillId="22" borderId="16" xfId="0" applyNumberFormat="1" applyFont="1" applyFill="1" applyBorder="1" applyAlignment="1" applyProtection="1">
      <alignment horizontal="right"/>
      <protection hidden="1"/>
    </xf>
    <xf numFmtId="1" fontId="49" fillId="23" borderId="66" xfId="0" applyNumberFormat="1" applyFont="1" applyFill="1" applyBorder="1" applyAlignment="1" applyProtection="1">
      <alignment horizontal="right"/>
      <protection hidden="1"/>
    </xf>
    <xf numFmtId="1" fontId="57" fillId="23" borderId="1" xfId="0" applyNumberFormat="1" applyFont="1" applyFill="1" applyBorder="1" applyAlignment="1" applyProtection="1">
      <alignment horizontal="right"/>
      <protection hidden="1"/>
    </xf>
    <xf numFmtId="1" fontId="58" fillId="23" borderId="1" xfId="0" applyNumberFormat="1" applyFont="1" applyFill="1" applyBorder="1" applyAlignment="1" applyProtection="1">
      <alignment horizontal="right"/>
      <protection hidden="1"/>
    </xf>
    <xf numFmtId="2" fontId="49" fillId="23" borderId="66" xfId="0" applyNumberFormat="1" applyFont="1" applyFill="1" applyBorder="1" applyAlignment="1" applyProtection="1">
      <alignment horizontal="right"/>
      <protection hidden="1"/>
    </xf>
    <xf numFmtId="2" fontId="49" fillId="23" borderId="16" xfId="0" applyNumberFormat="1" applyFont="1" applyFill="1" applyBorder="1" applyAlignment="1" applyProtection="1">
      <alignment horizontal="right"/>
      <protection hidden="1"/>
    </xf>
    <xf numFmtId="1" fontId="49" fillId="10" borderId="66" xfId="0" applyNumberFormat="1" applyFont="1" applyFill="1" applyBorder="1" applyAlignment="1" applyProtection="1">
      <alignment horizontal="right"/>
      <protection hidden="1"/>
    </xf>
    <xf numFmtId="2" fontId="49" fillId="10" borderId="66" xfId="0" applyNumberFormat="1" applyFont="1" applyFill="1" applyBorder="1" applyAlignment="1" applyProtection="1">
      <alignment horizontal="right"/>
      <protection hidden="1"/>
    </xf>
    <xf numFmtId="2" fontId="49" fillId="10" borderId="1" xfId="0" applyNumberFormat="1" applyFont="1" applyFill="1" applyBorder="1" applyAlignment="1" applyProtection="1">
      <alignment horizontal="right"/>
      <protection hidden="1"/>
    </xf>
    <xf numFmtId="2" fontId="49" fillId="10" borderId="16" xfId="0" applyNumberFormat="1" applyFont="1" applyFill="1" applyBorder="1" applyAlignment="1" applyProtection="1">
      <alignment horizontal="right"/>
      <protection hidden="1"/>
    </xf>
    <xf numFmtId="1" fontId="49" fillId="5" borderId="66" xfId="0" applyNumberFormat="1" applyFont="1" applyFill="1" applyBorder="1" applyAlignment="1" applyProtection="1">
      <alignment horizontal="right"/>
      <protection hidden="1"/>
    </xf>
    <xf numFmtId="2" fontId="49" fillId="5" borderId="66" xfId="0" applyNumberFormat="1" applyFont="1" applyFill="1" applyBorder="1" applyAlignment="1" applyProtection="1">
      <alignment horizontal="right"/>
      <protection hidden="1"/>
    </xf>
    <xf numFmtId="2" fontId="49" fillId="5" borderId="1" xfId="0" applyNumberFormat="1" applyFont="1" applyFill="1" applyBorder="1" applyAlignment="1" applyProtection="1">
      <alignment horizontal="right"/>
      <protection hidden="1"/>
    </xf>
    <xf numFmtId="2" fontId="49" fillId="5" borderId="16" xfId="0" applyNumberFormat="1" applyFont="1" applyFill="1" applyBorder="1" applyAlignment="1" applyProtection="1">
      <alignment horizontal="right"/>
      <protection hidden="1"/>
    </xf>
    <xf numFmtId="1" fontId="49" fillId="34" borderId="66" xfId="0" applyNumberFormat="1" applyFont="1" applyFill="1" applyBorder="1" applyAlignment="1" applyProtection="1">
      <alignment horizontal="right"/>
      <protection hidden="1"/>
    </xf>
    <xf numFmtId="2" fontId="49" fillId="34" borderId="66" xfId="0" applyNumberFormat="1" applyFont="1" applyFill="1" applyBorder="1" applyAlignment="1" applyProtection="1">
      <alignment horizontal="right"/>
      <protection hidden="1"/>
    </xf>
    <xf numFmtId="2" fontId="49" fillId="34" borderId="1" xfId="0" applyNumberFormat="1" applyFont="1" applyFill="1" applyBorder="1" applyAlignment="1" applyProtection="1">
      <alignment horizontal="right"/>
      <protection hidden="1"/>
    </xf>
    <xf numFmtId="2" fontId="49" fillId="34" borderId="16" xfId="0" applyNumberFormat="1" applyFont="1" applyFill="1" applyBorder="1" applyAlignment="1" applyProtection="1">
      <alignment horizontal="right"/>
      <protection hidden="1"/>
    </xf>
    <xf numFmtId="1" fontId="49" fillId="4" borderId="66" xfId="0" applyNumberFormat="1" applyFont="1" applyFill="1" applyBorder="1" applyAlignment="1" applyProtection="1">
      <alignment horizontal="right"/>
      <protection hidden="1"/>
    </xf>
    <xf numFmtId="2" fontId="49" fillId="4" borderId="66" xfId="0" applyNumberFormat="1" applyFont="1" applyFill="1" applyBorder="1" applyAlignment="1" applyProtection="1">
      <alignment horizontal="right"/>
      <protection hidden="1"/>
    </xf>
    <xf numFmtId="2" fontId="49" fillId="4" borderId="1" xfId="0" applyNumberFormat="1" applyFont="1" applyFill="1" applyBorder="1" applyAlignment="1" applyProtection="1">
      <alignment horizontal="right"/>
      <protection hidden="1"/>
    </xf>
    <xf numFmtId="2" fontId="49" fillId="4" borderId="16" xfId="0" applyNumberFormat="1" applyFont="1" applyFill="1" applyBorder="1" applyAlignment="1" applyProtection="1">
      <alignment horizontal="right"/>
      <protection hidden="1"/>
    </xf>
    <xf numFmtId="1" fontId="49" fillId="35" borderId="76" xfId="0" applyNumberFormat="1" applyFont="1" applyFill="1" applyBorder="1" applyAlignment="1" applyProtection="1">
      <alignment horizontal="right"/>
      <protection hidden="1"/>
    </xf>
    <xf numFmtId="1" fontId="49" fillId="12" borderId="6" xfId="0" applyNumberFormat="1" applyFont="1" applyFill="1" applyBorder="1" applyProtection="1">
      <protection hidden="1"/>
    </xf>
    <xf numFmtId="2" fontId="49" fillId="35" borderId="76" xfId="0" applyNumberFormat="1" applyFont="1" applyFill="1" applyBorder="1" applyAlignment="1" applyProtection="1">
      <alignment horizontal="right"/>
      <protection hidden="1"/>
    </xf>
    <xf numFmtId="2" fontId="49" fillId="35" borderId="18" xfId="0" applyNumberFormat="1" applyFont="1" applyFill="1" applyBorder="1" applyAlignment="1" applyProtection="1">
      <alignment horizontal="right"/>
      <protection hidden="1"/>
    </xf>
    <xf numFmtId="2" fontId="49" fillId="35" borderId="19" xfId="0" applyNumberFormat="1" applyFont="1" applyFill="1" applyBorder="1" applyAlignment="1" applyProtection="1">
      <alignment horizontal="right"/>
      <protection hidden="1"/>
    </xf>
    <xf numFmtId="1" fontId="49" fillId="12" borderId="0" xfId="0" applyNumberFormat="1" applyFont="1" applyFill="1" applyAlignment="1" applyProtection="1">
      <alignment horizontal="center" vertical="center"/>
      <protection hidden="1"/>
    </xf>
    <xf numFmtId="1" fontId="49" fillId="12" borderId="92" xfId="0" applyNumberFormat="1" applyFont="1" applyFill="1" applyBorder="1" applyProtection="1">
      <protection hidden="1"/>
    </xf>
    <xf numFmtId="2" fontId="49" fillId="12" borderId="92" xfId="0" applyNumberFormat="1" applyFont="1" applyFill="1" applyBorder="1" applyProtection="1">
      <protection hidden="1"/>
    </xf>
    <xf numFmtId="2" fontId="0" fillId="12" borderId="92" xfId="0" applyNumberFormat="1" applyFill="1" applyBorder="1" applyProtection="1">
      <protection hidden="1"/>
    </xf>
    <xf numFmtId="165" fontId="49" fillId="12" borderId="96" xfId="0" applyFont="1" applyFill="1" applyBorder="1" applyAlignment="1" applyProtection="1">
      <alignment horizontal="center" vertical="center"/>
      <protection hidden="1"/>
    </xf>
    <xf numFmtId="1" fontId="49" fillId="12" borderId="96" xfId="0" applyNumberFormat="1" applyFont="1" applyFill="1" applyBorder="1" applyAlignment="1" applyProtection="1">
      <alignment horizontal="center" vertical="center"/>
      <protection hidden="1"/>
    </xf>
    <xf numFmtId="2" fontId="49" fillId="12" borderId="102" xfId="0" applyNumberFormat="1" applyFont="1" applyFill="1" applyBorder="1" applyProtection="1">
      <protection hidden="1"/>
    </xf>
    <xf numFmtId="165" fontId="49" fillId="12" borderId="103" xfId="0" applyFont="1" applyFill="1" applyBorder="1" applyAlignment="1" applyProtection="1">
      <alignment horizontal="center" vertical="center"/>
      <protection hidden="1"/>
    </xf>
    <xf numFmtId="1" fontId="49" fillId="12" borderId="105" xfId="0" applyNumberFormat="1" applyFont="1" applyFill="1" applyBorder="1" applyAlignment="1" applyProtection="1">
      <alignment horizontal="center" vertical="center"/>
      <protection hidden="1"/>
    </xf>
    <xf numFmtId="1" fontId="49" fillId="12" borderId="103" xfId="0" applyNumberFormat="1" applyFont="1" applyFill="1" applyBorder="1" applyAlignment="1" applyProtection="1">
      <alignment horizontal="center" vertical="center"/>
      <protection hidden="1"/>
    </xf>
    <xf numFmtId="1" fontId="49" fillId="12" borderId="99" xfId="0" applyNumberFormat="1" applyFont="1" applyFill="1" applyBorder="1" applyAlignment="1" applyProtection="1">
      <alignment horizontal="right" vertical="center"/>
      <protection hidden="1"/>
    </xf>
    <xf numFmtId="1" fontId="49" fillId="12" borderId="100" xfId="0" applyNumberFormat="1" applyFont="1" applyFill="1" applyBorder="1" applyProtection="1">
      <protection hidden="1"/>
    </xf>
    <xf numFmtId="1" fontId="49" fillId="12" borderId="101" xfId="0" applyNumberFormat="1" applyFont="1" applyFill="1" applyBorder="1" applyProtection="1">
      <protection hidden="1"/>
    </xf>
    <xf numFmtId="1" fontId="49" fillId="12" borderId="102" xfId="0" applyNumberFormat="1" applyFont="1" applyFill="1" applyBorder="1" applyAlignment="1" applyProtection="1">
      <alignment horizontal="right"/>
      <protection hidden="1"/>
    </xf>
    <xf numFmtId="1" fontId="49" fillId="12" borderId="106" xfId="0" applyNumberFormat="1" applyFont="1" applyFill="1" applyBorder="1" applyAlignment="1" applyProtection="1">
      <alignment horizontal="center" vertical="center"/>
      <protection hidden="1"/>
    </xf>
    <xf numFmtId="1" fontId="49" fillId="12" borderId="107" xfId="0" applyNumberFormat="1" applyFont="1" applyFill="1" applyBorder="1" applyAlignment="1" applyProtection="1">
      <alignment horizontal="right" vertical="center"/>
      <protection hidden="1"/>
    </xf>
    <xf numFmtId="1" fontId="49" fillId="12" borderId="108" xfId="0" applyNumberFormat="1" applyFont="1" applyFill="1" applyBorder="1" applyAlignment="1" applyProtection="1">
      <alignment horizontal="right" vertical="center"/>
      <protection hidden="1"/>
    </xf>
    <xf numFmtId="1" fontId="49" fillId="12" borderId="109" xfId="0" applyNumberFormat="1" applyFont="1" applyFill="1" applyBorder="1" applyAlignment="1" applyProtection="1">
      <alignment horizontal="right" vertical="center"/>
      <protection hidden="1"/>
    </xf>
    <xf numFmtId="2" fontId="49" fillId="12" borderId="107" xfId="0" applyNumberFormat="1" applyFont="1" applyFill="1" applyBorder="1" applyAlignment="1" applyProtection="1">
      <alignment horizontal="right" vertical="center"/>
      <protection hidden="1"/>
    </xf>
    <xf numFmtId="2" fontId="49" fillId="12" borderId="108" xfId="0" applyNumberFormat="1" applyFont="1" applyFill="1" applyBorder="1" applyAlignment="1" applyProtection="1">
      <alignment horizontal="right" vertical="center"/>
      <protection hidden="1"/>
    </xf>
    <xf numFmtId="2" fontId="0" fillId="12" borderId="108" xfId="0" applyNumberFormat="1" applyFill="1" applyBorder="1" applyAlignment="1">
      <alignment horizontal="right" vertical="center"/>
    </xf>
    <xf numFmtId="2" fontId="49" fillId="12" borderId="109" xfId="0" applyNumberFormat="1" applyFont="1" applyFill="1" applyBorder="1" applyAlignment="1" applyProtection="1">
      <alignment horizontal="right" vertical="center"/>
      <protection hidden="1"/>
    </xf>
    <xf numFmtId="1" fontId="49" fillId="29" borderId="110" xfId="0" applyNumberFormat="1" applyFont="1" applyFill="1" applyBorder="1" applyAlignment="1" applyProtection="1">
      <alignment horizontal="center" vertical="center"/>
      <protection hidden="1"/>
    </xf>
    <xf numFmtId="2" fontId="49" fillId="29" borderId="108" xfId="0" applyNumberFormat="1" applyFont="1" applyFill="1" applyBorder="1" applyAlignment="1" applyProtection="1">
      <alignment vertical="center"/>
      <protection hidden="1"/>
    </xf>
    <xf numFmtId="2" fontId="49" fillId="29" borderId="111" xfId="0" applyNumberFormat="1" applyFont="1" applyFill="1" applyBorder="1" applyAlignment="1" applyProtection="1">
      <alignment vertical="center"/>
      <protection hidden="1"/>
    </xf>
    <xf numFmtId="1" fontId="49" fillId="12" borderId="112" xfId="0" applyNumberFormat="1" applyFont="1" applyFill="1" applyBorder="1" applyAlignment="1" applyProtection="1">
      <alignment horizontal="center" vertical="center"/>
      <protection hidden="1"/>
    </xf>
    <xf numFmtId="1" fontId="49" fillId="12" borderId="113" xfId="0" applyNumberFormat="1" applyFont="1" applyFill="1" applyBorder="1" applyAlignment="1" applyProtection="1">
      <alignment horizontal="right" vertical="center"/>
      <protection hidden="1"/>
    </xf>
    <xf numFmtId="1" fontId="49" fillId="12" borderId="84" xfId="0" applyNumberFormat="1" applyFont="1" applyFill="1" applyBorder="1" applyAlignment="1" applyProtection="1">
      <alignment horizontal="right" vertical="center"/>
      <protection hidden="1"/>
    </xf>
    <xf numFmtId="1" fontId="49" fillId="12" borderId="114" xfId="0" applyNumberFormat="1" applyFont="1" applyFill="1" applyBorder="1" applyAlignment="1" applyProtection="1">
      <alignment horizontal="right" vertical="center"/>
      <protection hidden="1"/>
    </xf>
    <xf numFmtId="2" fontId="49" fillId="12" borderId="113" xfId="0" applyNumberFormat="1" applyFont="1" applyFill="1" applyBorder="1" applyAlignment="1" applyProtection="1">
      <alignment horizontal="right" vertical="center"/>
      <protection hidden="1"/>
    </xf>
    <xf numFmtId="2" fontId="49" fillId="12" borderId="84" xfId="0" applyNumberFormat="1" applyFont="1" applyFill="1" applyBorder="1" applyAlignment="1" applyProtection="1">
      <alignment horizontal="right" vertical="center"/>
      <protection hidden="1"/>
    </xf>
    <xf numFmtId="2" fontId="0" fillId="12" borderId="84" xfId="0" applyNumberFormat="1" applyFill="1" applyBorder="1" applyAlignment="1">
      <alignment horizontal="right" vertical="center"/>
    </xf>
    <xf numFmtId="2" fontId="49" fillId="12" borderId="114" xfId="0" applyNumberFormat="1" applyFont="1" applyFill="1" applyBorder="1" applyAlignment="1" applyProtection="1">
      <alignment horizontal="right" vertical="center"/>
      <protection hidden="1"/>
    </xf>
    <xf numFmtId="1" fontId="49" fillId="31" borderId="115" xfId="0" applyNumberFormat="1" applyFont="1" applyFill="1" applyBorder="1" applyAlignment="1" applyProtection="1">
      <alignment horizontal="center" vertical="center"/>
      <protection hidden="1"/>
    </xf>
    <xf numFmtId="2" fontId="49" fillId="31" borderId="84" xfId="0" applyNumberFormat="1" applyFont="1" applyFill="1" applyBorder="1" applyAlignment="1" applyProtection="1">
      <alignment vertical="center"/>
      <protection hidden="1"/>
    </xf>
    <xf numFmtId="2" fontId="49" fillId="31" borderId="116" xfId="0" applyNumberFormat="1" applyFont="1" applyFill="1" applyBorder="1" applyAlignment="1" applyProtection="1">
      <alignment vertical="center"/>
      <protection hidden="1"/>
    </xf>
    <xf numFmtId="1" fontId="49" fillId="12" borderId="113" xfId="0" applyNumberFormat="1" applyFont="1" applyFill="1" applyBorder="1" applyProtection="1">
      <protection hidden="1"/>
    </xf>
    <xf numFmtId="1" fontId="49" fillId="12" borderId="84" xfId="0" applyNumberFormat="1" applyFont="1" applyFill="1" applyBorder="1" applyAlignment="1" applyProtection="1">
      <alignment horizontal="center" vertical="center"/>
      <protection hidden="1"/>
    </xf>
    <xf numFmtId="1" fontId="49" fillId="12" borderId="114" xfId="0" applyNumberFormat="1" applyFont="1" applyFill="1" applyBorder="1" applyAlignment="1" applyProtection="1">
      <alignment horizontal="center" vertical="center"/>
      <protection hidden="1"/>
    </xf>
    <xf numFmtId="2" fontId="49" fillId="12" borderId="113" xfId="0" applyNumberFormat="1" applyFont="1" applyFill="1" applyBorder="1" applyProtection="1">
      <protection hidden="1"/>
    </xf>
    <xf numFmtId="2" fontId="49" fillId="12" borderId="84" xfId="0" applyNumberFormat="1" applyFont="1" applyFill="1" applyBorder="1" applyProtection="1">
      <protection hidden="1"/>
    </xf>
    <xf numFmtId="2" fontId="49" fillId="12" borderId="114" xfId="0" applyNumberFormat="1" applyFont="1" applyFill="1" applyBorder="1" applyProtection="1">
      <protection hidden="1"/>
    </xf>
    <xf numFmtId="1" fontId="49" fillId="9" borderId="115" xfId="0" applyNumberFormat="1" applyFont="1" applyFill="1" applyBorder="1" applyAlignment="1" applyProtection="1">
      <alignment horizontal="center" vertical="center"/>
      <protection hidden="1"/>
    </xf>
    <xf numFmtId="2" fontId="49" fillId="9" borderId="84" xfId="0" applyNumberFormat="1" applyFont="1" applyFill="1" applyBorder="1" applyAlignment="1" applyProtection="1">
      <alignment vertical="center"/>
      <protection hidden="1"/>
    </xf>
    <xf numFmtId="2" fontId="49" fillId="9" borderId="116" xfId="0" applyNumberFormat="1" applyFont="1" applyFill="1" applyBorder="1" applyAlignment="1" applyProtection="1">
      <alignment vertical="center"/>
      <protection hidden="1"/>
    </xf>
    <xf numFmtId="1" fontId="49" fillId="12" borderId="84" xfId="0" applyNumberFormat="1" applyFont="1" applyFill="1" applyBorder="1" applyAlignment="1" applyProtection="1">
      <alignment horizontal="right"/>
      <protection hidden="1"/>
    </xf>
    <xf numFmtId="2" fontId="0" fillId="12" borderId="84" xfId="0" applyNumberFormat="1" applyFill="1" applyBorder="1" applyAlignment="1">
      <alignment horizontal="right"/>
    </xf>
    <xf numFmtId="1" fontId="49" fillId="32" borderId="115" xfId="0" applyNumberFormat="1" applyFont="1" applyFill="1" applyBorder="1" applyAlignment="1" applyProtection="1">
      <alignment horizontal="center" vertical="center"/>
      <protection hidden="1"/>
    </xf>
    <xf numFmtId="2" fontId="49" fillId="32" borderId="84" xfId="0" applyNumberFormat="1" applyFont="1" applyFill="1" applyBorder="1" applyAlignment="1" applyProtection="1">
      <alignment vertical="center"/>
      <protection hidden="1"/>
    </xf>
    <xf numFmtId="2" fontId="49" fillId="32" borderId="116" xfId="0" applyNumberFormat="1" applyFont="1" applyFill="1" applyBorder="1" applyAlignment="1" applyProtection="1">
      <alignment vertical="center"/>
      <protection hidden="1"/>
    </xf>
    <xf numFmtId="1" fontId="49" fillId="33" borderId="113" xfId="0" applyNumberFormat="1" applyFont="1" applyFill="1" applyBorder="1" applyProtection="1">
      <protection hidden="1"/>
    </xf>
    <xf numFmtId="2" fontId="49" fillId="33" borderId="113" xfId="0" applyNumberFormat="1" applyFont="1" applyFill="1" applyBorder="1" applyProtection="1">
      <protection hidden="1"/>
    </xf>
    <xf numFmtId="2" fontId="49" fillId="33" borderId="84" xfId="0" applyNumberFormat="1" applyFont="1" applyFill="1" applyBorder="1" applyProtection="1">
      <protection hidden="1"/>
    </xf>
    <xf numFmtId="2" fontId="49" fillId="33" borderId="114" xfId="0" applyNumberFormat="1" applyFont="1" applyFill="1" applyBorder="1" applyProtection="1">
      <protection hidden="1"/>
    </xf>
    <xf numFmtId="1" fontId="49" fillId="33" borderId="115" xfId="0" applyNumberFormat="1" applyFont="1" applyFill="1" applyBorder="1" applyAlignment="1" applyProtection="1">
      <alignment horizontal="center" vertical="center"/>
      <protection hidden="1"/>
    </xf>
    <xf numFmtId="2" fontId="49" fillId="33" borderId="84" xfId="0" applyNumberFormat="1" applyFont="1" applyFill="1" applyBorder="1" applyAlignment="1" applyProtection="1">
      <alignment vertical="center"/>
      <protection hidden="1"/>
    </xf>
    <xf numFmtId="2" fontId="49" fillId="33" borderId="116" xfId="0" applyNumberFormat="1" applyFont="1" applyFill="1" applyBorder="1" applyAlignment="1" applyProtection="1">
      <alignment vertical="center"/>
      <protection hidden="1"/>
    </xf>
    <xf numFmtId="1" fontId="49" fillId="37" borderId="113" xfId="0" applyNumberFormat="1" applyFont="1" applyFill="1" applyBorder="1" applyProtection="1">
      <protection hidden="1"/>
    </xf>
    <xf numFmtId="2" fontId="49" fillId="37" borderId="113" xfId="0" applyNumberFormat="1" applyFont="1" applyFill="1" applyBorder="1" applyProtection="1">
      <protection hidden="1"/>
    </xf>
    <xf numFmtId="2" fontId="49" fillId="37" borderId="84" xfId="0" applyNumberFormat="1" applyFont="1" applyFill="1" applyBorder="1" applyProtection="1">
      <protection hidden="1"/>
    </xf>
    <xf numFmtId="2" fontId="49" fillId="37" borderId="114" xfId="0" applyNumberFormat="1" applyFont="1" applyFill="1" applyBorder="1" applyProtection="1">
      <protection hidden="1"/>
    </xf>
    <xf numFmtId="1" fontId="49" fillId="37" borderId="115" xfId="0" applyNumberFormat="1" applyFont="1" applyFill="1" applyBorder="1" applyAlignment="1" applyProtection="1">
      <alignment horizontal="center" vertical="center"/>
      <protection hidden="1"/>
    </xf>
    <xf numFmtId="2" fontId="49" fillId="37" borderId="84" xfId="0" applyNumberFormat="1" applyFont="1" applyFill="1" applyBorder="1" applyAlignment="1" applyProtection="1">
      <alignment vertical="center"/>
      <protection hidden="1"/>
    </xf>
    <xf numFmtId="2" fontId="49" fillId="37" borderId="116" xfId="0" applyNumberFormat="1" applyFont="1" applyFill="1" applyBorder="1" applyAlignment="1" applyProtection="1">
      <alignment vertical="center"/>
      <protection hidden="1"/>
    </xf>
    <xf numFmtId="1" fontId="49" fillId="23" borderId="113" xfId="0" applyNumberFormat="1" applyFont="1" applyFill="1" applyBorder="1" applyProtection="1">
      <protection hidden="1"/>
    </xf>
    <xf numFmtId="2" fontId="49" fillId="23" borderId="113" xfId="0" applyNumberFormat="1" applyFont="1" applyFill="1" applyBorder="1" applyProtection="1">
      <protection hidden="1"/>
    </xf>
    <xf numFmtId="2" fontId="49" fillId="23" borderId="84" xfId="0" applyNumberFormat="1" applyFont="1" applyFill="1" applyBorder="1" applyProtection="1">
      <protection hidden="1"/>
    </xf>
    <xf numFmtId="2" fontId="49" fillId="23" borderId="114" xfId="0" applyNumberFormat="1" applyFont="1" applyFill="1" applyBorder="1" applyProtection="1">
      <protection hidden="1"/>
    </xf>
    <xf numFmtId="1" fontId="49" fillId="23" borderId="115" xfId="0" applyNumberFormat="1" applyFont="1" applyFill="1" applyBorder="1" applyAlignment="1" applyProtection="1">
      <alignment horizontal="center" vertical="center"/>
      <protection hidden="1"/>
    </xf>
    <xf numFmtId="2" fontId="49" fillId="23" borderId="84" xfId="0" applyNumberFormat="1" applyFont="1" applyFill="1" applyBorder="1" applyAlignment="1" applyProtection="1">
      <alignment vertical="center"/>
      <protection hidden="1"/>
    </xf>
    <xf numFmtId="2" fontId="49" fillId="23" borderId="116" xfId="0" applyNumberFormat="1" applyFont="1" applyFill="1" applyBorder="1" applyAlignment="1" applyProtection="1">
      <alignment vertical="center"/>
      <protection hidden="1"/>
    </xf>
    <xf numFmtId="1" fontId="49" fillId="10" borderId="113" xfId="0" applyNumberFormat="1" applyFont="1" applyFill="1" applyBorder="1" applyProtection="1">
      <protection hidden="1"/>
    </xf>
    <xf numFmtId="2" fontId="49" fillId="10" borderId="113" xfId="0" applyNumberFormat="1" applyFont="1" applyFill="1" applyBorder="1" applyProtection="1">
      <protection hidden="1"/>
    </xf>
    <xf numFmtId="2" fontId="49" fillId="10" borderId="84" xfId="0" applyNumberFormat="1" applyFont="1" applyFill="1" applyBorder="1" applyProtection="1">
      <protection hidden="1"/>
    </xf>
    <xf numFmtId="2" fontId="49" fillId="10" borderId="114" xfId="0" applyNumberFormat="1" applyFont="1" applyFill="1" applyBorder="1" applyProtection="1">
      <protection hidden="1"/>
    </xf>
    <xf numFmtId="2" fontId="49" fillId="23" borderId="116" xfId="0" applyNumberFormat="1" applyFont="1" applyFill="1" applyBorder="1" applyProtection="1">
      <protection hidden="1"/>
    </xf>
    <xf numFmtId="1" fontId="49" fillId="12" borderId="112" xfId="0" applyNumberFormat="1" applyFont="1" applyFill="1" applyBorder="1" applyProtection="1">
      <protection hidden="1"/>
    </xf>
    <xf numFmtId="2" fontId="49" fillId="23" borderId="85" xfId="0" applyNumberFormat="1" applyFont="1" applyFill="1" applyBorder="1" applyProtection="1">
      <protection hidden="1"/>
    </xf>
    <xf numFmtId="2" fontId="49" fillId="23" borderId="117" xfId="0" applyNumberFormat="1" applyFont="1" applyFill="1" applyBorder="1" applyProtection="1">
      <protection hidden="1"/>
    </xf>
    <xf numFmtId="1" fontId="49" fillId="12" borderId="103" xfId="0" applyNumberFormat="1" applyFont="1" applyFill="1" applyBorder="1" applyProtection="1">
      <protection hidden="1"/>
    </xf>
    <xf numFmtId="1" fontId="30" fillId="0" borderId="92" xfId="5" applyNumberFormat="1" applyBorder="1"/>
    <xf numFmtId="1" fontId="0" fillId="12" borderId="92" xfId="0" applyNumberFormat="1" applyFill="1" applyBorder="1" applyProtection="1">
      <protection hidden="1"/>
    </xf>
    <xf numFmtId="165" fontId="0" fillId="12" borderId="92" xfId="0" applyFill="1" applyBorder="1" applyProtection="1">
      <protection hidden="1"/>
    </xf>
    <xf numFmtId="1" fontId="49" fillId="12" borderId="92" xfId="0" applyNumberFormat="1" applyFont="1" applyFill="1" applyBorder="1" applyAlignment="1" applyProtection="1">
      <alignment horizontal="center" vertical="center"/>
      <protection hidden="1"/>
    </xf>
    <xf numFmtId="1" fontId="0" fillId="12" borderId="92" xfId="0" applyNumberFormat="1" applyFill="1" applyBorder="1" applyAlignment="1" applyProtection="1">
      <alignment horizontal="center" vertical="center"/>
      <protection hidden="1"/>
    </xf>
    <xf numFmtId="165" fontId="49" fillId="12" borderId="92" xfId="0" applyFont="1" applyFill="1" applyBorder="1" applyAlignment="1" applyProtection="1">
      <alignment horizontal="center" vertical="center"/>
      <protection hidden="1"/>
    </xf>
    <xf numFmtId="165" fontId="49" fillId="12" borderId="92" xfId="0" applyFont="1" applyFill="1" applyBorder="1" applyProtection="1">
      <protection hidden="1"/>
    </xf>
    <xf numFmtId="165" fontId="49" fillId="12" borderId="102" xfId="0" applyFont="1" applyFill="1" applyBorder="1" applyProtection="1">
      <protection hidden="1"/>
    </xf>
    <xf numFmtId="1" fontId="49" fillId="29" borderId="107" xfId="0" applyNumberFormat="1" applyFont="1" applyFill="1" applyBorder="1" applyAlignment="1" applyProtection="1">
      <alignment horizontal="right" vertical="center"/>
      <protection hidden="1"/>
    </xf>
    <xf numFmtId="1" fontId="49" fillId="29" borderId="108" xfId="0" applyNumberFormat="1" applyFont="1" applyFill="1" applyBorder="1" applyAlignment="1" applyProtection="1">
      <alignment horizontal="right" vertical="center"/>
      <protection hidden="1"/>
    </xf>
    <xf numFmtId="1" fontId="49" fillId="29" borderId="109" xfId="0" applyNumberFormat="1" applyFont="1" applyFill="1" applyBorder="1" applyAlignment="1" applyProtection="1">
      <alignment horizontal="right" vertical="center"/>
      <protection hidden="1"/>
    </xf>
    <xf numFmtId="2" fontId="49" fillId="29" borderId="107" xfId="0" applyNumberFormat="1" applyFont="1" applyFill="1" applyBorder="1" applyAlignment="1" applyProtection="1">
      <alignment horizontal="right" vertical="center"/>
      <protection hidden="1"/>
    </xf>
    <xf numFmtId="2" fontId="49" fillId="29" borderId="108" xfId="0" applyNumberFormat="1" applyFont="1" applyFill="1" applyBorder="1" applyAlignment="1" applyProtection="1">
      <alignment horizontal="right" vertical="center"/>
      <protection hidden="1"/>
    </xf>
    <xf numFmtId="2" fontId="0" fillId="29" borderId="108" xfId="0" applyNumberFormat="1" applyFill="1" applyBorder="1" applyAlignment="1">
      <alignment horizontal="right" vertical="center"/>
    </xf>
    <xf numFmtId="2" fontId="49" fillId="29" borderId="109" xfId="0" applyNumberFormat="1" applyFont="1" applyFill="1" applyBorder="1" applyAlignment="1" applyProtection="1">
      <alignment horizontal="right" vertical="center"/>
      <protection hidden="1"/>
    </xf>
    <xf numFmtId="2" fontId="49" fillId="29" borderId="110" xfId="0" applyNumberFormat="1" applyFont="1" applyFill="1" applyBorder="1" applyAlignment="1" applyProtection="1">
      <alignment horizontal="center" vertical="center"/>
      <protection hidden="1"/>
    </xf>
    <xf numFmtId="1" fontId="49" fillId="31" borderId="113" xfId="0" applyNumberFormat="1" applyFont="1" applyFill="1" applyBorder="1" applyAlignment="1" applyProtection="1">
      <alignment horizontal="right" vertical="center"/>
      <protection hidden="1"/>
    </xf>
    <xf numFmtId="1" fontId="49" fillId="31" borderId="84" xfId="0" applyNumberFormat="1" applyFont="1" applyFill="1" applyBorder="1" applyAlignment="1" applyProtection="1">
      <alignment horizontal="right" vertical="center"/>
      <protection hidden="1"/>
    </xf>
    <xf numFmtId="1" fontId="49" fillId="31" borderId="114" xfId="0" applyNumberFormat="1" applyFont="1" applyFill="1" applyBorder="1" applyAlignment="1" applyProtection="1">
      <alignment horizontal="right" vertical="center"/>
      <protection hidden="1"/>
    </xf>
    <xf numFmtId="2" fontId="49" fillId="31" borderId="113" xfId="0" applyNumberFormat="1" applyFont="1" applyFill="1" applyBorder="1" applyAlignment="1" applyProtection="1">
      <alignment horizontal="right" vertical="center"/>
      <protection hidden="1"/>
    </xf>
    <xf numFmtId="2" fontId="49" fillId="31" borderId="84" xfId="0" applyNumberFormat="1" applyFont="1" applyFill="1" applyBorder="1" applyAlignment="1" applyProtection="1">
      <alignment horizontal="right" vertical="center"/>
      <protection hidden="1"/>
    </xf>
    <xf numFmtId="2" fontId="0" fillId="31" borderId="84" xfId="0" applyNumberFormat="1" applyFill="1" applyBorder="1" applyAlignment="1">
      <alignment horizontal="right" vertical="center"/>
    </xf>
    <xf numFmtId="2" fontId="49" fillId="31" borderId="114" xfId="0" applyNumberFormat="1" applyFont="1" applyFill="1" applyBorder="1" applyAlignment="1" applyProtection="1">
      <alignment horizontal="right" vertical="center"/>
      <protection hidden="1"/>
    </xf>
    <xf numFmtId="2" fontId="49" fillId="31" borderId="115" xfId="0" applyNumberFormat="1" applyFont="1" applyFill="1" applyBorder="1" applyAlignment="1" applyProtection="1">
      <alignment horizontal="center" vertical="center"/>
      <protection hidden="1"/>
    </xf>
    <xf numFmtId="1" fontId="49" fillId="9" borderId="113" xfId="0" applyNumberFormat="1" applyFont="1" applyFill="1" applyBorder="1" applyProtection="1">
      <protection hidden="1"/>
    </xf>
    <xf numFmtId="1" fontId="49" fillId="9" borderId="84" xfId="0" applyNumberFormat="1" applyFont="1" applyFill="1" applyBorder="1" applyAlignment="1" applyProtection="1">
      <alignment horizontal="center" vertical="center"/>
      <protection hidden="1"/>
    </xf>
    <xf numFmtId="1" fontId="49" fillId="9" borderId="114" xfId="0" applyNumberFormat="1" applyFont="1" applyFill="1" applyBorder="1" applyAlignment="1" applyProtection="1">
      <alignment horizontal="center" vertical="center"/>
      <protection hidden="1"/>
    </xf>
    <xf numFmtId="2" fontId="49" fillId="9" borderId="113" xfId="0" applyNumberFormat="1" applyFont="1" applyFill="1" applyBorder="1" applyProtection="1">
      <protection hidden="1"/>
    </xf>
    <xf numFmtId="2" fontId="49" fillId="9" borderId="84" xfId="0" applyNumberFormat="1" applyFont="1" applyFill="1" applyBorder="1" applyProtection="1">
      <protection hidden="1"/>
    </xf>
    <xf numFmtId="2" fontId="49" fillId="9" borderId="114" xfId="0" applyNumberFormat="1" applyFont="1" applyFill="1" applyBorder="1" applyProtection="1">
      <protection hidden="1"/>
    </xf>
    <xf numFmtId="2" fontId="49" fillId="9" borderId="115" xfId="0" applyNumberFormat="1" applyFont="1" applyFill="1" applyBorder="1" applyAlignment="1" applyProtection="1">
      <alignment horizontal="center" vertical="center"/>
      <protection hidden="1"/>
    </xf>
    <xf numFmtId="1" fontId="49" fillId="32" borderId="113" xfId="0" applyNumberFormat="1" applyFont="1" applyFill="1" applyBorder="1" applyAlignment="1" applyProtection="1">
      <alignment horizontal="right" vertical="center"/>
      <protection hidden="1"/>
    </xf>
    <xf numFmtId="1" fontId="49" fillId="32" borderId="84" xfId="0" applyNumberFormat="1" applyFont="1" applyFill="1" applyBorder="1" applyAlignment="1" applyProtection="1">
      <alignment horizontal="right" vertical="center"/>
      <protection hidden="1"/>
    </xf>
    <xf numFmtId="1" fontId="49" fillId="32" borderId="84" xfId="0" applyNumberFormat="1" applyFont="1" applyFill="1" applyBorder="1" applyAlignment="1" applyProtection="1">
      <alignment horizontal="right"/>
      <protection hidden="1"/>
    </xf>
    <xf numFmtId="1" fontId="49" fillId="32" borderId="114" xfId="0" applyNumberFormat="1" applyFont="1" applyFill="1" applyBorder="1" applyAlignment="1" applyProtection="1">
      <alignment horizontal="right" vertical="center"/>
      <protection hidden="1"/>
    </xf>
    <xf numFmtId="2" fontId="49" fillId="32" borderId="113" xfId="0" applyNumberFormat="1" applyFont="1" applyFill="1" applyBorder="1" applyAlignment="1" applyProtection="1">
      <alignment horizontal="right" vertical="center"/>
      <protection hidden="1"/>
    </xf>
    <xf numFmtId="2" fontId="49" fillId="32" borderId="84" xfId="0" applyNumberFormat="1" applyFont="1" applyFill="1" applyBorder="1" applyAlignment="1" applyProtection="1">
      <alignment horizontal="right" vertical="center"/>
      <protection hidden="1"/>
    </xf>
    <xf numFmtId="2" fontId="0" fillId="32" borderId="84" xfId="0" applyNumberFormat="1" applyFill="1" applyBorder="1" applyAlignment="1">
      <alignment horizontal="right"/>
    </xf>
    <xf numFmtId="2" fontId="49" fillId="32" borderId="114" xfId="0" applyNumberFormat="1" applyFont="1" applyFill="1" applyBorder="1" applyAlignment="1" applyProtection="1">
      <alignment horizontal="right" vertical="center"/>
      <protection hidden="1"/>
    </xf>
    <xf numFmtId="2" fontId="49" fillId="32" borderId="115" xfId="0" applyNumberFormat="1" applyFont="1" applyFill="1" applyBorder="1" applyAlignment="1" applyProtection="1">
      <alignment horizontal="center" vertical="center"/>
      <protection hidden="1"/>
    </xf>
    <xf numFmtId="1" fontId="58" fillId="33" borderId="84" xfId="0" applyNumberFormat="1" applyFont="1" applyFill="1" applyBorder="1" applyAlignment="1" applyProtection="1">
      <alignment horizontal="center" vertical="center"/>
      <protection hidden="1"/>
    </xf>
    <xf numFmtId="1" fontId="49" fillId="33" borderId="84" xfId="0" applyNumberFormat="1" applyFont="1" applyFill="1" applyBorder="1" applyAlignment="1" applyProtection="1">
      <alignment horizontal="center" vertical="center"/>
      <protection hidden="1"/>
    </xf>
    <xf numFmtId="1" fontId="57" fillId="33" borderId="114" xfId="0" applyNumberFormat="1" applyFont="1" applyFill="1" applyBorder="1" applyAlignment="1" applyProtection="1">
      <alignment horizontal="center" vertical="center"/>
      <protection hidden="1"/>
    </xf>
    <xf numFmtId="2" fontId="49" fillId="33" borderId="115" xfId="0" applyNumberFormat="1" applyFont="1" applyFill="1" applyBorder="1" applyAlignment="1" applyProtection="1">
      <alignment horizontal="center" vertical="center"/>
      <protection hidden="1"/>
    </xf>
    <xf numFmtId="1" fontId="58" fillId="37" borderId="84" xfId="0" applyNumberFormat="1" applyFont="1" applyFill="1" applyBorder="1" applyAlignment="1" applyProtection="1">
      <alignment horizontal="center" vertical="center"/>
      <protection hidden="1"/>
    </xf>
    <xf numFmtId="1" fontId="49" fillId="37" borderId="84" xfId="0" applyNumberFormat="1" applyFont="1" applyFill="1" applyBorder="1" applyAlignment="1" applyProtection="1">
      <alignment horizontal="center" vertical="center"/>
      <protection hidden="1"/>
    </xf>
    <xf numFmtId="1" fontId="49" fillId="37" borderId="114" xfId="0" applyNumberFormat="1" applyFont="1" applyFill="1" applyBorder="1" applyAlignment="1" applyProtection="1">
      <alignment horizontal="center" vertical="center"/>
      <protection hidden="1"/>
    </xf>
    <xf numFmtId="2" fontId="49" fillId="37" borderId="115" xfId="0" applyNumberFormat="1" applyFont="1" applyFill="1" applyBorder="1" applyAlignment="1" applyProtection="1">
      <alignment horizontal="center" vertical="center"/>
      <protection hidden="1"/>
    </xf>
    <xf numFmtId="1" fontId="58" fillId="23" borderId="84" xfId="0" applyNumberFormat="1" applyFont="1" applyFill="1" applyBorder="1" applyAlignment="1" applyProtection="1">
      <alignment horizontal="center" vertical="center"/>
      <protection hidden="1"/>
    </xf>
    <xf numFmtId="1" fontId="57" fillId="23" borderId="84" xfId="0" applyNumberFormat="1" applyFont="1" applyFill="1" applyBorder="1" applyAlignment="1" applyProtection="1">
      <alignment horizontal="center" vertical="center"/>
      <protection hidden="1"/>
    </xf>
    <xf numFmtId="1" fontId="49" fillId="23" borderId="84" xfId="0" applyNumberFormat="1" applyFont="1" applyFill="1" applyBorder="1" applyAlignment="1" applyProtection="1">
      <alignment horizontal="center" vertical="center"/>
      <protection hidden="1"/>
    </xf>
    <xf numFmtId="1" fontId="57" fillId="23" borderId="114" xfId="0" applyNumberFormat="1" applyFont="1" applyFill="1" applyBorder="1" applyAlignment="1" applyProtection="1">
      <alignment horizontal="center" vertical="center"/>
      <protection hidden="1"/>
    </xf>
    <xf numFmtId="2" fontId="49" fillId="23" borderId="115" xfId="0" applyNumberFormat="1" applyFont="1" applyFill="1" applyBorder="1" applyAlignment="1" applyProtection="1">
      <alignment horizontal="center" vertical="center"/>
      <protection hidden="1"/>
    </xf>
    <xf numFmtId="1" fontId="49" fillId="10" borderId="84" xfId="0" applyNumberFormat="1" applyFont="1" applyFill="1" applyBorder="1" applyAlignment="1" applyProtection="1">
      <alignment horizontal="center" vertical="center"/>
      <protection hidden="1"/>
    </xf>
    <xf numFmtId="1" fontId="49" fillId="10" borderId="114" xfId="0" applyNumberFormat="1" applyFont="1" applyFill="1" applyBorder="1" applyAlignment="1" applyProtection="1">
      <alignment horizontal="center" vertical="center"/>
      <protection hidden="1"/>
    </xf>
    <xf numFmtId="1" fontId="49" fillId="5" borderId="113" xfId="0" applyNumberFormat="1" applyFont="1" applyFill="1" applyBorder="1" applyProtection="1">
      <protection hidden="1"/>
    </xf>
    <xf numFmtId="1" fontId="49" fillId="5" borderId="84" xfId="0" applyNumberFormat="1" applyFont="1" applyFill="1" applyBorder="1" applyAlignment="1" applyProtection="1">
      <alignment horizontal="center" vertical="center"/>
      <protection hidden="1"/>
    </xf>
    <xf numFmtId="1" fontId="49" fillId="5" borderId="114" xfId="0" applyNumberFormat="1" applyFont="1" applyFill="1" applyBorder="1" applyAlignment="1" applyProtection="1">
      <alignment horizontal="center" vertical="center"/>
      <protection hidden="1"/>
    </xf>
    <xf numFmtId="2" fontId="49" fillId="5" borderId="113" xfId="0" applyNumberFormat="1" applyFont="1" applyFill="1" applyBorder="1" applyProtection="1">
      <protection hidden="1"/>
    </xf>
    <xf numFmtId="2" fontId="49" fillId="5" borderId="84" xfId="0" applyNumberFormat="1" applyFont="1" applyFill="1" applyBorder="1" applyProtection="1">
      <protection hidden="1"/>
    </xf>
    <xf numFmtId="2" fontId="49" fillId="5" borderId="114" xfId="0" applyNumberFormat="1" applyFont="1" applyFill="1" applyBorder="1" applyProtection="1">
      <protection hidden="1"/>
    </xf>
    <xf numFmtId="1" fontId="49" fillId="34" borderId="113" xfId="0" applyNumberFormat="1" applyFont="1" applyFill="1" applyBorder="1" applyProtection="1">
      <protection hidden="1"/>
    </xf>
    <xf numFmtId="1" fontId="49" fillId="34" borderId="84" xfId="0" applyNumberFormat="1" applyFont="1" applyFill="1" applyBorder="1" applyAlignment="1" applyProtection="1">
      <alignment horizontal="center" vertical="center"/>
      <protection hidden="1"/>
    </xf>
    <xf numFmtId="1" fontId="49" fillId="34" borderId="114" xfId="0" applyNumberFormat="1" applyFont="1" applyFill="1" applyBorder="1" applyAlignment="1" applyProtection="1">
      <alignment horizontal="center" vertical="center"/>
      <protection hidden="1"/>
    </xf>
    <xf numFmtId="2" fontId="49" fillId="34" borderId="113" xfId="0" applyNumberFormat="1" applyFont="1" applyFill="1" applyBorder="1" applyProtection="1">
      <protection hidden="1"/>
    </xf>
    <xf numFmtId="2" fontId="49" fillId="34" borderId="84" xfId="0" applyNumberFormat="1" applyFont="1" applyFill="1" applyBorder="1" applyProtection="1">
      <protection hidden="1"/>
    </xf>
    <xf numFmtId="2" fontId="49" fillId="34" borderId="114" xfId="0" applyNumberFormat="1" applyFont="1" applyFill="1" applyBorder="1" applyProtection="1">
      <protection hidden="1"/>
    </xf>
    <xf numFmtId="1" fontId="49" fillId="4" borderId="113" xfId="0" applyNumberFormat="1" applyFont="1" applyFill="1" applyBorder="1" applyProtection="1">
      <protection hidden="1"/>
    </xf>
    <xf numFmtId="1" fontId="49" fillId="4" borderId="84" xfId="0" applyNumberFormat="1" applyFont="1" applyFill="1" applyBorder="1" applyAlignment="1" applyProtection="1">
      <alignment horizontal="center" vertical="center"/>
      <protection hidden="1"/>
    </xf>
    <xf numFmtId="1" fontId="49" fillId="4" borderId="114" xfId="0" applyNumberFormat="1" applyFont="1" applyFill="1" applyBorder="1" applyAlignment="1" applyProtection="1">
      <alignment horizontal="center" vertical="center"/>
      <protection hidden="1"/>
    </xf>
    <xf numFmtId="2" fontId="49" fillId="4" borderId="113" xfId="0" applyNumberFormat="1" applyFont="1" applyFill="1" applyBorder="1" applyProtection="1">
      <protection hidden="1"/>
    </xf>
    <xf numFmtId="2" fontId="49" fillId="4" borderId="84" xfId="0" applyNumberFormat="1" applyFont="1" applyFill="1" applyBorder="1" applyProtection="1">
      <protection hidden="1"/>
    </xf>
    <xf numFmtId="2" fontId="49" fillId="4" borderId="114" xfId="0" applyNumberFormat="1" applyFont="1" applyFill="1" applyBorder="1" applyProtection="1">
      <protection hidden="1"/>
    </xf>
    <xf numFmtId="1" fontId="49" fillId="35" borderId="104" xfId="0" applyNumberFormat="1" applyFont="1" applyFill="1" applyBorder="1" applyProtection="1">
      <protection hidden="1"/>
    </xf>
    <xf numFmtId="1" fontId="49" fillId="35" borderId="85" xfId="0" applyNumberFormat="1" applyFont="1" applyFill="1" applyBorder="1" applyAlignment="1" applyProtection="1">
      <alignment horizontal="center" vertical="center"/>
      <protection hidden="1"/>
    </xf>
    <xf numFmtId="1" fontId="49" fillId="35" borderId="105" xfId="0" applyNumberFormat="1" applyFont="1" applyFill="1" applyBorder="1" applyAlignment="1" applyProtection="1">
      <alignment horizontal="center" vertical="center"/>
      <protection hidden="1"/>
    </xf>
    <xf numFmtId="2" fontId="49" fillId="35" borderId="104" xfId="0" applyNumberFormat="1" applyFont="1" applyFill="1" applyBorder="1" applyProtection="1">
      <protection hidden="1"/>
    </xf>
    <xf numFmtId="2" fontId="49" fillId="35" borderId="85" xfId="0" applyNumberFormat="1" applyFont="1" applyFill="1" applyBorder="1" applyProtection="1">
      <protection hidden="1"/>
    </xf>
    <xf numFmtId="2" fontId="49" fillId="35" borderId="105" xfId="0" applyNumberFormat="1" applyFont="1" applyFill="1" applyBorder="1" applyProtection="1">
      <protection hidden="1"/>
    </xf>
    <xf numFmtId="165" fontId="49" fillId="12" borderId="91" xfId="0" applyFont="1" applyFill="1" applyBorder="1" applyProtection="1">
      <protection hidden="1"/>
    </xf>
    <xf numFmtId="2" fontId="49" fillId="12" borderId="119" xfId="0" applyNumberFormat="1" applyFont="1" applyFill="1" applyBorder="1" applyAlignment="1" applyProtection="1">
      <alignment horizontal="right" vertical="center"/>
      <protection hidden="1"/>
    </xf>
    <xf numFmtId="2" fontId="49" fillId="12" borderId="119" xfId="0" applyNumberFormat="1" applyFont="1" applyFill="1" applyBorder="1" applyProtection="1">
      <protection hidden="1"/>
    </xf>
    <xf numFmtId="2" fontId="49" fillId="12" borderId="120" xfId="0" applyNumberFormat="1" applyFont="1" applyFill="1" applyBorder="1" applyProtection="1">
      <protection hidden="1"/>
    </xf>
    <xf numFmtId="165" fontId="49" fillId="12" borderId="102" xfId="0" applyFont="1" applyFill="1" applyBorder="1" applyAlignment="1" applyProtection="1">
      <alignment horizontal="right"/>
      <protection hidden="1"/>
    </xf>
    <xf numFmtId="165" fontId="49" fillId="12" borderId="118" xfId="0" applyFont="1" applyFill="1" applyBorder="1" applyAlignment="1" applyProtection="1">
      <alignment horizontal="center" vertical="center"/>
      <protection hidden="1"/>
    </xf>
    <xf numFmtId="1" fontId="49" fillId="12" borderId="124" xfId="0" applyNumberFormat="1" applyFont="1" applyFill="1" applyBorder="1" applyAlignment="1" applyProtection="1">
      <alignment horizontal="center" vertical="center"/>
      <protection hidden="1"/>
    </xf>
    <xf numFmtId="2" fontId="49" fillId="12" borderId="108" xfId="0" applyNumberFormat="1" applyFont="1" applyFill="1" applyBorder="1" applyAlignment="1" applyProtection="1">
      <alignment horizontal="center" vertical="center"/>
      <protection hidden="1"/>
    </xf>
    <xf numFmtId="1" fontId="49" fillId="12" borderId="126" xfId="0" applyNumberFormat="1" applyFont="1" applyFill="1" applyBorder="1" applyAlignment="1" applyProtection="1">
      <alignment horizontal="center" vertical="center"/>
      <protection hidden="1"/>
    </xf>
    <xf numFmtId="1" fontId="49" fillId="12" borderId="96" xfId="0" applyNumberFormat="1" applyFont="1" applyFill="1" applyBorder="1" applyProtection="1">
      <protection hidden="1"/>
    </xf>
    <xf numFmtId="1" fontId="49" fillId="12" borderId="127" xfId="0" applyNumberFormat="1" applyFont="1" applyFill="1" applyBorder="1" applyAlignment="1" applyProtection="1">
      <alignment horizontal="center" vertical="center"/>
      <protection hidden="1"/>
    </xf>
    <xf numFmtId="1" fontId="57" fillId="12" borderId="83" xfId="0" applyNumberFormat="1" applyFont="1" applyFill="1" applyBorder="1" applyAlignment="1" applyProtection="1">
      <alignment horizontal="center" vertical="center"/>
      <protection hidden="1"/>
    </xf>
    <xf numFmtId="2" fontId="49" fillId="12" borderId="127" xfId="0" applyNumberFormat="1" applyFont="1" applyFill="1" applyBorder="1" applyProtection="1">
      <protection hidden="1"/>
    </xf>
    <xf numFmtId="2" fontId="49" fillId="12" borderId="83" xfId="0" applyNumberFormat="1" applyFont="1" applyFill="1" applyBorder="1" applyProtection="1">
      <protection hidden="1"/>
    </xf>
    <xf numFmtId="2" fontId="49" fillId="12" borderId="98" xfId="0" applyNumberFormat="1" applyFont="1" applyFill="1" applyBorder="1" applyProtection="1">
      <protection hidden="1"/>
    </xf>
    <xf numFmtId="2" fontId="49" fillId="12" borderId="84" xfId="0" applyNumberFormat="1" applyFont="1" applyFill="1" applyBorder="1" applyAlignment="1" applyProtection="1">
      <alignment horizontal="center" vertical="center"/>
      <protection hidden="1"/>
    </xf>
    <xf numFmtId="1" fontId="49" fillId="12" borderId="128" xfId="0" applyNumberFormat="1" applyFont="1" applyFill="1" applyBorder="1" applyAlignment="1" applyProtection="1">
      <alignment horizontal="center" vertical="center"/>
      <protection hidden="1"/>
    </xf>
    <xf numFmtId="1" fontId="57" fillId="12" borderId="115" xfId="0" applyNumberFormat="1" applyFont="1" applyFill="1" applyBorder="1" applyAlignment="1" applyProtection="1">
      <alignment horizontal="center" vertical="center"/>
      <protection hidden="1"/>
    </xf>
    <xf numFmtId="1" fontId="57" fillId="12" borderId="84" xfId="0" applyNumberFormat="1" applyFont="1" applyFill="1" applyBorder="1" applyAlignment="1" applyProtection="1">
      <alignment horizontal="center" vertical="center"/>
      <protection hidden="1"/>
    </xf>
    <xf numFmtId="1" fontId="57" fillId="12" borderId="114" xfId="0" applyNumberFormat="1" applyFont="1" applyFill="1" applyBorder="1" applyAlignment="1" applyProtection="1">
      <alignment horizontal="center" vertical="center"/>
      <protection hidden="1"/>
    </xf>
    <xf numFmtId="2" fontId="49" fillId="12" borderId="110" xfId="0" applyNumberFormat="1" applyFont="1" applyFill="1" applyBorder="1" applyProtection="1">
      <protection hidden="1"/>
    </xf>
    <xf numFmtId="2" fontId="49" fillId="12" borderId="108" xfId="0" applyNumberFormat="1" applyFont="1" applyFill="1" applyBorder="1" applyProtection="1">
      <protection hidden="1"/>
    </xf>
    <xf numFmtId="2" fontId="49" fillId="12" borderId="109" xfId="0" applyNumberFormat="1" applyFont="1" applyFill="1" applyBorder="1" applyProtection="1">
      <protection hidden="1"/>
    </xf>
    <xf numFmtId="1" fontId="49" fillId="12" borderId="115" xfId="0" applyNumberFormat="1" applyFont="1" applyFill="1" applyBorder="1" applyAlignment="1" applyProtection="1">
      <alignment horizontal="center" vertical="center"/>
      <protection hidden="1"/>
    </xf>
    <xf numFmtId="1" fontId="49" fillId="12" borderId="129" xfId="0" applyNumberFormat="1" applyFont="1" applyFill="1" applyBorder="1" applyAlignment="1" applyProtection="1">
      <alignment horizontal="center" vertical="center"/>
      <protection hidden="1"/>
    </xf>
    <xf numFmtId="1" fontId="57" fillId="12" borderId="130" xfId="0" applyNumberFormat="1" applyFont="1" applyFill="1" applyBorder="1" applyProtection="1">
      <protection hidden="1"/>
    </xf>
    <xf numFmtId="1" fontId="57" fillId="12" borderId="131" xfId="0" applyNumberFormat="1" applyFont="1" applyFill="1" applyBorder="1" applyAlignment="1" applyProtection="1">
      <alignment horizontal="center" vertical="center"/>
      <protection hidden="1"/>
    </xf>
    <xf numFmtId="1" fontId="57" fillId="12" borderId="123" xfId="0" applyNumberFormat="1" applyFont="1" applyFill="1" applyBorder="1" applyAlignment="1" applyProtection="1">
      <alignment horizontal="center" vertical="center"/>
      <protection hidden="1"/>
    </xf>
    <xf numFmtId="1" fontId="57" fillId="12" borderId="124" xfId="0" applyNumberFormat="1" applyFont="1" applyFill="1" applyBorder="1" applyAlignment="1" applyProtection="1">
      <alignment horizontal="center" vertical="center"/>
      <protection hidden="1"/>
    </xf>
    <xf numFmtId="1" fontId="49" fillId="12" borderId="132" xfId="0" applyNumberFormat="1" applyFont="1" applyFill="1" applyBorder="1" applyAlignment="1" applyProtection="1">
      <alignment horizontal="center" vertical="center"/>
      <protection hidden="1"/>
    </xf>
    <xf numFmtId="1" fontId="49" fillId="12" borderId="133" xfId="0" applyNumberFormat="1" applyFont="1" applyFill="1" applyBorder="1" applyAlignment="1" applyProtection="1">
      <alignment horizontal="center" vertical="center"/>
      <protection hidden="1"/>
    </xf>
    <xf numFmtId="2" fontId="49" fillId="12" borderId="93" xfId="0" applyNumberFormat="1" applyFont="1" applyFill="1" applyBorder="1" applyProtection="1">
      <protection hidden="1"/>
    </xf>
    <xf numFmtId="2" fontId="49" fillId="12" borderId="94" xfId="0" applyNumberFormat="1" applyFont="1" applyFill="1" applyBorder="1" applyProtection="1">
      <protection hidden="1"/>
    </xf>
    <xf numFmtId="2" fontId="49" fillId="12" borderId="95" xfId="0" applyNumberFormat="1" applyFont="1" applyFill="1" applyBorder="1" applyProtection="1">
      <protection hidden="1"/>
    </xf>
    <xf numFmtId="1" fontId="0" fillId="12" borderId="0" xfId="0" applyNumberFormat="1" applyFill="1" applyAlignment="1" applyProtection="1">
      <alignment horizontal="center" vertical="center"/>
      <protection hidden="1"/>
    </xf>
    <xf numFmtId="172" fontId="49" fillId="12" borderId="3" xfId="0" applyNumberFormat="1" applyFont="1" applyFill="1" applyBorder="1" applyAlignment="1" applyProtection="1">
      <alignment vertical="center"/>
      <protection hidden="1"/>
    </xf>
    <xf numFmtId="1" fontId="49" fillId="12" borderId="57" xfId="0" applyNumberFormat="1" applyFont="1" applyFill="1" applyBorder="1" applyAlignment="1" applyProtection="1">
      <alignment vertical="center"/>
      <protection hidden="1"/>
    </xf>
    <xf numFmtId="1" fontId="49" fillId="12" borderId="138" xfId="0" applyNumberFormat="1" applyFont="1" applyFill="1" applyBorder="1" applyAlignment="1" applyProtection="1">
      <alignment vertical="center"/>
      <protection hidden="1"/>
    </xf>
    <xf numFmtId="1" fontId="49" fillId="12" borderId="139" xfId="0" applyNumberFormat="1" applyFont="1" applyFill="1" applyBorder="1" applyAlignment="1" applyProtection="1">
      <alignment vertical="center"/>
      <protection hidden="1"/>
    </xf>
    <xf numFmtId="1" fontId="49" fillId="12" borderId="23" xfId="0" applyNumberFormat="1" applyFont="1" applyFill="1" applyBorder="1" applyAlignment="1" applyProtection="1">
      <alignment vertical="center"/>
      <protection hidden="1"/>
    </xf>
    <xf numFmtId="1" fontId="0" fillId="12" borderId="139" xfId="0" applyNumberFormat="1" applyFill="1" applyBorder="1" applyAlignment="1" applyProtection="1">
      <alignment vertical="center"/>
      <protection hidden="1"/>
    </xf>
    <xf numFmtId="165" fontId="62" fillId="12" borderId="0" xfId="0" applyFont="1" applyFill="1" applyAlignment="1" applyProtection="1">
      <alignment horizontal="center" vertical="center"/>
      <protection hidden="1"/>
    </xf>
    <xf numFmtId="165" fontId="49" fillId="12" borderId="27" xfId="0" applyFont="1" applyFill="1" applyBorder="1" applyAlignment="1">
      <alignment horizontal="center" vertical="center" textRotation="45"/>
    </xf>
    <xf numFmtId="1" fontId="49" fillId="12" borderId="0" xfId="0" applyNumberFormat="1" applyFont="1" applyFill="1" applyAlignment="1">
      <alignment horizontal="center" vertical="center" textRotation="45"/>
    </xf>
    <xf numFmtId="165" fontId="49" fillId="12" borderId="28" xfId="0" applyFont="1" applyFill="1" applyBorder="1" applyAlignment="1">
      <alignment horizontal="center" vertical="center" textRotation="45"/>
    </xf>
    <xf numFmtId="1" fontId="49" fillId="12" borderId="3" xfId="0" applyNumberFormat="1" applyFont="1" applyFill="1" applyBorder="1" applyAlignment="1" applyProtection="1">
      <alignment vertical="center"/>
      <protection hidden="1"/>
    </xf>
    <xf numFmtId="1" fontId="49" fillId="12" borderId="140" xfId="0" applyNumberFormat="1" applyFont="1" applyFill="1" applyBorder="1" applyAlignment="1" applyProtection="1">
      <alignment vertical="center"/>
      <protection hidden="1"/>
    </xf>
    <xf numFmtId="1" fontId="49" fillId="12" borderId="141" xfId="0" applyNumberFormat="1" applyFont="1" applyFill="1" applyBorder="1" applyAlignment="1" applyProtection="1">
      <alignment vertical="center"/>
      <protection hidden="1"/>
    </xf>
    <xf numFmtId="1" fontId="0" fillId="12" borderId="3" xfId="0" applyNumberFormat="1" applyFill="1" applyBorder="1" applyAlignment="1" applyProtection="1">
      <alignment vertical="center"/>
      <protection hidden="1"/>
    </xf>
    <xf numFmtId="1" fontId="0" fillId="12" borderId="141" xfId="0" applyNumberFormat="1" applyFill="1" applyBorder="1" applyAlignment="1" applyProtection="1">
      <alignment vertical="center"/>
      <protection hidden="1"/>
    </xf>
    <xf numFmtId="165" fontId="49" fillId="12" borderId="0" xfId="0" applyFont="1" applyFill="1" applyAlignment="1" applyProtection="1">
      <alignment vertical="center"/>
      <protection hidden="1"/>
    </xf>
    <xf numFmtId="1" fontId="61" fillId="29" borderId="96" xfId="0" applyNumberFormat="1" applyFont="1" applyFill="1" applyBorder="1" applyAlignment="1" applyProtection="1">
      <alignment horizontal="center" vertical="center"/>
      <protection hidden="1"/>
    </xf>
    <xf numFmtId="1" fontId="61" fillId="29" borderId="142" xfId="0" applyNumberFormat="1" applyFont="1" applyFill="1" applyBorder="1" applyAlignment="1" applyProtection="1">
      <alignment horizontal="center" vertical="center"/>
      <protection hidden="1"/>
    </xf>
    <xf numFmtId="165" fontId="61" fillId="29" borderId="142" xfId="0" applyFont="1" applyFill="1" applyBorder="1" applyAlignment="1" applyProtection="1">
      <alignment horizontal="center" vertical="center"/>
      <protection hidden="1"/>
    </xf>
    <xf numFmtId="165" fontId="61" fillId="29" borderId="143" xfId="0" applyFont="1" applyFill="1" applyBorder="1" applyAlignment="1" applyProtection="1">
      <alignment horizontal="center" vertical="center"/>
      <protection hidden="1"/>
    </xf>
    <xf numFmtId="1" fontId="61" fillId="29" borderId="144" xfId="0" applyNumberFormat="1" applyFont="1" applyFill="1" applyBorder="1" applyProtection="1">
      <protection hidden="1"/>
    </xf>
    <xf numFmtId="1" fontId="61" fillId="29" borderId="96" xfId="0" applyNumberFormat="1" applyFont="1" applyFill="1" applyBorder="1" applyProtection="1">
      <protection hidden="1"/>
    </xf>
    <xf numFmtId="1" fontId="61" fillId="29" borderId="145" xfId="0" applyNumberFormat="1" applyFont="1" applyFill="1" applyBorder="1" applyProtection="1">
      <protection hidden="1"/>
    </xf>
    <xf numFmtId="1" fontId="61" fillId="29" borderId="142" xfId="0" applyNumberFormat="1" applyFont="1" applyFill="1" applyBorder="1" applyProtection="1">
      <protection hidden="1"/>
    </xf>
    <xf numFmtId="1" fontId="61" fillId="29" borderId="126" xfId="0" applyNumberFormat="1" applyFont="1" applyFill="1" applyBorder="1" applyProtection="1">
      <protection hidden="1"/>
    </xf>
    <xf numFmtId="1" fontId="61" fillId="29" borderId="146" xfId="0" applyNumberFormat="1" applyFont="1" applyFill="1" applyBorder="1" applyAlignment="1" applyProtection="1">
      <alignment horizontal="center" vertical="center"/>
      <protection hidden="1"/>
    </xf>
    <xf numFmtId="165" fontId="61" fillId="29" borderId="146" xfId="0" applyFont="1" applyFill="1" applyBorder="1" applyAlignment="1" applyProtection="1">
      <alignment horizontal="center" vertical="center"/>
      <protection hidden="1"/>
    </xf>
    <xf numFmtId="165" fontId="61" fillId="29" borderId="147" xfId="0" applyFont="1" applyFill="1" applyBorder="1" applyAlignment="1" applyProtection="1">
      <alignment horizontal="center" vertical="center"/>
      <protection hidden="1"/>
    </xf>
    <xf numFmtId="1" fontId="61" fillId="29" borderId="148" xfId="0" applyNumberFormat="1" applyFont="1" applyFill="1" applyBorder="1" applyProtection="1">
      <protection hidden="1"/>
    </xf>
    <xf numFmtId="1" fontId="61" fillId="29" borderId="112" xfId="0" applyNumberFormat="1" applyFont="1" applyFill="1" applyBorder="1" applyProtection="1">
      <protection hidden="1"/>
    </xf>
    <xf numFmtId="1" fontId="61" fillId="29" borderId="149" xfId="0" applyNumberFormat="1" applyFont="1" applyFill="1" applyBorder="1" applyProtection="1">
      <protection hidden="1"/>
    </xf>
    <xf numFmtId="1" fontId="61" fillId="29" borderId="146" xfId="0" applyNumberFormat="1" applyFont="1" applyFill="1" applyBorder="1" applyProtection="1">
      <protection hidden="1"/>
    </xf>
    <xf numFmtId="1" fontId="61" fillId="29" borderId="128" xfId="0" applyNumberFormat="1" applyFont="1" applyFill="1" applyBorder="1" applyProtection="1">
      <protection hidden="1"/>
    </xf>
    <xf numFmtId="1" fontId="65" fillId="29" borderId="146" xfId="1" applyNumberFormat="1" applyFont="1" applyFill="1" applyBorder="1" applyAlignment="1" applyProtection="1">
      <alignment horizontal="center" vertical="center"/>
      <protection hidden="1"/>
    </xf>
    <xf numFmtId="1" fontId="61" fillId="29" borderId="112" xfId="0" applyNumberFormat="1" applyFont="1" applyFill="1" applyBorder="1" applyAlignment="1" applyProtection="1">
      <alignment horizontal="center" vertical="center"/>
      <protection hidden="1"/>
    </xf>
    <xf numFmtId="1" fontId="65" fillId="29" borderId="150" xfId="1" applyNumberFormat="1" applyFont="1" applyFill="1" applyBorder="1" applyAlignment="1" applyProtection="1">
      <alignment horizontal="center" vertical="center"/>
      <protection hidden="1"/>
    </xf>
    <xf numFmtId="1" fontId="61" fillId="29" borderId="103" xfId="0" applyNumberFormat="1" applyFont="1" applyFill="1" applyBorder="1" applyAlignment="1" applyProtection="1">
      <alignment horizontal="center" vertical="center"/>
      <protection hidden="1"/>
    </xf>
    <xf numFmtId="1" fontId="61" fillId="29" borderId="150" xfId="0" applyNumberFormat="1" applyFont="1" applyFill="1" applyBorder="1" applyAlignment="1" applyProtection="1">
      <alignment horizontal="center" vertical="center"/>
      <protection hidden="1"/>
    </xf>
    <xf numFmtId="165" fontId="61" fillId="29" borderId="150" xfId="0" applyFont="1" applyFill="1" applyBorder="1" applyAlignment="1" applyProtection="1">
      <alignment horizontal="center" vertical="center"/>
      <protection hidden="1"/>
    </xf>
    <xf numFmtId="165" fontId="61" fillId="29" borderId="151" xfId="0" applyFont="1" applyFill="1" applyBorder="1" applyAlignment="1" applyProtection="1">
      <alignment horizontal="center" vertical="center"/>
      <protection hidden="1"/>
    </xf>
    <xf numFmtId="1" fontId="61" fillId="29" borderId="152" xfId="0" applyNumberFormat="1" applyFont="1" applyFill="1" applyBorder="1" applyProtection="1">
      <protection hidden="1"/>
    </xf>
    <xf numFmtId="1" fontId="61" fillId="29" borderId="103" xfId="0" applyNumberFormat="1" applyFont="1" applyFill="1" applyBorder="1" applyProtection="1">
      <protection hidden="1"/>
    </xf>
    <xf numFmtId="1" fontId="61" fillId="29" borderId="153" xfId="0" applyNumberFormat="1" applyFont="1" applyFill="1" applyBorder="1" applyProtection="1">
      <protection hidden="1"/>
    </xf>
    <xf numFmtId="1" fontId="61" fillId="29" borderId="150" xfId="0" applyNumberFormat="1" applyFont="1" applyFill="1" applyBorder="1" applyProtection="1">
      <protection hidden="1"/>
    </xf>
    <xf numFmtId="1" fontId="61" fillId="29" borderId="133" xfId="0" applyNumberFormat="1" applyFont="1" applyFill="1" applyBorder="1" applyProtection="1">
      <protection hidden="1"/>
    </xf>
    <xf numFmtId="1" fontId="61" fillId="31" borderId="96" xfId="0" applyNumberFormat="1" applyFont="1" applyFill="1" applyBorder="1" applyAlignment="1" applyProtection="1">
      <alignment horizontal="center" vertical="center"/>
      <protection hidden="1"/>
    </xf>
    <xf numFmtId="1" fontId="61" fillId="31" borderId="142" xfId="0" applyNumberFormat="1" applyFont="1" applyFill="1" applyBorder="1" applyAlignment="1" applyProtection="1">
      <alignment horizontal="center" vertical="center"/>
      <protection hidden="1"/>
    </xf>
    <xf numFmtId="165" fontId="61" fillId="31" borderId="142" xfId="0" applyFont="1" applyFill="1" applyBorder="1" applyAlignment="1" applyProtection="1">
      <alignment horizontal="center" vertical="center"/>
      <protection hidden="1"/>
    </xf>
    <xf numFmtId="165" fontId="61" fillId="31" borderId="143" xfId="0" applyFont="1" applyFill="1" applyBorder="1" applyAlignment="1" applyProtection="1">
      <alignment horizontal="center" vertical="center"/>
      <protection hidden="1"/>
    </xf>
    <xf numFmtId="1" fontId="61" fillId="31" borderId="144" xfId="0" applyNumberFormat="1" applyFont="1" applyFill="1" applyBorder="1" applyProtection="1">
      <protection hidden="1"/>
    </xf>
    <xf numFmtId="1" fontId="61" fillId="31" borderId="96" xfId="0" applyNumberFormat="1" applyFont="1" applyFill="1" applyBorder="1" applyProtection="1">
      <protection hidden="1"/>
    </xf>
    <xf numFmtId="1" fontId="61" fillId="31" borderId="145" xfId="0" applyNumberFormat="1" applyFont="1" applyFill="1" applyBorder="1" applyProtection="1">
      <protection hidden="1"/>
    </xf>
    <xf numFmtId="1" fontId="61" fillId="31" borderId="142" xfId="0" applyNumberFormat="1" applyFont="1" applyFill="1" applyBorder="1" applyProtection="1">
      <protection hidden="1"/>
    </xf>
    <xf numFmtId="1" fontId="61" fillId="31" borderId="126" xfId="0" applyNumberFormat="1" applyFont="1" applyFill="1" applyBorder="1" applyProtection="1">
      <protection hidden="1"/>
    </xf>
    <xf numFmtId="1" fontId="61" fillId="31" borderId="112" xfId="0" applyNumberFormat="1" applyFont="1" applyFill="1" applyBorder="1" applyAlignment="1" applyProtection="1">
      <alignment horizontal="center" vertical="center"/>
      <protection hidden="1"/>
    </xf>
    <xf numFmtId="1" fontId="61" fillId="31" borderId="146" xfId="0" applyNumberFormat="1" applyFont="1" applyFill="1" applyBorder="1" applyAlignment="1" applyProtection="1">
      <alignment horizontal="center" vertical="center"/>
      <protection hidden="1"/>
    </xf>
    <xf numFmtId="165" fontId="61" fillId="31" borderId="146" xfId="0" applyFont="1" applyFill="1" applyBorder="1" applyAlignment="1" applyProtection="1">
      <alignment horizontal="center" vertical="center"/>
      <protection hidden="1"/>
    </xf>
    <xf numFmtId="165" fontId="61" fillId="31" borderId="147" xfId="0" applyFont="1" applyFill="1" applyBorder="1" applyAlignment="1" applyProtection="1">
      <alignment horizontal="center" vertical="center"/>
      <protection hidden="1"/>
    </xf>
    <xf numFmtId="1" fontId="61" fillId="31" borderId="148" xfId="0" applyNumberFormat="1" applyFont="1" applyFill="1" applyBorder="1" applyProtection="1">
      <protection hidden="1"/>
    </xf>
    <xf numFmtId="1" fontId="61" fillId="31" borderId="112" xfId="0" applyNumberFormat="1" applyFont="1" applyFill="1" applyBorder="1" applyProtection="1">
      <protection hidden="1"/>
    </xf>
    <xf numFmtId="1" fontId="61" fillId="31" borderId="149" xfId="0" applyNumberFormat="1" applyFont="1" applyFill="1" applyBorder="1" applyProtection="1">
      <protection hidden="1"/>
    </xf>
    <xf numFmtId="1" fontId="61" fillId="31" borderId="146" xfId="0" applyNumberFormat="1" applyFont="1" applyFill="1" applyBorder="1" applyProtection="1">
      <protection hidden="1"/>
    </xf>
    <xf numFmtId="1" fontId="61" fillId="31" borderId="128" xfId="0" applyNumberFormat="1" applyFont="1" applyFill="1" applyBorder="1" applyProtection="1">
      <protection hidden="1"/>
    </xf>
    <xf numFmtId="1" fontId="65" fillId="31" borderId="146" xfId="1" applyNumberFormat="1" applyFont="1" applyFill="1" applyBorder="1" applyAlignment="1" applyProtection="1">
      <alignment horizontal="center" vertical="center"/>
      <protection hidden="1"/>
    </xf>
    <xf numFmtId="1" fontId="65" fillId="31" borderId="150" xfId="1" applyNumberFormat="1" applyFont="1" applyFill="1" applyBorder="1" applyAlignment="1" applyProtection="1">
      <alignment horizontal="center" vertical="center"/>
      <protection hidden="1"/>
    </xf>
    <xf numFmtId="1" fontId="61" fillId="31" borderId="103" xfId="0" applyNumberFormat="1" applyFont="1" applyFill="1" applyBorder="1" applyAlignment="1" applyProtection="1">
      <alignment horizontal="center" vertical="center"/>
      <protection hidden="1"/>
    </xf>
    <xf numFmtId="1" fontId="61" fillId="31" borderId="150" xfId="0" applyNumberFormat="1" applyFont="1" applyFill="1" applyBorder="1" applyAlignment="1" applyProtection="1">
      <alignment horizontal="center" vertical="center"/>
      <protection hidden="1"/>
    </xf>
    <xf numFmtId="165" fontId="61" fillId="31" borderId="150" xfId="0" applyFont="1" applyFill="1" applyBorder="1" applyAlignment="1" applyProtection="1">
      <alignment horizontal="center" vertical="center"/>
      <protection hidden="1"/>
    </xf>
    <xf numFmtId="165" fontId="61" fillId="31" borderId="151" xfId="0" applyFont="1" applyFill="1" applyBorder="1" applyAlignment="1" applyProtection="1">
      <alignment horizontal="center" vertical="center"/>
      <protection hidden="1"/>
    </xf>
    <xf numFmtId="1" fontId="61" fillId="31" borderId="152" xfId="0" applyNumberFormat="1" applyFont="1" applyFill="1" applyBorder="1" applyProtection="1">
      <protection hidden="1"/>
    </xf>
    <xf numFmtId="1" fontId="61" fillId="31" borderId="103" xfId="0" applyNumberFormat="1" applyFont="1" applyFill="1" applyBorder="1" applyProtection="1">
      <protection hidden="1"/>
    </xf>
    <xf numFmtId="1" fontId="61" fillId="31" borderId="153" xfId="0" applyNumberFormat="1" applyFont="1" applyFill="1" applyBorder="1" applyProtection="1">
      <protection hidden="1"/>
    </xf>
    <xf numFmtId="1" fontId="61" fillId="31" borderId="150" xfId="0" applyNumberFormat="1" applyFont="1" applyFill="1" applyBorder="1" applyProtection="1">
      <protection hidden="1"/>
    </xf>
    <xf numFmtId="1" fontId="61" fillId="31" borderId="133" xfId="0" applyNumberFormat="1" applyFont="1" applyFill="1" applyBorder="1" applyProtection="1">
      <protection hidden="1"/>
    </xf>
    <xf numFmtId="1" fontId="61" fillId="9" borderId="96" xfId="0" applyNumberFormat="1" applyFont="1" applyFill="1" applyBorder="1" applyAlignment="1" applyProtection="1">
      <alignment horizontal="center" vertical="center"/>
      <protection hidden="1"/>
    </xf>
    <xf numFmtId="1" fontId="61" fillId="9" borderId="142" xfId="0" applyNumberFormat="1" applyFont="1" applyFill="1" applyBorder="1" applyAlignment="1" applyProtection="1">
      <alignment horizontal="center" vertical="center"/>
      <protection hidden="1"/>
    </xf>
    <xf numFmtId="165" fontId="61" fillId="9" borderId="142" xfId="0" applyFont="1" applyFill="1" applyBorder="1" applyAlignment="1" applyProtection="1">
      <alignment horizontal="center" vertical="center"/>
      <protection hidden="1"/>
    </xf>
    <xf numFmtId="165" fontId="61" fillId="9" borderId="143" xfId="0" applyFont="1" applyFill="1" applyBorder="1" applyAlignment="1" applyProtection="1">
      <alignment horizontal="center" vertical="center"/>
      <protection hidden="1"/>
    </xf>
    <xf numFmtId="1" fontId="61" fillId="9" borderId="144" xfId="0" applyNumberFormat="1" applyFont="1" applyFill="1" applyBorder="1" applyProtection="1">
      <protection hidden="1"/>
    </xf>
    <xf numFmtId="1" fontId="61" fillId="9" borderId="96" xfId="0" applyNumberFormat="1" applyFont="1" applyFill="1" applyBorder="1" applyProtection="1">
      <protection hidden="1"/>
    </xf>
    <xf numFmtId="1" fontId="61" fillId="9" borderId="145" xfId="0" applyNumberFormat="1" applyFont="1" applyFill="1" applyBorder="1" applyProtection="1">
      <protection hidden="1"/>
    </xf>
    <xf numFmtId="1" fontId="61" fillId="9" borderId="142" xfId="0" applyNumberFormat="1" applyFont="1" applyFill="1" applyBorder="1" applyProtection="1">
      <protection hidden="1"/>
    </xf>
    <xf numFmtId="1" fontId="61" fillId="9" borderId="126" xfId="0" applyNumberFormat="1" applyFont="1" applyFill="1" applyBorder="1" applyProtection="1">
      <protection hidden="1"/>
    </xf>
    <xf numFmtId="1" fontId="61" fillId="9" borderId="112" xfId="0" applyNumberFormat="1" applyFont="1" applyFill="1" applyBorder="1" applyAlignment="1" applyProtection="1">
      <alignment horizontal="center" vertical="center"/>
      <protection hidden="1"/>
    </xf>
    <xf numFmtId="1" fontId="61" fillId="9" borderId="146" xfId="0" applyNumberFormat="1" applyFont="1" applyFill="1" applyBorder="1" applyAlignment="1" applyProtection="1">
      <alignment horizontal="center" vertical="center"/>
      <protection hidden="1"/>
    </xf>
    <xf numFmtId="165" fontId="61" fillId="9" borderId="146" xfId="0" applyFont="1" applyFill="1" applyBorder="1" applyAlignment="1" applyProtection="1">
      <alignment horizontal="center" vertical="center"/>
      <protection hidden="1"/>
    </xf>
    <xf numFmtId="165" fontId="61" fillId="9" borderId="147" xfId="0" applyFont="1" applyFill="1" applyBorder="1" applyAlignment="1" applyProtection="1">
      <alignment horizontal="center" vertical="center"/>
      <protection hidden="1"/>
    </xf>
    <xf numFmtId="1" fontId="61" fillId="9" borderId="148" xfId="0" applyNumberFormat="1" applyFont="1" applyFill="1" applyBorder="1" applyProtection="1">
      <protection hidden="1"/>
    </xf>
    <xf numFmtId="1" fontId="61" fillId="9" borderId="112" xfId="0" applyNumberFormat="1" applyFont="1" applyFill="1" applyBorder="1" applyProtection="1">
      <protection hidden="1"/>
    </xf>
    <xf numFmtId="1" fontId="61" fillId="9" borderId="149" xfId="0" applyNumberFormat="1" applyFont="1" applyFill="1" applyBorder="1" applyProtection="1">
      <protection hidden="1"/>
    </xf>
    <xf numFmtId="1" fontId="61" fillId="9" borderId="146" xfId="0" applyNumberFormat="1" applyFont="1" applyFill="1" applyBorder="1" applyProtection="1">
      <protection hidden="1"/>
    </xf>
    <xf numFmtId="1" fontId="61" fillId="9" borderId="128" xfId="0" applyNumberFormat="1" applyFont="1" applyFill="1" applyBorder="1" applyProtection="1">
      <protection hidden="1"/>
    </xf>
    <xf numFmtId="1" fontId="61" fillId="9" borderId="103" xfId="0" applyNumberFormat="1" applyFont="1" applyFill="1" applyBorder="1" applyAlignment="1" applyProtection="1">
      <alignment horizontal="center" vertical="center"/>
      <protection hidden="1"/>
    </xf>
    <xf numFmtId="1" fontId="61" fillId="9" borderId="150" xfId="0" applyNumberFormat="1" applyFont="1" applyFill="1" applyBorder="1" applyAlignment="1" applyProtection="1">
      <alignment horizontal="center" vertical="center"/>
      <protection hidden="1"/>
    </xf>
    <xf numFmtId="165" fontId="61" fillId="9" borderId="150" xfId="0" applyFont="1" applyFill="1" applyBorder="1" applyAlignment="1" applyProtection="1">
      <alignment horizontal="center" vertical="center"/>
      <protection hidden="1"/>
    </xf>
    <xf numFmtId="165" fontId="61" fillId="9" borderId="151" xfId="0" applyFont="1" applyFill="1" applyBorder="1" applyAlignment="1" applyProtection="1">
      <alignment horizontal="center" vertical="center"/>
      <protection hidden="1"/>
    </xf>
    <xf numFmtId="1" fontId="61" fillId="9" borderId="152" xfId="0" applyNumberFormat="1" applyFont="1" applyFill="1" applyBorder="1" applyProtection="1">
      <protection hidden="1"/>
    </xf>
    <xf numFmtId="1" fontId="61" fillId="9" borderId="103" xfId="0" applyNumberFormat="1" applyFont="1" applyFill="1" applyBorder="1" applyProtection="1">
      <protection hidden="1"/>
    </xf>
    <xf numFmtId="1" fontId="61" fillId="9" borderId="153" xfId="0" applyNumberFormat="1" applyFont="1" applyFill="1" applyBorder="1" applyProtection="1">
      <protection hidden="1"/>
    </xf>
    <xf numFmtId="1" fontId="61" fillId="9" borderId="150" xfId="0" applyNumberFormat="1" applyFont="1" applyFill="1" applyBorder="1" applyProtection="1">
      <protection hidden="1"/>
    </xf>
    <xf numFmtId="1" fontId="61" fillId="9" borderId="133" xfId="0" applyNumberFormat="1" applyFont="1" applyFill="1" applyBorder="1" applyProtection="1">
      <protection hidden="1"/>
    </xf>
    <xf numFmtId="1" fontId="61" fillId="32" borderId="96" xfId="0" applyNumberFormat="1" applyFont="1" applyFill="1" applyBorder="1" applyAlignment="1" applyProtection="1">
      <alignment horizontal="center" vertical="center"/>
      <protection hidden="1"/>
    </xf>
    <xf numFmtId="1" fontId="61" fillId="32" borderId="142" xfId="0" applyNumberFormat="1" applyFont="1" applyFill="1" applyBorder="1" applyAlignment="1" applyProtection="1">
      <alignment horizontal="center" vertical="center"/>
      <protection hidden="1"/>
    </xf>
    <xf numFmtId="165" fontId="61" fillId="32" borderId="142" xfId="0" applyFont="1" applyFill="1" applyBorder="1" applyAlignment="1" applyProtection="1">
      <alignment horizontal="center" vertical="center"/>
      <protection hidden="1"/>
    </xf>
    <xf numFmtId="165" fontId="61" fillId="32" borderId="143" xfId="0" applyFont="1" applyFill="1" applyBorder="1" applyAlignment="1" applyProtection="1">
      <alignment horizontal="center" vertical="center"/>
      <protection hidden="1"/>
    </xf>
    <xf numFmtId="1" fontId="61" fillId="32" borderId="144" xfId="0" applyNumberFormat="1" applyFont="1" applyFill="1" applyBorder="1" applyProtection="1">
      <protection hidden="1"/>
    </xf>
    <xf numFmtId="1" fontId="61" fillId="32" borderId="96" xfId="0" applyNumberFormat="1" applyFont="1" applyFill="1" applyBorder="1" applyProtection="1">
      <protection hidden="1"/>
    </xf>
    <xf numFmtId="1" fontId="61" fillId="32" borderId="145" xfId="0" applyNumberFormat="1" applyFont="1" applyFill="1" applyBorder="1" applyProtection="1">
      <protection hidden="1"/>
    </xf>
    <xf numFmtId="1" fontId="61" fillId="32" borderId="142" xfId="0" applyNumberFormat="1" applyFont="1" applyFill="1" applyBorder="1" applyProtection="1">
      <protection hidden="1"/>
    </xf>
    <xf numFmtId="1" fontId="61" fillId="32" borderId="126" xfId="0" applyNumberFormat="1" applyFont="1" applyFill="1" applyBorder="1" applyProtection="1">
      <protection hidden="1"/>
    </xf>
    <xf numFmtId="1" fontId="61" fillId="32" borderId="112" xfId="0" applyNumberFormat="1" applyFont="1" applyFill="1" applyBorder="1" applyAlignment="1" applyProtection="1">
      <alignment horizontal="center" vertical="center"/>
      <protection hidden="1"/>
    </xf>
    <xf numFmtId="1" fontId="61" fillId="32" borderId="146" xfId="0" applyNumberFormat="1" applyFont="1" applyFill="1" applyBorder="1" applyAlignment="1" applyProtection="1">
      <alignment horizontal="center" vertical="center"/>
      <protection hidden="1"/>
    </xf>
    <xf numFmtId="165" fontId="61" fillId="32" borderId="146" xfId="0" applyFont="1" applyFill="1" applyBorder="1" applyAlignment="1" applyProtection="1">
      <alignment horizontal="center" vertical="center"/>
      <protection hidden="1"/>
    </xf>
    <xf numFmtId="165" fontId="61" fillId="32" borderId="147" xfId="0" applyFont="1" applyFill="1" applyBorder="1" applyAlignment="1" applyProtection="1">
      <alignment horizontal="center" vertical="center"/>
      <protection hidden="1"/>
    </xf>
    <xf numFmtId="1" fontId="61" fillId="32" borderId="148" xfId="0" applyNumberFormat="1" applyFont="1" applyFill="1" applyBorder="1" applyProtection="1">
      <protection hidden="1"/>
    </xf>
    <xf numFmtId="1" fontId="61" fillId="32" borderId="112" xfId="0" applyNumberFormat="1" applyFont="1" applyFill="1" applyBorder="1" applyProtection="1">
      <protection hidden="1"/>
    </xf>
    <xf numFmtId="1" fontId="61" fillId="32" borderId="149" xfId="0" applyNumberFormat="1" applyFont="1" applyFill="1" applyBorder="1" applyProtection="1">
      <protection hidden="1"/>
    </xf>
    <xf numFmtId="1" fontId="61" fillId="32" borderId="146" xfId="0" applyNumberFormat="1" applyFont="1" applyFill="1" applyBorder="1" applyProtection="1">
      <protection hidden="1"/>
    </xf>
    <xf numFmtId="1" fontId="61" fillId="32" borderId="128" xfId="0" applyNumberFormat="1" applyFont="1" applyFill="1" applyBorder="1" applyProtection="1">
      <protection hidden="1"/>
    </xf>
    <xf numFmtId="1" fontId="61" fillId="32" borderId="103" xfId="0" applyNumberFormat="1" applyFont="1" applyFill="1" applyBorder="1" applyAlignment="1" applyProtection="1">
      <alignment horizontal="center" vertical="center"/>
      <protection hidden="1"/>
    </xf>
    <xf numFmtId="1" fontId="61" fillId="32" borderId="150" xfId="0" applyNumberFormat="1" applyFont="1" applyFill="1" applyBorder="1" applyAlignment="1" applyProtection="1">
      <alignment horizontal="center" vertical="center"/>
      <protection hidden="1"/>
    </xf>
    <xf numFmtId="165" fontId="61" fillId="32" borderId="150" xfId="0" applyFont="1" applyFill="1" applyBorder="1" applyAlignment="1" applyProtection="1">
      <alignment horizontal="center" vertical="center"/>
      <protection hidden="1"/>
    </xf>
    <xf numFmtId="165" fontId="61" fillId="32" borderId="151" xfId="0" applyFont="1" applyFill="1" applyBorder="1" applyAlignment="1" applyProtection="1">
      <alignment horizontal="center" vertical="center"/>
      <protection hidden="1"/>
    </xf>
    <xf numFmtId="1" fontId="61" fillId="32" borderId="152" xfId="0" applyNumberFormat="1" applyFont="1" applyFill="1" applyBorder="1" applyProtection="1">
      <protection hidden="1"/>
    </xf>
    <xf numFmtId="1" fontId="61" fillId="32" borderId="103" xfId="0" applyNumberFormat="1" applyFont="1" applyFill="1" applyBorder="1" applyProtection="1">
      <protection hidden="1"/>
    </xf>
    <xf numFmtId="1" fontId="61" fillId="32" borderId="153" xfId="0" applyNumberFormat="1" applyFont="1" applyFill="1" applyBorder="1" applyProtection="1">
      <protection hidden="1"/>
    </xf>
    <xf numFmtId="1" fontId="61" fillId="32" borderId="150" xfId="0" applyNumberFormat="1" applyFont="1" applyFill="1" applyBorder="1" applyProtection="1">
      <protection hidden="1"/>
    </xf>
    <xf numFmtId="1" fontId="61" fillId="32" borderId="133" xfId="0" applyNumberFormat="1" applyFont="1" applyFill="1" applyBorder="1" applyProtection="1">
      <protection hidden="1"/>
    </xf>
    <xf numFmtId="1" fontId="61" fillId="33" borderId="37" xfId="0" applyNumberFormat="1" applyFont="1" applyFill="1" applyBorder="1" applyAlignment="1" applyProtection="1">
      <alignment horizontal="center" vertical="center"/>
      <protection hidden="1"/>
    </xf>
    <xf numFmtId="165" fontId="61" fillId="33" borderId="53" xfId="0" applyFont="1" applyFill="1" applyBorder="1" applyAlignment="1" applyProtection="1">
      <alignment horizontal="center" vertical="center"/>
      <protection hidden="1"/>
    </xf>
    <xf numFmtId="1" fontId="61" fillId="33" borderId="36" xfId="0" applyNumberFormat="1" applyFont="1" applyFill="1" applyBorder="1" applyProtection="1">
      <protection hidden="1"/>
    </xf>
    <xf numFmtId="1" fontId="61" fillId="33" borderId="154" xfId="0" applyNumberFormat="1" applyFont="1" applyFill="1" applyBorder="1" applyProtection="1">
      <protection hidden="1"/>
    </xf>
    <xf numFmtId="1" fontId="61" fillId="33" borderId="61" xfId="0" applyNumberFormat="1" applyFont="1" applyFill="1" applyBorder="1" applyProtection="1">
      <protection hidden="1"/>
    </xf>
    <xf numFmtId="1" fontId="61" fillId="33" borderId="155" xfId="0" applyNumberFormat="1" applyFont="1" applyFill="1" applyBorder="1" applyProtection="1">
      <protection hidden="1"/>
    </xf>
    <xf numFmtId="1" fontId="61" fillId="33" borderId="12" xfId="0" applyNumberFormat="1" applyFont="1" applyFill="1" applyBorder="1" applyProtection="1">
      <protection hidden="1"/>
    </xf>
    <xf numFmtId="1" fontId="61" fillId="33" borderId="30" xfId="0" applyNumberFormat="1" applyFont="1" applyFill="1" applyBorder="1" applyAlignment="1" applyProtection="1">
      <alignment horizontal="center" vertical="center"/>
      <protection hidden="1"/>
    </xf>
    <xf numFmtId="165" fontId="61" fillId="33" borderId="48" xfId="0" applyFont="1" applyFill="1" applyBorder="1" applyAlignment="1" applyProtection="1">
      <alignment horizontal="center" vertical="center"/>
      <protection hidden="1"/>
    </xf>
    <xf numFmtId="1" fontId="61" fillId="33" borderId="34" xfId="0" applyNumberFormat="1" applyFont="1" applyFill="1" applyBorder="1" applyProtection="1">
      <protection hidden="1"/>
    </xf>
    <xf numFmtId="1" fontId="61" fillId="33" borderId="156" xfId="0" applyNumberFormat="1" applyFont="1" applyFill="1" applyBorder="1" applyProtection="1">
      <protection hidden="1"/>
    </xf>
    <xf numFmtId="1" fontId="61" fillId="33" borderId="40" xfId="0" applyNumberFormat="1" applyFont="1" applyFill="1" applyBorder="1" applyProtection="1">
      <protection hidden="1"/>
    </xf>
    <xf numFmtId="1" fontId="61" fillId="33" borderId="157" xfId="0" applyNumberFormat="1" applyFont="1" applyFill="1" applyBorder="1" applyProtection="1">
      <protection hidden="1"/>
    </xf>
    <xf numFmtId="1" fontId="61" fillId="33" borderId="15" xfId="0" applyNumberFormat="1" applyFont="1" applyFill="1" applyBorder="1" applyProtection="1">
      <protection hidden="1"/>
    </xf>
    <xf numFmtId="1" fontId="61" fillId="33" borderId="39" xfId="0" applyNumberFormat="1" applyFont="1" applyFill="1" applyBorder="1" applyAlignment="1" applyProtection="1">
      <alignment horizontal="center" vertical="center"/>
      <protection hidden="1"/>
    </xf>
    <xf numFmtId="165" fontId="61" fillId="33" borderId="54" xfId="0" applyFont="1" applyFill="1" applyBorder="1" applyAlignment="1" applyProtection="1">
      <alignment horizontal="center" vertical="center"/>
      <protection hidden="1"/>
    </xf>
    <xf numFmtId="1" fontId="61" fillId="33" borderId="38" xfId="0" applyNumberFormat="1" applyFont="1" applyFill="1" applyBorder="1" applyProtection="1">
      <protection hidden="1"/>
    </xf>
    <xf numFmtId="1" fontId="61" fillId="33" borderId="158" xfId="0" applyNumberFormat="1" applyFont="1" applyFill="1" applyBorder="1" applyProtection="1">
      <protection hidden="1"/>
    </xf>
    <xf numFmtId="1" fontId="61" fillId="33" borderId="62" xfId="0" applyNumberFormat="1" applyFont="1" applyFill="1" applyBorder="1" applyProtection="1">
      <protection hidden="1"/>
    </xf>
    <xf numFmtId="1" fontId="61" fillId="33" borderId="159" xfId="0" applyNumberFormat="1" applyFont="1" applyFill="1" applyBorder="1" applyProtection="1">
      <protection hidden="1"/>
    </xf>
    <xf numFmtId="1" fontId="61" fillId="33" borderId="17" xfId="0" applyNumberFormat="1" applyFont="1" applyFill="1" applyBorder="1" applyProtection="1">
      <protection hidden="1"/>
    </xf>
    <xf numFmtId="1" fontId="61" fillId="16" borderId="61" xfId="0" applyNumberFormat="1" applyFont="1" applyFill="1" applyBorder="1" applyAlignment="1" applyProtection="1">
      <alignment horizontal="center" vertical="center"/>
      <protection hidden="1"/>
    </xf>
    <xf numFmtId="165" fontId="61" fillId="16" borderId="71" xfId="0" applyFont="1" applyFill="1" applyBorder="1" applyAlignment="1" applyProtection="1">
      <alignment horizontal="center" vertical="center"/>
      <protection hidden="1"/>
    </xf>
    <xf numFmtId="1" fontId="61" fillId="16" borderId="36" xfId="0" applyNumberFormat="1" applyFont="1" applyFill="1" applyBorder="1" applyProtection="1">
      <protection hidden="1"/>
    </xf>
    <xf numFmtId="1" fontId="61" fillId="16" borderId="154" xfId="0" applyNumberFormat="1" applyFont="1" applyFill="1" applyBorder="1" applyProtection="1">
      <protection hidden="1"/>
    </xf>
    <xf numFmtId="1" fontId="61" fillId="16" borderId="61" xfId="0" applyNumberFormat="1" applyFont="1" applyFill="1" applyBorder="1" applyProtection="1">
      <protection hidden="1"/>
    </xf>
    <xf numFmtId="1" fontId="61" fillId="16" borderId="155" xfId="0" applyNumberFormat="1" applyFont="1" applyFill="1" applyBorder="1" applyProtection="1">
      <protection hidden="1"/>
    </xf>
    <xf numFmtId="1" fontId="61" fillId="16" borderId="12" xfId="0" applyNumberFormat="1" applyFont="1" applyFill="1" applyBorder="1" applyProtection="1">
      <protection hidden="1"/>
    </xf>
    <xf numFmtId="1" fontId="61" fillId="16" borderId="40" xfId="0" applyNumberFormat="1" applyFont="1" applyFill="1" applyBorder="1" applyAlignment="1" applyProtection="1">
      <alignment horizontal="center" vertical="center"/>
      <protection hidden="1"/>
    </xf>
    <xf numFmtId="165" fontId="61" fillId="16" borderId="73" xfId="0" applyFont="1" applyFill="1" applyBorder="1" applyAlignment="1" applyProtection="1">
      <alignment horizontal="center" vertical="center"/>
      <protection hidden="1"/>
    </xf>
    <xf numFmtId="1" fontId="61" fillId="16" borderId="34" xfId="0" applyNumberFormat="1" applyFont="1" applyFill="1" applyBorder="1" applyProtection="1">
      <protection hidden="1"/>
    </xf>
    <xf numFmtId="1" fontId="61" fillId="16" borderId="156" xfId="0" applyNumberFormat="1" applyFont="1" applyFill="1" applyBorder="1" applyProtection="1">
      <protection hidden="1"/>
    </xf>
    <xf numFmtId="1" fontId="61" fillId="16" borderId="40" xfId="0" applyNumberFormat="1" applyFont="1" applyFill="1" applyBorder="1" applyProtection="1">
      <protection hidden="1"/>
    </xf>
    <xf numFmtId="1" fontId="61" fillId="16" borderId="157" xfId="0" applyNumberFormat="1" applyFont="1" applyFill="1" applyBorder="1" applyProtection="1">
      <protection hidden="1"/>
    </xf>
    <xf numFmtId="1" fontId="61" fillId="16" borderId="15" xfId="0" applyNumberFormat="1" applyFont="1" applyFill="1" applyBorder="1" applyProtection="1">
      <protection hidden="1"/>
    </xf>
    <xf numFmtId="1" fontId="61" fillId="16" borderId="62" xfId="0" applyNumberFormat="1" applyFont="1" applyFill="1" applyBorder="1" applyProtection="1">
      <protection hidden="1"/>
    </xf>
    <xf numFmtId="165" fontId="61" fillId="16" borderId="72" xfId="0" applyFont="1" applyFill="1" applyBorder="1" applyAlignment="1" applyProtection="1">
      <alignment horizontal="center" vertical="center"/>
      <protection hidden="1"/>
    </xf>
    <xf numFmtId="1" fontId="61" fillId="16" borderId="38" xfId="0" applyNumberFormat="1" applyFont="1" applyFill="1" applyBorder="1" applyProtection="1">
      <protection hidden="1"/>
    </xf>
    <xf numFmtId="1" fontId="61" fillId="16" borderId="158" xfId="0" applyNumberFormat="1" applyFont="1" applyFill="1" applyBorder="1" applyProtection="1">
      <protection hidden="1"/>
    </xf>
    <xf numFmtId="1" fontId="61" fillId="16" borderId="159" xfId="0" applyNumberFormat="1" applyFont="1" applyFill="1" applyBorder="1" applyProtection="1">
      <protection hidden="1"/>
    </xf>
    <xf numFmtId="1" fontId="61" fillId="16" borderId="17" xfId="0" applyNumberFormat="1" applyFont="1" applyFill="1" applyBorder="1" applyProtection="1">
      <protection hidden="1"/>
    </xf>
    <xf numFmtId="1" fontId="61" fillId="22" borderId="37" xfId="0" applyNumberFormat="1" applyFont="1" applyFill="1" applyBorder="1" applyAlignment="1" applyProtection="1">
      <alignment horizontal="center" vertical="center"/>
      <protection hidden="1"/>
    </xf>
    <xf numFmtId="1" fontId="61" fillId="22" borderId="30" xfId="0" applyNumberFormat="1" applyFont="1" applyFill="1" applyBorder="1" applyAlignment="1" applyProtection="1">
      <alignment horizontal="center" vertical="center"/>
      <protection hidden="1"/>
    </xf>
    <xf numFmtId="165" fontId="61" fillId="22" borderId="53" xfId="0" applyFont="1" applyFill="1" applyBorder="1" applyAlignment="1" applyProtection="1">
      <alignment horizontal="center" vertical="center"/>
      <protection hidden="1"/>
    </xf>
    <xf numFmtId="1" fontId="61" fillId="22" borderId="36" xfId="0" applyNumberFormat="1" applyFont="1" applyFill="1" applyBorder="1" applyProtection="1">
      <protection hidden="1"/>
    </xf>
    <xf numFmtId="1" fontId="61" fillId="22" borderId="154" xfId="0" applyNumberFormat="1" applyFont="1" applyFill="1" applyBorder="1" applyProtection="1">
      <protection hidden="1"/>
    </xf>
    <xf numFmtId="1" fontId="61" fillId="22" borderId="61" xfId="0" applyNumberFormat="1" applyFont="1" applyFill="1" applyBorder="1" applyProtection="1">
      <protection hidden="1"/>
    </xf>
    <xf numFmtId="1" fontId="61" fillId="22" borderId="155" xfId="0" applyNumberFormat="1" applyFont="1" applyFill="1" applyBorder="1" applyProtection="1">
      <protection hidden="1"/>
    </xf>
    <xf numFmtId="1" fontId="61" fillId="22" borderId="12" xfId="0" applyNumberFormat="1" applyFont="1" applyFill="1" applyBorder="1" applyProtection="1">
      <protection hidden="1"/>
    </xf>
    <xf numFmtId="165" fontId="61" fillId="22" borderId="48" xfId="0" applyFont="1" applyFill="1" applyBorder="1" applyAlignment="1" applyProtection="1">
      <alignment horizontal="center" vertical="center"/>
      <protection hidden="1"/>
    </xf>
    <xf numFmtId="1" fontId="61" fillId="22" borderId="34" xfId="0" applyNumberFormat="1" applyFont="1" applyFill="1" applyBorder="1" applyProtection="1">
      <protection hidden="1"/>
    </xf>
    <xf numFmtId="1" fontId="61" fillId="22" borderId="156" xfId="0" applyNumberFormat="1" applyFont="1" applyFill="1" applyBorder="1" applyProtection="1">
      <protection hidden="1"/>
    </xf>
    <xf numFmtId="1" fontId="61" fillId="22" borderId="40" xfId="0" applyNumberFormat="1" applyFont="1" applyFill="1" applyBorder="1" applyProtection="1">
      <protection hidden="1"/>
    </xf>
    <xf numFmtId="1" fontId="61" fillId="22" borderId="157" xfId="0" applyNumberFormat="1" applyFont="1" applyFill="1" applyBorder="1" applyProtection="1">
      <protection hidden="1"/>
    </xf>
    <xf numFmtId="1" fontId="61" fillId="22" borderId="15" xfId="0" applyNumberFormat="1" applyFont="1" applyFill="1" applyBorder="1" applyProtection="1">
      <protection hidden="1"/>
    </xf>
    <xf numFmtId="165" fontId="61" fillId="22" borderId="50" xfId="0" applyFont="1" applyFill="1" applyBorder="1" applyAlignment="1" applyProtection="1">
      <alignment horizontal="center" vertical="center"/>
      <protection hidden="1"/>
    </xf>
    <xf numFmtId="165" fontId="61" fillId="22" borderId="55" xfId="0" applyFont="1" applyFill="1" applyBorder="1" applyAlignment="1" applyProtection="1">
      <alignment horizontal="center" vertical="center"/>
      <protection hidden="1"/>
    </xf>
    <xf numFmtId="1" fontId="61" fillId="22" borderId="69" xfId="0" applyNumberFormat="1" applyFont="1" applyFill="1" applyBorder="1" applyProtection="1">
      <protection hidden="1"/>
    </xf>
    <xf numFmtId="1" fontId="61" fillId="22" borderId="160" xfId="0" applyNumberFormat="1" applyFont="1" applyFill="1" applyBorder="1" applyProtection="1">
      <protection hidden="1"/>
    </xf>
    <xf numFmtId="1" fontId="61" fillId="22" borderId="52" xfId="0" applyNumberFormat="1" applyFont="1" applyFill="1" applyBorder="1" applyProtection="1">
      <protection hidden="1"/>
    </xf>
    <xf numFmtId="1" fontId="61" fillId="22" borderId="161" xfId="0" applyNumberFormat="1" applyFont="1" applyFill="1" applyBorder="1" applyProtection="1">
      <protection hidden="1"/>
    </xf>
    <xf numFmtId="1" fontId="61" fillId="22" borderId="59" xfId="0" applyNumberFormat="1" applyFont="1" applyFill="1" applyBorder="1" applyProtection="1">
      <protection hidden="1"/>
    </xf>
    <xf numFmtId="1" fontId="61" fillId="22" borderId="39" xfId="0" applyNumberFormat="1" applyFont="1" applyFill="1" applyBorder="1" applyAlignment="1" applyProtection="1">
      <alignment horizontal="center" vertical="center"/>
      <protection hidden="1"/>
    </xf>
    <xf numFmtId="165" fontId="61" fillId="22" borderId="54" xfId="0" applyFont="1" applyFill="1" applyBorder="1" applyAlignment="1" applyProtection="1">
      <alignment horizontal="center" vertical="center"/>
      <protection hidden="1"/>
    </xf>
    <xf numFmtId="1" fontId="61" fillId="22" borderId="38" xfId="0" applyNumberFormat="1" applyFont="1" applyFill="1" applyBorder="1" applyProtection="1">
      <protection hidden="1"/>
    </xf>
    <xf numFmtId="1" fontId="61" fillId="22" borderId="158" xfId="0" applyNumberFormat="1" applyFont="1" applyFill="1" applyBorder="1" applyProtection="1">
      <protection hidden="1"/>
    </xf>
    <xf numFmtId="1" fontId="61" fillId="22" borderId="62" xfId="0" applyNumberFormat="1" applyFont="1" applyFill="1" applyBorder="1" applyProtection="1">
      <protection hidden="1"/>
    </xf>
    <xf numFmtId="1" fontId="61" fillId="22" borderId="159" xfId="0" applyNumberFormat="1" applyFont="1" applyFill="1" applyBorder="1" applyProtection="1">
      <protection hidden="1"/>
    </xf>
    <xf numFmtId="1" fontId="61" fillId="22" borderId="17" xfId="0" applyNumberFormat="1" applyFont="1" applyFill="1" applyBorder="1" applyProtection="1">
      <protection hidden="1"/>
    </xf>
    <xf numFmtId="1" fontId="61" fillId="23" borderId="37" xfId="0" applyNumberFormat="1" applyFont="1" applyFill="1" applyBorder="1" applyAlignment="1" applyProtection="1">
      <alignment horizontal="center" vertical="center"/>
      <protection hidden="1"/>
    </xf>
    <xf numFmtId="165" fontId="61" fillId="23" borderId="53" xfId="0" applyFont="1" applyFill="1" applyBorder="1" applyAlignment="1" applyProtection="1">
      <alignment horizontal="center" vertical="center"/>
      <protection hidden="1"/>
    </xf>
    <xf numFmtId="1" fontId="61" fillId="23" borderId="36" xfId="0" applyNumberFormat="1" applyFont="1" applyFill="1" applyBorder="1" applyProtection="1">
      <protection hidden="1"/>
    </xf>
    <xf numFmtId="1" fontId="61" fillId="23" borderId="154" xfId="0" applyNumberFormat="1" applyFont="1" applyFill="1" applyBorder="1" applyProtection="1">
      <protection hidden="1"/>
    </xf>
    <xf numFmtId="1" fontId="61" fillId="23" borderId="61" xfId="0" applyNumberFormat="1" applyFont="1" applyFill="1" applyBorder="1" applyProtection="1">
      <protection hidden="1"/>
    </xf>
    <xf numFmtId="1" fontId="61" fillId="23" borderId="155" xfId="0" applyNumberFormat="1" applyFont="1" applyFill="1" applyBorder="1" applyProtection="1">
      <protection hidden="1"/>
    </xf>
    <xf numFmtId="1" fontId="61" fillId="23" borderId="12" xfId="0" applyNumberFormat="1" applyFont="1" applyFill="1" applyBorder="1" applyProtection="1">
      <protection hidden="1"/>
    </xf>
    <xf numFmtId="1" fontId="61" fillId="23" borderId="30" xfId="0" applyNumberFormat="1" applyFont="1" applyFill="1" applyBorder="1" applyAlignment="1" applyProtection="1">
      <alignment horizontal="center" vertical="center"/>
      <protection hidden="1"/>
    </xf>
    <xf numFmtId="165" fontId="61" fillId="23" borderId="48" xfId="0" applyFont="1" applyFill="1" applyBorder="1" applyAlignment="1" applyProtection="1">
      <alignment horizontal="center" vertical="center"/>
      <protection hidden="1"/>
    </xf>
    <xf numFmtId="1" fontId="61" fillId="23" borderId="34" xfId="0" applyNumberFormat="1" applyFont="1" applyFill="1" applyBorder="1" applyProtection="1">
      <protection hidden="1"/>
    </xf>
    <xf numFmtId="1" fontId="61" fillId="23" borderId="156" xfId="0" applyNumberFormat="1" applyFont="1" applyFill="1" applyBorder="1" applyProtection="1">
      <protection hidden="1"/>
    </xf>
    <xf numFmtId="1" fontId="61" fillId="23" borderId="40" xfId="0" applyNumberFormat="1" applyFont="1" applyFill="1" applyBorder="1" applyProtection="1">
      <protection hidden="1"/>
    </xf>
    <xf numFmtId="1" fontId="61" fillId="23" borderId="157" xfId="0" applyNumberFormat="1" applyFont="1" applyFill="1" applyBorder="1" applyProtection="1">
      <protection hidden="1"/>
    </xf>
    <xf numFmtId="1" fontId="61" fillId="23" borderId="15" xfId="0" applyNumberFormat="1" applyFont="1" applyFill="1" applyBorder="1" applyProtection="1">
      <protection hidden="1"/>
    </xf>
    <xf numFmtId="1" fontId="61" fillId="23" borderId="0" xfId="0" applyNumberFormat="1" applyFont="1" applyFill="1" applyProtection="1">
      <protection hidden="1"/>
    </xf>
    <xf numFmtId="1" fontId="61" fillId="23" borderId="66" xfId="0" applyNumberFormat="1" applyFont="1" applyFill="1" applyBorder="1" applyProtection="1">
      <protection hidden="1"/>
    </xf>
    <xf numFmtId="1" fontId="61" fillId="23" borderId="1" xfId="0" applyNumberFormat="1" applyFont="1" applyFill="1" applyBorder="1" applyProtection="1">
      <protection hidden="1"/>
    </xf>
    <xf numFmtId="1" fontId="61" fillId="23" borderId="39" xfId="0" applyNumberFormat="1" applyFont="1" applyFill="1" applyBorder="1" applyAlignment="1" applyProtection="1">
      <alignment horizontal="center" vertical="center"/>
      <protection hidden="1"/>
    </xf>
    <xf numFmtId="165" fontId="61" fillId="23" borderId="54" xfId="0" applyFont="1" applyFill="1" applyBorder="1" applyAlignment="1" applyProtection="1">
      <alignment horizontal="center" vertical="center"/>
      <protection hidden="1"/>
    </xf>
    <xf numFmtId="1" fontId="61" fillId="23" borderId="38" xfId="0" applyNumberFormat="1" applyFont="1" applyFill="1" applyBorder="1" applyProtection="1">
      <protection hidden="1"/>
    </xf>
    <xf numFmtId="1" fontId="61" fillId="23" borderId="158" xfId="0" applyNumberFormat="1" applyFont="1" applyFill="1" applyBorder="1" applyProtection="1">
      <protection hidden="1"/>
    </xf>
    <xf numFmtId="1" fontId="61" fillId="23" borderId="62" xfId="0" applyNumberFormat="1" applyFont="1" applyFill="1" applyBorder="1" applyProtection="1">
      <protection hidden="1"/>
    </xf>
    <xf numFmtId="1" fontId="61" fillId="23" borderId="159" xfId="0" applyNumberFormat="1" applyFont="1" applyFill="1" applyBorder="1" applyProtection="1">
      <protection hidden="1"/>
    </xf>
    <xf numFmtId="1" fontId="61" fillId="23" borderId="17" xfId="0" applyNumberFormat="1" applyFont="1" applyFill="1" applyBorder="1" applyProtection="1">
      <protection hidden="1"/>
    </xf>
    <xf numFmtId="1" fontId="89" fillId="12" borderId="5" xfId="0" applyNumberFormat="1" applyFont="1" applyFill="1" applyBorder="1" applyAlignment="1" applyProtection="1">
      <alignment horizontal="center" vertical="center"/>
      <protection hidden="1"/>
    </xf>
    <xf numFmtId="1" fontId="89" fillId="12" borderId="6" xfId="0" applyNumberFormat="1" applyFont="1" applyFill="1" applyBorder="1" applyAlignment="1" applyProtection="1">
      <alignment horizontal="center" vertical="center"/>
      <protection hidden="1"/>
    </xf>
    <xf numFmtId="1" fontId="89" fillId="12" borderId="7" xfId="0" applyNumberFormat="1" applyFont="1" applyFill="1" applyBorder="1" applyAlignment="1" applyProtection="1">
      <alignment horizontal="center" vertical="center"/>
      <protection hidden="1"/>
    </xf>
    <xf numFmtId="1" fontId="64" fillId="12" borderId="164" xfId="0" applyNumberFormat="1" applyFont="1" applyFill="1" applyBorder="1" applyAlignment="1" applyProtection="1">
      <alignment horizontal="center" vertical="center"/>
      <protection hidden="1"/>
    </xf>
    <xf numFmtId="1" fontId="64" fillId="12" borderId="165" xfId="0" applyNumberFormat="1" applyFont="1" applyFill="1" applyBorder="1" applyAlignment="1" applyProtection="1">
      <alignment horizontal="center" vertical="center"/>
      <protection hidden="1"/>
    </xf>
    <xf numFmtId="1" fontId="61" fillId="12" borderId="89" xfId="0" applyNumberFormat="1" applyFont="1" applyFill="1" applyBorder="1" applyAlignment="1" applyProtection="1">
      <alignment horizontal="center" vertical="center"/>
      <protection hidden="1"/>
    </xf>
    <xf numFmtId="1" fontId="61" fillId="12" borderId="102" xfId="0" applyNumberFormat="1" applyFont="1" applyFill="1" applyBorder="1" applyAlignment="1" applyProtection="1">
      <alignment horizontal="center" vertical="center"/>
      <protection hidden="1"/>
    </xf>
    <xf numFmtId="1" fontId="61" fillId="12" borderId="99" xfId="0" applyNumberFormat="1" applyFont="1" applyFill="1" applyBorder="1" applyAlignment="1" applyProtection="1">
      <alignment vertical="center"/>
      <protection hidden="1"/>
    </xf>
    <xf numFmtId="1" fontId="61" fillId="12" borderId="100" xfId="0" applyNumberFormat="1" applyFont="1" applyFill="1" applyBorder="1" applyAlignment="1" applyProtection="1">
      <alignment vertical="center"/>
      <protection hidden="1"/>
    </xf>
    <xf numFmtId="1" fontId="24" fillId="12" borderId="100" xfId="0" applyNumberFormat="1" applyFont="1" applyFill="1" applyBorder="1" applyAlignment="1" applyProtection="1">
      <alignment vertical="center"/>
      <protection hidden="1"/>
    </xf>
    <xf numFmtId="1" fontId="24" fillId="12" borderId="166" xfId="0" applyNumberFormat="1" applyFont="1" applyFill="1" applyBorder="1" applyAlignment="1" applyProtection="1">
      <alignment vertical="center"/>
      <protection hidden="1"/>
    </xf>
    <xf numFmtId="1" fontId="61" fillId="33" borderId="142" xfId="0" applyNumberFormat="1" applyFont="1" applyFill="1" applyBorder="1" applyAlignment="1" applyProtection="1">
      <alignment horizontal="center" vertical="center"/>
      <protection hidden="1"/>
    </xf>
    <xf numFmtId="1" fontId="61" fillId="33" borderId="96" xfId="0" applyNumberFormat="1" applyFont="1" applyFill="1" applyBorder="1" applyProtection="1">
      <protection hidden="1"/>
    </xf>
    <xf numFmtId="1" fontId="61" fillId="33" borderId="146" xfId="0" applyNumberFormat="1" applyFont="1" applyFill="1" applyBorder="1" applyAlignment="1" applyProtection="1">
      <alignment horizontal="center" vertical="center"/>
      <protection hidden="1"/>
    </xf>
    <xf numFmtId="1" fontId="61" fillId="33" borderId="112" xfId="0" applyNumberFormat="1" applyFont="1" applyFill="1" applyBorder="1" applyProtection="1">
      <protection hidden="1"/>
    </xf>
    <xf numFmtId="1" fontId="61" fillId="33" borderId="150" xfId="0" applyNumberFormat="1" applyFont="1" applyFill="1" applyBorder="1" applyAlignment="1" applyProtection="1">
      <alignment horizontal="center" vertical="center"/>
      <protection hidden="1"/>
    </xf>
    <xf numFmtId="1" fontId="61" fillId="33" borderId="103" xfId="0" applyNumberFormat="1" applyFont="1" applyFill="1" applyBorder="1" applyProtection="1">
      <protection hidden="1"/>
    </xf>
    <xf numFmtId="1" fontId="61" fillId="16" borderId="146" xfId="0" applyNumberFormat="1" applyFont="1" applyFill="1" applyBorder="1" applyAlignment="1" applyProtection="1">
      <alignment horizontal="center" vertical="center"/>
      <protection hidden="1"/>
    </xf>
    <xf numFmtId="1" fontId="61" fillId="16" borderId="112" xfId="0" applyNumberFormat="1" applyFont="1" applyFill="1" applyBorder="1" applyProtection="1">
      <protection hidden="1"/>
    </xf>
    <xf numFmtId="1" fontId="61" fillId="16" borderId="150" xfId="0" applyNumberFormat="1" applyFont="1" applyFill="1" applyBorder="1" applyAlignment="1" applyProtection="1">
      <alignment horizontal="center" vertical="center"/>
      <protection hidden="1"/>
    </xf>
    <xf numFmtId="1" fontId="61" fillId="16" borderId="103" xfId="0" applyNumberFormat="1" applyFont="1" applyFill="1" applyBorder="1" applyProtection="1">
      <protection hidden="1"/>
    </xf>
    <xf numFmtId="1" fontId="61" fillId="23" borderId="167" xfId="0" applyNumberFormat="1" applyFont="1" applyFill="1" applyBorder="1" applyAlignment="1" applyProtection="1">
      <alignment horizontal="center" vertical="center"/>
      <protection hidden="1"/>
    </xf>
    <xf numFmtId="1" fontId="61" fillId="23" borderId="112" xfId="0" applyNumberFormat="1" applyFont="1" applyFill="1" applyBorder="1" applyProtection="1">
      <protection hidden="1"/>
    </xf>
    <xf numFmtId="1" fontId="61" fillId="23" borderId="146" xfId="0" applyNumberFormat="1" applyFont="1" applyFill="1" applyBorder="1" applyAlignment="1" applyProtection="1">
      <alignment horizontal="center" vertical="center"/>
      <protection hidden="1"/>
    </xf>
    <xf numFmtId="1" fontId="61" fillId="23" borderId="150" xfId="0" applyNumberFormat="1" applyFont="1" applyFill="1" applyBorder="1" applyAlignment="1" applyProtection="1">
      <alignment horizontal="center" vertical="center"/>
      <protection hidden="1"/>
    </xf>
    <xf numFmtId="1" fontId="61" fillId="23" borderId="103" xfId="0" applyNumberFormat="1" applyFont="1" applyFill="1" applyBorder="1" applyProtection="1">
      <protection hidden="1"/>
    </xf>
    <xf numFmtId="165" fontId="24" fillId="12" borderId="92" xfId="0" applyFont="1" applyFill="1" applyBorder="1"/>
    <xf numFmtId="1" fontId="24" fillId="12" borderId="92" xfId="0" applyNumberFormat="1" applyFont="1" applyFill="1" applyBorder="1"/>
    <xf numFmtId="1" fontId="89" fillId="12" borderId="162" xfId="0" applyNumberFormat="1" applyFont="1" applyFill="1" applyBorder="1" applyAlignment="1" applyProtection="1">
      <alignment horizontal="center" vertical="center"/>
      <protection hidden="1"/>
    </xf>
    <xf numFmtId="1" fontId="89" fillId="12" borderId="164" xfId="0" applyNumberFormat="1" applyFont="1" applyFill="1" applyBorder="1" applyAlignment="1" applyProtection="1">
      <alignment horizontal="center" vertical="center"/>
      <protection hidden="1"/>
    </xf>
    <xf numFmtId="1" fontId="89" fillId="12" borderId="163" xfId="0" applyNumberFormat="1" applyFont="1" applyFill="1" applyBorder="1" applyAlignment="1" applyProtection="1">
      <alignment horizontal="center" vertical="center"/>
      <protection hidden="1"/>
    </xf>
    <xf numFmtId="1" fontId="61" fillId="10" borderId="146" xfId="0" applyNumberFormat="1" applyFont="1" applyFill="1" applyBorder="1" applyAlignment="1" applyProtection="1">
      <alignment horizontal="center" vertical="center"/>
      <protection hidden="1"/>
    </xf>
    <xf numFmtId="1" fontId="61" fillId="10" borderId="112" xfId="0" applyNumberFormat="1" applyFont="1" applyFill="1" applyBorder="1" applyProtection="1">
      <protection hidden="1"/>
    </xf>
    <xf numFmtId="1" fontId="61" fillId="10" borderId="150" xfId="0" applyNumberFormat="1" applyFont="1" applyFill="1" applyBorder="1" applyAlignment="1" applyProtection="1">
      <alignment horizontal="center" vertical="center"/>
      <protection hidden="1"/>
    </xf>
    <xf numFmtId="1" fontId="61" fillId="10" borderId="103" xfId="0" applyNumberFormat="1" applyFont="1" applyFill="1" applyBorder="1" applyProtection="1">
      <protection hidden="1"/>
    </xf>
    <xf numFmtId="165" fontId="61" fillId="12" borderId="92" xfId="0" applyFont="1" applyFill="1" applyBorder="1" applyAlignment="1" applyProtection="1">
      <alignment horizontal="center" vertical="center"/>
      <protection hidden="1"/>
    </xf>
    <xf numFmtId="1" fontId="61" fillId="12" borderId="92" xfId="0" applyNumberFormat="1" applyFont="1" applyFill="1" applyBorder="1" applyAlignment="1" applyProtection="1">
      <alignment horizontal="center" vertical="center"/>
      <protection hidden="1"/>
    </xf>
    <xf numFmtId="1" fontId="61" fillId="12" borderId="92" xfId="0" applyNumberFormat="1" applyFont="1" applyFill="1" applyBorder="1" applyProtection="1">
      <protection hidden="1"/>
    </xf>
    <xf numFmtId="1" fontId="49" fillId="12" borderId="164" xfId="0" applyNumberFormat="1" applyFont="1" applyFill="1" applyBorder="1" applyAlignment="1" applyProtection="1">
      <alignment horizontal="center" vertical="center"/>
      <protection hidden="1"/>
    </xf>
    <xf numFmtId="1" fontId="49" fillId="12" borderId="165" xfId="0" applyNumberFormat="1" applyFont="1" applyFill="1" applyBorder="1" applyAlignment="1" applyProtection="1">
      <alignment horizontal="center" vertical="center"/>
      <protection hidden="1"/>
    </xf>
    <xf numFmtId="1" fontId="49" fillId="12" borderId="89" xfId="0" applyNumberFormat="1" applyFont="1" applyFill="1" applyBorder="1" applyAlignment="1" applyProtection="1">
      <alignment horizontal="center" vertical="center"/>
      <protection hidden="1"/>
    </xf>
    <xf numFmtId="1" fontId="49" fillId="12" borderId="102" xfId="0" applyNumberFormat="1" applyFont="1" applyFill="1" applyBorder="1" applyAlignment="1" applyProtection="1">
      <alignment horizontal="center" vertical="center"/>
      <protection hidden="1"/>
    </xf>
    <xf numFmtId="1" fontId="49" fillId="12" borderId="99" xfId="0" applyNumberFormat="1" applyFont="1" applyFill="1" applyBorder="1" applyAlignment="1" applyProtection="1">
      <alignment vertical="center"/>
      <protection hidden="1"/>
    </xf>
    <xf numFmtId="1" fontId="49" fillId="12" borderId="100" xfId="0" applyNumberFormat="1" applyFont="1" applyFill="1" applyBorder="1" applyAlignment="1" applyProtection="1">
      <alignment vertical="center"/>
      <protection hidden="1"/>
    </xf>
    <xf numFmtId="1" fontId="0" fillId="12" borderId="100" xfId="0" applyNumberFormat="1" applyFill="1" applyBorder="1" applyAlignment="1" applyProtection="1">
      <alignment vertical="center"/>
      <protection hidden="1"/>
    </xf>
    <xf numFmtId="1" fontId="0" fillId="12" borderId="166" xfId="0" applyNumberFormat="1" applyFill="1" applyBorder="1" applyAlignment="1" applyProtection="1">
      <alignment vertical="center"/>
      <protection hidden="1"/>
    </xf>
    <xf numFmtId="1" fontId="49" fillId="23" borderId="142" xfId="0" applyNumberFormat="1" applyFont="1" applyFill="1" applyBorder="1" applyAlignment="1" applyProtection="1">
      <alignment horizontal="center" vertical="center"/>
      <protection hidden="1"/>
    </xf>
    <xf numFmtId="1" fontId="49" fillId="23" borderId="143" xfId="0" applyNumberFormat="1" applyFont="1" applyFill="1" applyBorder="1" applyAlignment="1" applyProtection="1">
      <alignment horizontal="center" vertical="center"/>
      <protection hidden="1"/>
    </xf>
    <xf numFmtId="1" fontId="49" fillId="23" borderId="83" xfId="0" applyNumberFormat="1" applyFont="1" applyFill="1" applyBorder="1" applyProtection="1">
      <protection hidden="1"/>
    </xf>
    <xf numFmtId="1" fontId="49" fillId="23" borderId="98" xfId="0" applyNumberFormat="1" applyFont="1" applyFill="1" applyBorder="1" applyProtection="1">
      <protection hidden="1"/>
    </xf>
    <xf numFmtId="1" fontId="49" fillId="23" borderId="150" xfId="0" applyNumberFormat="1" applyFont="1" applyFill="1" applyBorder="1" applyAlignment="1" applyProtection="1">
      <alignment horizontal="center" vertical="center"/>
      <protection hidden="1"/>
    </xf>
    <xf numFmtId="1" fontId="49" fillId="23" borderId="151" xfId="0" applyNumberFormat="1" applyFont="1" applyFill="1" applyBorder="1" applyAlignment="1" applyProtection="1">
      <alignment horizontal="center" vertical="center"/>
      <protection hidden="1"/>
    </xf>
    <xf numFmtId="1" fontId="49" fillId="23" borderId="85" xfId="0" applyNumberFormat="1" applyFont="1" applyFill="1" applyBorder="1" applyProtection="1">
      <protection hidden="1"/>
    </xf>
    <xf numFmtId="1" fontId="49" fillId="23" borderId="105" xfId="0" applyNumberFormat="1" applyFont="1" applyFill="1" applyBorder="1" applyProtection="1">
      <protection hidden="1"/>
    </xf>
    <xf numFmtId="1" fontId="61" fillId="12" borderId="164" xfId="0" applyNumberFormat="1" applyFont="1" applyFill="1" applyBorder="1" applyAlignment="1" applyProtection="1">
      <alignment horizontal="center" vertical="center"/>
      <protection hidden="1"/>
    </xf>
    <xf numFmtId="1" fontId="61" fillId="12" borderId="165" xfId="0" applyNumberFormat="1" applyFont="1" applyFill="1" applyBorder="1" applyAlignment="1" applyProtection="1">
      <alignment horizontal="center" vertical="center"/>
      <protection hidden="1"/>
    </xf>
    <xf numFmtId="1" fontId="61" fillId="5" borderId="142" xfId="0" applyNumberFormat="1" applyFont="1" applyFill="1" applyBorder="1" applyAlignment="1" applyProtection="1">
      <alignment horizontal="center" vertical="center"/>
      <protection hidden="1"/>
    </xf>
    <xf numFmtId="1" fontId="61" fillId="5" borderId="96" xfId="0" applyNumberFormat="1" applyFont="1" applyFill="1" applyBorder="1" applyProtection="1">
      <protection hidden="1"/>
    </xf>
    <xf numFmtId="1" fontId="61" fillId="12" borderId="146" xfId="0" applyNumberFormat="1" applyFont="1" applyFill="1" applyBorder="1" applyAlignment="1" applyProtection="1">
      <alignment horizontal="center" vertical="center"/>
      <protection hidden="1"/>
    </xf>
    <xf numFmtId="1" fontId="61" fillId="12" borderId="112" xfId="0" applyNumberFormat="1" applyFont="1" applyFill="1" applyBorder="1" applyProtection="1">
      <protection hidden="1"/>
    </xf>
    <xf numFmtId="1" fontId="61" fillId="12" borderId="150" xfId="0" applyNumberFormat="1" applyFont="1" applyFill="1" applyBorder="1" applyAlignment="1" applyProtection="1">
      <alignment horizontal="center" vertical="center"/>
      <protection hidden="1"/>
    </xf>
    <xf numFmtId="1" fontId="61" fillId="12" borderId="103" xfId="0" applyNumberFormat="1" applyFont="1" applyFill="1" applyBorder="1" applyProtection="1">
      <protection hidden="1"/>
    </xf>
    <xf numFmtId="1" fontId="61" fillId="12" borderId="142" xfId="0" applyNumberFormat="1" applyFont="1" applyFill="1" applyBorder="1" applyAlignment="1" applyProtection="1">
      <alignment horizontal="center" vertical="center"/>
      <protection hidden="1"/>
    </xf>
    <xf numFmtId="1" fontId="61" fillId="12" borderId="96" xfId="0" applyNumberFormat="1" applyFont="1" applyFill="1" applyBorder="1" applyProtection="1">
      <protection hidden="1"/>
    </xf>
    <xf numFmtId="1" fontId="61" fillId="42" borderId="150" xfId="0" applyNumberFormat="1" applyFont="1" applyFill="1" applyBorder="1" applyAlignment="1" applyProtection="1">
      <alignment horizontal="center" vertical="center"/>
      <protection hidden="1"/>
    </xf>
    <xf numFmtId="1" fontId="61" fillId="42" borderId="103" xfId="0" applyNumberFormat="1" applyFont="1" applyFill="1" applyBorder="1" applyProtection="1">
      <protection hidden="1"/>
    </xf>
    <xf numFmtId="165" fontId="0" fillId="12" borderId="0" xfId="0" applyFill="1"/>
    <xf numFmtId="167" fontId="9" fillId="14" borderId="16" xfId="0" applyNumberFormat="1" applyFont="1" applyFill="1" applyBorder="1" applyAlignment="1">
      <alignment horizontal="center"/>
    </xf>
    <xf numFmtId="1" fontId="49" fillId="12" borderId="20" xfId="0" applyNumberFormat="1" applyFont="1" applyFill="1" applyBorder="1" applyProtection="1">
      <protection locked="0" hidden="1"/>
    </xf>
    <xf numFmtId="2" fontId="0" fillId="12" borderId="20" xfId="0" applyNumberFormat="1" applyFill="1" applyBorder="1" applyProtection="1">
      <protection locked="0" hidden="1"/>
    </xf>
    <xf numFmtId="165" fontId="0" fillId="12" borderId="0" xfId="0" applyFill="1"/>
    <xf numFmtId="2" fontId="8" fillId="0" borderId="29" xfId="0" applyNumberFormat="1" applyFont="1" applyBorder="1"/>
    <xf numFmtId="165" fontId="0" fillId="12" borderId="0" xfId="0" applyFill="1"/>
    <xf numFmtId="165" fontId="24" fillId="12" borderId="0" xfId="0" applyFont="1" applyFill="1"/>
    <xf numFmtId="165" fontId="22" fillId="47" borderId="0" xfId="0" applyFont="1" applyFill="1"/>
    <xf numFmtId="165" fontId="19" fillId="47" borderId="0" xfId="1" applyFont="1" applyFill="1"/>
    <xf numFmtId="2" fontId="0" fillId="12" borderId="1" xfId="0" applyNumberFormat="1" applyFill="1" applyBorder="1" applyProtection="1">
      <protection hidden="1"/>
    </xf>
    <xf numFmtId="2" fontId="0" fillId="12" borderId="16" xfId="0" applyNumberFormat="1" applyFill="1" applyBorder="1" applyProtection="1">
      <protection hidden="1"/>
    </xf>
    <xf numFmtId="2" fontId="0" fillId="12" borderId="18" xfId="0" applyNumberFormat="1" applyFill="1" applyBorder="1" applyProtection="1">
      <protection hidden="1"/>
    </xf>
    <xf numFmtId="2" fontId="0" fillId="12" borderId="19" xfId="0" applyNumberFormat="1" applyFill="1" applyBorder="1" applyProtection="1">
      <protection hidden="1"/>
    </xf>
    <xf numFmtId="1" fontId="0" fillId="12" borderId="37" xfId="0" applyNumberFormat="1" applyFill="1" applyBorder="1" applyProtection="1">
      <protection hidden="1"/>
    </xf>
    <xf numFmtId="1" fontId="0" fillId="12" borderId="30" xfId="0" applyNumberFormat="1" applyFill="1" applyBorder="1" applyProtection="1">
      <protection hidden="1"/>
    </xf>
    <xf numFmtId="1" fontId="0" fillId="12" borderId="39" xfId="0" applyNumberFormat="1" applyFill="1" applyBorder="1" applyProtection="1">
      <protection hidden="1"/>
    </xf>
    <xf numFmtId="165" fontId="12" fillId="6" borderId="0" xfId="1" applyFont="1" applyFill="1" applyAlignment="1"/>
    <xf numFmtId="165" fontId="49" fillId="12" borderId="8" xfId="0" applyFont="1" applyFill="1" applyBorder="1" applyAlignment="1" applyProtection="1">
      <alignment horizontal="center" vertical="center"/>
      <protection hidden="1"/>
    </xf>
    <xf numFmtId="1" fontId="49" fillId="12" borderId="18" xfId="0" applyNumberFormat="1" applyFont="1" applyFill="1" applyBorder="1" applyAlignment="1" applyProtection="1">
      <alignment horizontal="center" vertical="center"/>
      <protection hidden="1"/>
    </xf>
    <xf numFmtId="165" fontId="49" fillId="12" borderId="40" xfId="0" applyFont="1" applyFill="1" applyBorder="1" applyAlignment="1" applyProtection="1">
      <alignment horizontal="center" vertical="center"/>
      <protection hidden="1"/>
    </xf>
    <xf numFmtId="165" fontId="49" fillId="12" borderId="62" xfId="0" applyFont="1" applyFill="1" applyBorder="1" applyAlignment="1" applyProtection="1">
      <alignment horizontal="center" vertical="center"/>
      <protection hidden="1"/>
    </xf>
    <xf numFmtId="165" fontId="0" fillId="12" borderId="0" xfId="0" applyFill="1"/>
    <xf numFmtId="165" fontId="49" fillId="12" borderId="51" xfId="0" applyFont="1" applyFill="1" applyBorder="1" applyAlignment="1" applyProtection="1">
      <alignment horizontal="center" vertical="center"/>
      <protection hidden="1"/>
    </xf>
    <xf numFmtId="165" fontId="49" fillId="12" borderId="61" xfId="0" applyFont="1" applyFill="1" applyBorder="1" applyAlignment="1" applyProtection="1">
      <alignment horizontal="center" vertical="center"/>
      <protection hidden="1"/>
    </xf>
    <xf numFmtId="1" fontId="49" fillId="12" borderId="83" xfId="0" applyNumberFormat="1" applyFont="1" applyFill="1" applyBorder="1" applyAlignment="1" applyProtection="1">
      <alignment horizontal="center" vertical="center"/>
      <protection hidden="1"/>
    </xf>
    <xf numFmtId="1" fontId="49" fillId="12" borderId="85" xfId="0" applyNumberFormat="1" applyFont="1" applyFill="1" applyBorder="1" applyAlignment="1" applyProtection="1">
      <alignment horizontal="center" vertical="center"/>
      <protection hidden="1"/>
    </xf>
    <xf numFmtId="1" fontId="49" fillId="12" borderId="98" xfId="0" applyNumberFormat="1" applyFont="1" applyFill="1" applyBorder="1" applyAlignment="1" applyProtection="1">
      <alignment horizontal="center" vertical="center"/>
      <protection hidden="1"/>
    </xf>
    <xf numFmtId="1" fontId="49" fillId="12" borderId="123" xfId="0" applyNumberFormat="1" applyFont="1" applyFill="1" applyBorder="1" applyAlignment="1" applyProtection="1">
      <alignment horizontal="center" vertical="center"/>
      <protection hidden="1"/>
    </xf>
    <xf numFmtId="165" fontId="62" fillId="12" borderId="27" xfId="0" applyFont="1" applyFill="1" applyBorder="1" applyAlignment="1" applyProtection="1">
      <alignment horizontal="center" vertical="center"/>
      <protection hidden="1"/>
    </xf>
    <xf numFmtId="165" fontId="62" fillId="12" borderId="28" xfId="0" applyFont="1" applyFill="1" applyBorder="1" applyAlignment="1" applyProtection="1">
      <alignment horizontal="center" vertical="center"/>
      <protection hidden="1"/>
    </xf>
    <xf numFmtId="165" fontId="63" fillId="12" borderId="0" xfId="0" applyFont="1" applyFill="1" applyAlignment="1" applyProtection="1">
      <alignment horizontal="center" vertical="center" textRotation="90"/>
      <protection hidden="1"/>
    </xf>
    <xf numFmtId="165" fontId="24" fillId="12" borderId="0" xfId="0" applyFont="1" applyFill="1"/>
    <xf numFmtId="165" fontId="49" fillId="12" borderId="89" xfId="0" applyFont="1" applyFill="1" applyBorder="1" applyAlignment="1" applyProtection="1">
      <alignment horizontal="center" vertical="center"/>
      <protection hidden="1"/>
    </xf>
    <xf numFmtId="165" fontId="49" fillId="12" borderId="0" xfId="0" applyFont="1" applyFill="1" applyAlignment="1" applyProtection="1">
      <alignment horizontal="right" wrapText="1"/>
      <protection hidden="1"/>
    </xf>
    <xf numFmtId="165" fontId="0" fillId="12" borderId="17" xfId="0" applyFill="1" applyBorder="1" applyAlignment="1" applyProtection="1">
      <alignment wrapText="1"/>
      <protection hidden="1"/>
    </xf>
    <xf numFmtId="165" fontId="0" fillId="12" borderId="18" xfId="0" applyFill="1" applyBorder="1" applyAlignment="1" applyProtection="1">
      <alignment wrapText="1"/>
      <protection hidden="1"/>
    </xf>
    <xf numFmtId="165" fontId="0" fillId="12" borderId="19" xfId="0" applyFill="1" applyBorder="1" applyAlignment="1" applyProtection="1">
      <alignment wrapText="1"/>
      <protection hidden="1"/>
    </xf>
    <xf numFmtId="2" fontId="0" fillId="12" borderId="12" xfId="0" applyNumberFormat="1" applyFill="1" applyBorder="1" applyProtection="1">
      <protection hidden="1"/>
    </xf>
    <xf numFmtId="2" fontId="0" fillId="12" borderId="13" xfId="0" applyNumberFormat="1" applyFill="1" applyBorder="1" applyProtection="1">
      <protection hidden="1"/>
    </xf>
    <xf numFmtId="2" fontId="0" fillId="12" borderId="14" xfId="0" applyNumberFormat="1" applyFill="1" applyBorder="1" applyProtection="1">
      <protection hidden="1"/>
    </xf>
    <xf numFmtId="2" fontId="0" fillId="12" borderId="15" xfId="0" applyNumberFormat="1" applyFill="1" applyBorder="1" applyProtection="1">
      <protection hidden="1"/>
    </xf>
    <xf numFmtId="2" fontId="0" fillId="12" borderId="17" xfId="0" applyNumberFormat="1" applyFill="1" applyBorder="1" applyProtection="1">
      <protection hidden="1"/>
    </xf>
    <xf numFmtId="165" fontId="0" fillId="12" borderId="0" xfId="0" applyFill="1"/>
    <xf numFmtId="1" fontId="9" fillId="23" borderId="8" xfId="0" applyNumberFormat="1" applyFont="1" applyFill="1" applyBorder="1" applyAlignment="1">
      <alignment horizontal="center" vertical="center"/>
    </xf>
    <xf numFmtId="165" fontId="8" fillId="12" borderId="0" xfId="0" applyFont="1" applyFill="1" applyAlignment="1">
      <alignment horizontal="center" vertical="center"/>
    </xf>
    <xf numFmtId="1" fontId="9" fillId="48" borderId="11" xfId="0" applyNumberFormat="1" applyFont="1" applyFill="1" applyBorder="1" applyAlignment="1">
      <alignment horizontal="center" vertical="center" wrapText="1"/>
    </xf>
    <xf numFmtId="1" fontId="9" fillId="48" borderId="20" xfId="0" applyNumberFormat="1" applyFont="1" applyFill="1" applyBorder="1" applyAlignment="1">
      <alignment horizontal="center" vertical="center"/>
    </xf>
    <xf numFmtId="1" fontId="9" fillId="48" borderId="8" xfId="0" applyNumberFormat="1" applyFont="1" applyFill="1" applyBorder="1" applyAlignment="1">
      <alignment horizontal="center" vertical="center"/>
    </xf>
    <xf numFmtId="165" fontId="0" fillId="12" borderId="0" xfId="0" applyFill="1"/>
    <xf numFmtId="165" fontId="46" fillId="12" borderId="0" xfId="1" applyFont="1" applyFill="1" applyAlignment="1">
      <alignment horizontal="center"/>
    </xf>
    <xf numFmtId="165" fontId="19" fillId="13" borderId="0" xfId="1" applyFont="1" applyFill="1" applyAlignment="1">
      <alignment horizontal="left" vertical="center"/>
    </xf>
    <xf numFmtId="165" fontId="19" fillId="19" borderId="0" xfId="1" applyFont="1" applyFill="1" applyAlignment="1">
      <alignment horizontal="left"/>
    </xf>
    <xf numFmtId="165" fontId="19" fillId="25" borderId="0" xfId="1" applyFont="1" applyFill="1" applyAlignment="1">
      <alignment horizontal="left" vertical="center"/>
    </xf>
    <xf numFmtId="165" fontId="12" fillId="6" borderId="0" xfId="1" applyFont="1" applyFill="1" applyAlignment="1"/>
    <xf numFmtId="165" fontId="34" fillId="12" borderId="0" xfId="0" applyFont="1" applyFill="1" applyAlignment="1">
      <alignment horizontal="center" vertical="center"/>
    </xf>
    <xf numFmtId="165" fontId="10" fillId="12" borderId="0" xfId="0" applyFont="1" applyFill="1" applyAlignment="1">
      <alignment horizontal="center"/>
    </xf>
    <xf numFmtId="165" fontId="13" fillId="12" borderId="0" xfId="1" applyFont="1" applyFill="1" applyAlignment="1"/>
    <xf numFmtId="165" fontId="28" fillId="12" borderId="2" xfId="0" applyFont="1" applyFill="1" applyBorder="1" applyAlignment="1">
      <alignment horizontal="center" vertical="center"/>
    </xf>
    <xf numFmtId="165" fontId="28" fillId="12" borderId="3" xfId="0" applyFont="1" applyFill="1" applyBorder="1" applyAlignment="1">
      <alignment horizontal="center" vertical="center"/>
    </xf>
    <xf numFmtId="165" fontId="28" fillId="12" borderId="4" xfId="0" applyFont="1" applyFill="1" applyBorder="1" applyAlignment="1">
      <alignment horizontal="center" vertical="center"/>
    </xf>
    <xf numFmtId="165" fontId="28" fillId="12" borderId="27" xfId="0" applyFont="1" applyFill="1" applyBorder="1" applyAlignment="1">
      <alignment horizontal="center" vertical="center"/>
    </xf>
    <xf numFmtId="165" fontId="28" fillId="12" borderId="0" xfId="0" applyFont="1" applyFill="1" applyBorder="1" applyAlignment="1">
      <alignment horizontal="center" vertical="center"/>
    </xf>
    <xf numFmtId="165" fontId="28" fillId="12" borderId="28" xfId="0" applyFont="1" applyFill="1" applyBorder="1" applyAlignment="1">
      <alignment horizontal="center" vertical="center"/>
    </xf>
    <xf numFmtId="165" fontId="28" fillId="12" borderId="5" xfId="0" applyFont="1" applyFill="1" applyBorder="1" applyAlignment="1">
      <alignment horizontal="center" vertical="center"/>
    </xf>
    <xf numFmtId="165" fontId="28" fillId="12" borderId="6" xfId="0" applyFont="1" applyFill="1" applyBorder="1" applyAlignment="1">
      <alignment horizontal="center" vertical="center"/>
    </xf>
    <xf numFmtId="165" fontId="28" fillId="12" borderId="7" xfId="0" applyFont="1" applyFill="1" applyBorder="1" applyAlignment="1">
      <alignment horizontal="center" vertical="center"/>
    </xf>
    <xf numFmtId="165" fontId="0" fillId="12" borderId="0" xfId="0" applyFill="1" applyAlignment="1">
      <alignment horizontal="left" wrapText="1"/>
    </xf>
    <xf numFmtId="165" fontId="9" fillId="9" borderId="2" xfId="0" applyFont="1" applyFill="1" applyBorder="1" applyAlignment="1">
      <alignment horizontal="center" vertical="center" wrapText="1"/>
    </xf>
    <xf numFmtId="165" fontId="9" fillId="9" borderId="4" xfId="0" applyFont="1" applyFill="1" applyBorder="1" applyAlignment="1">
      <alignment horizontal="center" vertical="center" wrapText="1"/>
    </xf>
    <xf numFmtId="165" fontId="9" fillId="9" borderId="5" xfId="0" applyFont="1" applyFill="1" applyBorder="1" applyAlignment="1">
      <alignment horizontal="center" vertical="center" wrapText="1"/>
    </xf>
    <xf numFmtId="165" fontId="9" fillId="9" borderId="7" xfId="0" applyFont="1" applyFill="1" applyBorder="1" applyAlignment="1">
      <alignment horizontal="center" vertical="center" wrapText="1"/>
    </xf>
    <xf numFmtId="165" fontId="9" fillId="14" borderId="70" xfId="0" applyFont="1" applyFill="1" applyBorder="1" applyAlignment="1">
      <alignment horizontal="center" vertical="center"/>
    </xf>
    <xf numFmtId="165" fontId="9" fillId="14" borderId="31" xfId="0" applyFont="1" applyFill="1" applyBorder="1" applyAlignment="1">
      <alignment horizontal="center" vertical="center"/>
    </xf>
    <xf numFmtId="165" fontId="9" fillId="9" borderId="8" xfId="0" applyFont="1" applyFill="1" applyBorder="1" applyAlignment="1">
      <alignment horizontal="center"/>
    </xf>
    <xf numFmtId="165" fontId="9" fillId="9" borderId="10" xfId="0" applyFont="1" applyFill="1" applyBorder="1" applyAlignment="1">
      <alignment horizontal="center"/>
    </xf>
    <xf numFmtId="165" fontId="29" fillId="12" borderId="2" xfId="0" applyFont="1" applyFill="1" applyBorder="1" applyAlignment="1">
      <alignment horizontal="center" vertical="center" wrapText="1"/>
    </xf>
    <xf numFmtId="165" fontId="29" fillId="12" borderId="4" xfId="0" applyFont="1" applyFill="1" applyBorder="1" applyAlignment="1">
      <alignment horizontal="center" vertical="center" wrapText="1"/>
    </xf>
    <xf numFmtId="165" fontId="29" fillId="12" borderId="27" xfId="0" applyFont="1" applyFill="1" applyBorder="1" applyAlignment="1">
      <alignment horizontal="center" vertical="center" wrapText="1"/>
    </xf>
    <xf numFmtId="165" fontId="29" fillId="12" borderId="28" xfId="0" applyFont="1" applyFill="1" applyBorder="1" applyAlignment="1">
      <alignment horizontal="center" vertical="center" wrapText="1"/>
    </xf>
    <xf numFmtId="165" fontId="29" fillId="12" borderId="5" xfId="0" applyFont="1" applyFill="1" applyBorder="1" applyAlignment="1">
      <alignment horizontal="center" vertical="center" wrapText="1"/>
    </xf>
    <xf numFmtId="165" fontId="29" fillId="12" borderId="7" xfId="0" applyFont="1" applyFill="1" applyBorder="1" applyAlignment="1">
      <alignment horizontal="center" vertical="center" wrapText="1"/>
    </xf>
    <xf numFmtId="165" fontId="8" fillId="12" borderId="3" xfId="0" applyFont="1" applyFill="1" applyBorder="1" applyAlignment="1">
      <alignment horizontal="center"/>
    </xf>
    <xf numFmtId="165" fontId="9" fillId="14" borderId="8" xfId="0" applyFont="1" applyFill="1" applyBorder="1" applyAlignment="1">
      <alignment horizontal="center"/>
    </xf>
    <xf numFmtId="165" fontId="9" fillId="14" borderId="10" xfId="0" applyFont="1" applyFill="1" applyBorder="1" applyAlignment="1">
      <alignment horizontal="center"/>
    </xf>
    <xf numFmtId="165" fontId="9" fillId="15" borderId="8" xfId="0" applyFont="1" applyFill="1" applyBorder="1" applyAlignment="1">
      <alignment horizontal="center"/>
    </xf>
    <xf numFmtId="165" fontId="9" fillId="15" borderId="10" xfId="0" applyFont="1" applyFill="1" applyBorder="1" applyAlignment="1">
      <alignment horizontal="center"/>
    </xf>
    <xf numFmtId="165" fontId="1" fillId="23" borderId="8" xfId="0" applyFont="1" applyFill="1" applyBorder="1" applyAlignment="1">
      <alignment horizontal="center"/>
    </xf>
    <xf numFmtId="165" fontId="1" fillId="23" borderId="9" xfId="0" applyFont="1" applyFill="1" applyBorder="1" applyAlignment="1">
      <alignment horizontal="center"/>
    </xf>
    <xf numFmtId="165" fontId="1" fillId="23" borderId="10" xfId="0" applyFont="1" applyFill="1" applyBorder="1" applyAlignment="1">
      <alignment horizontal="center"/>
    </xf>
    <xf numFmtId="165" fontId="9" fillId="12" borderId="45" xfId="0" applyFont="1" applyFill="1" applyBorder="1" applyAlignment="1">
      <alignment horizontal="center"/>
    </xf>
    <xf numFmtId="165" fontId="9" fillId="12" borderId="46" xfId="0" applyFont="1" applyFill="1" applyBorder="1" applyAlignment="1">
      <alignment horizontal="center"/>
    </xf>
    <xf numFmtId="165" fontId="27" fillId="12" borderId="87" xfId="0" applyFont="1" applyFill="1" applyBorder="1" applyAlignment="1">
      <alignment horizontal="left" vertical="top" wrapText="1"/>
    </xf>
    <xf numFmtId="165" fontId="27" fillId="12" borderId="0" xfId="0" applyFont="1" applyFill="1" applyBorder="1" applyAlignment="1">
      <alignment horizontal="left" vertical="top" wrapText="1"/>
    </xf>
    <xf numFmtId="165" fontId="0" fillId="12" borderId="0" xfId="0" applyFill="1" applyAlignment="1">
      <alignment horizontal="left" vertical="top" wrapText="1"/>
    </xf>
    <xf numFmtId="165" fontId="9" fillId="9" borderId="8" xfId="0" applyFont="1" applyFill="1" applyBorder="1" applyAlignment="1">
      <alignment horizontal="center" vertical="center" wrapText="1"/>
    </xf>
    <xf numFmtId="165" fontId="9" fillId="9" borderId="10" xfId="0" applyFont="1" applyFill="1" applyBorder="1" applyAlignment="1">
      <alignment horizontal="center" vertical="center" wrapText="1"/>
    </xf>
    <xf numFmtId="9" fontId="9" fillId="14" borderId="25" xfId="0" applyNumberFormat="1" applyFont="1" applyFill="1" applyBorder="1" applyAlignment="1">
      <alignment horizontal="center" vertical="center" wrapText="1"/>
    </xf>
    <xf numFmtId="9" fontId="9" fillId="14" borderId="35" xfId="0" applyNumberFormat="1" applyFont="1" applyFill="1" applyBorder="1" applyAlignment="1">
      <alignment horizontal="center" vertical="center" wrapText="1"/>
    </xf>
    <xf numFmtId="9" fontId="9" fillId="14" borderId="82" xfId="0" applyNumberFormat="1" applyFont="1" applyFill="1" applyBorder="1" applyAlignment="1">
      <alignment horizontal="center" vertical="center" wrapText="1"/>
    </xf>
    <xf numFmtId="165" fontId="9" fillId="9" borderId="27" xfId="0" applyFont="1" applyFill="1" applyBorder="1" applyAlignment="1">
      <alignment horizontal="center" vertical="center" wrapText="1"/>
    </xf>
    <xf numFmtId="165" fontId="9" fillId="9" borderId="28" xfId="0" applyFont="1" applyFill="1" applyBorder="1" applyAlignment="1">
      <alignment horizontal="center" vertical="center" wrapText="1"/>
    </xf>
    <xf numFmtId="165" fontId="9" fillId="14" borderId="2" xfId="0" applyFont="1" applyFill="1" applyBorder="1" applyAlignment="1">
      <alignment horizontal="center" vertical="center"/>
    </xf>
    <xf numFmtId="165" fontId="9" fillId="14" borderId="5" xfId="0" applyFont="1" applyFill="1" applyBorder="1" applyAlignment="1">
      <alignment horizontal="center" vertical="center"/>
    </xf>
    <xf numFmtId="2" fontId="9" fillId="14" borderId="25" xfId="0" applyNumberFormat="1" applyFont="1" applyFill="1" applyBorder="1" applyAlignment="1">
      <alignment horizontal="center" vertical="center" wrapText="1"/>
    </xf>
    <xf numFmtId="2" fontId="9" fillId="14" borderId="35" xfId="0" applyNumberFormat="1" applyFont="1" applyFill="1" applyBorder="1" applyAlignment="1">
      <alignment horizontal="center" vertical="center" wrapText="1"/>
    </xf>
    <xf numFmtId="2" fontId="9" fillId="14" borderId="82" xfId="0" applyNumberFormat="1" applyFont="1" applyFill="1" applyBorder="1" applyAlignment="1">
      <alignment horizontal="center" vertical="center" wrapText="1"/>
    </xf>
    <xf numFmtId="165" fontId="0" fillId="12" borderId="2" xfId="0" applyFill="1" applyBorder="1" applyAlignment="1">
      <alignment horizontal="center"/>
    </xf>
    <xf numFmtId="165" fontId="0" fillId="12" borderId="3" xfId="0" applyFill="1" applyBorder="1" applyAlignment="1">
      <alignment horizontal="center"/>
    </xf>
    <xf numFmtId="165" fontId="0" fillId="12" borderId="4" xfId="0" applyFill="1" applyBorder="1" applyAlignment="1">
      <alignment horizontal="center"/>
    </xf>
    <xf numFmtId="165" fontId="0" fillId="12" borderId="27" xfId="0" applyFill="1" applyBorder="1" applyAlignment="1">
      <alignment horizontal="center"/>
    </xf>
    <xf numFmtId="165" fontId="0" fillId="12" borderId="0" xfId="0" applyFill="1" applyBorder="1" applyAlignment="1">
      <alignment horizontal="center"/>
    </xf>
    <xf numFmtId="165" fontId="0" fillId="12" borderId="28" xfId="0" applyFill="1" applyBorder="1" applyAlignment="1">
      <alignment horizontal="center"/>
    </xf>
    <xf numFmtId="165" fontId="0" fillId="12" borderId="5" xfId="0" applyFill="1" applyBorder="1" applyAlignment="1">
      <alignment horizontal="center"/>
    </xf>
    <xf numFmtId="165" fontId="0" fillId="12" borderId="6" xfId="0" applyFill="1" applyBorder="1" applyAlignment="1">
      <alignment horizontal="center"/>
    </xf>
    <xf numFmtId="165" fontId="0" fillId="12" borderId="7" xfId="0" applyFill="1" applyBorder="1" applyAlignment="1">
      <alignment horizontal="center"/>
    </xf>
    <xf numFmtId="165" fontId="9" fillId="14" borderId="13" xfId="0" applyFont="1" applyFill="1" applyBorder="1" applyAlignment="1">
      <alignment horizontal="center"/>
    </xf>
    <xf numFmtId="165" fontId="9" fillId="14" borderId="14" xfId="0" applyFont="1" applyFill="1" applyBorder="1" applyAlignment="1">
      <alignment horizontal="center"/>
    </xf>
    <xf numFmtId="167" fontId="9" fillId="14" borderId="60" xfId="0" applyNumberFormat="1" applyFont="1" applyFill="1" applyBorder="1" applyAlignment="1">
      <alignment horizontal="center"/>
    </xf>
    <xf numFmtId="167" fontId="9" fillId="14" borderId="63" xfId="0" applyNumberFormat="1" applyFont="1" applyFill="1" applyBorder="1" applyAlignment="1">
      <alignment horizontal="center"/>
    </xf>
    <xf numFmtId="165" fontId="9" fillId="14" borderId="32" xfId="0" applyFont="1" applyFill="1" applyBorder="1" applyAlignment="1">
      <alignment horizontal="center"/>
    </xf>
    <xf numFmtId="165" fontId="9" fillId="14" borderId="33" xfId="0" applyFont="1" applyFill="1" applyBorder="1" applyAlignment="1">
      <alignment horizontal="center"/>
    </xf>
    <xf numFmtId="165" fontId="9" fillId="14" borderId="22" xfId="0" applyFont="1" applyFill="1" applyBorder="1" applyAlignment="1">
      <alignment horizontal="center"/>
    </xf>
    <xf numFmtId="165" fontId="9" fillId="14" borderId="11" xfId="0" applyFont="1" applyFill="1" applyBorder="1" applyAlignment="1">
      <alignment horizontal="center" vertical="center"/>
    </xf>
    <xf numFmtId="165" fontId="9" fillId="14" borderId="47" xfId="0" applyFont="1" applyFill="1" applyBorder="1" applyAlignment="1">
      <alignment horizontal="center" vertical="center"/>
    </xf>
    <xf numFmtId="165" fontId="9" fillId="9" borderId="8" xfId="0" applyFont="1" applyFill="1" applyBorder="1" applyAlignment="1">
      <alignment horizontal="center" vertical="center"/>
    </xf>
    <xf numFmtId="165" fontId="9" fillId="9" borderId="9" xfId="0" applyFont="1" applyFill="1" applyBorder="1" applyAlignment="1">
      <alignment horizontal="center" vertical="center"/>
    </xf>
    <xf numFmtId="165" fontId="9" fillId="9" borderId="10" xfId="0" applyFont="1" applyFill="1" applyBorder="1" applyAlignment="1">
      <alignment horizontal="center" vertical="center"/>
    </xf>
    <xf numFmtId="165" fontId="10" fillId="12" borderId="8" xfId="0" applyFont="1" applyFill="1" applyBorder="1" applyAlignment="1">
      <alignment horizontal="center" vertical="center"/>
    </xf>
    <xf numFmtId="165" fontId="10" fillId="12" borderId="9" xfId="0" applyFont="1" applyFill="1" applyBorder="1" applyAlignment="1">
      <alignment horizontal="center" vertical="center"/>
    </xf>
    <xf numFmtId="165" fontId="10" fillId="12" borderId="10" xfId="0" applyFont="1" applyFill="1" applyBorder="1" applyAlignment="1">
      <alignment horizontal="center" vertical="center"/>
    </xf>
    <xf numFmtId="165" fontId="10" fillId="12" borderId="8" xfId="0" applyFont="1" applyFill="1" applyBorder="1" applyAlignment="1">
      <alignment horizontal="center" vertical="center" wrapText="1"/>
    </xf>
    <xf numFmtId="165" fontId="10" fillId="12" borderId="9" xfId="0" applyFont="1" applyFill="1" applyBorder="1" applyAlignment="1">
      <alignment horizontal="center" vertical="center" wrapText="1"/>
    </xf>
    <xf numFmtId="165" fontId="10" fillId="12" borderId="10" xfId="0" applyFont="1" applyFill="1" applyBorder="1" applyAlignment="1">
      <alignment horizontal="center" vertical="center" wrapText="1"/>
    </xf>
    <xf numFmtId="165" fontId="27" fillId="12" borderId="0" xfId="0" applyFont="1" applyFill="1" applyBorder="1" applyAlignment="1">
      <alignment horizontal="left"/>
    </xf>
    <xf numFmtId="165" fontId="27" fillId="12" borderId="3" xfId="0" applyFont="1" applyFill="1" applyBorder="1" applyAlignment="1">
      <alignment horizontal="center"/>
    </xf>
    <xf numFmtId="165" fontId="63" fillId="12" borderId="28" xfId="0" applyFont="1" applyFill="1" applyBorder="1" applyAlignment="1">
      <alignment horizontal="center" vertical="center" textRotation="90"/>
    </xf>
    <xf numFmtId="165" fontId="47" fillId="12" borderId="0" xfId="0" applyFont="1" applyFill="1" applyAlignment="1" applyProtection="1">
      <alignment horizontal="center"/>
      <protection hidden="1"/>
    </xf>
    <xf numFmtId="165" fontId="48" fillId="12" borderId="0" xfId="0" applyFont="1" applyFill="1" applyAlignment="1" applyProtection="1">
      <alignment horizontal="center"/>
      <protection hidden="1"/>
    </xf>
    <xf numFmtId="1" fontId="51" fillId="12" borderId="8" xfId="0" applyNumberFormat="1" applyFont="1" applyFill="1" applyBorder="1" applyAlignment="1">
      <alignment horizontal="center"/>
    </xf>
    <xf numFmtId="1" fontId="51" fillId="12" borderId="9" xfId="0" applyNumberFormat="1" applyFont="1" applyFill="1" applyBorder="1" applyAlignment="1">
      <alignment horizontal="center"/>
    </xf>
    <xf numFmtId="1" fontId="51" fillId="12" borderId="10" xfId="0" applyNumberFormat="1" applyFont="1" applyFill="1" applyBorder="1" applyAlignment="1">
      <alignment horizontal="center"/>
    </xf>
    <xf numFmtId="1" fontId="0" fillId="12" borderId="5" xfId="0" applyNumberFormat="1" applyFill="1" applyBorder="1" applyAlignment="1">
      <alignment horizontal="center"/>
    </xf>
    <xf numFmtId="1" fontId="0" fillId="12" borderId="6" xfId="0" applyNumberFormat="1" applyFill="1" applyBorder="1" applyAlignment="1">
      <alignment horizontal="center"/>
    </xf>
    <xf numFmtId="1" fontId="0" fillId="12" borderId="7" xfId="0" applyNumberFormat="1" applyFill="1" applyBorder="1" applyAlignment="1">
      <alignment horizontal="center"/>
    </xf>
    <xf numFmtId="1" fontId="0" fillId="12" borderId="65" xfId="0" applyNumberFormat="1" applyFill="1" applyBorder="1" applyAlignment="1">
      <alignment horizontal="center"/>
    </xf>
    <xf numFmtId="1" fontId="0" fillId="12" borderId="76" xfId="0" applyNumberFormat="1" applyFill="1" applyBorder="1" applyAlignment="1">
      <alignment horizontal="center"/>
    </xf>
    <xf numFmtId="1" fontId="0" fillId="12" borderId="13" xfId="0" applyNumberFormat="1" applyFill="1" applyBorder="1" applyAlignment="1">
      <alignment horizontal="center" vertical="center"/>
    </xf>
    <xf numFmtId="1" fontId="0" fillId="12" borderId="18" xfId="0" applyNumberFormat="1" applyFill="1" applyBorder="1" applyAlignment="1">
      <alignment horizontal="center" vertical="center"/>
    </xf>
    <xf numFmtId="1" fontId="0" fillId="12" borderId="74" xfId="0" applyNumberFormat="1" applyFill="1" applyBorder="1" applyAlignment="1">
      <alignment horizontal="center" vertical="center"/>
    </xf>
    <xf numFmtId="1" fontId="0" fillId="12" borderId="65" xfId="0" applyNumberFormat="1" applyFill="1" applyBorder="1" applyAlignment="1">
      <alignment horizontal="center" vertical="center"/>
    </xf>
    <xf numFmtId="1" fontId="0" fillId="12" borderId="70" xfId="0" applyNumberFormat="1" applyFill="1" applyBorder="1" applyAlignment="1">
      <alignment horizontal="center"/>
    </xf>
    <xf numFmtId="1" fontId="0" fillId="12" borderId="21" xfId="0" applyNumberFormat="1" applyFill="1" applyBorder="1" applyAlignment="1">
      <alignment horizontal="center"/>
    </xf>
    <xf numFmtId="1" fontId="0" fillId="12" borderId="75" xfId="0" applyNumberFormat="1" applyFill="1" applyBorder="1" applyAlignment="1">
      <alignment horizontal="center"/>
    </xf>
    <xf numFmtId="1" fontId="0" fillId="12" borderId="58" xfId="0" applyNumberFormat="1" applyFill="1" applyBorder="1" applyAlignment="1">
      <alignment horizontal="center"/>
    </xf>
    <xf numFmtId="1" fontId="0" fillId="12" borderId="74" xfId="0" applyNumberFormat="1" applyFill="1" applyBorder="1" applyAlignment="1">
      <alignment horizontal="center"/>
    </xf>
    <xf numFmtId="1" fontId="0" fillId="12" borderId="14" xfId="0" applyNumberFormat="1" applyFill="1" applyBorder="1" applyAlignment="1">
      <alignment horizontal="center" vertical="center"/>
    </xf>
    <xf numFmtId="1" fontId="0" fillId="12" borderId="66" xfId="0" applyNumberFormat="1" applyFill="1" applyBorder="1" applyAlignment="1">
      <alignment horizontal="center"/>
    </xf>
    <xf numFmtId="1" fontId="0" fillId="12" borderId="1" xfId="0" applyNumberFormat="1" applyFill="1" applyBorder="1" applyAlignment="1">
      <alignment horizontal="center" vertical="center"/>
    </xf>
    <xf numFmtId="165" fontId="0" fillId="12" borderId="8" xfId="0" applyFill="1" applyBorder="1" applyAlignment="1">
      <alignment horizontal="center"/>
    </xf>
    <xf numFmtId="165" fontId="0" fillId="12" borderId="9" xfId="0" applyFill="1" applyBorder="1" applyAlignment="1">
      <alignment horizontal="center"/>
    </xf>
    <xf numFmtId="165" fontId="0" fillId="12" borderId="10" xfId="0" applyFill="1" applyBorder="1" applyAlignment="1">
      <alignment horizontal="center"/>
    </xf>
    <xf numFmtId="1" fontId="0" fillId="12" borderId="8" xfId="0" applyNumberFormat="1" applyFill="1" applyBorder="1" applyAlignment="1">
      <alignment horizontal="center"/>
    </xf>
    <xf numFmtId="1" fontId="0" fillId="12" borderId="9" xfId="0" applyNumberFormat="1" applyFill="1" applyBorder="1" applyAlignment="1">
      <alignment horizontal="center"/>
    </xf>
    <xf numFmtId="1" fontId="0" fillId="12" borderId="10" xfId="0" applyNumberFormat="1" applyFill="1" applyBorder="1" applyAlignment="1">
      <alignment horizontal="center"/>
    </xf>
    <xf numFmtId="165" fontId="65" fillId="30" borderId="53" xfId="1" applyFont="1" applyFill="1" applyBorder="1" applyAlignment="1">
      <alignment horizontal="center" vertical="center"/>
    </xf>
    <xf numFmtId="165" fontId="65" fillId="30" borderId="61" xfId="1" applyFont="1" applyFill="1" applyBorder="1" applyAlignment="1">
      <alignment horizontal="center" vertical="center"/>
    </xf>
    <xf numFmtId="165" fontId="65" fillId="30" borderId="48" xfId="1" applyFont="1" applyFill="1" applyBorder="1" applyAlignment="1">
      <alignment horizontal="center" vertical="center"/>
    </xf>
    <xf numFmtId="165" fontId="65" fillId="30" borderId="40" xfId="1" applyFont="1" applyFill="1" applyBorder="1" applyAlignment="1">
      <alignment horizontal="center" vertical="center"/>
    </xf>
    <xf numFmtId="165" fontId="65" fillId="30" borderId="54" xfId="1" applyFont="1" applyFill="1" applyBorder="1" applyAlignment="1">
      <alignment horizontal="center" vertical="center"/>
    </xf>
    <xf numFmtId="165" fontId="65" fillId="30" borderId="62" xfId="1" applyFont="1" applyFill="1" applyBorder="1" applyAlignment="1">
      <alignment horizontal="center" vertical="center"/>
    </xf>
    <xf numFmtId="165" fontId="66" fillId="30" borderId="56" xfId="0" applyFont="1" applyFill="1" applyBorder="1" applyAlignment="1">
      <alignment horizontal="center" vertical="center"/>
    </xf>
    <xf numFmtId="165" fontId="66" fillId="30" borderId="51" xfId="0" applyFont="1" applyFill="1" applyBorder="1" applyAlignment="1">
      <alignment horizontal="center" vertical="center"/>
    </xf>
    <xf numFmtId="165" fontId="49" fillId="12" borderId="0" xfId="0" applyFont="1" applyFill="1" applyBorder="1" applyAlignment="1" applyProtection="1">
      <alignment horizontal="center" vertical="center" wrapText="1"/>
      <protection hidden="1"/>
    </xf>
    <xf numFmtId="165" fontId="62" fillId="12" borderId="2" xfId="0" applyFont="1" applyFill="1" applyBorder="1" applyAlignment="1">
      <alignment horizontal="center" vertical="center"/>
    </xf>
    <xf numFmtId="165" fontId="62" fillId="12" borderId="4" xfId="0" applyFont="1" applyFill="1" applyBorder="1" applyAlignment="1">
      <alignment horizontal="center" vertical="center"/>
    </xf>
    <xf numFmtId="165" fontId="62" fillId="12" borderId="5" xfId="0" applyFont="1" applyFill="1" applyBorder="1" applyAlignment="1">
      <alignment horizontal="center" vertical="center"/>
    </xf>
    <xf numFmtId="165" fontId="62" fillId="12" borderId="7" xfId="0" applyFont="1" applyFill="1" applyBorder="1" applyAlignment="1">
      <alignment horizontal="center" vertical="center"/>
    </xf>
    <xf numFmtId="165" fontId="49" fillId="12" borderId="12" xfId="0" applyFont="1" applyFill="1" applyBorder="1" applyAlignment="1">
      <alignment horizontal="center" vertical="center" textRotation="45"/>
    </xf>
    <xf numFmtId="165" fontId="49" fillId="12" borderId="17" xfId="0" applyFont="1" applyFill="1" applyBorder="1" applyAlignment="1">
      <alignment horizontal="center" vertical="center" textRotation="45"/>
    </xf>
    <xf numFmtId="1" fontId="49" fillId="12" borderId="13" xfId="0" applyNumberFormat="1" applyFont="1" applyFill="1" applyBorder="1" applyAlignment="1">
      <alignment horizontal="center" vertical="center" textRotation="45"/>
    </xf>
    <xf numFmtId="1" fontId="49" fillId="12" borderId="18" xfId="0" applyNumberFormat="1" applyFont="1" applyFill="1" applyBorder="1" applyAlignment="1">
      <alignment horizontal="center" vertical="center" textRotation="45"/>
    </xf>
    <xf numFmtId="165" fontId="49" fillId="12" borderId="14" xfId="0" applyFont="1" applyFill="1" applyBorder="1" applyAlignment="1">
      <alignment horizontal="center" vertical="center" textRotation="45"/>
    </xf>
    <xf numFmtId="165" fontId="49" fillId="12" borderId="19" xfId="0" applyFont="1" applyFill="1" applyBorder="1" applyAlignment="1">
      <alignment horizontal="center" vertical="center" textRotation="45"/>
    </xf>
    <xf numFmtId="165" fontId="49" fillId="12" borderId="9" xfId="0" applyFont="1" applyFill="1" applyBorder="1" applyAlignment="1">
      <alignment horizontal="center" vertical="center"/>
    </xf>
    <xf numFmtId="165" fontId="49" fillId="12" borderId="10" xfId="0" applyFont="1" applyFill="1" applyBorder="1" applyAlignment="1">
      <alignment horizontal="center" vertical="center"/>
    </xf>
    <xf numFmtId="165" fontId="65" fillId="29" borderId="54" xfId="1" applyFont="1" applyFill="1" applyBorder="1" applyAlignment="1">
      <alignment horizontal="center" vertical="center"/>
    </xf>
    <xf numFmtId="165" fontId="65" fillId="29" borderId="62" xfId="1" applyFont="1" applyFill="1" applyBorder="1" applyAlignment="1">
      <alignment horizontal="center" vertical="center"/>
    </xf>
    <xf numFmtId="165" fontId="66" fillId="29" borderId="56" xfId="0" applyFont="1" applyFill="1" applyBorder="1" applyAlignment="1">
      <alignment horizontal="center" vertical="center"/>
    </xf>
    <xf numFmtId="165" fontId="66" fillId="29" borderId="51" xfId="0" applyFont="1" applyFill="1" applyBorder="1" applyAlignment="1">
      <alignment horizontal="center" vertical="center"/>
    </xf>
    <xf numFmtId="165" fontId="66" fillId="29" borderId="48" xfId="0" applyFont="1" applyFill="1" applyBorder="1" applyAlignment="1">
      <alignment horizontal="center" vertical="center"/>
    </xf>
    <xf numFmtId="165" fontId="66" fillId="29" borderId="40" xfId="0" applyFont="1" applyFill="1" applyBorder="1" applyAlignment="1">
      <alignment horizontal="center" vertical="center"/>
    </xf>
    <xf numFmtId="165" fontId="66" fillId="29" borderId="54" xfId="0" applyFont="1" applyFill="1" applyBorder="1" applyAlignment="1">
      <alignment horizontal="center" vertical="center"/>
    </xf>
    <xf numFmtId="165" fontId="66" fillId="29" borderId="62" xfId="0" applyFont="1" applyFill="1" applyBorder="1" applyAlignment="1">
      <alignment horizontal="center" vertical="center"/>
    </xf>
    <xf numFmtId="165" fontId="65" fillId="31" borderId="53" xfId="1" applyFont="1" applyFill="1" applyBorder="1" applyAlignment="1">
      <alignment horizontal="center" vertical="center"/>
    </xf>
    <xf numFmtId="165" fontId="65" fillId="31" borderId="61" xfId="1" applyFont="1" applyFill="1" applyBorder="1" applyAlignment="1">
      <alignment horizontal="center" vertical="center"/>
    </xf>
    <xf numFmtId="165" fontId="65" fillId="31" borderId="48" xfId="1" applyFont="1" applyFill="1" applyBorder="1" applyAlignment="1">
      <alignment horizontal="center" vertical="center"/>
    </xf>
    <xf numFmtId="165" fontId="65" fillId="31" borderId="40" xfId="1" applyFont="1" applyFill="1" applyBorder="1" applyAlignment="1">
      <alignment horizontal="center" vertical="center"/>
    </xf>
    <xf numFmtId="165" fontId="66" fillId="30" borderId="48" xfId="0" applyFont="1" applyFill="1" applyBorder="1" applyAlignment="1">
      <alignment horizontal="center" vertical="center"/>
    </xf>
    <xf numFmtId="165" fontId="66" fillId="30" borderId="40" xfId="0" applyFont="1" applyFill="1" applyBorder="1" applyAlignment="1">
      <alignment horizontal="center" vertical="center"/>
    </xf>
    <xf numFmtId="165" fontId="66" fillId="30" borderId="54" xfId="0" applyFont="1" applyFill="1" applyBorder="1" applyAlignment="1">
      <alignment horizontal="center" vertical="center"/>
    </xf>
    <xf numFmtId="165" fontId="66" fillId="30" borderId="62" xfId="0" applyFont="1" applyFill="1" applyBorder="1" applyAlignment="1">
      <alignment horizontal="center" vertical="center"/>
    </xf>
    <xf numFmtId="165" fontId="65" fillId="29" borderId="53" xfId="1" applyFont="1" applyFill="1" applyBorder="1" applyAlignment="1">
      <alignment horizontal="center" vertical="center"/>
    </xf>
    <xf numFmtId="165" fontId="65" fillId="29" borderId="61" xfId="1" applyFont="1" applyFill="1" applyBorder="1" applyAlignment="1">
      <alignment horizontal="center" vertical="center"/>
    </xf>
    <xf numFmtId="165" fontId="65" fillId="29" borderId="48" xfId="1" applyFont="1" applyFill="1" applyBorder="1" applyAlignment="1">
      <alignment horizontal="center" vertical="center"/>
    </xf>
    <xf numFmtId="165" fontId="65" fillId="29" borderId="40" xfId="1" applyFont="1" applyFill="1" applyBorder="1" applyAlignment="1">
      <alignment horizontal="center" vertical="center"/>
    </xf>
    <xf numFmtId="165" fontId="65" fillId="9" borderId="53" xfId="1" applyFont="1" applyFill="1" applyBorder="1" applyAlignment="1">
      <alignment horizontal="center" vertical="center"/>
    </xf>
    <xf numFmtId="165" fontId="65" fillId="9" borderId="61" xfId="1" applyFont="1" applyFill="1" applyBorder="1" applyAlignment="1">
      <alignment horizontal="center" vertical="center"/>
    </xf>
    <xf numFmtId="165" fontId="65" fillId="9" borderId="48" xfId="1" applyFont="1" applyFill="1" applyBorder="1" applyAlignment="1">
      <alignment horizontal="center" vertical="center"/>
    </xf>
    <xf numFmtId="165" fontId="65" fillId="9" borderId="40" xfId="1" applyFont="1" applyFill="1" applyBorder="1" applyAlignment="1">
      <alignment horizontal="center" vertical="center"/>
    </xf>
    <xf numFmtId="165" fontId="65" fillId="31" borderId="54" xfId="1" applyFont="1" applyFill="1" applyBorder="1" applyAlignment="1">
      <alignment horizontal="center" vertical="center"/>
    </xf>
    <xf numFmtId="165" fontId="65" fillId="31" borderId="62" xfId="1" applyFont="1" applyFill="1" applyBorder="1" applyAlignment="1">
      <alignment horizontal="center" vertical="center"/>
    </xf>
    <xf numFmtId="165" fontId="65" fillId="31" borderId="56" xfId="1" applyFont="1" applyFill="1" applyBorder="1" applyAlignment="1">
      <alignment horizontal="center" vertical="center"/>
    </xf>
    <xf numFmtId="165" fontId="65" fillId="31" borderId="51" xfId="1" applyFont="1" applyFill="1" applyBorder="1" applyAlignment="1">
      <alignment horizontal="center" vertical="center"/>
    </xf>
    <xf numFmtId="165" fontId="65" fillId="32" borderId="48" xfId="1" applyFont="1" applyFill="1" applyBorder="1" applyAlignment="1">
      <alignment horizontal="center" vertical="center"/>
    </xf>
    <xf numFmtId="165" fontId="65" fillId="32" borderId="40" xfId="1" applyFont="1" applyFill="1" applyBorder="1" applyAlignment="1">
      <alignment horizontal="center" vertical="center"/>
    </xf>
    <xf numFmtId="165" fontId="65" fillId="32" borderId="54" xfId="1" applyFont="1" applyFill="1" applyBorder="1" applyAlignment="1">
      <alignment horizontal="center" vertical="center"/>
    </xf>
    <xf numFmtId="165" fontId="65" fillId="32" borderId="62" xfId="1" applyFont="1" applyFill="1" applyBorder="1" applyAlignment="1">
      <alignment horizontal="center" vertical="center"/>
    </xf>
    <xf numFmtId="165" fontId="65" fillId="33" borderId="53" xfId="1" applyFont="1" applyFill="1" applyBorder="1" applyAlignment="1">
      <alignment horizontal="center" vertical="center"/>
    </xf>
    <xf numFmtId="165" fontId="65" fillId="33" borderId="71" xfId="1" applyFont="1" applyFill="1" applyBorder="1" applyAlignment="1">
      <alignment horizontal="center" vertical="center"/>
    </xf>
    <xf numFmtId="165" fontId="65" fillId="33" borderId="48" xfId="1" applyFont="1" applyFill="1" applyBorder="1" applyAlignment="1">
      <alignment horizontal="center" vertical="center"/>
    </xf>
    <xf numFmtId="165" fontId="65" fillId="33" borderId="73" xfId="1" applyFont="1" applyFill="1" applyBorder="1" applyAlignment="1">
      <alignment horizontal="center" vertical="center"/>
    </xf>
    <xf numFmtId="165" fontId="65" fillId="9" borderId="54" xfId="1" applyFont="1" applyFill="1" applyBorder="1" applyAlignment="1">
      <alignment horizontal="center" vertical="center"/>
    </xf>
    <xf numFmtId="165" fontId="65" fillId="9" borderId="62" xfId="1" applyFont="1" applyFill="1" applyBorder="1" applyAlignment="1">
      <alignment horizontal="center" vertical="center"/>
    </xf>
    <xf numFmtId="165" fontId="65" fillId="32" borderId="53" xfId="1" applyFont="1" applyFill="1" applyBorder="1" applyAlignment="1">
      <alignment horizontal="center" vertical="center"/>
    </xf>
    <xf numFmtId="165" fontId="65" fillId="32" borderId="61" xfId="1" applyFont="1" applyFill="1" applyBorder="1" applyAlignment="1">
      <alignment horizontal="center" vertical="center"/>
    </xf>
    <xf numFmtId="165" fontId="65" fillId="16" borderId="53" xfId="1" applyFont="1" applyFill="1" applyBorder="1" applyAlignment="1">
      <alignment horizontal="center" vertical="center"/>
    </xf>
    <xf numFmtId="165" fontId="65" fillId="16" borderId="61" xfId="1" applyFont="1" applyFill="1" applyBorder="1" applyAlignment="1">
      <alignment horizontal="center" vertical="center"/>
    </xf>
    <xf numFmtId="165" fontId="65" fillId="16" borderId="48" xfId="1" applyFont="1" applyFill="1" applyBorder="1" applyAlignment="1">
      <alignment horizontal="center" vertical="center"/>
    </xf>
    <xf numFmtId="165" fontId="65" fillId="16" borderId="40" xfId="1" applyFont="1" applyFill="1" applyBorder="1" applyAlignment="1">
      <alignment horizontal="center" vertical="center"/>
    </xf>
    <xf numFmtId="165" fontId="65" fillId="33" borderId="54" xfId="1" applyFont="1" applyFill="1" applyBorder="1" applyAlignment="1">
      <alignment horizontal="center" vertical="center"/>
    </xf>
    <xf numFmtId="165" fontId="65" fillId="33" borderId="72" xfId="1" applyFont="1" applyFill="1" applyBorder="1" applyAlignment="1">
      <alignment horizontal="center" vertical="center"/>
    </xf>
    <xf numFmtId="165" fontId="65" fillId="23" borderId="30" xfId="1" applyFont="1" applyFill="1" applyBorder="1" applyAlignment="1">
      <alignment horizontal="center" vertical="center"/>
    </xf>
    <xf numFmtId="165" fontId="65" fillId="23" borderId="39" xfId="1" applyFont="1" applyFill="1" applyBorder="1" applyAlignment="1">
      <alignment horizontal="center" vertical="center"/>
    </xf>
    <xf numFmtId="165" fontId="65" fillId="10" borderId="48" xfId="1" applyFont="1" applyFill="1" applyBorder="1" applyAlignment="1">
      <alignment horizontal="center" vertical="center"/>
    </xf>
    <xf numFmtId="165" fontId="65" fillId="10" borderId="40" xfId="1" applyFont="1" applyFill="1" applyBorder="1" applyAlignment="1">
      <alignment horizontal="center" vertical="center"/>
    </xf>
    <xf numFmtId="165" fontId="65" fillId="16" borderId="54" xfId="1" applyFont="1" applyFill="1" applyBorder="1" applyAlignment="1">
      <alignment horizontal="center" vertical="center"/>
    </xf>
    <xf numFmtId="165" fontId="65" fillId="16" borderId="62" xfId="1" applyFont="1" applyFill="1" applyBorder="1" applyAlignment="1">
      <alignment horizontal="center" vertical="center"/>
    </xf>
    <xf numFmtId="165" fontId="65" fillId="23" borderId="37" xfId="1" applyFont="1" applyFill="1" applyBorder="1" applyAlignment="1">
      <alignment horizontal="center" vertical="center"/>
    </xf>
    <xf numFmtId="165" fontId="65" fillId="22" borderId="37" xfId="1" applyFont="1" applyFill="1" applyBorder="1" applyAlignment="1">
      <alignment horizontal="center" vertical="center"/>
    </xf>
    <xf numFmtId="165" fontId="65" fillId="22" borderId="30" xfId="1" applyFont="1" applyFill="1" applyBorder="1" applyAlignment="1">
      <alignment horizontal="center" vertical="center"/>
    </xf>
    <xf numFmtId="165" fontId="65" fillId="22" borderId="39" xfId="1" applyFont="1" applyFill="1" applyBorder="1" applyAlignment="1">
      <alignment horizontal="center" vertical="center"/>
    </xf>
    <xf numFmtId="165" fontId="65" fillId="10" borderId="53" xfId="1" applyFont="1" applyFill="1" applyBorder="1" applyAlignment="1">
      <alignment horizontal="center" vertical="center"/>
    </xf>
    <xf numFmtId="165" fontId="65" fillId="10" borderId="61" xfId="1" applyFont="1" applyFill="1" applyBorder="1" applyAlignment="1">
      <alignment horizontal="center" vertical="center"/>
    </xf>
    <xf numFmtId="165" fontId="65" fillId="28" borderId="48" xfId="1" applyFont="1" applyFill="1" applyBorder="1" applyAlignment="1">
      <alignment horizontal="center" vertical="center"/>
    </xf>
    <xf numFmtId="165" fontId="65" fillId="28" borderId="40" xfId="1" applyFont="1" applyFill="1" applyBorder="1" applyAlignment="1">
      <alignment horizontal="center" vertical="center"/>
    </xf>
    <xf numFmtId="165" fontId="65" fillId="28" borderId="54" xfId="1" applyFont="1" applyFill="1" applyBorder="1" applyAlignment="1">
      <alignment horizontal="center" vertical="center"/>
    </xf>
    <xf numFmtId="165" fontId="65" fillId="28" borderId="62" xfId="1" applyFont="1" applyFill="1" applyBorder="1" applyAlignment="1">
      <alignment horizontal="center" vertical="center"/>
    </xf>
    <xf numFmtId="165" fontId="66" fillId="12" borderId="56" xfId="0" applyFont="1" applyFill="1" applyBorder="1" applyAlignment="1">
      <alignment horizontal="center" vertical="center"/>
    </xf>
    <xf numFmtId="165" fontId="66" fillId="12" borderId="51" xfId="0" applyFont="1" applyFill="1" applyBorder="1" applyAlignment="1">
      <alignment horizontal="center" vertical="center"/>
    </xf>
    <xf numFmtId="165" fontId="66" fillId="12" borderId="48" xfId="0" applyFont="1" applyFill="1" applyBorder="1" applyAlignment="1">
      <alignment horizontal="center" vertical="center"/>
    </xf>
    <xf numFmtId="165" fontId="66" fillId="12" borderId="40" xfId="0" applyFont="1" applyFill="1" applyBorder="1" applyAlignment="1">
      <alignment horizontal="center" vertical="center"/>
    </xf>
    <xf numFmtId="165" fontId="66" fillId="12" borderId="54" xfId="0" applyFont="1" applyFill="1" applyBorder="1" applyAlignment="1">
      <alignment horizontal="center" vertical="center"/>
    </xf>
    <xf numFmtId="165" fontId="66" fillId="12" borderId="62" xfId="0" applyFont="1" applyFill="1" applyBorder="1" applyAlignment="1">
      <alignment horizontal="center" vertical="center"/>
    </xf>
    <xf numFmtId="165" fontId="65" fillId="34" borderId="48" xfId="1" applyFont="1" applyFill="1" applyBorder="1" applyAlignment="1">
      <alignment horizontal="center" vertical="center"/>
    </xf>
    <xf numFmtId="165" fontId="65" fillId="34" borderId="40" xfId="1" applyFont="1" applyFill="1" applyBorder="1" applyAlignment="1">
      <alignment horizontal="center" vertical="center"/>
    </xf>
    <xf numFmtId="165" fontId="65" fillId="34" borderId="54" xfId="1" applyFont="1" applyFill="1" applyBorder="1" applyAlignment="1">
      <alignment horizontal="center" vertical="center"/>
    </xf>
    <xf numFmtId="165" fontId="65" fillId="34" borderId="62" xfId="1" applyFont="1" applyFill="1" applyBorder="1" applyAlignment="1">
      <alignment horizontal="center" vertical="center"/>
    </xf>
    <xf numFmtId="165" fontId="65" fillId="4" borderId="53" xfId="1" applyFont="1" applyFill="1" applyBorder="1" applyAlignment="1">
      <alignment horizontal="center" vertical="center"/>
    </xf>
    <xf numFmtId="165" fontId="65" fillId="4" borderId="61" xfId="1" applyFont="1" applyFill="1" applyBorder="1" applyAlignment="1">
      <alignment horizontal="center" vertical="center"/>
    </xf>
    <xf numFmtId="165" fontId="65" fillId="4" borderId="48" xfId="1" applyFont="1" applyFill="1" applyBorder="1" applyAlignment="1">
      <alignment horizontal="center" vertical="center"/>
    </xf>
    <xf numFmtId="165" fontId="65" fillId="4" borderId="40" xfId="1" applyFont="1" applyFill="1" applyBorder="1" applyAlignment="1">
      <alignment horizontal="center" vertical="center"/>
    </xf>
    <xf numFmtId="165" fontId="65" fillId="4" borderId="54" xfId="1" applyFont="1" applyFill="1" applyBorder="1" applyAlignment="1">
      <alignment horizontal="center" vertical="center"/>
    </xf>
    <xf numFmtId="165" fontId="65" fillId="4" borderId="62" xfId="1" applyFont="1" applyFill="1" applyBorder="1" applyAlignment="1">
      <alignment horizontal="center" vertical="center"/>
    </xf>
    <xf numFmtId="165" fontId="65" fillId="35" borderId="53" xfId="1" applyFont="1" applyFill="1" applyBorder="1" applyAlignment="1">
      <alignment horizontal="center" vertical="center"/>
    </xf>
    <xf numFmtId="165" fontId="65" fillId="35" borderId="61" xfId="1" applyFont="1" applyFill="1" applyBorder="1" applyAlignment="1">
      <alignment horizontal="center" vertical="center"/>
    </xf>
    <xf numFmtId="165" fontId="44" fillId="12" borderId="2" xfId="0" applyFont="1" applyFill="1" applyBorder="1" applyAlignment="1">
      <alignment horizontal="center" vertical="center"/>
    </xf>
    <xf numFmtId="165" fontId="86" fillId="12" borderId="4" xfId="0" applyFont="1" applyFill="1" applyBorder="1" applyAlignment="1">
      <alignment horizontal="center" vertical="center"/>
    </xf>
    <xf numFmtId="165" fontId="86" fillId="12" borderId="5" xfId="0" applyFont="1" applyFill="1" applyBorder="1" applyAlignment="1">
      <alignment horizontal="center" vertical="center"/>
    </xf>
    <xf numFmtId="165" fontId="86" fillId="12" borderId="7" xfId="0" applyFont="1" applyFill="1" applyBorder="1" applyAlignment="1">
      <alignment horizontal="center" vertical="center"/>
    </xf>
    <xf numFmtId="165" fontId="66" fillId="38" borderId="37" xfId="0" applyFont="1" applyFill="1" applyBorder="1" applyAlignment="1">
      <alignment horizontal="center" vertical="center"/>
    </xf>
    <xf numFmtId="165" fontId="65" fillId="38" borderId="30" xfId="1" applyFont="1" applyFill="1" applyBorder="1" applyAlignment="1">
      <alignment horizontal="center" vertical="center"/>
    </xf>
    <xf numFmtId="165" fontId="65" fillId="38" borderId="39" xfId="1" applyFont="1" applyFill="1" applyBorder="1" applyAlignment="1">
      <alignment horizontal="center" vertical="center"/>
    </xf>
    <xf numFmtId="165" fontId="65" fillId="28" borderId="53" xfId="1" applyFont="1" applyFill="1" applyBorder="1" applyAlignment="1">
      <alignment horizontal="center" vertical="center"/>
    </xf>
    <xf numFmtId="165" fontId="65" fillId="28" borderId="61" xfId="1" applyFont="1" applyFill="1" applyBorder="1" applyAlignment="1">
      <alignment horizontal="center" vertical="center"/>
    </xf>
    <xf numFmtId="1" fontId="0" fillId="12" borderId="60" xfId="0" applyNumberFormat="1" applyFill="1" applyBorder="1" applyAlignment="1">
      <alignment horizontal="center" vertical="center"/>
    </xf>
    <xf numFmtId="1" fontId="0" fillId="12" borderId="11" xfId="0" applyNumberFormat="1" applyFill="1" applyBorder="1" applyAlignment="1">
      <alignment horizontal="center"/>
    </xf>
    <xf numFmtId="1" fontId="0" fillId="12" borderId="29" xfId="0" applyNumberFormat="1" applyFill="1" applyBorder="1" applyAlignment="1">
      <alignment horizontal="center"/>
    </xf>
    <xf numFmtId="1" fontId="0" fillId="12" borderId="76" xfId="0" applyNumberFormat="1" applyFill="1" applyBorder="1" applyAlignment="1">
      <alignment horizontal="center" vertical="center"/>
    </xf>
    <xf numFmtId="165" fontId="60" fillId="12" borderId="2" xfId="0" applyFont="1" applyFill="1" applyBorder="1" applyAlignment="1">
      <alignment horizontal="center" vertical="center"/>
    </xf>
    <xf numFmtId="165" fontId="60" fillId="12" borderId="4" xfId="0" applyFont="1" applyFill="1" applyBorder="1" applyAlignment="1">
      <alignment horizontal="center" vertical="center"/>
    </xf>
    <xf numFmtId="165" fontId="60" fillId="12" borderId="5" xfId="0" applyFont="1" applyFill="1" applyBorder="1" applyAlignment="1">
      <alignment horizontal="center" vertical="center"/>
    </xf>
    <xf numFmtId="165" fontId="60" fillId="12" borderId="7" xfId="0" applyFont="1" applyFill="1" applyBorder="1" applyAlignment="1">
      <alignment horizontal="center" vertical="center"/>
    </xf>
    <xf numFmtId="165" fontId="65" fillId="35" borderId="48" xfId="1" applyFont="1" applyFill="1" applyBorder="1" applyAlignment="1">
      <alignment horizontal="center" vertical="center"/>
    </xf>
    <xf numFmtId="165" fontId="65" fillId="35" borderId="40" xfId="1" applyFont="1" applyFill="1" applyBorder="1" applyAlignment="1">
      <alignment horizontal="center" vertical="center"/>
    </xf>
    <xf numFmtId="165" fontId="65" fillId="35" borderId="54" xfId="1" applyFont="1" applyFill="1" applyBorder="1" applyAlignment="1">
      <alignment horizontal="center" vertical="center"/>
    </xf>
    <xf numFmtId="165" fontId="65" fillId="35" borderId="62" xfId="1" applyFont="1" applyFill="1" applyBorder="1" applyAlignment="1">
      <alignment horizontal="center" vertical="center"/>
    </xf>
    <xf numFmtId="1" fontId="0" fillId="12" borderId="26" xfId="0" applyNumberFormat="1" applyFill="1" applyBorder="1" applyAlignment="1">
      <alignment horizontal="center"/>
    </xf>
    <xf numFmtId="1" fontId="0" fillId="12" borderId="67" xfId="0" applyNumberFormat="1" applyFill="1" applyBorder="1" applyAlignment="1">
      <alignment horizontal="center" vertical="center"/>
    </xf>
    <xf numFmtId="165" fontId="65" fillId="10" borderId="54" xfId="1" applyFont="1" applyFill="1" applyBorder="1" applyAlignment="1">
      <alignment horizontal="center" vertical="center"/>
    </xf>
    <xf numFmtId="165" fontId="65" fillId="10" borderId="62" xfId="1" applyFont="1" applyFill="1" applyBorder="1" applyAlignment="1">
      <alignment horizontal="center" vertical="center"/>
    </xf>
    <xf numFmtId="165" fontId="65" fillId="5" borderId="53" xfId="1" applyFont="1" applyFill="1" applyBorder="1" applyAlignment="1">
      <alignment horizontal="center" vertical="center"/>
    </xf>
    <xf numFmtId="165" fontId="65" fillId="5" borderId="61" xfId="1" applyFont="1" applyFill="1" applyBorder="1" applyAlignment="1">
      <alignment horizontal="center" vertical="center"/>
    </xf>
    <xf numFmtId="165" fontId="65" fillId="5" borderId="48" xfId="1" applyFont="1" applyFill="1" applyBorder="1" applyAlignment="1">
      <alignment horizontal="center" vertical="center"/>
    </xf>
    <xf numFmtId="165" fontId="65" fillId="5" borderId="40" xfId="1" applyFont="1" applyFill="1" applyBorder="1" applyAlignment="1">
      <alignment horizontal="center" vertical="center"/>
    </xf>
    <xf numFmtId="165" fontId="65" fillId="5" borderId="54" xfId="1" applyFont="1" applyFill="1" applyBorder="1" applyAlignment="1">
      <alignment horizontal="center" vertical="center"/>
    </xf>
    <xf numFmtId="165" fontId="65" fillId="5" borderId="62" xfId="1" applyFont="1" applyFill="1" applyBorder="1" applyAlignment="1">
      <alignment horizontal="center" vertical="center"/>
    </xf>
    <xf numFmtId="165" fontId="65" fillId="34" borderId="53" xfId="1" applyFont="1" applyFill="1" applyBorder="1" applyAlignment="1">
      <alignment horizontal="center" vertical="center"/>
    </xf>
    <xf numFmtId="165" fontId="65" fillId="34" borderId="61" xfId="1" applyFont="1" applyFill="1" applyBorder="1" applyAlignment="1">
      <alignment horizontal="center" vertical="center"/>
    </xf>
    <xf numFmtId="165" fontId="49" fillId="12" borderId="48" xfId="0" applyFont="1" applyFill="1" applyBorder="1" applyAlignment="1">
      <alignment horizontal="center" vertical="center"/>
    </xf>
    <xf numFmtId="165" fontId="49" fillId="12" borderId="40" xfId="0" applyFont="1" applyFill="1" applyBorder="1" applyAlignment="1">
      <alignment horizontal="center" vertical="center"/>
    </xf>
    <xf numFmtId="165" fontId="49" fillId="12" borderId="54" xfId="0" applyFont="1" applyFill="1" applyBorder="1" applyAlignment="1">
      <alignment horizontal="center" vertical="center"/>
    </xf>
    <xf numFmtId="165" fontId="49" fillId="12" borderId="62" xfId="0" applyFont="1" applyFill="1" applyBorder="1" applyAlignment="1">
      <alignment horizontal="center" vertical="center"/>
    </xf>
    <xf numFmtId="165" fontId="49" fillId="12" borderId="8" xfId="0" applyFont="1" applyFill="1" applyBorder="1" applyAlignment="1" applyProtection="1">
      <alignment horizontal="center" vertical="center"/>
      <protection hidden="1"/>
    </xf>
    <xf numFmtId="165" fontId="49" fillId="12" borderId="9" xfId="0" applyFont="1" applyFill="1" applyBorder="1" applyAlignment="1" applyProtection="1">
      <alignment horizontal="center" vertical="center"/>
      <protection hidden="1"/>
    </xf>
    <xf numFmtId="165" fontId="49" fillId="12" borderId="10" xfId="0" applyFont="1" applyFill="1" applyBorder="1" applyAlignment="1" applyProtection="1">
      <alignment horizontal="center" vertical="center"/>
      <protection hidden="1"/>
    </xf>
    <xf numFmtId="165" fontId="49" fillId="12" borderId="53" xfId="0" applyFont="1" applyFill="1" applyBorder="1" applyAlignment="1">
      <alignment horizontal="center" vertical="center"/>
    </xf>
    <xf numFmtId="165" fontId="49" fillId="12" borderId="61" xfId="0" applyFont="1" applyFill="1" applyBorder="1" applyAlignment="1">
      <alignment horizontal="center" vertical="center"/>
    </xf>
    <xf numFmtId="165" fontId="65" fillId="41" borderId="53" xfId="1" applyFont="1" applyFill="1" applyBorder="1" applyAlignment="1">
      <alignment horizontal="center" vertical="center"/>
    </xf>
    <xf numFmtId="165" fontId="65" fillId="41" borderId="61" xfId="1" applyFont="1" applyFill="1" applyBorder="1" applyAlignment="1">
      <alignment horizontal="center" vertical="center"/>
    </xf>
    <xf numFmtId="165" fontId="65" fillId="41" borderId="48" xfId="1" applyFont="1" applyFill="1" applyBorder="1" applyAlignment="1">
      <alignment horizontal="center" vertical="center"/>
    </xf>
    <xf numFmtId="165" fontId="65" fillId="41" borderId="40" xfId="1" applyFont="1" applyFill="1" applyBorder="1" applyAlignment="1">
      <alignment horizontal="center" vertical="center"/>
    </xf>
    <xf numFmtId="165" fontId="65" fillId="41" borderId="54" xfId="1" applyFont="1" applyFill="1" applyBorder="1" applyAlignment="1">
      <alignment horizontal="center" vertical="center"/>
    </xf>
    <xf numFmtId="165" fontId="65" fillId="41" borderId="62" xfId="1" applyFont="1" applyFill="1" applyBorder="1" applyAlignment="1">
      <alignment horizontal="center" vertical="center"/>
    </xf>
    <xf numFmtId="165" fontId="49" fillId="12" borderId="56" xfId="0" applyFont="1" applyFill="1" applyBorder="1" applyAlignment="1">
      <alignment horizontal="center" vertical="center"/>
    </xf>
    <xf numFmtId="165" fontId="49" fillId="12" borderId="51" xfId="0" applyFont="1" applyFill="1" applyBorder="1" applyAlignment="1">
      <alignment horizontal="center" vertical="center"/>
    </xf>
    <xf numFmtId="165" fontId="59" fillId="12" borderId="28" xfId="0" applyFont="1" applyFill="1" applyBorder="1" applyAlignment="1">
      <alignment horizontal="center" vertical="center" textRotation="90"/>
    </xf>
    <xf numFmtId="165" fontId="65" fillId="22" borderId="53" xfId="1" applyFont="1" applyFill="1" applyBorder="1" applyAlignment="1">
      <alignment horizontal="center" vertical="center"/>
    </xf>
    <xf numFmtId="165" fontId="65" fillId="22" borderId="61" xfId="1" applyFont="1" applyFill="1" applyBorder="1" applyAlignment="1">
      <alignment horizontal="center" vertical="center"/>
    </xf>
    <xf numFmtId="165" fontId="65" fillId="22" borderId="48" xfId="1" applyFont="1" applyFill="1" applyBorder="1" applyAlignment="1">
      <alignment horizontal="center" vertical="center"/>
    </xf>
    <xf numFmtId="165" fontId="65" fillId="22" borderId="40" xfId="1" applyFont="1" applyFill="1" applyBorder="1" applyAlignment="1">
      <alignment horizontal="center" vertical="center"/>
    </xf>
    <xf numFmtId="165" fontId="65" fillId="22" borderId="54" xfId="1" applyFont="1" applyFill="1" applyBorder="1" applyAlignment="1">
      <alignment horizontal="center" vertical="center"/>
    </xf>
    <xf numFmtId="165" fontId="65" fillId="22" borderId="62" xfId="1" applyFont="1" applyFill="1" applyBorder="1" applyAlignment="1">
      <alignment horizontal="center" vertical="center"/>
    </xf>
    <xf numFmtId="165" fontId="65" fillId="36" borderId="53" xfId="1" applyFont="1" applyFill="1" applyBorder="1" applyAlignment="1">
      <alignment horizontal="center" vertical="center"/>
    </xf>
    <xf numFmtId="165" fontId="65" fillId="36" borderId="61" xfId="1" applyFont="1" applyFill="1" applyBorder="1" applyAlignment="1">
      <alignment horizontal="center" vertical="center"/>
    </xf>
    <xf numFmtId="165" fontId="65" fillId="36" borderId="48" xfId="1" applyFont="1" applyFill="1" applyBorder="1" applyAlignment="1">
      <alignment horizontal="center" vertical="center"/>
    </xf>
    <xf numFmtId="165" fontId="65" fillId="36" borderId="40" xfId="1" applyFont="1" applyFill="1" applyBorder="1" applyAlignment="1">
      <alignment horizontal="center" vertical="center"/>
    </xf>
    <xf numFmtId="165" fontId="65" fillId="36" borderId="54" xfId="1" applyFont="1" applyFill="1" applyBorder="1" applyAlignment="1">
      <alignment horizontal="center" vertical="center"/>
    </xf>
    <xf numFmtId="165" fontId="65" fillId="36" borderId="62" xfId="1" applyFont="1" applyFill="1" applyBorder="1" applyAlignment="1">
      <alignment horizontal="center" vertical="center"/>
    </xf>
    <xf numFmtId="165" fontId="65" fillId="37" borderId="37" xfId="1" applyFont="1" applyFill="1" applyBorder="1" applyAlignment="1">
      <alignment horizontal="center" vertical="center"/>
    </xf>
    <xf numFmtId="165" fontId="65" fillId="37" borderId="30" xfId="1" applyFont="1" applyFill="1" applyBorder="1" applyAlignment="1">
      <alignment horizontal="center" vertical="center"/>
    </xf>
    <xf numFmtId="165" fontId="65" fillId="37" borderId="39" xfId="1" applyFont="1" applyFill="1" applyBorder="1" applyAlignment="1">
      <alignment horizontal="center" vertical="center"/>
    </xf>
    <xf numFmtId="1" fontId="49" fillId="12" borderId="75" xfId="0" applyNumberFormat="1" applyFont="1" applyFill="1" applyBorder="1" applyAlignment="1" applyProtection="1">
      <alignment horizontal="center" vertical="center"/>
      <protection hidden="1"/>
    </xf>
    <xf numFmtId="1" fontId="49" fillId="12" borderId="81" xfId="0" applyNumberFormat="1" applyFont="1" applyFill="1" applyBorder="1" applyAlignment="1" applyProtection="1">
      <alignment horizontal="center" vertical="center"/>
      <protection hidden="1"/>
    </xf>
    <xf numFmtId="1" fontId="49" fillId="12" borderId="74" xfId="0" applyNumberFormat="1" applyFont="1" applyFill="1" applyBorder="1" applyAlignment="1" applyProtection="1">
      <alignment horizontal="center" vertical="center"/>
      <protection hidden="1"/>
    </xf>
    <xf numFmtId="1" fontId="49" fillId="12" borderId="65" xfId="0" applyNumberFormat="1" applyFont="1" applyFill="1" applyBorder="1" applyAlignment="1" applyProtection="1">
      <alignment horizontal="center" vertical="center"/>
      <protection hidden="1"/>
    </xf>
    <xf numFmtId="165" fontId="70" fillId="12" borderId="27" xfId="0" applyFont="1" applyFill="1" applyBorder="1" applyAlignment="1" applyProtection="1">
      <alignment horizontal="center" vertical="center"/>
      <protection hidden="1"/>
    </xf>
    <xf numFmtId="165" fontId="70" fillId="12" borderId="0" xfId="0" applyFont="1" applyFill="1" applyBorder="1" applyAlignment="1" applyProtection="1">
      <alignment horizontal="center" vertical="center"/>
      <protection hidden="1"/>
    </xf>
    <xf numFmtId="165" fontId="49" fillId="12" borderId="8" xfId="0" applyFont="1" applyFill="1" applyBorder="1" applyAlignment="1" applyProtection="1">
      <alignment horizontal="center"/>
      <protection hidden="1"/>
    </xf>
    <xf numFmtId="165" fontId="49" fillId="12" borderId="9" xfId="0" applyFont="1" applyFill="1" applyBorder="1" applyAlignment="1" applyProtection="1">
      <alignment horizontal="center"/>
      <protection hidden="1"/>
    </xf>
    <xf numFmtId="165" fontId="49" fillId="12" borderId="10" xfId="0" applyFont="1" applyFill="1" applyBorder="1" applyAlignment="1" applyProtection="1">
      <alignment horizontal="center"/>
      <protection hidden="1"/>
    </xf>
    <xf numFmtId="1" fontId="49" fillId="12" borderId="86" xfId="0" applyNumberFormat="1" applyFont="1" applyFill="1" applyBorder="1" applyAlignment="1" applyProtection="1">
      <alignment horizontal="center" vertical="center"/>
      <protection hidden="1"/>
    </xf>
    <xf numFmtId="1" fontId="49" fillId="12" borderId="88" xfId="0" applyNumberFormat="1" applyFont="1" applyFill="1" applyBorder="1" applyAlignment="1" applyProtection="1">
      <alignment horizontal="center" vertical="center"/>
      <protection hidden="1"/>
    </xf>
    <xf numFmtId="1" fontId="49" fillId="12" borderId="76" xfId="0" applyNumberFormat="1" applyFont="1" applyFill="1" applyBorder="1" applyAlignment="1" applyProtection="1">
      <alignment horizontal="center" vertical="center"/>
      <protection hidden="1"/>
    </xf>
    <xf numFmtId="1" fontId="49" fillId="12" borderId="13" xfId="0" applyNumberFormat="1" applyFont="1" applyFill="1" applyBorder="1" applyAlignment="1" applyProtection="1">
      <alignment horizontal="center" vertical="center"/>
      <protection hidden="1"/>
    </xf>
    <xf numFmtId="1" fontId="49" fillId="12" borderId="18" xfId="0" applyNumberFormat="1" applyFont="1" applyFill="1" applyBorder="1" applyAlignment="1" applyProtection="1">
      <alignment horizontal="center" vertical="center"/>
      <protection hidden="1"/>
    </xf>
    <xf numFmtId="1" fontId="49" fillId="12" borderId="14" xfId="0" applyNumberFormat="1" applyFont="1" applyFill="1" applyBorder="1" applyAlignment="1" applyProtection="1">
      <alignment horizontal="center" vertical="center"/>
      <protection hidden="1"/>
    </xf>
    <xf numFmtId="165" fontId="63" fillId="12" borderId="28" xfId="0" applyFont="1" applyFill="1" applyBorder="1" applyAlignment="1" applyProtection="1">
      <alignment horizontal="center" vertical="center" textRotation="90"/>
      <protection hidden="1"/>
    </xf>
    <xf numFmtId="165" fontId="49" fillId="12" borderId="48" xfId="0" applyFont="1" applyFill="1" applyBorder="1" applyAlignment="1" applyProtection="1">
      <alignment horizontal="center" vertical="center"/>
      <protection hidden="1"/>
    </xf>
    <xf numFmtId="165" fontId="49" fillId="12" borderId="40" xfId="0" applyFont="1" applyFill="1" applyBorder="1" applyAlignment="1" applyProtection="1">
      <alignment horizontal="center" vertical="center"/>
      <protection hidden="1"/>
    </xf>
    <xf numFmtId="165" fontId="49" fillId="12" borderId="54" xfId="0" applyFont="1" applyFill="1" applyBorder="1" applyAlignment="1" applyProtection="1">
      <alignment horizontal="center" vertical="center"/>
      <protection hidden="1"/>
    </xf>
    <xf numFmtId="165" fontId="49" fillId="12" borderId="62" xfId="0" applyFont="1" applyFill="1" applyBorder="1" applyAlignment="1" applyProtection="1">
      <alignment horizontal="center" vertical="center"/>
      <protection hidden="1"/>
    </xf>
    <xf numFmtId="165" fontId="65" fillId="31" borderId="53" xfId="1" applyFont="1" applyFill="1" applyBorder="1" applyAlignment="1" applyProtection="1">
      <alignment horizontal="center" vertical="center"/>
      <protection hidden="1"/>
    </xf>
    <xf numFmtId="165" fontId="65" fillId="31" borderId="61" xfId="1" applyFont="1" applyFill="1" applyBorder="1" applyAlignment="1" applyProtection="1">
      <alignment horizontal="center" vertical="center"/>
      <protection hidden="1"/>
    </xf>
    <xf numFmtId="165" fontId="49" fillId="12" borderId="2" xfId="0" applyFont="1" applyFill="1" applyBorder="1" applyAlignment="1" applyProtection="1">
      <alignment horizontal="center" vertical="center"/>
      <protection hidden="1"/>
    </xf>
    <xf numFmtId="165" fontId="49" fillId="12" borderId="4" xfId="0" applyFont="1" applyFill="1" applyBorder="1" applyAlignment="1" applyProtection="1">
      <alignment horizontal="center" vertical="center"/>
      <protection hidden="1"/>
    </xf>
    <xf numFmtId="165" fontId="49" fillId="12" borderId="5" xfId="0" applyFont="1" applyFill="1" applyBorder="1" applyAlignment="1" applyProtection="1">
      <alignment horizontal="center" vertical="center"/>
      <protection hidden="1"/>
    </xf>
    <xf numFmtId="165" fontId="49" fillId="12" borderId="7" xfId="0" applyFont="1" applyFill="1" applyBorder="1" applyAlignment="1" applyProtection="1">
      <alignment horizontal="center" vertical="center"/>
      <protection hidden="1"/>
    </xf>
    <xf numFmtId="165" fontId="65" fillId="23" borderId="53" xfId="1" applyFont="1" applyFill="1" applyBorder="1" applyAlignment="1" applyProtection="1">
      <alignment horizontal="center" vertical="center"/>
      <protection hidden="1"/>
    </xf>
    <xf numFmtId="165" fontId="65" fillId="23" borderId="61" xfId="1" applyFont="1" applyFill="1" applyBorder="1" applyAlignment="1" applyProtection="1">
      <alignment horizontal="center" vertical="center"/>
      <protection hidden="1"/>
    </xf>
    <xf numFmtId="165" fontId="65" fillId="23" borderId="54" xfId="1" applyFont="1" applyFill="1" applyBorder="1" applyAlignment="1" applyProtection="1">
      <alignment horizontal="center" vertical="center"/>
      <protection hidden="1"/>
    </xf>
    <xf numFmtId="165" fontId="65" fillId="23" borderId="62" xfId="1" applyFont="1" applyFill="1" applyBorder="1" applyAlignment="1" applyProtection="1">
      <alignment horizontal="center" vertical="center"/>
      <protection hidden="1"/>
    </xf>
    <xf numFmtId="165" fontId="61" fillId="12" borderId="12" xfId="0" applyFont="1" applyFill="1" applyBorder="1" applyAlignment="1">
      <alignment horizontal="center" vertical="center" textRotation="45"/>
    </xf>
    <xf numFmtId="165" fontId="61" fillId="12" borderId="17" xfId="0" applyFont="1" applyFill="1" applyBorder="1" applyAlignment="1">
      <alignment horizontal="center" vertical="center" textRotation="45"/>
    </xf>
    <xf numFmtId="1" fontId="61" fillId="12" borderId="13" xfId="0" applyNumberFormat="1" applyFont="1" applyFill="1" applyBorder="1" applyAlignment="1">
      <alignment horizontal="center" vertical="center" textRotation="45"/>
    </xf>
    <xf numFmtId="1" fontId="61" fillId="12" borderId="18" xfId="0" applyNumberFormat="1" applyFont="1" applyFill="1" applyBorder="1" applyAlignment="1">
      <alignment horizontal="center" vertical="center" textRotation="45"/>
    </xf>
    <xf numFmtId="165" fontId="61" fillId="12" borderId="14" xfId="0" applyFont="1" applyFill="1" applyBorder="1" applyAlignment="1">
      <alignment horizontal="center" vertical="center" textRotation="45"/>
    </xf>
    <xf numFmtId="165" fontId="61" fillId="12" borderId="19" xfId="0" applyFont="1" applyFill="1" applyBorder="1" applyAlignment="1">
      <alignment horizontal="center" vertical="center" textRotation="45"/>
    </xf>
    <xf numFmtId="165" fontId="65" fillId="23" borderId="30" xfId="1" applyFont="1" applyFill="1" applyBorder="1" applyAlignment="1" applyProtection="1">
      <alignment horizontal="center" vertical="center"/>
      <protection hidden="1"/>
    </xf>
    <xf numFmtId="165" fontId="65" fillId="16" borderId="48" xfId="1" applyFont="1" applyFill="1" applyBorder="1" applyAlignment="1" applyProtection="1">
      <alignment horizontal="center" vertical="center"/>
      <protection hidden="1"/>
    </xf>
    <xf numFmtId="165" fontId="65" fillId="16" borderId="40" xfId="1" applyFont="1" applyFill="1" applyBorder="1" applyAlignment="1" applyProtection="1">
      <alignment horizontal="center" vertical="center"/>
      <protection hidden="1"/>
    </xf>
    <xf numFmtId="165" fontId="65" fillId="23" borderId="37" xfId="1" applyFont="1" applyFill="1" applyBorder="1" applyAlignment="1" applyProtection="1">
      <alignment horizontal="center" vertical="center"/>
      <protection hidden="1"/>
    </xf>
    <xf numFmtId="165" fontId="65" fillId="22" borderId="30" xfId="1" applyFont="1" applyFill="1" applyBorder="1" applyAlignment="1" applyProtection="1">
      <alignment horizontal="center" vertical="center"/>
      <protection hidden="1"/>
    </xf>
    <xf numFmtId="1" fontId="49" fillId="12" borderId="11" xfId="0" applyNumberFormat="1" applyFont="1" applyFill="1" applyBorder="1" applyAlignment="1" applyProtection="1">
      <alignment horizontal="center" vertical="center"/>
      <protection hidden="1"/>
    </xf>
    <xf numFmtId="1" fontId="49" fillId="12" borderId="29" xfId="0" applyNumberFormat="1" applyFont="1" applyFill="1" applyBorder="1" applyAlignment="1" applyProtection="1">
      <alignment horizontal="center" vertical="center"/>
      <protection hidden="1"/>
    </xf>
    <xf numFmtId="1" fontId="49" fillId="12" borderId="70" xfId="0" applyNumberFormat="1" applyFont="1" applyFill="1" applyBorder="1" applyAlignment="1" applyProtection="1">
      <alignment horizontal="center" vertical="center"/>
      <protection hidden="1"/>
    </xf>
    <xf numFmtId="1" fontId="49" fillId="12" borderId="31" xfId="0" applyNumberFormat="1" applyFont="1" applyFill="1" applyBorder="1" applyAlignment="1" applyProtection="1">
      <alignment horizontal="center" vertical="center"/>
      <protection hidden="1"/>
    </xf>
    <xf numFmtId="165" fontId="65" fillId="33" borderId="17" xfId="1" applyFont="1" applyFill="1" applyBorder="1" applyAlignment="1" applyProtection="1">
      <alignment horizontal="center" vertical="center"/>
      <protection hidden="1"/>
    </xf>
    <xf numFmtId="165" fontId="65" fillId="33" borderId="80" xfId="1" applyFont="1" applyFill="1" applyBorder="1" applyAlignment="1" applyProtection="1">
      <alignment horizontal="center" vertical="center"/>
      <protection hidden="1"/>
    </xf>
    <xf numFmtId="165" fontId="65" fillId="16" borderId="53" xfId="1" applyFont="1" applyFill="1" applyBorder="1" applyAlignment="1" applyProtection="1">
      <alignment horizontal="center" vertical="center"/>
      <protection hidden="1"/>
    </xf>
    <xf numFmtId="165" fontId="65" fillId="16" borderId="61" xfId="1" applyFont="1" applyFill="1" applyBorder="1" applyAlignment="1" applyProtection="1">
      <alignment horizontal="center" vertical="center"/>
      <protection hidden="1"/>
    </xf>
    <xf numFmtId="165" fontId="65" fillId="9" borderId="48" xfId="1" applyFont="1" applyFill="1" applyBorder="1" applyAlignment="1" applyProtection="1">
      <alignment horizontal="center" vertical="center"/>
      <protection hidden="1"/>
    </xf>
    <xf numFmtId="165" fontId="65" fillId="9" borderId="40" xfId="1" applyFont="1" applyFill="1" applyBorder="1" applyAlignment="1" applyProtection="1">
      <alignment horizontal="center" vertical="center"/>
      <protection hidden="1"/>
    </xf>
    <xf numFmtId="165" fontId="65" fillId="9" borderId="54" xfId="1" applyFont="1" applyFill="1" applyBorder="1" applyAlignment="1" applyProtection="1">
      <alignment horizontal="center" vertical="center"/>
      <protection hidden="1"/>
    </xf>
    <xf numFmtId="165" fontId="65" fillId="9" borderId="62" xfId="1" applyFont="1" applyFill="1" applyBorder="1" applyAlignment="1" applyProtection="1">
      <alignment horizontal="center" vertical="center"/>
      <protection hidden="1"/>
    </xf>
    <xf numFmtId="165" fontId="65" fillId="32" borderId="53" xfId="1" applyFont="1" applyFill="1" applyBorder="1" applyAlignment="1" applyProtection="1">
      <alignment horizontal="center" vertical="center"/>
      <protection hidden="1"/>
    </xf>
    <xf numFmtId="165" fontId="65" fillId="32" borderId="61" xfId="1" applyFont="1" applyFill="1" applyBorder="1" applyAlignment="1" applyProtection="1">
      <alignment horizontal="center" vertical="center"/>
      <protection hidden="1"/>
    </xf>
    <xf numFmtId="165" fontId="65" fillId="29" borderId="54" xfId="1" applyFont="1" applyFill="1" applyBorder="1" applyAlignment="1" applyProtection="1">
      <alignment horizontal="center" vertical="center"/>
      <protection hidden="1"/>
    </xf>
    <xf numFmtId="165" fontId="65" fillId="29" borderId="62" xfId="1" applyFont="1" applyFill="1" applyBorder="1" applyAlignment="1" applyProtection="1">
      <alignment horizontal="center" vertical="center"/>
      <protection hidden="1"/>
    </xf>
    <xf numFmtId="165" fontId="65" fillId="32" borderId="48" xfId="1" applyFont="1" applyFill="1" applyBorder="1" applyAlignment="1" applyProtection="1">
      <alignment horizontal="center" vertical="center"/>
      <protection hidden="1"/>
    </xf>
    <xf numFmtId="165" fontId="65" fillId="32" borderId="40" xfId="1" applyFont="1" applyFill="1" applyBorder="1" applyAlignment="1" applyProtection="1">
      <alignment horizontal="center" vertical="center"/>
      <protection hidden="1"/>
    </xf>
    <xf numFmtId="1" fontId="49" fillId="12" borderId="61" xfId="0" applyNumberFormat="1" applyFont="1" applyFill="1" applyBorder="1" applyAlignment="1" applyProtection="1">
      <alignment horizontal="center" vertical="center"/>
      <protection hidden="1"/>
    </xf>
    <xf numFmtId="165" fontId="62" fillId="12" borderId="2" xfId="0" applyFont="1" applyFill="1" applyBorder="1" applyAlignment="1" applyProtection="1">
      <alignment horizontal="center" vertical="center"/>
      <protection hidden="1"/>
    </xf>
    <xf numFmtId="165" fontId="62" fillId="12" borderId="4" xfId="0" applyFont="1" applyFill="1" applyBorder="1" applyAlignment="1" applyProtection="1">
      <alignment horizontal="center" vertical="center"/>
      <protection hidden="1"/>
    </xf>
    <xf numFmtId="165" fontId="62" fillId="12" borderId="5" xfId="0" applyFont="1" applyFill="1" applyBorder="1" applyAlignment="1" applyProtection="1">
      <alignment horizontal="center" vertical="center"/>
      <protection hidden="1"/>
    </xf>
    <xf numFmtId="165" fontId="62" fillId="12" borderId="7" xfId="0" applyFont="1" applyFill="1" applyBorder="1" applyAlignment="1" applyProtection="1">
      <alignment horizontal="center" vertical="center"/>
      <protection hidden="1"/>
    </xf>
    <xf numFmtId="165" fontId="0" fillId="12" borderId="0" xfId="0" applyFill="1"/>
    <xf numFmtId="165" fontId="65" fillId="29" borderId="53" xfId="1" applyFont="1" applyFill="1" applyBorder="1" applyAlignment="1" applyProtection="1">
      <alignment horizontal="center" vertical="center"/>
      <protection hidden="1"/>
    </xf>
    <xf numFmtId="165" fontId="65" fillId="29" borderId="61" xfId="1" applyFont="1" applyFill="1" applyBorder="1" applyAlignment="1" applyProtection="1">
      <alignment horizontal="center" vertical="center"/>
      <protection hidden="1"/>
    </xf>
    <xf numFmtId="165" fontId="65" fillId="29" borderId="48" xfId="1" applyFont="1" applyFill="1" applyBorder="1" applyAlignment="1" applyProtection="1">
      <alignment horizontal="center" vertical="center"/>
      <protection hidden="1"/>
    </xf>
    <xf numFmtId="165" fontId="65" fillId="29" borderId="40" xfId="1" applyFont="1" applyFill="1" applyBorder="1" applyAlignment="1" applyProtection="1">
      <alignment horizontal="center" vertical="center"/>
      <protection hidden="1"/>
    </xf>
    <xf numFmtId="165" fontId="65" fillId="22" borderId="39" xfId="1" applyFont="1" applyFill="1" applyBorder="1" applyAlignment="1" applyProtection="1">
      <alignment horizontal="center" vertical="center"/>
      <protection hidden="1"/>
    </xf>
    <xf numFmtId="165" fontId="65" fillId="23" borderId="39" xfId="1" applyFont="1" applyFill="1" applyBorder="1" applyAlignment="1" applyProtection="1">
      <alignment horizontal="center" vertical="center"/>
      <protection hidden="1"/>
    </xf>
    <xf numFmtId="165" fontId="65" fillId="16" borderId="54" xfId="1" applyFont="1" applyFill="1" applyBorder="1" applyAlignment="1" applyProtection="1">
      <alignment horizontal="center" vertical="center"/>
      <protection hidden="1"/>
    </xf>
    <xf numFmtId="165" fontId="65" fillId="16" borderId="62" xfId="1" applyFont="1" applyFill="1" applyBorder="1" applyAlignment="1" applyProtection="1">
      <alignment horizontal="center" vertical="center"/>
      <protection hidden="1"/>
    </xf>
    <xf numFmtId="165" fontId="65" fillId="32" borderId="55" xfId="1" applyFont="1" applyFill="1" applyBorder="1" applyAlignment="1" applyProtection="1">
      <alignment horizontal="center" vertical="center"/>
      <protection hidden="1"/>
    </xf>
    <xf numFmtId="165" fontId="65" fillId="32" borderId="52" xfId="1" applyFont="1" applyFill="1" applyBorder="1" applyAlignment="1" applyProtection="1">
      <alignment horizontal="center" vertical="center"/>
      <protection hidden="1"/>
    </xf>
    <xf numFmtId="165" fontId="65" fillId="22" borderId="37" xfId="1" applyFont="1" applyFill="1" applyBorder="1" applyAlignment="1" applyProtection="1">
      <alignment horizontal="center" vertical="center"/>
      <protection hidden="1"/>
    </xf>
    <xf numFmtId="165" fontId="65" fillId="31" borderId="48" xfId="1" applyFont="1" applyFill="1" applyBorder="1" applyAlignment="1" applyProtection="1">
      <alignment horizontal="center" vertical="center"/>
      <protection hidden="1"/>
    </xf>
    <xf numFmtId="165" fontId="65" fillId="31" borderId="40" xfId="1" applyFont="1" applyFill="1" applyBorder="1" applyAlignment="1" applyProtection="1">
      <alignment horizontal="center" vertical="center"/>
      <protection hidden="1"/>
    </xf>
    <xf numFmtId="165" fontId="65" fillId="31" borderId="54" xfId="1" applyFont="1" applyFill="1" applyBorder="1" applyAlignment="1" applyProtection="1">
      <alignment horizontal="center" vertical="center"/>
      <protection hidden="1"/>
    </xf>
    <xf numFmtId="165" fontId="65" fillId="31" borderId="62" xfId="1" applyFont="1" applyFill="1" applyBorder="1" applyAlignment="1" applyProtection="1">
      <alignment horizontal="center" vertical="center"/>
      <protection hidden="1"/>
    </xf>
    <xf numFmtId="165" fontId="65" fillId="9" borderId="53" xfId="1" applyFont="1" applyFill="1" applyBorder="1" applyAlignment="1" applyProtection="1">
      <alignment horizontal="center" vertical="center"/>
      <protection hidden="1"/>
    </xf>
    <xf numFmtId="165" fontId="65" fillId="9" borderId="61" xfId="1" applyFont="1" applyFill="1" applyBorder="1" applyAlignment="1" applyProtection="1">
      <alignment horizontal="center" vertical="center"/>
      <protection hidden="1"/>
    </xf>
    <xf numFmtId="165" fontId="65" fillId="33" borderId="12" xfId="1" applyFont="1" applyFill="1" applyBorder="1" applyAlignment="1" applyProtection="1">
      <alignment horizontal="center" vertical="center"/>
      <protection hidden="1"/>
    </xf>
    <xf numFmtId="165" fontId="65" fillId="33" borderId="74" xfId="1" applyFont="1" applyFill="1" applyBorder="1" applyAlignment="1" applyProtection="1">
      <alignment horizontal="center" vertical="center"/>
      <protection hidden="1"/>
    </xf>
    <xf numFmtId="165" fontId="65" fillId="33" borderId="15" xfId="1" applyFont="1" applyFill="1" applyBorder="1" applyAlignment="1" applyProtection="1">
      <alignment horizontal="center" vertical="center"/>
      <protection hidden="1"/>
    </xf>
    <xf numFmtId="165" fontId="65" fillId="33" borderId="79" xfId="1" applyFont="1" applyFill="1" applyBorder="1" applyAlignment="1" applyProtection="1">
      <alignment horizontal="center" vertical="center"/>
      <protection hidden="1"/>
    </xf>
    <xf numFmtId="165" fontId="61" fillId="12" borderId="8" xfId="0" applyFont="1" applyFill="1" applyBorder="1" applyAlignment="1" applyProtection="1">
      <alignment horizontal="center" vertical="center"/>
      <protection hidden="1"/>
    </xf>
    <xf numFmtId="165" fontId="61" fillId="12" borderId="9" xfId="0" applyFont="1" applyFill="1" applyBorder="1" applyAlignment="1" applyProtection="1">
      <alignment horizontal="center" vertical="center"/>
      <protection hidden="1"/>
    </xf>
    <xf numFmtId="165" fontId="61" fillId="12" borderId="10" xfId="0" applyFont="1" applyFill="1" applyBorder="1" applyAlignment="1" applyProtection="1">
      <alignment horizontal="center" vertical="center"/>
      <protection hidden="1"/>
    </xf>
    <xf numFmtId="165" fontId="66" fillId="12" borderId="48" xfId="0" applyFont="1" applyFill="1" applyBorder="1" applyAlignment="1" applyProtection="1">
      <alignment horizontal="center" vertical="center"/>
      <protection hidden="1"/>
    </xf>
    <xf numFmtId="165" fontId="66" fillId="12" borderId="40" xfId="0" applyFont="1" applyFill="1" applyBorder="1" applyAlignment="1" applyProtection="1">
      <alignment horizontal="center" vertical="center"/>
      <protection hidden="1"/>
    </xf>
    <xf numFmtId="165" fontId="66" fillId="12" borderId="54" xfId="0" applyFont="1" applyFill="1" applyBorder="1" applyAlignment="1" applyProtection="1">
      <alignment horizontal="center" vertical="center"/>
      <protection hidden="1"/>
    </xf>
    <xf numFmtId="165" fontId="66" fillId="12" borderId="62" xfId="0" applyFont="1" applyFill="1" applyBorder="1" applyAlignment="1" applyProtection="1">
      <alignment horizontal="center" vertical="center"/>
      <protection hidden="1"/>
    </xf>
    <xf numFmtId="165" fontId="66" fillId="12" borderId="53" xfId="0" applyFont="1" applyFill="1" applyBorder="1" applyAlignment="1" applyProtection="1">
      <alignment horizontal="center" vertical="center"/>
      <protection hidden="1"/>
    </xf>
    <xf numFmtId="165" fontId="66" fillId="12" borderId="61" xfId="0" applyFont="1" applyFill="1" applyBorder="1" applyAlignment="1" applyProtection="1">
      <alignment horizontal="center" vertical="center"/>
      <protection hidden="1"/>
    </xf>
    <xf numFmtId="165" fontId="65" fillId="42" borderId="54" xfId="1" applyFont="1" applyFill="1" applyBorder="1" applyAlignment="1" applyProtection="1">
      <alignment horizontal="center" vertical="center"/>
      <protection hidden="1"/>
    </xf>
    <xf numFmtId="165" fontId="65" fillId="42" borderId="62" xfId="1" applyFont="1" applyFill="1" applyBorder="1" applyAlignment="1" applyProtection="1">
      <alignment horizontal="center" vertical="center"/>
      <protection hidden="1"/>
    </xf>
    <xf numFmtId="165" fontId="49" fillId="12" borderId="56" xfId="0" applyFont="1" applyFill="1" applyBorder="1" applyAlignment="1" applyProtection="1">
      <alignment horizontal="center" vertical="center"/>
      <protection hidden="1"/>
    </xf>
    <xf numFmtId="165" fontId="49" fillId="12" borderId="51" xfId="0" applyFont="1" applyFill="1" applyBorder="1" applyAlignment="1" applyProtection="1">
      <alignment horizontal="center" vertical="center"/>
      <protection hidden="1"/>
    </xf>
    <xf numFmtId="165" fontId="49" fillId="12" borderId="53" xfId="0" applyFont="1" applyFill="1" applyBorder="1" applyAlignment="1" applyProtection="1">
      <alignment horizontal="center" vertical="center"/>
      <protection hidden="1"/>
    </xf>
    <xf numFmtId="165" fontId="49" fillId="12" borderId="61" xfId="0" applyFont="1" applyFill="1" applyBorder="1" applyAlignment="1" applyProtection="1">
      <alignment horizontal="center" vertical="center"/>
      <protection hidden="1"/>
    </xf>
    <xf numFmtId="165" fontId="64" fillId="12" borderId="2" xfId="0" applyFont="1" applyFill="1" applyBorder="1" applyAlignment="1" applyProtection="1">
      <alignment horizontal="center" vertical="center"/>
      <protection hidden="1"/>
    </xf>
    <xf numFmtId="165" fontId="64" fillId="12" borderId="4" xfId="0" applyFont="1" applyFill="1" applyBorder="1" applyAlignment="1" applyProtection="1">
      <alignment horizontal="center" vertical="center"/>
      <protection hidden="1"/>
    </xf>
    <xf numFmtId="165" fontId="64" fillId="12" borderId="5" xfId="0" applyFont="1" applyFill="1" applyBorder="1" applyAlignment="1" applyProtection="1">
      <alignment horizontal="center" vertical="center"/>
      <protection hidden="1"/>
    </xf>
    <xf numFmtId="165" fontId="64" fillId="12" borderId="7" xfId="0" applyFont="1" applyFill="1" applyBorder="1" applyAlignment="1" applyProtection="1">
      <alignment horizontal="center" vertical="center"/>
      <protection hidden="1"/>
    </xf>
    <xf numFmtId="165" fontId="65" fillId="5" borderId="53" xfId="1" applyFont="1" applyFill="1" applyBorder="1" applyAlignment="1" applyProtection="1">
      <alignment horizontal="center" vertical="center"/>
      <protection hidden="1"/>
    </xf>
    <xf numFmtId="165" fontId="65" fillId="5" borderId="61" xfId="1" applyFont="1" applyFill="1" applyBorder="1" applyAlignment="1" applyProtection="1">
      <alignment horizontal="center" vertical="center"/>
      <protection hidden="1"/>
    </xf>
    <xf numFmtId="2" fontId="49" fillId="12" borderId="32" xfId="0" applyNumberFormat="1" applyFont="1" applyFill="1" applyBorder="1" applyAlignment="1" applyProtection="1">
      <alignment horizontal="center"/>
      <protection hidden="1"/>
    </xf>
    <xf numFmtId="2" fontId="49" fillId="12" borderId="33" xfId="0" applyNumberFormat="1" applyFont="1" applyFill="1" applyBorder="1" applyAlignment="1" applyProtection="1">
      <alignment horizontal="center"/>
      <protection hidden="1"/>
    </xf>
    <xf numFmtId="2" fontId="49" fillId="12" borderId="57" xfId="0" applyNumberFormat="1" applyFont="1" applyFill="1" applyBorder="1" applyAlignment="1" applyProtection="1">
      <alignment horizontal="center"/>
      <protection hidden="1"/>
    </xf>
    <xf numFmtId="1" fontId="71" fillId="12" borderId="8" xfId="0" applyNumberFormat="1" applyFont="1" applyFill="1" applyBorder="1" applyAlignment="1" applyProtection="1">
      <alignment horizontal="center" vertical="center"/>
      <protection hidden="1"/>
    </xf>
    <xf numFmtId="1" fontId="71" fillId="12" borderId="9" xfId="0" applyNumberFormat="1" applyFont="1" applyFill="1" applyBorder="1" applyAlignment="1" applyProtection="1">
      <alignment horizontal="center" vertical="center"/>
      <protection hidden="1"/>
    </xf>
    <xf numFmtId="1" fontId="71" fillId="12" borderId="10" xfId="0" applyNumberFormat="1" applyFont="1" applyFill="1" applyBorder="1" applyAlignment="1" applyProtection="1">
      <alignment horizontal="center" vertical="center"/>
      <protection hidden="1"/>
    </xf>
    <xf numFmtId="165" fontId="64" fillId="12" borderId="162" xfId="0" applyFont="1" applyFill="1" applyBorder="1" applyAlignment="1" applyProtection="1">
      <alignment horizontal="center" vertical="center"/>
      <protection hidden="1"/>
    </xf>
    <xf numFmtId="165" fontId="64" fillId="12" borderId="163" xfId="0" applyFont="1" applyFill="1" applyBorder="1" applyAlignment="1" applyProtection="1">
      <alignment horizontal="center" vertical="center"/>
      <protection hidden="1"/>
    </xf>
    <xf numFmtId="165" fontId="64" fillId="12" borderId="119" xfId="0" applyFont="1" applyFill="1" applyBorder="1" applyAlignment="1" applyProtection="1">
      <alignment horizontal="center" vertical="center"/>
      <protection hidden="1"/>
    </xf>
    <xf numFmtId="165" fontId="64" fillId="12" borderId="120" xfId="0" applyFont="1" applyFill="1" applyBorder="1" applyAlignment="1" applyProtection="1">
      <alignment horizontal="center" vertical="center"/>
      <protection hidden="1"/>
    </xf>
    <xf numFmtId="165" fontId="61" fillId="12" borderId="89" xfId="0" applyFont="1" applyFill="1" applyBorder="1" applyAlignment="1" applyProtection="1">
      <alignment horizontal="center" vertical="center"/>
      <protection hidden="1"/>
    </xf>
    <xf numFmtId="165" fontId="61" fillId="12" borderId="90" xfId="0" applyFont="1" applyFill="1" applyBorder="1" applyAlignment="1" applyProtection="1">
      <alignment horizontal="center" vertical="center"/>
      <protection hidden="1"/>
    </xf>
    <xf numFmtId="165" fontId="61" fillId="12" borderId="91" xfId="0" applyFont="1" applyFill="1" applyBorder="1" applyAlignment="1" applyProtection="1">
      <alignment horizontal="center" vertical="center"/>
      <protection hidden="1"/>
    </xf>
    <xf numFmtId="165" fontId="65" fillId="5" borderId="126" xfId="1" applyFont="1" applyFill="1" applyBorder="1" applyAlignment="1" applyProtection="1">
      <alignment horizontal="center" vertical="center"/>
      <protection hidden="1"/>
    </xf>
    <xf numFmtId="165" fontId="65" fillId="5" borderId="142" xfId="1" applyFont="1" applyFill="1" applyBorder="1" applyAlignment="1" applyProtection="1">
      <alignment horizontal="center" vertical="center"/>
      <protection hidden="1"/>
    </xf>
    <xf numFmtId="1" fontId="65" fillId="5" borderId="118" xfId="1" applyNumberFormat="1" applyFont="1" applyFill="1" applyBorder="1" applyAlignment="1" applyProtection="1">
      <alignment horizontal="center" vertical="center"/>
      <protection hidden="1"/>
    </xf>
    <xf numFmtId="1" fontId="65" fillId="5" borderId="121" xfId="1" applyNumberFormat="1" applyFont="1" applyFill="1" applyBorder="1" applyAlignment="1" applyProtection="1">
      <alignment horizontal="center" vertical="center"/>
      <protection hidden="1"/>
    </xf>
    <xf numFmtId="1" fontId="65" fillId="5" borderId="125" xfId="1" applyNumberFormat="1" applyFont="1" applyFill="1" applyBorder="1" applyAlignment="1" applyProtection="1">
      <alignment horizontal="center" vertical="center"/>
      <protection hidden="1"/>
    </xf>
    <xf numFmtId="165" fontId="66" fillId="12" borderId="128" xfId="0" applyFont="1" applyFill="1" applyBorder="1" applyAlignment="1" applyProtection="1">
      <alignment horizontal="center" vertical="center"/>
      <protection hidden="1"/>
    </xf>
    <xf numFmtId="165" fontId="66" fillId="12" borderId="146" xfId="0" applyFont="1" applyFill="1" applyBorder="1" applyAlignment="1" applyProtection="1">
      <alignment horizontal="center" vertical="center"/>
      <protection hidden="1"/>
    </xf>
    <xf numFmtId="165" fontId="66" fillId="12" borderId="133" xfId="0" applyFont="1" applyFill="1" applyBorder="1" applyAlignment="1" applyProtection="1">
      <alignment horizontal="center" vertical="center"/>
      <protection hidden="1"/>
    </xf>
    <xf numFmtId="165" fontId="66" fillId="12" borderId="150" xfId="0" applyFont="1" applyFill="1" applyBorder="1" applyAlignment="1" applyProtection="1">
      <alignment horizontal="center" vertical="center"/>
      <protection hidden="1"/>
    </xf>
    <xf numFmtId="165" fontId="66" fillId="12" borderId="126" xfId="0" applyFont="1" applyFill="1" applyBorder="1" applyAlignment="1" applyProtection="1">
      <alignment horizontal="center" vertical="center"/>
      <protection hidden="1"/>
    </xf>
    <xf numFmtId="165" fontId="66" fillId="12" borderId="142" xfId="0" applyFont="1" applyFill="1" applyBorder="1" applyAlignment="1" applyProtection="1">
      <alignment horizontal="center" vertical="center"/>
      <protection hidden="1"/>
    </xf>
    <xf numFmtId="165" fontId="65" fillId="42" borderId="133" xfId="1" applyFont="1" applyFill="1" applyBorder="1" applyAlignment="1" applyProtection="1">
      <alignment horizontal="center" vertical="center"/>
      <protection hidden="1"/>
    </xf>
    <xf numFmtId="165" fontId="65" fillId="42" borderId="150" xfId="1" applyFont="1" applyFill="1" applyBorder="1" applyAlignment="1" applyProtection="1">
      <alignment horizontal="center" vertical="center"/>
      <protection hidden="1"/>
    </xf>
    <xf numFmtId="1" fontId="61" fillId="12" borderId="83" xfId="0" applyNumberFormat="1" applyFont="1" applyFill="1" applyBorder="1" applyAlignment="1">
      <alignment horizontal="center" vertical="center" textRotation="45"/>
    </xf>
    <xf numFmtId="1" fontId="61" fillId="12" borderId="85" xfId="0" applyNumberFormat="1" applyFont="1" applyFill="1" applyBorder="1" applyAlignment="1">
      <alignment horizontal="center" vertical="center" textRotation="45"/>
    </xf>
    <xf numFmtId="1" fontId="61" fillId="12" borderId="98" xfId="0" applyNumberFormat="1" applyFont="1" applyFill="1" applyBorder="1" applyAlignment="1">
      <alignment horizontal="center" vertical="center" textRotation="45"/>
    </xf>
    <xf numFmtId="1" fontId="61" fillId="12" borderId="105" xfId="0" applyNumberFormat="1" applyFont="1" applyFill="1" applyBorder="1" applyAlignment="1">
      <alignment horizontal="center" vertical="center" textRotation="45"/>
    </xf>
    <xf numFmtId="165" fontId="49" fillId="12" borderId="89" xfId="0" applyFont="1" applyFill="1" applyBorder="1" applyAlignment="1" applyProtection="1">
      <alignment horizontal="center" vertical="center"/>
      <protection hidden="1"/>
    </xf>
    <xf numFmtId="165" fontId="49" fillId="12" borderId="90" xfId="0" applyFont="1" applyFill="1" applyBorder="1" applyAlignment="1" applyProtection="1">
      <alignment horizontal="center" vertical="center"/>
      <protection hidden="1"/>
    </xf>
    <xf numFmtId="165" fontId="49" fillId="12" borderId="91" xfId="0" applyFont="1" applyFill="1" applyBorder="1" applyAlignment="1" applyProtection="1">
      <alignment horizontal="center" vertical="center"/>
      <protection hidden="1"/>
    </xf>
    <xf numFmtId="165" fontId="65" fillId="23" borderId="126" xfId="1" applyFont="1" applyFill="1" applyBorder="1" applyAlignment="1" applyProtection="1">
      <alignment horizontal="center" vertical="center"/>
      <protection hidden="1"/>
    </xf>
    <xf numFmtId="165" fontId="65" fillId="23" borderId="142" xfId="1" applyFont="1" applyFill="1" applyBorder="1" applyAlignment="1" applyProtection="1">
      <alignment horizontal="center" vertical="center"/>
      <protection hidden="1"/>
    </xf>
    <xf numFmtId="1" fontId="65" fillId="23" borderId="118" xfId="1" applyNumberFormat="1" applyFont="1" applyFill="1" applyBorder="1" applyAlignment="1" applyProtection="1">
      <alignment horizontal="center" vertical="center"/>
      <protection hidden="1"/>
    </xf>
    <xf numFmtId="1" fontId="65" fillId="23" borderId="125" xfId="1" applyNumberFormat="1" applyFont="1" applyFill="1" applyBorder="1" applyAlignment="1" applyProtection="1">
      <alignment horizontal="center" vertical="center"/>
      <protection hidden="1"/>
    </xf>
    <xf numFmtId="165" fontId="65" fillId="23" borderId="133" xfId="1" applyFont="1" applyFill="1" applyBorder="1" applyAlignment="1" applyProtection="1">
      <alignment horizontal="center" vertical="center"/>
      <protection hidden="1"/>
    </xf>
    <xf numFmtId="165" fontId="65" fillId="23" borderId="150" xfId="1" applyFont="1" applyFill="1" applyBorder="1" applyAlignment="1" applyProtection="1">
      <alignment horizontal="center" vertical="center"/>
      <protection hidden="1"/>
    </xf>
    <xf numFmtId="165" fontId="61" fillId="10" borderId="128" xfId="0" applyFont="1" applyFill="1" applyBorder="1" applyAlignment="1" applyProtection="1">
      <alignment horizontal="center" vertical="center"/>
      <protection hidden="1"/>
    </xf>
    <xf numFmtId="165" fontId="61" fillId="10" borderId="146" xfId="0" applyFont="1" applyFill="1" applyBorder="1" applyAlignment="1" applyProtection="1">
      <alignment horizontal="center" vertical="center"/>
      <protection hidden="1"/>
    </xf>
    <xf numFmtId="165" fontId="61" fillId="10" borderId="133" xfId="0" applyFont="1" applyFill="1" applyBorder="1" applyAlignment="1" applyProtection="1">
      <alignment horizontal="center" vertical="center"/>
      <protection hidden="1"/>
    </xf>
    <xf numFmtId="165" fontId="61" fillId="10" borderId="150" xfId="0" applyFont="1" applyFill="1" applyBorder="1" applyAlignment="1" applyProtection="1">
      <alignment horizontal="center" vertical="center"/>
      <protection hidden="1"/>
    </xf>
    <xf numFmtId="165" fontId="49" fillId="12" borderId="162" xfId="0" applyFont="1" applyFill="1" applyBorder="1" applyAlignment="1" applyProtection="1">
      <alignment horizontal="center" vertical="center"/>
      <protection hidden="1"/>
    </xf>
    <xf numFmtId="165" fontId="49" fillId="12" borderId="163" xfId="0" applyFont="1" applyFill="1" applyBorder="1" applyAlignment="1" applyProtection="1">
      <alignment horizontal="center" vertical="center"/>
      <protection hidden="1"/>
    </xf>
    <xf numFmtId="165" fontId="49" fillId="12" borderId="119" xfId="0" applyFont="1" applyFill="1" applyBorder="1" applyAlignment="1" applyProtection="1">
      <alignment horizontal="center" vertical="center"/>
      <protection hidden="1"/>
    </xf>
    <xf numFmtId="165" fontId="49" fillId="12" borderId="120" xfId="0" applyFont="1" applyFill="1" applyBorder="1" applyAlignment="1" applyProtection="1">
      <alignment horizontal="center" vertical="center"/>
      <protection hidden="1"/>
    </xf>
    <xf numFmtId="1" fontId="61" fillId="12" borderId="127" xfId="0" applyNumberFormat="1" applyFont="1" applyFill="1" applyBorder="1" applyAlignment="1">
      <alignment horizontal="center" vertical="center" textRotation="45"/>
    </xf>
    <xf numFmtId="1" fontId="61" fillId="12" borderId="132" xfId="0" applyNumberFormat="1" applyFont="1" applyFill="1" applyBorder="1" applyAlignment="1">
      <alignment horizontal="center" vertical="center" textRotation="45"/>
    </xf>
    <xf numFmtId="165" fontId="65" fillId="16" borderId="133" xfId="1" applyFont="1" applyFill="1" applyBorder="1" applyAlignment="1" applyProtection="1">
      <alignment horizontal="center" vertical="center"/>
      <protection hidden="1"/>
    </xf>
    <xf numFmtId="165" fontId="65" fillId="16" borderId="150" xfId="1" applyFont="1" applyFill="1" applyBorder="1" applyAlignment="1" applyProtection="1">
      <alignment horizontal="center" vertical="center"/>
      <protection hidden="1"/>
    </xf>
    <xf numFmtId="1" fontId="65" fillId="23" borderId="121" xfId="1" applyNumberFormat="1" applyFont="1" applyFill="1" applyBorder="1" applyAlignment="1" applyProtection="1">
      <alignment horizontal="center" vertical="center"/>
      <protection hidden="1"/>
    </xf>
    <xf numFmtId="165" fontId="65" fillId="23" borderId="128" xfId="1" applyFont="1" applyFill="1" applyBorder="1" applyAlignment="1" applyProtection="1">
      <alignment horizontal="center" vertical="center"/>
      <protection hidden="1"/>
    </xf>
    <xf numFmtId="165" fontId="65" fillId="23" borderId="146" xfId="1" applyFont="1" applyFill="1" applyBorder="1" applyAlignment="1" applyProtection="1">
      <alignment horizontal="center" vertical="center"/>
      <protection hidden="1"/>
    </xf>
    <xf numFmtId="165" fontId="65" fillId="33" borderId="127" xfId="1" applyFont="1" applyFill="1" applyBorder="1" applyAlignment="1" applyProtection="1">
      <alignment horizontal="center" vertical="center"/>
      <protection hidden="1"/>
    </xf>
    <xf numFmtId="165" fontId="65" fillId="33" borderId="98" xfId="1" applyFont="1" applyFill="1" applyBorder="1" applyAlignment="1" applyProtection="1">
      <alignment horizontal="center" vertical="center"/>
      <protection hidden="1"/>
    </xf>
    <xf numFmtId="1" fontId="65" fillId="33" borderId="118" xfId="1" applyNumberFormat="1" applyFont="1" applyFill="1" applyBorder="1" applyAlignment="1" applyProtection="1">
      <alignment horizontal="center" vertical="center"/>
      <protection hidden="1"/>
    </xf>
    <xf numFmtId="1" fontId="65" fillId="33" borderId="121" xfId="1" applyNumberFormat="1" applyFont="1" applyFill="1" applyBorder="1" applyAlignment="1" applyProtection="1">
      <alignment horizontal="center" vertical="center"/>
      <protection hidden="1"/>
    </xf>
    <xf numFmtId="1" fontId="65" fillId="33" borderId="125" xfId="1" applyNumberFormat="1" applyFont="1" applyFill="1" applyBorder="1" applyAlignment="1" applyProtection="1">
      <alignment horizontal="center" vertical="center"/>
      <protection hidden="1"/>
    </xf>
    <xf numFmtId="165" fontId="65" fillId="33" borderId="115" xfId="1" applyFont="1" applyFill="1" applyBorder="1" applyAlignment="1" applyProtection="1">
      <alignment horizontal="center" vertical="center"/>
      <protection hidden="1"/>
    </xf>
    <xf numFmtId="165" fontId="65" fillId="33" borderId="114" xfId="1" applyFont="1" applyFill="1" applyBorder="1" applyAlignment="1" applyProtection="1">
      <alignment horizontal="center" vertical="center"/>
      <protection hidden="1"/>
    </xf>
    <xf numFmtId="165" fontId="65" fillId="33" borderId="132" xfId="1" applyFont="1" applyFill="1" applyBorder="1" applyAlignment="1" applyProtection="1">
      <alignment horizontal="center" vertical="center"/>
      <protection hidden="1"/>
    </xf>
    <xf numFmtId="165" fontId="65" fillId="33" borderId="105" xfId="1" applyFont="1" applyFill="1" applyBorder="1" applyAlignment="1" applyProtection="1">
      <alignment horizontal="center" vertical="center"/>
      <protection hidden="1"/>
    </xf>
    <xf numFmtId="165" fontId="65" fillId="16" borderId="128" xfId="1" applyFont="1" applyFill="1" applyBorder="1" applyAlignment="1" applyProtection="1">
      <alignment horizontal="center" vertical="center"/>
      <protection hidden="1"/>
    </xf>
    <xf numFmtId="165" fontId="65" fillId="16" borderId="146" xfId="1" applyFont="1" applyFill="1" applyBorder="1" applyAlignment="1" applyProtection="1">
      <alignment horizontal="center" vertical="center"/>
      <protection hidden="1"/>
    </xf>
    <xf numFmtId="1" fontId="65" fillId="16" borderId="118" xfId="1" applyNumberFormat="1" applyFont="1" applyFill="1" applyBorder="1" applyAlignment="1" applyProtection="1">
      <alignment horizontal="center" vertical="center"/>
      <protection hidden="1"/>
    </xf>
    <xf numFmtId="1" fontId="65" fillId="16" borderId="121" xfId="1" applyNumberFormat="1" applyFont="1" applyFill="1" applyBorder="1" applyAlignment="1" applyProtection="1">
      <alignment horizontal="center" vertical="center"/>
      <protection hidden="1"/>
    </xf>
    <xf numFmtId="1" fontId="65" fillId="16" borderId="125" xfId="1" applyNumberFormat="1" applyFont="1" applyFill="1" applyBorder="1" applyAlignment="1" applyProtection="1">
      <alignment horizontal="center" vertical="center"/>
      <protection hidden="1"/>
    </xf>
    <xf numFmtId="165" fontId="24" fillId="12" borderId="0" xfId="0" applyFont="1" applyFill="1"/>
    <xf numFmtId="1" fontId="91" fillId="23" borderId="11" xfId="1" applyNumberFormat="1" applyFont="1" applyFill="1" applyBorder="1" applyAlignment="1" applyProtection="1">
      <alignment horizontal="center" vertical="center"/>
      <protection locked="0" hidden="1"/>
    </xf>
    <xf numFmtId="1" fontId="91" fillId="23" borderId="26" xfId="1" applyNumberFormat="1" applyFont="1" applyFill="1" applyBorder="1" applyAlignment="1" applyProtection="1">
      <alignment horizontal="center" vertical="center"/>
      <protection locked="0" hidden="1"/>
    </xf>
    <xf numFmtId="1" fontId="91" fillId="23" borderId="29" xfId="1" applyNumberFormat="1" applyFont="1" applyFill="1" applyBorder="1" applyAlignment="1" applyProtection="1">
      <alignment horizontal="center" vertical="center"/>
      <protection locked="0" hidden="1"/>
    </xf>
    <xf numFmtId="1" fontId="91" fillId="22" borderId="11" xfId="1" applyNumberFormat="1" applyFont="1" applyFill="1" applyBorder="1" applyAlignment="1" applyProtection="1">
      <alignment horizontal="center" vertical="center"/>
      <protection locked="0" hidden="1"/>
    </xf>
    <xf numFmtId="1" fontId="91" fillId="22" borderId="26" xfId="1" applyNumberFormat="1" applyFont="1" applyFill="1" applyBorder="1" applyAlignment="1" applyProtection="1">
      <alignment horizontal="center" vertical="center"/>
      <protection locked="0" hidden="1"/>
    </xf>
    <xf numFmtId="1" fontId="91" fillId="22" borderId="29" xfId="1" applyNumberFormat="1" applyFont="1" applyFill="1" applyBorder="1" applyAlignment="1" applyProtection="1">
      <alignment horizontal="center" vertical="center"/>
      <protection locked="0" hidden="1"/>
    </xf>
    <xf numFmtId="1" fontId="91" fillId="16" borderId="11" xfId="1" applyNumberFormat="1" applyFont="1" applyFill="1" applyBorder="1" applyAlignment="1" applyProtection="1">
      <alignment horizontal="center" vertical="center"/>
      <protection locked="0" hidden="1"/>
    </xf>
    <xf numFmtId="1" fontId="91" fillId="16" borderId="26" xfId="1" applyNumberFormat="1" applyFont="1" applyFill="1" applyBorder="1" applyAlignment="1" applyProtection="1">
      <alignment horizontal="center" vertical="center"/>
      <protection locked="0" hidden="1"/>
    </xf>
    <xf numFmtId="1" fontId="91" fillId="16" borderId="29" xfId="1" applyNumberFormat="1" applyFont="1" applyFill="1" applyBorder="1" applyAlignment="1" applyProtection="1">
      <alignment horizontal="center" vertical="center"/>
      <protection locked="0" hidden="1"/>
    </xf>
    <xf numFmtId="1" fontId="91" fillId="33" borderId="11" xfId="1" applyNumberFormat="1" applyFont="1" applyFill="1" applyBorder="1" applyAlignment="1" applyProtection="1">
      <alignment horizontal="center" vertical="center"/>
      <protection locked="0" hidden="1"/>
    </xf>
    <xf numFmtId="1" fontId="91" fillId="33" borderId="26" xfId="1" applyNumberFormat="1" applyFont="1" applyFill="1" applyBorder="1" applyAlignment="1" applyProtection="1">
      <alignment horizontal="center" vertical="center"/>
      <protection locked="0" hidden="1"/>
    </xf>
    <xf numFmtId="1" fontId="91" fillId="33" borderId="29" xfId="1" applyNumberFormat="1" applyFont="1" applyFill="1" applyBorder="1" applyAlignment="1" applyProtection="1">
      <alignment horizontal="center" vertical="center"/>
      <protection locked="0" hidden="1"/>
    </xf>
    <xf numFmtId="1" fontId="90" fillId="12" borderId="9" xfId="0" applyNumberFormat="1" applyFont="1" applyFill="1" applyBorder="1" applyAlignment="1" applyProtection="1">
      <alignment horizontal="center" vertical="center"/>
      <protection locked="0" hidden="1"/>
    </xf>
    <xf numFmtId="1" fontId="90" fillId="12" borderId="134" xfId="0" applyNumberFormat="1" applyFont="1" applyFill="1" applyBorder="1" applyAlignment="1" applyProtection="1">
      <alignment horizontal="center" vertical="center"/>
      <protection locked="0" hidden="1"/>
    </xf>
    <xf numFmtId="1" fontId="90" fillId="12" borderId="135" xfId="0" applyNumberFormat="1" applyFont="1" applyFill="1" applyBorder="1" applyAlignment="1" applyProtection="1">
      <alignment horizontal="center" vertical="center"/>
      <protection locked="0" hidden="1"/>
    </xf>
    <xf numFmtId="165" fontId="65" fillId="9" borderId="126" xfId="1" applyFont="1" applyFill="1" applyBorder="1" applyAlignment="1" applyProtection="1">
      <alignment horizontal="center" vertical="center"/>
      <protection hidden="1"/>
    </xf>
    <xf numFmtId="165" fontId="65" fillId="9" borderId="142" xfId="1" applyFont="1" applyFill="1" applyBorder="1" applyAlignment="1" applyProtection="1">
      <alignment horizontal="center" vertical="center"/>
      <protection hidden="1"/>
    </xf>
    <xf numFmtId="1" fontId="65" fillId="9" borderId="118" xfId="1" applyNumberFormat="1" applyFont="1" applyFill="1" applyBorder="1" applyAlignment="1" applyProtection="1">
      <alignment horizontal="center" vertical="center"/>
      <protection hidden="1"/>
    </xf>
    <xf numFmtId="1" fontId="65" fillId="9" borderId="121" xfId="1" applyNumberFormat="1" applyFont="1" applyFill="1" applyBorder="1" applyAlignment="1" applyProtection="1">
      <alignment horizontal="center" vertical="center"/>
      <protection hidden="1"/>
    </xf>
    <xf numFmtId="1" fontId="65" fillId="9" borderId="125" xfId="1" applyNumberFormat="1" applyFont="1" applyFill="1" applyBorder="1" applyAlignment="1" applyProtection="1">
      <alignment horizontal="center" vertical="center"/>
      <protection hidden="1"/>
    </xf>
    <xf numFmtId="165" fontId="65" fillId="9" borderId="128" xfId="1" applyFont="1" applyFill="1" applyBorder="1" applyAlignment="1" applyProtection="1">
      <alignment horizontal="center" vertical="center"/>
      <protection hidden="1"/>
    </xf>
    <xf numFmtId="165" fontId="65" fillId="9" borderId="146" xfId="1" applyFont="1" applyFill="1" applyBorder="1" applyAlignment="1" applyProtection="1">
      <alignment horizontal="center" vertical="center"/>
      <protection hidden="1"/>
    </xf>
    <xf numFmtId="165" fontId="65" fillId="9" borderId="133" xfId="1" applyFont="1" applyFill="1" applyBorder="1" applyAlignment="1" applyProtection="1">
      <alignment horizontal="center" vertical="center"/>
      <protection hidden="1"/>
    </xf>
    <xf numFmtId="165" fontId="65" fillId="9" borderId="150" xfId="1" applyFont="1" applyFill="1" applyBorder="1" applyAlignment="1" applyProtection="1">
      <alignment horizontal="center" vertical="center"/>
      <protection hidden="1"/>
    </xf>
    <xf numFmtId="165" fontId="65" fillId="32" borderId="126" xfId="1" applyFont="1" applyFill="1" applyBorder="1" applyAlignment="1" applyProtection="1">
      <alignment horizontal="center" vertical="center"/>
      <protection hidden="1"/>
    </xf>
    <xf numFmtId="165" fontId="65" fillId="32" borderId="142" xfId="1" applyFont="1" applyFill="1" applyBorder="1" applyAlignment="1" applyProtection="1">
      <alignment horizontal="center" vertical="center"/>
      <protection hidden="1"/>
    </xf>
    <xf numFmtId="1" fontId="65" fillId="32" borderId="118" xfId="1" applyNumberFormat="1" applyFont="1" applyFill="1" applyBorder="1" applyAlignment="1" applyProtection="1">
      <alignment horizontal="center" vertical="center"/>
      <protection hidden="1"/>
    </xf>
    <xf numFmtId="1" fontId="65" fillId="32" borderId="121" xfId="1" applyNumberFormat="1" applyFont="1" applyFill="1" applyBorder="1" applyAlignment="1" applyProtection="1">
      <alignment horizontal="center" vertical="center"/>
      <protection hidden="1"/>
    </xf>
    <xf numFmtId="1" fontId="65" fillId="32" borderId="125" xfId="1" applyNumberFormat="1" applyFont="1" applyFill="1" applyBorder="1" applyAlignment="1" applyProtection="1">
      <alignment horizontal="center" vertical="center"/>
      <protection hidden="1"/>
    </xf>
    <xf numFmtId="165" fontId="65" fillId="32" borderId="128" xfId="1" applyFont="1" applyFill="1" applyBorder="1" applyAlignment="1" applyProtection="1">
      <alignment horizontal="center" vertical="center"/>
      <protection hidden="1"/>
    </xf>
    <xf numFmtId="165" fontId="65" fillId="32" borderId="146" xfId="1" applyFont="1" applyFill="1" applyBorder="1" applyAlignment="1" applyProtection="1">
      <alignment horizontal="center" vertical="center"/>
      <protection hidden="1"/>
    </xf>
    <xf numFmtId="165" fontId="65" fillId="32" borderId="133" xfId="1" applyFont="1" applyFill="1" applyBorder="1" applyAlignment="1" applyProtection="1">
      <alignment horizontal="center" vertical="center"/>
      <protection hidden="1"/>
    </xf>
    <xf numFmtId="165" fontId="65" fillId="32" borderId="150" xfId="1" applyFont="1" applyFill="1" applyBorder="1" applyAlignment="1" applyProtection="1">
      <alignment horizontal="center" vertical="center"/>
      <protection hidden="1"/>
    </xf>
    <xf numFmtId="165" fontId="90" fillId="12" borderId="8" xfId="0" applyFont="1" applyFill="1" applyBorder="1" applyAlignment="1" applyProtection="1">
      <alignment horizontal="center" vertical="center"/>
      <protection hidden="1"/>
    </xf>
    <xf numFmtId="165" fontId="90" fillId="12" borderId="9" xfId="0" applyFont="1" applyFill="1" applyBorder="1" applyAlignment="1" applyProtection="1">
      <alignment horizontal="center" vertical="center"/>
      <protection hidden="1"/>
    </xf>
    <xf numFmtId="165" fontId="90" fillId="12" borderId="10" xfId="0" applyFont="1" applyFill="1" applyBorder="1" applyAlignment="1" applyProtection="1">
      <alignment horizontal="center" vertical="center"/>
      <protection hidden="1"/>
    </xf>
    <xf numFmtId="165" fontId="63" fillId="12" borderId="0" xfId="0" applyFont="1" applyFill="1" applyAlignment="1" applyProtection="1">
      <alignment horizontal="center" vertical="center" textRotation="90"/>
      <protection hidden="1"/>
    </xf>
    <xf numFmtId="165" fontId="65" fillId="29" borderId="126" xfId="1" applyFont="1" applyFill="1" applyBorder="1" applyAlignment="1" applyProtection="1">
      <alignment horizontal="center" vertical="center"/>
      <protection hidden="1"/>
    </xf>
    <xf numFmtId="165" fontId="65" fillId="29" borderId="142" xfId="1" applyFont="1" applyFill="1" applyBorder="1" applyAlignment="1" applyProtection="1">
      <alignment horizontal="center" vertical="center"/>
      <protection hidden="1"/>
    </xf>
    <xf numFmtId="1" fontId="65" fillId="29" borderId="118" xfId="1" applyNumberFormat="1" applyFont="1" applyFill="1" applyBorder="1" applyAlignment="1" applyProtection="1">
      <alignment horizontal="center" vertical="center"/>
      <protection hidden="1"/>
    </xf>
    <xf numFmtId="1" fontId="65" fillId="29" borderId="106" xfId="1" applyNumberFormat="1" applyFont="1" applyFill="1" applyBorder="1" applyAlignment="1" applyProtection="1">
      <alignment horizontal="center" vertical="center"/>
      <protection hidden="1"/>
    </xf>
    <xf numFmtId="165" fontId="65" fillId="29" borderId="128" xfId="1" applyFont="1" applyFill="1" applyBorder="1" applyAlignment="1" applyProtection="1">
      <alignment horizontal="center" vertical="center"/>
      <protection hidden="1"/>
    </xf>
    <xf numFmtId="165" fontId="65" fillId="29" borderId="146" xfId="1" applyFont="1" applyFill="1" applyBorder="1" applyAlignment="1" applyProtection="1">
      <alignment horizontal="center" vertical="center"/>
      <protection hidden="1"/>
    </xf>
    <xf numFmtId="165" fontId="49" fillId="12" borderId="0" xfId="0" applyFont="1" applyFill="1" applyAlignment="1" applyProtection="1">
      <alignment horizontal="center" vertical="center" wrapText="1"/>
      <protection hidden="1"/>
    </xf>
    <xf numFmtId="165" fontId="10" fillId="12" borderId="8" xfId="0" applyFont="1" applyFill="1" applyBorder="1" applyAlignment="1" applyProtection="1">
      <alignment horizontal="center" vertical="center"/>
      <protection hidden="1"/>
    </xf>
    <xf numFmtId="165" fontId="10" fillId="12" borderId="9" xfId="0" applyFont="1" applyFill="1" applyBorder="1" applyAlignment="1" applyProtection="1">
      <alignment horizontal="center" vertical="center"/>
      <protection hidden="1"/>
    </xf>
    <xf numFmtId="165" fontId="10" fillId="12" borderId="10" xfId="0" applyFont="1" applyFill="1" applyBorder="1" applyAlignment="1" applyProtection="1">
      <alignment horizontal="center" vertical="center"/>
      <protection hidden="1"/>
    </xf>
    <xf numFmtId="165" fontId="62" fillId="12" borderId="27" xfId="0" applyFont="1" applyFill="1" applyBorder="1" applyAlignment="1" applyProtection="1">
      <alignment horizontal="center" vertical="center"/>
      <protection hidden="1"/>
    </xf>
    <xf numFmtId="165" fontId="62" fillId="12" borderId="28" xfId="0" applyFont="1" applyFill="1" applyBorder="1" applyAlignment="1" applyProtection="1">
      <alignment horizontal="center" vertical="center"/>
      <protection hidden="1"/>
    </xf>
    <xf numFmtId="165" fontId="87" fillId="12" borderId="11" xfId="0" applyFont="1" applyFill="1" applyBorder="1" applyAlignment="1" applyProtection="1">
      <alignment horizontal="center" vertical="center" wrapText="1"/>
      <protection hidden="1"/>
    </xf>
    <xf numFmtId="165" fontId="87" fillId="12" borderId="26" xfId="0" applyFont="1" applyFill="1" applyBorder="1" applyAlignment="1" applyProtection="1">
      <alignment horizontal="center" vertical="center" wrapText="1"/>
      <protection hidden="1"/>
    </xf>
    <xf numFmtId="165" fontId="87" fillId="12" borderId="29" xfId="0" applyFont="1" applyFill="1" applyBorder="1" applyAlignment="1" applyProtection="1">
      <alignment horizontal="center" vertical="center" wrapText="1"/>
      <protection hidden="1"/>
    </xf>
    <xf numFmtId="165" fontId="49" fillId="12" borderId="136" xfId="0" applyFont="1" applyFill="1" applyBorder="1" applyAlignment="1">
      <alignment horizontal="center" vertical="center" textRotation="45"/>
    </xf>
    <xf numFmtId="1" fontId="49" fillId="12" borderId="137" xfId="0" applyNumberFormat="1" applyFont="1" applyFill="1" applyBorder="1" applyAlignment="1">
      <alignment horizontal="center" vertical="center" textRotation="45"/>
    </xf>
    <xf numFmtId="165" fontId="49" fillId="12" borderId="35" xfId="0" applyFont="1" applyFill="1" applyBorder="1" applyAlignment="1">
      <alignment horizontal="center" vertical="center" textRotation="45"/>
    </xf>
    <xf numFmtId="165" fontId="65" fillId="29" borderId="133" xfId="1" applyFont="1" applyFill="1" applyBorder="1" applyAlignment="1" applyProtection="1">
      <alignment horizontal="center" vertical="center"/>
      <protection hidden="1"/>
    </xf>
    <xf numFmtId="165" fontId="65" fillId="29" borderId="150" xfId="1" applyFont="1" applyFill="1" applyBorder="1" applyAlignment="1" applyProtection="1">
      <alignment horizontal="center" vertical="center"/>
      <protection hidden="1"/>
    </xf>
    <xf numFmtId="165" fontId="65" fillId="31" borderId="126" xfId="1" applyFont="1" applyFill="1" applyBorder="1" applyAlignment="1" applyProtection="1">
      <alignment horizontal="center" vertical="center"/>
      <protection hidden="1"/>
    </xf>
    <xf numFmtId="165" fontId="65" fillId="31" borderId="142" xfId="1" applyFont="1" applyFill="1" applyBorder="1" applyAlignment="1" applyProtection="1">
      <alignment horizontal="center" vertical="center"/>
      <protection hidden="1"/>
    </xf>
    <xf numFmtId="1" fontId="65" fillId="31" borderId="118" xfId="1" applyNumberFormat="1" applyFont="1" applyFill="1" applyBorder="1" applyAlignment="1" applyProtection="1">
      <alignment horizontal="center" vertical="center"/>
      <protection hidden="1"/>
    </xf>
    <xf numFmtId="1" fontId="65" fillId="31" borderId="106" xfId="1" applyNumberFormat="1" applyFont="1" applyFill="1" applyBorder="1" applyAlignment="1" applyProtection="1">
      <alignment horizontal="center" vertical="center"/>
      <protection hidden="1"/>
    </xf>
    <xf numFmtId="165" fontId="65" fillId="31" borderId="128" xfId="1" applyFont="1" applyFill="1" applyBorder="1" applyAlignment="1" applyProtection="1">
      <alignment horizontal="center" vertical="center"/>
      <protection hidden="1"/>
    </xf>
    <xf numFmtId="165" fontId="65" fillId="31" borderId="146" xfId="1" applyFont="1" applyFill="1" applyBorder="1" applyAlignment="1" applyProtection="1">
      <alignment horizontal="center" vertical="center"/>
      <protection hidden="1"/>
    </xf>
    <xf numFmtId="165" fontId="65" fillId="31" borderId="133" xfId="1" applyFont="1" applyFill="1" applyBorder="1" applyAlignment="1" applyProtection="1">
      <alignment horizontal="center" vertical="center"/>
      <protection hidden="1"/>
    </xf>
    <xf numFmtId="165" fontId="65" fillId="31" borderId="150" xfId="1" applyFont="1" applyFill="1" applyBorder="1" applyAlignment="1" applyProtection="1">
      <alignment horizontal="center" vertical="center"/>
      <protection hidden="1"/>
    </xf>
    <xf numFmtId="1" fontId="49" fillId="12" borderId="118" xfId="0" applyNumberFormat="1" applyFont="1" applyFill="1" applyBorder="1" applyAlignment="1" applyProtection="1">
      <alignment horizontal="center" vertical="center"/>
      <protection hidden="1"/>
    </xf>
    <xf numFmtId="1" fontId="49" fillId="12" borderId="125" xfId="0" applyNumberFormat="1" applyFont="1" applyFill="1" applyBorder="1" applyAlignment="1" applyProtection="1">
      <alignment horizontal="center" vertical="center"/>
      <protection hidden="1"/>
    </xf>
    <xf numFmtId="1" fontId="49" fillId="12" borderId="83" xfId="0" applyNumberFormat="1" applyFont="1" applyFill="1" applyBorder="1" applyAlignment="1" applyProtection="1">
      <alignment horizontal="center" vertical="center"/>
      <protection hidden="1"/>
    </xf>
    <xf numFmtId="1" fontId="49" fillId="12" borderId="104" xfId="0" applyNumberFormat="1" applyFont="1" applyFill="1" applyBorder="1" applyAlignment="1" applyProtection="1">
      <alignment horizontal="center" vertical="center"/>
      <protection hidden="1"/>
    </xf>
    <xf numFmtId="1" fontId="49" fillId="12" borderId="85" xfId="0" applyNumberFormat="1" applyFont="1" applyFill="1" applyBorder="1" applyAlignment="1" applyProtection="1">
      <alignment horizontal="center" vertical="center"/>
      <protection hidden="1"/>
    </xf>
    <xf numFmtId="1" fontId="49" fillId="12" borderId="98" xfId="0" applyNumberFormat="1" applyFont="1" applyFill="1" applyBorder="1" applyAlignment="1" applyProtection="1">
      <alignment horizontal="center" vertical="center"/>
      <protection hidden="1"/>
    </xf>
    <xf numFmtId="165" fontId="49" fillId="12" borderId="99" xfId="0" applyFont="1" applyFill="1" applyBorder="1" applyAlignment="1" applyProtection="1">
      <alignment horizontal="center"/>
      <protection hidden="1"/>
    </xf>
    <xf numFmtId="165" fontId="49" fillId="12" borderId="100" xfId="0" applyFont="1" applyFill="1" applyBorder="1" applyAlignment="1" applyProtection="1">
      <alignment horizontal="center"/>
      <protection hidden="1"/>
    </xf>
    <xf numFmtId="165" fontId="49" fillId="12" borderId="101" xfId="0" applyFont="1" applyFill="1" applyBorder="1" applyAlignment="1" applyProtection="1">
      <alignment horizontal="center"/>
      <protection hidden="1"/>
    </xf>
    <xf numFmtId="165" fontId="49" fillId="12" borderId="89" xfId="0" applyFont="1" applyFill="1" applyBorder="1" applyAlignment="1" applyProtection="1">
      <alignment horizontal="center"/>
      <protection hidden="1"/>
    </xf>
    <xf numFmtId="165" fontId="49" fillId="12" borderId="90" xfId="0" applyFont="1" applyFill="1" applyBorder="1" applyAlignment="1" applyProtection="1">
      <alignment horizontal="center"/>
      <protection hidden="1"/>
    </xf>
    <xf numFmtId="165" fontId="49" fillId="12" borderId="91" xfId="0" applyFont="1" applyFill="1" applyBorder="1" applyAlignment="1" applyProtection="1">
      <alignment horizontal="center"/>
      <protection hidden="1"/>
    </xf>
    <xf numFmtId="1" fontId="49" fillId="12" borderId="121" xfId="0" applyNumberFormat="1" applyFont="1" applyFill="1" applyBorder="1" applyAlignment="1" applyProtection="1">
      <alignment horizontal="center" vertical="center"/>
      <protection hidden="1"/>
    </xf>
    <xf numFmtId="1" fontId="49" fillId="12" borderId="122" xfId="0" applyNumberFormat="1" applyFont="1" applyFill="1" applyBorder="1" applyAlignment="1" applyProtection="1">
      <alignment horizontal="center" vertical="center"/>
      <protection hidden="1"/>
    </xf>
    <xf numFmtId="1" fontId="49" fillId="12" borderId="123" xfId="0" applyNumberFormat="1" applyFont="1" applyFill="1" applyBorder="1" applyAlignment="1" applyProtection="1">
      <alignment horizontal="center" vertical="center"/>
      <protection hidden="1"/>
    </xf>
    <xf numFmtId="1" fontId="49" fillId="12" borderId="97" xfId="0" applyNumberFormat="1" applyFont="1" applyFill="1" applyBorder="1" applyAlignment="1" applyProtection="1">
      <alignment horizontal="center" vertical="center"/>
      <protection hidden="1"/>
    </xf>
    <xf numFmtId="2" fontId="49" fillId="12" borderId="99" xfId="0" applyNumberFormat="1" applyFont="1" applyFill="1" applyBorder="1" applyAlignment="1" applyProtection="1">
      <alignment horizontal="center"/>
      <protection hidden="1"/>
    </xf>
    <xf numFmtId="2" fontId="49" fillId="12" borderId="100" xfId="0" applyNumberFormat="1" applyFont="1" applyFill="1" applyBorder="1" applyAlignment="1" applyProtection="1">
      <alignment horizontal="center"/>
      <protection hidden="1"/>
    </xf>
    <xf numFmtId="2" fontId="49" fillId="12" borderId="101" xfId="0" applyNumberFormat="1" applyFont="1" applyFill="1" applyBorder="1" applyAlignment="1" applyProtection="1">
      <alignment horizontal="center"/>
      <protection hidden="1"/>
    </xf>
    <xf numFmtId="1" fontId="71" fillId="12" borderId="89" xfId="0" applyNumberFormat="1" applyFont="1" applyFill="1" applyBorder="1" applyAlignment="1" applyProtection="1">
      <alignment horizontal="center" vertical="center"/>
      <protection hidden="1"/>
    </xf>
    <xf numFmtId="1" fontId="71" fillId="12" borderId="90" xfId="0" applyNumberFormat="1" applyFont="1" applyFill="1" applyBorder="1" applyAlignment="1" applyProtection="1">
      <alignment horizontal="center" vertical="center"/>
      <protection hidden="1"/>
    </xf>
    <xf numFmtId="1" fontId="71" fillId="12" borderId="91" xfId="0" applyNumberFormat="1" applyFont="1" applyFill="1" applyBorder="1" applyAlignment="1" applyProtection="1">
      <alignment horizontal="center" vertical="center"/>
      <protection hidden="1"/>
    </xf>
    <xf numFmtId="165" fontId="49" fillId="12" borderId="93" xfId="0" applyFont="1" applyFill="1" applyBorder="1" applyAlignment="1" applyProtection="1">
      <alignment horizontal="center"/>
      <protection hidden="1"/>
    </xf>
    <xf numFmtId="165" fontId="49" fillId="12" borderId="94" xfId="0" applyFont="1" applyFill="1" applyBorder="1" applyAlignment="1" applyProtection="1">
      <alignment horizontal="center"/>
      <protection hidden="1"/>
    </xf>
    <xf numFmtId="165" fontId="49" fillId="12" borderId="95" xfId="0" applyFont="1" applyFill="1" applyBorder="1" applyAlignment="1" applyProtection="1">
      <alignment horizontal="center"/>
      <protection hidden="1"/>
    </xf>
    <xf numFmtId="165" fontId="70" fillId="12" borderId="89" xfId="0" applyFont="1" applyFill="1" applyBorder="1" applyAlignment="1" applyProtection="1">
      <alignment horizontal="center" vertical="center"/>
      <protection hidden="1"/>
    </xf>
    <xf numFmtId="165" fontId="70" fillId="12" borderId="90" xfId="0" applyFont="1" applyFill="1" applyBorder="1" applyAlignment="1" applyProtection="1">
      <alignment horizontal="center" vertical="center"/>
      <protection hidden="1"/>
    </xf>
    <xf numFmtId="165" fontId="70" fillId="12" borderId="91" xfId="0" applyFont="1" applyFill="1" applyBorder="1" applyAlignment="1" applyProtection="1">
      <alignment horizontal="center" vertical="center"/>
      <protection hidden="1"/>
    </xf>
    <xf numFmtId="165" fontId="47" fillId="12" borderId="0" xfId="0" applyFont="1" applyFill="1" applyAlignment="1" applyProtection="1">
      <alignment horizontal="center" wrapText="1"/>
      <protection hidden="1"/>
    </xf>
    <xf numFmtId="165" fontId="48" fillId="12" borderId="0" xfId="0" applyFont="1" applyFill="1" applyAlignment="1" applyProtection="1">
      <alignment horizontal="center" wrapText="1"/>
      <protection hidden="1"/>
    </xf>
    <xf numFmtId="165" fontId="0" fillId="12" borderId="53" xfId="0" applyFill="1" applyBorder="1" applyAlignment="1" applyProtection="1">
      <alignment horizontal="center" textRotation="90"/>
      <protection hidden="1"/>
    </xf>
    <xf numFmtId="165" fontId="0" fillId="12" borderId="48" xfId="0" applyFill="1" applyBorder="1" applyAlignment="1" applyProtection="1">
      <alignment horizontal="center" textRotation="90"/>
      <protection hidden="1"/>
    </xf>
    <xf numFmtId="165" fontId="0" fillId="12" borderId="54" xfId="0" applyFill="1" applyBorder="1" applyAlignment="1" applyProtection="1">
      <alignment horizontal="center" textRotation="90"/>
      <protection hidden="1"/>
    </xf>
    <xf numFmtId="165" fontId="0" fillId="12" borderId="12" xfId="0" applyFill="1" applyBorder="1" applyAlignment="1" applyProtection="1">
      <alignment horizontal="center"/>
      <protection hidden="1"/>
    </xf>
    <xf numFmtId="165" fontId="0" fillId="12" borderId="13" xfId="0" applyFill="1" applyBorder="1" applyAlignment="1" applyProtection="1">
      <alignment horizontal="center"/>
      <protection hidden="1"/>
    </xf>
    <xf numFmtId="165" fontId="0" fillId="12" borderId="14" xfId="0" applyFill="1" applyBorder="1" applyAlignment="1" applyProtection="1">
      <alignment horizontal="center"/>
      <protection hidden="1"/>
    </xf>
    <xf numFmtId="165" fontId="0" fillId="12" borderId="15" xfId="0" applyFill="1" applyBorder="1" applyAlignment="1" applyProtection="1">
      <alignment horizontal="center"/>
      <protection hidden="1"/>
    </xf>
    <xf numFmtId="165" fontId="0" fillId="12" borderId="1" xfId="0" applyFill="1" applyBorder="1" applyAlignment="1" applyProtection="1">
      <alignment horizontal="center"/>
      <protection hidden="1"/>
    </xf>
    <xf numFmtId="165" fontId="0" fillId="12" borderId="16" xfId="0" applyFill="1" applyBorder="1" applyAlignment="1" applyProtection="1">
      <alignment horizontal="center"/>
      <protection hidden="1"/>
    </xf>
    <xf numFmtId="165" fontId="70" fillId="12" borderId="8" xfId="0" applyFont="1" applyFill="1" applyBorder="1" applyAlignment="1" applyProtection="1">
      <alignment horizontal="center" vertical="center"/>
      <protection hidden="1"/>
    </xf>
    <xf numFmtId="165" fontId="70" fillId="12" borderId="9" xfId="0" applyFont="1" applyFill="1" applyBorder="1" applyAlignment="1" applyProtection="1">
      <alignment horizontal="center" vertical="center"/>
      <protection hidden="1"/>
    </xf>
    <xf numFmtId="165" fontId="70" fillId="12" borderId="10" xfId="0" applyFont="1" applyFill="1" applyBorder="1" applyAlignment="1" applyProtection="1">
      <alignment horizontal="center" vertical="center"/>
      <protection hidden="1"/>
    </xf>
    <xf numFmtId="165" fontId="49" fillId="12" borderId="5" xfId="0" applyFont="1" applyFill="1" applyBorder="1" applyAlignment="1" applyProtection="1">
      <alignment horizontal="center"/>
      <protection hidden="1"/>
    </xf>
    <xf numFmtId="165" fontId="49" fillId="12" borderId="6" xfId="0" applyFont="1" applyFill="1" applyBorder="1" applyAlignment="1" applyProtection="1">
      <alignment horizontal="center"/>
      <protection hidden="1"/>
    </xf>
    <xf numFmtId="165" fontId="49" fillId="12" borderId="7" xfId="0" applyFont="1" applyFill="1" applyBorder="1" applyAlignment="1" applyProtection="1">
      <alignment horizontal="center"/>
      <protection hidden="1"/>
    </xf>
    <xf numFmtId="165" fontId="10" fillId="5" borderId="8" xfId="0" applyFont="1" applyFill="1" applyBorder="1" applyAlignment="1">
      <alignment horizontal="center" vertical="center"/>
    </xf>
    <xf numFmtId="165" fontId="10" fillId="5" borderId="9" xfId="0" applyFont="1" applyFill="1" applyBorder="1" applyAlignment="1">
      <alignment horizontal="center" vertical="center"/>
    </xf>
    <xf numFmtId="165" fontId="10" fillId="5" borderId="10" xfId="0" applyFont="1" applyFill="1" applyBorder="1" applyAlignment="1">
      <alignment horizontal="center" vertical="center"/>
    </xf>
    <xf numFmtId="165" fontId="9" fillId="11" borderId="8" xfId="0" applyFont="1" applyFill="1" applyBorder="1" applyAlignment="1">
      <alignment horizontal="center"/>
    </xf>
    <xf numFmtId="165" fontId="9" fillId="11" borderId="9" xfId="0" applyFont="1" applyFill="1" applyBorder="1" applyAlignment="1">
      <alignment horizontal="center"/>
    </xf>
    <xf numFmtId="165" fontId="9" fillId="11" borderId="10" xfId="0" applyFont="1" applyFill="1" applyBorder="1" applyAlignment="1">
      <alignment horizontal="center"/>
    </xf>
    <xf numFmtId="164" fontId="9" fillId="26" borderId="11" xfId="4" applyNumberFormat="1" applyFont="1" applyFill="1" applyBorder="1" applyAlignment="1">
      <alignment horizontal="center" vertical="center" wrapText="1"/>
    </xf>
    <xf numFmtId="164" fontId="9" fillId="26" borderId="29" xfId="4" applyNumberFormat="1" applyFont="1" applyFill="1" applyBorder="1" applyAlignment="1">
      <alignment horizontal="center" vertical="center" wrapText="1"/>
    </xf>
    <xf numFmtId="164" fontId="9" fillId="26" borderId="11" xfId="4" applyNumberFormat="1" applyFont="1" applyFill="1" applyBorder="1" applyAlignment="1">
      <alignment horizontal="center" vertical="center" wrapText="1" shrinkToFit="1"/>
    </xf>
    <xf numFmtId="164" fontId="9" fillId="26" borderId="26" xfId="4" applyNumberFormat="1" applyFont="1" applyFill="1" applyBorder="1" applyAlignment="1">
      <alignment horizontal="center" vertical="center" wrapText="1" shrinkToFit="1"/>
    </xf>
    <xf numFmtId="164" fontId="9" fillId="22" borderId="11" xfId="4" applyNumberFormat="1" applyFont="1" applyFill="1" applyBorder="1" applyAlignment="1">
      <alignment horizontal="center" vertical="center" wrapText="1" shrinkToFit="1"/>
    </xf>
    <xf numFmtId="164" fontId="9" fillId="22" borderId="26" xfId="4" applyNumberFormat="1" applyFont="1" applyFill="1" applyBorder="1" applyAlignment="1">
      <alignment horizontal="center" vertical="center" wrapText="1" shrinkToFit="1"/>
    </xf>
    <xf numFmtId="164" fontId="47" fillId="26" borderId="8" xfId="4" applyNumberFormat="1" applyFont="1" applyFill="1" applyBorder="1" applyAlignment="1">
      <alignment horizontal="center" vertical="center" wrapText="1"/>
    </xf>
    <xf numFmtId="164" fontId="47" fillId="26" borderId="9" xfId="4" applyNumberFormat="1" applyFont="1" applyFill="1" applyBorder="1" applyAlignment="1">
      <alignment horizontal="center" vertical="center" wrapText="1"/>
    </xf>
    <xf numFmtId="164" fontId="47" fillId="26" borderId="10" xfId="4" applyNumberFormat="1" applyFont="1" applyFill="1" applyBorder="1" applyAlignment="1">
      <alignment horizontal="center" vertical="center" wrapText="1"/>
    </xf>
    <xf numFmtId="165" fontId="10" fillId="16" borderId="8" xfId="0" applyFont="1" applyFill="1" applyBorder="1" applyAlignment="1">
      <alignment horizontal="center" vertical="center" wrapText="1" shrinkToFit="1"/>
    </xf>
    <xf numFmtId="165" fontId="10" fillId="16" borderId="9" xfId="0" applyFont="1" applyFill="1" applyBorder="1" applyAlignment="1">
      <alignment horizontal="center" vertical="center" wrapText="1" shrinkToFit="1"/>
    </xf>
    <xf numFmtId="165" fontId="10" fillId="16" borderId="10" xfId="0" applyFont="1" applyFill="1" applyBorder="1" applyAlignment="1">
      <alignment horizontal="center" vertical="center" wrapText="1" shrinkToFit="1"/>
    </xf>
    <xf numFmtId="165" fontId="9" fillId="26" borderId="2" xfId="0" applyFont="1" applyFill="1" applyBorder="1" applyAlignment="1">
      <alignment horizontal="center" vertical="center" wrapText="1" shrinkToFit="1"/>
    </xf>
    <xf numFmtId="165" fontId="9" fillId="26" borderId="3" xfId="0" applyFont="1" applyFill="1" applyBorder="1" applyAlignment="1">
      <alignment horizontal="center" vertical="center" wrapText="1" shrinkToFit="1"/>
    </xf>
    <xf numFmtId="165" fontId="9" fillId="26" borderId="4" xfId="0" applyFont="1" applyFill="1" applyBorder="1" applyAlignment="1">
      <alignment horizontal="center" vertical="center" wrapText="1" shrinkToFit="1"/>
    </xf>
    <xf numFmtId="165" fontId="9" fillId="26" borderId="27" xfId="0" applyFont="1" applyFill="1" applyBorder="1" applyAlignment="1">
      <alignment horizontal="center" vertical="center" wrapText="1" shrinkToFit="1"/>
    </xf>
    <xf numFmtId="165" fontId="9" fillId="26" borderId="0" xfId="0" applyFont="1" applyFill="1" applyBorder="1" applyAlignment="1">
      <alignment horizontal="center" vertical="center" wrapText="1" shrinkToFit="1"/>
    </xf>
    <xf numFmtId="165" fontId="9" fillId="26" borderId="28" xfId="0" applyFont="1" applyFill="1" applyBorder="1" applyAlignment="1">
      <alignment horizontal="center" vertical="center" wrapText="1" shrinkToFit="1"/>
    </xf>
    <xf numFmtId="165" fontId="9" fillId="26" borderId="5" xfId="0" applyFont="1" applyFill="1" applyBorder="1" applyAlignment="1">
      <alignment horizontal="center" vertical="center" wrapText="1" shrinkToFit="1"/>
    </xf>
    <xf numFmtId="165" fontId="9" fillId="26" borderId="6" xfId="0" applyFont="1" applyFill="1" applyBorder="1" applyAlignment="1">
      <alignment horizontal="center" vertical="center" wrapText="1" shrinkToFit="1"/>
    </xf>
    <xf numFmtId="165" fontId="9" fillId="26" borderId="7" xfId="0" applyFont="1" applyFill="1" applyBorder="1" applyAlignment="1">
      <alignment horizontal="center" vertical="center" wrapText="1" shrinkToFit="1"/>
    </xf>
    <xf numFmtId="3" fontId="9" fillId="26" borderId="2" xfId="0" applyNumberFormat="1" applyFont="1" applyFill="1" applyBorder="1" applyAlignment="1">
      <alignment horizontal="center" vertical="center"/>
    </xf>
    <xf numFmtId="3" fontId="9" fillId="26" borderId="3" xfId="0" applyNumberFormat="1" applyFont="1" applyFill="1" applyBorder="1" applyAlignment="1">
      <alignment horizontal="center" vertical="center"/>
    </xf>
    <xf numFmtId="3" fontId="9" fillId="26" borderId="4" xfId="0" applyNumberFormat="1" applyFont="1" applyFill="1" applyBorder="1" applyAlignment="1">
      <alignment horizontal="center" vertical="center"/>
    </xf>
    <xf numFmtId="3" fontId="9" fillId="26" borderId="5" xfId="0" applyNumberFormat="1" applyFont="1" applyFill="1" applyBorder="1" applyAlignment="1">
      <alignment horizontal="center" vertical="center"/>
    </xf>
    <xf numFmtId="3" fontId="9" fillId="26" borderId="6" xfId="0" applyNumberFormat="1" applyFont="1" applyFill="1" applyBorder="1" applyAlignment="1">
      <alignment horizontal="center" vertical="center"/>
    </xf>
    <xf numFmtId="3" fontId="9" fillId="26" borderId="7" xfId="0" applyNumberFormat="1" applyFont="1" applyFill="1" applyBorder="1" applyAlignment="1">
      <alignment horizontal="center" vertical="center"/>
    </xf>
    <xf numFmtId="3" fontId="9" fillId="26" borderId="11" xfId="0" applyNumberFormat="1" applyFont="1" applyFill="1" applyBorder="1" applyAlignment="1">
      <alignment horizontal="center" vertical="center" wrapText="1"/>
    </xf>
    <xf numFmtId="3" fontId="9" fillId="26" borderId="26" xfId="0" applyNumberFormat="1" applyFont="1" applyFill="1" applyBorder="1" applyAlignment="1">
      <alignment horizontal="center" vertical="center" wrapText="1"/>
    </xf>
    <xf numFmtId="3" fontId="9" fillId="26" borderId="29" xfId="0" applyNumberFormat="1" applyFont="1" applyFill="1" applyBorder="1" applyAlignment="1">
      <alignment horizontal="center" vertical="center" wrapText="1"/>
    </xf>
    <xf numFmtId="164" fontId="9" fillId="26" borderId="26" xfId="4" applyNumberFormat="1" applyFont="1" applyFill="1" applyBorder="1" applyAlignment="1">
      <alignment horizontal="center" vertical="center" wrapText="1"/>
    </xf>
    <xf numFmtId="164" fontId="9" fillId="22" borderId="11" xfId="4" applyNumberFormat="1" applyFont="1" applyFill="1" applyBorder="1" applyAlignment="1">
      <alignment horizontal="center" vertical="center" wrapText="1"/>
    </xf>
    <xf numFmtId="164" fontId="9" fillId="22" borderId="26" xfId="4" applyNumberFormat="1" applyFont="1" applyFill="1" applyBorder="1" applyAlignment="1">
      <alignment horizontal="center" vertical="center" wrapText="1"/>
    </xf>
    <xf numFmtId="164" fontId="17" fillId="22" borderId="11" xfId="4" applyNumberFormat="1" applyFont="1" applyFill="1" applyBorder="1" applyAlignment="1">
      <alignment horizontal="center" vertical="center" wrapText="1"/>
    </xf>
    <xf numFmtId="164" fontId="17" fillId="22" borderId="26" xfId="4" applyNumberFormat="1" applyFont="1" applyFill="1" applyBorder="1" applyAlignment="1">
      <alignment horizontal="center" vertical="center" wrapText="1"/>
    </xf>
    <xf numFmtId="165" fontId="9" fillId="5" borderId="8" xfId="0" applyFont="1" applyFill="1" applyBorder="1" applyAlignment="1">
      <alignment horizontal="center" vertical="center"/>
    </xf>
    <xf numFmtId="165" fontId="9" fillId="5" borderId="9" xfId="0" applyFont="1" applyFill="1" applyBorder="1" applyAlignment="1">
      <alignment horizontal="center" vertical="center"/>
    </xf>
    <xf numFmtId="165" fontId="9" fillId="5" borderId="10" xfId="0" applyFont="1" applyFill="1" applyBorder="1" applyAlignment="1">
      <alignment horizontal="center" vertical="center"/>
    </xf>
    <xf numFmtId="165" fontId="32" fillId="5" borderId="8" xfId="0" applyFont="1" applyFill="1" applyBorder="1" applyAlignment="1">
      <alignment horizontal="center" vertical="center"/>
    </xf>
    <xf numFmtId="165" fontId="32" fillId="5" borderId="9" xfId="0" applyFont="1" applyFill="1" applyBorder="1" applyAlignment="1">
      <alignment horizontal="center" vertical="center"/>
    </xf>
    <xf numFmtId="165" fontId="32" fillId="5" borderId="10" xfId="0" applyFont="1" applyFill="1" applyBorder="1" applyAlignment="1">
      <alignment horizontal="center" vertical="center"/>
    </xf>
    <xf numFmtId="165" fontId="10" fillId="11" borderId="8" xfId="0" applyFont="1" applyFill="1" applyBorder="1" applyAlignment="1">
      <alignment horizontal="center"/>
    </xf>
    <xf numFmtId="165" fontId="10" fillId="11" borderId="9" xfId="0" applyFont="1" applyFill="1" applyBorder="1" applyAlignment="1">
      <alignment horizontal="center"/>
    </xf>
    <xf numFmtId="165" fontId="10" fillId="11" borderId="10" xfId="0" applyFont="1" applyFill="1" applyBorder="1" applyAlignment="1">
      <alignment horizontal="center"/>
    </xf>
    <xf numFmtId="164" fontId="9" fillId="2" borderId="11" xfId="4" applyNumberFormat="1" applyFont="1" applyFill="1" applyBorder="1" applyAlignment="1">
      <alignment horizontal="center" vertical="center" wrapText="1" shrinkToFit="1"/>
    </xf>
    <xf numFmtId="164" fontId="9" fillId="2" borderId="26" xfId="4" applyNumberFormat="1" applyFont="1" applyFill="1" applyBorder="1" applyAlignment="1">
      <alignment horizontal="center" vertical="center" wrapText="1" shrinkToFit="1"/>
    </xf>
    <xf numFmtId="165" fontId="9" fillId="11" borderId="3" xfId="0" applyFont="1" applyFill="1" applyBorder="1" applyAlignment="1">
      <alignment horizontal="center"/>
    </xf>
    <xf numFmtId="165" fontId="9" fillId="11" borderId="4" xfId="0" applyFont="1" applyFill="1" applyBorder="1" applyAlignment="1">
      <alignment horizontal="center"/>
    </xf>
    <xf numFmtId="164" fontId="47" fillId="2" borderId="8" xfId="4" applyNumberFormat="1" applyFont="1" applyFill="1" applyBorder="1" applyAlignment="1">
      <alignment horizontal="center" vertical="center" wrapText="1"/>
    </xf>
    <xf numFmtId="164" fontId="47" fillId="2" borderId="9" xfId="4" applyNumberFormat="1" applyFont="1" applyFill="1" applyBorder="1" applyAlignment="1">
      <alignment horizontal="center" vertical="center" wrapText="1"/>
    </xf>
    <xf numFmtId="164" fontId="47" fillId="2" borderId="10" xfId="4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/>
    </xf>
    <xf numFmtId="3" fontId="9" fillId="2" borderId="3" xfId="0" applyNumberFormat="1" applyFont="1" applyFill="1" applyBorder="1" applyAlignment="1">
      <alignment horizontal="center" vertical="center"/>
    </xf>
    <xf numFmtId="3" fontId="9" fillId="2" borderId="4" xfId="0" applyNumberFormat="1" applyFont="1" applyFill="1" applyBorder="1" applyAlignment="1">
      <alignment horizontal="center" vertical="center"/>
    </xf>
    <xf numFmtId="3" fontId="9" fillId="2" borderId="5" xfId="0" applyNumberFormat="1" applyFont="1" applyFill="1" applyBorder="1" applyAlignment="1">
      <alignment horizontal="center" vertical="center"/>
    </xf>
    <xf numFmtId="3" fontId="9" fillId="2" borderId="6" xfId="0" applyNumberFormat="1" applyFont="1" applyFill="1" applyBorder="1" applyAlignment="1">
      <alignment horizontal="center" vertical="center"/>
    </xf>
    <xf numFmtId="3" fontId="9" fillId="2" borderId="7" xfId="0" applyNumberFormat="1" applyFont="1" applyFill="1" applyBorder="1" applyAlignment="1">
      <alignment horizontal="center" vertical="center"/>
    </xf>
    <xf numFmtId="165" fontId="9" fillId="2" borderId="2" xfId="0" applyFont="1" applyFill="1" applyBorder="1" applyAlignment="1">
      <alignment horizontal="center" vertical="center" wrapText="1" shrinkToFit="1"/>
    </xf>
    <xf numFmtId="165" fontId="9" fillId="2" borderId="3" xfId="0" applyFont="1" applyFill="1" applyBorder="1" applyAlignment="1">
      <alignment horizontal="center" vertical="center" wrapText="1" shrinkToFit="1"/>
    </xf>
    <xf numFmtId="165" fontId="9" fillId="2" borderId="4" xfId="0" applyFont="1" applyFill="1" applyBorder="1" applyAlignment="1">
      <alignment horizontal="center" vertical="center" wrapText="1" shrinkToFit="1"/>
    </xf>
    <xf numFmtId="165" fontId="9" fillId="2" borderId="27" xfId="0" applyFont="1" applyFill="1" applyBorder="1" applyAlignment="1">
      <alignment horizontal="center" vertical="center" wrapText="1" shrinkToFit="1"/>
    </xf>
    <xf numFmtId="165" fontId="9" fillId="2" borderId="0" xfId="0" applyFont="1" applyFill="1" applyBorder="1" applyAlignment="1">
      <alignment horizontal="center" vertical="center" wrapText="1" shrinkToFit="1"/>
    </xf>
    <xf numFmtId="165" fontId="9" fillId="2" borderId="28" xfId="0" applyFont="1" applyFill="1" applyBorder="1" applyAlignment="1">
      <alignment horizontal="center" vertical="center" wrapText="1" shrinkToFit="1"/>
    </xf>
    <xf numFmtId="165" fontId="9" fillId="2" borderId="5" xfId="0" applyFont="1" applyFill="1" applyBorder="1" applyAlignment="1">
      <alignment horizontal="center" vertical="center" wrapText="1" shrinkToFit="1"/>
    </xf>
    <xf numFmtId="165" fontId="9" fillId="2" borderId="6" xfId="0" applyFont="1" applyFill="1" applyBorder="1" applyAlignment="1">
      <alignment horizontal="center" vertical="center" wrapText="1" shrinkToFit="1"/>
    </xf>
    <xf numFmtId="165" fontId="9" fillId="2" borderId="7" xfId="0" applyFont="1" applyFill="1" applyBorder="1" applyAlignment="1">
      <alignment horizontal="center" vertical="center" wrapText="1" shrinkToFit="1"/>
    </xf>
    <xf numFmtId="3" fontId="9" fillId="2" borderId="11" xfId="0" applyNumberFormat="1" applyFont="1" applyFill="1" applyBorder="1" applyAlignment="1">
      <alignment horizontal="center" vertical="center" wrapText="1"/>
    </xf>
    <xf numFmtId="3" fontId="9" fillId="2" borderId="26" xfId="0" applyNumberFormat="1" applyFont="1" applyFill="1" applyBorder="1" applyAlignment="1">
      <alignment horizontal="center" vertical="center" wrapText="1"/>
    </xf>
    <xf numFmtId="3" fontId="9" fillId="2" borderId="29" xfId="0" applyNumberFormat="1" applyFont="1" applyFill="1" applyBorder="1" applyAlignment="1">
      <alignment horizontal="center" vertical="center" wrapText="1"/>
    </xf>
    <xf numFmtId="164" fontId="9" fillId="2" borderId="11" xfId="4" applyNumberFormat="1" applyFont="1" applyFill="1" applyBorder="1" applyAlignment="1">
      <alignment horizontal="center" vertical="center" wrapText="1"/>
    </xf>
    <xf numFmtId="164" fontId="9" fillId="2" borderId="26" xfId="4" applyNumberFormat="1" applyFont="1" applyFill="1" applyBorder="1" applyAlignment="1">
      <alignment horizontal="center" vertical="center" wrapText="1"/>
    </xf>
    <xf numFmtId="165" fontId="10" fillId="5" borderId="6" xfId="0" applyFont="1" applyFill="1" applyBorder="1" applyAlignment="1">
      <alignment horizontal="center" vertical="center"/>
    </xf>
    <xf numFmtId="165" fontId="10" fillId="5" borderId="7" xfId="0" applyFont="1" applyFill="1" applyBorder="1" applyAlignment="1">
      <alignment horizontal="center" vertical="center"/>
    </xf>
    <xf numFmtId="165" fontId="9" fillId="5" borderId="6" xfId="0" applyFont="1" applyFill="1" applyBorder="1" applyAlignment="1">
      <alignment horizontal="center" vertical="center"/>
    </xf>
    <xf numFmtId="165" fontId="9" fillId="5" borderId="7" xfId="0" applyFont="1" applyFill="1" applyBorder="1" applyAlignment="1">
      <alignment horizontal="center" vertical="center"/>
    </xf>
    <xf numFmtId="165" fontId="9" fillId="5" borderId="5" xfId="0" applyFont="1" applyFill="1" applyBorder="1" applyAlignment="1">
      <alignment horizontal="center" vertical="center"/>
    </xf>
    <xf numFmtId="165" fontId="9" fillId="11" borderId="8" xfId="0" applyFont="1" applyFill="1" applyBorder="1" applyAlignment="1">
      <alignment horizontal="center" wrapText="1"/>
    </xf>
    <xf numFmtId="165" fontId="9" fillId="11" borderId="9" xfId="0" applyFont="1" applyFill="1" applyBorder="1" applyAlignment="1">
      <alignment horizontal="center" wrapText="1"/>
    </xf>
    <xf numFmtId="165" fontId="9" fillId="11" borderId="10" xfId="0" applyFont="1" applyFill="1" applyBorder="1" applyAlignment="1">
      <alignment horizontal="center" wrapText="1"/>
    </xf>
    <xf numFmtId="165" fontId="9" fillId="46" borderId="2" xfId="0" applyFont="1" applyFill="1" applyBorder="1" applyAlignment="1">
      <alignment horizontal="center" vertical="center" wrapText="1" shrinkToFit="1"/>
    </xf>
    <xf numFmtId="165" fontId="9" fillId="46" borderId="3" xfId="0" applyFont="1" applyFill="1" applyBorder="1" applyAlignment="1">
      <alignment horizontal="center" vertical="center" wrapText="1" shrinkToFit="1"/>
    </xf>
    <xf numFmtId="165" fontId="9" fillId="46" borderId="4" xfId="0" applyFont="1" applyFill="1" applyBorder="1" applyAlignment="1">
      <alignment horizontal="center" vertical="center" wrapText="1" shrinkToFit="1"/>
    </xf>
    <xf numFmtId="165" fontId="9" fillId="46" borderId="27" xfId="0" applyFont="1" applyFill="1" applyBorder="1" applyAlignment="1">
      <alignment horizontal="center" vertical="center" wrapText="1" shrinkToFit="1"/>
    </xf>
    <xf numFmtId="165" fontId="9" fillId="46" borderId="0" xfId="0" applyFont="1" applyFill="1" applyAlignment="1">
      <alignment horizontal="center" vertical="center" wrapText="1" shrinkToFit="1"/>
    </xf>
    <xf numFmtId="165" fontId="9" fillId="46" borderId="28" xfId="0" applyFont="1" applyFill="1" applyBorder="1" applyAlignment="1">
      <alignment horizontal="center" vertical="center" wrapText="1" shrinkToFit="1"/>
    </xf>
    <xf numFmtId="165" fontId="9" fillId="46" borderId="5" xfId="0" applyFont="1" applyFill="1" applyBorder="1" applyAlignment="1">
      <alignment horizontal="center" vertical="center" wrapText="1" shrinkToFit="1"/>
    </xf>
    <xf numFmtId="165" fontId="9" fillId="46" borderId="6" xfId="0" applyFont="1" applyFill="1" applyBorder="1" applyAlignment="1">
      <alignment horizontal="center" vertical="center" wrapText="1" shrinkToFit="1"/>
    </xf>
    <xf numFmtId="165" fontId="9" fillId="46" borderId="7" xfId="0" applyFont="1" applyFill="1" applyBorder="1" applyAlignment="1">
      <alignment horizontal="center" vertical="center" wrapText="1" shrinkToFit="1"/>
    </xf>
    <xf numFmtId="3" fontId="9" fillId="46" borderId="2" xfId="0" applyNumberFormat="1" applyFont="1" applyFill="1" applyBorder="1" applyAlignment="1">
      <alignment horizontal="center" vertical="center"/>
    </xf>
    <xf numFmtId="3" fontId="9" fillId="46" borderId="3" xfId="0" applyNumberFormat="1" applyFont="1" applyFill="1" applyBorder="1" applyAlignment="1">
      <alignment horizontal="center" vertical="center"/>
    </xf>
    <xf numFmtId="3" fontId="9" fillId="46" borderId="4" xfId="0" applyNumberFormat="1" applyFont="1" applyFill="1" applyBorder="1" applyAlignment="1">
      <alignment horizontal="center" vertical="center"/>
    </xf>
    <xf numFmtId="3" fontId="9" fillId="46" borderId="5" xfId="0" applyNumberFormat="1" applyFont="1" applyFill="1" applyBorder="1" applyAlignment="1">
      <alignment horizontal="center" vertical="center"/>
    </xf>
    <xf numFmtId="3" fontId="9" fillId="46" borderId="6" xfId="0" applyNumberFormat="1" applyFont="1" applyFill="1" applyBorder="1" applyAlignment="1">
      <alignment horizontal="center" vertical="center"/>
    </xf>
    <xf numFmtId="3" fontId="9" fillId="46" borderId="7" xfId="0" applyNumberFormat="1" applyFont="1" applyFill="1" applyBorder="1" applyAlignment="1">
      <alignment horizontal="center" vertical="center"/>
    </xf>
    <xf numFmtId="3" fontId="9" fillId="46" borderId="11" xfId="0" applyNumberFormat="1" applyFont="1" applyFill="1" applyBorder="1" applyAlignment="1">
      <alignment horizontal="center" vertical="center" wrapText="1"/>
    </xf>
    <xf numFmtId="3" fontId="9" fillId="46" borderId="26" xfId="0" applyNumberFormat="1" applyFont="1" applyFill="1" applyBorder="1" applyAlignment="1">
      <alignment horizontal="center" vertical="center" wrapText="1"/>
    </xf>
    <xf numFmtId="3" fontId="9" fillId="46" borderId="29" xfId="0" applyNumberFormat="1" applyFont="1" applyFill="1" applyBorder="1" applyAlignment="1">
      <alignment horizontal="center" vertical="center" wrapText="1"/>
    </xf>
    <xf numFmtId="164" fontId="9" fillId="46" borderId="11" xfId="4" applyNumberFormat="1" applyFont="1" applyFill="1" applyBorder="1" applyAlignment="1">
      <alignment horizontal="center" vertical="center" wrapText="1"/>
    </xf>
    <xf numFmtId="164" fontId="9" fillId="46" borderId="26" xfId="4" applyNumberFormat="1" applyFont="1" applyFill="1" applyBorder="1" applyAlignment="1">
      <alignment horizontal="center" vertical="center" wrapText="1"/>
    </xf>
    <xf numFmtId="164" fontId="9" fillId="46" borderId="11" xfId="4" applyNumberFormat="1" applyFont="1" applyFill="1" applyBorder="1" applyAlignment="1">
      <alignment horizontal="center" vertical="center" wrapText="1" shrinkToFit="1"/>
    </xf>
    <xf numFmtId="164" fontId="9" fillId="46" borderId="26" xfId="4" applyNumberFormat="1" applyFont="1" applyFill="1" applyBorder="1" applyAlignment="1">
      <alignment horizontal="center" vertical="center" wrapText="1" shrinkToFit="1"/>
    </xf>
    <xf numFmtId="164" fontId="47" fillId="46" borderId="8" xfId="4" applyNumberFormat="1" applyFont="1" applyFill="1" applyBorder="1" applyAlignment="1">
      <alignment horizontal="center" vertical="center" wrapText="1"/>
    </xf>
    <xf numFmtId="164" fontId="47" fillId="46" borderId="9" xfId="4" applyNumberFormat="1" applyFont="1" applyFill="1" applyBorder="1" applyAlignment="1">
      <alignment horizontal="center" vertical="center" wrapText="1"/>
    </xf>
    <xf numFmtId="164" fontId="47" fillId="46" borderId="10" xfId="4" applyNumberFormat="1" applyFont="1" applyFill="1" applyBorder="1" applyAlignment="1">
      <alignment horizontal="center" vertical="center" wrapText="1"/>
    </xf>
    <xf numFmtId="165" fontId="9" fillId="11" borderId="3" xfId="0" applyFont="1" applyFill="1" applyBorder="1" applyAlignment="1">
      <alignment horizontal="center" wrapText="1"/>
    </xf>
    <xf numFmtId="165" fontId="9" fillId="11" borderId="4" xfId="0" applyFont="1" applyFill="1" applyBorder="1" applyAlignment="1">
      <alignment horizontal="center" wrapText="1"/>
    </xf>
    <xf numFmtId="165" fontId="10" fillId="5" borderId="2" xfId="0" applyFont="1" applyFill="1" applyBorder="1" applyAlignment="1">
      <alignment horizontal="center" vertical="center"/>
    </xf>
    <xf numFmtId="165" fontId="10" fillId="5" borderId="3" xfId="0" applyFont="1" applyFill="1" applyBorder="1" applyAlignment="1">
      <alignment horizontal="center" vertical="center"/>
    </xf>
    <xf numFmtId="165" fontId="10" fillId="5" borderId="4" xfId="0" applyFont="1" applyFill="1" applyBorder="1" applyAlignment="1">
      <alignment horizontal="center" vertical="center"/>
    </xf>
    <xf numFmtId="165" fontId="10" fillId="5" borderId="5" xfId="0" applyFont="1" applyFill="1" applyBorder="1" applyAlignment="1">
      <alignment horizontal="center" vertical="center"/>
    </xf>
    <xf numFmtId="165" fontId="9" fillId="20" borderId="2" xfId="0" applyFont="1" applyFill="1" applyBorder="1" applyAlignment="1">
      <alignment horizontal="center" vertical="center" wrapText="1" shrinkToFit="1"/>
    </xf>
    <xf numFmtId="165" fontId="9" fillId="20" borderId="3" xfId="0" applyFont="1" applyFill="1" applyBorder="1" applyAlignment="1">
      <alignment horizontal="center" vertical="center" wrapText="1" shrinkToFit="1"/>
    </xf>
    <xf numFmtId="165" fontId="9" fillId="20" borderId="4" xfId="0" applyFont="1" applyFill="1" applyBorder="1" applyAlignment="1">
      <alignment horizontal="center" vertical="center" wrapText="1" shrinkToFit="1"/>
    </xf>
    <xf numFmtId="165" fontId="9" fillId="20" borderId="27" xfId="0" applyFont="1" applyFill="1" applyBorder="1" applyAlignment="1">
      <alignment horizontal="center" vertical="center" wrapText="1" shrinkToFit="1"/>
    </xf>
    <xf numFmtId="165" fontId="9" fillId="20" borderId="0" xfId="0" applyFont="1" applyFill="1" applyBorder="1" applyAlignment="1">
      <alignment horizontal="center" vertical="center" wrapText="1" shrinkToFit="1"/>
    </xf>
    <xf numFmtId="165" fontId="9" fillId="20" borderId="28" xfId="0" applyFont="1" applyFill="1" applyBorder="1" applyAlignment="1">
      <alignment horizontal="center" vertical="center" wrapText="1" shrinkToFit="1"/>
    </xf>
    <xf numFmtId="165" fontId="9" fillId="20" borderId="5" xfId="0" applyFont="1" applyFill="1" applyBorder="1" applyAlignment="1">
      <alignment horizontal="center" vertical="center" wrapText="1" shrinkToFit="1"/>
    </xf>
    <xf numFmtId="165" fontId="9" fillId="20" borderId="6" xfId="0" applyFont="1" applyFill="1" applyBorder="1" applyAlignment="1">
      <alignment horizontal="center" vertical="center" wrapText="1" shrinkToFit="1"/>
    </xf>
    <xf numFmtId="165" fontId="9" fillId="20" borderId="7" xfId="0" applyFont="1" applyFill="1" applyBorder="1" applyAlignment="1">
      <alignment horizontal="center" vertical="center" wrapText="1" shrinkToFit="1"/>
    </xf>
    <xf numFmtId="3" fontId="9" fillId="20" borderId="2" xfId="0" applyNumberFormat="1" applyFont="1" applyFill="1" applyBorder="1" applyAlignment="1">
      <alignment horizontal="center" vertical="center"/>
    </xf>
    <xf numFmtId="3" fontId="9" fillId="20" borderId="3" xfId="0" applyNumberFormat="1" applyFont="1" applyFill="1" applyBorder="1" applyAlignment="1">
      <alignment horizontal="center" vertical="center"/>
    </xf>
    <xf numFmtId="3" fontId="9" fillId="20" borderId="4" xfId="0" applyNumberFormat="1" applyFont="1" applyFill="1" applyBorder="1" applyAlignment="1">
      <alignment horizontal="center" vertical="center"/>
    </xf>
    <xf numFmtId="3" fontId="9" fillId="20" borderId="5" xfId="0" applyNumberFormat="1" applyFont="1" applyFill="1" applyBorder="1" applyAlignment="1">
      <alignment horizontal="center" vertical="center"/>
    </xf>
    <xf numFmtId="3" fontId="9" fillId="20" borderId="6" xfId="0" applyNumberFormat="1" applyFont="1" applyFill="1" applyBorder="1" applyAlignment="1">
      <alignment horizontal="center" vertical="center"/>
    </xf>
    <xf numFmtId="3" fontId="9" fillId="20" borderId="7" xfId="0" applyNumberFormat="1" applyFont="1" applyFill="1" applyBorder="1" applyAlignment="1">
      <alignment horizontal="center" vertical="center"/>
    </xf>
    <xf numFmtId="3" fontId="9" fillId="20" borderId="11" xfId="0" applyNumberFormat="1" applyFont="1" applyFill="1" applyBorder="1" applyAlignment="1">
      <alignment horizontal="center" vertical="center" wrapText="1"/>
    </xf>
    <xf numFmtId="3" fontId="9" fillId="20" borderId="26" xfId="0" applyNumberFormat="1" applyFont="1" applyFill="1" applyBorder="1" applyAlignment="1">
      <alignment horizontal="center" vertical="center" wrapText="1"/>
    </xf>
    <xf numFmtId="3" fontId="9" fillId="20" borderId="29" xfId="0" applyNumberFormat="1" applyFont="1" applyFill="1" applyBorder="1" applyAlignment="1">
      <alignment horizontal="center" vertical="center" wrapText="1"/>
    </xf>
    <xf numFmtId="164" fontId="17" fillId="20" borderId="11" xfId="4" applyNumberFormat="1" applyFont="1" applyFill="1" applyBorder="1" applyAlignment="1">
      <alignment horizontal="center" vertical="center" wrapText="1"/>
    </xf>
    <xf numFmtId="164" fontId="17" fillId="20" borderId="29" xfId="4" applyNumberFormat="1" applyFont="1" applyFill="1" applyBorder="1" applyAlignment="1">
      <alignment horizontal="center" vertical="center" wrapText="1"/>
    </xf>
    <xf numFmtId="164" fontId="9" fillId="20" borderId="11" xfId="4" applyNumberFormat="1" applyFont="1" applyFill="1" applyBorder="1" applyAlignment="1">
      <alignment horizontal="center" vertical="center" wrapText="1"/>
    </xf>
    <xf numFmtId="164" fontId="9" fillId="20" borderId="29" xfId="4" applyNumberFormat="1" applyFont="1" applyFill="1" applyBorder="1" applyAlignment="1">
      <alignment horizontal="center" vertical="center" wrapText="1"/>
    </xf>
    <xf numFmtId="164" fontId="9" fillId="20" borderId="11" xfId="4" applyNumberFormat="1" applyFont="1" applyFill="1" applyBorder="1" applyAlignment="1">
      <alignment horizontal="center" vertical="center" wrapText="1" shrinkToFit="1"/>
    </xf>
    <xf numFmtId="164" fontId="9" fillId="20" borderId="29" xfId="4" applyNumberFormat="1" applyFont="1" applyFill="1" applyBorder="1" applyAlignment="1">
      <alignment horizontal="center" vertical="center" wrapText="1" shrinkToFit="1"/>
    </xf>
    <xf numFmtId="164" fontId="47" fillId="20" borderId="8" xfId="4" applyNumberFormat="1" applyFont="1" applyFill="1" applyBorder="1" applyAlignment="1">
      <alignment horizontal="center" vertical="center" wrapText="1"/>
    </xf>
    <xf numFmtId="164" fontId="47" fillId="20" borderId="9" xfId="4" applyNumberFormat="1" applyFont="1" applyFill="1" applyBorder="1" applyAlignment="1">
      <alignment horizontal="center" vertical="center" wrapText="1"/>
    </xf>
    <xf numFmtId="164" fontId="47" fillId="20" borderId="10" xfId="4" applyNumberFormat="1" applyFont="1" applyFill="1" applyBorder="1" applyAlignment="1">
      <alignment horizontal="center" vertical="center" wrapText="1"/>
    </xf>
    <xf numFmtId="165" fontId="9" fillId="24" borderId="2" xfId="0" applyFont="1" applyFill="1" applyBorder="1" applyAlignment="1">
      <alignment horizontal="center" vertical="center" wrapText="1" shrinkToFit="1"/>
    </xf>
    <xf numFmtId="165" fontId="9" fillId="24" borderId="3" xfId="0" applyFont="1" applyFill="1" applyBorder="1" applyAlignment="1">
      <alignment horizontal="center" vertical="center" wrapText="1" shrinkToFit="1"/>
    </xf>
    <xf numFmtId="165" fontId="9" fillId="24" borderId="4" xfId="0" applyFont="1" applyFill="1" applyBorder="1" applyAlignment="1">
      <alignment horizontal="center" vertical="center" wrapText="1" shrinkToFit="1"/>
    </xf>
    <xf numFmtId="165" fontId="9" fillId="24" borderId="27" xfId="0" applyFont="1" applyFill="1" applyBorder="1" applyAlignment="1">
      <alignment horizontal="center" vertical="center" wrapText="1" shrinkToFit="1"/>
    </xf>
    <xf numFmtId="165" fontId="9" fillId="24" borderId="0" xfId="0" applyFont="1" applyFill="1" applyBorder="1" applyAlignment="1">
      <alignment horizontal="center" vertical="center" wrapText="1" shrinkToFit="1"/>
    </xf>
    <xf numFmtId="165" fontId="9" fillId="24" borderId="28" xfId="0" applyFont="1" applyFill="1" applyBorder="1" applyAlignment="1">
      <alignment horizontal="center" vertical="center" wrapText="1" shrinkToFit="1"/>
    </xf>
    <xf numFmtId="165" fontId="9" fillId="24" borderId="5" xfId="0" applyFont="1" applyFill="1" applyBorder="1" applyAlignment="1">
      <alignment horizontal="center" vertical="center" wrapText="1" shrinkToFit="1"/>
    </xf>
    <xf numFmtId="165" fontId="9" fillId="24" borderId="6" xfId="0" applyFont="1" applyFill="1" applyBorder="1" applyAlignment="1">
      <alignment horizontal="center" vertical="center" wrapText="1" shrinkToFit="1"/>
    </xf>
    <xf numFmtId="165" fontId="9" fillId="24" borderId="7" xfId="0" applyFont="1" applyFill="1" applyBorder="1" applyAlignment="1">
      <alignment horizontal="center" vertical="center" wrapText="1" shrinkToFit="1"/>
    </xf>
    <xf numFmtId="3" fontId="9" fillId="24" borderId="2" xfId="0" applyNumberFormat="1" applyFont="1" applyFill="1" applyBorder="1" applyAlignment="1">
      <alignment horizontal="center" vertical="center"/>
    </xf>
    <xf numFmtId="3" fontId="9" fillId="24" borderId="3" xfId="0" applyNumberFormat="1" applyFont="1" applyFill="1" applyBorder="1" applyAlignment="1">
      <alignment horizontal="center" vertical="center"/>
    </xf>
    <xf numFmtId="3" fontId="9" fillId="24" borderId="4" xfId="0" applyNumberFormat="1" applyFont="1" applyFill="1" applyBorder="1" applyAlignment="1">
      <alignment horizontal="center" vertical="center"/>
    </xf>
    <xf numFmtId="3" fontId="9" fillId="24" borderId="5" xfId="0" applyNumberFormat="1" applyFont="1" applyFill="1" applyBorder="1" applyAlignment="1">
      <alignment horizontal="center" vertical="center"/>
    </xf>
    <xf numFmtId="3" fontId="9" fillId="24" borderId="6" xfId="0" applyNumberFormat="1" applyFont="1" applyFill="1" applyBorder="1" applyAlignment="1">
      <alignment horizontal="center" vertical="center"/>
    </xf>
    <xf numFmtId="3" fontId="9" fillId="24" borderId="7" xfId="0" applyNumberFormat="1" applyFont="1" applyFill="1" applyBorder="1" applyAlignment="1">
      <alignment horizontal="center" vertical="center"/>
    </xf>
    <xf numFmtId="3" fontId="9" fillId="24" borderId="11" xfId="0" applyNumberFormat="1" applyFont="1" applyFill="1" applyBorder="1" applyAlignment="1">
      <alignment horizontal="center" vertical="center" wrapText="1"/>
    </xf>
    <xf numFmtId="3" fontId="9" fillId="24" borderId="26" xfId="0" applyNumberFormat="1" applyFont="1" applyFill="1" applyBorder="1" applyAlignment="1">
      <alignment horizontal="center" vertical="center" wrapText="1"/>
    </xf>
    <xf numFmtId="3" fontId="9" fillId="24" borderId="29" xfId="0" applyNumberFormat="1" applyFont="1" applyFill="1" applyBorder="1" applyAlignment="1">
      <alignment horizontal="center" vertical="center" wrapText="1"/>
    </xf>
    <xf numFmtId="164" fontId="9" fillId="24" borderId="11" xfId="4" applyNumberFormat="1" applyFont="1" applyFill="1" applyBorder="1" applyAlignment="1">
      <alignment horizontal="center" vertical="center" wrapText="1"/>
    </xf>
    <xf numFmtId="164" fontId="9" fillId="24" borderId="26" xfId="4" applyNumberFormat="1" applyFont="1" applyFill="1" applyBorder="1" applyAlignment="1">
      <alignment horizontal="center" vertical="center" wrapText="1"/>
    </xf>
    <xf numFmtId="164" fontId="47" fillId="21" borderId="8" xfId="4" applyNumberFormat="1" applyFont="1" applyFill="1" applyBorder="1" applyAlignment="1">
      <alignment horizontal="center" vertical="center" wrapText="1"/>
    </xf>
    <xf numFmtId="164" fontId="47" fillId="21" borderId="9" xfId="4" applyNumberFormat="1" applyFont="1" applyFill="1" applyBorder="1" applyAlignment="1">
      <alignment horizontal="center" vertical="center" wrapText="1"/>
    </xf>
    <xf numFmtId="164" fontId="47" fillId="21" borderId="10" xfId="4" applyNumberFormat="1" applyFont="1" applyFill="1" applyBorder="1" applyAlignment="1">
      <alignment horizontal="center" vertical="center" wrapText="1"/>
    </xf>
    <xf numFmtId="165" fontId="9" fillId="21" borderId="2" xfId="0" applyFont="1" applyFill="1" applyBorder="1" applyAlignment="1">
      <alignment horizontal="center" vertical="center" wrapText="1" shrinkToFit="1"/>
    </xf>
    <xf numFmtId="165" fontId="9" fillId="21" borderId="3" xfId="0" applyFont="1" applyFill="1" applyBorder="1" applyAlignment="1">
      <alignment horizontal="center" vertical="center" wrapText="1" shrinkToFit="1"/>
    </xf>
    <xf numFmtId="165" fontId="9" fillId="21" borderId="4" xfId="0" applyFont="1" applyFill="1" applyBorder="1" applyAlignment="1">
      <alignment horizontal="center" vertical="center" wrapText="1" shrinkToFit="1"/>
    </xf>
    <xf numFmtId="165" fontId="9" fillId="21" borderId="27" xfId="0" applyFont="1" applyFill="1" applyBorder="1" applyAlignment="1">
      <alignment horizontal="center" vertical="center" wrapText="1" shrinkToFit="1"/>
    </xf>
    <xf numFmtId="165" fontId="9" fillId="21" borderId="0" xfId="0" applyFont="1" applyFill="1" applyBorder="1" applyAlignment="1">
      <alignment horizontal="center" vertical="center" wrapText="1" shrinkToFit="1"/>
    </xf>
    <xf numFmtId="165" fontId="9" fillId="21" borderId="28" xfId="0" applyFont="1" applyFill="1" applyBorder="1" applyAlignment="1">
      <alignment horizontal="center" vertical="center" wrapText="1" shrinkToFit="1"/>
    </xf>
    <xf numFmtId="165" fontId="9" fillId="21" borderId="5" xfId="0" applyFont="1" applyFill="1" applyBorder="1" applyAlignment="1">
      <alignment horizontal="center" vertical="center" wrapText="1" shrinkToFit="1"/>
    </xf>
    <xf numFmtId="165" fontId="9" fillId="21" borderId="6" xfId="0" applyFont="1" applyFill="1" applyBorder="1" applyAlignment="1">
      <alignment horizontal="center" vertical="center" wrapText="1" shrinkToFit="1"/>
    </xf>
    <xf numFmtId="165" fontId="9" fillId="21" borderId="7" xfId="0" applyFont="1" applyFill="1" applyBorder="1" applyAlignment="1">
      <alignment horizontal="center" vertical="center" wrapText="1" shrinkToFit="1"/>
    </xf>
    <xf numFmtId="3" fontId="9" fillId="21" borderId="2" xfId="0" applyNumberFormat="1" applyFont="1" applyFill="1" applyBorder="1" applyAlignment="1">
      <alignment horizontal="center" vertical="center"/>
    </xf>
    <xf numFmtId="3" fontId="9" fillId="21" borderId="3" xfId="0" applyNumberFormat="1" applyFont="1" applyFill="1" applyBorder="1" applyAlignment="1">
      <alignment horizontal="center" vertical="center"/>
    </xf>
    <xf numFmtId="3" fontId="9" fillId="21" borderId="4" xfId="0" applyNumberFormat="1" applyFont="1" applyFill="1" applyBorder="1" applyAlignment="1">
      <alignment horizontal="center" vertical="center"/>
    </xf>
    <xf numFmtId="3" fontId="9" fillId="21" borderId="5" xfId="0" applyNumberFormat="1" applyFont="1" applyFill="1" applyBorder="1" applyAlignment="1">
      <alignment horizontal="center" vertical="center"/>
    </xf>
    <xf numFmtId="3" fontId="9" fillId="21" borderId="6" xfId="0" applyNumberFormat="1" applyFont="1" applyFill="1" applyBorder="1" applyAlignment="1">
      <alignment horizontal="center" vertical="center"/>
    </xf>
    <xf numFmtId="3" fontId="9" fillId="21" borderId="7" xfId="0" applyNumberFormat="1" applyFont="1" applyFill="1" applyBorder="1" applyAlignment="1">
      <alignment horizontal="center" vertical="center"/>
    </xf>
    <xf numFmtId="3" fontId="9" fillId="21" borderId="11" xfId="0" applyNumberFormat="1" applyFont="1" applyFill="1" applyBorder="1" applyAlignment="1">
      <alignment horizontal="center" vertical="center" wrapText="1"/>
    </xf>
    <xf numFmtId="3" fontId="9" fillId="21" borderId="26" xfId="0" applyNumberFormat="1" applyFont="1" applyFill="1" applyBorder="1" applyAlignment="1">
      <alignment horizontal="center" vertical="center" wrapText="1"/>
    </xf>
    <xf numFmtId="3" fontId="9" fillId="21" borderId="29" xfId="0" applyNumberFormat="1" applyFont="1" applyFill="1" applyBorder="1" applyAlignment="1">
      <alignment horizontal="center" vertical="center" wrapText="1"/>
    </xf>
    <xf numFmtId="164" fontId="9" fillId="21" borderId="11" xfId="4" applyNumberFormat="1" applyFont="1" applyFill="1" applyBorder="1" applyAlignment="1">
      <alignment horizontal="center" vertical="center" wrapText="1"/>
    </xf>
    <xf numFmtId="164" fontId="9" fillId="21" borderId="26" xfId="4" applyNumberFormat="1" applyFont="1" applyFill="1" applyBorder="1" applyAlignment="1">
      <alignment horizontal="center" vertical="center" wrapText="1"/>
    </xf>
    <xf numFmtId="164" fontId="9" fillId="21" borderId="29" xfId="4" applyNumberFormat="1" applyFont="1" applyFill="1" applyBorder="1" applyAlignment="1">
      <alignment horizontal="center" vertical="center" wrapText="1"/>
    </xf>
    <xf numFmtId="164" fontId="9" fillId="45" borderId="11" xfId="4" applyNumberFormat="1" applyFont="1" applyFill="1" applyBorder="1" applyAlignment="1">
      <alignment horizontal="center" vertical="center" wrapText="1" shrinkToFit="1"/>
    </xf>
    <xf numFmtId="164" fontId="9" fillId="45" borderId="26" xfId="4" applyNumberFormat="1" applyFont="1" applyFill="1" applyBorder="1" applyAlignment="1">
      <alignment horizontal="center" vertical="center" wrapText="1" shrinkToFit="1"/>
    </xf>
    <xf numFmtId="164" fontId="47" fillId="45" borderId="8" xfId="4" applyNumberFormat="1" applyFont="1" applyFill="1" applyBorder="1" applyAlignment="1">
      <alignment horizontal="center" vertical="center" wrapText="1"/>
    </xf>
    <xf numFmtId="164" fontId="47" fillId="45" borderId="9" xfId="4" applyNumberFormat="1" applyFont="1" applyFill="1" applyBorder="1" applyAlignment="1">
      <alignment horizontal="center" vertical="center" wrapText="1"/>
    </xf>
    <xf numFmtId="164" fontId="47" fillId="45" borderId="10" xfId="4" applyNumberFormat="1" applyFont="1" applyFill="1" applyBorder="1" applyAlignment="1">
      <alignment horizontal="center" vertical="center" wrapText="1"/>
    </xf>
    <xf numFmtId="165" fontId="9" fillId="45" borderId="2" xfId="0" applyFont="1" applyFill="1" applyBorder="1" applyAlignment="1">
      <alignment horizontal="center" vertical="center" wrapText="1" shrinkToFit="1"/>
    </xf>
    <xf numFmtId="165" fontId="9" fillId="45" borderId="3" xfId="0" applyFont="1" applyFill="1" applyBorder="1" applyAlignment="1">
      <alignment horizontal="center" vertical="center" wrapText="1" shrinkToFit="1"/>
    </xf>
    <xf numFmtId="165" fontId="9" fillId="45" borderId="4" xfId="0" applyFont="1" applyFill="1" applyBorder="1" applyAlignment="1">
      <alignment horizontal="center" vertical="center" wrapText="1" shrinkToFit="1"/>
    </xf>
    <xf numFmtId="165" fontId="9" fillId="45" borderId="27" xfId="0" applyFont="1" applyFill="1" applyBorder="1" applyAlignment="1">
      <alignment horizontal="center" vertical="center" wrapText="1" shrinkToFit="1"/>
    </xf>
    <xf numFmtId="165" fontId="9" fillId="45" borderId="0" xfId="0" applyFont="1" applyFill="1" applyBorder="1" applyAlignment="1">
      <alignment horizontal="center" vertical="center" wrapText="1" shrinkToFit="1"/>
    </xf>
    <xf numFmtId="165" fontId="9" fillId="45" borderId="28" xfId="0" applyFont="1" applyFill="1" applyBorder="1" applyAlignment="1">
      <alignment horizontal="center" vertical="center" wrapText="1" shrinkToFit="1"/>
    </xf>
    <xf numFmtId="165" fontId="9" fillId="45" borderId="5" xfId="0" applyFont="1" applyFill="1" applyBorder="1" applyAlignment="1">
      <alignment horizontal="center" vertical="center" wrapText="1" shrinkToFit="1"/>
    </xf>
    <xf numFmtId="165" fontId="9" fillId="45" borderId="6" xfId="0" applyFont="1" applyFill="1" applyBorder="1" applyAlignment="1">
      <alignment horizontal="center" vertical="center" wrapText="1" shrinkToFit="1"/>
    </xf>
    <xf numFmtId="165" fontId="9" fillId="45" borderId="7" xfId="0" applyFont="1" applyFill="1" applyBorder="1" applyAlignment="1">
      <alignment horizontal="center" vertical="center" wrapText="1" shrinkToFit="1"/>
    </xf>
    <xf numFmtId="3" fontId="9" fillId="45" borderId="2" xfId="0" applyNumberFormat="1" applyFont="1" applyFill="1" applyBorder="1" applyAlignment="1">
      <alignment horizontal="center" vertical="center"/>
    </xf>
    <xf numFmtId="3" fontId="9" fillId="45" borderId="3" xfId="0" applyNumberFormat="1" applyFont="1" applyFill="1" applyBorder="1" applyAlignment="1">
      <alignment horizontal="center" vertical="center"/>
    </xf>
    <xf numFmtId="3" fontId="9" fillId="45" borderId="4" xfId="0" applyNumberFormat="1" applyFont="1" applyFill="1" applyBorder="1" applyAlignment="1">
      <alignment horizontal="center" vertical="center"/>
    </xf>
    <xf numFmtId="3" fontId="9" fillId="45" borderId="5" xfId="0" applyNumberFormat="1" applyFont="1" applyFill="1" applyBorder="1" applyAlignment="1">
      <alignment horizontal="center" vertical="center"/>
    </xf>
    <xf numFmtId="3" fontId="9" fillId="45" borderId="6" xfId="0" applyNumberFormat="1" applyFont="1" applyFill="1" applyBorder="1" applyAlignment="1">
      <alignment horizontal="center" vertical="center"/>
    </xf>
    <xf numFmtId="3" fontId="9" fillId="45" borderId="7" xfId="0" applyNumberFormat="1" applyFont="1" applyFill="1" applyBorder="1" applyAlignment="1">
      <alignment horizontal="center" vertical="center"/>
    </xf>
    <xf numFmtId="3" fontId="9" fillId="45" borderId="11" xfId="0" applyNumberFormat="1" applyFont="1" applyFill="1" applyBorder="1" applyAlignment="1">
      <alignment horizontal="center" vertical="center" wrapText="1"/>
    </xf>
    <xf numFmtId="3" fontId="9" fillId="45" borderId="26" xfId="0" applyNumberFormat="1" applyFont="1" applyFill="1" applyBorder="1" applyAlignment="1">
      <alignment horizontal="center" vertical="center" wrapText="1"/>
    </xf>
    <xf numFmtId="3" fontId="9" fillId="45" borderId="29" xfId="0" applyNumberFormat="1" applyFont="1" applyFill="1" applyBorder="1" applyAlignment="1">
      <alignment horizontal="center" vertical="center" wrapText="1"/>
    </xf>
    <xf numFmtId="164" fontId="9" fillId="45" borderId="11" xfId="4" applyNumberFormat="1" applyFont="1" applyFill="1" applyBorder="1" applyAlignment="1">
      <alignment horizontal="center" vertical="center" wrapText="1"/>
    </xf>
    <xf numFmtId="164" fontId="9" fillId="45" borderId="26" xfId="4" applyNumberFormat="1" applyFont="1" applyFill="1" applyBorder="1" applyAlignment="1">
      <alignment horizontal="center" vertical="center" wrapText="1"/>
    </xf>
    <xf numFmtId="164" fontId="9" fillId="45" borderId="29" xfId="4" applyNumberFormat="1" applyFont="1" applyFill="1" applyBorder="1" applyAlignment="1">
      <alignment horizontal="center" vertical="center" wrapText="1"/>
    </xf>
    <xf numFmtId="1" fontId="47" fillId="40" borderId="8" xfId="1" applyNumberFormat="1" applyFont="1" applyFill="1" applyBorder="1" applyAlignment="1">
      <alignment horizontal="center" vertical="center"/>
    </xf>
    <xf numFmtId="1" fontId="47" fillId="40" borderId="9" xfId="1" applyNumberFormat="1" applyFont="1" applyFill="1" applyBorder="1" applyAlignment="1">
      <alignment horizontal="center" vertical="center"/>
    </xf>
    <xf numFmtId="1" fontId="47" fillId="40" borderId="10" xfId="1" applyNumberFormat="1" applyFont="1" applyFill="1" applyBorder="1" applyAlignment="1">
      <alignment horizontal="center" vertical="center"/>
    </xf>
    <xf numFmtId="165" fontId="9" fillId="40" borderId="11" xfId="0" applyFont="1" applyFill="1" applyBorder="1" applyAlignment="1">
      <alignment horizontal="center" vertical="center"/>
    </xf>
    <xf numFmtId="165" fontId="9" fillId="40" borderId="26" xfId="0" applyFont="1" applyFill="1" applyBorder="1" applyAlignment="1">
      <alignment horizontal="center" vertical="center"/>
    </xf>
    <xf numFmtId="165" fontId="9" fillId="40" borderId="29" xfId="0" applyFont="1" applyFill="1" applyBorder="1" applyAlignment="1">
      <alignment horizontal="center" vertical="center"/>
    </xf>
    <xf numFmtId="0" fontId="9" fillId="40" borderId="11" xfId="0" applyNumberFormat="1" applyFont="1" applyFill="1" applyBorder="1" applyAlignment="1">
      <alignment horizontal="center" vertical="center"/>
    </xf>
    <xf numFmtId="0" fontId="9" fillId="40" borderId="26" xfId="0" applyNumberFormat="1" applyFont="1" applyFill="1" applyBorder="1" applyAlignment="1">
      <alignment horizontal="center" vertical="center"/>
    </xf>
    <xf numFmtId="0" fontId="9" fillId="40" borderId="29" xfId="0" applyNumberFormat="1" applyFont="1" applyFill="1" applyBorder="1" applyAlignment="1">
      <alignment horizontal="center" vertical="center"/>
    </xf>
    <xf numFmtId="0" fontId="9" fillId="40" borderId="8" xfId="0" applyNumberFormat="1" applyFont="1" applyFill="1" applyBorder="1" applyAlignment="1">
      <alignment horizontal="center" vertical="center"/>
    </xf>
    <xf numFmtId="0" fontId="9" fillId="40" borderId="9" xfId="0" applyNumberFormat="1" applyFont="1" applyFill="1" applyBorder="1" applyAlignment="1">
      <alignment horizontal="center" vertical="center"/>
    </xf>
    <xf numFmtId="0" fontId="9" fillId="40" borderId="10" xfId="0" applyNumberFormat="1" applyFont="1" applyFill="1" applyBorder="1" applyAlignment="1">
      <alignment horizontal="center" vertical="center"/>
    </xf>
    <xf numFmtId="165" fontId="9" fillId="6" borderId="11" xfId="0" applyFont="1" applyFill="1" applyBorder="1" applyAlignment="1">
      <alignment horizontal="center" vertical="center"/>
    </xf>
    <xf numFmtId="165" fontId="9" fillId="6" borderId="26" xfId="0" applyFont="1" applyFill="1" applyBorder="1" applyAlignment="1">
      <alignment horizontal="center" vertical="center"/>
    </xf>
    <xf numFmtId="165" fontId="9" fillId="6" borderId="29" xfId="0" applyFont="1" applyFill="1" applyBorder="1" applyAlignment="1">
      <alignment horizontal="center" vertical="center"/>
    </xf>
    <xf numFmtId="0" fontId="9" fillId="6" borderId="11" xfId="0" applyNumberFormat="1" applyFont="1" applyFill="1" applyBorder="1" applyAlignment="1">
      <alignment horizontal="center" vertical="center"/>
    </xf>
    <xf numFmtId="0" fontId="9" fillId="6" borderId="26" xfId="0" applyNumberFormat="1" applyFont="1" applyFill="1" applyBorder="1" applyAlignment="1">
      <alignment horizontal="center" vertical="center"/>
    </xf>
    <xf numFmtId="0" fontId="9" fillId="6" borderId="29" xfId="0" applyNumberFormat="1" applyFont="1" applyFill="1" applyBorder="1" applyAlignment="1">
      <alignment horizontal="center" vertical="center"/>
    </xf>
    <xf numFmtId="0" fontId="9" fillId="6" borderId="8" xfId="0" applyNumberFormat="1" applyFont="1" applyFill="1" applyBorder="1" applyAlignment="1">
      <alignment horizontal="center" vertical="center"/>
    </xf>
    <xf numFmtId="0" fontId="9" fillId="6" borderId="9" xfId="0" applyNumberFormat="1" applyFont="1" applyFill="1" applyBorder="1" applyAlignment="1">
      <alignment horizontal="center" vertical="center"/>
    </xf>
    <xf numFmtId="0" fontId="9" fillId="6" borderId="10" xfId="0" applyNumberFormat="1" applyFont="1" applyFill="1" applyBorder="1" applyAlignment="1">
      <alignment horizontal="center" vertical="center"/>
    </xf>
    <xf numFmtId="1" fontId="47" fillId="6" borderId="8" xfId="1" applyNumberFormat="1" applyFont="1" applyFill="1" applyBorder="1" applyAlignment="1">
      <alignment horizontal="center" vertical="center"/>
    </xf>
    <xf numFmtId="1" fontId="47" fillId="6" borderId="9" xfId="1" applyNumberFormat="1" applyFont="1" applyFill="1" applyBorder="1" applyAlignment="1">
      <alignment horizontal="center" vertical="center"/>
    </xf>
    <xf numFmtId="1" fontId="47" fillId="6" borderId="10" xfId="1" applyNumberFormat="1" applyFont="1" applyFill="1" applyBorder="1" applyAlignment="1">
      <alignment horizontal="center" vertical="center"/>
    </xf>
    <xf numFmtId="1" fontId="92" fillId="12" borderId="2" xfId="0" applyNumberFormat="1" applyFont="1" applyFill="1" applyBorder="1" applyAlignment="1">
      <alignment vertical="center"/>
    </xf>
    <xf numFmtId="1" fontId="92" fillId="12" borderId="3" xfId="0" applyNumberFormat="1" applyFont="1" applyFill="1" applyBorder="1" applyAlignment="1">
      <alignment vertical="center"/>
    </xf>
    <xf numFmtId="1" fontId="92" fillId="12" borderId="4" xfId="0" applyNumberFormat="1" applyFont="1" applyFill="1" applyBorder="1" applyAlignment="1">
      <alignment vertical="center"/>
    </xf>
    <xf numFmtId="1" fontId="92" fillId="12" borderId="5" xfId="0" applyNumberFormat="1" applyFont="1" applyFill="1" applyBorder="1" applyAlignment="1">
      <alignment vertical="center"/>
    </xf>
    <xf numFmtId="1" fontId="92" fillId="12" borderId="6" xfId="0" applyNumberFormat="1" applyFont="1" applyFill="1" applyBorder="1" applyAlignment="1">
      <alignment vertical="center"/>
    </xf>
    <xf numFmtId="1" fontId="92" fillId="12" borderId="7" xfId="0" applyNumberFormat="1" applyFont="1" applyFill="1" applyBorder="1" applyAlignment="1">
      <alignment vertical="center"/>
    </xf>
    <xf numFmtId="1" fontId="9" fillId="48" borderId="8" xfId="0" applyNumberFormat="1" applyFont="1" applyFill="1" applyBorder="1" applyAlignment="1">
      <alignment horizontal="center" vertical="center"/>
    </xf>
    <xf numFmtId="1" fontId="9" fillId="48" borderId="10" xfId="0" applyNumberFormat="1" applyFont="1" applyFill="1" applyBorder="1" applyAlignment="1">
      <alignment horizontal="center" vertical="center"/>
    </xf>
    <xf numFmtId="1" fontId="9" fillId="48" borderId="4" xfId="0" applyNumberFormat="1" applyFont="1" applyFill="1" applyBorder="1" applyAlignment="1">
      <alignment horizontal="center" vertical="center"/>
    </xf>
    <xf numFmtId="1" fontId="9" fillId="48" borderId="7" xfId="0" applyNumberFormat="1" applyFont="1" applyFill="1" applyBorder="1" applyAlignment="1">
      <alignment horizontal="center" vertical="center"/>
    </xf>
    <xf numFmtId="1" fontId="9" fillId="48" borderId="11" xfId="0" applyNumberFormat="1" applyFont="1" applyFill="1" applyBorder="1" applyAlignment="1">
      <alignment horizontal="center" vertical="center"/>
    </xf>
    <xf numFmtId="1" fontId="9" fillId="48" borderId="29" xfId="0" applyNumberFormat="1" applyFont="1" applyFill="1" applyBorder="1" applyAlignment="1">
      <alignment horizontal="center" vertical="center"/>
    </xf>
    <xf numFmtId="1" fontId="11" fillId="48" borderId="3" xfId="0" applyNumberFormat="1" applyFont="1" applyFill="1" applyBorder="1" applyAlignment="1">
      <alignment horizontal="center" vertical="center"/>
    </xf>
    <xf numFmtId="1" fontId="11" fillId="48" borderId="4" xfId="0" applyNumberFormat="1" applyFont="1" applyFill="1" applyBorder="1" applyAlignment="1">
      <alignment horizontal="center" vertical="center"/>
    </xf>
    <xf numFmtId="1" fontId="11" fillId="48" borderId="0" xfId="0" applyNumberFormat="1" applyFont="1" applyFill="1" applyAlignment="1">
      <alignment horizontal="center" vertical="center"/>
    </xf>
    <xf numFmtId="1" fontId="11" fillId="48" borderId="28" xfId="0" applyNumberFormat="1" applyFont="1" applyFill="1" applyBorder="1" applyAlignment="1">
      <alignment horizontal="center" vertical="center"/>
    </xf>
    <xf numFmtId="1" fontId="11" fillId="48" borderId="6" xfId="0" applyNumberFormat="1" applyFont="1" applyFill="1" applyBorder="1" applyAlignment="1">
      <alignment horizontal="center" vertical="center"/>
    </xf>
    <xf numFmtId="1" fontId="11" fillId="48" borderId="7" xfId="0" applyNumberFormat="1" applyFont="1" applyFill="1" applyBorder="1" applyAlignment="1">
      <alignment horizontal="center" vertical="center"/>
    </xf>
    <xf numFmtId="167" fontId="9" fillId="12" borderId="11" xfId="0" applyNumberFormat="1" applyFont="1" applyFill="1" applyBorder="1" applyAlignment="1">
      <alignment horizontal="center" vertical="center"/>
    </xf>
    <xf numFmtId="167" fontId="9" fillId="12" borderId="26" xfId="0" applyNumberFormat="1" applyFont="1" applyFill="1" applyBorder="1" applyAlignment="1">
      <alignment horizontal="center" vertical="center"/>
    </xf>
    <xf numFmtId="167" fontId="9" fillId="12" borderId="29" xfId="0" applyNumberFormat="1" applyFont="1" applyFill="1" applyBorder="1" applyAlignment="1">
      <alignment horizontal="center" vertical="center"/>
    </xf>
    <xf numFmtId="1" fontId="11" fillId="23" borderId="3" xfId="0" applyNumberFormat="1" applyFont="1" applyFill="1" applyBorder="1" applyAlignment="1">
      <alignment horizontal="center" vertical="center" wrapText="1"/>
    </xf>
    <xf numFmtId="1" fontId="11" fillId="23" borderId="4" xfId="0" applyNumberFormat="1" applyFont="1" applyFill="1" applyBorder="1" applyAlignment="1">
      <alignment horizontal="center" vertical="center" wrapText="1"/>
    </xf>
    <xf numFmtId="1" fontId="11" fillId="23" borderId="0" xfId="0" applyNumberFormat="1" applyFont="1" applyFill="1" applyBorder="1" applyAlignment="1">
      <alignment horizontal="center" vertical="center" wrapText="1"/>
    </xf>
    <xf numFmtId="1" fontId="11" fillId="23" borderId="28" xfId="0" applyNumberFormat="1" applyFont="1" applyFill="1" applyBorder="1" applyAlignment="1">
      <alignment horizontal="center" vertical="center" wrapText="1"/>
    </xf>
    <xf numFmtId="1" fontId="11" fillId="23" borderId="6" xfId="0" applyNumberFormat="1" applyFont="1" applyFill="1" applyBorder="1" applyAlignment="1">
      <alignment horizontal="center" vertical="center" wrapText="1"/>
    </xf>
    <xf numFmtId="1" fontId="11" fillId="23" borderId="7" xfId="0" applyNumberFormat="1" applyFont="1" applyFill="1" applyBorder="1" applyAlignment="1">
      <alignment horizontal="center" vertical="center" wrapText="1"/>
    </xf>
    <xf numFmtId="165" fontId="9" fillId="12" borderId="8" xfId="0" applyFont="1" applyFill="1" applyBorder="1" applyAlignment="1">
      <alignment horizontal="center" vertical="center"/>
    </xf>
    <xf numFmtId="165" fontId="9" fillId="12" borderId="9" xfId="0" applyFont="1" applyFill="1" applyBorder="1" applyAlignment="1">
      <alignment horizontal="center" vertical="center"/>
    </xf>
    <xf numFmtId="165" fontId="9" fillId="12" borderId="10" xfId="0" applyFont="1" applyFill="1" applyBorder="1" applyAlignment="1">
      <alignment horizontal="center" vertical="center"/>
    </xf>
    <xf numFmtId="1" fontId="9" fillId="23" borderId="8" xfId="0" applyNumberFormat="1" applyFont="1" applyFill="1" applyBorder="1" applyAlignment="1">
      <alignment horizontal="center" vertical="center"/>
    </xf>
    <xf numFmtId="1" fontId="9" fillId="23" borderId="10" xfId="0" applyNumberFormat="1" applyFont="1" applyFill="1" applyBorder="1" applyAlignment="1">
      <alignment horizontal="center" vertical="center"/>
    </xf>
    <xf numFmtId="1" fontId="9" fillId="23" borderId="4" xfId="0" applyNumberFormat="1" applyFont="1" applyFill="1" applyBorder="1" applyAlignment="1">
      <alignment horizontal="center" vertical="center"/>
    </xf>
    <xf numFmtId="1" fontId="9" fillId="23" borderId="7" xfId="0" applyNumberFormat="1" applyFont="1" applyFill="1" applyBorder="1" applyAlignment="1">
      <alignment horizontal="center" vertical="center"/>
    </xf>
    <xf numFmtId="1" fontId="9" fillId="23" borderId="11" xfId="0" applyNumberFormat="1" applyFont="1" applyFill="1" applyBorder="1" applyAlignment="1">
      <alignment horizontal="center" vertical="center"/>
    </xf>
    <xf numFmtId="1" fontId="9" fillId="23" borderId="29" xfId="0" applyNumberFormat="1" applyFont="1" applyFill="1" applyBorder="1" applyAlignment="1">
      <alignment horizontal="center" vertical="center"/>
    </xf>
    <xf numFmtId="1" fontId="11" fillId="2" borderId="3" xfId="0" applyNumberFormat="1" applyFont="1" applyFill="1" applyBorder="1" applyAlignment="1">
      <alignment horizontal="center" vertical="center"/>
    </xf>
    <xf numFmtId="1" fontId="11" fillId="2" borderId="0" xfId="0" applyNumberFormat="1" applyFont="1" applyFill="1" applyBorder="1" applyAlignment="1">
      <alignment horizontal="center" vertical="center"/>
    </xf>
    <xf numFmtId="1" fontId="11" fillId="2" borderId="6" xfId="0" applyNumberFormat="1" applyFont="1" applyFill="1" applyBorder="1" applyAlignment="1">
      <alignment horizontal="center" vertical="center"/>
    </xf>
    <xf numFmtId="2" fontId="9" fillId="2" borderId="2" xfId="4" applyNumberFormat="1" applyFont="1" applyFill="1" applyBorder="1" applyAlignment="1">
      <alignment horizontal="center" vertical="center" wrapText="1" shrinkToFit="1"/>
    </xf>
    <xf numFmtId="2" fontId="9" fillId="2" borderId="3" xfId="4" applyNumberFormat="1" applyFont="1" applyFill="1" applyBorder="1" applyAlignment="1">
      <alignment horizontal="center" vertical="center" wrapText="1" shrinkToFit="1"/>
    </xf>
    <xf numFmtId="2" fontId="9" fillId="2" borderId="4" xfId="4" applyNumberFormat="1" applyFont="1" applyFill="1" applyBorder="1" applyAlignment="1">
      <alignment horizontal="center" vertical="center" wrapText="1" shrinkToFit="1"/>
    </xf>
    <xf numFmtId="2" fontId="9" fillId="2" borderId="27" xfId="4" applyNumberFormat="1" applyFont="1" applyFill="1" applyBorder="1" applyAlignment="1">
      <alignment horizontal="center" vertical="center" wrapText="1" shrinkToFit="1"/>
    </xf>
    <xf numFmtId="2" fontId="9" fillId="2" borderId="0" xfId="4" applyNumberFormat="1" applyFont="1" applyFill="1" applyBorder="1" applyAlignment="1">
      <alignment horizontal="center" vertical="center" wrapText="1" shrinkToFit="1"/>
    </xf>
    <xf numFmtId="2" fontId="9" fillId="2" borderId="28" xfId="4" applyNumberFormat="1" applyFont="1" applyFill="1" applyBorder="1" applyAlignment="1">
      <alignment horizontal="center" vertical="center" wrapText="1" shrinkToFit="1"/>
    </xf>
    <xf numFmtId="2" fontId="9" fillId="2" borderId="5" xfId="4" applyNumberFormat="1" applyFont="1" applyFill="1" applyBorder="1" applyAlignment="1">
      <alignment horizontal="center" vertical="center" wrapText="1" shrinkToFit="1"/>
    </xf>
    <xf numFmtId="2" fontId="9" fillId="2" borderId="6" xfId="4" applyNumberFormat="1" applyFont="1" applyFill="1" applyBorder="1" applyAlignment="1">
      <alignment horizontal="center" vertical="center" wrapText="1" shrinkToFit="1"/>
    </xf>
    <xf numFmtId="2" fontId="9" fillId="2" borderId="7" xfId="4" applyNumberFormat="1" applyFont="1" applyFill="1" applyBorder="1" applyAlignment="1">
      <alignment horizontal="center" vertical="center" wrapText="1" shrinkToFit="1"/>
    </xf>
    <xf numFmtId="1" fontId="9" fillId="2" borderId="2" xfId="0" applyNumberFormat="1" applyFont="1" applyFill="1" applyBorder="1" applyAlignment="1">
      <alignment horizontal="center" vertical="center"/>
    </xf>
    <xf numFmtId="1" fontId="9" fillId="2" borderId="4" xfId="0" applyNumberFormat="1" applyFont="1" applyFill="1" applyBorder="1" applyAlignment="1">
      <alignment horizontal="center" vertical="center"/>
    </xf>
    <xf numFmtId="1" fontId="9" fillId="2" borderId="8" xfId="0" applyNumberFormat="1" applyFont="1" applyFill="1" applyBorder="1" applyAlignment="1">
      <alignment horizontal="center" vertical="center"/>
    </xf>
    <xf numFmtId="1" fontId="9" fillId="2" borderId="10" xfId="0" applyNumberFormat="1" applyFont="1" applyFill="1" applyBorder="1" applyAlignment="1">
      <alignment horizontal="center" vertical="center"/>
    </xf>
    <xf numFmtId="1" fontId="9" fillId="2" borderId="9" xfId="0" applyNumberFormat="1" applyFont="1" applyFill="1" applyBorder="1" applyAlignment="1">
      <alignment horizontal="center" vertical="center"/>
    </xf>
    <xf numFmtId="1" fontId="9" fillId="2" borderId="3" xfId="0" applyNumberFormat="1" applyFont="1" applyFill="1" applyBorder="1" applyAlignment="1">
      <alignment horizontal="center" vertical="center"/>
    </xf>
    <xf numFmtId="1" fontId="9" fillId="2" borderId="6" xfId="0" applyNumberFormat="1" applyFont="1" applyFill="1" applyBorder="1" applyAlignment="1">
      <alignment horizontal="center" vertical="center"/>
    </xf>
    <xf numFmtId="1" fontId="9" fillId="2" borderId="11" xfId="0" applyNumberFormat="1" applyFont="1" applyFill="1" applyBorder="1" applyAlignment="1">
      <alignment horizontal="center" vertical="center"/>
    </xf>
    <xf numFmtId="1" fontId="9" fillId="2" borderId="29" xfId="0" applyNumberFormat="1" applyFont="1" applyFill="1" applyBorder="1" applyAlignment="1">
      <alignment horizontal="center" vertical="center"/>
    </xf>
    <xf numFmtId="165" fontId="45" fillId="0" borderId="3" xfId="0" applyFont="1" applyBorder="1" applyAlignment="1">
      <alignment horizontal="center" vertical="center"/>
    </xf>
    <xf numFmtId="165" fontId="9" fillId="27" borderId="2" xfId="0" applyFont="1" applyFill="1" applyBorder="1" applyAlignment="1">
      <alignment horizontal="center" vertical="center" wrapText="1"/>
    </xf>
    <xf numFmtId="165" fontId="9" fillId="27" borderId="4" xfId="0" applyFont="1" applyFill="1" applyBorder="1" applyAlignment="1">
      <alignment horizontal="center" vertical="center" wrapText="1"/>
    </xf>
    <xf numFmtId="165" fontId="9" fillId="27" borderId="27" xfId="0" applyFont="1" applyFill="1" applyBorder="1" applyAlignment="1">
      <alignment horizontal="center" vertical="center" wrapText="1"/>
    </xf>
    <xf numFmtId="165" fontId="9" fillId="27" borderId="28" xfId="0" applyFont="1" applyFill="1" applyBorder="1" applyAlignment="1">
      <alignment horizontal="center" vertical="center" wrapText="1"/>
    </xf>
    <xf numFmtId="165" fontId="9" fillId="27" borderId="5" xfId="0" applyFont="1" applyFill="1" applyBorder="1" applyAlignment="1">
      <alignment horizontal="center" vertical="center" wrapText="1"/>
    </xf>
    <xf numFmtId="165" fontId="9" fillId="27" borderId="7" xfId="0" applyFont="1" applyFill="1" applyBorder="1" applyAlignment="1">
      <alignment horizontal="center" vertical="center" wrapText="1"/>
    </xf>
    <xf numFmtId="165" fontId="0" fillId="0" borderId="11" xfId="0" applyBorder="1" applyAlignment="1">
      <alignment horizontal="center"/>
    </xf>
    <xf numFmtId="165" fontId="0" fillId="0" borderId="26" xfId="0" applyBorder="1" applyAlignment="1">
      <alignment horizontal="center"/>
    </xf>
    <xf numFmtId="165" fontId="0" fillId="0" borderId="29" xfId="0" applyBorder="1" applyAlignment="1">
      <alignment horizontal="center"/>
    </xf>
    <xf numFmtId="165" fontId="45" fillId="0" borderId="3" xfId="0" applyFont="1" applyBorder="1" applyAlignment="1">
      <alignment horizontal="left" vertical="center"/>
    </xf>
    <xf numFmtId="165" fontId="9" fillId="2" borderId="8" xfId="0" applyFont="1" applyFill="1" applyBorder="1" applyAlignment="1">
      <alignment horizontal="center" vertical="center"/>
    </xf>
    <xf numFmtId="165" fontId="9" fillId="2" borderId="10" xfId="0" applyFont="1" applyFill="1" applyBorder="1" applyAlignment="1">
      <alignment horizontal="center" vertical="center"/>
    </xf>
    <xf numFmtId="165" fontId="9" fillId="0" borderId="0" xfId="0" applyFont="1" applyFill="1" applyBorder="1" applyAlignment="1">
      <alignment horizontal="center" vertical="center"/>
    </xf>
    <xf numFmtId="3" fontId="9" fillId="2" borderId="8" xfId="0" applyNumberFormat="1" applyFont="1" applyFill="1" applyBorder="1" applyAlignment="1">
      <alignment horizontal="center" vertical="center"/>
    </xf>
    <xf numFmtId="3" fontId="9" fillId="2" borderId="10" xfId="0" applyNumberFormat="1" applyFont="1" applyFill="1" applyBorder="1" applyAlignment="1">
      <alignment horizontal="center" vertical="center"/>
    </xf>
    <xf numFmtId="1" fontId="9" fillId="2" borderId="8" xfId="0" applyNumberFormat="1" applyFont="1" applyFill="1" applyBorder="1" applyAlignment="1">
      <alignment horizontal="center" vertical="center" wrapText="1"/>
    </xf>
    <xf numFmtId="1" fontId="9" fillId="2" borderId="9" xfId="0" applyNumberFormat="1" applyFont="1" applyFill="1" applyBorder="1" applyAlignment="1">
      <alignment horizontal="center" vertical="center" wrapText="1"/>
    </xf>
    <xf numFmtId="1" fontId="9" fillId="2" borderId="10" xfId="0" applyNumberFormat="1" applyFont="1" applyFill="1" applyBorder="1" applyAlignment="1">
      <alignment horizontal="center" vertical="center" wrapText="1"/>
    </xf>
    <xf numFmtId="1" fontId="0" fillId="0" borderId="39" xfId="0" applyNumberFormat="1" applyBorder="1" applyAlignment="1">
      <alignment horizontal="left" vertical="center" wrapText="1"/>
    </xf>
    <xf numFmtId="165" fontId="15" fillId="3" borderId="8" xfId="2" applyFont="1" applyFill="1" applyBorder="1" applyAlignment="1">
      <alignment horizontal="center" vertical="center"/>
    </xf>
    <xf numFmtId="165" fontId="15" fillId="3" borderId="9" xfId="2" applyFont="1" applyFill="1" applyBorder="1" applyAlignment="1">
      <alignment horizontal="center" vertical="center"/>
    </xf>
    <xf numFmtId="165" fontId="15" fillId="3" borderId="23" xfId="2" applyFont="1" applyFill="1" applyBorder="1" applyAlignment="1">
      <alignment horizontal="center" vertical="center"/>
    </xf>
    <xf numFmtId="2" fontId="11" fillId="0" borderId="8" xfId="0" applyNumberFormat="1" applyFont="1" applyFill="1" applyBorder="1" applyAlignment="1">
      <alignment horizontal="center" vertical="center"/>
    </xf>
    <xf numFmtId="2" fontId="11" fillId="0" borderId="9" xfId="0" applyNumberFormat="1" applyFont="1" applyFill="1" applyBorder="1" applyAlignment="1">
      <alignment horizontal="center" vertical="center"/>
    </xf>
    <xf numFmtId="2" fontId="11" fillId="0" borderId="10" xfId="0" applyNumberFormat="1" applyFont="1" applyFill="1" applyBorder="1" applyAlignment="1">
      <alignment horizontal="center" vertical="center"/>
    </xf>
    <xf numFmtId="1" fontId="0" fillId="0" borderId="30" xfId="0" applyNumberFormat="1" applyBorder="1" applyAlignment="1">
      <alignment horizontal="center"/>
    </xf>
    <xf numFmtId="165" fontId="72" fillId="43" borderId="13" xfId="9" applyNumberFormat="1" applyBorder="1" applyAlignment="1">
      <alignment horizontal="center" vertical="center"/>
    </xf>
    <xf numFmtId="165" fontId="72" fillId="43" borderId="14" xfId="9" applyNumberFormat="1" applyBorder="1" applyAlignment="1">
      <alignment horizontal="center" vertical="center"/>
    </xf>
    <xf numFmtId="165" fontId="72" fillId="43" borderId="1" xfId="9" applyNumberFormat="1" applyBorder="1" applyAlignment="1">
      <alignment horizontal="center" vertical="center"/>
    </xf>
    <xf numFmtId="165" fontId="72" fillId="43" borderId="16" xfId="9" applyNumberFormat="1" applyBorder="1" applyAlignment="1">
      <alignment horizontal="center" vertical="center"/>
    </xf>
    <xf numFmtId="165" fontId="0" fillId="0" borderId="77" xfId="0" applyBorder="1" applyAlignment="1">
      <alignment horizontal="center" vertical="center" wrapText="1"/>
    </xf>
    <xf numFmtId="165" fontId="0" fillId="0" borderId="66" xfId="0" applyBorder="1" applyAlignment="1">
      <alignment horizontal="center" vertical="center" wrapText="1"/>
    </xf>
    <xf numFmtId="165" fontId="0" fillId="0" borderId="67" xfId="0" applyBorder="1" applyAlignment="1">
      <alignment horizontal="center" vertical="center" wrapText="1"/>
    </xf>
    <xf numFmtId="165" fontId="0" fillId="0" borderId="12" xfId="0" applyBorder="1" applyAlignment="1">
      <alignment horizontal="center" vertical="center"/>
    </xf>
    <xf numFmtId="165" fontId="0" fillId="0" borderId="13" xfId="0" applyBorder="1" applyAlignment="1">
      <alignment horizontal="center" vertical="center"/>
    </xf>
    <xf numFmtId="165" fontId="0" fillId="0" borderId="74" xfId="0" applyBorder="1" applyAlignment="1">
      <alignment horizontal="center" vertical="center"/>
    </xf>
    <xf numFmtId="165" fontId="0" fillId="0" borderId="15" xfId="0" applyBorder="1" applyAlignment="1">
      <alignment horizontal="center" vertical="center"/>
    </xf>
    <xf numFmtId="165" fontId="0" fillId="0" borderId="1" xfId="0" applyBorder="1" applyAlignment="1">
      <alignment horizontal="center" vertical="center"/>
    </xf>
    <xf numFmtId="165" fontId="0" fillId="0" borderId="79" xfId="0" applyBorder="1" applyAlignment="1">
      <alignment horizontal="center" vertical="center"/>
    </xf>
    <xf numFmtId="165" fontId="0" fillId="0" borderId="17" xfId="0" applyBorder="1" applyAlignment="1">
      <alignment horizontal="center" vertical="center"/>
    </xf>
    <xf numFmtId="165" fontId="0" fillId="0" borderId="18" xfId="0" applyBorder="1" applyAlignment="1">
      <alignment horizontal="center" vertical="center"/>
    </xf>
    <xf numFmtId="165" fontId="0" fillId="0" borderId="80" xfId="0" applyBorder="1" applyAlignment="1">
      <alignment horizontal="center" vertical="center"/>
    </xf>
    <xf numFmtId="165" fontId="31" fillId="27" borderId="2" xfId="0" applyFont="1" applyFill="1" applyBorder="1" applyAlignment="1">
      <alignment horizontal="center" vertical="center"/>
    </xf>
    <xf numFmtId="165" fontId="31" fillId="27" borderId="3" xfId="0" applyFont="1" applyFill="1" applyBorder="1" applyAlignment="1">
      <alignment horizontal="center" vertical="center"/>
    </xf>
    <xf numFmtId="165" fontId="31" fillId="27" borderId="4" xfId="0" applyFont="1" applyFill="1" applyBorder="1" applyAlignment="1">
      <alignment horizontal="center" vertical="center"/>
    </xf>
    <xf numFmtId="165" fontId="31" fillId="27" borderId="27" xfId="0" applyFont="1" applyFill="1" applyBorder="1" applyAlignment="1">
      <alignment horizontal="center" vertical="center"/>
    </xf>
    <xf numFmtId="165" fontId="31" fillId="27" borderId="0" xfId="0" applyFont="1" applyFill="1" applyBorder="1" applyAlignment="1">
      <alignment horizontal="center" vertical="center"/>
    </xf>
    <xf numFmtId="165" fontId="31" fillId="27" borderId="28" xfId="0" applyFont="1" applyFill="1" applyBorder="1" applyAlignment="1">
      <alignment horizontal="center" vertical="center"/>
    </xf>
    <xf numFmtId="165" fontId="74" fillId="4" borderId="11" xfId="2" applyFont="1" applyFill="1" applyBorder="1" applyAlignment="1">
      <alignment horizontal="center" vertical="center"/>
    </xf>
    <xf numFmtId="165" fontId="74" fillId="4" borderId="29" xfId="2" applyFont="1" applyFill="1" applyBorder="1" applyAlignment="1">
      <alignment horizontal="center" vertical="center"/>
    </xf>
    <xf numFmtId="165" fontId="83" fillId="12" borderId="11" xfId="0" applyFont="1" applyFill="1" applyBorder="1" applyAlignment="1">
      <alignment horizontal="center" vertical="center"/>
    </xf>
    <xf numFmtId="165" fontId="83" fillId="12" borderId="26" xfId="0" applyFont="1" applyFill="1" applyBorder="1" applyAlignment="1">
      <alignment horizontal="center" vertical="center"/>
    </xf>
    <xf numFmtId="165" fontId="83" fillId="12" borderId="29" xfId="0" applyFont="1" applyFill="1" applyBorder="1" applyAlignment="1">
      <alignment horizontal="center" vertical="center"/>
    </xf>
    <xf numFmtId="165" fontId="83" fillId="0" borderId="11" xfId="0" applyFont="1" applyBorder="1" applyAlignment="1">
      <alignment horizontal="center" vertical="center"/>
    </xf>
    <xf numFmtId="165" fontId="83" fillId="0" borderId="26" xfId="0" applyFont="1" applyBorder="1" applyAlignment="1">
      <alignment horizontal="center" vertical="center"/>
    </xf>
    <xf numFmtId="165" fontId="83" fillId="0" borderId="29" xfId="0" applyFont="1" applyBorder="1" applyAlignment="1">
      <alignment horizontal="center" vertical="center"/>
    </xf>
    <xf numFmtId="165" fontId="83" fillId="0" borderId="11" xfId="0" applyFont="1" applyBorder="1" applyAlignment="1">
      <alignment horizontal="center" vertical="center" wrapText="1"/>
    </xf>
    <xf numFmtId="165" fontId="83" fillId="0" borderId="26" xfId="0" applyFont="1" applyBorder="1" applyAlignment="1">
      <alignment horizontal="center" vertical="center" wrapText="1"/>
    </xf>
    <xf numFmtId="165" fontId="74" fillId="4" borderId="20" xfId="3" applyFont="1" applyFill="1" applyBorder="1" applyAlignment="1">
      <alignment horizontal="center" vertical="center"/>
    </xf>
    <xf numFmtId="165" fontId="44" fillId="0" borderId="20" xfId="0" applyFont="1" applyBorder="1" applyAlignment="1">
      <alignment horizontal="center" vertical="center"/>
    </xf>
    <xf numFmtId="0" fontId="75" fillId="4" borderId="37" xfId="2" applyNumberFormat="1" applyFont="1" applyFill="1" applyBorder="1" applyAlignment="1">
      <alignment horizontal="center" vertical="center" wrapText="1" shrinkToFit="1"/>
    </xf>
    <xf numFmtId="0" fontId="75" fillId="4" borderId="39" xfId="2" applyNumberFormat="1" applyFont="1" applyFill="1" applyBorder="1" applyAlignment="1">
      <alignment horizontal="center" vertical="center" wrapText="1" shrinkToFit="1"/>
    </xf>
    <xf numFmtId="165" fontId="9" fillId="0" borderId="37" xfId="0" applyFont="1" applyBorder="1" applyAlignment="1">
      <alignment horizontal="left" vertical="center"/>
    </xf>
    <xf numFmtId="165" fontId="9" fillId="0" borderId="30" xfId="0" applyFont="1" applyBorder="1" applyAlignment="1">
      <alignment horizontal="left" vertical="center"/>
    </xf>
    <xf numFmtId="165" fontId="0" fillId="0" borderId="37" xfId="0" applyBorder="1" applyAlignment="1">
      <alignment horizontal="center" vertical="center"/>
    </xf>
    <xf numFmtId="165" fontId="0" fillId="0" borderId="30" xfId="0" applyBorder="1" applyAlignment="1">
      <alignment horizontal="center" vertical="center"/>
    </xf>
    <xf numFmtId="164" fontId="47" fillId="28" borderId="11" xfId="0" applyNumberFormat="1" applyFont="1" applyFill="1" applyBorder="1" applyAlignment="1" applyProtection="1">
      <alignment horizontal="center" vertical="center"/>
      <protection hidden="1"/>
    </xf>
    <xf numFmtId="164" fontId="47" fillId="28" borderId="26" xfId="0" applyNumberFormat="1" applyFont="1" applyFill="1" applyBorder="1" applyAlignment="1" applyProtection="1">
      <alignment horizontal="center" vertical="center"/>
      <protection hidden="1"/>
    </xf>
    <xf numFmtId="164" fontId="47" fillId="28" borderId="47" xfId="0" applyNumberFormat="1" applyFont="1" applyFill="1" applyBorder="1" applyAlignment="1" applyProtection="1">
      <alignment horizontal="center" vertical="center"/>
      <protection hidden="1"/>
    </xf>
    <xf numFmtId="165" fontId="9" fillId="0" borderId="39" xfId="0" applyFont="1" applyBorder="1" applyAlignment="1">
      <alignment horizontal="left" vertical="center"/>
    </xf>
    <xf numFmtId="165" fontId="0" fillId="0" borderId="39" xfId="0" applyBorder="1" applyAlignment="1">
      <alignment horizontal="center" vertical="center"/>
    </xf>
    <xf numFmtId="164" fontId="47" fillId="28" borderId="50" xfId="0" applyNumberFormat="1" applyFont="1" applyFill="1" applyBorder="1" applyAlignment="1" applyProtection="1">
      <alignment horizontal="center" vertical="center"/>
      <protection hidden="1"/>
    </xf>
    <xf numFmtId="164" fontId="47" fillId="28" borderId="29" xfId="0" applyNumberFormat="1" applyFont="1" applyFill="1" applyBorder="1" applyAlignment="1" applyProtection="1">
      <alignment horizontal="center" vertical="center"/>
      <protection hidden="1"/>
    </xf>
    <xf numFmtId="165" fontId="8" fillId="0" borderId="37" xfId="0" applyFont="1" applyBorder="1" applyAlignment="1">
      <alignment horizontal="center" vertical="center"/>
    </xf>
    <xf numFmtId="165" fontId="8" fillId="0" borderId="30" xfId="0" applyFont="1" applyBorder="1" applyAlignment="1">
      <alignment horizontal="center" vertical="center"/>
    </xf>
    <xf numFmtId="165" fontId="0" fillId="0" borderId="37" xfId="0" applyBorder="1" applyAlignment="1">
      <alignment horizontal="center"/>
    </xf>
    <xf numFmtId="165" fontId="0" fillId="0" borderId="30" xfId="0" applyBorder="1" applyAlignment="1">
      <alignment horizontal="center"/>
    </xf>
    <xf numFmtId="165" fontId="8" fillId="0" borderId="39" xfId="0" applyFont="1" applyBorder="1" applyAlignment="1">
      <alignment horizontal="center" vertical="center"/>
    </xf>
    <xf numFmtId="165" fontId="0" fillId="0" borderId="39" xfId="0" applyBorder="1" applyAlignment="1">
      <alignment horizontal="center"/>
    </xf>
    <xf numFmtId="165" fontId="9" fillId="0" borderId="37" xfId="0" applyFont="1" applyBorder="1" applyAlignment="1">
      <alignment horizontal="left" vertical="center" wrapText="1"/>
    </xf>
    <xf numFmtId="165" fontId="9" fillId="0" borderId="30" xfId="0" applyFont="1" applyBorder="1" applyAlignment="1">
      <alignment horizontal="left" vertical="center" wrapText="1"/>
    </xf>
    <xf numFmtId="165" fontId="9" fillId="0" borderId="39" xfId="0" applyFont="1" applyBorder="1" applyAlignment="1">
      <alignment horizontal="left" vertical="center" wrapText="1"/>
    </xf>
    <xf numFmtId="165" fontId="9" fillId="0" borderId="47" xfId="0" applyFont="1" applyBorder="1" applyAlignment="1">
      <alignment horizontal="left" vertical="center" wrapText="1"/>
    </xf>
    <xf numFmtId="165" fontId="8" fillId="0" borderId="47" xfId="0" applyFont="1" applyBorder="1" applyAlignment="1">
      <alignment horizontal="center" vertical="center"/>
    </xf>
    <xf numFmtId="165" fontId="0" fillId="0" borderId="47" xfId="0" applyBorder="1" applyAlignment="1">
      <alignment horizontal="center"/>
    </xf>
    <xf numFmtId="165" fontId="9" fillId="0" borderId="50" xfId="0" applyFont="1" applyBorder="1" applyAlignment="1">
      <alignment horizontal="left" vertical="center" wrapText="1"/>
    </xf>
    <xf numFmtId="165" fontId="8" fillId="0" borderId="50" xfId="0" applyFont="1" applyBorder="1" applyAlignment="1">
      <alignment horizontal="center" vertical="center"/>
    </xf>
    <xf numFmtId="165" fontId="0" fillId="0" borderId="50" xfId="0" applyBorder="1" applyAlignment="1">
      <alignment horizontal="center"/>
    </xf>
    <xf numFmtId="165" fontId="8" fillId="0" borderId="11" xfId="0" applyFont="1" applyBorder="1" applyAlignment="1">
      <alignment horizontal="center" vertical="center"/>
    </xf>
    <xf numFmtId="165" fontId="8" fillId="0" borderId="26" xfId="0" applyFont="1" applyBorder="1" applyAlignment="1">
      <alignment horizontal="center" vertical="center"/>
    </xf>
    <xf numFmtId="167" fontId="47" fillId="10" borderId="11" xfId="4" applyNumberFormat="1" applyFont="1" applyFill="1" applyBorder="1" applyAlignment="1">
      <alignment horizontal="center" vertical="center"/>
    </xf>
    <xf numFmtId="167" fontId="47" fillId="10" borderId="26" xfId="4" applyNumberFormat="1" applyFont="1" applyFill="1" applyBorder="1" applyAlignment="1">
      <alignment horizontal="center" vertical="center"/>
    </xf>
    <xf numFmtId="167" fontId="47" fillId="10" borderId="47" xfId="4" applyNumberFormat="1" applyFont="1" applyFill="1" applyBorder="1" applyAlignment="1">
      <alignment horizontal="center" vertical="center"/>
    </xf>
    <xf numFmtId="165" fontId="8" fillId="0" borderId="29" xfId="0" applyFont="1" applyBorder="1" applyAlignment="1">
      <alignment horizontal="center" vertical="center"/>
    </xf>
    <xf numFmtId="167" fontId="47" fillId="10" borderId="50" xfId="4" applyNumberFormat="1" applyFont="1" applyFill="1" applyBorder="1" applyAlignment="1">
      <alignment horizontal="center" vertical="center"/>
    </xf>
    <xf numFmtId="167" fontId="47" fillId="10" borderId="29" xfId="4" applyNumberFormat="1" applyFont="1" applyFill="1" applyBorder="1" applyAlignment="1">
      <alignment horizontal="center" vertical="center"/>
    </xf>
    <xf numFmtId="167" fontId="47" fillId="10" borderId="50" xfId="0" applyNumberFormat="1" applyFont="1" applyFill="1" applyBorder="1" applyAlignment="1">
      <alignment horizontal="center" vertical="center"/>
    </xf>
    <xf numFmtId="167" fontId="47" fillId="10" borderId="26" xfId="0" applyNumberFormat="1" applyFont="1" applyFill="1" applyBorder="1" applyAlignment="1">
      <alignment horizontal="center" vertical="center"/>
    </xf>
    <xf numFmtId="167" fontId="47" fillId="10" borderId="29" xfId="0" applyNumberFormat="1" applyFont="1" applyFill="1" applyBorder="1" applyAlignment="1">
      <alignment horizontal="center" vertical="center"/>
    </xf>
    <xf numFmtId="167" fontId="47" fillId="10" borderId="30" xfId="4" applyNumberFormat="1" applyFont="1" applyFill="1" applyBorder="1" applyAlignment="1">
      <alignment horizontal="center" vertical="center"/>
    </xf>
    <xf numFmtId="167" fontId="47" fillId="10" borderId="39" xfId="4" applyNumberFormat="1" applyFont="1" applyFill="1" applyBorder="1" applyAlignment="1">
      <alignment horizontal="center" vertical="center"/>
    </xf>
    <xf numFmtId="167" fontId="47" fillId="10" borderId="37" xfId="4" applyNumberFormat="1" applyFont="1" applyFill="1" applyBorder="1" applyAlignment="1">
      <alignment horizontal="center" vertical="center"/>
    </xf>
    <xf numFmtId="165" fontId="0" fillId="0" borderId="11" xfId="0" applyBorder="1" applyAlignment="1">
      <alignment horizontal="center" vertical="center"/>
    </xf>
    <xf numFmtId="165" fontId="0" fillId="0" borderId="26" xfId="0" applyBorder="1" applyAlignment="1">
      <alignment horizontal="center" vertical="center"/>
    </xf>
    <xf numFmtId="165" fontId="0" fillId="0" borderId="47" xfId="0" applyBorder="1" applyAlignment="1">
      <alignment horizontal="center" vertical="center"/>
    </xf>
    <xf numFmtId="167" fontId="47" fillId="10" borderId="11" xfId="0" applyNumberFormat="1" applyFont="1" applyFill="1" applyBorder="1" applyAlignment="1">
      <alignment horizontal="center" vertical="center"/>
    </xf>
    <xf numFmtId="167" fontId="47" fillId="10" borderId="47" xfId="0" applyNumberFormat="1" applyFont="1" applyFill="1" applyBorder="1" applyAlignment="1">
      <alignment horizontal="center" vertical="center"/>
    </xf>
    <xf numFmtId="165" fontId="0" fillId="0" borderId="50" xfId="0" applyBorder="1" applyAlignment="1">
      <alignment horizontal="center" vertical="center"/>
    </xf>
    <xf numFmtId="165" fontId="0" fillId="0" borderId="29" xfId="0" applyBorder="1" applyAlignment="1">
      <alignment horizontal="center" vertical="center"/>
    </xf>
    <xf numFmtId="165" fontId="80" fillId="25" borderId="2" xfId="0" applyFont="1" applyFill="1" applyBorder="1" applyAlignment="1">
      <alignment horizontal="center" vertical="center" wrapText="1"/>
    </xf>
    <xf numFmtId="165" fontId="80" fillId="25" borderId="3" xfId="0" applyFont="1" applyFill="1" applyBorder="1" applyAlignment="1">
      <alignment horizontal="center" vertical="center" wrapText="1"/>
    </xf>
    <xf numFmtId="165" fontId="80" fillId="25" borderId="4" xfId="0" applyFont="1" applyFill="1" applyBorder="1" applyAlignment="1">
      <alignment horizontal="center" vertical="center" wrapText="1"/>
    </xf>
    <xf numFmtId="165" fontId="80" fillId="25" borderId="27" xfId="0" applyFont="1" applyFill="1" applyBorder="1" applyAlignment="1">
      <alignment horizontal="center" vertical="center" wrapText="1"/>
    </xf>
    <xf numFmtId="165" fontId="80" fillId="25" borderId="0" xfId="0" applyFont="1" applyFill="1" applyBorder="1" applyAlignment="1">
      <alignment horizontal="center" vertical="center" wrapText="1"/>
    </xf>
    <xf numFmtId="165" fontId="80" fillId="25" borderId="28" xfId="0" applyFont="1" applyFill="1" applyBorder="1" applyAlignment="1">
      <alignment horizontal="center" vertical="center" wrapText="1"/>
    </xf>
    <xf numFmtId="165" fontId="80" fillId="25" borderId="5" xfId="0" applyFont="1" applyFill="1" applyBorder="1" applyAlignment="1">
      <alignment horizontal="center" vertical="center" wrapText="1"/>
    </xf>
    <xf numFmtId="165" fontId="80" fillId="25" borderId="6" xfId="0" applyFont="1" applyFill="1" applyBorder="1" applyAlignment="1">
      <alignment horizontal="center" vertical="center" wrapText="1"/>
    </xf>
    <xf numFmtId="165" fontId="80" fillId="25" borderId="7" xfId="0" applyFont="1" applyFill="1" applyBorder="1" applyAlignment="1">
      <alignment horizontal="center" vertical="center" wrapText="1"/>
    </xf>
    <xf numFmtId="164" fontId="47" fillId="10" borderId="37" xfId="0" applyNumberFormat="1" applyFont="1" applyFill="1" applyBorder="1" applyAlignment="1">
      <alignment horizontal="center" vertical="center"/>
    </xf>
    <xf numFmtId="164" fontId="47" fillId="10" borderId="30" xfId="0" applyNumberFormat="1" applyFont="1" applyFill="1" applyBorder="1" applyAlignment="1">
      <alignment horizontal="center" vertical="center"/>
    </xf>
    <xf numFmtId="164" fontId="47" fillId="10" borderId="39" xfId="0" applyNumberFormat="1" applyFont="1" applyFill="1" applyBorder="1" applyAlignment="1">
      <alignment horizontal="center" vertical="center"/>
    </xf>
    <xf numFmtId="165" fontId="8" fillId="0" borderId="47" xfId="0" applyFont="1" applyBorder="1" applyAlignment="1">
      <alignment horizontal="left" vertical="center" wrapText="1"/>
    </xf>
    <xf numFmtId="165" fontId="8" fillId="0" borderId="30" xfId="0" applyFont="1" applyBorder="1" applyAlignment="1">
      <alignment horizontal="left" vertical="center" wrapText="1"/>
    </xf>
    <xf numFmtId="165" fontId="8" fillId="0" borderId="50" xfId="0" applyFont="1" applyBorder="1" applyAlignment="1">
      <alignment horizontal="left" vertical="center" wrapText="1"/>
    </xf>
    <xf numFmtId="165" fontId="9" fillId="12" borderId="37" xfId="0" applyFont="1" applyFill="1" applyBorder="1" applyAlignment="1">
      <alignment horizontal="left" vertical="center"/>
    </xf>
    <xf numFmtId="165" fontId="9" fillId="12" borderId="30" xfId="0" applyFont="1" applyFill="1" applyBorder="1" applyAlignment="1">
      <alignment horizontal="left" vertical="center"/>
    </xf>
    <xf numFmtId="165" fontId="9" fillId="12" borderId="39" xfId="0" applyFont="1" applyFill="1" applyBorder="1" applyAlignment="1">
      <alignment horizontal="left" vertical="center"/>
    </xf>
    <xf numFmtId="165" fontId="0" fillId="12" borderId="37" xfId="0" applyFill="1" applyBorder="1" applyAlignment="1">
      <alignment horizontal="center"/>
    </xf>
    <xf numFmtId="165" fontId="0" fillId="12" borderId="30" xfId="0" applyFill="1" applyBorder="1" applyAlignment="1">
      <alignment horizontal="center"/>
    </xf>
    <xf numFmtId="165" fontId="0" fillId="12" borderId="39" xfId="0" applyFill="1" applyBorder="1" applyAlignment="1">
      <alignment horizontal="center"/>
    </xf>
    <xf numFmtId="165" fontId="0" fillId="0" borderId="53" xfId="0" applyBorder="1" applyAlignment="1">
      <alignment horizontal="center"/>
    </xf>
    <xf numFmtId="165" fontId="0" fillId="0" borderId="48" xfId="0" applyBorder="1" applyAlignment="1">
      <alignment horizontal="center"/>
    </xf>
    <xf numFmtId="165" fontId="0" fillId="0" borderId="54" xfId="0" applyBorder="1" applyAlignment="1">
      <alignment horizontal="center"/>
    </xf>
    <xf numFmtId="165" fontId="74" fillId="3" borderId="8" xfId="2" applyFont="1" applyFill="1" applyBorder="1" applyAlignment="1">
      <alignment horizontal="center" vertical="center"/>
    </xf>
    <xf numFmtId="165" fontId="74" fillId="3" borderId="9" xfId="2" applyFont="1" applyFill="1" applyBorder="1" applyAlignment="1">
      <alignment horizontal="center" vertical="center"/>
    </xf>
    <xf numFmtId="165" fontId="74" fillId="3" borderId="10" xfId="2" applyFont="1" applyFill="1" applyBorder="1" applyAlignment="1">
      <alignment horizontal="center" vertical="center"/>
    </xf>
    <xf numFmtId="167" fontId="75" fillId="3" borderId="11" xfId="2" applyNumberFormat="1" applyFont="1" applyFill="1" applyBorder="1" applyAlignment="1">
      <alignment horizontal="center" vertical="center" wrapText="1" shrinkToFit="1"/>
    </xf>
    <xf numFmtId="167" fontId="75" fillId="3" borderId="29" xfId="2" applyNumberFormat="1" applyFont="1" applyFill="1" applyBorder="1" applyAlignment="1">
      <alignment horizontal="center" vertical="center" wrapText="1" shrinkToFit="1"/>
    </xf>
  </cellXfs>
  <cellStyles count="14">
    <cellStyle name="60% — акцент6" xfId="3" builtinId="52"/>
    <cellStyle name="Акцент5" xfId="2" builtinId="45"/>
    <cellStyle name="Гиперссылка" xfId="1" builtinId="8"/>
    <cellStyle name="Денежный" xfId="4" builtinId="4"/>
    <cellStyle name="Денежный [0] 2" xfId="12" xr:uid="{00000000-0005-0000-0000-000004000000}"/>
    <cellStyle name="Денежный 2" xfId="7" xr:uid="{00000000-0005-0000-0000-000005000000}"/>
    <cellStyle name="Денежный 2 2" xfId="13" xr:uid="{00000000-0005-0000-0000-000006000000}"/>
    <cellStyle name="Денежный 3" xfId="11" xr:uid="{00000000-0005-0000-0000-000007000000}"/>
    <cellStyle name="Обычный" xfId="0" builtinId="0"/>
    <cellStyle name="Обычный 2" xfId="5" xr:uid="{00000000-0005-0000-0000-000009000000}"/>
    <cellStyle name="Обычный 3" xfId="6" xr:uid="{00000000-0005-0000-0000-00000A000000}"/>
    <cellStyle name="Обычный 4" xfId="8" xr:uid="{00000000-0005-0000-0000-00000B000000}"/>
    <cellStyle name="Плохой" xfId="10" builtinId="27"/>
    <cellStyle name="Хороший" xfId="9" builtinId="26"/>
  </cellStyles>
  <dxfs count="10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theme="6" tint="-0.24994659260841701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FF5050"/>
      <color rgb="FF00FF99"/>
      <color rgb="FFFF9900"/>
      <color rgb="FFFF7C80"/>
      <color rgb="FF0066FF"/>
      <color rgb="FF00FFFF"/>
      <color rgb="FF009999"/>
      <color rgb="FF00FF00"/>
      <color rgb="FF00CC99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wilma-rus.ru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jp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jpe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wmf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jpeg"/><Relationship Id="rId22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.w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18" Type="http://schemas.openxmlformats.org/officeDocument/2006/relationships/image" Target="../media/image45.png"/><Relationship Id="rId26" Type="http://schemas.openxmlformats.org/officeDocument/2006/relationships/image" Target="../media/image53.png"/><Relationship Id="rId3" Type="http://schemas.openxmlformats.org/officeDocument/2006/relationships/image" Target="../media/image30.png"/><Relationship Id="rId21" Type="http://schemas.openxmlformats.org/officeDocument/2006/relationships/image" Target="../media/image48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5" Type="http://schemas.openxmlformats.org/officeDocument/2006/relationships/image" Target="../media/image52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20" Type="http://schemas.openxmlformats.org/officeDocument/2006/relationships/image" Target="../media/image47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24" Type="http://schemas.openxmlformats.org/officeDocument/2006/relationships/image" Target="../media/image51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23" Type="http://schemas.openxmlformats.org/officeDocument/2006/relationships/image" Target="../media/image50.png"/><Relationship Id="rId10" Type="http://schemas.openxmlformats.org/officeDocument/2006/relationships/image" Target="../media/image37.png"/><Relationship Id="rId19" Type="http://schemas.openxmlformats.org/officeDocument/2006/relationships/image" Target="../media/image46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Relationship Id="rId22" Type="http://schemas.openxmlformats.org/officeDocument/2006/relationships/image" Target="../media/image4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18" Type="http://schemas.openxmlformats.org/officeDocument/2006/relationships/image" Target="../media/image75.png"/><Relationship Id="rId26" Type="http://schemas.openxmlformats.org/officeDocument/2006/relationships/image" Target="../media/image83.png"/><Relationship Id="rId3" Type="http://schemas.openxmlformats.org/officeDocument/2006/relationships/image" Target="../media/image60.png"/><Relationship Id="rId21" Type="http://schemas.openxmlformats.org/officeDocument/2006/relationships/image" Target="../media/image78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17" Type="http://schemas.openxmlformats.org/officeDocument/2006/relationships/image" Target="../media/image74.png"/><Relationship Id="rId25" Type="http://schemas.openxmlformats.org/officeDocument/2006/relationships/image" Target="../media/image82.png"/><Relationship Id="rId2" Type="http://schemas.openxmlformats.org/officeDocument/2006/relationships/image" Target="../media/image59.png"/><Relationship Id="rId16" Type="http://schemas.openxmlformats.org/officeDocument/2006/relationships/image" Target="../media/image73.png"/><Relationship Id="rId20" Type="http://schemas.openxmlformats.org/officeDocument/2006/relationships/image" Target="../media/image77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24" Type="http://schemas.openxmlformats.org/officeDocument/2006/relationships/image" Target="../media/image81.png"/><Relationship Id="rId5" Type="http://schemas.openxmlformats.org/officeDocument/2006/relationships/image" Target="../media/image62.png"/><Relationship Id="rId15" Type="http://schemas.openxmlformats.org/officeDocument/2006/relationships/image" Target="../media/image72.png"/><Relationship Id="rId23" Type="http://schemas.openxmlformats.org/officeDocument/2006/relationships/image" Target="../media/image80.png"/><Relationship Id="rId10" Type="http://schemas.openxmlformats.org/officeDocument/2006/relationships/image" Target="../media/image67.png"/><Relationship Id="rId19" Type="http://schemas.openxmlformats.org/officeDocument/2006/relationships/image" Target="../media/image76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Relationship Id="rId14" Type="http://schemas.openxmlformats.org/officeDocument/2006/relationships/image" Target="../media/image71.png"/><Relationship Id="rId22" Type="http://schemas.openxmlformats.org/officeDocument/2006/relationships/image" Target="../media/image79.png"/><Relationship Id="rId27" Type="http://schemas.openxmlformats.org/officeDocument/2006/relationships/image" Target="../media/image8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5" Type="http://schemas.openxmlformats.org/officeDocument/2006/relationships/image" Target="../media/image89.png"/><Relationship Id="rId4" Type="http://schemas.openxmlformats.org/officeDocument/2006/relationships/image" Target="../media/image88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.png"/><Relationship Id="rId13" Type="http://schemas.openxmlformats.org/officeDocument/2006/relationships/image" Target="../media/image97.png"/><Relationship Id="rId3" Type="http://schemas.openxmlformats.org/officeDocument/2006/relationships/image" Target="../media/image87.png"/><Relationship Id="rId7" Type="http://schemas.openxmlformats.org/officeDocument/2006/relationships/image" Target="../media/image91.png"/><Relationship Id="rId12" Type="http://schemas.openxmlformats.org/officeDocument/2006/relationships/image" Target="../media/image96.png"/><Relationship Id="rId17" Type="http://schemas.openxmlformats.org/officeDocument/2006/relationships/image" Target="../media/image101.png"/><Relationship Id="rId2" Type="http://schemas.openxmlformats.org/officeDocument/2006/relationships/image" Target="../media/image86.png"/><Relationship Id="rId16" Type="http://schemas.openxmlformats.org/officeDocument/2006/relationships/image" Target="../media/image100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11" Type="http://schemas.openxmlformats.org/officeDocument/2006/relationships/image" Target="../media/image95.png"/><Relationship Id="rId5" Type="http://schemas.openxmlformats.org/officeDocument/2006/relationships/image" Target="../media/image89.png"/><Relationship Id="rId15" Type="http://schemas.openxmlformats.org/officeDocument/2006/relationships/image" Target="../media/image99.png"/><Relationship Id="rId10" Type="http://schemas.openxmlformats.org/officeDocument/2006/relationships/image" Target="../media/image94.png"/><Relationship Id="rId4" Type="http://schemas.openxmlformats.org/officeDocument/2006/relationships/image" Target="../media/image88.png"/><Relationship Id="rId9" Type="http://schemas.openxmlformats.org/officeDocument/2006/relationships/image" Target="../media/image93.png"/><Relationship Id="rId14" Type="http://schemas.openxmlformats.org/officeDocument/2006/relationships/image" Target="../media/image9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4.png"/><Relationship Id="rId2" Type="http://schemas.openxmlformats.org/officeDocument/2006/relationships/image" Target="../media/image103.jpeg"/><Relationship Id="rId1" Type="http://schemas.openxmlformats.org/officeDocument/2006/relationships/image" Target="../media/image102.jpeg"/><Relationship Id="rId6" Type="http://schemas.openxmlformats.org/officeDocument/2006/relationships/image" Target="../media/image107.jpeg"/><Relationship Id="rId5" Type="http://schemas.openxmlformats.org/officeDocument/2006/relationships/image" Target="../media/image106.jpeg"/><Relationship Id="rId4" Type="http://schemas.openxmlformats.org/officeDocument/2006/relationships/image" Target="../media/image10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5.png"/><Relationship Id="rId13" Type="http://schemas.openxmlformats.org/officeDocument/2006/relationships/image" Target="../media/image120.png"/><Relationship Id="rId3" Type="http://schemas.openxmlformats.org/officeDocument/2006/relationships/image" Target="../media/image110.emf"/><Relationship Id="rId7" Type="http://schemas.openxmlformats.org/officeDocument/2006/relationships/image" Target="../media/image114.jpeg"/><Relationship Id="rId12" Type="http://schemas.openxmlformats.org/officeDocument/2006/relationships/image" Target="../media/image119.png"/><Relationship Id="rId2" Type="http://schemas.openxmlformats.org/officeDocument/2006/relationships/image" Target="../media/image109.emf"/><Relationship Id="rId1" Type="http://schemas.openxmlformats.org/officeDocument/2006/relationships/image" Target="../media/image108.png"/><Relationship Id="rId6" Type="http://schemas.openxmlformats.org/officeDocument/2006/relationships/image" Target="../media/image113.jpeg"/><Relationship Id="rId11" Type="http://schemas.openxmlformats.org/officeDocument/2006/relationships/image" Target="../media/image118.jpeg"/><Relationship Id="rId5" Type="http://schemas.openxmlformats.org/officeDocument/2006/relationships/image" Target="../media/image112.emf"/><Relationship Id="rId15" Type="http://schemas.openxmlformats.org/officeDocument/2006/relationships/image" Target="../media/image122.jpeg"/><Relationship Id="rId10" Type="http://schemas.openxmlformats.org/officeDocument/2006/relationships/image" Target="../media/image117.jpeg"/><Relationship Id="rId4" Type="http://schemas.openxmlformats.org/officeDocument/2006/relationships/image" Target="../media/image111.emf"/><Relationship Id="rId9" Type="http://schemas.openxmlformats.org/officeDocument/2006/relationships/image" Target="../media/image116.png"/><Relationship Id="rId14" Type="http://schemas.openxmlformats.org/officeDocument/2006/relationships/image" Target="../media/image121.jpe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png"/><Relationship Id="rId13" Type="http://schemas.openxmlformats.org/officeDocument/2006/relationships/image" Target="../media/image135.png"/><Relationship Id="rId18" Type="http://schemas.openxmlformats.org/officeDocument/2006/relationships/image" Target="../media/image140.png"/><Relationship Id="rId3" Type="http://schemas.openxmlformats.org/officeDocument/2006/relationships/image" Target="../media/image125.png"/><Relationship Id="rId21" Type="http://schemas.openxmlformats.org/officeDocument/2006/relationships/image" Target="../media/image143.png"/><Relationship Id="rId7" Type="http://schemas.openxmlformats.org/officeDocument/2006/relationships/image" Target="../media/image129.png"/><Relationship Id="rId12" Type="http://schemas.openxmlformats.org/officeDocument/2006/relationships/image" Target="../media/image134.png"/><Relationship Id="rId17" Type="http://schemas.openxmlformats.org/officeDocument/2006/relationships/image" Target="../media/image139.jpeg"/><Relationship Id="rId2" Type="http://schemas.openxmlformats.org/officeDocument/2006/relationships/image" Target="../media/image124.jpeg"/><Relationship Id="rId16" Type="http://schemas.openxmlformats.org/officeDocument/2006/relationships/image" Target="../media/image138.jpeg"/><Relationship Id="rId20" Type="http://schemas.openxmlformats.org/officeDocument/2006/relationships/image" Target="../media/image142.png"/><Relationship Id="rId1" Type="http://schemas.openxmlformats.org/officeDocument/2006/relationships/image" Target="../media/image123.png"/><Relationship Id="rId6" Type="http://schemas.openxmlformats.org/officeDocument/2006/relationships/image" Target="../media/image128.jpeg"/><Relationship Id="rId11" Type="http://schemas.openxmlformats.org/officeDocument/2006/relationships/image" Target="../media/image133.png"/><Relationship Id="rId5" Type="http://schemas.openxmlformats.org/officeDocument/2006/relationships/image" Target="../media/image127.jpeg"/><Relationship Id="rId15" Type="http://schemas.openxmlformats.org/officeDocument/2006/relationships/image" Target="../media/image137.png"/><Relationship Id="rId10" Type="http://schemas.openxmlformats.org/officeDocument/2006/relationships/image" Target="../media/image132.png"/><Relationship Id="rId19" Type="http://schemas.openxmlformats.org/officeDocument/2006/relationships/image" Target="../media/image141.jpeg"/><Relationship Id="rId4" Type="http://schemas.openxmlformats.org/officeDocument/2006/relationships/image" Target="../media/image126.png"/><Relationship Id="rId9" Type="http://schemas.openxmlformats.org/officeDocument/2006/relationships/image" Target="../media/image131.png"/><Relationship Id="rId14" Type="http://schemas.openxmlformats.org/officeDocument/2006/relationships/image" Target="../media/image136.png"/><Relationship Id="rId22" Type="http://schemas.openxmlformats.org/officeDocument/2006/relationships/image" Target="../media/image1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581026</xdr:colOff>
      <xdr:row>0</xdr:row>
      <xdr:rowOff>9525</xdr:rowOff>
    </xdr:from>
    <xdr:to>
      <xdr:col>8</xdr:col>
      <xdr:colOff>429745</xdr:colOff>
      <xdr:row>10</xdr:row>
      <xdr:rowOff>186708</xdr:rowOff>
    </xdr:to>
    <xdr:pic>
      <xdr:nvPicPr>
        <xdr:cNvPr id="6" name="Рисуно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6" y="9525"/>
          <a:ext cx="8239124" cy="20821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2291557</xdr:colOff>
      <xdr:row>2</xdr:row>
      <xdr:rowOff>168327</xdr:rowOff>
    </xdr:from>
    <xdr:to>
      <xdr:col>9</xdr:col>
      <xdr:colOff>85725</xdr:colOff>
      <xdr:row>9</xdr:row>
      <xdr:rowOff>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91557" y="558852"/>
          <a:ext cx="5461793" cy="1165173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2</xdr:col>
      <xdr:colOff>114300</xdr:colOff>
      <xdr:row>14</xdr:row>
      <xdr:rowOff>0</xdr:rowOff>
    </xdr:to>
    <xdr:sp macro="" textlink="">
      <xdr:nvSpPr>
        <xdr:cNvPr id="16" name="Стрелка углом вверх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0" y="2420471"/>
          <a:ext cx="6042212" cy="515470"/>
        </a:xfrm>
        <a:prstGeom prst="bentUpArrow">
          <a:avLst>
            <a:gd name="adj1" fmla="val 11141"/>
            <a:gd name="adj2" fmla="val 22182"/>
            <a:gd name="adj3" fmla="val 32408"/>
          </a:avLst>
        </a:prstGeom>
        <a:ln w="19050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0</xdr:colOff>
      <xdr:row>12</xdr:row>
      <xdr:rowOff>0</xdr:rowOff>
    </xdr:from>
    <xdr:to>
      <xdr:col>4</xdr:col>
      <xdr:colOff>133350</xdr:colOff>
      <xdr:row>19</xdr:row>
      <xdr:rowOff>0</xdr:rowOff>
    </xdr:to>
    <xdr:sp macro="" textlink="">
      <xdr:nvSpPr>
        <xdr:cNvPr id="17" name="Стрелка углом вверх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0" y="2420471"/>
          <a:ext cx="6554321" cy="2140323"/>
        </a:xfrm>
        <a:prstGeom prst="bentUpArrow">
          <a:avLst>
            <a:gd name="adj1" fmla="val 3398"/>
            <a:gd name="adj2" fmla="val 6197"/>
            <a:gd name="adj3" fmla="val 8805"/>
          </a:avLst>
        </a:prstGeom>
        <a:ln w="19050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0</xdr:colOff>
      <xdr:row>12</xdr:row>
      <xdr:rowOff>0</xdr:rowOff>
    </xdr:from>
    <xdr:to>
      <xdr:col>6</xdr:col>
      <xdr:colOff>114300</xdr:colOff>
      <xdr:row>23</xdr:row>
      <xdr:rowOff>0</xdr:rowOff>
    </xdr:to>
    <xdr:sp macro="" textlink="">
      <xdr:nvSpPr>
        <xdr:cNvPr id="18" name="Стрелка углом вверх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0" y="2419350"/>
          <a:ext cx="7038975" cy="3752850"/>
        </a:xfrm>
        <a:prstGeom prst="bentUpArrow">
          <a:avLst>
            <a:gd name="adj1" fmla="val 1904"/>
            <a:gd name="adj2" fmla="val 3883"/>
            <a:gd name="adj3" fmla="val 4765"/>
          </a:avLst>
        </a:prstGeom>
        <a:ln w="19050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0</xdr:colOff>
      <xdr:row>12</xdr:row>
      <xdr:rowOff>0</xdr:rowOff>
    </xdr:from>
    <xdr:to>
      <xdr:col>8</xdr:col>
      <xdr:colOff>133350</xdr:colOff>
      <xdr:row>26</xdr:row>
      <xdr:rowOff>0</xdr:rowOff>
    </xdr:to>
    <xdr:sp macro="" textlink="">
      <xdr:nvSpPr>
        <xdr:cNvPr id="19" name="Стрелка углом вверх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0" y="2419350"/>
          <a:ext cx="7553325" cy="4724400"/>
        </a:xfrm>
        <a:prstGeom prst="bentUpArrow">
          <a:avLst>
            <a:gd name="adj1" fmla="val 1234"/>
            <a:gd name="adj2" fmla="val 3311"/>
            <a:gd name="adj3" fmla="val 3687"/>
          </a:avLst>
        </a:prstGeom>
        <a:ln w="19050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0</xdr:colOff>
      <xdr:row>12</xdr:row>
      <xdr:rowOff>0</xdr:rowOff>
    </xdr:from>
    <xdr:to>
      <xdr:col>10</xdr:col>
      <xdr:colOff>133350</xdr:colOff>
      <xdr:row>29</xdr:row>
      <xdr:rowOff>0</xdr:rowOff>
    </xdr:to>
    <xdr:sp macro="" textlink="">
      <xdr:nvSpPr>
        <xdr:cNvPr id="20" name="Стрелка углом вверх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0" y="2419350"/>
          <a:ext cx="8048625" cy="5695950"/>
        </a:xfrm>
        <a:prstGeom prst="bentUpArrow">
          <a:avLst>
            <a:gd name="adj1" fmla="val 1035"/>
            <a:gd name="adj2" fmla="val 2443"/>
            <a:gd name="adj3" fmla="val 3207"/>
          </a:avLst>
        </a:prstGeom>
        <a:ln w="19050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0</xdr:colOff>
      <xdr:row>12</xdr:row>
      <xdr:rowOff>0</xdr:rowOff>
    </xdr:from>
    <xdr:to>
      <xdr:col>12</xdr:col>
      <xdr:colOff>104775</xdr:colOff>
      <xdr:row>32</xdr:row>
      <xdr:rowOff>0</xdr:rowOff>
    </xdr:to>
    <xdr:sp macro="" textlink="">
      <xdr:nvSpPr>
        <xdr:cNvPr id="21" name="Стрелка углом вверх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0" y="2419350"/>
          <a:ext cx="8515350" cy="6667500"/>
        </a:xfrm>
        <a:prstGeom prst="bentUpArrow">
          <a:avLst>
            <a:gd name="adj1" fmla="val 988"/>
            <a:gd name="adj2" fmla="val 1969"/>
            <a:gd name="adj3" fmla="val 2826"/>
          </a:avLst>
        </a:prstGeom>
        <a:ln w="19050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0</xdr:colOff>
      <xdr:row>12</xdr:row>
      <xdr:rowOff>0</xdr:rowOff>
    </xdr:from>
    <xdr:to>
      <xdr:col>14</xdr:col>
      <xdr:colOff>133350</xdr:colOff>
      <xdr:row>38</xdr:row>
      <xdr:rowOff>0</xdr:rowOff>
    </xdr:to>
    <xdr:sp macro="" textlink="">
      <xdr:nvSpPr>
        <xdr:cNvPr id="22" name="Стрелка углом вверх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0" y="742950"/>
          <a:ext cx="9039225" cy="6391275"/>
        </a:xfrm>
        <a:prstGeom prst="bentUpArrow">
          <a:avLst>
            <a:gd name="adj1" fmla="val 703"/>
            <a:gd name="adj2" fmla="val 1659"/>
            <a:gd name="adj3" fmla="val 2230"/>
          </a:avLst>
        </a:prstGeom>
        <a:ln w="19050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0</xdr:colOff>
      <xdr:row>12</xdr:row>
      <xdr:rowOff>0</xdr:rowOff>
    </xdr:from>
    <xdr:to>
      <xdr:col>16</xdr:col>
      <xdr:colOff>114300</xdr:colOff>
      <xdr:row>42</xdr:row>
      <xdr:rowOff>0</xdr:rowOff>
    </xdr:to>
    <xdr:sp macro="" textlink="">
      <xdr:nvSpPr>
        <xdr:cNvPr id="23" name="Стрелка углом вверх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0" y="742950"/>
          <a:ext cx="9515475" cy="7781925"/>
        </a:xfrm>
        <a:prstGeom prst="bentUpArrow">
          <a:avLst>
            <a:gd name="adj1" fmla="val 634"/>
            <a:gd name="adj2" fmla="val 1350"/>
            <a:gd name="adj3" fmla="val 1736"/>
          </a:avLst>
        </a:prstGeom>
        <a:ln w="19050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ln w="38100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0</xdr:col>
      <xdr:colOff>0</xdr:colOff>
      <xdr:row>12</xdr:row>
      <xdr:rowOff>0</xdr:rowOff>
    </xdr:from>
    <xdr:to>
      <xdr:col>18</xdr:col>
      <xdr:colOff>104775</xdr:colOff>
      <xdr:row>53</xdr:row>
      <xdr:rowOff>0</xdr:rowOff>
    </xdr:to>
    <xdr:sp macro="" textlink="">
      <xdr:nvSpPr>
        <xdr:cNvPr id="24" name="Стрелка углом вверх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0" y="2419350"/>
          <a:ext cx="10001250" cy="13792200"/>
        </a:xfrm>
        <a:prstGeom prst="bentUpArrow">
          <a:avLst>
            <a:gd name="adj1" fmla="val 539"/>
            <a:gd name="adj2" fmla="val 1386"/>
            <a:gd name="adj3" fmla="val 1626"/>
          </a:avLst>
        </a:prstGeom>
        <a:ln w="19050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ln w="38100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0</xdr:col>
      <xdr:colOff>22412</xdr:colOff>
      <xdr:row>12</xdr:row>
      <xdr:rowOff>15437</xdr:rowOff>
    </xdr:from>
    <xdr:to>
      <xdr:col>19</xdr:col>
      <xdr:colOff>402021</xdr:colOff>
      <xdr:row>59</xdr:row>
      <xdr:rowOff>44824</xdr:rowOff>
    </xdr:to>
    <xdr:sp macro="" textlink="">
      <xdr:nvSpPr>
        <xdr:cNvPr id="12" name="Стрелка углом вверх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22412" y="2435908"/>
          <a:ext cx="10498521" cy="15291798"/>
        </a:xfrm>
        <a:prstGeom prst="bentUpArrow">
          <a:avLst>
            <a:gd name="adj1" fmla="val 539"/>
            <a:gd name="adj2" fmla="val 1386"/>
            <a:gd name="adj3" fmla="val 1626"/>
          </a:avLst>
        </a:prstGeom>
        <a:ln w="19050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ln w="38100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0</xdr:col>
      <xdr:colOff>21981</xdr:colOff>
      <xdr:row>11</xdr:row>
      <xdr:rowOff>242651</xdr:rowOff>
    </xdr:from>
    <xdr:to>
      <xdr:col>20</xdr:col>
      <xdr:colOff>447806</xdr:colOff>
      <xdr:row>65</xdr:row>
      <xdr:rowOff>52151</xdr:rowOff>
    </xdr:to>
    <xdr:sp macro="" textlink="">
      <xdr:nvSpPr>
        <xdr:cNvPr id="13" name="Стрелка углом вверх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21981" y="2411420"/>
          <a:ext cx="11203729" cy="16624789"/>
        </a:xfrm>
        <a:prstGeom prst="bentUpArrow">
          <a:avLst>
            <a:gd name="adj1" fmla="val 539"/>
            <a:gd name="adj2" fmla="val 1386"/>
            <a:gd name="adj3" fmla="val 1626"/>
          </a:avLst>
        </a:prstGeom>
        <a:ln w="19050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ln w="38100">
              <a:solidFill>
                <a:schemeClr val="tx1"/>
              </a:solidFill>
            </a:ln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1</xdr:row>
      <xdr:rowOff>47625</xdr:rowOff>
    </xdr:from>
    <xdr:to>
      <xdr:col>9</xdr:col>
      <xdr:colOff>318293</xdr:colOff>
      <xdr:row>7</xdr:row>
      <xdr:rowOff>69798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2900" y="238125"/>
          <a:ext cx="5461793" cy="1165173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oneCellAnchor>
    <xdr:from>
      <xdr:col>10</xdr:col>
      <xdr:colOff>123825</xdr:colOff>
      <xdr:row>0</xdr:row>
      <xdr:rowOff>114300</xdr:rowOff>
    </xdr:from>
    <xdr:ext cx="5806225" cy="1568952"/>
    <xdr:sp macro="" textlink="">
      <xdr:nvSpPr>
        <xdr:cNvPr id="21" name="Прямоугольник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6219825" y="114300"/>
          <a:ext cx="5806225" cy="15689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1800" b="0" cap="none" spc="0">
              <a:ln w="0"/>
              <a:solidFill>
                <a:schemeClr val="accent5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Телефоны: г. </a:t>
          </a:r>
          <a:r>
            <a:rPr lang="ru-RU" sz="1800" b="1" cap="none" spc="0">
              <a:ln w="0"/>
              <a:solidFill>
                <a:schemeClr val="accent5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Москва</a:t>
          </a:r>
          <a:r>
            <a:rPr lang="en-US" sz="1800" b="0" cap="none" spc="0">
              <a:ln w="0"/>
              <a:solidFill>
                <a:schemeClr val="accent5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		</a:t>
          </a:r>
          <a:r>
            <a:rPr lang="ru-RU" sz="1600" b="1" i="0" u="sng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+7(495)641-32-22</a:t>
          </a:r>
          <a:endParaRPr lang="ru-RU" sz="1600" b="1" u="sng" cap="none" spc="0">
            <a:ln w="0"/>
            <a:solidFill>
              <a:srgbClr val="C0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n-lt"/>
          </a:endParaRPr>
        </a:p>
        <a:p>
          <a:pPr algn="l"/>
          <a:r>
            <a:rPr lang="ru-RU" sz="1800" b="0" cap="none" spc="0">
              <a:ln w="0"/>
              <a:solidFill>
                <a:schemeClr val="accent5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                    г. </a:t>
          </a:r>
          <a:r>
            <a:rPr lang="ru-RU" sz="1800" b="1" cap="none" spc="0">
              <a:ln w="0"/>
              <a:solidFill>
                <a:schemeClr val="accent5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Новосибирск</a:t>
          </a:r>
          <a:r>
            <a:rPr lang="en-US" sz="1800" b="0" cap="none" spc="0">
              <a:ln w="0"/>
              <a:solidFill>
                <a:schemeClr val="accent5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		</a:t>
          </a:r>
          <a:r>
            <a:rPr lang="ru-RU" sz="1600" b="1" i="0" u="sng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+7(383)373-34-58</a:t>
          </a:r>
          <a:endParaRPr lang="ru-RU" sz="1600" b="1" u="sng" cap="none" spc="0">
            <a:ln w="0"/>
            <a:solidFill>
              <a:srgbClr val="C0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n-lt"/>
          </a:endParaRPr>
        </a:p>
        <a:p>
          <a:pPr algn="l"/>
          <a:r>
            <a:rPr lang="ru-RU" sz="1800" b="0" cap="none" spc="0">
              <a:ln w="0"/>
              <a:solidFill>
                <a:schemeClr val="accent5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                    г.</a:t>
          </a:r>
          <a:r>
            <a:rPr lang="ru-RU" sz="1800" b="0" cap="none" spc="0" baseline="0">
              <a:ln w="0"/>
              <a:solidFill>
                <a:schemeClr val="accent5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</a:t>
          </a:r>
          <a:r>
            <a:rPr lang="ru-RU" sz="1800" b="1" cap="none" spc="0" baseline="0">
              <a:ln w="0"/>
              <a:solidFill>
                <a:schemeClr val="accent5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Санкт-Петербург</a:t>
          </a:r>
          <a:r>
            <a:rPr lang="en-US" sz="1800" b="0" cap="none" spc="0" baseline="0">
              <a:ln w="0"/>
              <a:solidFill>
                <a:schemeClr val="accent5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	</a:t>
          </a:r>
          <a:r>
            <a:rPr lang="ru-RU" sz="1600" b="1" i="0" u="sng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+7(812)458-88-58</a:t>
          </a:r>
          <a:endParaRPr lang="ru-RU" sz="1600" b="1" u="sng" cap="none" spc="0" baseline="0">
            <a:ln w="0"/>
            <a:solidFill>
              <a:srgbClr val="C0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n-lt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800" b="0" i="0" u="none" strike="noStrike" kern="0" cap="none" spc="0" normalizeH="0" baseline="0" noProof="0">
              <a:ln w="0"/>
              <a:solidFill>
                <a:srgbClr val="4472C4">
                  <a:lumMod val="75000"/>
                </a:srgbClr>
              </a:solidFill>
              <a:effectLst>
                <a:outerShdw blurRad="38100" dist="19050" dir="2700000" algn="tl" rotWithShape="0">
                  <a:prstClr val="black">
                    <a:alpha val="40000"/>
                  </a:prstClr>
                </a:outerShdw>
              </a:effectLst>
              <a:uLnTx/>
              <a:uFillTx/>
              <a:latin typeface="Calibri Light"/>
              <a:ea typeface="+mn-ea"/>
              <a:cs typeface="+mn-cs"/>
            </a:rPr>
            <a:t>Сайт: </a:t>
          </a:r>
          <a:r>
            <a:rPr kumimoji="0" lang="en-US" sz="1800" b="1" i="0" u="none" strike="noStrike" kern="0" cap="none" spc="0" normalizeH="0" baseline="0" noProof="0">
              <a:ln w="0"/>
              <a:solidFill>
                <a:srgbClr val="4472C4">
                  <a:lumMod val="75000"/>
                </a:srgbClr>
              </a:solidFill>
              <a:effectLst>
                <a:outerShdw blurRad="38100" dist="19050" dir="2700000" algn="tl" rotWithShape="0">
                  <a:prstClr val="black">
                    <a:alpha val="40000"/>
                  </a:prstClr>
                </a:outerShdw>
              </a:effectLst>
              <a:uLnTx/>
              <a:uFillTx/>
              <a:latin typeface="Calibri Light"/>
              <a:ea typeface="+mn-ea"/>
              <a:cs typeface="+mn-cs"/>
            </a:rPr>
            <a:t>wilma-rus.ru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 noProof="0">
              <a:ln w="0"/>
              <a:solidFill>
                <a:srgbClr val="4472C4">
                  <a:lumMod val="75000"/>
                </a:srgbClr>
              </a:solidFill>
              <a:effectLst>
                <a:outerShdw blurRad="38100" dist="19050" dir="2700000" algn="tl" rotWithShape="0">
                  <a:prstClr val="black">
                    <a:alpha val="40000"/>
                  </a:prstClr>
                </a:outerShdw>
              </a:effectLst>
              <a:uLnTx/>
              <a:uFillTx/>
              <a:latin typeface="Calibri Light"/>
              <a:ea typeface="+mn-ea"/>
              <a:cs typeface="+mn-cs"/>
            </a:rPr>
            <a:t>           vitron.ru</a:t>
          </a:r>
          <a:endParaRPr kumimoji="0" lang="ru-RU" sz="1800" b="1" i="0" u="none" strike="noStrike" kern="0" cap="none" spc="0" normalizeH="0" baseline="0" noProof="0">
            <a:ln w="0"/>
            <a:solidFill>
              <a:srgbClr val="4472C4">
                <a:lumMod val="75000"/>
              </a:srgbClr>
            </a:solidFill>
            <a:effectLst>
              <a:outerShdw blurRad="38100" dist="19050" dir="2700000" algn="tl" rotWithShape="0">
                <a:prstClr val="black">
                  <a:alpha val="40000"/>
                </a:prstClr>
              </a:outerShdw>
            </a:effectLst>
            <a:uLnTx/>
            <a:uFillTx/>
            <a:latin typeface="Calibri Ligh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0" i="0" u="none" strike="noStrike" kern="0" cap="none" spc="0" normalizeH="0" baseline="0" noProof="0">
              <a:ln w="0"/>
              <a:solidFill>
                <a:srgbClr val="4472C4">
                  <a:lumMod val="75000"/>
                </a:srgbClr>
              </a:solidFill>
              <a:effectLst>
                <a:outerShdw blurRad="38100" dist="19050" dir="2700000" algn="tl" rotWithShape="0">
                  <a:prstClr val="black">
                    <a:alpha val="40000"/>
                  </a:prstClr>
                </a:outerShdw>
              </a:effectLst>
              <a:uLnTx/>
              <a:uFillTx/>
              <a:latin typeface="Calibri Light"/>
              <a:ea typeface="+mn-ea"/>
              <a:cs typeface="+mn-cs"/>
            </a:rPr>
            <a:t>e-mail</a:t>
          </a:r>
          <a:r>
            <a:rPr kumimoji="0" lang="ru-RU" sz="1800" b="0" i="0" u="none" strike="noStrike" kern="0" cap="none" spc="0" normalizeH="0" baseline="0" noProof="0">
              <a:ln w="0"/>
              <a:solidFill>
                <a:srgbClr val="4472C4">
                  <a:lumMod val="75000"/>
                </a:srgbClr>
              </a:solidFill>
              <a:effectLst>
                <a:outerShdw blurRad="38100" dist="19050" dir="2700000" algn="tl" rotWithShape="0">
                  <a:prstClr val="black">
                    <a:alpha val="40000"/>
                  </a:prstClr>
                </a:outerShdw>
              </a:effectLst>
              <a:uLnTx/>
              <a:uFillTx/>
              <a:latin typeface="Calibri Light"/>
              <a:ea typeface="+mn-ea"/>
              <a:cs typeface="+mn-cs"/>
            </a:rPr>
            <a:t>:</a:t>
          </a:r>
          <a:r>
            <a:rPr kumimoji="0" lang="en-US" sz="1800" b="0" i="0" u="none" strike="noStrike" kern="0" cap="none" spc="0" normalizeH="0" baseline="0" noProof="0">
              <a:ln w="0"/>
              <a:solidFill>
                <a:srgbClr val="4472C4">
                  <a:lumMod val="75000"/>
                </a:srgbClr>
              </a:solidFill>
              <a:effectLst>
                <a:outerShdw blurRad="38100" dist="19050" dir="2700000" algn="tl" rotWithShape="0">
                  <a:prstClr val="black">
                    <a:alpha val="40000"/>
                  </a:prstClr>
                </a:outerShdw>
              </a:effectLst>
              <a:uLnTx/>
              <a:uFillTx/>
              <a:latin typeface="Calibri Light"/>
              <a:ea typeface="+mn-ea"/>
              <a:cs typeface="+mn-cs"/>
            </a:rPr>
            <a:t> </a:t>
          </a:r>
          <a:r>
            <a:rPr kumimoji="0" lang="en-US" sz="1800" b="1" i="0" u="none" strike="noStrike" kern="0" cap="none" spc="0" normalizeH="0" baseline="0" noProof="0">
              <a:ln w="0"/>
              <a:solidFill>
                <a:srgbClr val="4472C4">
                  <a:lumMod val="75000"/>
                </a:srgbClr>
              </a:solidFill>
              <a:effectLst>
                <a:outerShdw blurRad="38100" dist="19050" dir="2700000" algn="tl" rotWithShape="0">
                  <a:prstClr val="black">
                    <a:alpha val="40000"/>
                  </a:prstClr>
                </a:outerShdw>
              </a:effectLst>
              <a:uLnTx/>
              <a:uFillTx/>
              <a:latin typeface="Calibri Light"/>
              <a:ea typeface="+mn-ea"/>
              <a:cs typeface="+mn-cs"/>
            </a:rPr>
            <a:t>info@wilma.ru</a:t>
          </a:r>
          <a:endParaRPr kumimoji="0" lang="ru-RU" sz="1800" b="1" i="0" u="none" strike="noStrike" kern="0" cap="none" spc="0" normalizeH="0" baseline="0" noProof="0">
            <a:ln w="0"/>
            <a:solidFill>
              <a:srgbClr val="4472C4">
                <a:lumMod val="75000"/>
              </a:srgbClr>
            </a:solidFill>
            <a:effectLst>
              <a:outerShdw blurRad="38100" dist="19050" dir="2700000" algn="tl" rotWithShape="0">
                <a:prstClr val="black">
                  <a:alpha val="40000"/>
                </a:prstClr>
              </a:outerShdw>
            </a:effectLst>
            <a:uLnTx/>
            <a:uFillTx/>
            <a:latin typeface="Calibri Ligh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22412</xdr:colOff>
      <xdr:row>9</xdr:row>
      <xdr:rowOff>56589</xdr:rowOff>
    </xdr:from>
    <xdr:ext cx="10149625" cy="511677"/>
    <xdr:sp macro="" textlink="">
      <xdr:nvSpPr>
        <xdr:cNvPr id="23" name="Прямоугольник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22412" y="1782295"/>
          <a:ext cx="10149625" cy="51167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Конвекторы</a:t>
          </a:r>
          <a:r>
            <a:rPr lang="ru-RU" sz="2400" b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встраиваемые в пол без вентилятора ВК </a:t>
          </a:r>
        </a:p>
        <a:p>
          <a:pPr algn="l"/>
          <a:r>
            <a:rPr lang="ru-RU" sz="2400" b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(естественная конвекция)</a:t>
          </a:r>
          <a:endParaRPr lang="ru-RU" sz="24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10</xdr:col>
      <xdr:colOff>25213</xdr:colOff>
      <xdr:row>11</xdr:row>
      <xdr:rowOff>93008</xdr:rowOff>
    </xdr:from>
    <xdr:ext cx="9040346" cy="7504579"/>
    <xdr:sp macro="" textlink="">
      <xdr:nvSpPr>
        <xdr:cNvPr id="25" name="Прямоугольник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6076389" y="2199714"/>
          <a:ext cx="9040346" cy="7504579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l"/>
          <a:r>
            <a:rPr lang="ru-RU" sz="1600" b="0" i="0" u="sng" strike="noStrike" baseline="0">
              <a:solidFill>
                <a:srgbClr val="C00000"/>
              </a:solidFill>
              <a:latin typeface="+mj-lt"/>
              <a:ea typeface="+mn-ea"/>
              <a:cs typeface="+mn-cs"/>
            </a:rPr>
            <a:t>Встраиваемый в пол конвектор с естественной конвекцией </a:t>
          </a:r>
          <a:r>
            <a:rPr lang="de-DE" sz="1600" b="0" i="0" u="sng" strike="noStrike" baseline="0">
              <a:solidFill>
                <a:srgbClr val="C00000"/>
              </a:solidFill>
              <a:latin typeface="+mj-lt"/>
              <a:ea typeface="+mn-ea"/>
              <a:cs typeface="+mn-cs"/>
            </a:rPr>
            <a:t>VITRON </a:t>
          </a:r>
          <a:r>
            <a:rPr lang="de-DE" sz="1600" b="0" i="0" u="none" strike="noStrike" baseline="0">
              <a:solidFill>
                <a:srgbClr val="C00000"/>
              </a:solidFill>
              <a:latin typeface="+mj-lt"/>
              <a:ea typeface="+mn-ea"/>
              <a:cs typeface="+mn-cs"/>
            </a:rPr>
            <a:t>-</a:t>
          </a:r>
          <a:r>
            <a:rPr lang="ru-RU" sz="1600" b="0" i="0" u="none" strike="noStrike" baseline="0">
              <a:latin typeface="+mj-lt"/>
              <a:ea typeface="+mn-ea"/>
              <a:cs typeface="+mn-cs"/>
            </a:rPr>
            <a:t>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отопительный прибор, в котором установлен медно-алюминиевый теплообменник, тепло от которого передаётся в отапливаемое помещение путём естественной конвекции. Позволяет преградить поток холодного воздуха от застеклённых фасадов или окон. Данный тип конвектора служит для отопления только сухих помещений. Применяется в качестве основного отопительного прибора в помещениях с небольшими потребностями в отоплении или вспомогательного отопительного прибора с системами тёплого пола, вентиляции, радиаторного водяного отопления. Может быть установлен как в однотрубную, так и в двухтрубную систему отопления.</a:t>
          </a:r>
          <a:endParaRPr lang="ru-RU" sz="1400" b="0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endParaRPr lang="ru-RU" sz="1600">
            <a:latin typeface="+mn-lt"/>
          </a:endParaRPr>
        </a:p>
        <a:p>
          <a:r>
            <a:rPr lang="ru-RU" sz="1600">
              <a:latin typeface="+mn-lt"/>
            </a:rPr>
            <a:t>Конструктивные особенности: </a:t>
          </a:r>
        </a:p>
        <a:p>
          <a:pPr algn="l"/>
          <a:r>
            <a:rPr lang="ru-RU" sz="1100" b="0" i="0" baseline="0">
              <a:effectLst/>
              <a:latin typeface="+mn-lt"/>
              <a:ea typeface="+mn-ea"/>
              <a:cs typeface="+mn-cs"/>
            </a:rPr>
            <a:t>•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материал корпуса - оцинкованная сталь толщиной 1 мм,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покрытая износостойким порошковым покрытием (цвет покрытия: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чёрный матовый);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• материал и покрытие решётки - анодированный алюминий, алюминий с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порошковым покрытием, дерево (дуб);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• регулировка по высоте от 0 до 40 мм за счёт специальных установочных ножек;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• подключение теплообменника -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G1/2’’ (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внутренняя резьба);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• применение материалов с повышенными теплопередающими свойствами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(С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u -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медь,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Al -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алюминий) и стойких к коррозии;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• съёмный медно-алюминиевый теплообменник, покрытый износостойким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порошковым покрытием (цвет покрытия: чёрный матовый);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• специальные юстировочные винты позволяют легко выровнять конвектор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в горизонтальной плоскости.. </a:t>
          </a:r>
          <a:endParaRPr lang="ru-RU" sz="1600" b="0" i="0" baseline="0">
            <a:effectLst/>
            <a:latin typeface="+mj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600" b="0" i="0" baseline="0">
            <a:effectLst/>
            <a:latin typeface="+mj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600" b="0" i="0" baseline="0">
              <a:effectLst/>
              <a:latin typeface="+mn-lt"/>
              <a:ea typeface="+mn-ea"/>
              <a:cs typeface="+mn-cs"/>
            </a:rPr>
            <a:t>Стандартный комплект поставки: </a:t>
          </a:r>
          <a:endParaRPr lang="ru-RU" sz="1600" b="0" i="0" u="none" strike="noStrike" baseline="0">
            <a:latin typeface="+mn-lt"/>
            <a:ea typeface="+mn-ea"/>
            <a:cs typeface="+mn-cs"/>
          </a:endParaRPr>
        </a:p>
        <a:p>
          <a:r>
            <a:rPr lang="ru-RU" sz="1400" b="0" i="0" baseline="0">
              <a:effectLst/>
              <a:latin typeface="+mn-lt"/>
              <a:ea typeface="+mn-ea"/>
              <a:cs typeface="+mn-cs"/>
            </a:rPr>
            <a:t>•</a:t>
          </a:r>
          <a:r>
            <a:rPr lang="ru-RU" sz="1100" b="0" i="0" baseline="0">
              <a:effectLst/>
              <a:latin typeface="+mn-lt"/>
              <a:ea typeface="+mn-ea"/>
              <a:cs typeface="+mn-cs"/>
            </a:rPr>
            <a:t>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корпус из оцинкованной стали покрытый порошковым покрытием;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комплект установочных ножек;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поперечная или продольная решётка;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декоративная рамка из алюминиевого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L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и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Z-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образного профиля или окантовка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из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J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и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F-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профиля, выполненная в цвет решётки;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медно-алюминиевый теплообменник (диаметр медной трубы 15 мм);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воздухоотводчик ручной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G1/8’’;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технический паспорт, инструкция по монтажу и эксплуатации;</a:t>
          </a:r>
        </a:p>
        <a:p>
          <a:r>
            <a:rPr lang="ru-RU" sz="1400" b="0" i="0" baseline="0">
              <a:effectLst/>
              <a:latin typeface="+mn-lt"/>
              <a:ea typeface="+mn-ea"/>
              <a:cs typeface="+mn-cs"/>
            </a:rPr>
            <a:t>•</a:t>
          </a:r>
          <a:r>
            <a:rPr lang="ru-RU" sz="1100" b="0" i="0" baseline="0">
              <a:effectLst/>
              <a:latin typeface="+mn-lt"/>
              <a:ea typeface="+mn-ea"/>
              <a:cs typeface="+mn-cs"/>
            </a:rPr>
            <a:t> </a:t>
          </a:r>
          <a:r>
            <a:rPr lang="ru-RU" sz="1400" b="0" i="0" baseline="0">
              <a:effectLst/>
              <a:latin typeface="+mn-lt"/>
              <a:ea typeface="+mn-ea"/>
              <a:cs typeface="+mn-cs"/>
            </a:rPr>
            <a:t>монтажная доска для защиты от механических повреждений.</a:t>
          </a:r>
          <a:endParaRPr lang="ru-RU" sz="1400" b="0" i="0" u="none" strike="noStrike" baseline="0">
            <a:latin typeface="+mj-lt"/>
            <a:ea typeface="+mn-ea"/>
            <a:cs typeface="+mn-cs"/>
          </a:endParaRPr>
        </a:p>
        <a:p>
          <a:endParaRPr lang="ru-RU" sz="1800" b="0" i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twoCellAnchor editAs="oneCell">
    <xdr:from>
      <xdr:col>0</xdr:col>
      <xdr:colOff>77127</xdr:colOff>
      <xdr:row>13</xdr:row>
      <xdr:rowOff>182096</xdr:rowOff>
    </xdr:from>
    <xdr:to>
      <xdr:col>10</xdr:col>
      <xdr:colOff>14202</xdr:colOff>
      <xdr:row>50</xdr:row>
      <xdr:rowOff>48746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27" y="2669802"/>
          <a:ext cx="5988251" cy="6915150"/>
        </a:xfrm>
        <a:prstGeom prst="rect">
          <a:avLst/>
        </a:prstGeom>
      </xdr:spPr>
    </xdr:pic>
    <xdr:clientData/>
  </xdr:twoCellAnchor>
  <xdr:oneCellAnchor>
    <xdr:from>
      <xdr:col>0</xdr:col>
      <xdr:colOff>209550</xdr:colOff>
      <xdr:row>52</xdr:row>
      <xdr:rowOff>76200</xdr:rowOff>
    </xdr:from>
    <xdr:ext cx="11553825" cy="511677"/>
    <xdr:sp macro="" textlink="">
      <xdr:nvSpPr>
        <xdr:cNvPr id="92" name="Прямоугольник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/>
      </xdr:nvSpPr>
      <xdr:spPr>
        <a:xfrm>
          <a:off x="209550" y="9421906"/>
          <a:ext cx="11553825" cy="51167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Конвекторы</a:t>
          </a:r>
          <a:r>
            <a:rPr lang="ru-RU" sz="2400" b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встраиваемые в пол с вентилятором</a:t>
          </a:r>
          <a:r>
            <a:rPr lang="en-US" sz="2400" b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</a:t>
          </a:r>
          <a:r>
            <a:rPr lang="ru-RU" sz="2400" b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24В  ВКВ </a:t>
          </a:r>
        </a:p>
        <a:p>
          <a:pPr algn="l"/>
          <a:r>
            <a:rPr lang="ru-RU" sz="2400" b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(принудительная конвекция)</a:t>
          </a:r>
          <a:endParaRPr lang="ru-RU" sz="24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10</xdr:col>
      <xdr:colOff>0</xdr:colOff>
      <xdr:row>55</xdr:row>
      <xdr:rowOff>0</xdr:rowOff>
    </xdr:from>
    <xdr:ext cx="8743950" cy="7715250"/>
    <xdr:sp macro="" textlink="">
      <xdr:nvSpPr>
        <xdr:cNvPr id="93" name="Прямоугольник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/>
      </xdr:nvSpPr>
      <xdr:spPr>
        <a:xfrm>
          <a:off x="6051176" y="18108706"/>
          <a:ext cx="8743950" cy="7715250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l"/>
          <a:r>
            <a:rPr lang="ru-RU" sz="1600" b="0" i="0" u="sng" strike="noStrike" baseline="0">
              <a:solidFill>
                <a:srgbClr val="C00000"/>
              </a:solidFill>
              <a:latin typeface="+mj-lt"/>
              <a:ea typeface="+mn-ea"/>
              <a:cs typeface="+mn-cs"/>
            </a:rPr>
            <a:t>Встраиваемый в пол конвектор с принудительной конвекцией </a:t>
          </a:r>
          <a:r>
            <a:rPr lang="de-DE" sz="1600" b="0" i="0" u="sng" strike="noStrike" baseline="0">
              <a:solidFill>
                <a:srgbClr val="C00000"/>
              </a:solidFill>
              <a:latin typeface="+mj-lt"/>
              <a:ea typeface="+mn-ea"/>
              <a:cs typeface="+mn-cs"/>
            </a:rPr>
            <a:t>VITRON </a:t>
          </a:r>
          <a:r>
            <a:rPr lang="de-DE" sz="1600" b="0" i="0" u="none" strike="noStrike" baseline="0">
              <a:solidFill>
                <a:srgbClr val="C00000"/>
              </a:solidFill>
              <a:latin typeface="+mj-lt"/>
              <a:ea typeface="+mn-ea"/>
              <a:cs typeface="+mn-cs"/>
            </a:rPr>
            <a:t>-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отопительный прибор, в котором установлен медно-алюминиевый теплообменник и тангенциальный вентилятор постоянного тока, тепло от которого передаётся в отапливаемое помещение путём естественной (при выключенном вентиляторе), и принудительной (при включённом вентиляторе) конвекции. Позволяет преградить поток холодного воздуха от застекленных фасадов или окон. Данный тип конвектора служит для отопления только сухих помещений. Применяется в качестве основного отопительного прибора в помещениях с любыми потребностями в интенсивности отопления. Возможно комбинированное использование с системами тёплого пола, вентиляции, радиаторного водяного отопления. Может быть установлен как в однотрубную, так и в двухтрубную систему отопления.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600" b="0" i="0" baseline="0"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600" b="0" i="0" baseline="0">
              <a:effectLst/>
              <a:latin typeface="+mn-lt"/>
              <a:ea typeface="+mn-ea"/>
              <a:cs typeface="+mn-cs"/>
            </a:rPr>
            <a:t>Конструктивные особенности: </a:t>
          </a:r>
          <a:endParaRPr lang="ru-RU" sz="1600" b="0" i="0" u="none" strike="noStrike" baseline="0">
            <a:latin typeface="+mn-lt"/>
            <a:ea typeface="+mn-ea"/>
            <a:cs typeface="+mn-cs"/>
          </a:endParaRP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материал корпуса - оцинкованная сталь толщиной 1 мм, покрытая износостойким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порошковым покрытием (цвет покрытия: чёрный матовый);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материал и покрытие решётки - анодированный алюминий, алюминий с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порошковым покрытием, дерево (дуб);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регулировка по высоте от 0 до 40 мм за счёт специальных установочных ножек;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подключение теплообменника -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G1/2’’ (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внутренняя резьба);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применение материалов с повышенными теплопередающими свойствами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(С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u -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медь,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Al -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алюминий) и стойких к коррозии;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съёмный медно-алюминиевый теплообменник, покрытый износостойким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порошковым покрытием (цвет покрытия: чёрный матовый);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специальные юстировочные винты позволяют легко выровнять конвектор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в горизонтальной плоскости;</a:t>
          </a:r>
          <a:endParaRPr lang="ru-RU" sz="1400" b="0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endParaRPr lang="ru-RU" sz="1600" b="0" i="0" u="none" strike="noStrike" baseline="0">
            <a:latin typeface="+mn-lt"/>
            <a:ea typeface="+mn-ea"/>
            <a:cs typeface="+mn-cs"/>
          </a:endParaRPr>
        </a:p>
        <a:p>
          <a:r>
            <a:rPr lang="ru-RU" sz="1600" b="0" i="0" u="none" strike="noStrike" baseline="0">
              <a:latin typeface="+mn-lt"/>
              <a:ea typeface="+mn-ea"/>
              <a:cs typeface="+mn-cs"/>
            </a:rPr>
            <a:t>Стандартный комплект поставки: 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корпус из оцинкованной стали покрытый порошковым покрытием;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тангенциальный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DC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вентилятор, напряжением питания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24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В с уменьшенным уровнем шума;</a:t>
          </a:r>
          <a:endParaRPr lang="en-US" sz="1400" b="0" i="0" u="none" strike="noStrike" baseline="0">
            <a:latin typeface="+mj-lt"/>
            <a:ea typeface="+mn-ea"/>
            <a:cs typeface="+mn-cs"/>
          </a:endParaRPr>
        </a:p>
        <a:p>
          <a:r>
            <a:rPr lang="ru-RU" sz="1400" b="0" i="0" baseline="0">
              <a:effectLst/>
              <a:latin typeface="+mn-lt"/>
              <a:ea typeface="+mn-ea"/>
              <a:cs typeface="+mn-cs"/>
            </a:rPr>
            <a:t>•</a:t>
          </a:r>
          <a:r>
            <a:rPr lang="en-US" sz="1400" b="0" i="0" baseline="0">
              <a:effectLst/>
              <a:latin typeface="+mn-lt"/>
              <a:ea typeface="+mn-ea"/>
              <a:cs typeface="+mn-cs"/>
            </a:rPr>
            <a:t> </a:t>
          </a:r>
          <a:r>
            <a:rPr lang="ru-RU" sz="1400" b="0" i="0" baseline="0">
              <a:effectLst/>
              <a:latin typeface="+mj-lt"/>
              <a:ea typeface="+mn-ea"/>
              <a:cs typeface="+mn-cs"/>
            </a:rPr>
            <a:t>блок управления вентилятором; </a:t>
          </a:r>
          <a:endParaRPr lang="ru-RU" sz="1400" b="0" i="0" u="none" strike="noStrike" baseline="0">
            <a:latin typeface="+mj-lt"/>
            <a:ea typeface="+mn-ea"/>
            <a:cs typeface="+mn-cs"/>
          </a:endParaRP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комплект установочных ножек;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поперечная или продольная решётка;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декоративная рамка из алюминиевого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L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и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Z-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образного профиля или окантовка из</a:t>
          </a:r>
        </a:p>
        <a:p>
          <a:r>
            <a:rPr lang="en-US" sz="1400" b="0" i="0" u="none" strike="noStrike" baseline="0">
              <a:latin typeface="+mj-lt"/>
              <a:ea typeface="+mn-ea"/>
              <a:cs typeface="+mn-cs"/>
            </a:rPr>
            <a:t>J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и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F-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профиля, выполненная в цвет решётки;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медно-алюминиевый теплообменник (диаметр медной трубы 15 мм);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воздухоотводчик ручной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G1/8’’;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технический паспорт, инструкция по монтажу и эксплуатации;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+mn-lt"/>
              <a:ea typeface="+mn-ea"/>
              <a:cs typeface="+mn-cs"/>
            </a:rPr>
            <a:t>• монтажная доска для защиты от механических повреждений.</a:t>
          </a:r>
          <a:endParaRPr lang="ru-RU" sz="1400">
            <a:effectLst/>
          </a:endParaRPr>
        </a:p>
      </xdr:txBody>
    </xdr:sp>
    <xdr:clientData/>
  </xdr:oneCellAnchor>
  <xdr:twoCellAnchor editAs="oneCell">
    <xdr:from>
      <xdr:col>0</xdr:col>
      <xdr:colOff>266</xdr:colOff>
      <xdr:row>58</xdr:row>
      <xdr:rowOff>103907</xdr:rowOff>
    </xdr:from>
    <xdr:to>
      <xdr:col>10</xdr:col>
      <xdr:colOff>2588</xdr:colOff>
      <xdr:row>96</xdr:row>
      <xdr:rowOff>180312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" y="18974613"/>
          <a:ext cx="6053498" cy="7315405"/>
        </a:xfrm>
        <a:prstGeom prst="rect">
          <a:avLst/>
        </a:prstGeom>
      </xdr:spPr>
    </xdr:pic>
    <xdr:clientData/>
  </xdr:twoCellAnchor>
  <xdr:twoCellAnchor editAs="oneCell">
    <xdr:from>
      <xdr:col>0</xdr:col>
      <xdr:colOff>170889</xdr:colOff>
      <xdr:row>143</xdr:row>
      <xdr:rowOff>80122</xdr:rowOff>
    </xdr:from>
    <xdr:to>
      <xdr:col>10</xdr:col>
      <xdr:colOff>184532</xdr:colOff>
      <xdr:row>179</xdr:row>
      <xdr:rowOff>145676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0889" y="59717828"/>
          <a:ext cx="6064819" cy="6923554"/>
        </a:xfrm>
        <a:prstGeom prst="rect">
          <a:avLst/>
        </a:prstGeom>
      </xdr:spPr>
    </xdr:pic>
    <xdr:clientData/>
  </xdr:twoCellAnchor>
  <xdr:oneCellAnchor>
    <xdr:from>
      <xdr:col>0</xdr:col>
      <xdr:colOff>358588</xdr:colOff>
      <xdr:row>180</xdr:row>
      <xdr:rowOff>22411</xdr:rowOff>
    </xdr:from>
    <xdr:ext cx="11553825" cy="739589"/>
    <xdr:sp macro="" textlink="">
      <xdr:nvSpPr>
        <xdr:cNvPr id="133" name="Прямоугольник 132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SpPr/>
      </xdr:nvSpPr>
      <xdr:spPr>
        <a:xfrm>
          <a:off x="358588" y="66706936"/>
          <a:ext cx="11553825" cy="73958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Конвекторы</a:t>
          </a:r>
          <a:r>
            <a:rPr lang="ru-RU" sz="2400" b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встраиваемые в пол с вентилятором</a:t>
          </a:r>
          <a:r>
            <a:rPr lang="en-US" sz="2400" b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</a:t>
          </a:r>
          <a:r>
            <a:rPr lang="ru-RU" sz="2400" b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24В  и электрическим тэном. ВКВ+ВКЭ</a:t>
          </a:r>
        </a:p>
        <a:p>
          <a:pPr algn="l"/>
          <a:r>
            <a:rPr lang="ru-RU" sz="2400" b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(принудительная конвекция)</a:t>
          </a:r>
          <a:endParaRPr lang="ru-RU" sz="24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10</xdr:col>
      <xdr:colOff>201706</xdr:colOff>
      <xdr:row>183</xdr:row>
      <xdr:rowOff>89647</xdr:rowOff>
    </xdr:from>
    <xdr:ext cx="8743950" cy="9188824"/>
    <xdr:sp macro="" textlink="">
      <xdr:nvSpPr>
        <xdr:cNvPr id="144" name="Прямоугольник 143">
          <a:extLs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SpPr/>
      </xdr:nvSpPr>
      <xdr:spPr>
        <a:xfrm>
          <a:off x="6252882" y="67347353"/>
          <a:ext cx="8743950" cy="9188824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600" b="0" i="0" u="sng" strike="noStrike" baseline="0">
              <a:solidFill>
                <a:srgbClr val="C00000"/>
              </a:solidFill>
              <a:latin typeface="+mj-lt"/>
              <a:ea typeface="+mn-ea"/>
              <a:cs typeface="+mn-cs"/>
            </a:rPr>
            <a:t>Встраиваемый в пол конвектор с принудительной конвекцией и электрическим тэном</a:t>
          </a:r>
          <a:r>
            <a:rPr lang="de-DE" sz="1600" b="0" i="0" u="sng" strike="noStrike" baseline="0">
              <a:solidFill>
                <a:srgbClr val="C00000"/>
              </a:solidFill>
              <a:latin typeface="+mj-lt"/>
              <a:ea typeface="+mn-ea"/>
              <a:cs typeface="+mn-cs"/>
            </a:rPr>
            <a:t>VITRON </a:t>
          </a:r>
          <a:r>
            <a:rPr lang="de-DE" sz="1600" b="0" i="0" u="none" strike="noStrike" baseline="0">
              <a:solidFill>
                <a:srgbClr val="C00000"/>
              </a:solidFill>
              <a:latin typeface="+mj-lt"/>
              <a:ea typeface="+mn-ea"/>
              <a:cs typeface="+mn-cs"/>
            </a:rPr>
            <a:t>-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отопительный прибор, в котором установлен медно-алюминиевый теплообменник , тангенциальный вентилятор постоянного тока и электрический тэн, тепло от которых передаётся в отапливаемое помещение путём естественной (при выключенном вентиляторе), и принудительной (при включённом вентиляторе) конвекции. Позволяет преградить поток холодного воздуха от застекленных фасадов или окон. Данный тип конвектора служит для отопления только сухих помещений. Применяется в качестве основного отопительного прибора в помещениях с любыми потребностями в интенсивности отопления. </a:t>
          </a:r>
          <a:r>
            <a:rPr lang="ru-RU" sz="1400">
              <a:effectLst/>
              <a:latin typeface="+mj-lt"/>
              <a:ea typeface="+mn-ea"/>
              <a:cs typeface="+mn-cs"/>
            </a:rPr>
            <a:t>Основным преимуществом данного конвектора является то, что отопление помещения может начаться не зависимо от отопительного сезона, за счет электрического тэна.</a:t>
          </a:r>
          <a:r>
            <a:rPr lang="ru-RU" sz="1400" baseline="0">
              <a:effectLst/>
              <a:latin typeface="+mj-lt"/>
              <a:ea typeface="+mn-ea"/>
              <a:cs typeface="+mn-cs"/>
            </a:rPr>
            <a:t>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Возможно комбинированное использование с системами тёплого пола, вентиляции, радиаторного водяного отопления. Может быть установлен как в однотрубную, так и в двухтрубную систему отопления и подключен к сети 220В. </a:t>
          </a:r>
        </a:p>
        <a:p>
          <a:pPr algn="l"/>
          <a:endParaRPr lang="ru-RU" sz="1600" b="0" i="0" baseline="0"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600" b="0" i="0" baseline="0">
              <a:effectLst/>
              <a:latin typeface="+mn-lt"/>
              <a:ea typeface="+mn-ea"/>
              <a:cs typeface="+mn-cs"/>
            </a:rPr>
            <a:t>Конструктивные особенности: </a:t>
          </a:r>
          <a:endParaRPr lang="ru-RU" sz="1600" b="0" i="0" u="none" strike="noStrike" baseline="0">
            <a:latin typeface="+mn-lt"/>
            <a:ea typeface="+mn-ea"/>
            <a:cs typeface="+mn-cs"/>
          </a:endParaRP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материал корпуса - оцинкованная сталь толщиной 1 мм, покрытая износостойким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порошковым покрытием (цвет покрытия: чёрный матовый);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материал и покрытие решётки - анодированный алюминий, алюминий с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порошковым покрытием);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регулировка по высоте от 0 до 40 мм за счёт специальных установочных ножек;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подключение теплообменника -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G1/2’’ (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внутренняя резьба);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применение материалов с повышенными теплопередающими свойствами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(С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u -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медь,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Al -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алюминий) и стойких к коррозии;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съёмный медно-алюминиевый теплообменник, покрытый износостойким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порошковым покрытием (цвет покрытия: чёрный матовый);</a:t>
          </a:r>
        </a:p>
        <a:p>
          <a:r>
            <a:rPr lang="ru-RU" sz="1400" b="0" i="0" baseline="0">
              <a:effectLst/>
              <a:latin typeface="+mn-lt"/>
              <a:ea typeface="+mn-ea"/>
              <a:cs typeface="+mn-cs"/>
            </a:rPr>
            <a:t>• </a:t>
          </a:r>
          <a:r>
            <a:rPr lang="ru-RU" sz="1400" b="0" i="0" baseline="0">
              <a:effectLst/>
              <a:latin typeface="+mj-lt"/>
              <a:ea typeface="+mn-ea"/>
              <a:cs typeface="+mn-cs"/>
            </a:rPr>
            <a:t>электронагревательный прибор ( ТЭН ) в виде металлической</a:t>
          </a:r>
          <a:endParaRPr lang="ru-RU" sz="1400">
            <a:effectLst/>
            <a:latin typeface="+mj-lt"/>
          </a:endParaRPr>
        </a:p>
        <a:p>
          <a:r>
            <a:rPr lang="ru-RU" sz="1400" b="0" i="0" baseline="0">
              <a:effectLst/>
              <a:latin typeface="+mj-lt"/>
              <a:ea typeface="+mn-ea"/>
              <a:cs typeface="+mn-cs"/>
            </a:rPr>
            <a:t>трубки, заполненной теплопроводящим электрическим изолятором;</a:t>
          </a:r>
          <a:endParaRPr lang="ru-RU" sz="1400" b="0" i="0" u="none" strike="noStrike" baseline="0">
            <a:latin typeface="+mj-lt"/>
            <a:ea typeface="+mn-ea"/>
            <a:cs typeface="+mn-cs"/>
          </a:endParaRP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специальные юстировочные винты позволяют легко выровнять конвектор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в горизонтальной плоскости;</a:t>
          </a:r>
          <a:endParaRPr lang="ru-RU" sz="1400" b="0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endParaRPr lang="ru-RU" sz="1600" b="0" i="0" u="none" strike="noStrike" baseline="0">
            <a:latin typeface="+mn-lt"/>
            <a:ea typeface="+mn-ea"/>
            <a:cs typeface="+mn-cs"/>
          </a:endParaRPr>
        </a:p>
        <a:p>
          <a:r>
            <a:rPr lang="ru-RU" sz="1600" b="0" i="0" u="none" strike="noStrike" baseline="0">
              <a:latin typeface="+mn-lt"/>
              <a:ea typeface="+mn-ea"/>
              <a:cs typeface="+mn-cs"/>
            </a:rPr>
            <a:t>Стандартный комплект поставки: 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корпус из оцинкованной стали покрытый порошковым покрытием;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тангенциальный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DC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вентилятор, напряжением питания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24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В с уменьшенным уровнем шума;</a:t>
          </a:r>
          <a:endParaRPr lang="en-US" sz="1400" b="0" i="0" u="none" strike="noStrike" baseline="0">
            <a:latin typeface="+mj-lt"/>
            <a:ea typeface="+mn-ea"/>
            <a:cs typeface="+mn-cs"/>
          </a:endParaRPr>
        </a:p>
        <a:p>
          <a:r>
            <a:rPr lang="ru-RU" sz="1400" b="0" i="0" baseline="0">
              <a:effectLst/>
              <a:latin typeface="+mn-lt"/>
              <a:ea typeface="+mn-ea"/>
              <a:cs typeface="+mn-cs"/>
            </a:rPr>
            <a:t>•</a:t>
          </a:r>
          <a:r>
            <a:rPr lang="en-US" sz="1400" b="0" i="0" baseline="0">
              <a:effectLst/>
              <a:latin typeface="+mn-lt"/>
              <a:ea typeface="+mn-ea"/>
              <a:cs typeface="+mn-cs"/>
            </a:rPr>
            <a:t> </a:t>
          </a:r>
          <a:r>
            <a:rPr lang="ru-RU" sz="1400" b="0" i="0" baseline="0">
              <a:effectLst/>
              <a:latin typeface="+mj-lt"/>
              <a:ea typeface="+mn-ea"/>
              <a:cs typeface="+mn-cs"/>
            </a:rPr>
            <a:t>блок управления вентилятором; </a:t>
          </a:r>
          <a:endParaRPr lang="ru-RU" sz="1400" b="0" i="0" u="none" strike="noStrike" baseline="0">
            <a:latin typeface="+mj-lt"/>
            <a:ea typeface="+mn-ea"/>
            <a:cs typeface="+mn-cs"/>
          </a:endParaRP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комплект установочных ножек;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поперечная или продольная решётка;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декоративная рамка из алюминиевого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L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и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Z-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образного профиля или окантовка из</a:t>
          </a:r>
        </a:p>
        <a:p>
          <a:r>
            <a:rPr lang="en-US" sz="1400" b="0" i="0" u="none" strike="noStrike" baseline="0">
              <a:latin typeface="+mj-lt"/>
              <a:ea typeface="+mn-ea"/>
              <a:cs typeface="+mn-cs"/>
            </a:rPr>
            <a:t>J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и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F-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профиля, выполненная в цвет решётки;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медно-алюминиевый теплообменник (диаметр медной трубы 15 мм);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воздухоотводчик ручной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G1/8’’;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технический паспорт, инструкция по монтажу и эксплуатации;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+mn-lt"/>
              <a:ea typeface="+mn-ea"/>
              <a:cs typeface="+mn-cs"/>
            </a:rPr>
            <a:t>• монтажная доска для защиты от механических повреждений.</a:t>
          </a:r>
          <a:endParaRPr lang="ru-RU" sz="1400">
            <a:effectLst/>
          </a:endParaRPr>
        </a:p>
      </xdr:txBody>
    </xdr:sp>
    <xdr:clientData/>
  </xdr:oneCellAnchor>
  <xdr:twoCellAnchor editAs="oneCell">
    <xdr:from>
      <xdr:col>0</xdr:col>
      <xdr:colOff>156882</xdr:colOff>
      <xdr:row>182</xdr:row>
      <xdr:rowOff>56029</xdr:rowOff>
    </xdr:from>
    <xdr:to>
      <xdr:col>10</xdr:col>
      <xdr:colOff>224117</xdr:colOff>
      <xdr:row>220</xdr:row>
      <xdr:rowOff>46287</xdr:rowOff>
    </xdr:to>
    <xdr:pic>
      <xdr:nvPicPr>
        <xdr:cNvPr id="131" name="Рисунок 130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882" y="67123235"/>
          <a:ext cx="6118411" cy="7229258"/>
        </a:xfrm>
        <a:prstGeom prst="rect">
          <a:avLst/>
        </a:prstGeom>
      </xdr:spPr>
    </xdr:pic>
    <xdr:clientData/>
  </xdr:twoCellAnchor>
  <xdr:twoCellAnchor editAs="oneCell">
    <xdr:from>
      <xdr:col>0</xdr:col>
      <xdr:colOff>168088</xdr:colOff>
      <xdr:row>183</xdr:row>
      <xdr:rowOff>11206</xdr:rowOff>
    </xdr:from>
    <xdr:to>
      <xdr:col>10</xdr:col>
      <xdr:colOff>212912</xdr:colOff>
      <xdr:row>223</xdr:row>
      <xdr:rowOff>100853</xdr:rowOff>
    </xdr:to>
    <xdr:pic>
      <xdr:nvPicPr>
        <xdr:cNvPr id="143" name="Рисунок 142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5732" b="8010"/>
        <a:stretch/>
      </xdr:blipFill>
      <xdr:spPr>
        <a:xfrm>
          <a:off x="168088" y="67268912"/>
          <a:ext cx="6096000" cy="7709647"/>
        </a:xfrm>
        <a:prstGeom prst="rect">
          <a:avLst/>
        </a:prstGeom>
      </xdr:spPr>
    </xdr:pic>
    <xdr:clientData/>
  </xdr:twoCellAnchor>
  <xdr:oneCellAnchor>
    <xdr:from>
      <xdr:col>0</xdr:col>
      <xdr:colOff>1</xdr:colOff>
      <xdr:row>97</xdr:row>
      <xdr:rowOff>123825</xdr:rowOff>
    </xdr:from>
    <xdr:ext cx="7642412" cy="511677"/>
    <xdr:sp macro="" textlink="">
      <xdr:nvSpPr>
        <xdr:cNvPr id="113" name="Прямоугольник 112">
          <a:extLst>
            <a:ext uri="{FF2B5EF4-FFF2-40B4-BE49-F238E27FC236}">
              <a16:creationId xmlns:a16="http://schemas.microsoft.com/office/drawing/2014/main" id="{4E1BA9DC-BA25-405D-89AF-6ABAEF7E147C}"/>
            </a:ext>
          </a:extLst>
        </xdr:cNvPr>
        <xdr:cNvSpPr/>
      </xdr:nvSpPr>
      <xdr:spPr>
        <a:xfrm>
          <a:off x="1" y="18611850"/>
          <a:ext cx="7642412" cy="51167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Конвекторы</a:t>
          </a:r>
          <a:r>
            <a:rPr lang="ru-RU" sz="2400" b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встраиваемые в пол без вентилятора ВК.МАХ </a:t>
          </a:r>
        </a:p>
        <a:p>
          <a:pPr algn="l"/>
          <a:r>
            <a:rPr lang="ru-RU" sz="2400" b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(естественная конвекция)</a:t>
          </a:r>
          <a:endParaRPr lang="ru-RU" sz="24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10</xdr:col>
      <xdr:colOff>47625</xdr:colOff>
      <xdr:row>99</xdr:row>
      <xdr:rowOff>171450</xdr:rowOff>
    </xdr:from>
    <xdr:ext cx="9040346" cy="7504579"/>
    <xdr:sp macro="" textlink="">
      <xdr:nvSpPr>
        <xdr:cNvPr id="114" name="Прямоугольник 113">
          <a:extLst>
            <a:ext uri="{FF2B5EF4-FFF2-40B4-BE49-F238E27FC236}">
              <a16:creationId xmlns:a16="http://schemas.microsoft.com/office/drawing/2014/main" id="{73D451DF-2C26-43B1-BC4E-6D96DDFB7747}"/>
            </a:ext>
          </a:extLst>
        </xdr:cNvPr>
        <xdr:cNvSpPr/>
      </xdr:nvSpPr>
      <xdr:spPr>
        <a:xfrm>
          <a:off x="6143625" y="19040475"/>
          <a:ext cx="9040346" cy="7504579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l"/>
          <a:r>
            <a:rPr lang="ru-RU" sz="1600" b="0" i="0" u="sng" strike="noStrike" baseline="0">
              <a:solidFill>
                <a:srgbClr val="C00000"/>
              </a:solidFill>
              <a:latin typeface="+mj-lt"/>
              <a:ea typeface="+mn-ea"/>
              <a:cs typeface="+mn-cs"/>
            </a:rPr>
            <a:t>Встраиваемый в пол конвектор с естественной конвекцией </a:t>
          </a:r>
          <a:r>
            <a:rPr lang="de-DE" sz="1600" b="0" i="0" u="sng" strike="noStrike" baseline="0">
              <a:solidFill>
                <a:srgbClr val="C00000"/>
              </a:solidFill>
              <a:latin typeface="+mj-lt"/>
              <a:ea typeface="+mn-ea"/>
              <a:cs typeface="+mn-cs"/>
            </a:rPr>
            <a:t>VITRON </a:t>
          </a:r>
          <a:r>
            <a:rPr lang="de-DE" sz="1600" b="0" i="0" u="none" strike="noStrike" baseline="0">
              <a:solidFill>
                <a:srgbClr val="C00000"/>
              </a:solidFill>
              <a:latin typeface="+mj-lt"/>
              <a:ea typeface="+mn-ea"/>
              <a:cs typeface="+mn-cs"/>
            </a:rPr>
            <a:t>-</a:t>
          </a:r>
          <a:r>
            <a:rPr lang="ru-RU" sz="1600" b="0" i="0" u="none" strike="noStrike" baseline="0">
              <a:latin typeface="+mj-lt"/>
              <a:ea typeface="+mn-ea"/>
              <a:cs typeface="+mn-cs"/>
            </a:rPr>
            <a:t>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отопительный прибор, в котором установлен медно-алюминиевый теплообменник, тепло от которого передаётся в отапливаемое помещение путём естественной конвекции. Позволяет преградить поток холодного воздуха от застеклённых фасадов или окон. Данный тип конвектора служит для отопления только сухих помещений. Применяется в качестве основного отопительного прибора в помещениях с небольшими потребностями в отоплении или вспомогательного отопительного прибора с системами тёплого пола, вентиляции, радиаторного водяного отопления. Может быть установлен как в однотрубную, так и в двухтрубную систему отопления.</a:t>
          </a:r>
          <a:endParaRPr lang="ru-RU" sz="1400" b="0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endParaRPr lang="ru-RU" sz="1600">
            <a:latin typeface="+mn-lt"/>
          </a:endParaRPr>
        </a:p>
        <a:p>
          <a:r>
            <a:rPr lang="ru-RU" sz="1600">
              <a:latin typeface="+mn-lt"/>
            </a:rPr>
            <a:t>Конструктивные особенности: </a:t>
          </a:r>
        </a:p>
        <a:p>
          <a:pPr algn="l"/>
          <a:r>
            <a:rPr lang="ru-RU" sz="1100" b="0" i="0" baseline="0">
              <a:effectLst/>
              <a:latin typeface="+mn-lt"/>
              <a:ea typeface="+mn-ea"/>
              <a:cs typeface="+mn-cs"/>
            </a:rPr>
            <a:t>•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материал корпуса - оцинкованная сталь толщиной 1 мм,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покрытая износостойким порошковым покрытием (цвет покрытия: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чёрный матовый);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• материал и покрытие решётки - анодированный алюминий, алюминий с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порошковым покрытием, дерево (дуб);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• регулировка по высоте от 0 до 40 мм за счёт специальных установочных ножек;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• подключение теплообменника -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G1/2’’ (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внутренняя резьба);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• применение материалов с повышенными теплопередающими свойствами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(С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u -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медь,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Al -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алюминий) и стойких к коррозии;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• съёмный медно-алюминиевый теплообменник, покрытый износостойким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порошковым покрытием (цвет покрытия: чёрный матовый);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• специальные юстировочные винты позволяют легко выровнять конвектор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в горизонтальной плоскости.. </a:t>
          </a:r>
          <a:endParaRPr lang="ru-RU" sz="1600" b="0" i="0" baseline="0">
            <a:effectLst/>
            <a:latin typeface="+mj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600" b="0" i="0" baseline="0">
            <a:effectLst/>
            <a:latin typeface="+mj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600" b="0" i="0" baseline="0">
              <a:effectLst/>
              <a:latin typeface="+mn-lt"/>
              <a:ea typeface="+mn-ea"/>
              <a:cs typeface="+mn-cs"/>
            </a:rPr>
            <a:t>Стандартный комплект поставки: </a:t>
          </a:r>
          <a:endParaRPr lang="ru-RU" sz="1600" b="0" i="0" u="none" strike="noStrike" baseline="0">
            <a:latin typeface="+mn-lt"/>
            <a:ea typeface="+mn-ea"/>
            <a:cs typeface="+mn-cs"/>
          </a:endParaRPr>
        </a:p>
        <a:p>
          <a:r>
            <a:rPr lang="ru-RU" sz="1400" b="0" i="0" baseline="0">
              <a:effectLst/>
              <a:latin typeface="+mn-lt"/>
              <a:ea typeface="+mn-ea"/>
              <a:cs typeface="+mn-cs"/>
            </a:rPr>
            <a:t>•</a:t>
          </a:r>
          <a:r>
            <a:rPr lang="ru-RU" sz="1100" b="0" i="0" baseline="0">
              <a:effectLst/>
              <a:latin typeface="+mn-lt"/>
              <a:ea typeface="+mn-ea"/>
              <a:cs typeface="+mn-cs"/>
            </a:rPr>
            <a:t>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корпус из оцинкованной стали покрытый порошковым покрытием;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комплект установочных ножек;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поперечная или продольная решётка;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декоративная рамка из алюминиевого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L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и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Z-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образного профиля или окантовка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из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J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и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F-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профиля, выполненная в цвет решётки;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медно-алюминиевый теплообменник (диаметр медной трубы 22 мм);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воздухоотводчик ручной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G1/8’’;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технический паспорт, инструкция по монтажу и эксплуатации;</a:t>
          </a:r>
        </a:p>
        <a:p>
          <a:r>
            <a:rPr lang="ru-RU" sz="1400" b="0" i="0" baseline="0">
              <a:effectLst/>
              <a:latin typeface="+mn-lt"/>
              <a:ea typeface="+mn-ea"/>
              <a:cs typeface="+mn-cs"/>
            </a:rPr>
            <a:t>•</a:t>
          </a:r>
          <a:r>
            <a:rPr lang="ru-RU" sz="1100" b="0" i="0" baseline="0">
              <a:effectLst/>
              <a:latin typeface="+mn-lt"/>
              <a:ea typeface="+mn-ea"/>
              <a:cs typeface="+mn-cs"/>
            </a:rPr>
            <a:t> </a:t>
          </a:r>
          <a:r>
            <a:rPr lang="ru-RU" sz="1400" b="0" i="0" baseline="0">
              <a:effectLst/>
              <a:latin typeface="+mn-lt"/>
              <a:ea typeface="+mn-ea"/>
              <a:cs typeface="+mn-cs"/>
            </a:rPr>
            <a:t>монтажная доска для защиты от механических повреждений.</a:t>
          </a:r>
          <a:endParaRPr lang="ru-RU" sz="1400" b="0" i="0" u="none" strike="noStrike" baseline="0">
            <a:latin typeface="+mj-lt"/>
            <a:ea typeface="+mn-ea"/>
            <a:cs typeface="+mn-cs"/>
          </a:endParaRPr>
        </a:p>
        <a:p>
          <a:endParaRPr lang="ru-RU" sz="1800" b="0" i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twoCellAnchor editAs="oneCell">
    <xdr:from>
      <xdr:col>0</xdr:col>
      <xdr:colOff>112059</xdr:colOff>
      <xdr:row>104</xdr:row>
      <xdr:rowOff>123263</xdr:rowOff>
    </xdr:from>
    <xdr:to>
      <xdr:col>10</xdr:col>
      <xdr:colOff>59793</xdr:colOff>
      <xdr:row>129</xdr:row>
      <xdr:rowOff>40763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6D11FB3C-B7C2-4973-B231-37C499BE9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059" y="19944788"/>
          <a:ext cx="6043734" cy="4680000"/>
        </a:xfrm>
        <a:prstGeom prst="rect">
          <a:avLst/>
        </a:prstGeom>
      </xdr:spPr>
    </xdr:pic>
    <xdr:clientData/>
  </xdr:twoCellAnchor>
  <xdr:oneCellAnchor>
    <xdr:from>
      <xdr:col>0</xdr:col>
      <xdr:colOff>253814</xdr:colOff>
      <xdr:row>231</xdr:row>
      <xdr:rowOff>0</xdr:rowOff>
    </xdr:from>
    <xdr:ext cx="1539128" cy="349752"/>
    <xdr:sp macro="" textlink="">
      <xdr:nvSpPr>
        <xdr:cNvPr id="281" name="Прямоугольник 280">
          <a:extLst>
            <a:ext uri="{FF2B5EF4-FFF2-40B4-BE49-F238E27FC236}">
              <a16:creationId xmlns:a16="http://schemas.microsoft.com/office/drawing/2014/main" id="{C328E93E-DDAC-4588-B325-98D596A824AD}"/>
            </a:ext>
          </a:extLst>
        </xdr:cNvPr>
        <xdr:cNvSpPr/>
      </xdr:nvSpPr>
      <xdr:spPr>
        <a:xfrm>
          <a:off x="253814" y="68399025"/>
          <a:ext cx="1539128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Решётки</a:t>
          </a:r>
        </a:p>
      </xdr:txBody>
    </xdr:sp>
    <xdr:clientData/>
  </xdr:oneCellAnchor>
  <xdr:oneCellAnchor>
    <xdr:from>
      <xdr:col>0</xdr:col>
      <xdr:colOff>247649</xdr:colOff>
      <xdr:row>233</xdr:row>
      <xdr:rowOff>0</xdr:rowOff>
    </xdr:from>
    <xdr:ext cx="11915775" cy="1400175"/>
    <xdr:sp macro="" textlink="">
      <xdr:nvSpPr>
        <xdr:cNvPr id="282" name="Прямоугольник 281">
          <a:extLst>
            <a:ext uri="{FF2B5EF4-FFF2-40B4-BE49-F238E27FC236}">
              <a16:creationId xmlns:a16="http://schemas.microsoft.com/office/drawing/2014/main" id="{D99350AA-6FA0-48FD-B028-AE4F651990E3}"/>
            </a:ext>
          </a:extLst>
        </xdr:cNvPr>
        <xdr:cNvSpPr/>
      </xdr:nvSpPr>
      <xdr:spPr>
        <a:xfrm>
          <a:off x="247649" y="68780025"/>
          <a:ext cx="11915775" cy="140017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l"/>
          <a:r>
            <a:rPr lang="ru-RU" sz="1400" b="1" i="0" u="none" strike="noStrike" baseline="0">
              <a:latin typeface="+mn-lt"/>
              <a:ea typeface="+mn-ea"/>
              <a:cs typeface="+mn-cs"/>
            </a:rPr>
            <a:t>Описание  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Алюминиевый профиль решётки с двутавровым поперечным сечением обладает высокой нагрузочной способностью.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Для соединения профиля используется стальная пружина которая позволяет с достаточно большим усилием стягивать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профиль между собой, предотвращая тем самым «разбалтывание» в процессе эксплуатации. Достоинством соединения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профиля пружиной является то, что решётку можно сворачивать в малогабаритный рулон. Покрытие профиля обладает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высокой износостойкостью и сохраняет решётку от потёртостей и царапин во время эксплуатации.</a:t>
          </a:r>
          <a:endParaRPr lang="ru-RU" sz="14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219075</xdr:colOff>
      <xdr:row>240</xdr:row>
      <xdr:rowOff>0</xdr:rowOff>
    </xdr:from>
    <xdr:ext cx="11915775" cy="295275"/>
    <xdr:sp macro="" textlink="">
      <xdr:nvSpPr>
        <xdr:cNvPr id="283" name="Прямоугольник 282">
          <a:extLst>
            <a:ext uri="{FF2B5EF4-FFF2-40B4-BE49-F238E27FC236}">
              <a16:creationId xmlns:a16="http://schemas.microsoft.com/office/drawing/2014/main" id="{83370A60-70FE-4E33-9975-7FFB6CB119A0}"/>
            </a:ext>
          </a:extLst>
        </xdr:cNvPr>
        <xdr:cNvSpPr/>
      </xdr:nvSpPr>
      <xdr:spPr>
        <a:xfrm>
          <a:off x="219075" y="70113525"/>
          <a:ext cx="11915775" cy="29527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l"/>
          <a:r>
            <a:rPr lang="ru-RU" sz="1400" b="1" i="0" u="none" strike="noStrike" baseline="0">
              <a:latin typeface="+mn-lt"/>
              <a:ea typeface="+mn-ea"/>
              <a:cs typeface="+mn-cs"/>
            </a:rPr>
            <a:t>Размеры и профиль решётки</a:t>
          </a:r>
          <a:endParaRPr lang="ru-RU" sz="14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266700</xdr:colOff>
      <xdr:row>265</xdr:row>
      <xdr:rowOff>104775</xdr:rowOff>
    </xdr:from>
    <xdr:ext cx="11915775" cy="1400175"/>
    <xdr:sp macro="" textlink="">
      <xdr:nvSpPr>
        <xdr:cNvPr id="284" name="Прямоугольник 283">
          <a:extLst>
            <a:ext uri="{FF2B5EF4-FFF2-40B4-BE49-F238E27FC236}">
              <a16:creationId xmlns:a16="http://schemas.microsoft.com/office/drawing/2014/main" id="{DF84CEFF-8E53-440F-8EB5-453700CFD836}"/>
            </a:ext>
          </a:extLst>
        </xdr:cNvPr>
        <xdr:cNvSpPr/>
      </xdr:nvSpPr>
      <xdr:spPr>
        <a:xfrm>
          <a:off x="266700" y="74980800"/>
          <a:ext cx="11915775" cy="140017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Декоративная решётка на пружине имеет проверенную временем конструкцию, которая сочетает элегантный внешний вид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с безопасностью и долговечностью. На протяжении многих лет данная конструкция решётки является классической (т.е.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профиль решётки стягивается между собой пружиной). Двутавровый профиль решётки выдерживает большие нагрузки,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что позволяет использовать её в общественных зданиях (рестораны, торговые центры, автосалоны). Деревянные решётки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данного типа создают уютный и привлекательный дизайн вашего интерьера. Основные особенности решётки: проверенная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временем конструкция, классический вид, наличие деревянного профиля и стойкость к нагрузкам.</a:t>
          </a:r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295275</xdr:colOff>
      <xdr:row>272</xdr:row>
      <xdr:rowOff>142875</xdr:rowOff>
    </xdr:from>
    <xdr:ext cx="11915775" cy="295275"/>
    <xdr:sp macro="" textlink="">
      <xdr:nvSpPr>
        <xdr:cNvPr id="285" name="Прямоугольник 284">
          <a:extLst>
            <a:ext uri="{FF2B5EF4-FFF2-40B4-BE49-F238E27FC236}">
              <a16:creationId xmlns:a16="http://schemas.microsoft.com/office/drawing/2014/main" id="{4AC85181-2888-43A8-9DBE-0CF6B3C095FF}"/>
            </a:ext>
          </a:extLst>
        </xdr:cNvPr>
        <xdr:cNvSpPr/>
      </xdr:nvSpPr>
      <xdr:spPr>
        <a:xfrm>
          <a:off x="295275" y="76352400"/>
          <a:ext cx="11915775" cy="29527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l"/>
          <a:r>
            <a:rPr lang="ru-RU" sz="1400" b="1" i="0" u="none" strike="noStrike" baseline="0">
              <a:latin typeface="+mn-lt"/>
              <a:ea typeface="+mn-ea"/>
              <a:cs typeface="+mn-cs"/>
            </a:rPr>
            <a:t>Стандартные цвета решётки</a:t>
          </a:r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twoCellAnchor>
    <xdr:from>
      <xdr:col>0</xdr:col>
      <xdr:colOff>316166</xdr:colOff>
      <xdr:row>241</xdr:row>
      <xdr:rowOff>152400</xdr:rowOff>
    </xdr:from>
    <xdr:to>
      <xdr:col>20</xdr:col>
      <xdr:colOff>381813</xdr:colOff>
      <xdr:row>241</xdr:row>
      <xdr:rowOff>152400</xdr:rowOff>
    </xdr:to>
    <xdr:cxnSp macro="">
      <xdr:nvCxnSpPr>
        <xdr:cNvPr id="286" name="Прямая соединительная линия 285">
          <a:extLst>
            <a:ext uri="{FF2B5EF4-FFF2-40B4-BE49-F238E27FC236}">
              <a16:creationId xmlns:a16="http://schemas.microsoft.com/office/drawing/2014/main" id="{855145BF-341E-4E0F-8ADC-8F91BBCB6FD2}"/>
            </a:ext>
          </a:extLst>
        </xdr:cNvPr>
        <xdr:cNvCxnSpPr/>
      </xdr:nvCxnSpPr>
      <xdr:spPr>
        <a:xfrm flipV="1">
          <a:off x="316166" y="62457106"/>
          <a:ext cx="12168000" cy="0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299197</xdr:colOff>
      <xdr:row>244</xdr:row>
      <xdr:rowOff>87923</xdr:rowOff>
    </xdr:from>
    <xdr:to>
      <xdr:col>20</xdr:col>
      <xdr:colOff>364844</xdr:colOff>
      <xdr:row>244</xdr:row>
      <xdr:rowOff>87923</xdr:rowOff>
    </xdr:to>
    <xdr:cxnSp macro="">
      <xdr:nvCxnSpPr>
        <xdr:cNvPr id="287" name="Прямая соединительная линия 286">
          <a:extLst>
            <a:ext uri="{FF2B5EF4-FFF2-40B4-BE49-F238E27FC236}">
              <a16:creationId xmlns:a16="http://schemas.microsoft.com/office/drawing/2014/main" id="{A7950402-2739-4B85-A442-7B8B6C88579A}"/>
            </a:ext>
          </a:extLst>
        </xdr:cNvPr>
        <xdr:cNvCxnSpPr/>
      </xdr:nvCxnSpPr>
      <xdr:spPr>
        <a:xfrm flipV="1">
          <a:off x="299197" y="62964129"/>
          <a:ext cx="12168000" cy="0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310403</xdr:colOff>
      <xdr:row>254</xdr:row>
      <xdr:rowOff>109903</xdr:rowOff>
    </xdr:from>
    <xdr:to>
      <xdr:col>20</xdr:col>
      <xdr:colOff>376050</xdr:colOff>
      <xdr:row>254</xdr:row>
      <xdr:rowOff>113503</xdr:rowOff>
    </xdr:to>
    <xdr:cxnSp macro="">
      <xdr:nvCxnSpPr>
        <xdr:cNvPr id="288" name="Прямая соединительная линия 287">
          <a:extLst>
            <a:ext uri="{FF2B5EF4-FFF2-40B4-BE49-F238E27FC236}">
              <a16:creationId xmlns:a16="http://schemas.microsoft.com/office/drawing/2014/main" id="{C6F0355E-E0B1-4D0D-8822-62CAE27E2CE1}"/>
            </a:ext>
          </a:extLst>
        </xdr:cNvPr>
        <xdr:cNvCxnSpPr/>
      </xdr:nvCxnSpPr>
      <xdr:spPr>
        <a:xfrm flipV="1">
          <a:off x="310403" y="64891109"/>
          <a:ext cx="12168000" cy="3600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328332</xdr:colOff>
      <xdr:row>256</xdr:row>
      <xdr:rowOff>134820</xdr:rowOff>
    </xdr:from>
    <xdr:to>
      <xdr:col>20</xdr:col>
      <xdr:colOff>357979</xdr:colOff>
      <xdr:row>256</xdr:row>
      <xdr:rowOff>134820</xdr:rowOff>
    </xdr:to>
    <xdr:cxnSp macro="">
      <xdr:nvCxnSpPr>
        <xdr:cNvPr id="289" name="Прямая соединительная линия 288">
          <a:extLst>
            <a:ext uri="{FF2B5EF4-FFF2-40B4-BE49-F238E27FC236}">
              <a16:creationId xmlns:a16="http://schemas.microsoft.com/office/drawing/2014/main" id="{FC265370-D98A-4D2E-8DD9-2522FE024B37}"/>
            </a:ext>
          </a:extLst>
        </xdr:cNvPr>
        <xdr:cNvCxnSpPr/>
      </xdr:nvCxnSpPr>
      <xdr:spPr>
        <a:xfrm flipV="1">
          <a:off x="328332" y="65297026"/>
          <a:ext cx="12132000" cy="0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278226</xdr:colOff>
      <xdr:row>258</xdr:row>
      <xdr:rowOff>184547</xdr:rowOff>
    </xdr:from>
    <xdr:to>
      <xdr:col>20</xdr:col>
      <xdr:colOff>343873</xdr:colOff>
      <xdr:row>258</xdr:row>
      <xdr:rowOff>184547</xdr:rowOff>
    </xdr:to>
    <xdr:cxnSp macro="">
      <xdr:nvCxnSpPr>
        <xdr:cNvPr id="290" name="Прямая соединительная линия 289">
          <a:extLst>
            <a:ext uri="{FF2B5EF4-FFF2-40B4-BE49-F238E27FC236}">
              <a16:creationId xmlns:a16="http://schemas.microsoft.com/office/drawing/2014/main" id="{04E0C095-FCCA-4D47-8E2C-C50D4639742A}"/>
            </a:ext>
          </a:extLst>
        </xdr:cNvPr>
        <xdr:cNvCxnSpPr/>
      </xdr:nvCxnSpPr>
      <xdr:spPr>
        <a:xfrm flipV="1">
          <a:off x="278226" y="65727753"/>
          <a:ext cx="12168000" cy="0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278385</xdr:colOff>
      <xdr:row>261</xdr:row>
      <xdr:rowOff>83344</xdr:rowOff>
    </xdr:from>
    <xdr:to>
      <xdr:col>20</xdr:col>
      <xdr:colOff>344032</xdr:colOff>
      <xdr:row>261</xdr:row>
      <xdr:rowOff>83344</xdr:rowOff>
    </xdr:to>
    <xdr:cxnSp macro="">
      <xdr:nvCxnSpPr>
        <xdr:cNvPr id="291" name="Прямая соединительная линия 290">
          <a:extLst>
            <a:ext uri="{FF2B5EF4-FFF2-40B4-BE49-F238E27FC236}">
              <a16:creationId xmlns:a16="http://schemas.microsoft.com/office/drawing/2014/main" id="{12A177AC-A350-4A24-931C-C0BC86E55C8F}"/>
            </a:ext>
          </a:extLst>
        </xdr:cNvPr>
        <xdr:cNvCxnSpPr/>
      </xdr:nvCxnSpPr>
      <xdr:spPr>
        <a:xfrm flipV="1">
          <a:off x="278385" y="66198050"/>
          <a:ext cx="12168000" cy="0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312324</xdr:colOff>
      <xdr:row>265</xdr:row>
      <xdr:rowOff>11206</xdr:rowOff>
    </xdr:from>
    <xdr:to>
      <xdr:col>20</xdr:col>
      <xdr:colOff>377971</xdr:colOff>
      <xdr:row>265</xdr:row>
      <xdr:rowOff>11206</xdr:rowOff>
    </xdr:to>
    <xdr:cxnSp macro="">
      <xdr:nvCxnSpPr>
        <xdr:cNvPr id="292" name="Прямая соединительная линия 291">
          <a:extLst>
            <a:ext uri="{FF2B5EF4-FFF2-40B4-BE49-F238E27FC236}">
              <a16:creationId xmlns:a16="http://schemas.microsoft.com/office/drawing/2014/main" id="{11ADF7CF-C92A-4C40-93EF-FC45634C804F}"/>
            </a:ext>
          </a:extLst>
        </xdr:cNvPr>
        <xdr:cNvCxnSpPr/>
      </xdr:nvCxnSpPr>
      <xdr:spPr>
        <a:xfrm flipV="1">
          <a:off x="312324" y="66887912"/>
          <a:ext cx="12168000" cy="0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246530</xdr:colOff>
      <xdr:row>242</xdr:row>
      <xdr:rowOff>22411</xdr:rowOff>
    </xdr:from>
    <xdr:ext cx="2129117" cy="369795"/>
    <xdr:sp macro="" textlink="">
      <xdr:nvSpPr>
        <xdr:cNvPr id="293" name="Прямоугольник 292">
          <a:extLst>
            <a:ext uri="{FF2B5EF4-FFF2-40B4-BE49-F238E27FC236}">
              <a16:creationId xmlns:a16="http://schemas.microsoft.com/office/drawing/2014/main" id="{368548D6-2016-4D7C-B9A1-994FE2A4FFD6}"/>
            </a:ext>
          </a:extLst>
        </xdr:cNvPr>
        <xdr:cNvSpPr/>
      </xdr:nvSpPr>
      <xdr:spPr>
        <a:xfrm>
          <a:off x="246530" y="70516936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r>
            <a:rPr lang="ru-RU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Материал профиля</a:t>
          </a:r>
        </a:p>
      </xdr:txBody>
    </xdr:sp>
    <xdr:clientData/>
  </xdr:oneCellAnchor>
  <xdr:oneCellAnchor>
    <xdr:from>
      <xdr:col>4</xdr:col>
      <xdr:colOff>462087</xdr:colOff>
      <xdr:row>242</xdr:row>
      <xdr:rowOff>27771</xdr:rowOff>
    </xdr:from>
    <xdr:ext cx="2129117" cy="369795"/>
    <xdr:sp macro="" textlink="">
      <xdr:nvSpPr>
        <xdr:cNvPr id="294" name="Прямоугольник 293">
          <a:extLst>
            <a:ext uri="{FF2B5EF4-FFF2-40B4-BE49-F238E27FC236}">
              <a16:creationId xmlns:a16="http://schemas.microsoft.com/office/drawing/2014/main" id="{1307F9FE-1146-44D7-8B3C-05481809ED52}"/>
            </a:ext>
          </a:extLst>
        </xdr:cNvPr>
        <xdr:cNvSpPr/>
      </xdr:nvSpPr>
      <xdr:spPr>
        <a:xfrm>
          <a:off x="2900487" y="70522296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ctr"/>
          <a:r>
            <a:rPr lang="ru-RU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Алюминий</a:t>
          </a:r>
        </a:p>
        <a:p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8</xdr:col>
      <xdr:colOff>530679</xdr:colOff>
      <xdr:row>242</xdr:row>
      <xdr:rowOff>40821</xdr:rowOff>
    </xdr:from>
    <xdr:ext cx="2129117" cy="369795"/>
    <xdr:sp macro="" textlink="">
      <xdr:nvSpPr>
        <xdr:cNvPr id="295" name="Прямоугольник 294">
          <a:extLst>
            <a:ext uri="{FF2B5EF4-FFF2-40B4-BE49-F238E27FC236}">
              <a16:creationId xmlns:a16="http://schemas.microsoft.com/office/drawing/2014/main" id="{A2E72276-78D3-4B97-BB64-F64EBE63E430}"/>
            </a:ext>
          </a:extLst>
        </xdr:cNvPr>
        <xdr:cNvSpPr/>
      </xdr:nvSpPr>
      <xdr:spPr>
        <a:xfrm>
          <a:off x="5407479" y="70535346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ctr"/>
          <a:r>
            <a:rPr lang="ru-RU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Дуб</a:t>
          </a:r>
        </a:p>
      </xdr:txBody>
    </xdr:sp>
    <xdr:clientData/>
  </xdr:oneCellAnchor>
  <xdr:oneCellAnchor>
    <xdr:from>
      <xdr:col>12</xdr:col>
      <xdr:colOff>484253</xdr:colOff>
      <xdr:row>242</xdr:row>
      <xdr:rowOff>16008</xdr:rowOff>
    </xdr:from>
    <xdr:ext cx="2129117" cy="369795"/>
    <xdr:sp macro="" textlink="">
      <xdr:nvSpPr>
        <xdr:cNvPr id="297" name="Прямоугольник 296">
          <a:extLst>
            <a:ext uri="{FF2B5EF4-FFF2-40B4-BE49-F238E27FC236}">
              <a16:creationId xmlns:a16="http://schemas.microsoft.com/office/drawing/2014/main" id="{E04585CD-8D3B-4F3A-882C-F17440E621EC}"/>
            </a:ext>
          </a:extLst>
        </xdr:cNvPr>
        <xdr:cNvSpPr/>
      </xdr:nvSpPr>
      <xdr:spPr>
        <a:xfrm>
          <a:off x="7745665" y="62511214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ctr"/>
          <a:r>
            <a:rPr lang="ru-RU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Нерж</a:t>
          </a:r>
        </a:p>
      </xdr:txBody>
    </xdr:sp>
    <xdr:clientData/>
  </xdr:oneCellAnchor>
  <xdr:oneCellAnchor>
    <xdr:from>
      <xdr:col>16</xdr:col>
      <xdr:colOff>333454</xdr:colOff>
      <xdr:row>242</xdr:row>
      <xdr:rowOff>9283</xdr:rowOff>
    </xdr:from>
    <xdr:ext cx="2129117" cy="369795"/>
    <xdr:sp macro="" textlink="">
      <xdr:nvSpPr>
        <xdr:cNvPr id="298" name="Прямоугольник 297">
          <a:extLst>
            <a:ext uri="{FF2B5EF4-FFF2-40B4-BE49-F238E27FC236}">
              <a16:creationId xmlns:a16="http://schemas.microsoft.com/office/drawing/2014/main" id="{3AE9CB38-19AD-44ED-845F-7B52E705231B}"/>
            </a:ext>
          </a:extLst>
        </xdr:cNvPr>
        <xdr:cNvSpPr/>
      </xdr:nvSpPr>
      <xdr:spPr>
        <a:xfrm>
          <a:off x="10015336" y="62504489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ctr"/>
          <a:r>
            <a:rPr lang="ru-RU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Алюминий</a:t>
          </a:r>
        </a:p>
      </xdr:txBody>
    </xdr:sp>
    <xdr:clientData/>
  </xdr:oneCellAnchor>
  <xdr:oneCellAnchor>
    <xdr:from>
      <xdr:col>0</xdr:col>
      <xdr:colOff>272143</xdr:colOff>
      <xdr:row>248</xdr:row>
      <xdr:rowOff>81643</xdr:rowOff>
    </xdr:from>
    <xdr:ext cx="2129117" cy="369795"/>
    <xdr:sp macro="" textlink="">
      <xdr:nvSpPr>
        <xdr:cNvPr id="299" name="Прямоугольник 298">
          <a:extLst>
            <a:ext uri="{FF2B5EF4-FFF2-40B4-BE49-F238E27FC236}">
              <a16:creationId xmlns:a16="http://schemas.microsoft.com/office/drawing/2014/main" id="{1645F776-18F9-4002-8F93-5D81A9D19723}"/>
            </a:ext>
          </a:extLst>
        </xdr:cNvPr>
        <xdr:cNvSpPr/>
      </xdr:nvSpPr>
      <xdr:spPr>
        <a:xfrm>
          <a:off x="272143" y="71719168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r>
            <a:rPr lang="ru-RU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Поперечное сечение профиля</a:t>
          </a:r>
        </a:p>
      </xdr:txBody>
    </xdr:sp>
    <xdr:clientData/>
  </xdr:oneCellAnchor>
  <xdr:oneCellAnchor>
    <xdr:from>
      <xdr:col>0</xdr:col>
      <xdr:colOff>261258</xdr:colOff>
      <xdr:row>255</xdr:row>
      <xdr:rowOff>2721</xdr:rowOff>
    </xdr:from>
    <xdr:ext cx="2129117" cy="369795"/>
    <xdr:sp macro="" textlink="">
      <xdr:nvSpPr>
        <xdr:cNvPr id="300" name="Прямоугольник 299">
          <a:extLst>
            <a:ext uri="{FF2B5EF4-FFF2-40B4-BE49-F238E27FC236}">
              <a16:creationId xmlns:a16="http://schemas.microsoft.com/office/drawing/2014/main" id="{9C6DA4DD-5A85-4C76-8515-741CB216EFE3}"/>
            </a:ext>
          </a:extLst>
        </xdr:cNvPr>
        <xdr:cNvSpPr/>
      </xdr:nvSpPr>
      <xdr:spPr>
        <a:xfrm>
          <a:off x="261258" y="72973746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r>
            <a:rPr lang="ru-RU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Высота решетки, мм</a:t>
          </a:r>
        </a:p>
      </xdr:txBody>
    </xdr:sp>
    <xdr:clientData/>
  </xdr:oneCellAnchor>
  <xdr:oneCellAnchor>
    <xdr:from>
      <xdr:col>0</xdr:col>
      <xdr:colOff>244928</xdr:colOff>
      <xdr:row>257</xdr:row>
      <xdr:rowOff>81643</xdr:rowOff>
    </xdr:from>
    <xdr:ext cx="2422072" cy="369795"/>
    <xdr:sp macro="" textlink="">
      <xdr:nvSpPr>
        <xdr:cNvPr id="301" name="Прямоугольник 300">
          <a:extLst>
            <a:ext uri="{FF2B5EF4-FFF2-40B4-BE49-F238E27FC236}">
              <a16:creationId xmlns:a16="http://schemas.microsoft.com/office/drawing/2014/main" id="{E5401806-6EFF-476D-BBBF-A2866460246B}"/>
            </a:ext>
          </a:extLst>
        </xdr:cNvPr>
        <xdr:cNvSpPr/>
      </xdr:nvSpPr>
      <xdr:spPr>
        <a:xfrm>
          <a:off x="244928" y="73433668"/>
          <a:ext cx="2422072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r>
            <a:rPr lang="ru-RU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Ширина решетки, мм</a:t>
          </a:r>
        </a:p>
        <a:p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272143</xdr:colOff>
      <xdr:row>259</xdr:row>
      <xdr:rowOff>108857</xdr:rowOff>
    </xdr:from>
    <xdr:ext cx="2129117" cy="369795"/>
    <xdr:sp macro="" textlink="">
      <xdr:nvSpPr>
        <xdr:cNvPr id="302" name="Прямоугольник 301">
          <a:extLst>
            <a:ext uri="{FF2B5EF4-FFF2-40B4-BE49-F238E27FC236}">
              <a16:creationId xmlns:a16="http://schemas.microsoft.com/office/drawing/2014/main" id="{31178678-2C55-4EFB-8BA5-1B3D79221FE0}"/>
            </a:ext>
          </a:extLst>
        </xdr:cNvPr>
        <xdr:cNvSpPr/>
      </xdr:nvSpPr>
      <xdr:spPr>
        <a:xfrm>
          <a:off x="272143" y="73841882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r>
            <a:rPr lang="ru-RU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Длина решетки, мм</a:t>
          </a:r>
        </a:p>
        <a:p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258536</xdr:colOff>
      <xdr:row>261</xdr:row>
      <xdr:rowOff>163286</xdr:rowOff>
    </xdr:from>
    <xdr:ext cx="2129117" cy="369795"/>
    <xdr:sp macro="" textlink="">
      <xdr:nvSpPr>
        <xdr:cNvPr id="303" name="Прямоугольник 302">
          <a:extLst>
            <a:ext uri="{FF2B5EF4-FFF2-40B4-BE49-F238E27FC236}">
              <a16:creationId xmlns:a16="http://schemas.microsoft.com/office/drawing/2014/main" id="{B8548E93-6BF7-4DF8-ABC8-8283549F5ACA}"/>
            </a:ext>
          </a:extLst>
        </xdr:cNvPr>
        <xdr:cNvSpPr/>
      </xdr:nvSpPr>
      <xdr:spPr>
        <a:xfrm>
          <a:off x="258536" y="74277311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r>
            <a:rPr lang="ru-RU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Расстояние между профилем, мм</a:t>
          </a:r>
        </a:p>
      </xdr:txBody>
    </xdr:sp>
    <xdr:clientData/>
  </xdr:oneCellAnchor>
  <xdr:twoCellAnchor editAs="oneCell">
    <xdr:from>
      <xdr:col>17</xdr:col>
      <xdr:colOff>36259</xdr:colOff>
      <xdr:row>276</xdr:row>
      <xdr:rowOff>64579</xdr:rowOff>
    </xdr:from>
    <xdr:to>
      <xdr:col>23</xdr:col>
      <xdr:colOff>44115</xdr:colOff>
      <xdr:row>290</xdr:row>
      <xdr:rowOff>104411</xdr:rowOff>
    </xdr:to>
    <xdr:pic>
      <xdr:nvPicPr>
        <xdr:cNvPr id="304" name="Рисунок 303">
          <a:extLst>
            <a:ext uri="{FF2B5EF4-FFF2-40B4-BE49-F238E27FC236}">
              <a16:creationId xmlns:a16="http://schemas.microsoft.com/office/drawing/2014/main" id="{AA69C2B7-281A-4440-AD09-319390F23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99459" y="77036104"/>
          <a:ext cx="3665456" cy="2706832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8</xdr:col>
      <xdr:colOff>108857</xdr:colOff>
      <xdr:row>296</xdr:row>
      <xdr:rowOff>52104</xdr:rowOff>
    </xdr:from>
    <xdr:to>
      <xdr:col>14</xdr:col>
      <xdr:colOff>587306</xdr:colOff>
      <xdr:row>312</xdr:row>
      <xdr:rowOff>52104</xdr:rowOff>
    </xdr:to>
    <xdr:pic>
      <xdr:nvPicPr>
        <xdr:cNvPr id="305" name="Рисунок 304">
          <a:extLst>
            <a:ext uri="{FF2B5EF4-FFF2-40B4-BE49-F238E27FC236}">
              <a16:creationId xmlns:a16="http://schemas.microsoft.com/office/drawing/2014/main" id="{79D3E968-8729-4085-8C6C-2E8F8CC67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985657" y="80833629"/>
          <a:ext cx="4136049" cy="30480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312964</xdr:colOff>
      <xdr:row>296</xdr:row>
      <xdr:rowOff>52105</xdr:rowOff>
    </xdr:from>
    <xdr:to>
      <xdr:col>7</xdr:col>
      <xdr:colOff>126642</xdr:colOff>
      <xdr:row>312</xdr:row>
      <xdr:rowOff>56434</xdr:rowOff>
    </xdr:to>
    <xdr:pic>
      <xdr:nvPicPr>
        <xdr:cNvPr id="306" name="Рисунок 305">
          <a:extLst>
            <a:ext uri="{FF2B5EF4-FFF2-40B4-BE49-F238E27FC236}">
              <a16:creationId xmlns:a16="http://schemas.microsoft.com/office/drawing/2014/main" id="{1FEAD509-A5DD-4C29-A030-8A0FD0DF0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2964" y="80833630"/>
          <a:ext cx="4080878" cy="305232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15</xdr:col>
      <xdr:colOff>415954</xdr:colOff>
      <xdr:row>296</xdr:row>
      <xdr:rowOff>52105</xdr:rowOff>
    </xdr:from>
    <xdr:to>
      <xdr:col>22</xdr:col>
      <xdr:colOff>244929</xdr:colOff>
      <xdr:row>314</xdr:row>
      <xdr:rowOff>30456</xdr:rowOff>
    </xdr:to>
    <xdr:pic>
      <xdr:nvPicPr>
        <xdr:cNvPr id="307" name="Рисунок 306">
          <a:extLst>
            <a:ext uri="{FF2B5EF4-FFF2-40B4-BE49-F238E27FC236}">
              <a16:creationId xmlns:a16="http://schemas.microsoft.com/office/drawing/2014/main" id="{7A3C1F9A-56A0-49D9-8B6F-4963D34A17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559954" y="80833630"/>
          <a:ext cx="4096175" cy="3407351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oneCellAnchor>
    <xdr:from>
      <xdr:col>12</xdr:col>
      <xdr:colOff>141888</xdr:colOff>
      <xdr:row>274</xdr:row>
      <xdr:rowOff>112712</xdr:rowOff>
    </xdr:from>
    <xdr:ext cx="1703243" cy="349752"/>
    <xdr:sp macro="" textlink="">
      <xdr:nvSpPr>
        <xdr:cNvPr id="308" name="Прямоугольник 307">
          <a:extLst>
            <a:ext uri="{FF2B5EF4-FFF2-40B4-BE49-F238E27FC236}">
              <a16:creationId xmlns:a16="http://schemas.microsoft.com/office/drawing/2014/main" id="{06A97EEA-E1BF-4E3D-AA0E-EEAC35D5C23C}"/>
            </a:ext>
          </a:extLst>
        </xdr:cNvPr>
        <xdr:cNvSpPr/>
      </xdr:nvSpPr>
      <xdr:spPr>
        <a:xfrm>
          <a:off x="7457088" y="76703237"/>
          <a:ext cx="1703243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000" b="0" i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Бронза</a:t>
          </a:r>
        </a:p>
      </xdr:txBody>
    </xdr:sp>
    <xdr:clientData/>
  </xdr:oneCellAnchor>
  <xdr:oneCellAnchor>
    <xdr:from>
      <xdr:col>20</xdr:col>
      <xdr:colOff>152814</xdr:colOff>
      <xdr:row>274</xdr:row>
      <xdr:rowOff>94689</xdr:rowOff>
    </xdr:from>
    <xdr:ext cx="1703243" cy="349752"/>
    <xdr:sp macro="" textlink="">
      <xdr:nvSpPr>
        <xdr:cNvPr id="309" name="Прямоугольник 308">
          <a:extLst>
            <a:ext uri="{FF2B5EF4-FFF2-40B4-BE49-F238E27FC236}">
              <a16:creationId xmlns:a16="http://schemas.microsoft.com/office/drawing/2014/main" id="{946469E0-74FB-4275-A606-057FA5BD9DF8}"/>
            </a:ext>
          </a:extLst>
        </xdr:cNvPr>
        <xdr:cNvSpPr/>
      </xdr:nvSpPr>
      <xdr:spPr>
        <a:xfrm>
          <a:off x="12344814" y="76685214"/>
          <a:ext cx="1703243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000" b="0" i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Золото</a:t>
          </a:r>
        </a:p>
      </xdr:txBody>
    </xdr:sp>
    <xdr:clientData/>
  </xdr:oneCellAnchor>
  <xdr:oneCellAnchor>
    <xdr:from>
      <xdr:col>11</xdr:col>
      <xdr:colOff>402746</xdr:colOff>
      <xdr:row>293</xdr:row>
      <xdr:rowOff>144915</xdr:rowOff>
    </xdr:from>
    <xdr:ext cx="1703243" cy="349752"/>
    <xdr:sp macro="" textlink="">
      <xdr:nvSpPr>
        <xdr:cNvPr id="310" name="Прямоугольник 309">
          <a:extLst>
            <a:ext uri="{FF2B5EF4-FFF2-40B4-BE49-F238E27FC236}">
              <a16:creationId xmlns:a16="http://schemas.microsoft.com/office/drawing/2014/main" id="{6C850635-9ADF-4ED1-8A45-4AF93D60C551}"/>
            </a:ext>
          </a:extLst>
        </xdr:cNvPr>
        <xdr:cNvSpPr/>
      </xdr:nvSpPr>
      <xdr:spPr>
        <a:xfrm>
          <a:off x="7108346" y="80354940"/>
          <a:ext cx="1703243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000" b="0" i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Черный</a:t>
          </a:r>
        </a:p>
      </xdr:txBody>
    </xdr:sp>
    <xdr:clientData/>
  </xdr:oneCellAnchor>
  <xdr:oneCellAnchor>
    <xdr:from>
      <xdr:col>4</xdr:col>
      <xdr:colOff>311750</xdr:colOff>
      <xdr:row>293</xdr:row>
      <xdr:rowOff>131761</xdr:rowOff>
    </xdr:from>
    <xdr:ext cx="1703243" cy="349752"/>
    <xdr:sp macro="" textlink="">
      <xdr:nvSpPr>
        <xdr:cNvPr id="311" name="Прямоугольник 310">
          <a:extLst>
            <a:ext uri="{FF2B5EF4-FFF2-40B4-BE49-F238E27FC236}">
              <a16:creationId xmlns:a16="http://schemas.microsoft.com/office/drawing/2014/main" id="{63815044-4261-4FF7-BE29-EE0E7327A104}"/>
            </a:ext>
          </a:extLst>
        </xdr:cNvPr>
        <xdr:cNvSpPr/>
      </xdr:nvSpPr>
      <xdr:spPr>
        <a:xfrm>
          <a:off x="2750150" y="80341786"/>
          <a:ext cx="1703243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000" b="0" i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Декор</a:t>
          </a:r>
        </a:p>
      </xdr:txBody>
    </xdr:sp>
    <xdr:clientData/>
  </xdr:oneCellAnchor>
  <xdr:oneCellAnchor>
    <xdr:from>
      <xdr:col>19</xdr:col>
      <xdr:colOff>433078</xdr:colOff>
      <xdr:row>293</xdr:row>
      <xdr:rowOff>92926</xdr:rowOff>
    </xdr:from>
    <xdr:ext cx="1703243" cy="349752"/>
    <xdr:sp macro="" textlink="">
      <xdr:nvSpPr>
        <xdr:cNvPr id="312" name="Прямоугольник 311">
          <a:extLst>
            <a:ext uri="{FF2B5EF4-FFF2-40B4-BE49-F238E27FC236}">
              <a16:creationId xmlns:a16="http://schemas.microsoft.com/office/drawing/2014/main" id="{F0954A10-4801-4DC7-AFEF-3CB0A325EAA6}"/>
            </a:ext>
          </a:extLst>
        </xdr:cNvPr>
        <xdr:cNvSpPr/>
      </xdr:nvSpPr>
      <xdr:spPr>
        <a:xfrm>
          <a:off x="12015478" y="80302951"/>
          <a:ext cx="1703243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000" b="0" i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Дуб</a:t>
          </a:r>
        </a:p>
      </xdr:txBody>
    </xdr:sp>
    <xdr:clientData/>
  </xdr:oneCellAnchor>
  <xdr:twoCellAnchor editAs="oneCell">
    <xdr:from>
      <xdr:col>2</xdr:col>
      <xdr:colOff>108856</xdr:colOff>
      <xdr:row>317</xdr:row>
      <xdr:rowOff>52104</xdr:rowOff>
    </xdr:from>
    <xdr:to>
      <xdr:col>7</xdr:col>
      <xdr:colOff>108856</xdr:colOff>
      <xdr:row>331</xdr:row>
      <xdr:rowOff>130345</xdr:rowOff>
    </xdr:to>
    <xdr:pic>
      <xdr:nvPicPr>
        <xdr:cNvPr id="313" name="Рисунок 312">
          <a:extLst>
            <a:ext uri="{FF2B5EF4-FFF2-40B4-BE49-F238E27FC236}">
              <a16:creationId xmlns:a16="http://schemas.microsoft.com/office/drawing/2014/main" id="{9E6FCA82-AE25-4E67-AA98-2BB42BE07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8056" y="84834129"/>
          <a:ext cx="3048000" cy="2745241"/>
        </a:xfrm>
        <a:prstGeom prst="rect">
          <a:avLst/>
        </a:prstGeom>
      </xdr:spPr>
    </xdr:pic>
    <xdr:clientData/>
  </xdr:twoCellAnchor>
  <xdr:twoCellAnchor editAs="oneCell">
    <xdr:from>
      <xdr:col>8</xdr:col>
      <xdr:colOff>27214</xdr:colOff>
      <xdr:row>317</xdr:row>
      <xdr:rowOff>38498</xdr:rowOff>
    </xdr:from>
    <xdr:to>
      <xdr:col>13</xdr:col>
      <xdr:colOff>35560</xdr:colOff>
      <xdr:row>331</xdr:row>
      <xdr:rowOff>124223</xdr:rowOff>
    </xdr:to>
    <xdr:pic>
      <xdr:nvPicPr>
        <xdr:cNvPr id="314" name="Рисунок 313">
          <a:extLst>
            <a:ext uri="{FF2B5EF4-FFF2-40B4-BE49-F238E27FC236}">
              <a16:creationId xmlns:a16="http://schemas.microsoft.com/office/drawing/2014/main" id="{5E450852-F5F4-4A49-8D60-4914793A4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4014" y="84820523"/>
          <a:ext cx="3056346" cy="2752725"/>
        </a:xfrm>
        <a:prstGeom prst="rect">
          <a:avLst/>
        </a:prstGeom>
      </xdr:spPr>
    </xdr:pic>
    <xdr:clientData/>
  </xdr:twoCellAnchor>
  <xdr:twoCellAnchor editAs="oneCell">
    <xdr:from>
      <xdr:col>14</xdr:col>
      <xdr:colOff>68034</xdr:colOff>
      <xdr:row>317</xdr:row>
      <xdr:rowOff>52104</xdr:rowOff>
    </xdr:from>
    <xdr:to>
      <xdr:col>19</xdr:col>
      <xdr:colOff>68034</xdr:colOff>
      <xdr:row>331</xdr:row>
      <xdr:rowOff>130345</xdr:rowOff>
    </xdr:to>
    <xdr:pic>
      <xdr:nvPicPr>
        <xdr:cNvPr id="315" name="Рисунок 314">
          <a:extLst>
            <a:ext uri="{FF2B5EF4-FFF2-40B4-BE49-F238E27FC236}">
              <a16:creationId xmlns:a16="http://schemas.microsoft.com/office/drawing/2014/main" id="{A6D16A1F-2DCD-4EC3-B945-49DF963A6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2434" y="84834129"/>
          <a:ext cx="3048000" cy="2745241"/>
        </a:xfrm>
        <a:prstGeom prst="rect">
          <a:avLst/>
        </a:prstGeom>
      </xdr:spPr>
    </xdr:pic>
    <xdr:clientData/>
  </xdr:twoCellAnchor>
  <xdr:oneCellAnchor>
    <xdr:from>
      <xdr:col>2</xdr:col>
      <xdr:colOff>283400</xdr:colOff>
      <xdr:row>315</xdr:row>
      <xdr:rowOff>52105</xdr:rowOff>
    </xdr:from>
    <xdr:ext cx="1703243" cy="349752"/>
    <xdr:sp macro="" textlink="">
      <xdr:nvSpPr>
        <xdr:cNvPr id="316" name="Прямоугольник 315">
          <a:extLst>
            <a:ext uri="{FF2B5EF4-FFF2-40B4-BE49-F238E27FC236}">
              <a16:creationId xmlns:a16="http://schemas.microsoft.com/office/drawing/2014/main" id="{41C11EE2-A4B3-4E3B-B1EB-ACDD11CEEAB5}"/>
            </a:ext>
          </a:extLst>
        </xdr:cNvPr>
        <xdr:cNvSpPr/>
      </xdr:nvSpPr>
      <xdr:spPr>
        <a:xfrm>
          <a:off x="1502600" y="84453130"/>
          <a:ext cx="1703243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000" b="0" i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Декор №603</a:t>
          </a:r>
        </a:p>
      </xdr:txBody>
    </xdr:sp>
    <xdr:clientData/>
  </xdr:oneCellAnchor>
  <xdr:oneCellAnchor>
    <xdr:from>
      <xdr:col>8</xdr:col>
      <xdr:colOff>297008</xdr:colOff>
      <xdr:row>315</xdr:row>
      <xdr:rowOff>52105</xdr:rowOff>
    </xdr:from>
    <xdr:ext cx="1703243" cy="349752"/>
    <xdr:sp macro="" textlink="">
      <xdr:nvSpPr>
        <xdr:cNvPr id="317" name="Прямоугольник 316">
          <a:extLst>
            <a:ext uri="{FF2B5EF4-FFF2-40B4-BE49-F238E27FC236}">
              <a16:creationId xmlns:a16="http://schemas.microsoft.com/office/drawing/2014/main" id="{350C31B7-55EE-4980-93C2-653A25FFBF88}"/>
            </a:ext>
          </a:extLst>
        </xdr:cNvPr>
        <xdr:cNvSpPr/>
      </xdr:nvSpPr>
      <xdr:spPr>
        <a:xfrm>
          <a:off x="5173808" y="84453130"/>
          <a:ext cx="1703243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000" b="0" i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Декор №611</a:t>
          </a:r>
        </a:p>
      </xdr:txBody>
    </xdr:sp>
    <xdr:clientData/>
  </xdr:oneCellAnchor>
  <xdr:oneCellAnchor>
    <xdr:from>
      <xdr:col>14</xdr:col>
      <xdr:colOff>297006</xdr:colOff>
      <xdr:row>315</xdr:row>
      <xdr:rowOff>38498</xdr:rowOff>
    </xdr:from>
    <xdr:ext cx="1703243" cy="349752"/>
    <xdr:sp macro="" textlink="">
      <xdr:nvSpPr>
        <xdr:cNvPr id="318" name="Прямоугольник 317">
          <a:extLst>
            <a:ext uri="{FF2B5EF4-FFF2-40B4-BE49-F238E27FC236}">
              <a16:creationId xmlns:a16="http://schemas.microsoft.com/office/drawing/2014/main" id="{E2439716-E421-4B45-82FA-314720E28A2B}"/>
            </a:ext>
          </a:extLst>
        </xdr:cNvPr>
        <xdr:cNvSpPr/>
      </xdr:nvSpPr>
      <xdr:spPr>
        <a:xfrm>
          <a:off x="8831406" y="84439523"/>
          <a:ext cx="1703243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000" b="0" i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Декор №613</a:t>
          </a:r>
        </a:p>
      </xdr:txBody>
    </xdr:sp>
    <xdr:clientData/>
  </xdr:oneCellAnchor>
  <xdr:twoCellAnchor editAs="oneCell">
    <xdr:from>
      <xdr:col>0</xdr:col>
      <xdr:colOff>350585</xdr:colOff>
      <xdr:row>276</xdr:row>
      <xdr:rowOff>75836</xdr:rowOff>
    </xdr:from>
    <xdr:to>
      <xdr:col>6</xdr:col>
      <xdr:colOff>360110</xdr:colOff>
      <xdr:row>290</xdr:row>
      <xdr:rowOff>120659</xdr:rowOff>
    </xdr:to>
    <xdr:pic>
      <xdr:nvPicPr>
        <xdr:cNvPr id="319" name="Рисунок 318">
          <a:extLst>
            <a:ext uri="{FF2B5EF4-FFF2-40B4-BE49-F238E27FC236}">
              <a16:creationId xmlns:a16="http://schemas.microsoft.com/office/drawing/2014/main" id="{3155E986-E05C-484F-8B9C-FF71EFCE2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0585" y="77047361"/>
          <a:ext cx="3667125" cy="2711823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8</xdr:col>
      <xdr:colOff>605596</xdr:colOff>
      <xdr:row>276</xdr:row>
      <xdr:rowOff>174177</xdr:rowOff>
    </xdr:from>
    <xdr:to>
      <xdr:col>15</xdr:col>
      <xdr:colOff>21849</xdr:colOff>
      <xdr:row>291</xdr:row>
      <xdr:rowOff>36873</xdr:rowOff>
    </xdr:to>
    <xdr:pic>
      <xdr:nvPicPr>
        <xdr:cNvPr id="320" name="Рисунок 319">
          <a:extLst>
            <a:ext uri="{FF2B5EF4-FFF2-40B4-BE49-F238E27FC236}">
              <a16:creationId xmlns:a16="http://schemas.microsoft.com/office/drawing/2014/main" id="{7D0A100F-B0A5-4945-AE93-6C35004DD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482396" y="77145702"/>
          <a:ext cx="3683453" cy="2720196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oneCellAnchor>
    <xdr:from>
      <xdr:col>3</xdr:col>
      <xdr:colOff>601410</xdr:colOff>
      <xdr:row>274</xdr:row>
      <xdr:rowOff>68035</xdr:rowOff>
    </xdr:from>
    <xdr:ext cx="1703243" cy="349752"/>
    <xdr:sp macro="" textlink="">
      <xdr:nvSpPr>
        <xdr:cNvPr id="321" name="Прямоугольник 320">
          <a:extLst>
            <a:ext uri="{FF2B5EF4-FFF2-40B4-BE49-F238E27FC236}">
              <a16:creationId xmlns:a16="http://schemas.microsoft.com/office/drawing/2014/main" id="{A9B9D294-16E0-44BB-A807-3AA1A493C0C4}"/>
            </a:ext>
          </a:extLst>
        </xdr:cNvPr>
        <xdr:cNvSpPr/>
      </xdr:nvSpPr>
      <xdr:spPr>
        <a:xfrm>
          <a:off x="2430210" y="76658560"/>
          <a:ext cx="1703243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000" b="0" i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Серебро</a:t>
          </a:r>
        </a:p>
      </xdr:txBody>
    </xdr:sp>
    <xdr:clientData/>
  </xdr:oneCellAnchor>
  <xdr:oneCellAnchor>
    <xdr:from>
      <xdr:col>2</xdr:col>
      <xdr:colOff>108857</xdr:colOff>
      <xdr:row>333</xdr:row>
      <xdr:rowOff>13607</xdr:rowOff>
    </xdr:from>
    <xdr:ext cx="7465046" cy="3531102"/>
    <xdr:sp macro="" textlink="">
      <xdr:nvSpPr>
        <xdr:cNvPr id="322" name="Прямоугольник 321">
          <a:extLst>
            <a:ext uri="{FF2B5EF4-FFF2-40B4-BE49-F238E27FC236}">
              <a16:creationId xmlns:a16="http://schemas.microsoft.com/office/drawing/2014/main" id="{E501A4AB-A7B4-44FF-BDA8-60E70383F92A}"/>
            </a:ext>
          </a:extLst>
        </xdr:cNvPr>
        <xdr:cNvSpPr/>
      </xdr:nvSpPr>
      <xdr:spPr>
        <a:xfrm>
          <a:off x="1328057" y="87843632"/>
          <a:ext cx="7465046" cy="353110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анодированный алюминий- цвет: «серебро»</a:t>
          </a:r>
        </a:p>
        <a:p>
          <a:pPr algn="l"/>
          <a:r>
            <a:rPr lang="ru-RU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анодированный алюминий- цвет: «золото»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2400" b="0"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анодированный алюминий- цвет: «бронза»</a:t>
          </a:r>
          <a:endParaRPr lang="ru-RU" sz="2400">
            <a:effectLst/>
            <a:latin typeface="+mj-lt"/>
          </a:endParaRPr>
        </a:p>
        <a:p>
          <a:pPr algn="l"/>
          <a:r>
            <a:rPr lang="ru-RU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анодированный алюминий- цвет: «черный»</a:t>
          </a:r>
        </a:p>
        <a:p>
          <a:pPr algn="l"/>
          <a:r>
            <a:rPr lang="ru-RU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алюминий с покрытием декор (№603, №611</a:t>
          </a:r>
          <a:r>
            <a:rPr lang="ru-RU" sz="2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, №613)</a:t>
          </a:r>
          <a:endParaRPr lang="ru-RU" sz="2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  <a:p>
          <a:pPr algn="l"/>
          <a:r>
            <a:rPr lang="ru-RU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натуральное дерево- дуб (ширина профиля 10 мм)</a:t>
          </a:r>
        </a:p>
      </xdr:txBody>
    </xdr:sp>
    <xdr:clientData/>
  </xdr:oneCellAnchor>
  <xdr:twoCellAnchor editAs="oneCell">
    <xdr:from>
      <xdr:col>5</xdr:col>
      <xdr:colOff>40821</xdr:colOff>
      <xdr:row>244</xdr:row>
      <xdr:rowOff>149680</xdr:rowOff>
    </xdr:from>
    <xdr:to>
      <xdr:col>7</xdr:col>
      <xdr:colOff>344771</xdr:colOff>
      <xdr:row>253</xdr:row>
      <xdr:rowOff>176894</xdr:rowOff>
    </xdr:to>
    <xdr:pic>
      <xdr:nvPicPr>
        <xdr:cNvPr id="323" name="Рисунок 322">
          <a:extLst>
            <a:ext uri="{FF2B5EF4-FFF2-40B4-BE49-F238E27FC236}">
              <a16:creationId xmlns:a16="http://schemas.microsoft.com/office/drawing/2014/main" id="{9FB34880-15FD-4674-81CA-AEC46597A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88821" y="71025205"/>
          <a:ext cx="1523150" cy="1741714"/>
        </a:xfrm>
        <a:prstGeom prst="rect">
          <a:avLst/>
        </a:prstGeom>
      </xdr:spPr>
    </xdr:pic>
    <xdr:clientData/>
  </xdr:twoCellAnchor>
  <xdr:twoCellAnchor editAs="oneCell">
    <xdr:from>
      <xdr:col>9</xdr:col>
      <xdr:colOff>81642</xdr:colOff>
      <xdr:row>245</xdr:row>
      <xdr:rowOff>13609</xdr:rowOff>
    </xdr:from>
    <xdr:to>
      <xdr:col>11</xdr:col>
      <xdr:colOff>418103</xdr:colOff>
      <xdr:row>254</xdr:row>
      <xdr:rowOff>27215</xdr:rowOff>
    </xdr:to>
    <xdr:pic>
      <xdr:nvPicPr>
        <xdr:cNvPr id="324" name="Рисунок 323">
          <a:extLst>
            <a:ext uri="{FF2B5EF4-FFF2-40B4-BE49-F238E27FC236}">
              <a16:creationId xmlns:a16="http://schemas.microsoft.com/office/drawing/2014/main" id="{2397232E-C1CA-4A3F-9C3E-3DF2B5D46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68042" y="71079634"/>
          <a:ext cx="1555661" cy="1728106"/>
        </a:xfrm>
        <a:prstGeom prst="rect">
          <a:avLst/>
        </a:prstGeom>
      </xdr:spPr>
    </xdr:pic>
    <xdr:clientData/>
  </xdr:twoCellAnchor>
  <xdr:twoCellAnchor editAs="oneCell">
    <xdr:from>
      <xdr:col>17</xdr:col>
      <xdr:colOff>119582</xdr:colOff>
      <xdr:row>245</xdr:row>
      <xdr:rowOff>133030</xdr:rowOff>
    </xdr:from>
    <xdr:to>
      <xdr:col>19</xdr:col>
      <xdr:colOff>201225</xdr:colOff>
      <xdr:row>252</xdr:row>
      <xdr:rowOff>181245</xdr:rowOff>
    </xdr:to>
    <xdr:pic>
      <xdr:nvPicPr>
        <xdr:cNvPr id="326" name="Рисунок 325">
          <a:extLst>
            <a:ext uri="{FF2B5EF4-FFF2-40B4-BE49-F238E27FC236}">
              <a16:creationId xmlns:a16="http://schemas.microsoft.com/office/drawing/2014/main" id="{F3E8CA35-3205-434C-B901-BF730B86B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406582" y="63199736"/>
          <a:ext cx="1291878" cy="1381715"/>
        </a:xfrm>
        <a:prstGeom prst="rect">
          <a:avLst/>
        </a:prstGeom>
      </xdr:spPr>
    </xdr:pic>
    <xdr:clientData/>
  </xdr:twoCellAnchor>
  <xdr:oneCellAnchor>
    <xdr:from>
      <xdr:col>4</xdr:col>
      <xdr:colOff>421822</xdr:colOff>
      <xdr:row>254</xdr:row>
      <xdr:rowOff>176892</xdr:rowOff>
    </xdr:from>
    <xdr:ext cx="2129117" cy="369795"/>
    <xdr:sp macro="" textlink="">
      <xdr:nvSpPr>
        <xdr:cNvPr id="327" name="Прямоугольник 326">
          <a:extLst>
            <a:ext uri="{FF2B5EF4-FFF2-40B4-BE49-F238E27FC236}">
              <a16:creationId xmlns:a16="http://schemas.microsoft.com/office/drawing/2014/main" id="{7D520D9C-9253-49A6-A6D5-C2B384667DEB}"/>
            </a:ext>
          </a:extLst>
        </xdr:cNvPr>
        <xdr:cNvSpPr/>
      </xdr:nvSpPr>
      <xdr:spPr>
        <a:xfrm>
          <a:off x="2860222" y="72957417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ctr"/>
          <a:r>
            <a:rPr lang="ru-RU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18</a:t>
          </a:r>
        </a:p>
        <a:p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8</xdr:col>
      <xdr:colOff>408214</xdr:colOff>
      <xdr:row>255</xdr:row>
      <xdr:rowOff>0</xdr:rowOff>
    </xdr:from>
    <xdr:ext cx="2129117" cy="369795"/>
    <xdr:sp macro="" textlink="">
      <xdr:nvSpPr>
        <xdr:cNvPr id="328" name="Прямоугольник 327">
          <a:extLst>
            <a:ext uri="{FF2B5EF4-FFF2-40B4-BE49-F238E27FC236}">
              <a16:creationId xmlns:a16="http://schemas.microsoft.com/office/drawing/2014/main" id="{10570E06-05D0-4A76-894E-262C0656F15D}"/>
            </a:ext>
          </a:extLst>
        </xdr:cNvPr>
        <xdr:cNvSpPr/>
      </xdr:nvSpPr>
      <xdr:spPr>
        <a:xfrm>
          <a:off x="5285014" y="72971025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ctr"/>
          <a:r>
            <a:rPr lang="ru-RU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18</a:t>
          </a:r>
        </a:p>
        <a:p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12</xdr:col>
      <xdr:colOff>394447</xdr:colOff>
      <xdr:row>254</xdr:row>
      <xdr:rowOff>171129</xdr:rowOff>
    </xdr:from>
    <xdr:ext cx="2129117" cy="369795"/>
    <xdr:sp macro="" textlink="">
      <xdr:nvSpPr>
        <xdr:cNvPr id="330" name="Прямоугольник 329">
          <a:extLst>
            <a:ext uri="{FF2B5EF4-FFF2-40B4-BE49-F238E27FC236}">
              <a16:creationId xmlns:a16="http://schemas.microsoft.com/office/drawing/2014/main" id="{3AC27F84-19F9-4684-B98F-E0C80778B562}"/>
            </a:ext>
          </a:extLst>
        </xdr:cNvPr>
        <xdr:cNvSpPr/>
      </xdr:nvSpPr>
      <xdr:spPr>
        <a:xfrm>
          <a:off x="7655859" y="64952335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ctr"/>
          <a:r>
            <a:rPr lang="ru-RU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18</a:t>
          </a:r>
        </a:p>
        <a:p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16</xdr:col>
      <xdr:colOff>405333</xdr:colOff>
      <xdr:row>254</xdr:row>
      <xdr:rowOff>146637</xdr:rowOff>
    </xdr:from>
    <xdr:ext cx="2129117" cy="369795"/>
    <xdr:sp macro="" textlink="">
      <xdr:nvSpPr>
        <xdr:cNvPr id="331" name="Прямоугольник 330">
          <a:extLst>
            <a:ext uri="{FF2B5EF4-FFF2-40B4-BE49-F238E27FC236}">
              <a16:creationId xmlns:a16="http://schemas.microsoft.com/office/drawing/2014/main" id="{2918B7C7-8CD4-4E84-9900-43AC0D21AFC4}"/>
            </a:ext>
          </a:extLst>
        </xdr:cNvPr>
        <xdr:cNvSpPr/>
      </xdr:nvSpPr>
      <xdr:spPr>
        <a:xfrm>
          <a:off x="10087215" y="64927843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ctr"/>
          <a:r>
            <a:rPr lang="ru-RU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10</a:t>
          </a:r>
        </a:p>
        <a:p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twoCellAnchor>
    <xdr:from>
      <xdr:col>4</xdr:col>
      <xdr:colOff>312964</xdr:colOff>
      <xdr:row>241</xdr:row>
      <xdr:rowOff>174492</xdr:rowOff>
    </xdr:from>
    <xdr:to>
      <xdr:col>4</xdr:col>
      <xdr:colOff>312964</xdr:colOff>
      <xdr:row>265</xdr:row>
      <xdr:rowOff>30492</xdr:rowOff>
    </xdr:to>
    <xdr:cxnSp macro="">
      <xdr:nvCxnSpPr>
        <xdr:cNvPr id="332" name="Прямая соединительная линия 331">
          <a:extLst>
            <a:ext uri="{FF2B5EF4-FFF2-40B4-BE49-F238E27FC236}">
              <a16:creationId xmlns:a16="http://schemas.microsoft.com/office/drawing/2014/main" id="{FD12FA32-D157-4CAC-8DF8-232C4DFD591C}"/>
            </a:ext>
          </a:extLst>
        </xdr:cNvPr>
        <xdr:cNvCxnSpPr/>
      </xdr:nvCxnSpPr>
      <xdr:spPr>
        <a:xfrm>
          <a:off x="2751364" y="70478517"/>
          <a:ext cx="0" cy="4428000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316166</xdr:colOff>
      <xdr:row>241</xdr:row>
      <xdr:rowOff>159284</xdr:rowOff>
    </xdr:from>
    <xdr:to>
      <xdr:col>0</xdr:col>
      <xdr:colOff>316166</xdr:colOff>
      <xdr:row>265</xdr:row>
      <xdr:rowOff>15284</xdr:rowOff>
    </xdr:to>
    <xdr:cxnSp macro="">
      <xdr:nvCxnSpPr>
        <xdr:cNvPr id="333" name="Прямая соединительная линия 332">
          <a:extLst>
            <a:ext uri="{FF2B5EF4-FFF2-40B4-BE49-F238E27FC236}">
              <a16:creationId xmlns:a16="http://schemas.microsoft.com/office/drawing/2014/main" id="{51197776-C1C1-4EE6-BC0C-26DF5CD63A8D}"/>
            </a:ext>
          </a:extLst>
        </xdr:cNvPr>
        <xdr:cNvCxnSpPr/>
      </xdr:nvCxnSpPr>
      <xdr:spPr>
        <a:xfrm>
          <a:off x="316166" y="70463309"/>
          <a:ext cx="0" cy="4428000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299357</xdr:colOff>
      <xdr:row>241</xdr:row>
      <xdr:rowOff>176892</xdr:rowOff>
    </xdr:from>
    <xdr:to>
      <xdr:col>8</xdr:col>
      <xdr:colOff>299357</xdr:colOff>
      <xdr:row>265</xdr:row>
      <xdr:rowOff>32892</xdr:rowOff>
    </xdr:to>
    <xdr:cxnSp macro="">
      <xdr:nvCxnSpPr>
        <xdr:cNvPr id="334" name="Прямая соединительная линия 333">
          <a:extLst>
            <a:ext uri="{FF2B5EF4-FFF2-40B4-BE49-F238E27FC236}">
              <a16:creationId xmlns:a16="http://schemas.microsoft.com/office/drawing/2014/main" id="{CC596ED3-419F-4AF1-ACCB-832C77C3CF61}"/>
            </a:ext>
          </a:extLst>
        </xdr:cNvPr>
        <xdr:cNvCxnSpPr/>
      </xdr:nvCxnSpPr>
      <xdr:spPr>
        <a:xfrm>
          <a:off x="5176157" y="70480917"/>
          <a:ext cx="0" cy="4428000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309562</xdr:colOff>
      <xdr:row>242</xdr:row>
      <xdr:rowOff>2721</xdr:rowOff>
    </xdr:from>
    <xdr:to>
      <xdr:col>12</xdr:col>
      <xdr:colOff>309562</xdr:colOff>
      <xdr:row>264</xdr:row>
      <xdr:rowOff>160735</xdr:rowOff>
    </xdr:to>
    <xdr:cxnSp macro="">
      <xdr:nvCxnSpPr>
        <xdr:cNvPr id="335" name="Прямая соединительная линия 334">
          <a:extLst>
            <a:ext uri="{FF2B5EF4-FFF2-40B4-BE49-F238E27FC236}">
              <a16:creationId xmlns:a16="http://schemas.microsoft.com/office/drawing/2014/main" id="{07FA8210-3AAB-4A78-9FF4-25DA89F9BC80}"/>
            </a:ext>
          </a:extLst>
        </xdr:cNvPr>
        <xdr:cNvCxnSpPr/>
      </xdr:nvCxnSpPr>
      <xdr:spPr>
        <a:xfrm flipH="1">
          <a:off x="7624762" y="70497246"/>
          <a:ext cx="0" cy="4349014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332013</xdr:colOff>
      <xdr:row>241</xdr:row>
      <xdr:rowOff>182335</xdr:rowOff>
    </xdr:from>
    <xdr:to>
      <xdr:col>16</xdr:col>
      <xdr:colOff>332013</xdr:colOff>
      <xdr:row>264</xdr:row>
      <xdr:rowOff>172641</xdr:rowOff>
    </xdr:to>
    <xdr:cxnSp macro="">
      <xdr:nvCxnSpPr>
        <xdr:cNvPr id="336" name="Прямая соединительная линия 335">
          <a:extLst>
            <a:ext uri="{FF2B5EF4-FFF2-40B4-BE49-F238E27FC236}">
              <a16:creationId xmlns:a16="http://schemas.microsoft.com/office/drawing/2014/main" id="{FF4D4E2F-71F7-4A40-8CF6-6121B7DBD519}"/>
            </a:ext>
          </a:extLst>
        </xdr:cNvPr>
        <xdr:cNvCxnSpPr/>
      </xdr:nvCxnSpPr>
      <xdr:spPr>
        <a:xfrm>
          <a:off x="10085613" y="70486360"/>
          <a:ext cx="0" cy="4371806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348342</xdr:colOff>
      <xdr:row>241</xdr:row>
      <xdr:rowOff>144235</xdr:rowOff>
    </xdr:from>
    <xdr:to>
      <xdr:col>20</xdr:col>
      <xdr:colOff>348342</xdr:colOff>
      <xdr:row>265</xdr:row>
      <xdr:rowOff>235</xdr:rowOff>
    </xdr:to>
    <xdr:cxnSp macro="">
      <xdr:nvCxnSpPr>
        <xdr:cNvPr id="337" name="Прямая соединительная линия 336">
          <a:extLst>
            <a:ext uri="{FF2B5EF4-FFF2-40B4-BE49-F238E27FC236}">
              <a16:creationId xmlns:a16="http://schemas.microsoft.com/office/drawing/2014/main" id="{DE71AC74-A14E-46A5-A6AE-804726EB59BA}"/>
            </a:ext>
          </a:extLst>
        </xdr:cNvPr>
        <xdr:cNvCxnSpPr/>
      </xdr:nvCxnSpPr>
      <xdr:spPr>
        <a:xfrm>
          <a:off x="12540342" y="70448260"/>
          <a:ext cx="0" cy="4428000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153684</xdr:colOff>
      <xdr:row>244</xdr:row>
      <xdr:rowOff>176893</xdr:rowOff>
    </xdr:from>
    <xdr:to>
      <xdr:col>15</xdr:col>
      <xdr:colOff>108646</xdr:colOff>
      <xdr:row>253</xdr:row>
      <xdr:rowOff>122465</xdr:rowOff>
    </xdr:to>
    <xdr:pic>
      <xdr:nvPicPr>
        <xdr:cNvPr id="339" name="Рисунок 338">
          <a:extLst>
            <a:ext uri="{FF2B5EF4-FFF2-40B4-BE49-F238E27FC236}">
              <a16:creationId xmlns:a16="http://schemas.microsoft.com/office/drawing/2014/main" id="{89CC7F89-44BA-4189-9B7D-DECC271C5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20213" y="63053099"/>
          <a:ext cx="1165198" cy="1660072"/>
        </a:xfrm>
        <a:prstGeom prst="rect">
          <a:avLst/>
        </a:prstGeom>
      </xdr:spPr>
    </xdr:pic>
    <xdr:clientData/>
  </xdr:twoCellAnchor>
  <xdr:oneCellAnchor>
    <xdr:from>
      <xdr:col>4</xdr:col>
      <xdr:colOff>421821</xdr:colOff>
      <xdr:row>257</xdr:row>
      <xdr:rowOff>32658</xdr:rowOff>
    </xdr:from>
    <xdr:ext cx="2129117" cy="369795"/>
    <xdr:sp macro="" textlink="">
      <xdr:nvSpPr>
        <xdr:cNvPr id="340" name="Прямоугольник 339">
          <a:extLst>
            <a:ext uri="{FF2B5EF4-FFF2-40B4-BE49-F238E27FC236}">
              <a16:creationId xmlns:a16="http://schemas.microsoft.com/office/drawing/2014/main" id="{4F57367F-EFA0-4DA3-B12B-BF22691F8D1B}"/>
            </a:ext>
          </a:extLst>
        </xdr:cNvPr>
        <xdr:cNvSpPr/>
      </xdr:nvSpPr>
      <xdr:spPr>
        <a:xfrm>
          <a:off x="2860221" y="73384683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ctr"/>
          <a:r>
            <a:rPr lang="en-US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max 400</a:t>
          </a:r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8</xdr:col>
      <xdr:colOff>397329</xdr:colOff>
      <xdr:row>257</xdr:row>
      <xdr:rowOff>16328</xdr:rowOff>
    </xdr:from>
    <xdr:ext cx="2129117" cy="369795"/>
    <xdr:sp macro="" textlink="">
      <xdr:nvSpPr>
        <xdr:cNvPr id="341" name="Прямоугольник 340">
          <a:extLst>
            <a:ext uri="{FF2B5EF4-FFF2-40B4-BE49-F238E27FC236}">
              <a16:creationId xmlns:a16="http://schemas.microsoft.com/office/drawing/2014/main" id="{25A750C6-476F-44EC-BB4F-6B5E20BB0F33}"/>
            </a:ext>
          </a:extLst>
        </xdr:cNvPr>
        <xdr:cNvSpPr/>
      </xdr:nvSpPr>
      <xdr:spPr>
        <a:xfrm>
          <a:off x="5274129" y="73368353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ctr"/>
          <a:r>
            <a:rPr lang="en-US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max 400</a:t>
          </a:r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12</xdr:col>
      <xdr:colOff>408693</xdr:colOff>
      <xdr:row>257</xdr:row>
      <xdr:rowOff>2401</xdr:rowOff>
    </xdr:from>
    <xdr:ext cx="2129117" cy="369795"/>
    <xdr:sp macro="" textlink="">
      <xdr:nvSpPr>
        <xdr:cNvPr id="343" name="Прямоугольник 342">
          <a:extLst>
            <a:ext uri="{FF2B5EF4-FFF2-40B4-BE49-F238E27FC236}">
              <a16:creationId xmlns:a16="http://schemas.microsoft.com/office/drawing/2014/main" id="{33B4F145-1BDC-4DE6-B167-028637AEDAE7}"/>
            </a:ext>
          </a:extLst>
        </xdr:cNvPr>
        <xdr:cNvSpPr/>
      </xdr:nvSpPr>
      <xdr:spPr>
        <a:xfrm>
          <a:off x="7670105" y="65355107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ctr"/>
          <a:r>
            <a:rPr lang="en-US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max 400</a:t>
          </a:r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16</xdr:col>
      <xdr:colOff>323691</xdr:colOff>
      <xdr:row>256</xdr:row>
      <xdr:rowOff>167448</xdr:rowOff>
    </xdr:from>
    <xdr:ext cx="2129117" cy="369795"/>
    <xdr:sp macro="" textlink="">
      <xdr:nvSpPr>
        <xdr:cNvPr id="344" name="Прямоугольник 343">
          <a:extLst>
            <a:ext uri="{FF2B5EF4-FFF2-40B4-BE49-F238E27FC236}">
              <a16:creationId xmlns:a16="http://schemas.microsoft.com/office/drawing/2014/main" id="{D5FFD692-5D69-4281-99E0-3BCC6DB18752}"/>
            </a:ext>
          </a:extLst>
        </xdr:cNvPr>
        <xdr:cNvSpPr/>
      </xdr:nvSpPr>
      <xdr:spPr>
        <a:xfrm>
          <a:off x="10005573" y="65329654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ctr"/>
          <a:r>
            <a:rPr lang="en-US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max 300</a:t>
          </a:r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4</xdr:col>
      <xdr:colOff>421821</xdr:colOff>
      <xdr:row>259</xdr:row>
      <xdr:rowOff>68036</xdr:rowOff>
    </xdr:from>
    <xdr:ext cx="2129117" cy="369795"/>
    <xdr:sp macro="" textlink="">
      <xdr:nvSpPr>
        <xdr:cNvPr id="345" name="Прямоугольник 344">
          <a:extLst>
            <a:ext uri="{FF2B5EF4-FFF2-40B4-BE49-F238E27FC236}">
              <a16:creationId xmlns:a16="http://schemas.microsoft.com/office/drawing/2014/main" id="{F0D26FD8-C4AA-4524-B297-9C471D101FDB}"/>
            </a:ext>
          </a:extLst>
        </xdr:cNvPr>
        <xdr:cNvSpPr/>
      </xdr:nvSpPr>
      <xdr:spPr>
        <a:xfrm>
          <a:off x="2860221" y="73801061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ctr"/>
          <a:r>
            <a:rPr lang="en-US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max 6000</a:t>
          </a:r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8</xdr:col>
      <xdr:colOff>421822</xdr:colOff>
      <xdr:row>259</xdr:row>
      <xdr:rowOff>68036</xdr:rowOff>
    </xdr:from>
    <xdr:ext cx="2129117" cy="369795"/>
    <xdr:sp macro="" textlink="">
      <xdr:nvSpPr>
        <xdr:cNvPr id="346" name="Прямоугольник 345">
          <a:extLst>
            <a:ext uri="{FF2B5EF4-FFF2-40B4-BE49-F238E27FC236}">
              <a16:creationId xmlns:a16="http://schemas.microsoft.com/office/drawing/2014/main" id="{C76B5E40-3FE2-4B70-A19C-E52E40B7413A}"/>
            </a:ext>
          </a:extLst>
        </xdr:cNvPr>
        <xdr:cNvSpPr/>
      </xdr:nvSpPr>
      <xdr:spPr>
        <a:xfrm>
          <a:off x="5298622" y="73801061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ctr"/>
          <a:r>
            <a:rPr lang="en-US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max 6000</a:t>
          </a:r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12</xdr:col>
      <xdr:colOff>412216</xdr:colOff>
      <xdr:row>259</xdr:row>
      <xdr:rowOff>20810</xdr:rowOff>
    </xdr:from>
    <xdr:ext cx="2129117" cy="369795"/>
    <xdr:sp macro="" textlink="">
      <xdr:nvSpPr>
        <xdr:cNvPr id="348" name="Прямоугольник 347">
          <a:extLst>
            <a:ext uri="{FF2B5EF4-FFF2-40B4-BE49-F238E27FC236}">
              <a16:creationId xmlns:a16="http://schemas.microsoft.com/office/drawing/2014/main" id="{582ED095-30B5-4A48-ABBD-82E0C55FD053}"/>
            </a:ext>
          </a:extLst>
        </xdr:cNvPr>
        <xdr:cNvSpPr/>
      </xdr:nvSpPr>
      <xdr:spPr>
        <a:xfrm>
          <a:off x="7673628" y="65754516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ctr"/>
          <a:r>
            <a:rPr lang="en-US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max 6000</a:t>
          </a:r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16</xdr:col>
      <xdr:colOff>251172</xdr:colOff>
      <xdr:row>258</xdr:row>
      <xdr:rowOff>181376</xdr:rowOff>
    </xdr:from>
    <xdr:ext cx="2129117" cy="369795"/>
    <xdr:sp macro="" textlink="">
      <xdr:nvSpPr>
        <xdr:cNvPr id="349" name="Прямоугольник 348">
          <a:extLst>
            <a:ext uri="{FF2B5EF4-FFF2-40B4-BE49-F238E27FC236}">
              <a16:creationId xmlns:a16="http://schemas.microsoft.com/office/drawing/2014/main" id="{97D3E455-8C77-42E0-A8FB-ED823BAFACC7}"/>
            </a:ext>
          </a:extLst>
        </xdr:cNvPr>
        <xdr:cNvSpPr/>
      </xdr:nvSpPr>
      <xdr:spPr>
        <a:xfrm>
          <a:off x="9933054" y="65724582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ctr"/>
          <a:r>
            <a:rPr lang="en-US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max 6000</a:t>
          </a:r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4</xdr:col>
      <xdr:colOff>413016</xdr:colOff>
      <xdr:row>262</xdr:row>
      <xdr:rowOff>50425</xdr:rowOff>
    </xdr:from>
    <xdr:ext cx="2129117" cy="369795"/>
    <xdr:sp macro="" textlink="">
      <xdr:nvSpPr>
        <xdr:cNvPr id="350" name="Прямоугольник 349">
          <a:extLst>
            <a:ext uri="{FF2B5EF4-FFF2-40B4-BE49-F238E27FC236}">
              <a16:creationId xmlns:a16="http://schemas.microsoft.com/office/drawing/2014/main" id="{50203364-EFB8-466F-B41C-C3CBF34A704D}"/>
            </a:ext>
          </a:extLst>
        </xdr:cNvPr>
        <xdr:cNvSpPr/>
      </xdr:nvSpPr>
      <xdr:spPr>
        <a:xfrm>
          <a:off x="2851416" y="74354950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ctr"/>
          <a:r>
            <a:rPr lang="en-US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10, 13 ,18</a:t>
          </a:r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8</xdr:col>
      <xdr:colOff>493859</xdr:colOff>
      <xdr:row>262</xdr:row>
      <xdr:rowOff>59231</xdr:rowOff>
    </xdr:from>
    <xdr:ext cx="2129117" cy="369795"/>
    <xdr:sp macro="" textlink="">
      <xdr:nvSpPr>
        <xdr:cNvPr id="351" name="Прямоугольник 350">
          <a:extLst>
            <a:ext uri="{FF2B5EF4-FFF2-40B4-BE49-F238E27FC236}">
              <a16:creationId xmlns:a16="http://schemas.microsoft.com/office/drawing/2014/main" id="{CFF2CF93-60E1-4010-A2D5-FABCC953F127}"/>
            </a:ext>
          </a:extLst>
        </xdr:cNvPr>
        <xdr:cNvSpPr/>
      </xdr:nvSpPr>
      <xdr:spPr>
        <a:xfrm>
          <a:off x="5370659" y="74363756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ctr"/>
          <a:r>
            <a:rPr lang="en-US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10, 13</a:t>
          </a:r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12</xdr:col>
      <xdr:colOff>373796</xdr:colOff>
      <xdr:row>262</xdr:row>
      <xdr:rowOff>39221</xdr:rowOff>
    </xdr:from>
    <xdr:ext cx="2129117" cy="369795"/>
    <xdr:sp macro="" textlink="">
      <xdr:nvSpPr>
        <xdr:cNvPr id="353" name="Прямоугольник 352">
          <a:extLst>
            <a:ext uri="{FF2B5EF4-FFF2-40B4-BE49-F238E27FC236}">
              <a16:creationId xmlns:a16="http://schemas.microsoft.com/office/drawing/2014/main" id="{30032048-56F4-4C33-8A09-7382B0F5476D}"/>
            </a:ext>
          </a:extLst>
        </xdr:cNvPr>
        <xdr:cNvSpPr/>
      </xdr:nvSpPr>
      <xdr:spPr>
        <a:xfrm>
          <a:off x="7635208" y="66344427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ctr"/>
          <a:r>
            <a:rPr lang="en-US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13</a:t>
          </a:r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16</xdr:col>
      <xdr:colOff>379719</xdr:colOff>
      <xdr:row>262</xdr:row>
      <xdr:rowOff>53788</xdr:rowOff>
    </xdr:from>
    <xdr:ext cx="2129117" cy="369795"/>
    <xdr:sp macro="" textlink="">
      <xdr:nvSpPr>
        <xdr:cNvPr id="354" name="Прямоугольник 353">
          <a:extLst>
            <a:ext uri="{FF2B5EF4-FFF2-40B4-BE49-F238E27FC236}">
              <a16:creationId xmlns:a16="http://schemas.microsoft.com/office/drawing/2014/main" id="{B64DD99F-8F85-4FB2-AD03-54884A2EBAF2}"/>
            </a:ext>
          </a:extLst>
        </xdr:cNvPr>
        <xdr:cNvSpPr/>
      </xdr:nvSpPr>
      <xdr:spPr>
        <a:xfrm>
          <a:off x="10061601" y="66358994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ctr"/>
          <a:r>
            <a:rPr lang="en-US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10</a:t>
          </a:r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253813</xdr:colOff>
      <xdr:row>345</xdr:row>
      <xdr:rowOff>0</xdr:rowOff>
    </xdr:from>
    <xdr:ext cx="6080311" cy="349752"/>
    <xdr:sp macro="" textlink="">
      <xdr:nvSpPr>
        <xdr:cNvPr id="355" name="Прямоугольник 354">
          <a:extLst>
            <a:ext uri="{FF2B5EF4-FFF2-40B4-BE49-F238E27FC236}">
              <a16:creationId xmlns:a16="http://schemas.microsoft.com/office/drawing/2014/main" id="{9A94226F-C948-49D5-87EF-5BF2EF1D7B8D}"/>
            </a:ext>
          </a:extLst>
        </xdr:cNvPr>
        <xdr:cNvSpPr/>
      </xdr:nvSpPr>
      <xdr:spPr>
        <a:xfrm>
          <a:off x="253813" y="90116025"/>
          <a:ext cx="6080311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Решётки на резиновой основе</a:t>
          </a:r>
        </a:p>
      </xdr:txBody>
    </xdr:sp>
    <xdr:clientData/>
  </xdr:oneCellAnchor>
  <xdr:oneCellAnchor>
    <xdr:from>
      <xdr:col>0</xdr:col>
      <xdr:colOff>206236</xdr:colOff>
      <xdr:row>347</xdr:row>
      <xdr:rowOff>0</xdr:rowOff>
    </xdr:from>
    <xdr:ext cx="11915775" cy="1400175"/>
    <xdr:sp macro="" textlink="">
      <xdr:nvSpPr>
        <xdr:cNvPr id="356" name="Прямоугольник 355">
          <a:extLst>
            <a:ext uri="{FF2B5EF4-FFF2-40B4-BE49-F238E27FC236}">
              <a16:creationId xmlns:a16="http://schemas.microsoft.com/office/drawing/2014/main" id="{AAE3877B-857E-4D54-8C81-062D73429DF6}"/>
            </a:ext>
          </a:extLst>
        </xdr:cNvPr>
        <xdr:cNvSpPr/>
      </xdr:nvSpPr>
      <xdr:spPr>
        <a:xfrm>
          <a:off x="206236" y="90497025"/>
          <a:ext cx="11915775" cy="140017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l"/>
          <a:r>
            <a:rPr lang="ru-RU" sz="1400" b="1" i="0" u="none" strike="noStrike" baseline="0">
              <a:latin typeface="+mn-lt"/>
              <a:ea typeface="+mn-ea"/>
              <a:cs typeface="+mn-cs"/>
            </a:rPr>
            <a:t>Описание  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Алюминиевый профиль решётки с П-образным поперечным сечением обладает высокой нагрузочной способностью.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Для соединения профиля используется резиновое основание. Достоинством соединения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профиля резиновым основанием является то, что решётку можно сворачивать в малогабаритный рулон. Покрытие профиля обладает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высокой износостойкостью и сохраняет решётку от потёртостей и царапин во время эксплуатации.</a:t>
          </a:r>
          <a:endParaRPr lang="ru-RU" sz="14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219075</xdr:colOff>
      <xdr:row>354</xdr:row>
      <xdr:rowOff>0</xdr:rowOff>
    </xdr:from>
    <xdr:ext cx="11915775" cy="295275"/>
    <xdr:sp macro="" textlink="">
      <xdr:nvSpPr>
        <xdr:cNvPr id="357" name="Прямоугольник 356">
          <a:extLst>
            <a:ext uri="{FF2B5EF4-FFF2-40B4-BE49-F238E27FC236}">
              <a16:creationId xmlns:a16="http://schemas.microsoft.com/office/drawing/2014/main" id="{50C2B9AB-2C51-49D0-AC0F-E804E6257BCB}"/>
            </a:ext>
          </a:extLst>
        </xdr:cNvPr>
        <xdr:cNvSpPr/>
      </xdr:nvSpPr>
      <xdr:spPr>
        <a:xfrm>
          <a:off x="219075" y="91830525"/>
          <a:ext cx="11915775" cy="29527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l"/>
          <a:r>
            <a:rPr lang="ru-RU" sz="1400" b="1" i="0" u="none" strike="noStrike" baseline="0">
              <a:latin typeface="+mn-lt"/>
              <a:ea typeface="+mn-ea"/>
              <a:cs typeface="+mn-cs"/>
            </a:rPr>
            <a:t>Размеры и профиль решётки</a:t>
          </a:r>
          <a:endParaRPr lang="ru-RU" sz="14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266700</xdr:colOff>
      <xdr:row>379</xdr:row>
      <xdr:rowOff>104775</xdr:rowOff>
    </xdr:from>
    <xdr:ext cx="11915775" cy="1400175"/>
    <xdr:sp macro="" textlink="">
      <xdr:nvSpPr>
        <xdr:cNvPr id="358" name="Прямоугольник 357">
          <a:extLst>
            <a:ext uri="{FF2B5EF4-FFF2-40B4-BE49-F238E27FC236}">
              <a16:creationId xmlns:a16="http://schemas.microsoft.com/office/drawing/2014/main" id="{457E21CE-1ABD-4399-A03F-DEDA79A8B800}"/>
            </a:ext>
          </a:extLst>
        </xdr:cNvPr>
        <xdr:cNvSpPr/>
      </xdr:nvSpPr>
      <xdr:spPr>
        <a:xfrm>
          <a:off x="266700" y="96697800"/>
          <a:ext cx="11915775" cy="140017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Декоративная решётка на резиновом основании имеет надежную конструкцию, которая сочетает элегантный внешний вид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с безопасностью и долговечностью. П-образный профиль решётки выдерживает большие нагрузки,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что позволяет использовать её в общественных зданиях (рестораны, торговые центры), а резиновое основание поглощает вибрации при ходьбе. Основные особенности решётки: проверенная временем конструкция, классический вид и стойкость к нагрузкам.</a:t>
          </a:r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295275</xdr:colOff>
      <xdr:row>386</xdr:row>
      <xdr:rowOff>142875</xdr:rowOff>
    </xdr:from>
    <xdr:ext cx="11915775" cy="295275"/>
    <xdr:sp macro="" textlink="">
      <xdr:nvSpPr>
        <xdr:cNvPr id="359" name="Прямоугольник 358">
          <a:extLst>
            <a:ext uri="{FF2B5EF4-FFF2-40B4-BE49-F238E27FC236}">
              <a16:creationId xmlns:a16="http://schemas.microsoft.com/office/drawing/2014/main" id="{9B9E5589-F1BE-41EA-AA1E-CF95BECDF515}"/>
            </a:ext>
          </a:extLst>
        </xdr:cNvPr>
        <xdr:cNvSpPr/>
      </xdr:nvSpPr>
      <xdr:spPr>
        <a:xfrm>
          <a:off x="295275" y="98069400"/>
          <a:ext cx="11915775" cy="29527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l"/>
          <a:r>
            <a:rPr lang="ru-RU" sz="1400" b="1" i="0" u="none" strike="noStrike" baseline="0">
              <a:latin typeface="+mn-lt"/>
              <a:ea typeface="+mn-ea"/>
              <a:cs typeface="+mn-cs"/>
            </a:rPr>
            <a:t>Стандартные цвета решётки на резиновой основе</a:t>
          </a:r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twoCellAnchor>
    <xdr:from>
      <xdr:col>0</xdr:col>
      <xdr:colOff>323493</xdr:colOff>
      <xdr:row>355</xdr:row>
      <xdr:rowOff>181707</xdr:rowOff>
    </xdr:from>
    <xdr:to>
      <xdr:col>8</xdr:col>
      <xdr:colOff>318416</xdr:colOff>
      <xdr:row>355</xdr:row>
      <xdr:rowOff>181707</xdr:rowOff>
    </xdr:to>
    <xdr:cxnSp macro="">
      <xdr:nvCxnSpPr>
        <xdr:cNvPr id="360" name="Прямая соединительная линия 359">
          <a:extLst>
            <a:ext uri="{FF2B5EF4-FFF2-40B4-BE49-F238E27FC236}">
              <a16:creationId xmlns:a16="http://schemas.microsoft.com/office/drawing/2014/main" id="{94F5AEF0-BF13-4B05-BE3A-AC2E881DDC2F}"/>
            </a:ext>
          </a:extLst>
        </xdr:cNvPr>
        <xdr:cNvCxnSpPr/>
      </xdr:nvCxnSpPr>
      <xdr:spPr>
        <a:xfrm flipV="1">
          <a:off x="323493" y="92202732"/>
          <a:ext cx="4871723" cy="0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299197</xdr:colOff>
      <xdr:row>358</xdr:row>
      <xdr:rowOff>87923</xdr:rowOff>
    </xdr:from>
    <xdr:to>
      <xdr:col>8</xdr:col>
      <xdr:colOff>294120</xdr:colOff>
      <xdr:row>358</xdr:row>
      <xdr:rowOff>87923</xdr:rowOff>
    </xdr:to>
    <xdr:cxnSp macro="">
      <xdr:nvCxnSpPr>
        <xdr:cNvPr id="361" name="Прямая соединительная линия 360">
          <a:extLst>
            <a:ext uri="{FF2B5EF4-FFF2-40B4-BE49-F238E27FC236}">
              <a16:creationId xmlns:a16="http://schemas.microsoft.com/office/drawing/2014/main" id="{B2728E74-318A-4188-A3C5-6CC4741E1F2C}"/>
            </a:ext>
          </a:extLst>
        </xdr:cNvPr>
        <xdr:cNvCxnSpPr/>
      </xdr:nvCxnSpPr>
      <xdr:spPr>
        <a:xfrm flipV="1">
          <a:off x="299197" y="92680448"/>
          <a:ext cx="4871723" cy="0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310403</xdr:colOff>
      <xdr:row>368</xdr:row>
      <xdr:rowOff>109904</xdr:rowOff>
    </xdr:from>
    <xdr:to>
      <xdr:col>8</xdr:col>
      <xdr:colOff>305326</xdr:colOff>
      <xdr:row>368</xdr:row>
      <xdr:rowOff>109904</xdr:rowOff>
    </xdr:to>
    <xdr:cxnSp macro="">
      <xdr:nvCxnSpPr>
        <xdr:cNvPr id="362" name="Прямая соединительная линия 361">
          <a:extLst>
            <a:ext uri="{FF2B5EF4-FFF2-40B4-BE49-F238E27FC236}">
              <a16:creationId xmlns:a16="http://schemas.microsoft.com/office/drawing/2014/main" id="{C2B80097-2736-4F21-9759-2648637D4132}"/>
            </a:ext>
          </a:extLst>
        </xdr:cNvPr>
        <xdr:cNvCxnSpPr/>
      </xdr:nvCxnSpPr>
      <xdr:spPr>
        <a:xfrm flipV="1">
          <a:off x="310403" y="94607429"/>
          <a:ext cx="4871723" cy="0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299024</xdr:colOff>
      <xdr:row>370</xdr:row>
      <xdr:rowOff>137837</xdr:rowOff>
    </xdr:from>
    <xdr:to>
      <xdr:col>8</xdr:col>
      <xdr:colOff>293947</xdr:colOff>
      <xdr:row>370</xdr:row>
      <xdr:rowOff>137837</xdr:rowOff>
    </xdr:to>
    <xdr:cxnSp macro="">
      <xdr:nvCxnSpPr>
        <xdr:cNvPr id="363" name="Прямая соединительная линия 362">
          <a:extLst>
            <a:ext uri="{FF2B5EF4-FFF2-40B4-BE49-F238E27FC236}">
              <a16:creationId xmlns:a16="http://schemas.microsoft.com/office/drawing/2014/main" id="{7C232D2C-DE38-4DF2-8F84-A230905E3197}"/>
            </a:ext>
          </a:extLst>
        </xdr:cNvPr>
        <xdr:cNvCxnSpPr/>
      </xdr:nvCxnSpPr>
      <xdr:spPr>
        <a:xfrm flipV="1">
          <a:off x="299024" y="95016362"/>
          <a:ext cx="4871723" cy="0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278226</xdr:colOff>
      <xdr:row>372</xdr:row>
      <xdr:rowOff>184547</xdr:rowOff>
    </xdr:from>
    <xdr:to>
      <xdr:col>8</xdr:col>
      <xdr:colOff>273149</xdr:colOff>
      <xdr:row>372</xdr:row>
      <xdr:rowOff>184547</xdr:rowOff>
    </xdr:to>
    <xdr:cxnSp macro="">
      <xdr:nvCxnSpPr>
        <xdr:cNvPr id="364" name="Прямая соединительная линия 363">
          <a:extLst>
            <a:ext uri="{FF2B5EF4-FFF2-40B4-BE49-F238E27FC236}">
              <a16:creationId xmlns:a16="http://schemas.microsoft.com/office/drawing/2014/main" id="{E626D6FD-C178-46BF-8B01-8D445AC26BA2}"/>
            </a:ext>
          </a:extLst>
        </xdr:cNvPr>
        <xdr:cNvCxnSpPr/>
      </xdr:nvCxnSpPr>
      <xdr:spPr>
        <a:xfrm flipV="1">
          <a:off x="278226" y="95444072"/>
          <a:ext cx="4871723" cy="0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278385</xdr:colOff>
      <xdr:row>375</xdr:row>
      <xdr:rowOff>83344</xdr:rowOff>
    </xdr:from>
    <xdr:to>
      <xdr:col>8</xdr:col>
      <xdr:colOff>273308</xdr:colOff>
      <xdr:row>375</xdr:row>
      <xdr:rowOff>83344</xdr:rowOff>
    </xdr:to>
    <xdr:cxnSp macro="">
      <xdr:nvCxnSpPr>
        <xdr:cNvPr id="365" name="Прямая соединительная линия 364">
          <a:extLst>
            <a:ext uri="{FF2B5EF4-FFF2-40B4-BE49-F238E27FC236}">
              <a16:creationId xmlns:a16="http://schemas.microsoft.com/office/drawing/2014/main" id="{26544E14-CEEB-4963-85B6-24A7F6A820B4}"/>
            </a:ext>
          </a:extLst>
        </xdr:cNvPr>
        <xdr:cNvCxnSpPr/>
      </xdr:nvCxnSpPr>
      <xdr:spPr>
        <a:xfrm flipV="1">
          <a:off x="278385" y="95914369"/>
          <a:ext cx="4871723" cy="0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310816</xdr:colOff>
      <xdr:row>379</xdr:row>
      <xdr:rowOff>10027</xdr:rowOff>
    </xdr:from>
    <xdr:to>
      <xdr:col>8</xdr:col>
      <xdr:colOff>305739</xdr:colOff>
      <xdr:row>379</xdr:row>
      <xdr:rowOff>10027</xdr:rowOff>
    </xdr:to>
    <xdr:cxnSp macro="">
      <xdr:nvCxnSpPr>
        <xdr:cNvPr id="366" name="Прямая соединительная линия 365">
          <a:extLst>
            <a:ext uri="{FF2B5EF4-FFF2-40B4-BE49-F238E27FC236}">
              <a16:creationId xmlns:a16="http://schemas.microsoft.com/office/drawing/2014/main" id="{F2E1865A-5AFD-4344-86D7-8F5D44BC0D6D}"/>
            </a:ext>
          </a:extLst>
        </xdr:cNvPr>
        <xdr:cNvCxnSpPr/>
      </xdr:nvCxnSpPr>
      <xdr:spPr>
        <a:xfrm>
          <a:off x="310816" y="96603052"/>
          <a:ext cx="4871723" cy="0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246530</xdr:colOff>
      <xdr:row>356</xdr:row>
      <xdr:rowOff>22411</xdr:rowOff>
    </xdr:from>
    <xdr:ext cx="2129117" cy="369795"/>
    <xdr:sp macro="" textlink="">
      <xdr:nvSpPr>
        <xdr:cNvPr id="367" name="Прямоугольник 366">
          <a:extLst>
            <a:ext uri="{FF2B5EF4-FFF2-40B4-BE49-F238E27FC236}">
              <a16:creationId xmlns:a16="http://schemas.microsoft.com/office/drawing/2014/main" id="{EA29842E-DED1-459B-BE85-72EFA7EF110A}"/>
            </a:ext>
          </a:extLst>
        </xdr:cNvPr>
        <xdr:cNvSpPr/>
      </xdr:nvSpPr>
      <xdr:spPr>
        <a:xfrm>
          <a:off x="246530" y="92233936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r>
            <a:rPr lang="ru-RU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Материал профиля</a:t>
          </a:r>
        </a:p>
      </xdr:txBody>
    </xdr:sp>
    <xdr:clientData/>
  </xdr:oneCellAnchor>
  <xdr:oneCellAnchor>
    <xdr:from>
      <xdr:col>4</xdr:col>
      <xdr:colOff>462087</xdr:colOff>
      <xdr:row>356</xdr:row>
      <xdr:rowOff>27771</xdr:rowOff>
    </xdr:from>
    <xdr:ext cx="2129117" cy="369795"/>
    <xdr:sp macro="" textlink="">
      <xdr:nvSpPr>
        <xdr:cNvPr id="368" name="Прямоугольник 367">
          <a:extLst>
            <a:ext uri="{FF2B5EF4-FFF2-40B4-BE49-F238E27FC236}">
              <a16:creationId xmlns:a16="http://schemas.microsoft.com/office/drawing/2014/main" id="{8C7CD624-5A4C-4239-B770-50F61898414E}"/>
            </a:ext>
          </a:extLst>
        </xdr:cNvPr>
        <xdr:cNvSpPr/>
      </xdr:nvSpPr>
      <xdr:spPr>
        <a:xfrm>
          <a:off x="2900487" y="92239296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ctr"/>
          <a:r>
            <a:rPr lang="ru-RU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Алюминий</a:t>
          </a:r>
        </a:p>
        <a:p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272143</xdr:colOff>
      <xdr:row>362</xdr:row>
      <xdr:rowOff>81643</xdr:rowOff>
    </xdr:from>
    <xdr:ext cx="2129117" cy="369795"/>
    <xdr:sp macro="" textlink="">
      <xdr:nvSpPr>
        <xdr:cNvPr id="369" name="Прямоугольник 368">
          <a:extLst>
            <a:ext uri="{FF2B5EF4-FFF2-40B4-BE49-F238E27FC236}">
              <a16:creationId xmlns:a16="http://schemas.microsoft.com/office/drawing/2014/main" id="{E2013CDF-77E9-4ECD-8DEE-5EAA7BA1663B}"/>
            </a:ext>
          </a:extLst>
        </xdr:cNvPr>
        <xdr:cNvSpPr/>
      </xdr:nvSpPr>
      <xdr:spPr>
        <a:xfrm>
          <a:off x="272143" y="93436168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r>
            <a:rPr lang="ru-RU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Поперечное сечение профиля</a:t>
          </a:r>
        </a:p>
      </xdr:txBody>
    </xdr:sp>
    <xdr:clientData/>
  </xdr:oneCellAnchor>
  <xdr:oneCellAnchor>
    <xdr:from>
      <xdr:col>0</xdr:col>
      <xdr:colOff>261258</xdr:colOff>
      <xdr:row>369</xdr:row>
      <xdr:rowOff>2721</xdr:rowOff>
    </xdr:from>
    <xdr:ext cx="2129117" cy="369795"/>
    <xdr:sp macro="" textlink="">
      <xdr:nvSpPr>
        <xdr:cNvPr id="370" name="Прямоугольник 369">
          <a:extLst>
            <a:ext uri="{FF2B5EF4-FFF2-40B4-BE49-F238E27FC236}">
              <a16:creationId xmlns:a16="http://schemas.microsoft.com/office/drawing/2014/main" id="{A4A5C0AB-D9B4-478B-9DF6-4E31150CD803}"/>
            </a:ext>
          </a:extLst>
        </xdr:cNvPr>
        <xdr:cNvSpPr/>
      </xdr:nvSpPr>
      <xdr:spPr>
        <a:xfrm>
          <a:off x="261258" y="94690746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r>
            <a:rPr lang="ru-RU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Высота решетки, мм</a:t>
          </a:r>
        </a:p>
      </xdr:txBody>
    </xdr:sp>
    <xdr:clientData/>
  </xdr:oneCellAnchor>
  <xdr:oneCellAnchor>
    <xdr:from>
      <xdr:col>0</xdr:col>
      <xdr:colOff>244928</xdr:colOff>
      <xdr:row>371</xdr:row>
      <xdr:rowOff>81643</xdr:rowOff>
    </xdr:from>
    <xdr:ext cx="2422072" cy="369795"/>
    <xdr:sp macro="" textlink="">
      <xdr:nvSpPr>
        <xdr:cNvPr id="371" name="Прямоугольник 370">
          <a:extLst>
            <a:ext uri="{FF2B5EF4-FFF2-40B4-BE49-F238E27FC236}">
              <a16:creationId xmlns:a16="http://schemas.microsoft.com/office/drawing/2014/main" id="{2794F8FB-3389-4199-99CC-3675C45FA4B4}"/>
            </a:ext>
          </a:extLst>
        </xdr:cNvPr>
        <xdr:cNvSpPr/>
      </xdr:nvSpPr>
      <xdr:spPr>
        <a:xfrm>
          <a:off x="244928" y="95150668"/>
          <a:ext cx="2422072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r>
            <a:rPr lang="ru-RU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Ширина решетки, мм</a:t>
          </a:r>
        </a:p>
        <a:p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272143</xdr:colOff>
      <xdr:row>373</xdr:row>
      <xdr:rowOff>108857</xdr:rowOff>
    </xdr:from>
    <xdr:ext cx="2129117" cy="369795"/>
    <xdr:sp macro="" textlink="">
      <xdr:nvSpPr>
        <xdr:cNvPr id="372" name="Прямоугольник 371">
          <a:extLst>
            <a:ext uri="{FF2B5EF4-FFF2-40B4-BE49-F238E27FC236}">
              <a16:creationId xmlns:a16="http://schemas.microsoft.com/office/drawing/2014/main" id="{D62137D7-2940-4403-960B-7D8230631047}"/>
            </a:ext>
          </a:extLst>
        </xdr:cNvPr>
        <xdr:cNvSpPr/>
      </xdr:nvSpPr>
      <xdr:spPr>
        <a:xfrm>
          <a:off x="272143" y="95558882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r>
            <a:rPr lang="ru-RU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Длина решетки, мм</a:t>
          </a:r>
        </a:p>
        <a:p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258536</xdr:colOff>
      <xdr:row>375</xdr:row>
      <xdr:rowOff>163286</xdr:rowOff>
    </xdr:from>
    <xdr:ext cx="2129117" cy="369795"/>
    <xdr:sp macro="" textlink="">
      <xdr:nvSpPr>
        <xdr:cNvPr id="373" name="Прямоугольник 372">
          <a:extLst>
            <a:ext uri="{FF2B5EF4-FFF2-40B4-BE49-F238E27FC236}">
              <a16:creationId xmlns:a16="http://schemas.microsoft.com/office/drawing/2014/main" id="{35711E25-C7B1-4B50-8FDE-85F8B80D6E14}"/>
            </a:ext>
          </a:extLst>
        </xdr:cNvPr>
        <xdr:cNvSpPr/>
      </xdr:nvSpPr>
      <xdr:spPr>
        <a:xfrm>
          <a:off x="258536" y="95994311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r>
            <a:rPr lang="ru-RU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Расстояние между профилем, мм</a:t>
          </a:r>
        </a:p>
      </xdr:txBody>
    </xdr:sp>
    <xdr:clientData/>
  </xdr:oneCellAnchor>
  <xdr:oneCellAnchor>
    <xdr:from>
      <xdr:col>12</xdr:col>
      <xdr:colOff>141888</xdr:colOff>
      <xdr:row>388</xdr:row>
      <xdr:rowOff>112712</xdr:rowOff>
    </xdr:from>
    <xdr:ext cx="1703243" cy="349752"/>
    <xdr:sp macro="" textlink="">
      <xdr:nvSpPr>
        <xdr:cNvPr id="374" name="Прямоугольник 373">
          <a:extLst>
            <a:ext uri="{FF2B5EF4-FFF2-40B4-BE49-F238E27FC236}">
              <a16:creationId xmlns:a16="http://schemas.microsoft.com/office/drawing/2014/main" id="{DE015C09-D741-4C1A-81DA-5F9362915740}"/>
            </a:ext>
          </a:extLst>
        </xdr:cNvPr>
        <xdr:cNvSpPr/>
      </xdr:nvSpPr>
      <xdr:spPr>
        <a:xfrm>
          <a:off x="7457088" y="98420237"/>
          <a:ext cx="1703243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000" b="0" i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Бронза</a:t>
          </a:r>
        </a:p>
      </xdr:txBody>
    </xdr:sp>
    <xdr:clientData/>
  </xdr:oneCellAnchor>
  <xdr:oneCellAnchor>
    <xdr:from>
      <xdr:col>20</xdr:col>
      <xdr:colOff>152814</xdr:colOff>
      <xdr:row>388</xdr:row>
      <xdr:rowOff>94689</xdr:rowOff>
    </xdr:from>
    <xdr:ext cx="1703243" cy="349752"/>
    <xdr:sp macro="" textlink="">
      <xdr:nvSpPr>
        <xdr:cNvPr id="375" name="Прямоугольник 374">
          <a:extLst>
            <a:ext uri="{FF2B5EF4-FFF2-40B4-BE49-F238E27FC236}">
              <a16:creationId xmlns:a16="http://schemas.microsoft.com/office/drawing/2014/main" id="{FA36447B-2F33-449D-989D-D0C91E594712}"/>
            </a:ext>
          </a:extLst>
        </xdr:cNvPr>
        <xdr:cNvSpPr/>
      </xdr:nvSpPr>
      <xdr:spPr>
        <a:xfrm>
          <a:off x="12344814" y="98402214"/>
          <a:ext cx="1703243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000" b="0" i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Золото</a:t>
          </a:r>
        </a:p>
      </xdr:txBody>
    </xdr:sp>
    <xdr:clientData/>
  </xdr:oneCellAnchor>
  <xdr:oneCellAnchor>
    <xdr:from>
      <xdr:col>11</xdr:col>
      <xdr:colOff>402746</xdr:colOff>
      <xdr:row>407</xdr:row>
      <xdr:rowOff>144915</xdr:rowOff>
    </xdr:from>
    <xdr:ext cx="1703243" cy="349752"/>
    <xdr:sp macro="" textlink="">
      <xdr:nvSpPr>
        <xdr:cNvPr id="376" name="Прямоугольник 375">
          <a:extLst>
            <a:ext uri="{FF2B5EF4-FFF2-40B4-BE49-F238E27FC236}">
              <a16:creationId xmlns:a16="http://schemas.microsoft.com/office/drawing/2014/main" id="{2C5C772E-4948-47CD-92B0-D03E23DDA8AE}"/>
            </a:ext>
          </a:extLst>
        </xdr:cNvPr>
        <xdr:cNvSpPr/>
      </xdr:nvSpPr>
      <xdr:spPr>
        <a:xfrm>
          <a:off x="7108346" y="102071940"/>
          <a:ext cx="1703243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000" b="0" i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Черный</a:t>
          </a:r>
        </a:p>
      </xdr:txBody>
    </xdr:sp>
    <xdr:clientData/>
  </xdr:oneCellAnchor>
  <xdr:oneCellAnchor>
    <xdr:from>
      <xdr:col>3</xdr:col>
      <xdr:colOff>601410</xdr:colOff>
      <xdr:row>388</xdr:row>
      <xdr:rowOff>68035</xdr:rowOff>
    </xdr:from>
    <xdr:ext cx="1703243" cy="349752"/>
    <xdr:sp macro="" textlink="">
      <xdr:nvSpPr>
        <xdr:cNvPr id="377" name="Прямоугольник 376">
          <a:extLst>
            <a:ext uri="{FF2B5EF4-FFF2-40B4-BE49-F238E27FC236}">
              <a16:creationId xmlns:a16="http://schemas.microsoft.com/office/drawing/2014/main" id="{E0E0BA48-2728-4AF3-8616-7722962AD5C4}"/>
            </a:ext>
          </a:extLst>
        </xdr:cNvPr>
        <xdr:cNvSpPr/>
      </xdr:nvSpPr>
      <xdr:spPr>
        <a:xfrm>
          <a:off x="2430210" y="98375560"/>
          <a:ext cx="1703243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000" b="0" i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Серебро</a:t>
          </a:r>
        </a:p>
      </xdr:txBody>
    </xdr:sp>
    <xdr:clientData/>
  </xdr:oneCellAnchor>
  <xdr:oneCellAnchor>
    <xdr:from>
      <xdr:col>4</xdr:col>
      <xdr:colOff>421822</xdr:colOff>
      <xdr:row>368</xdr:row>
      <xdr:rowOff>176892</xdr:rowOff>
    </xdr:from>
    <xdr:ext cx="2129117" cy="369795"/>
    <xdr:sp macro="" textlink="">
      <xdr:nvSpPr>
        <xdr:cNvPr id="378" name="Прямоугольник 377">
          <a:extLst>
            <a:ext uri="{FF2B5EF4-FFF2-40B4-BE49-F238E27FC236}">
              <a16:creationId xmlns:a16="http://schemas.microsoft.com/office/drawing/2014/main" id="{5E286E37-52F3-48F3-81C3-ED4464FAA155}"/>
            </a:ext>
          </a:extLst>
        </xdr:cNvPr>
        <xdr:cNvSpPr/>
      </xdr:nvSpPr>
      <xdr:spPr>
        <a:xfrm>
          <a:off x="2860222" y="94674417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ctr"/>
          <a:r>
            <a:rPr lang="ru-RU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18</a:t>
          </a:r>
        </a:p>
        <a:p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twoCellAnchor>
    <xdr:from>
      <xdr:col>4</xdr:col>
      <xdr:colOff>312964</xdr:colOff>
      <xdr:row>355</xdr:row>
      <xdr:rowOff>174492</xdr:rowOff>
    </xdr:from>
    <xdr:to>
      <xdr:col>4</xdr:col>
      <xdr:colOff>312964</xdr:colOff>
      <xdr:row>379</xdr:row>
      <xdr:rowOff>30492</xdr:rowOff>
    </xdr:to>
    <xdr:cxnSp macro="">
      <xdr:nvCxnSpPr>
        <xdr:cNvPr id="379" name="Прямая соединительная линия 378">
          <a:extLst>
            <a:ext uri="{FF2B5EF4-FFF2-40B4-BE49-F238E27FC236}">
              <a16:creationId xmlns:a16="http://schemas.microsoft.com/office/drawing/2014/main" id="{2BF8E992-53E3-4182-9413-845D1C99BD10}"/>
            </a:ext>
          </a:extLst>
        </xdr:cNvPr>
        <xdr:cNvCxnSpPr/>
      </xdr:nvCxnSpPr>
      <xdr:spPr>
        <a:xfrm>
          <a:off x="2751364" y="92195517"/>
          <a:ext cx="0" cy="4428000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316166</xdr:colOff>
      <xdr:row>355</xdr:row>
      <xdr:rowOff>159284</xdr:rowOff>
    </xdr:from>
    <xdr:to>
      <xdr:col>0</xdr:col>
      <xdr:colOff>316166</xdr:colOff>
      <xdr:row>379</xdr:row>
      <xdr:rowOff>15284</xdr:rowOff>
    </xdr:to>
    <xdr:cxnSp macro="">
      <xdr:nvCxnSpPr>
        <xdr:cNvPr id="380" name="Прямая соединительная линия 379">
          <a:extLst>
            <a:ext uri="{FF2B5EF4-FFF2-40B4-BE49-F238E27FC236}">
              <a16:creationId xmlns:a16="http://schemas.microsoft.com/office/drawing/2014/main" id="{6E6CFDAE-D7A9-490B-A490-0D62D5BCD25B}"/>
            </a:ext>
          </a:extLst>
        </xdr:cNvPr>
        <xdr:cNvCxnSpPr/>
      </xdr:nvCxnSpPr>
      <xdr:spPr>
        <a:xfrm>
          <a:off x="316166" y="92180309"/>
          <a:ext cx="0" cy="4428000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299357</xdr:colOff>
      <xdr:row>355</xdr:row>
      <xdr:rowOff>176892</xdr:rowOff>
    </xdr:from>
    <xdr:to>
      <xdr:col>8</xdr:col>
      <xdr:colOff>299357</xdr:colOff>
      <xdr:row>379</xdr:row>
      <xdr:rowOff>32892</xdr:rowOff>
    </xdr:to>
    <xdr:cxnSp macro="">
      <xdr:nvCxnSpPr>
        <xdr:cNvPr id="381" name="Прямая соединительная линия 380">
          <a:extLst>
            <a:ext uri="{FF2B5EF4-FFF2-40B4-BE49-F238E27FC236}">
              <a16:creationId xmlns:a16="http://schemas.microsoft.com/office/drawing/2014/main" id="{BEDB9EC2-BAFD-413B-8AD4-A095FF781563}"/>
            </a:ext>
          </a:extLst>
        </xdr:cNvPr>
        <xdr:cNvCxnSpPr/>
      </xdr:nvCxnSpPr>
      <xdr:spPr>
        <a:xfrm>
          <a:off x="5176157" y="92197917"/>
          <a:ext cx="0" cy="4428000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421821</xdr:colOff>
      <xdr:row>371</xdr:row>
      <xdr:rowOff>32658</xdr:rowOff>
    </xdr:from>
    <xdr:ext cx="2129117" cy="369795"/>
    <xdr:sp macro="" textlink="">
      <xdr:nvSpPr>
        <xdr:cNvPr id="382" name="Прямоугольник 381">
          <a:extLst>
            <a:ext uri="{FF2B5EF4-FFF2-40B4-BE49-F238E27FC236}">
              <a16:creationId xmlns:a16="http://schemas.microsoft.com/office/drawing/2014/main" id="{40176AAB-679C-4AA7-A8C0-8B1DD6A0A2A6}"/>
            </a:ext>
          </a:extLst>
        </xdr:cNvPr>
        <xdr:cNvSpPr/>
      </xdr:nvSpPr>
      <xdr:spPr>
        <a:xfrm>
          <a:off x="2860221" y="95101683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ctr"/>
          <a:r>
            <a:rPr lang="en-US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max 400</a:t>
          </a:r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4</xdr:col>
      <xdr:colOff>421821</xdr:colOff>
      <xdr:row>373</xdr:row>
      <xdr:rowOff>68036</xdr:rowOff>
    </xdr:from>
    <xdr:ext cx="2129117" cy="369795"/>
    <xdr:sp macro="" textlink="">
      <xdr:nvSpPr>
        <xdr:cNvPr id="383" name="Прямоугольник 382">
          <a:extLst>
            <a:ext uri="{FF2B5EF4-FFF2-40B4-BE49-F238E27FC236}">
              <a16:creationId xmlns:a16="http://schemas.microsoft.com/office/drawing/2014/main" id="{9E95DAC9-9DC3-4AD8-8B34-81E57D4AA025}"/>
            </a:ext>
          </a:extLst>
        </xdr:cNvPr>
        <xdr:cNvSpPr/>
      </xdr:nvSpPr>
      <xdr:spPr>
        <a:xfrm>
          <a:off x="2860221" y="95518061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ctr"/>
          <a:r>
            <a:rPr lang="en-US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max 6000</a:t>
          </a:r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4</xdr:col>
      <xdr:colOff>413016</xdr:colOff>
      <xdr:row>376</xdr:row>
      <xdr:rowOff>50425</xdr:rowOff>
    </xdr:from>
    <xdr:ext cx="2129117" cy="369795"/>
    <xdr:sp macro="" textlink="">
      <xdr:nvSpPr>
        <xdr:cNvPr id="384" name="Прямоугольник 383">
          <a:extLst>
            <a:ext uri="{FF2B5EF4-FFF2-40B4-BE49-F238E27FC236}">
              <a16:creationId xmlns:a16="http://schemas.microsoft.com/office/drawing/2014/main" id="{DEC0A390-33BB-4320-9024-8196A09051DE}"/>
            </a:ext>
          </a:extLst>
        </xdr:cNvPr>
        <xdr:cNvSpPr/>
      </xdr:nvSpPr>
      <xdr:spPr>
        <a:xfrm>
          <a:off x="2851416" y="96071950"/>
          <a:ext cx="2129117" cy="36979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ctr"/>
          <a:r>
            <a:rPr lang="en-US" sz="1800" b="1" i="0" u="none" strike="noStrik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n-ea"/>
              <a:cs typeface="+mn-cs"/>
            </a:rPr>
            <a:t>10</a:t>
          </a:r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twoCellAnchor editAs="oneCell">
    <xdr:from>
      <xdr:col>5</xdr:col>
      <xdr:colOff>107674</xdr:colOff>
      <xdr:row>359</xdr:row>
      <xdr:rowOff>33132</xdr:rowOff>
    </xdr:from>
    <xdr:to>
      <xdr:col>7</xdr:col>
      <xdr:colOff>356153</xdr:colOff>
      <xdr:row>367</xdr:row>
      <xdr:rowOff>82614</xdr:rowOff>
    </xdr:to>
    <xdr:pic>
      <xdr:nvPicPr>
        <xdr:cNvPr id="385" name="Рисунок 384">
          <a:extLst>
            <a:ext uri="{FF2B5EF4-FFF2-40B4-BE49-F238E27FC236}">
              <a16:creationId xmlns:a16="http://schemas.microsoft.com/office/drawing/2014/main" id="{8DD9C380-0D77-4BBE-A9B8-1BB8D1A44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55674" y="92816157"/>
          <a:ext cx="1467679" cy="1573482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391</xdr:row>
      <xdr:rowOff>17318</xdr:rowOff>
    </xdr:from>
    <xdr:to>
      <xdr:col>16</xdr:col>
      <xdr:colOff>449036</xdr:colOff>
      <xdr:row>407</xdr:row>
      <xdr:rowOff>94503</xdr:rowOff>
    </xdr:to>
    <xdr:pic>
      <xdr:nvPicPr>
        <xdr:cNvPr id="386" name="Рисунок 385">
          <a:extLst>
            <a:ext uri="{FF2B5EF4-FFF2-40B4-BE49-F238E27FC236}">
              <a16:creationId xmlns:a16="http://schemas.microsoft.com/office/drawing/2014/main" id="{256CAB7A-CF50-42CC-AF65-AC820C8C8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53" r="28198" b="10428"/>
        <a:stretch/>
      </xdr:blipFill>
      <xdr:spPr>
        <a:xfrm>
          <a:off x="5676900" y="98896343"/>
          <a:ext cx="4525736" cy="3125185"/>
        </a:xfrm>
        <a:prstGeom prst="rect">
          <a:avLst/>
        </a:prstGeom>
      </xdr:spPr>
    </xdr:pic>
    <xdr:clientData/>
  </xdr:twoCellAnchor>
  <xdr:twoCellAnchor editAs="oneCell">
    <xdr:from>
      <xdr:col>17</xdr:col>
      <xdr:colOff>294410</xdr:colOff>
      <xdr:row>391</xdr:row>
      <xdr:rowOff>17318</xdr:rowOff>
    </xdr:from>
    <xdr:to>
      <xdr:col>25</xdr:col>
      <xdr:colOff>40822</xdr:colOff>
      <xdr:row>407</xdr:row>
      <xdr:rowOff>168911</xdr:rowOff>
    </xdr:to>
    <xdr:pic>
      <xdr:nvPicPr>
        <xdr:cNvPr id="387" name="Рисунок 386">
          <a:extLst>
            <a:ext uri="{FF2B5EF4-FFF2-40B4-BE49-F238E27FC236}">
              <a16:creationId xmlns:a16="http://schemas.microsoft.com/office/drawing/2014/main" id="{1996EEE3-F2BA-47D3-A777-256CA984EA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20" r="27642" b="10428"/>
        <a:stretch/>
      </xdr:blipFill>
      <xdr:spPr>
        <a:xfrm>
          <a:off x="10657610" y="98896343"/>
          <a:ext cx="4623212" cy="3199593"/>
        </a:xfrm>
        <a:prstGeom prst="rect">
          <a:avLst/>
        </a:prstGeom>
      </xdr:spPr>
    </xdr:pic>
    <xdr:clientData/>
  </xdr:twoCellAnchor>
  <xdr:twoCellAnchor editAs="oneCell">
    <xdr:from>
      <xdr:col>1</xdr:col>
      <xdr:colOff>225137</xdr:colOff>
      <xdr:row>391</xdr:row>
      <xdr:rowOff>17318</xdr:rowOff>
    </xdr:from>
    <xdr:to>
      <xdr:col>9</xdr:col>
      <xdr:colOff>56046</xdr:colOff>
      <xdr:row>408</xdr:row>
      <xdr:rowOff>38680</xdr:rowOff>
    </xdr:to>
    <xdr:pic>
      <xdr:nvPicPr>
        <xdr:cNvPr id="388" name="Рисунок 387">
          <a:extLst>
            <a:ext uri="{FF2B5EF4-FFF2-40B4-BE49-F238E27FC236}">
              <a16:creationId xmlns:a16="http://schemas.microsoft.com/office/drawing/2014/main" id="{EBA0C85B-F8B9-4B88-9FF1-68DE1B7B69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31" r="28253" b="9983"/>
        <a:stretch/>
      </xdr:blipFill>
      <xdr:spPr>
        <a:xfrm>
          <a:off x="834737" y="98896343"/>
          <a:ext cx="4707709" cy="3259862"/>
        </a:xfrm>
        <a:prstGeom prst="rect">
          <a:avLst/>
        </a:prstGeom>
      </xdr:spPr>
    </xdr:pic>
    <xdr:clientData/>
  </xdr:twoCellAnchor>
  <xdr:twoCellAnchor editAs="oneCell">
    <xdr:from>
      <xdr:col>9</xdr:col>
      <xdr:colOff>311728</xdr:colOff>
      <xdr:row>411</xdr:row>
      <xdr:rowOff>121227</xdr:rowOff>
    </xdr:from>
    <xdr:to>
      <xdr:col>17</xdr:col>
      <xdr:colOff>142637</xdr:colOff>
      <xdr:row>428</xdr:row>
      <xdr:rowOff>125185</xdr:rowOff>
    </xdr:to>
    <xdr:pic>
      <xdr:nvPicPr>
        <xdr:cNvPr id="389" name="Рисунок 388">
          <a:extLst>
            <a:ext uri="{FF2B5EF4-FFF2-40B4-BE49-F238E27FC236}">
              <a16:creationId xmlns:a16="http://schemas.microsoft.com/office/drawing/2014/main" id="{38384364-1893-42F8-BA66-5AC559518D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98" t="-891" r="26916" b="10428"/>
        <a:stretch/>
      </xdr:blipFill>
      <xdr:spPr>
        <a:xfrm>
          <a:off x="5798128" y="102810252"/>
          <a:ext cx="4707709" cy="3242458"/>
        </a:xfrm>
        <a:prstGeom prst="rect">
          <a:avLst/>
        </a:prstGeom>
      </xdr:spPr>
    </xdr:pic>
    <xdr:clientData/>
  </xdr:twoCellAnchor>
  <xdr:oneCellAnchor>
    <xdr:from>
      <xdr:col>10</xdr:col>
      <xdr:colOff>83245</xdr:colOff>
      <xdr:row>141</xdr:row>
      <xdr:rowOff>134470</xdr:rowOff>
    </xdr:from>
    <xdr:ext cx="8743950" cy="7715250"/>
    <xdr:sp macro="" textlink="">
      <xdr:nvSpPr>
        <xdr:cNvPr id="135" name="Прямоугольник 134">
          <a:extLst>
            <a:ext uri="{FF2B5EF4-FFF2-40B4-BE49-F238E27FC236}">
              <a16:creationId xmlns:a16="http://schemas.microsoft.com/office/drawing/2014/main" id="{82447A5A-9DD4-4579-B258-354320B5A25D}"/>
            </a:ext>
          </a:extLst>
        </xdr:cNvPr>
        <xdr:cNvSpPr/>
      </xdr:nvSpPr>
      <xdr:spPr>
        <a:xfrm>
          <a:off x="6134421" y="43389176"/>
          <a:ext cx="8743950" cy="7715250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l"/>
          <a:r>
            <a:rPr lang="ru-RU" sz="1600" b="0" i="0" u="sng" strike="noStrike" baseline="0">
              <a:solidFill>
                <a:srgbClr val="C00000"/>
              </a:solidFill>
              <a:latin typeface="+mj-lt"/>
              <a:ea typeface="+mn-ea"/>
              <a:cs typeface="+mn-cs"/>
            </a:rPr>
            <a:t>Встраиваемый в пол конвектор тепло-холод с принудительной конвекцией </a:t>
          </a:r>
          <a:r>
            <a:rPr lang="de-DE" sz="1600" b="0" i="0" u="sng" strike="noStrike" baseline="0">
              <a:solidFill>
                <a:srgbClr val="C00000"/>
              </a:solidFill>
              <a:latin typeface="+mj-lt"/>
              <a:ea typeface="+mn-ea"/>
              <a:cs typeface="+mn-cs"/>
            </a:rPr>
            <a:t>VITRON </a:t>
          </a:r>
          <a:r>
            <a:rPr lang="de-DE" sz="1600" b="0" i="0" u="none" strike="noStrike" baseline="0">
              <a:solidFill>
                <a:srgbClr val="C00000"/>
              </a:solidFill>
              <a:latin typeface="+mj-lt"/>
              <a:ea typeface="+mn-ea"/>
              <a:cs typeface="+mn-cs"/>
            </a:rPr>
            <a:t>-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 прибор , который предназначен как для отопления, так и для охлаждения воздуха в помещении. Для подключения необходим источник хладагента (+7...+16 °С). Для сбора конденсата предусмотрено формованное дно с дренажным патрубком.. Позволяет преградить поток холодного воздуха от застекленных фасадов или окон. Данный тип конвектора служит для отопления  и охлаждения сухих и влажных помещений. Применяется в качестве основного отопительного прибора в помещениях с любыми потребностями в интенсивности отопления. Возможно комбинированное использование с системами тёплого пола, вентиляции, радиаторного водяного отопления. Может быть установлен как в однотрубную, так и в двухтрубную систему отопления.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600" b="0" i="0" baseline="0"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ru-RU" sz="1400" b="0" i="0" baseline="0">
              <a:effectLst/>
              <a:latin typeface="+mn-lt"/>
              <a:ea typeface="+mn-ea"/>
              <a:cs typeface="+mn-cs"/>
            </a:rPr>
            <a:t>Конструктивные особенности: </a:t>
          </a:r>
          <a:endParaRPr lang="ru-RU" sz="1400" b="0">
            <a:effectLst/>
            <a:latin typeface="+mn-lt"/>
          </a:endParaRPr>
        </a:p>
        <a:p>
          <a:r>
            <a:rPr lang="ru-RU" sz="1400" b="0" i="0" baseline="0">
              <a:effectLst/>
              <a:latin typeface="+mj-lt"/>
              <a:ea typeface="+mn-ea"/>
              <a:cs typeface="+mn-cs"/>
            </a:rPr>
            <a:t>• материал корпуса - нержавеющая сталь толщиной 0,8мм;</a:t>
          </a:r>
          <a:endParaRPr lang="ru-RU" sz="1400">
            <a:effectLst/>
            <a:latin typeface="+mj-lt"/>
          </a:endParaRPr>
        </a:p>
        <a:p>
          <a:r>
            <a:rPr lang="ru-RU" sz="1400" b="0" i="0" baseline="0">
              <a:effectLst/>
              <a:latin typeface="+mj-lt"/>
              <a:ea typeface="+mn-ea"/>
              <a:cs typeface="+mn-cs"/>
            </a:rPr>
            <a:t>• материал и покрытие решётки - анодированный алюминий, алюминий с</a:t>
          </a:r>
          <a:endParaRPr lang="ru-RU" sz="1400">
            <a:effectLst/>
            <a:latin typeface="+mj-lt"/>
          </a:endParaRPr>
        </a:p>
        <a:p>
          <a:r>
            <a:rPr lang="ru-RU" sz="1400" b="0" i="0" baseline="0">
              <a:effectLst/>
              <a:latin typeface="+mj-lt"/>
              <a:ea typeface="+mn-ea"/>
              <a:cs typeface="+mn-cs"/>
            </a:rPr>
            <a:t>порошковым покрытием, дерево (дуб);</a:t>
          </a:r>
          <a:endParaRPr lang="ru-RU" sz="1400">
            <a:effectLst/>
            <a:latin typeface="+mj-lt"/>
          </a:endParaRPr>
        </a:p>
        <a:p>
          <a:r>
            <a:rPr lang="ru-RU" sz="1400" b="0" i="0" baseline="0">
              <a:effectLst/>
              <a:latin typeface="+mj-lt"/>
              <a:ea typeface="+mn-ea"/>
              <a:cs typeface="+mn-cs"/>
            </a:rPr>
            <a:t>• регулировка по высоте от 0 до 40 мм за счёт специальных установочных ножек;</a:t>
          </a:r>
          <a:endParaRPr lang="ru-RU" sz="1400">
            <a:effectLst/>
            <a:latin typeface="+mj-lt"/>
          </a:endParaRPr>
        </a:p>
        <a:p>
          <a:r>
            <a:rPr lang="ru-RU" sz="1400" b="0" i="0" baseline="0">
              <a:effectLst/>
              <a:latin typeface="+mj-lt"/>
              <a:ea typeface="+mn-ea"/>
              <a:cs typeface="+mn-cs"/>
            </a:rPr>
            <a:t>• подключение теплообменника - </a:t>
          </a:r>
          <a:r>
            <a:rPr lang="en-US" sz="1400" b="0" i="0" baseline="0">
              <a:effectLst/>
              <a:latin typeface="+mj-lt"/>
              <a:ea typeface="+mn-ea"/>
              <a:cs typeface="+mn-cs"/>
            </a:rPr>
            <a:t>G1/2’’ (</a:t>
          </a:r>
          <a:r>
            <a:rPr lang="ru-RU" sz="1400" b="0" i="0" baseline="0">
              <a:effectLst/>
              <a:latin typeface="+mj-lt"/>
              <a:ea typeface="+mn-ea"/>
              <a:cs typeface="+mn-cs"/>
            </a:rPr>
            <a:t>внутренняя резьба);</a:t>
          </a:r>
          <a:endParaRPr lang="ru-RU" sz="1400">
            <a:effectLst/>
            <a:latin typeface="+mj-lt"/>
          </a:endParaRPr>
        </a:p>
        <a:p>
          <a:r>
            <a:rPr lang="ru-RU" sz="1400" b="0" i="0" baseline="0">
              <a:effectLst/>
              <a:latin typeface="+mj-lt"/>
              <a:ea typeface="+mn-ea"/>
              <a:cs typeface="+mn-cs"/>
            </a:rPr>
            <a:t>• применение материалов с повышенными теплопередающими свойствами</a:t>
          </a:r>
          <a:endParaRPr lang="ru-RU" sz="1400">
            <a:effectLst/>
            <a:latin typeface="+mj-lt"/>
          </a:endParaRPr>
        </a:p>
        <a:p>
          <a:r>
            <a:rPr lang="ru-RU" sz="1400" b="0" i="0" baseline="0">
              <a:effectLst/>
              <a:latin typeface="+mj-lt"/>
              <a:ea typeface="+mn-ea"/>
              <a:cs typeface="+mn-cs"/>
            </a:rPr>
            <a:t>(С</a:t>
          </a:r>
          <a:r>
            <a:rPr lang="en-US" sz="1400" b="0" i="0" baseline="0">
              <a:effectLst/>
              <a:latin typeface="+mj-lt"/>
              <a:ea typeface="+mn-ea"/>
              <a:cs typeface="+mn-cs"/>
            </a:rPr>
            <a:t>u - </a:t>
          </a:r>
          <a:r>
            <a:rPr lang="ru-RU" sz="1400" b="0" i="0" baseline="0">
              <a:effectLst/>
              <a:latin typeface="+mj-lt"/>
              <a:ea typeface="+mn-ea"/>
              <a:cs typeface="+mn-cs"/>
            </a:rPr>
            <a:t>медь, </a:t>
          </a:r>
          <a:r>
            <a:rPr lang="en-US" sz="1400" b="0" i="0" baseline="0">
              <a:effectLst/>
              <a:latin typeface="+mj-lt"/>
              <a:ea typeface="+mn-ea"/>
              <a:cs typeface="+mn-cs"/>
            </a:rPr>
            <a:t>Al - </a:t>
          </a:r>
          <a:r>
            <a:rPr lang="ru-RU" sz="1400" b="0" i="0" baseline="0">
              <a:effectLst/>
              <a:latin typeface="+mj-lt"/>
              <a:ea typeface="+mn-ea"/>
              <a:cs typeface="+mn-cs"/>
            </a:rPr>
            <a:t>алюминий) и стойких к коррозии;</a:t>
          </a:r>
          <a:endParaRPr lang="ru-RU" sz="1400">
            <a:effectLst/>
            <a:latin typeface="+mj-lt"/>
          </a:endParaRPr>
        </a:p>
        <a:p>
          <a:r>
            <a:rPr lang="ru-RU" sz="1400" b="0" i="0" baseline="0">
              <a:effectLst/>
              <a:latin typeface="+mj-lt"/>
              <a:ea typeface="+mn-ea"/>
              <a:cs typeface="+mn-cs"/>
            </a:rPr>
            <a:t>• съёмный медно-алюминиевый теплообменник, покрытый износостойким</a:t>
          </a:r>
          <a:endParaRPr lang="ru-RU" sz="1400">
            <a:effectLst/>
            <a:latin typeface="+mj-lt"/>
          </a:endParaRPr>
        </a:p>
        <a:p>
          <a:r>
            <a:rPr lang="ru-RU" sz="1400" b="0" i="0" baseline="0">
              <a:effectLst/>
              <a:latin typeface="+mj-lt"/>
              <a:ea typeface="+mn-ea"/>
              <a:cs typeface="+mn-cs"/>
            </a:rPr>
            <a:t>порошковым покрытием (цвет покрытия: хром);</a:t>
          </a:r>
          <a:endParaRPr lang="ru-RU" sz="1400">
            <a:effectLst/>
            <a:latin typeface="+mj-lt"/>
          </a:endParaRPr>
        </a:p>
        <a:p>
          <a:r>
            <a:rPr lang="ru-RU" sz="1400" b="0" i="0" baseline="0">
              <a:effectLst/>
              <a:latin typeface="+mj-lt"/>
              <a:ea typeface="+mn-ea"/>
              <a:cs typeface="+mn-cs"/>
            </a:rPr>
            <a:t>• специальные юстировочные винты позволяют легко выровнять конвектор</a:t>
          </a:r>
          <a:endParaRPr lang="ru-RU" sz="1400">
            <a:effectLst/>
            <a:latin typeface="+mj-lt"/>
          </a:endParaRPr>
        </a:p>
        <a:p>
          <a:r>
            <a:rPr lang="ru-RU" sz="1400" b="0" i="0" baseline="0">
              <a:effectLst/>
              <a:latin typeface="+mj-lt"/>
              <a:ea typeface="+mn-ea"/>
              <a:cs typeface="+mn-cs"/>
            </a:rPr>
            <a:t>в горизонтальной плоскости;</a:t>
          </a:r>
          <a:endParaRPr lang="ru-RU" sz="1400">
            <a:effectLst/>
            <a:latin typeface="+mj-lt"/>
          </a:endParaRPr>
        </a:p>
        <a:p>
          <a:endParaRPr lang="ru-RU" sz="1600" b="0" i="0" u="none" strike="noStrike" baseline="0">
            <a:latin typeface="+mn-lt"/>
            <a:ea typeface="+mn-ea"/>
            <a:cs typeface="+mn-cs"/>
          </a:endParaRPr>
        </a:p>
        <a:p>
          <a:r>
            <a:rPr lang="ru-RU" sz="1600" b="0" i="0" u="none" strike="noStrike" baseline="0">
              <a:latin typeface="+mn-lt"/>
              <a:ea typeface="+mn-ea"/>
              <a:cs typeface="+mn-cs"/>
            </a:rPr>
            <a:t>Стандартный комплект поставки: 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корпус из нержавеющей стали;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тангенциальный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DC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вентилятор, напряжением питания 24В с уменьшенным уровнем шума;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комплект установочных ножек;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поперечная или продольная решётка;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</a:t>
          </a:r>
          <a:r>
            <a:rPr lang="ru-RU" sz="1400" b="0" i="0" baseline="0">
              <a:effectLst/>
              <a:latin typeface="+mj-lt"/>
              <a:ea typeface="+mn-ea"/>
              <a:cs typeface="+mn-cs"/>
            </a:rPr>
            <a:t>декоративная рамка из алюминиевого </a:t>
          </a:r>
          <a:r>
            <a:rPr lang="en-US" sz="1400" b="0" i="0" baseline="0">
              <a:effectLst/>
              <a:latin typeface="+mj-lt"/>
              <a:ea typeface="+mn-ea"/>
              <a:cs typeface="+mn-cs"/>
            </a:rPr>
            <a:t>L </a:t>
          </a:r>
          <a:r>
            <a:rPr lang="ru-RU" sz="1400" b="0" i="0" baseline="0">
              <a:effectLst/>
              <a:latin typeface="+mj-lt"/>
              <a:ea typeface="+mn-ea"/>
              <a:cs typeface="+mn-cs"/>
            </a:rPr>
            <a:t>и </a:t>
          </a:r>
          <a:r>
            <a:rPr lang="en-US" sz="1400" b="0" i="0" baseline="0">
              <a:effectLst/>
              <a:latin typeface="+mj-lt"/>
              <a:ea typeface="+mn-ea"/>
              <a:cs typeface="+mn-cs"/>
            </a:rPr>
            <a:t>Z-</a:t>
          </a:r>
          <a:r>
            <a:rPr lang="ru-RU" sz="1400" b="0" i="0" baseline="0">
              <a:effectLst/>
              <a:latin typeface="+mj-lt"/>
              <a:ea typeface="+mn-ea"/>
              <a:cs typeface="+mn-cs"/>
            </a:rPr>
            <a:t>образного профиля или окантовка из</a:t>
          </a:r>
        </a:p>
        <a:p>
          <a:r>
            <a:rPr lang="en-US" sz="1400" b="0" i="0" baseline="0">
              <a:effectLst/>
              <a:latin typeface="+mj-lt"/>
              <a:ea typeface="+mn-ea"/>
              <a:cs typeface="+mn-cs"/>
            </a:rPr>
            <a:t>J </a:t>
          </a:r>
          <a:r>
            <a:rPr lang="ru-RU" sz="1400" b="0" i="0" baseline="0">
              <a:effectLst/>
              <a:latin typeface="+mj-lt"/>
              <a:ea typeface="+mn-ea"/>
              <a:cs typeface="+mn-cs"/>
            </a:rPr>
            <a:t>и </a:t>
          </a:r>
          <a:r>
            <a:rPr lang="en-US" sz="1400" b="0" i="0" baseline="0">
              <a:effectLst/>
              <a:latin typeface="+mj-lt"/>
              <a:ea typeface="+mn-ea"/>
              <a:cs typeface="+mn-cs"/>
            </a:rPr>
            <a:t>F-</a:t>
          </a:r>
          <a:r>
            <a:rPr lang="ru-RU" sz="1400" b="0" i="0" baseline="0">
              <a:effectLst/>
              <a:latin typeface="+mj-lt"/>
              <a:ea typeface="+mn-ea"/>
              <a:cs typeface="+mn-cs"/>
            </a:rPr>
            <a:t>профиля, выполненная в цвет решётки;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медно-алюминиевый теплообменник (диаметр медной трубы 15 мм);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воздухоотводчик ручной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G1/8’’;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технический паспорт, инструкция по монтажу и эксплуатации;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монтажная доска для защиты от механических повреждений.</a:t>
          </a:r>
        </a:p>
        <a:p>
          <a:endParaRPr lang="ru-RU" sz="1400" b="0" i="0" u="none" strike="noStrike" baseline="0">
            <a:latin typeface="+mj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56030</xdr:colOff>
      <xdr:row>139</xdr:row>
      <xdr:rowOff>0</xdr:rowOff>
    </xdr:from>
    <xdr:ext cx="11553825" cy="511677"/>
    <xdr:sp macro="" textlink="">
      <xdr:nvSpPr>
        <xdr:cNvPr id="136" name="Прямоугольник 135">
          <a:extLst>
            <a:ext uri="{FF2B5EF4-FFF2-40B4-BE49-F238E27FC236}">
              <a16:creationId xmlns:a16="http://schemas.microsoft.com/office/drawing/2014/main" id="{32BC1EB8-66B7-42C0-ABCC-11C82C10E624}"/>
            </a:ext>
          </a:extLst>
        </xdr:cNvPr>
        <xdr:cNvSpPr/>
      </xdr:nvSpPr>
      <xdr:spPr>
        <a:xfrm>
          <a:off x="56030" y="42840088"/>
          <a:ext cx="11553825" cy="51167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Конвекторы</a:t>
          </a:r>
          <a:r>
            <a:rPr lang="ru-RU" sz="2400" b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встраиваемые в пол тепло-холод с вентилятором</a:t>
          </a:r>
          <a:r>
            <a:rPr lang="en-US" sz="2400" b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</a:t>
          </a:r>
          <a:r>
            <a:rPr lang="ru-RU" sz="2400" b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24В (принудительная конвекция)</a:t>
          </a:r>
          <a:endParaRPr lang="ru-RU" sz="24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288925</xdr:colOff>
      <xdr:row>2</xdr:row>
      <xdr:rowOff>129228</xdr:rowOff>
    </xdr:from>
    <xdr:to>
      <xdr:col>11</xdr:col>
      <xdr:colOff>285750</xdr:colOff>
      <xdr:row>8</xdr:row>
      <xdr:rowOff>139495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08125" y="605478"/>
          <a:ext cx="5483225" cy="1162792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oneCellAnchor>
    <xdr:from>
      <xdr:col>14</xdr:col>
      <xdr:colOff>156425</xdr:colOff>
      <xdr:row>1</xdr:row>
      <xdr:rowOff>78873</xdr:rowOff>
    </xdr:from>
    <xdr:ext cx="5806225" cy="1568952"/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8690825" y="364623"/>
          <a:ext cx="5806225" cy="15689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1800" b="0" cap="none" spc="0">
              <a:ln w="0"/>
              <a:solidFill>
                <a:schemeClr val="accent5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Телефоны: г. </a:t>
          </a:r>
          <a:r>
            <a:rPr lang="ru-RU" sz="1800" b="1" cap="none" spc="0">
              <a:ln w="0"/>
              <a:solidFill>
                <a:schemeClr val="accent5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Москва</a:t>
          </a:r>
          <a:r>
            <a:rPr lang="en-US" sz="1800" b="0" cap="none" spc="0">
              <a:ln w="0"/>
              <a:solidFill>
                <a:schemeClr val="accent5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		</a:t>
          </a:r>
          <a:r>
            <a:rPr lang="ru-RU" sz="1600" b="1" i="0" u="sng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+7(495)641-32-22</a:t>
          </a:r>
          <a:endParaRPr lang="ru-RU" sz="1600" b="1" u="sng" cap="none" spc="0">
            <a:ln w="0"/>
            <a:solidFill>
              <a:srgbClr val="C0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n-lt"/>
          </a:endParaRPr>
        </a:p>
        <a:p>
          <a:pPr algn="l"/>
          <a:r>
            <a:rPr lang="ru-RU" sz="1800" b="0" cap="none" spc="0">
              <a:ln w="0"/>
              <a:solidFill>
                <a:schemeClr val="accent5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                    г. </a:t>
          </a:r>
          <a:r>
            <a:rPr lang="ru-RU" sz="1800" b="1" cap="none" spc="0">
              <a:ln w="0"/>
              <a:solidFill>
                <a:schemeClr val="accent5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Новосибирск</a:t>
          </a:r>
          <a:r>
            <a:rPr lang="en-US" sz="1800" b="0" cap="none" spc="0">
              <a:ln w="0"/>
              <a:solidFill>
                <a:schemeClr val="accent5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		</a:t>
          </a:r>
          <a:r>
            <a:rPr lang="ru-RU" sz="1600" b="1" i="0" u="sng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+7(383)373-34-58</a:t>
          </a:r>
          <a:endParaRPr lang="ru-RU" sz="1600" b="1" u="sng" cap="none" spc="0">
            <a:ln w="0"/>
            <a:solidFill>
              <a:srgbClr val="C0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n-lt"/>
          </a:endParaRPr>
        </a:p>
        <a:p>
          <a:pPr algn="l"/>
          <a:r>
            <a:rPr lang="ru-RU" sz="1800" b="0" cap="none" spc="0">
              <a:ln w="0"/>
              <a:solidFill>
                <a:schemeClr val="accent5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                    г.</a:t>
          </a:r>
          <a:r>
            <a:rPr lang="ru-RU" sz="1800" b="0" cap="none" spc="0" baseline="0">
              <a:ln w="0"/>
              <a:solidFill>
                <a:schemeClr val="accent5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</a:t>
          </a:r>
          <a:r>
            <a:rPr lang="ru-RU" sz="1800" b="1" cap="none" spc="0" baseline="0">
              <a:ln w="0"/>
              <a:solidFill>
                <a:schemeClr val="accent5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Санкт-Петербург</a:t>
          </a:r>
          <a:r>
            <a:rPr lang="en-US" sz="1800" b="0" cap="none" spc="0" baseline="0">
              <a:ln w="0"/>
              <a:solidFill>
                <a:schemeClr val="accent5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	</a:t>
          </a:r>
          <a:r>
            <a:rPr lang="ru-RU" sz="1600" b="1" i="0" u="sng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+7(812)458-88-58</a:t>
          </a:r>
          <a:endParaRPr lang="ru-RU" sz="1600" b="1" u="sng" cap="none" spc="0" baseline="0">
            <a:ln w="0"/>
            <a:solidFill>
              <a:srgbClr val="C0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n-lt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800" b="0" i="0" u="none" strike="noStrike" kern="0" cap="none" spc="0" normalizeH="0" baseline="0" noProof="0">
              <a:ln w="0"/>
              <a:solidFill>
                <a:srgbClr val="4472C4">
                  <a:lumMod val="75000"/>
                </a:srgbClr>
              </a:solidFill>
              <a:effectLst>
                <a:outerShdw blurRad="38100" dist="19050" dir="2700000" algn="tl" rotWithShape="0">
                  <a:prstClr val="black">
                    <a:alpha val="40000"/>
                  </a:prstClr>
                </a:outerShdw>
              </a:effectLst>
              <a:uLnTx/>
              <a:uFillTx/>
              <a:latin typeface="Calibri Light"/>
              <a:ea typeface="+mn-ea"/>
              <a:cs typeface="+mn-cs"/>
            </a:rPr>
            <a:t>Сайт: </a:t>
          </a:r>
          <a:r>
            <a:rPr kumimoji="0" lang="en-US" sz="1800" b="1" i="0" u="none" strike="noStrike" kern="0" cap="none" spc="0" normalizeH="0" baseline="0" noProof="0">
              <a:ln w="0"/>
              <a:solidFill>
                <a:srgbClr val="4472C4">
                  <a:lumMod val="75000"/>
                </a:srgbClr>
              </a:solidFill>
              <a:effectLst>
                <a:outerShdw blurRad="38100" dist="19050" dir="2700000" algn="tl" rotWithShape="0">
                  <a:prstClr val="black">
                    <a:alpha val="40000"/>
                  </a:prstClr>
                </a:outerShdw>
              </a:effectLst>
              <a:uLnTx/>
              <a:uFillTx/>
              <a:latin typeface="Calibri Light"/>
              <a:ea typeface="+mn-ea"/>
              <a:cs typeface="+mn-cs"/>
            </a:rPr>
            <a:t>wilma-rus.ru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 noProof="0">
              <a:ln w="0"/>
              <a:solidFill>
                <a:srgbClr val="4472C4">
                  <a:lumMod val="75000"/>
                </a:srgbClr>
              </a:solidFill>
              <a:effectLst>
                <a:outerShdw blurRad="38100" dist="19050" dir="2700000" algn="tl" rotWithShape="0">
                  <a:prstClr val="black">
                    <a:alpha val="40000"/>
                  </a:prstClr>
                </a:outerShdw>
              </a:effectLst>
              <a:uLnTx/>
              <a:uFillTx/>
              <a:latin typeface="Calibri Light"/>
              <a:ea typeface="+mn-ea"/>
              <a:cs typeface="+mn-cs"/>
            </a:rPr>
            <a:t>           vitron.ru</a:t>
          </a:r>
          <a:endParaRPr kumimoji="0" lang="ru-RU" sz="1800" b="1" i="0" u="none" strike="noStrike" kern="0" cap="none" spc="0" normalizeH="0" baseline="0" noProof="0">
            <a:ln w="0"/>
            <a:solidFill>
              <a:srgbClr val="4472C4">
                <a:lumMod val="75000"/>
              </a:srgbClr>
            </a:solidFill>
            <a:effectLst>
              <a:outerShdw blurRad="38100" dist="19050" dir="2700000" algn="tl" rotWithShape="0">
                <a:prstClr val="black">
                  <a:alpha val="40000"/>
                </a:prstClr>
              </a:outerShdw>
            </a:effectLst>
            <a:uLnTx/>
            <a:uFillTx/>
            <a:latin typeface="Calibri Ligh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0" i="0" u="none" strike="noStrike" kern="0" cap="none" spc="0" normalizeH="0" baseline="0" noProof="0">
              <a:ln w="0"/>
              <a:solidFill>
                <a:srgbClr val="4472C4">
                  <a:lumMod val="75000"/>
                </a:srgbClr>
              </a:solidFill>
              <a:effectLst>
                <a:outerShdw blurRad="38100" dist="19050" dir="2700000" algn="tl" rotWithShape="0">
                  <a:prstClr val="black">
                    <a:alpha val="40000"/>
                  </a:prstClr>
                </a:outerShdw>
              </a:effectLst>
              <a:uLnTx/>
              <a:uFillTx/>
              <a:latin typeface="Calibri Light"/>
              <a:ea typeface="+mn-ea"/>
              <a:cs typeface="+mn-cs"/>
            </a:rPr>
            <a:t>e-mail</a:t>
          </a:r>
          <a:r>
            <a:rPr kumimoji="0" lang="ru-RU" sz="1800" b="0" i="0" u="none" strike="noStrike" kern="0" cap="none" spc="0" normalizeH="0" baseline="0" noProof="0">
              <a:ln w="0"/>
              <a:solidFill>
                <a:srgbClr val="4472C4">
                  <a:lumMod val="75000"/>
                </a:srgbClr>
              </a:solidFill>
              <a:effectLst>
                <a:outerShdw blurRad="38100" dist="19050" dir="2700000" algn="tl" rotWithShape="0">
                  <a:prstClr val="black">
                    <a:alpha val="40000"/>
                  </a:prstClr>
                </a:outerShdw>
              </a:effectLst>
              <a:uLnTx/>
              <a:uFillTx/>
              <a:latin typeface="Calibri Light"/>
              <a:ea typeface="+mn-ea"/>
              <a:cs typeface="+mn-cs"/>
            </a:rPr>
            <a:t>:</a:t>
          </a:r>
          <a:r>
            <a:rPr kumimoji="0" lang="en-US" sz="1800" b="0" i="0" u="none" strike="noStrike" kern="0" cap="none" spc="0" normalizeH="0" baseline="0" noProof="0">
              <a:ln w="0"/>
              <a:solidFill>
                <a:srgbClr val="4472C4">
                  <a:lumMod val="75000"/>
                </a:srgbClr>
              </a:solidFill>
              <a:effectLst>
                <a:outerShdw blurRad="38100" dist="19050" dir="2700000" algn="tl" rotWithShape="0">
                  <a:prstClr val="black">
                    <a:alpha val="40000"/>
                  </a:prstClr>
                </a:outerShdw>
              </a:effectLst>
              <a:uLnTx/>
              <a:uFillTx/>
              <a:latin typeface="Calibri Light"/>
              <a:ea typeface="+mn-ea"/>
              <a:cs typeface="+mn-cs"/>
            </a:rPr>
            <a:t> </a:t>
          </a:r>
          <a:r>
            <a:rPr kumimoji="0" lang="en-US" sz="1800" b="1" i="0" u="none" strike="noStrike" kern="0" cap="none" spc="0" normalizeH="0" baseline="0" noProof="0">
              <a:ln w="0"/>
              <a:solidFill>
                <a:srgbClr val="4472C4">
                  <a:lumMod val="75000"/>
                </a:srgbClr>
              </a:solidFill>
              <a:effectLst>
                <a:outerShdw blurRad="38100" dist="19050" dir="2700000" algn="tl" rotWithShape="0">
                  <a:prstClr val="black">
                    <a:alpha val="40000"/>
                  </a:prstClr>
                </a:outerShdw>
              </a:effectLst>
              <a:uLnTx/>
              <a:uFillTx/>
              <a:latin typeface="Calibri Light"/>
              <a:ea typeface="+mn-ea"/>
              <a:cs typeface="+mn-cs"/>
            </a:rPr>
            <a:t>info@wilma.ru</a:t>
          </a:r>
          <a:endParaRPr kumimoji="0" lang="ru-RU" sz="1800" b="1" i="0" u="none" strike="noStrike" kern="0" cap="none" spc="0" normalizeH="0" baseline="0" noProof="0">
            <a:ln w="0"/>
            <a:solidFill>
              <a:srgbClr val="4472C4">
                <a:lumMod val="75000"/>
              </a:srgbClr>
            </a:solidFill>
            <a:effectLst>
              <a:outerShdw blurRad="38100" dist="19050" dir="2700000" algn="tl" rotWithShape="0">
                <a:prstClr val="black">
                  <a:alpha val="40000"/>
                </a:prstClr>
              </a:outerShdw>
            </a:effectLst>
            <a:uLnTx/>
            <a:uFillTx/>
            <a:latin typeface="Calibri Ligh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0</xdr:colOff>
      <xdr:row>9</xdr:row>
      <xdr:rowOff>88398</xdr:rowOff>
    </xdr:from>
    <xdr:ext cx="10149625" cy="511677"/>
    <xdr:sp macro="" textlink="">
      <xdr:nvSpPr>
        <xdr:cNvPr id="5" name="Прямоугольни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0" y="1907673"/>
          <a:ext cx="10149625" cy="51167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Электрические конвекторы</a:t>
          </a:r>
          <a:r>
            <a:rPr lang="ru-RU" sz="2400" b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встраиваемые в пол </a:t>
          </a:r>
          <a:endParaRPr lang="ru-RU" sz="24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9</xdr:col>
      <xdr:colOff>146902</xdr:colOff>
      <xdr:row>11</xdr:row>
      <xdr:rowOff>114301</xdr:rowOff>
    </xdr:from>
    <xdr:ext cx="8758974" cy="6076949"/>
    <xdr:sp macro="" textlink="">
      <xdr:nvSpPr>
        <xdr:cNvPr id="10" name="Прямоугольник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5633302" y="2314576"/>
          <a:ext cx="8758974" cy="6076949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r>
            <a:rPr lang="ru-RU" sz="1400">
              <a:effectLst/>
              <a:latin typeface="+mn-lt"/>
              <a:ea typeface="+mn-ea"/>
              <a:cs typeface="+mn-cs"/>
            </a:rPr>
            <a:t>Встраиваемые в конструкцию пола электрические конвекторы </a:t>
          </a:r>
          <a:r>
            <a:rPr lang="en-US" sz="1400">
              <a:effectLst/>
              <a:latin typeface="+mn-lt"/>
              <a:ea typeface="+mn-ea"/>
              <a:cs typeface="+mn-cs"/>
            </a:rPr>
            <a:t>Vitron </a:t>
          </a:r>
          <a:r>
            <a:rPr lang="ru-RU" sz="1400">
              <a:effectLst/>
              <a:latin typeface="+mn-lt"/>
              <a:ea typeface="+mn-ea"/>
              <a:cs typeface="+mn-cs"/>
            </a:rPr>
            <a:t>– это отопительные приборы, где в качестве нагревательного элемента используются терморезисторы. Они предназначены для использования как вспомогательные отопительные приборы с системами водяного отопления, системами теплого пола, так и в качестве основного источника тепла, в местах где нет возможности использовать системы водяного отопления.</a:t>
          </a:r>
        </a:p>
        <a:p>
          <a:r>
            <a:rPr lang="ru-RU" sz="1400">
              <a:effectLst/>
              <a:latin typeface="+mn-lt"/>
              <a:ea typeface="+mn-ea"/>
              <a:cs typeface="+mn-cs"/>
            </a:rPr>
            <a:t>Основное преимущество электрических конвекторов отсутствие необходимости в прокладке трубопровода. Так же преимущество в более высокой теплоотдаче в сравнении с аналогичными моделями с водяным теплообменником.</a:t>
          </a:r>
        </a:p>
        <a:p>
          <a:r>
            <a:rPr lang="ru-RU" sz="1600">
              <a:latin typeface="+mn-lt"/>
            </a:rPr>
            <a:t>Конструктивные особенности: 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400" b="0" i="0" u="none" strike="noStrike" baseline="0">
              <a:latin typeface="+mj-lt"/>
              <a:ea typeface="+mn-ea"/>
              <a:cs typeface="+mn-cs"/>
            </a:rPr>
            <a:t>материал корпуса- оцинкованная сталь покрытая износостойким порошковым покрытием (цвет покрытия: чёрный матовый); 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400" b="0" i="0" u="none" strike="noStrike" baseline="0">
              <a:latin typeface="+mj-lt"/>
              <a:ea typeface="+mn-ea"/>
              <a:cs typeface="+mn-cs"/>
            </a:rPr>
            <a:t>материал решётки- анодированный алюминий, дерево; 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400" b="0" i="0" u="none" strike="noStrike" baseline="0">
              <a:latin typeface="+mj-lt"/>
              <a:ea typeface="+mn-ea"/>
              <a:cs typeface="+mn-cs"/>
            </a:rPr>
            <a:t>регулировка по высоте от 0 до 40 мм за счёт специальных регулировочных ножек; 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400" b="0" i="0" u="none" strike="noStrike" baseline="0">
              <a:latin typeface="+mj-lt"/>
              <a:ea typeface="+mn-ea"/>
              <a:cs typeface="+mn-cs"/>
            </a:rPr>
            <a:t>применение терморезисторов с положительным температурным коэффициентом; 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400" b="0" i="0" u="none" strike="noStrike" baseline="0">
              <a:latin typeface="+mj-lt"/>
              <a:ea typeface="+mn-ea"/>
              <a:cs typeface="+mn-cs"/>
            </a:rPr>
            <a:t>специальные юстировочные шпильки позволяют легко выровнять конвектор в горизонтальной плоскости. </a:t>
          </a:r>
          <a:endParaRPr lang="ru-RU" sz="1100" b="0" i="0" u="none" strike="noStrike" baseline="0">
            <a:latin typeface="+mj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600" b="0" i="0" baseline="0">
            <a:effectLst/>
            <a:latin typeface="+mj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600" b="0" i="0" baseline="0">
              <a:effectLst/>
              <a:latin typeface="+mn-lt"/>
              <a:ea typeface="+mn-ea"/>
              <a:cs typeface="+mn-cs"/>
            </a:rPr>
            <a:t>Стандартный комплект поставки: </a:t>
          </a:r>
          <a:endParaRPr lang="ru-RU" sz="1600" b="0" i="0" u="none" strike="noStrike" baseline="0">
            <a:latin typeface="+mn-lt"/>
            <a:ea typeface="+mn-ea"/>
            <a:cs typeface="+mn-cs"/>
          </a:endParaRPr>
        </a:p>
        <a:p>
          <a:pPr marL="285750" marR="0" lvl="0" indent="-28575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Char char="•"/>
            <a:tabLst/>
            <a:defRPr/>
          </a:pPr>
          <a:r>
            <a:rPr kumimoji="0" lang="ru-RU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 Light"/>
              <a:ea typeface="+mn-ea"/>
              <a:cs typeface="+mn-cs"/>
            </a:rPr>
            <a:t>корпус из оцинкованной стали покрытый порошковым покрытием </a:t>
          </a:r>
          <a:r>
            <a:rPr kumimoji="0" lang="en-US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 Light"/>
              <a:ea typeface="+mn-ea"/>
              <a:cs typeface="+mn-cs"/>
            </a:rPr>
            <a:t>RAL 9005</a:t>
          </a:r>
          <a:r>
            <a:rPr kumimoji="0" lang="ru-RU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 Light"/>
              <a:ea typeface="+mn-ea"/>
              <a:cs typeface="+mn-cs"/>
            </a:rPr>
            <a:t>; </a:t>
          </a:r>
        </a:p>
        <a:p>
          <a:pPr marL="285750" marR="0" lvl="0" indent="-28575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Char char="•"/>
            <a:tabLst/>
            <a:defRPr/>
          </a:pPr>
          <a:r>
            <a:rPr kumimoji="0" lang="ru-RU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 Light"/>
              <a:ea typeface="+mn-ea"/>
              <a:cs typeface="+mn-cs"/>
            </a:rPr>
            <a:t>комплект крепёжно-регулировочных ножек; </a:t>
          </a:r>
        </a:p>
        <a:p>
          <a:pPr marL="285750" marR="0" lvl="0" indent="-28575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Char char="•"/>
            <a:tabLst/>
            <a:defRPr/>
          </a:pPr>
          <a:r>
            <a:rPr kumimoji="0" lang="ru-RU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 Light"/>
              <a:ea typeface="+mn-ea"/>
              <a:cs typeface="+mn-cs"/>
            </a:rPr>
            <a:t>поперечная рулонная решетка из анодированного алюминия или дерева; </a:t>
          </a:r>
        </a:p>
        <a:p>
          <a:pPr marL="171450" marR="0" lvl="0" indent="-17145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Char char="•"/>
            <a:tabLst/>
            <a:defRPr/>
          </a:pPr>
          <a:r>
            <a:rPr kumimoji="0" lang="ru-RU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 Light"/>
              <a:ea typeface="+mn-ea"/>
              <a:cs typeface="+mn-cs"/>
            </a:rPr>
            <a:t>декоративная рамка из алюминия углового профиля или </a:t>
          </a:r>
          <a:r>
            <a:rPr kumimoji="0" lang="de-DE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 Light"/>
              <a:ea typeface="+mn-ea"/>
              <a:cs typeface="+mn-cs"/>
            </a:rPr>
            <a:t>J- </a:t>
          </a:r>
          <a:r>
            <a:rPr kumimoji="0" lang="ru-RU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 Light"/>
              <a:ea typeface="+mn-ea"/>
              <a:cs typeface="+mn-cs"/>
            </a:rPr>
            <a:t>образного(под заказ), выполненная в цвет решётки; </a:t>
          </a:r>
        </a:p>
        <a:p>
          <a:pPr marL="285750" marR="0" lvl="0" indent="-28575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Char char="•"/>
            <a:tabLst/>
            <a:defRPr/>
          </a:pPr>
          <a:r>
            <a:rPr kumimoji="0" lang="ru-RU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 Light"/>
              <a:ea typeface="+mn-ea"/>
              <a:cs typeface="+mn-cs"/>
            </a:rPr>
            <a:t>терморезисторы; </a:t>
          </a:r>
        </a:p>
        <a:p>
          <a:pPr marL="285750" marR="0" lvl="0" indent="-28575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Char char="•"/>
            <a:tabLst/>
            <a:defRPr/>
          </a:pPr>
          <a:r>
            <a:rPr kumimoji="0" lang="ru-RU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 Light"/>
              <a:ea typeface="+mn-ea"/>
              <a:cs typeface="+mn-cs"/>
            </a:rPr>
            <a:t>технический паспорт, инструкция по монтажу и эксплуатации; </a:t>
          </a:r>
        </a:p>
        <a:p>
          <a:pPr algn="l"/>
          <a:endParaRPr lang="ru-RU" sz="1400" b="0" i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19</xdr:col>
      <xdr:colOff>131763</xdr:colOff>
      <xdr:row>75</xdr:row>
      <xdr:rowOff>0</xdr:rowOff>
    </xdr:from>
    <xdr:ext cx="1703243" cy="349752"/>
    <xdr:sp macro="" textlink="">
      <xdr:nvSpPr>
        <xdr:cNvPr id="45" name="Прямоугольник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11714163" y="22721234"/>
          <a:ext cx="1703243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endParaRPr lang="ru-RU" sz="2000" b="0" i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0</xdr:col>
      <xdr:colOff>381359</xdr:colOff>
      <xdr:row>75</xdr:row>
      <xdr:rowOff>0</xdr:rowOff>
    </xdr:from>
    <xdr:ext cx="13524853" cy="975775"/>
    <xdr:sp macro="" textlink="">
      <xdr:nvSpPr>
        <xdr:cNvPr id="52" name="Прямоугольник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/>
      </xdr:nvSpPr>
      <xdr:spPr>
        <a:xfrm>
          <a:off x="381359" y="34945596"/>
          <a:ext cx="13524853" cy="97577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1800" b="0" i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					</a:t>
          </a:r>
        </a:p>
      </xdr:txBody>
    </xdr:sp>
    <xdr:clientData/>
  </xdr:oneCellAnchor>
  <xdr:twoCellAnchor editAs="oneCell">
    <xdr:from>
      <xdr:col>0</xdr:col>
      <xdr:colOff>0</xdr:colOff>
      <xdr:row>12</xdr:row>
      <xdr:rowOff>119062</xdr:rowOff>
    </xdr:from>
    <xdr:to>
      <xdr:col>9</xdr:col>
      <xdr:colOff>123032</xdr:colOff>
      <xdr:row>29</xdr:row>
      <xdr:rowOff>23813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12218"/>
          <a:ext cx="5588001" cy="314325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19</xdr:row>
      <xdr:rowOff>30353</xdr:rowOff>
    </xdr:from>
    <xdr:to>
      <xdr:col>12</xdr:col>
      <xdr:colOff>143441</xdr:colOff>
      <xdr:row>45</xdr:row>
      <xdr:rowOff>332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4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257300" y="3668903"/>
          <a:ext cx="6201341" cy="52754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88482</xdr:colOff>
      <xdr:row>1</xdr:row>
      <xdr:rowOff>38100</xdr:rowOff>
    </xdr:from>
    <xdr:to>
      <xdr:col>12</xdr:col>
      <xdr:colOff>176440</xdr:colOff>
      <xdr:row>18</xdr:row>
      <xdr:rowOff>171451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4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307682" y="238125"/>
          <a:ext cx="6183958" cy="33813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485775</xdr:colOff>
      <xdr:row>130</xdr:row>
      <xdr:rowOff>85725</xdr:rowOff>
    </xdr:from>
    <xdr:to>
      <xdr:col>11</xdr:col>
      <xdr:colOff>543784</xdr:colOff>
      <xdr:row>147</xdr:row>
      <xdr:rowOff>181451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" y="24974550"/>
          <a:ext cx="6154009" cy="3410426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96</xdr:row>
      <xdr:rowOff>342900</xdr:rowOff>
    </xdr:from>
    <xdr:to>
      <xdr:col>10</xdr:col>
      <xdr:colOff>446923</xdr:colOff>
      <xdr:row>109</xdr:row>
      <xdr:rowOff>30486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425" y="19631025"/>
          <a:ext cx="5047498" cy="2926086"/>
        </a:xfrm>
        <a:prstGeom prst="rect">
          <a:avLst/>
        </a:prstGeom>
      </xdr:spPr>
    </xdr:pic>
    <xdr:clientData/>
  </xdr:twoCellAnchor>
  <xdr:twoCellAnchor editAs="oneCell">
    <xdr:from>
      <xdr:col>2</xdr:col>
      <xdr:colOff>426225</xdr:colOff>
      <xdr:row>115</xdr:row>
      <xdr:rowOff>54750</xdr:rowOff>
    </xdr:from>
    <xdr:to>
      <xdr:col>10</xdr:col>
      <xdr:colOff>484147</xdr:colOff>
      <xdr:row>129</xdr:row>
      <xdr:rowOff>25419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5425" y="22514700"/>
          <a:ext cx="4934722" cy="2913894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523876</xdr:colOff>
      <xdr:row>47</xdr:row>
      <xdr:rowOff>66675</xdr:rowOff>
    </xdr:from>
    <xdr:to>
      <xdr:col>12</xdr:col>
      <xdr:colOff>542926</xdr:colOff>
      <xdr:row>71</xdr:row>
      <xdr:rowOff>183054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33476" y="9239250"/>
          <a:ext cx="6724650" cy="4888404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149</xdr:row>
      <xdr:rowOff>57151</xdr:rowOff>
    </xdr:from>
    <xdr:to>
      <xdr:col>11</xdr:col>
      <xdr:colOff>342900</xdr:colOff>
      <xdr:row>167</xdr:row>
      <xdr:rowOff>101715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71575" y="29527501"/>
          <a:ext cx="5876925" cy="3549764"/>
        </a:xfrm>
        <a:prstGeom prst="rect">
          <a:avLst/>
        </a:prstGeom>
      </xdr:spPr>
    </xdr:pic>
    <xdr:clientData/>
  </xdr:twoCellAnchor>
  <xdr:twoCellAnchor editAs="oneCell">
    <xdr:from>
      <xdr:col>3</xdr:col>
      <xdr:colOff>472440</xdr:colOff>
      <xdr:row>168</xdr:row>
      <xdr:rowOff>0</xdr:rowOff>
    </xdr:from>
    <xdr:to>
      <xdr:col>12</xdr:col>
      <xdr:colOff>0</xdr:colOff>
      <xdr:row>181</xdr:row>
      <xdr:rowOff>171450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1240" y="34261425"/>
          <a:ext cx="5013960" cy="3133725"/>
        </a:xfrm>
        <a:prstGeom prst="rect">
          <a:avLst/>
        </a:prstGeom>
      </xdr:spPr>
    </xdr:pic>
    <xdr:clientData/>
  </xdr:twoCellAnchor>
  <xdr:twoCellAnchor editAs="oneCell">
    <xdr:from>
      <xdr:col>4</xdr:col>
      <xdr:colOff>313778</xdr:colOff>
      <xdr:row>267</xdr:row>
      <xdr:rowOff>104775</xdr:rowOff>
    </xdr:from>
    <xdr:to>
      <xdr:col>10</xdr:col>
      <xdr:colOff>267247</xdr:colOff>
      <xdr:row>285</xdr:row>
      <xdr:rowOff>85725</xdr:rowOff>
    </xdr:to>
    <xdr:pic>
      <xdr:nvPicPr>
        <xdr:cNvPr id="15" name="Рисунок 19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752178" y="42843450"/>
          <a:ext cx="3611069" cy="342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24848</xdr:colOff>
      <xdr:row>218</xdr:row>
      <xdr:rowOff>74545</xdr:rowOff>
    </xdr:from>
    <xdr:to>
      <xdr:col>7</xdr:col>
      <xdr:colOff>598855</xdr:colOff>
      <xdr:row>222</xdr:row>
      <xdr:rowOff>154059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750" b="26669"/>
        <a:stretch/>
      </xdr:blipFill>
      <xdr:spPr>
        <a:xfrm>
          <a:off x="2415623" y="43213270"/>
          <a:ext cx="2402807" cy="841513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218</xdr:row>
      <xdr:rowOff>57988</xdr:rowOff>
    </xdr:from>
    <xdr:to>
      <xdr:col>11</xdr:col>
      <xdr:colOff>590811</xdr:colOff>
      <xdr:row>222</xdr:row>
      <xdr:rowOff>162351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828" b="26207"/>
        <a:stretch/>
      </xdr:blipFill>
      <xdr:spPr>
        <a:xfrm>
          <a:off x="4895850" y="43196713"/>
          <a:ext cx="2400561" cy="866362"/>
        </a:xfrm>
        <a:prstGeom prst="rect">
          <a:avLst/>
        </a:prstGeom>
      </xdr:spPr>
    </xdr:pic>
    <xdr:clientData/>
  </xdr:twoCellAnchor>
  <xdr:twoCellAnchor editAs="oneCell">
    <xdr:from>
      <xdr:col>4</xdr:col>
      <xdr:colOff>33130</xdr:colOff>
      <xdr:row>224</xdr:row>
      <xdr:rowOff>24847</xdr:rowOff>
    </xdr:from>
    <xdr:to>
      <xdr:col>7</xdr:col>
      <xdr:colOff>604891</xdr:colOff>
      <xdr:row>228</xdr:row>
      <xdr:rowOff>140803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256" b="26070"/>
        <a:stretch/>
      </xdr:blipFill>
      <xdr:spPr>
        <a:xfrm>
          <a:off x="2423905" y="44420872"/>
          <a:ext cx="2400561" cy="877956"/>
        </a:xfrm>
        <a:prstGeom prst="rect">
          <a:avLst/>
        </a:prstGeom>
      </xdr:spPr>
    </xdr:pic>
    <xdr:clientData/>
  </xdr:twoCellAnchor>
  <xdr:twoCellAnchor editAs="oneCell">
    <xdr:from>
      <xdr:col>8</xdr:col>
      <xdr:colOff>24849</xdr:colOff>
      <xdr:row>224</xdr:row>
      <xdr:rowOff>33130</xdr:rowOff>
    </xdr:from>
    <xdr:to>
      <xdr:col>11</xdr:col>
      <xdr:colOff>596610</xdr:colOff>
      <xdr:row>228</xdr:row>
      <xdr:rowOff>132522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174" b="26069"/>
        <a:stretch/>
      </xdr:blipFill>
      <xdr:spPr>
        <a:xfrm>
          <a:off x="4901649" y="44429155"/>
          <a:ext cx="2400561" cy="861392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230</xdr:row>
      <xdr:rowOff>57976</xdr:rowOff>
    </xdr:from>
    <xdr:to>
      <xdr:col>8</xdr:col>
      <xdr:colOff>261</xdr:colOff>
      <xdr:row>234</xdr:row>
      <xdr:rowOff>157367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916" b="26295"/>
        <a:stretch/>
      </xdr:blipFill>
      <xdr:spPr>
        <a:xfrm>
          <a:off x="2428875" y="45663676"/>
          <a:ext cx="2400561" cy="861391"/>
        </a:xfrm>
        <a:prstGeom prst="rect">
          <a:avLst/>
        </a:prstGeom>
      </xdr:spPr>
    </xdr:pic>
    <xdr:clientData/>
  </xdr:twoCellAnchor>
  <xdr:twoCellAnchor editAs="oneCell">
    <xdr:from>
      <xdr:col>8</xdr:col>
      <xdr:colOff>16566</xdr:colOff>
      <xdr:row>230</xdr:row>
      <xdr:rowOff>57977</xdr:rowOff>
    </xdr:from>
    <xdr:to>
      <xdr:col>11</xdr:col>
      <xdr:colOff>590572</xdr:colOff>
      <xdr:row>234</xdr:row>
      <xdr:rowOff>165651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916" b="25835"/>
        <a:stretch/>
      </xdr:blipFill>
      <xdr:spPr>
        <a:xfrm>
          <a:off x="4893366" y="45663677"/>
          <a:ext cx="2402806" cy="869674"/>
        </a:xfrm>
        <a:prstGeom prst="rect">
          <a:avLst/>
        </a:prstGeom>
      </xdr:spPr>
    </xdr:pic>
    <xdr:clientData/>
  </xdr:twoCellAnchor>
  <xdr:twoCellAnchor editAs="oneCell">
    <xdr:from>
      <xdr:col>4</xdr:col>
      <xdr:colOff>38099</xdr:colOff>
      <xdr:row>236</xdr:row>
      <xdr:rowOff>33130</xdr:rowOff>
    </xdr:from>
    <xdr:to>
      <xdr:col>8</xdr:col>
      <xdr:colOff>261</xdr:colOff>
      <xdr:row>240</xdr:row>
      <xdr:rowOff>149088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239" b="25985"/>
        <a:stretch/>
      </xdr:blipFill>
      <xdr:spPr>
        <a:xfrm>
          <a:off x="2428874" y="46848505"/>
          <a:ext cx="2400562" cy="877958"/>
        </a:xfrm>
        <a:prstGeom prst="rect">
          <a:avLst/>
        </a:prstGeom>
      </xdr:spPr>
    </xdr:pic>
    <xdr:clientData/>
  </xdr:twoCellAnchor>
  <xdr:twoCellAnchor editAs="oneCell">
    <xdr:from>
      <xdr:col>8</xdr:col>
      <xdr:colOff>27333</xdr:colOff>
      <xdr:row>236</xdr:row>
      <xdr:rowOff>41413</xdr:rowOff>
    </xdr:from>
    <xdr:to>
      <xdr:col>11</xdr:col>
      <xdr:colOff>599094</xdr:colOff>
      <xdr:row>240</xdr:row>
      <xdr:rowOff>157369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631" b="25595"/>
        <a:stretch/>
      </xdr:blipFill>
      <xdr:spPr>
        <a:xfrm>
          <a:off x="4904133" y="46856788"/>
          <a:ext cx="2400561" cy="877956"/>
        </a:xfrm>
        <a:prstGeom prst="rect">
          <a:avLst/>
        </a:prstGeom>
      </xdr:spPr>
    </xdr:pic>
    <xdr:clientData/>
  </xdr:twoCellAnchor>
  <xdr:twoCellAnchor editAs="oneCell">
    <xdr:from>
      <xdr:col>4</xdr:col>
      <xdr:colOff>38099</xdr:colOff>
      <xdr:row>242</xdr:row>
      <xdr:rowOff>16565</xdr:rowOff>
    </xdr:from>
    <xdr:to>
      <xdr:col>8</xdr:col>
      <xdr:colOff>261</xdr:colOff>
      <xdr:row>246</xdr:row>
      <xdr:rowOff>124240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952" b="25732"/>
        <a:stretch/>
      </xdr:blipFill>
      <xdr:spPr>
        <a:xfrm>
          <a:off x="2428874" y="48041615"/>
          <a:ext cx="2400562" cy="86967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242</xdr:row>
      <xdr:rowOff>16567</xdr:rowOff>
    </xdr:from>
    <xdr:to>
      <xdr:col>11</xdr:col>
      <xdr:colOff>600336</xdr:colOff>
      <xdr:row>246</xdr:row>
      <xdr:rowOff>132523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021" b="25203"/>
        <a:stretch/>
      </xdr:blipFill>
      <xdr:spPr>
        <a:xfrm>
          <a:off x="4905375" y="48041617"/>
          <a:ext cx="2400561" cy="877956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248</xdr:row>
      <xdr:rowOff>24843</xdr:rowOff>
    </xdr:from>
    <xdr:to>
      <xdr:col>7</xdr:col>
      <xdr:colOff>602581</xdr:colOff>
      <xdr:row>252</xdr:row>
      <xdr:rowOff>115952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551" b="26055"/>
        <a:stretch/>
      </xdr:blipFill>
      <xdr:spPr>
        <a:xfrm>
          <a:off x="2419350" y="49259568"/>
          <a:ext cx="2402806" cy="853109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248</xdr:row>
      <xdr:rowOff>16561</xdr:rowOff>
    </xdr:from>
    <xdr:to>
      <xdr:col>11</xdr:col>
      <xdr:colOff>602581</xdr:colOff>
      <xdr:row>252</xdr:row>
      <xdr:rowOff>115952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090" b="26055"/>
        <a:stretch/>
      </xdr:blipFill>
      <xdr:spPr>
        <a:xfrm>
          <a:off x="4905375" y="49251286"/>
          <a:ext cx="2402806" cy="861391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254</xdr:row>
      <xdr:rowOff>16562</xdr:rowOff>
    </xdr:from>
    <xdr:to>
      <xdr:col>7</xdr:col>
      <xdr:colOff>600336</xdr:colOff>
      <xdr:row>258</xdr:row>
      <xdr:rowOff>124237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630" b="26055"/>
        <a:stretch/>
      </xdr:blipFill>
      <xdr:spPr>
        <a:xfrm>
          <a:off x="2419350" y="50460962"/>
          <a:ext cx="2400561" cy="869675"/>
        </a:xfrm>
        <a:prstGeom prst="rect">
          <a:avLst/>
        </a:prstGeom>
      </xdr:spPr>
    </xdr:pic>
    <xdr:clientData/>
  </xdr:twoCellAnchor>
  <xdr:twoCellAnchor editAs="oneCell">
    <xdr:from>
      <xdr:col>8</xdr:col>
      <xdr:colOff>26091</xdr:colOff>
      <xdr:row>254</xdr:row>
      <xdr:rowOff>24845</xdr:rowOff>
    </xdr:from>
    <xdr:to>
      <xdr:col>11</xdr:col>
      <xdr:colOff>597852</xdr:colOff>
      <xdr:row>258</xdr:row>
      <xdr:rowOff>115953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412" b="26193"/>
        <a:stretch/>
      </xdr:blipFill>
      <xdr:spPr>
        <a:xfrm>
          <a:off x="4902891" y="50469245"/>
          <a:ext cx="2400561" cy="853108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260</xdr:row>
      <xdr:rowOff>16564</xdr:rowOff>
    </xdr:from>
    <xdr:to>
      <xdr:col>8</xdr:col>
      <xdr:colOff>261</xdr:colOff>
      <xdr:row>264</xdr:row>
      <xdr:rowOff>124239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492" b="26193"/>
        <a:stretch/>
      </xdr:blipFill>
      <xdr:spPr>
        <a:xfrm>
          <a:off x="2428875" y="51670639"/>
          <a:ext cx="2400561" cy="869675"/>
        </a:xfrm>
        <a:prstGeom prst="rect">
          <a:avLst/>
        </a:prstGeom>
      </xdr:spPr>
    </xdr:pic>
    <xdr:clientData/>
  </xdr:twoCellAnchor>
  <xdr:twoCellAnchor editAs="oneCell">
    <xdr:from>
      <xdr:col>8</xdr:col>
      <xdr:colOff>16566</xdr:colOff>
      <xdr:row>260</xdr:row>
      <xdr:rowOff>24847</xdr:rowOff>
    </xdr:from>
    <xdr:to>
      <xdr:col>11</xdr:col>
      <xdr:colOff>590572</xdr:colOff>
      <xdr:row>264</xdr:row>
      <xdr:rowOff>115957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952" b="26653"/>
        <a:stretch/>
      </xdr:blipFill>
      <xdr:spPr>
        <a:xfrm>
          <a:off x="4893366" y="51678922"/>
          <a:ext cx="2402806" cy="853110"/>
        </a:xfrm>
        <a:prstGeom prst="rect">
          <a:avLst/>
        </a:prstGeom>
      </xdr:spPr>
    </xdr:pic>
    <xdr:clientData/>
  </xdr:twoCellAnchor>
  <xdr:twoCellAnchor editAs="oneCell">
    <xdr:from>
      <xdr:col>0</xdr:col>
      <xdr:colOff>280147</xdr:colOff>
      <xdr:row>75</xdr:row>
      <xdr:rowOff>44822</xdr:rowOff>
    </xdr:from>
    <xdr:to>
      <xdr:col>12</xdr:col>
      <xdr:colOff>549236</xdr:colOff>
      <xdr:row>94</xdr:row>
      <xdr:rowOff>145676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147" y="14971057"/>
          <a:ext cx="7530501" cy="573741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92528</xdr:colOff>
      <xdr:row>4</xdr:row>
      <xdr:rowOff>68036</xdr:rowOff>
    </xdr:from>
    <xdr:to>
      <xdr:col>15</xdr:col>
      <xdr:colOff>128030</xdr:colOff>
      <xdr:row>67</xdr:row>
      <xdr:rowOff>126779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80707" y="666750"/>
          <a:ext cx="2076574" cy="2308142"/>
        </a:xfrm>
        <a:prstGeom prst="rect">
          <a:avLst/>
        </a:prstGeom>
      </xdr:spPr>
    </xdr:pic>
    <xdr:clientData/>
  </xdr:twoCellAnchor>
  <xdr:oneCellAnchor>
    <xdr:from>
      <xdr:col>16</xdr:col>
      <xdr:colOff>66675</xdr:colOff>
      <xdr:row>4</xdr:row>
      <xdr:rowOff>76200</xdr:rowOff>
    </xdr:from>
    <xdr:ext cx="8852188" cy="2365664"/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5954857" y="682336"/>
          <a:ext cx="8852188" cy="2365664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l"/>
          <a:r>
            <a:rPr lang="ru-RU" sz="1000" b="0" i="0" u="sng" strike="noStrike" baseline="0">
              <a:solidFill>
                <a:srgbClr val="C00000"/>
              </a:solidFill>
              <a:latin typeface="+mn-lt"/>
              <a:ea typeface="+mn-ea"/>
              <a:cs typeface="+mn-cs"/>
            </a:rPr>
            <a:t>Встраиваемый в пол конвектор с естественной конвекцией </a:t>
          </a:r>
          <a:r>
            <a:rPr lang="de-DE" sz="1000" b="0" i="0" u="sng" strike="noStrike" baseline="0">
              <a:solidFill>
                <a:srgbClr val="C00000"/>
              </a:solidFill>
              <a:latin typeface="+mn-lt"/>
              <a:ea typeface="+mn-ea"/>
              <a:cs typeface="+mn-cs"/>
            </a:rPr>
            <a:t>VITRON </a:t>
          </a:r>
          <a:r>
            <a:rPr lang="de-DE" sz="1000" b="0" i="0" u="none" strike="noStrike" baseline="0">
              <a:solidFill>
                <a:srgbClr val="C00000"/>
              </a:solidFill>
              <a:latin typeface="+mn-lt"/>
              <a:ea typeface="+mn-ea"/>
              <a:cs typeface="+mn-cs"/>
            </a:rPr>
            <a:t>-</a:t>
          </a:r>
          <a:r>
            <a:rPr lang="ru-RU" sz="1000" b="0" i="0" u="none" strike="noStrike" baseline="0">
              <a:latin typeface="+mn-lt"/>
              <a:ea typeface="+mn-ea"/>
              <a:cs typeface="+mn-cs"/>
            </a:rPr>
            <a:t> отопительный прибор, в котором установлен медно-алюминиевый теплообменник, тепло от которого передаётся в отапливаемое помещение путём естественной конвекции. Позволяет преградить поток холодного воздуха от застеклённых фасадов или окон. Данный тип конвектора служит для отопления только сухих помещений. Применяется в качестве основного отопительного прибора в помещениях с небольшими потребностями в отоплении или вспомогательного отопительного прибора с системами тёплого пола, вентиляции, радиаторного водяного отопления. Может быть установлен как в однотрубную, так и в двухтрубную систему отопления.</a:t>
          </a:r>
          <a:endParaRPr lang="ru-RU" sz="1000" b="0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n-lt"/>
            <a:ea typeface="+mn-ea"/>
            <a:cs typeface="+mn-cs"/>
          </a:endParaRPr>
        </a:p>
        <a:p>
          <a:r>
            <a:rPr lang="ru-RU" sz="1000">
              <a:latin typeface="+mn-lt"/>
            </a:rPr>
            <a:t>Конструктивные особенности: 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материал корпуса- оцинкованная сталь покрытая износостойким порошковым покрытием (цвет покрытия: чёрный матовый); 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материал решётки- анодированный алюминий, дерево; 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регулировка по высоте от 0 до 40 мм за счёт специальных регулировочных ножек; 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подключение теплообменника- </a:t>
          </a:r>
          <a:r>
            <a:rPr lang="de-DE" sz="1000" b="1" i="0" u="none" strike="noStrike" baseline="0">
              <a:latin typeface="+mn-lt"/>
              <a:ea typeface="+mn-ea"/>
              <a:cs typeface="+mn-cs"/>
            </a:rPr>
            <a:t>G1/2’’</a:t>
          </a:r>
          <a:r>
            <a:rPr lang="de-DE" sz="1000" b="0" i="0" u="none" strike="noStrike" baseline="0">
              <a:latin typeface="+mn-lt"/>
              <a:ea typeface="+mn-ea"/>
              <a:cs typeface="+mn-cs"/>
            </a:rPr>
            <a:t> (</a:t>
          </a:r>
          <a:r>
            <a:rPr lang="ru-RU" sz="1000" b="0" i="0" u="none" strike="noStrike" baseline="0">
              <a:latin typeface="+mn-lt"/>
              <a:ea typeface="+mn-ea"/>
              <a:cs typeface="+mn-cs"/>
            </a:rPr>
            <a:t>внутренняя резьба); 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применение материалов с повышенными теплопередающими свойствами (С</a:t>
          </a:r>
          <a:r>
            <a:rPr lang="de-DE" sz="1000" b="0" i="0" u="none" strike="noStrike" baseline="0">
              <a:latin typeface="+mn-lt"/>
              <a:ea typeface="+mn-ea"/>
              <a:cs typeface="+mn-cs"/>
            </a:rPr>
            <a:t>u- </a:t>
          </a:r>
          <a:r>
            <a:rPr lang="ru-RU" sz="1000" b="0" i="0" u="none" strike="noStrike" baseline="0">
              <a:latin typeface="+mn-lt"/>
              <a:ea typeface="+mn-ea"/>
              <a:cs typeface="+mn-cs"/>
            </a:rPr>
            <a:t>медь, </a:t>
          </a:r>
          <a:r>
            <a:rPr lang="de-DE" sz="1000" b="0" i="0" u="none" strike="noStrike" baseline="0">
              <a:latin typeface="+mn-lt"/>
              <a:ea typeface="+mn-ea"/>
              <a:cs typeface="+mn-cs"/>
            </a:rPr>
            <a:t>Al- </a:t>
          </a:r>
          <a:r>
            <a:rPr lang="ru-RU" sz="1000" b="0" i="0" u="none" strike="noStrike" baseline="0">
              <a:latin typeface="+mn-lt"/>
              <a:ea typeface="+mn-ea"/>
              <a:cs typeface="+mn-cs"/>
            </a:rPr>
            <a:t>алюминий) и стойких к коррозии; 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съёмный медно-алюминиевый теплообменник с износостойким порошковым покрытием (цвет покрытия: чёрный матовый); 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специальные юстировочные шпильки позволяют легко выровнять конвектор в горизонтальной плоскости. 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355627</xdr:colOff>
      <xdr:row>3</xdr:row>
      <xdr:rowOff>49708</xdr:rowOff>
    </xdr:from>
    <xdr:ext cx="7157187" cy="990600"/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5992186" y="654826"/>
          <a:ext cx="7157187" cy="990600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l"/>
          <a:r>
            <a:rPr lang="ru-RU" sz="1000" b="0" i="0" u="sng" strike="noStrike" baseline="0">
              <a:solidFill>
                <a:srgbClr val="C00000"/>
              </a:solidFill>
              <a:latin typeface="+mn-lt"/>
              <a:ea typeface="+mn-ea"/>
              <a:cs typeface="+mn-cs"/>
            </a:rPr>
            <a:t>Встраиваемый в пол конвектор с принудительной конвекцией </a:t>
          </a:r>
          <a:r>
            <a:rPr lang="de-DE" sz="1000" b="0" i="0" u="sng" strike="noStrike" baseline="0">
              <a:solidFill>
                <a:srgbClr val="C00000"/>
              </a:solidFill>
              <a:latin typeface="+mn-lt"/>
              <a:ea typeface="+mn-ea"/>
              <a:cs typeface="+mn-cs"/>
            </a:rPr>
            <a:t>VITRON </a:t>
          </a:r>
          <a:r>
            <a:rPr lang="de-DE" sz="1000" b="0" i="0" u="none" strike="noStrike" baseline="0">
              <a:solidFill>
                <a:srgbClr val="C00000"/>
              </a:solidFill>
              <a:latin typeface="+mn-lt"/>
              <a:ea typeface="+mn-ea"/>
              <a:cs typeface="+mn-cs"/>
            </a:rPr>
            <a:t>- </a:t>
          </a:r>
          <a:r>
            <a:rPr lang="ru-RU" sz="1000" b="0" i="0" u="none" strike="noStrike" baseline="0">
              <a:latin typeface="+mn-lt"/>
              <a:ea typeface="+mn-ea"/>
              <a:cs typeface="+mn-cs"/>
            </a:rPr>
            <a:t>отопительный прибор, в котором установлен медно-алюминиевый теплообменник и тангенциальный вентилятор, тепло от которого передаётся в отапливаемое помещение путём естественной (при выключенном вентиляторе), и принудительной (при включённом вентиляторе) конвекции. Позволяет преградить поток холодного воздуха от застекленных фасадов или окон. Данный тип конвектора служит для отопления только сухих помещений. Применяется в качестве основного отопительного прибора в помещениях с любыми потребностями в интенсивности отопления. Возможно комбинированное использование с системами тёплого пола, вентиляции, радиаторного водяного отопления. Может быть установлен как в однотрубную, так и в двухтрубную систему отопления.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000" b="0" i="0" baseline="0">
              <a:effectLst/>
              <a:latin typeface="+mn-lt"/>
              <a:ea typeface="+mn-ea"/>
              <a:cs typeface="+mn-cs"/>
            </a:rPr>
            <a:t>Конструктивные особенности: </a:t>
          </a:r>
          <a:endParaRPr lang="ru-RU" sz="1000" b="0" i="0" u="none" strike="noStrike" baseline="0">
            <a:latin typeface="+mn-lt"/>
            <a:ea typeface="+mn-ea"/>
            <a:cs typeface="+mn-cs"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материал корпуса- оцинкованная сталь покрытая износостойким порошковым покрытием (цвет покрытия: чёрный матовый);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материал решётки- анодированный алюминий, дерево; 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регулировка по высоте от 0 до 40 мм за счёт специальных регулировочных ножек; 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подключение теплообменника- </a:t>
          </a:r>
          <a:r>
            <a:rPr lang="de-DE" sz="1000" b="1" i="0" u="none" strike="noStrike" baseline="0">
              <a:latin typeface="+mn-lt"/>
              <a:ea typeface="+mn-ea"/>
              <a:cs typeface="+mn-cs"/>
            </a:rPr>
            <a:t>G1/2’’ </a:t>
          </a:r>
          <a:r>
            <a:rPr lang="de-DE" sz="1000" b="0" i="0" u="none" strike="noStrike" baseline="0">
              <a:latin typeface="+mn-lt"/>
              <a:ea typeface="+mn-ea"/>
              <a:cs typeface="+mn-cs"/>
            </a:rPr>
            <a:t>(</a:t>
          </a:r>
          <a:r>
            <a:rPr lang="ru-RU" sz="1000" b="0" i="0" u="none" strike="noStrike" baseline="0">
              <a:latin typeface="+mn-lt"/>
              <a:ea typeface="+mn-ea"/>
              <a:cs typeface="+mn-cs"/>
            </a:rPr>
            <a:t>внутренняя резьба); 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применение материалов с повышеными теплопередающими свойствами (С</a:t>
          </a:r>
          <a:r>
            <a:rPr lang="de-DE" sz="1000" b="0" i="0" u="none" strike="noStrike" baseline="0">
              <a:latin typeface="+mn-lt"/>
              <a:ea typeface="+mn-ea"/>
              <a:cs typeface="+mn-cs"/>
            </a:rPr>
            <a:t>u- </a:t>
          </a:r>
          <a:r>
            <a:rPr lang="ru-RU" sz="1000" b="0" i="0" u="none" strike="noStrike" baseline="0">
              <a:latin typeface="+mn-lt"/>
              <a:ea typeface="+mn-ea"/>
              <a:cs typeface="+mn-cs"/>
            </a:rPr>
            <a:t>медь, </a:t>
          </a:r>
          <a:r>
            <a:rPr lang="de-DE" sz="1000" b="0" i="0" u="none" strike="noStrike" baseline="0">
              <a:latin typeface="+mn-lt"/>
              <a:ea typeface="+mn-ea"/>
              <a:cs typeface="+mn-cs"/>
            </a:rPr>
            <a:t>Al- </a:t>
          </a:r>
          <a:r>
            <a:rPr lang="ru-RU" sz="1000" b="0" i="0" u="none" strike="noStrike" baseline="0">
              <a:latin typeface="+mn-lt"/>
              <a:ea typeface="+mn-ea"/>
              <a:cs typeface="+mn-cs"/>
            </a:rPr>
            <a:t>алюминий) и стойких к коррозии; 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съёмный медно-алюминиевый теплообменник с износостойким порошковым покытием (цвет покрытия: чёрный матовый); 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специальные юстировочные шпильки позволяют легко выровнять конвектор в горизонтальной плоскости; 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тангенциальный </a:t>
          </a:r>
          <a:r>
            <a:rPr lang="de-DE" sz="1000" b="0" i="0" u="none" strike="noStrike" baseline="0">
              <a:latin typeface="+mn-lt"/>
              <a:ea typeface="+mn-ea"/>
              <a:cs typeface="+mn-cs"/>
            </a:rPr>
            <a:t>AC </a:t>
          </a:r>
          <a:r>
            <a:rPr lang="ru-RU" sz="1000" b="0" i="0" u="none" strike="noStrike" baseline="0">
              <a:latin typeface="+mn-lt"/>
              <a:ea typeface="+mn-ea"/>
              <a:cs typeface="+mn-cs"/>
            </a:rPr>
            <a:t>вентилятор с уменьшенным уровнем шума. </a:t>
          </a:r>
        </a:p>
        <a:p>
          <a:pPr algn="l"/>
          <a:endParaRPr lang="ru-RU" sz="1000" b="0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twoCellAnchor editAs="oneCell">
    <xdr:from>
      <xdr:col>9</xdr:col>
      <xdr:colOff>208910</xdr:colOff>
      <xdr:row>3</xdr:row>
      <xdr:rowOff>212910</xdr:rowOff>
    </xdr:from>
    <xdr:to>
      <xdr:col>16</xdr:col>
      <xdr:colOff>5541</xdr:colOff>
      <xdr:row>13</xdr:row>
      <xdr:rowOff>89646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713"/>
        <a:stretch/>
      </xdr:blipFill>
      <xdr:spPr>
        <a:xfrm>
          <a:off x="3290528" y="818028"/>
          <a:ext cx="2777395" cy="193861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414617</xdr:colOff>
      <xdr:row>0</xdr:row>
      <xdr:rowOff>179294</xdr:rowOff>
    </xdr:from>
    <xdr:to>
      <xdr:col>52</xdr:col>
      <xdr:colOff>345510</xdr:colOff>
      <xdr:row>16</xdr:row>
      <xdr:rowOff>56503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745FC33C-F8C8-4A8F-9B85-9158B863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54792" y="179294"/>
          <a:ext cx="5081116" cy="2925209"/>
        </a:xfrm>
        <a:prstGeom prst="rect">
          <a:avLst/>
        </a:prstGeom>
      </xdr:spPr>
    </xdr:pic>
    <xdr:clientData/>
  </xdr:twoCellAnchor>
  <xdr:twoCellAnchor>
    <xdr:from>
      <xdr:col>3</xdr:col>
      <xdr:colOff>246529</xdr:colOff>
      <xdr:row>3</xdr:row>
      <xdr:rowOff>179295</xdr:rowOff>
    </xdr:from>
    <xdr:to>
      <xdr:col>18</xdr:col>
      <xdr:colOff>112059</xdr:colOff>
      <xdr:row>20</xdr:row>
      <xdr:rowOff>190500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839A59E-B3CF-4C65-9D90-A9286CDA432B}"/>
            </a:ext>
          </a:extLst>
        </xdr:cNvPr>
        <xdr:cNvSpPr txBox="1"/>
      </xdr:nvSpPr>
      <xdr:spPr>
        <a:xfrm>
          <a:off x="3427879" y="600075"/>
          <a:ext cx="3894605" cy="3686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Инструкция по использованию калькулятора:</a:t>
          </a:r>
        </a:p>
        <a:p>
          <a:r>
            <a:rPr lang="ru-R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Указать температуру на входе и выходе;</a:t>
          </a:r>
        </a:p>
        <a:p>
          <a:r>
            <a:rPr lang="ru-R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Указать температуру в помещении;</a:t>
          </a:r>
        </a:p>
        <a:p>
          <a:r>
            <a:rPr lang="ru-R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Указать требуемую мощность и погрешность ее поиска (В таблице подходящая модель будет выделена зеленым цветом);</a:t>
          </a:r>
        </a:p>
        <a:p>
          <a:r>
            <a:rPr lang="ru-R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Указать расход воздуха через патрубок вентиляции;</a:t>
          </a:r>
        </a:p>
        <a:p>
          <a:r>
            <a:rPr lang="ru-R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5. Красным выделен конвектор не отвечающим звуковым характеристикам. Следует увеличить количество патрубков или уменьшить расход воздуха;</a:t>
          </a:r>
        </a:p>
        <a:p>
          <a:r>
            <a:rPr lang="ru-R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6. Количество патрубков указано по стандарту. Увеличение патрубков для снижения шумовых характеристик конвектора, только после согласования с менеджером;</a:t>
          </a:r>
        </a:p>
        <a:p>
          <a:r>
            <a:rPr lang="ru-R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7. Диаметр патрубка указан максимальный для каждой высоты. Уменьшение диаметра после согласования с менеджером.</a:t>
          </a:r>
        </a:p>
        <a:p>
          <a:r>
            <a:rPr lang="ru-R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8. </a:t>
          </a:r>
          <a:r>
            <a:rPr lang="ru-R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Согласно СП скорость воздуха в системе вентиляции рекомендуется не болеше 2 м/с.</a:t>
          </a:r>
          <a:r>
            <a:rPr lang="ru-RU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При скорости больше 2 м/с, возможно резкое возрастание шума.</a:t>
          </a:r>
          <a:endParaRPr lang="ru-R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ru-RU" sz="1100" baseline="0"/>
            <a:t> </a:t>
          </a:r>
        </a:p>
        <a:p>
          <a:endParaRPr lang="ru-RU" sz="1100" baseline="0"/>
        </a:p>
        <a:p>
          <a:endParaRPr lang="ru-RU" sz="1100"/>
        </a:p>
      </xdr:txBody>
    </xdr:sp>
    <xdr:clientData/>
  </xdr:twoCellAnchor>
  <xdr:oneCellAnchor>
    <xdr:from>
      <xdr:col>18</xdr:col>
      <xdr:colOff>313765</xdr:colOff>
      <xdr:row>3</xdr:row>
      <xdr:rowOff>156882</xdr:rowOff>
    </xdr:from>
    <xdr:ext cx="8852188" cy="2365664"/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D680ED11-9BC1-4D19-B0EB-ACB078875BEA}"/>
            </a:ext>
          </a:extLst>
        </xdr:cNvPr>
        <xdr:cNvSpPr/>
      </xdr:nvSpPr>
      <xdr:spPr>
        <a:xfrm>
          <a:off x="7524190" y="600075"/>
          <a:ext cx="8852188" cy="2365664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l"/>
          <a:r>
            <a:rPr lang="ru-RU" sz="1000" b="0" i="0" u="sng" strike="noStrike" baseline="0">
              <a:solidFill>
                <a:srgbClr val="C00000"/>
              </a:solidFill>
              <a:latin typeface="+mn-lt"/>
              <a:ea typeface="+mn-ea"/>
              <a:cs typeface="+mn-cs"/>
            </a:rPr>
            <a:t>Встраиваемый в пол конвектор с приточной вентиляцией </a:t>
          </a:r>
          <a:r>
            <a:rPr lang="en-US" sz="1000" b="0" i="0" u="sng" strike="noStrike" baseline="0">
              <a:solidFill>
                <a:srgbClr val="C00000"/>
              </a:solidFill>
              <a:latin typeface="+mn-lt"/>
              <a:ea typeface="+mn-ea"/>
              <a:cs typeface="+mn-cs"/>
            </a:rPr>
            <a:t>VITRON </a:t>
          </a:r>
          <a:r>
            <a:rPr lang="de-DE" sz="1000" b="0" i="0" u="none" strike="noStrike" baseline="0">
              <a:solidFill>
                <a:srgbClr val="C00000"/>
              </a:solidFill>
              <a:latin typeface="+mn-lt"/>
              <a:ea typeface="+mn-ea"/>
              <a:cs typeface="+mn-cs"/>
            </a:rPr>
            <a:t>-</a:t>
          </a:r>
          <a:r>
            <a:rPr lang="ru-RU" sz="1000" b="0" i="0" u="none" strike="noStrike" baseline="0">
              <a:latin typeface="+mn-lt"/>
              <a:ea typeface="+mn-ea"/>
              <a:cs typeface="+mn-cs"/>
            </a:rPr>
            <a:t> отопительный прибор, в котором установлен медно-алюминиевый теплообменник, тепло от которого передаётся в отапливаемое помещение путём естественной конвекции. Позволяет преградить поток холодного воздуха от застеклённых фасадов или окон. Данный тип конвектора служит для отопления только сухих помещений. Применяется в качестве основного отопительного прибора в помещениях с небольшими потребностями в отоплении или вспомогательного отопительного прибора с системами тёплого пола, вентиляции, радиаторного водяного отопления. Может быть установлен как в однотрубную, так и в двухтрубную систему отопления.</a:t>
          </a:r>
          <a:endParaRPr lang="ru-RU" sz="1000" b="0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n-lt"/>
            <a:ea typeface="+mn-ea"/>
            <a:cs typeface="+mn-cs"/>
          </a:endParaRPr>
        </a:p>
        <a:p>
          <a:r>
            <a:rPr lang="ru-RU" sz="1000">
              <a:latin typeface="+mn-lt"/>
            </a:rPr>
            <a:t>Конструктивные особенности: 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материал корпуса- оцинкованная сталь покрытая износостойким порошковым покрытием (цвет покрытия: чёрный матовый); 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материал решётки- анодированный алюминий, дерево; 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регулировка по высоте от 0 до 40 мм за счёт специальных регулировочных ножек; 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подключение теплообменника- </a:t>
          </a:r>
          <a:r>
            <a:rPr lang="de-DE" sz="1000" b="1" i="0" u="none" strike="noStrike" baseline="0">
              <a:latin typeface="+mn-lt"/>
              <a:ea typeface="+mn-ea"/>
              <a:cs typeface="+mn-cs"/>
            </a:rPr>
            <a:t>G1/2’’</a:t>
          </a:r>
          <a:r>
            <a:rPr lang="de-DE" sz="1000" b="0" i="0" u="none" strike="noStrike" baseline="0">
              <a:latin typeface="+mn-lt"/>
              <a:ea typeface="+mn-ea"/>
              <a:cs typeface="+mn-cs"/>
            </a:rPr>
            <a:t> (</a:t>
          </a:r>
          <a:r>
            <a:rPr lang="ru-RU" sz="1000" b="0" i="0" u="none" strike="noStrike" baseline="0">
              <a:latin typeface="+mn-lt"/>
              <a:ea typeface="+mn-ea"/>
              <a:cs typeface="+mn-cs"/>
            </a:rPr>
            <a:t>внутренняя резьба); 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применение материалов с повышенными теплопередающими свойствами (С</a:t>
          </a:r>
          <a:r>
            <a:rPr lang="de-DE" sz="1000" b="0" i="0" u="none" strike="noStrike" baseline="0">
              <a:latin typeface="+mn-lt"/>
              <a:ea typeface="+mn-ea"/>
              <a:cs typeface="+mn-cs"/>
            </a:rPr>
            <a:t>u- </a:t>
          </a:r>
          <a:r>
            <a:rPr lang="ru-RU" sz="1000" b="0" i="0" u="none" strike="noStrike" baseline="0">
              <a:latin typeface="+mn-lt"/>
              <a:ea typeface="+mn-ea"/>
              <a:cs typeface="+mn-cs"/>
            </a:rPr>
            <a:t>медь, </a:t>
          </a:r>
          <a:r>
            <a:rPr lang="de-DE" sz="1000" b="0" i="0" u="none" strike="noStrike" baseline="0">
              <a:latin typeface="+mn-lt"/>
              <a:ea typeface="+mn-ea"/>
              <a:cs typeface="+mn-cs"/>
            </a:rPr>
            <a:t>Al- </a:t>
          </a:r>
          <a:r>
            <a:rPr lang="ru-RU" sz="1000" b="0" i="0" u="none" strike="noStrike" baseline="0">
              <a:latin typeface="+mn-lt"/>
              <a:ea typeface="+mn-ea"/>
              <a:cs typeface="+mn-cs"/>
            </a:rPr>
            <a:t>алюминий) и стойких к коррозии; 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съёмный медно-алюминиевый теплообменник с износостойким порошковым покрытием (цвет покрытия: чёрный матовый);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кондуктор для распределения приточного воздуха (в цвет конвектора); 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специальные юстировочные шпильки позволяют легко выровнять конвектор в горизонтальной плоскости. </a:t>
          </a:r>
        </a:p>
      </xdr:txBody>
    </xdr:sp>
    <xdr:clientData/>
  </xdr:oneCellAnchor>
  <xdr:twoCellAnchor editAs="oneCell">
    <xdr:from>
      <xdr:col>40</xdr:col>
      <xdr:colOff>414617</xdr:colOff>
      <xdr:row>0</xdr:row>
      <xdr:rowOff>179294</xdr:rowOff>
    </xdr:from>
    <xdr:to>
      <xdr:col>52</xdr:col>
      <xdr:colOff>352233</xdr:colOff>
      <xdr:row>16</xdr:row>
      <xdr:rowOff>37453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8FBBFD-BABD-423C-B186-F68579E13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54792" y="179294"/>
          <a:ext cx="5081116" cy="2925209"/>
        </a:xfrm>
        <a:prstGeom prst="rect">
          <a:avLst/>
        </a:prstGeom>
      </xdr:spPr>
    </xdr:pic>
    <xdr:clientData/>
  </xdr:twoCellAnchor>
  <xdr:twoCellAnchor>
    <xdr:from>
      <xdr:col>3</xdr:col>
      <xdr:colOff>246529</xdr:colOff>
      <xdr:row>3</xdr:row>
      <xdr:rowOff>179295</xdr:rowOff>
    </xdr:from>
    <xdr:to>
      <xdr:col>18</xdr:col>
      <xdr:colOff>112059</xdr:colOff>
      <xdr:row>20</xdr:row>
      <xdr:rowOff>190500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6074C194-C5E9-4F7E-B9E1-2B4FBA09E43E}"/>
            </a:ext>
          </a:extLst>
        </xdr:cNvPr>
        <xdr:cNvSpPr txBox="1"/>
      </xdr:nvSpPr>
      <xdr:spPr>
        <a:xfrm>
          <a:off x="3427879" y="600075"/>
          <a:ext cx="3894605" cy="3686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Инструкция по использованию калькулятора:</a:t>
          </a:r>
        </a:p>
        <a:p>
          <a:r>
            <a:rPr lang="ru-R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Указать температуру на входе и выходе;</a:t>
          </a:r>
        </a:p>
        <a:p>
          <a:r>
            <a:rPr lang="ru-R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Указать температуру в помещении;</a:t>
          </a:r>
        </a:p>
        <a:p>
          <a:r>
            <a:rPr lang="ru-R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Указать требуемую мощность и погрешность ее поиска (В таблице подходящая модель будет выделена зеленым цветом);</a:t>
          </a:r>
        </a:p>
        <a:p>
          <a:r>
            <a:rPr lang="ru-R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Указать расход воздуха через патрубок вентиляции;</a:t>
          </a:r>
        </a:p>
        <a:p>
          <a:r>
            <a:rPr lang="ru-R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5. Красным выделен конвектор не отвечающим звуковым характеристикам. Следует увеличить количество патрубков или уменьшить расход воздуха;</a:t>
          </a:r>
        </a:p>
        <a:p>
          <a:r>
            <a:rPr lang="ru-R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6. Количество патрубков указано по стандарту. Увеличение патрубков для снижения шумовых характеристик конвектора, только после согласования с менеджером;</a:t>
          </a:r>
        </a:p>
        <a:p>
          <a:r>
            <a:rPr lang="ru-R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7. Диаметр патрубка указан максимальный для каждой высоты. Уменьшение диаметра после согласования с менеджером.</a:t>
          </a:r>
        </a:p>
        <a:p>
          <a:r>
            <a:rPr lang="ru-R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8. </a:t>
          </a:r>
          <a:r>
            <a:rPr lang="ru-R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Согласно СП скорость воздуха в системе вентиляции рекомендуется не болеше 2 м/с.</a:t>
          </a:r>
          <a:r>
            <a:rPr lang="ru-RU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При скорости больше 2 м/с, возможно резкое возрастание шума.</a:t>
          </a:r>
          <a:endParaRPr lang="ru-R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ru-RU" sz="1100" baseline="0"/>
            <a:t> </a:t>
          </a:r>
        </a:p>
        <a:p>
          <a:endParaRPr lang="ru-RU" sz="1100" baseline="0"/>
        </a:p>
        <a:p>
          <a:endParaRPr lang="ru-RU" sz="1100"/>
        </a:p>
      </xdr:txBody>
    </xdr:sp>
    <xdr:clientData/>
  </xdr:twoCellAnchor>
  <xdr:oneCellAnchor>
    <xdr:from>
      <xdr:col>18</xdr:col>
      <xdr:colOff>313765</xdr:colOff>
      <xdr:row>3</xdr:row>
      <xdr:rowOff>156882</xdr:rowOff>
    </xdr:from>
    <xdr:ext cx="8852188" cy="2365664"/>
    <xdr:sp macro="" textlink="">
      <xdr:nvSpPr>
        <xdr:cNvPr id="7" name="Прямоугольник 6">
          <a:extLst>
            <a:ext uri="{FF2B5EF4-FFF2-40B4-BE49-F238E27FC236}">
              <a16:creationId xmlns:a16="http://schemas.microsoft.com/office/drawing/2014/main" id="{D4310AA2-AA40-451B-AFAE-5D841EB39C08}"/>
            </a:ext>
          </a:extLst>
        </xdr:cNvPr>
        <xdr:cNvSpPr/>
      </xdr:nvSpPr>
      <xdr:spPr>
        <a:xfrm>
          <a:off x="7524190" y="600075"/>
          <a:ext cx="8852188" cy="2365664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l"/>
          <a:r>
            <a:rPr lang="ru-RU" sz="1000" b="0" i="0" u="sng" strike="noStrike" baseline="0">
              <a:solidFill>
                <a:srgbClr val="C00000"/>
              </a:solidFill>
              <a:latin typeface="+mn-lt"/>
              <a:ea typeface="+mn-ea"/>
              <a:cs typeface="+mn-cs"/>
            </a:rPr>
            <a:t>Встраиваемый в пол конвектор с приточной вентиляцией </a:t>
          </a:r>
          <a:r>
            <a:rPr lang="en-US" sz="1000" b="0" i="0" u="sng" strike="noStrike" baseline="0">
              <a:solidFill>
                <a:srgbClr val="C00000"/>
              </a:solidFill>
              <a:latin typeface="+mn-lt"/>
              <a:ea typeface="+mn-ea"/>
              <a:cs typeface="+mn-cs"/>
            </a:rPr>
            <a:t>VITRON </a:t>
          </a:r>
          <a:r>
            <a:rPr lang="de-DE" sz="1000" b="0" i="0" u="none" strike="noStrike" baseline="0">
              <a:solidFill>
                <a:srgbClr val="C00000"/>
              </a:solidFill>
              <a:latin typeface="+mn-lt"/>
              <a:ea typeface="+mn-ea"/>
              <a:cs typeface="+mn-cs"/>
            </a:rPr>
            <a:t>-</a:t>
          </a:r>
          <a:r>
            <a:rPr lang="ru-RU" sz="1000" b="0" i="0" u="none" strike="noStrike" baseline="0">
              <a:latin typeface="+mn-lt"/>
              <a:ea typeface="+mn-ea"/>
              <a:cs typeface="+mn-cs"/>
            </a:rPr>
            <a:t> отопительный прибор, в котором установлен медно-алюминиевый теплообменник, тепло от которого передаётся в отапливаемое помещение путём естественной конвекции. Позволяет преградить поток холодного воздуха от застеклённых фасадов или окон. Данный тип конвектора служит для отопления только сухих помещений. Применяется в качестве основного отопительного прибора в помещениях с небольшими потребностями в отоплении или вспомогательного отопительного прибора с системами тёплого пола, вентиляции, радиаторного водяного отопления. Может быть установлен как в однотрубную, так и в двухтрубную систему отопления.</a:t>
          </a:r>
          <a:endParaRPr lang="ru-RU" sz="1000" b="0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n-lt"/>
            <a:ea typeface="+mn-ea"/>
            <a:cs typeface="+mn-cs"/>
          </a:endParaRPr>
        </a:p>
        <a:p>
          <a:r>
            <a:rPr lang="ru-RU" sz="1000">
              <a:latin typeface="+mn-lt"/>
            </a:rPr>
            <a:t>Конструктивные особенности: 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материал корпуса- оцинкованная сталь покрытая износостойким порошковым покрытием (цвет покрытия: чёрный матовый); 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материал решётки- анодированный алюминий, дерево; 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регулировка по высоте от 0 до 40 мм за счёт специальных регулировочных ножек; 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подключение теплообменника- </a:t>
          </a:r>
          <a:r>
            <a:rPr lang="de-DE" sz="1000" b="1" i="0" u="none" strike="noStrike" baseline="0">
              <a:latin typeface="+mn-lt"/>
              <a:ea typeface="+mn-ea"/>
              <a:cs typeface="+mn-cs"/>
            </a:rPr>
            <a:t>G1/2’’</a:t>
          </a:r>
          <a:r>
            <a:rPr lang="de-DE" sz="1000" b="0" i="0" u="none" strike="noStrike" baseline="0">
              <a:latin typeface="+mn-lt"/>
              <a:ea typeface="+mn-ea"/>
              <a:cs typeface="+mn-cs"/>
            </a:rPr>
            <a:t> (</a:t>
          </a:r>
          <a:r>
            <a:rPr lang="ru-RU" sz="1000" b="0" i="0" u="none" strike="noStrike" baseline="0">
              <a:latin typeface="+mn-lt"/>
              <a:ea typeface="+mn-ea"/>
              <a:cs typeface="+mn-cs"/>
            </a:rPr>
            <a:t>внутренняя резьба); 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применение материалов с повышенными теплопередающими свойствами (С</a:t>
          </a:r>
          <a:r>
            <a:rPr lang="de-DE" sz="1000" b="0" i="0" u="none" strike="noStrike" baseline="0">
              <a:latin typeface="+mn-lt"/>
              <a:ea typeface="+mn-ea"/>
              <a:cs typeface="+mn-cs"/>
            </a:rPr>
            <a:t>u- </a:t>
          </a:r>
          <a:r>
            <a:rPr lang="ru-RU" sz="1000" b="0" i="0" u="none" strike="noStrike" baseline="0">
              <a:latin typeface="+mn-lt"/>
              <a:ea typeface="+mn-ea"/>
              <a:cs typeface="+mn-cs"/>
            </a:rPr>
            <a:t>медь, </a:t>
          </a:r>
          <a:r>
            <a:rPr lang="de-DE" sz="1000" b="0" i="0" u="none" strike="noStrike" baseline="0">
              <a:latin typeface="+mn-lt"/>
              <a:ea typeface="+mn-ea"/>
              <a:cs typeface="+mn-cs"/>
            </a:rPr>
            <a:t>Al- </a:t>
          </a:r>
          <a:r>
            <a:rPr lang="ru-RU" sz="1000" b="0" i="0" u="none" strike="noStrike" baseline="0">
              <a:latin typeface="+mn-lt"/>
              <a:ea typeface="+mn-ea"/>
              <a:cs typeface="+mn-cs"/>
            </a:rPr>
            <a:t>алюминий) и стойких к коррозии; 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съёмный медно-алюминиевый теплообменник с износостойким порошковым покрытием (цвет покрытия: чёрный матовый);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кондуктор для распределения приточного воздуха (в цвет конвектора); 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ru-RU" sz="1000" b="0" i="0" u="none" strike="noStrike" baseline="0">
              <a:latin typeface="+mn-lt"/>
              <a:ea typeface="+mn-ea"/>
              <a:cs typeface="+mn-cs"/>
            </a:rPr>
            <a:t>специальные юстировочные шпильки позволяют легко выровнять конвектор в горизонтальной плоскости. 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12</xdr:row>
      <xdr:rowOff>33617</xdr:rowOff>
    </xdr:from>
    <xdr:to>
      <xdr:col>21</xdr:col>
      <xdr:colOff>461280</xdr:colOff>
      <xdr:row>28</xdr:row>
      <xdr:rowOff>77585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01200" y="4519892"/>
          <a:ext cx="5596935" cy="3120542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212911</xdr:rowOff>
    </xdr:from>
    <xdr:ext cx="9040346" cy="7504579"/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0" y="3922058"/>
          <a:ext cx="9040346" cy="7504579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l"/>
          <a:r>
            <a:rPr lang="ru-RU" sz="1600" b="0" i="0" u="sng" strike="noStrike" baseline="0">
              <a:solidFill>
                <a:srgbClr val="C00000"/>
              </a:solidFill>
              <a:latin typeface="+mj-lt"/>
              <a:ea typeface="+mn-ea"/>
              <a:cs typeface="+mn-cs"/>
            </a:rPr>
            <a:t>Встраиваемый в пол конвектор с принудительной конвекцией </a:t>
          </a:r>
          <a:r>
            <a:rPr lang="de-DE" sz="1600" b="0" i="0" u="sng" strike="noStrike" baseline="0">
              <a:solidFill>
                <a:srgbClr val="C00000"/>
              </a:solidFill>
              <a:latin typeface="+mj-lt"/>
              <a:ea typeface="+mn-ea"/>
              <a:cs typeface="+mn-cs"/>
            </a:rPr>
            <a:t>VITRON </a:t>
          </a:r>
          <a:r>
            <a:rPr lang="de-DE" sz="1600" b="0" i="0" u="none" strike="noStrike" baseline="0">
              <a:solidFill>
                <a:srgbClr val="C00000"/>
              </a:solidFill>
              <a:latin typeface="+mj-lt"/>
              <a:ea typeface="+mn-ea"/>
              <a:cs typeface="+mn-cs"/>
            </a:rPr>
            <a:t>-</a:t>
          </a:r>
          <a:r>
            <a:rPr lang="ru-RU" sz="1600" b="0" i="0" u="none" strike="noStrike" baseline="0">
              <a:latin typeface="+mj-lt"/>
              <a:ea typeface="+mn-ea"/>
              <a:cs typeface="+mn-cs"/>
            </a:rPr>
            <a:t> </a:t>
          </a:r>
          <a:r>
            <a:rPr lang="ru-RU" sz="1400">
              <a:latin typeface="+mj-lt"/>
            </a:rPr>
            <a:t>ВКВМ предназначен для отопления кухонных помещений и вестибюлей. Предусмотрен монтаж встраивания в цокольные элементы. Конвекторы можно располагать в шкафах, лестничных ступеньках под тумбами, под кухонной мебелью. На передней панели конвектора расположена декоративная решетка, размеры которой составляют 90 Х 500 мм. Через нее происходит нагнетание воздуха в помещение. После монтажа видимой частью мебельного конвектора остается только воздуховыпускная декоративная решетка.</a:t>
          </a:r>
          <a:endParaRPr lang="ru-RU" sz="1600">
            <a:latin typeface="+mj-lt"/>
          </a:endParaRPr>
        </a:p>
        <a:p>
          <a:r>
            <a:rPr lang="ru-RU" sz="1600">
              <a:latin typeface="+mn-lt"/>
            </a:rPr>
            <a:t>Конструктивные особенности: </a:t>
          </a:r>
        </a:p>
        <a:p>
          <a:pPr algn="l"/>
          <a:r>
            <a:rPr lang="ru-RU" sz="1100" b="0" i="0" baseline="0">
              <a:effectLst/>
              <a:latin typeface="+mn-lt"/>
              <a:ea typeface="+mn-ea"/>
              <a:cs typeface="+mn-cs"/>
            </a:rPr>
            <a:t>•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материал корпуса - оцинкованная сталь толщиной 1 мм,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покрытая износостойким порошковым покрытием (цвет покрытия: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чёрный матовый);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• материал и покрытие решётки - анодированный алюминий, алюминий с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порошковым покрытием;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• регулировка по высоте от 0 до 40 мм за счёт специальных установочных ножек;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• подключение теплообменника -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G1/2’’ (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внутренняя резьба);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• применение материалов с повышенными теплопередающими свойствами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(С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u -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медь,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Al -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алюминий) и стойких к коррозии;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• съёмный медно-алюминиевый теплообменник, покрытый износостойким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порошковым покрытием (цвет покрытия: чёрный матовый).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600" b="0" i="0" baseline="0">
            <a:effectLst/>
            <a:latin typeface="+mj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600" b="0" i="0" baseline="0">
              <a:effectLst/>
              <a:latin typeface="+mn-lt"/>
              <a:ea typeface="+mn-ea"/>
              <a:cs typeface="+mn-cs"/>
            </a:rPr>
            <a:t>Стандартный комплект поставки: </a:t>
          </a:r>
          <a:endParaRPr lang="ru-RU" sz="1600" b="0" i="0" u="none" strike="noStrike" baseline="0">
            <a:latin typeface="+mn-lt"/>
            <a:ea typeface="+mn-ea"/>
            <a:cs typeface="+mn-cs"/>
          </a:endParaRPr>
        </a:p>
        <a:p>
          <a:r>
            <a:rPr lang="ru-RU" sz="1400" b="0" i="0" baseline="0">
              <a:effectLst/>
              <a:latin typeface="+mn-lt"/>
              <a:ea typeface="+mn-ea"/>
              <a:cs typeface="+mn-cs"/>
            </a:rPr>
            <a:t>•</a:t>
          </a:r>
          <a:r>
            <a:rPr lang="ru-RU" sz="1100" b="0" i="0" baseline="0">
              <a:effectLst/>
              <a:latin typeface="+mn-lt"/>
              <a:ea typeface="+mn-ea"/>
              <a:cs typeface="+mn-cs"/>
            </a:rPr>
            <a:t>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корпус из оцинкованной стали покрытый порошковым покрытием;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+mn-lt"/>
              <a:ea typeface="+mn-ea"/>
              <a:cs typeface="+mn-cs"/>
            </a:rPr>
            <a:t>•</a:t>
          </a:r>
          <a:r>
            <a:rPr lang="ru-RU" sz="1100" b="0" i="0" baseline="0">
              <a:effectLst/>
              <a:latin typeface="+mn-lt"/>
              <a:ea typeface="+mn-ea"/>
              <a:cs typeface="+mn-cs"/>
            </a:rPr>
            <a:t> </a:t>
          </a:r>
          <a:r>
            <a:rPr lang="ru-RU" sz="1400" b="0" i="0" baseline="0">
              <a:effectLst/>
              <a:latin typeface="+mj-lt"/>
              <a:ea typeface="+mn-ea"/>
              <a:cs typeface="+mn-cs"/>
            </a:rPr>
            <a:t>тангенциальный </a:t>
          </a:r>
          <a:r>
            <a:rPr lang="en-US" sz="1400" b="0" i="0" baseline="0">
              <a:effectLst/>
              <a:latin typeface="+mj-lt"/>
              <a:ea typeface="+mn-ea"/>
              <a:cs typeface="+mn-cs"/>
            </a:rPr>
            <a:t>DC </a:t>
          </a:r>
          <a:r>
            <a:rPr lang="ru-RU" sz="1400" b="0" i="0" baseline="0">
              <a:effectLst/>
              <a:latin typeface="+mj-lt"/>
              <a:ea typeface="+mn-ea"/>
              <a:cs typeface="+mn-cs"/>
            </a:rPr>
            <a:t>вентилятор, напряжением питания </a:t>
          </a:r>
          <a:r>
            <a:rPr lang="en-US" sz="1400" b="0" i="0" baseline="0">
              <a:effectLst/>
              <a:latin typeface="+mj-lt"/>
              <a:ea typeface="+mn-ea"/>
              <a:cs typeface="+mn-cs"/>
            </a:rPr>
            <a:t>24</a:t>
          </a:r>
          <a:r>
            <a:rPr lang="ru-RU" sz="1400" b="0" i="0" baseline="0">
              <a:effectLst/>
              <a:latin typeface="+mj-lt"/>
              <a:ea typeface="+mn-ea"/>
              <a:cs typeface="+mn-cs"/>
            </a:rPr>
            <a:t>В с уменьшенным уровнем шума;</a:t>
          </a:r>
          <a:endParaRPr lang="ru-RU" sz="1400" b="0" i="0" u="none" strike="noStrike" baseline="0">
            <a:latin typeface="+mj-lt"/>
            <a:ea typeface="+mn-ea"/>
            <a:cs typeface="+mn-cs"/>
          </a:endParaRP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комплект установочных ножек;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продольная решётка;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медно-алюминиевый теплообменник (диаметр медной трубы 15 мм);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воздухоотводчик ручной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G1/8’’;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технический паспорт, инструкция по монтажу и эксплуатации;</a:t>
          </a:r>
        </a:p>
        <a:p>
          <a:r>
            <a:rPr lang="ru-RU" sz="1400" b="0" i="0" baseline="0">
              <a:effectLst/>
              <a:latin typeface="+mn-lt"/>
              <a:ea typeface="+mn-ea"/>
              <a:cs typeface="+mn-cs"/>
            </a:rPr>
            <a:t>•</a:t>
          </a:r>
          <a:r>
            <a:rPr lang="ru-RU" sz="1100" b="0" i="0" baseline="0">
              <a:effectLst/>
              <a:latin typeface="+mn-lt"/>
              <a:ea typeface="+mn-ea"/>
              <a:cs typeface="+mn-cs"/>
            </a:rPr>
            <a:t> </a:t>
          </a:r>
          <a:r>
            <a:rPr lang="ru-RU" sz="1400" b="0" i="0" baseline="0">
              <a:effectLst/>
              <a:latin typeface="+mn-lt"/>
              <a:ea typeface="+mn-ea"/>
              <a:cs typeface="+mn-cs"/>
            </a:rPr>
            <a:t>монтажная доска для защиты от механических повреждений.</a:t>
          </a:r>
          <a:endParaRPr lang="ru-RU" sz="1400" b="0" i="0" u="none" strike="noStrike" baseline="0">
            <a:latin typeface="+mj-lt"/>
            <a:ea typeface="+mn-ea"/>
            <a:cs typeface="+mn-cs"/>
          </a:endParaRPr>
        </a:p>
        <a:p>
          <a:endParaRPr lang="ru-RU" sz="1800" b="0" i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13</xdr:row>
      <xdr:rowOff>0</xdr:rowOff>
    </xdr:from>
    <xdr:ext cx="9040346" cy="7504579"/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0" y="4672853"/>
          <a:ext cx="9040346" cy="7504579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pPr algn="l"/>
          <a:r>
            <a:rPr lang="ru-RU" sz="1600" b="0" i="0" u="sng" strike="noStrike" baseline="0">
              <a:solidFill>
                <a:srgbClr val="C00000"/>
              </a:solidFill>
              <a:latin typeface="+mj-lt"/>
              <a:ea typeface="+mn-ea"/>
              <a:cs typeface="+mn-cs"/>
            </a:rPr>
            <a:t>Встраиваемый в подоконник конвектор с принудительной конвекцией </a:t>
          </a:r>
          <a:r>
            <a:rPr lang="de-DE" sz="1600" b="0" i="0" u="sng" strike="noStrike" baseline="0">
              <a:solidFill>
                <a:srgbClr val="C00000"/>
              </a:solidFill>
              <a:latin typeface="+mj-lt"/>
              <a:ea typeface="+mn-ea"/>
              <a:cs typeface="+mn-cs"/>
            </a:rPr>
            <a:t>VITRON </a:t>
          </a:r>
          <a:r>
            <a:rPr lang="de-DE" sz="1600" b="0" i="0" u="none" strike="noStrike" baseline="0">
              <a:solidFill>
                <a:srgbClr val="C00000"/>
              </a:solidFill>
              <a:latin typeface="+mj-lt"/>
              <a:ea typeface="+mn-ea"/>
              <a:cs typeface="+mn-cs"/>
            </a:rPr>
            <a:t>-</a:t>
          </a:r>
          <a:r>
            <a:rPr lang="ru-RU" sz="1600" b="0" i="0" u="none" strike="noStrike" baseline="0">
              <a:latin typeface="+mj-lt"/>
              <a:ea typeface="+mn-ea"/>
              <a:cs typeface="+mn-cs"/>
            </a:rPr>
            <a:t>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э</a:t>
          </a:r>
          <a:r>
            <a:rPr lang="ru-RU" sz="1400">
              <a:latin typeface="+mj-lt"/>
            </a:rPr>
            <a:t>то отопительный прибор, в котором установлен медно-алюминиевый теплообменник и тангенциальный вентилятор, тепло от которого передаётся в отапливаемое помещение путём естественной (при выключенном вентиляторе) и принудительной (при включённом вентиляторе) конвекции. Данный прибор предназначен для установки в оконный проём с парапетом глубиной не менее 290 мм. Позволяет преградить поток холодного воздуха от застеклённых фасадов или окон. Возможно комбинированное использование с системами тёплого пола, вентиляции, радиаторного водяного отопления. Может быть установлен как в однотрубную, так и в двухтрубную систему отопления.</a:t>
          </a:r>
        </a:p>
        <a:p>
          <a:r>
            <a:rPr lang="ru-RU" sz="1400">
              <a:latin typeface="+mn-lt"/>
            </a:rPr>
            <a:t>Конструктивные особенности: </a:t>
          </a:r>
        </a:p>
        <a:p>
          <a:pPr algn="l"/>
          <a:r>
            <a:rPr lang="ru-RU" sz="1400" b="0" i="0" baseline="0">
              <a:effectLst/>
              <a:latin typeface="+mn-lt"/>
              <a:ea typeface="+mn-ea"/>
              <a:cs typeface="+mn-cs"/>
            </a:rPr>
            <a:t>•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материал корпуса - оцинкованная сталь толщиной 1 мм,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покрытая износостойким порошковым покрытием (цвет покрытия: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чёрный матовый);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• материал и покрытие решётки - анодированный алюминий, алюминий с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порошковым покрытием, дерево (дуб);</a:t>
          </a:r>
        </a:p>
        <a:p>
          <a:pPr algn="l"/>
          <a:r>
            <a:rPr lang="ru-RU" sz="1400" b="0" i="0" baseline="0">
              <a:effectLst/>
              <a:latin typeface="+mj-lt"/>
              <a:ea typeface="+mn-ea"/>
              <a:cs typeface="+mn-cs"/>
            </a:rPr>
            <a:t>• материал подоконника - дерево (шлифованный дуб);</a:t>
          </a:r>
          <a:endParaRPr lang="ru-RU" sz="1400" b="0" i="0" u="none" strike="noStrike" baseline="0">
            <a:latin typeface="+mj-lt"/>
            <a:ea typeface="+mn-ea"/>
            <a:cs typeface="+mn-cs"/>
          </a:endParaRP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• подключение теплообменника -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G1/2’’ (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внутренняя резьба);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• применение материалов с повышенными теплопередающими свойствами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(С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u -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медь,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Al -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алюминий) и стойких к коррозии;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• съёмный медно-алюминиевый теплообменник, покрытый износостойким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порошковым покрытием (цвет покрытия: чёрный матовый);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• специальные юстировочные винты позволяют легко выровнять конвектор</a:t>
          </a:r>
        </a:p>
        <a:p>
          <a:pPr algn="l"/>
          <a:r>
            <a:rPr lang="ru-RU" sz="1400" b="0" i="0" u="none" strike="noStrike" baseline="0">
              <a:latin typeface="+mj-lt"/>
              <a:ea typeface="+mn-ea"/>
              <a:cs typeface="+mn-cs"/>
            </a:rPr>
            <a:t>в горизонтальной плоскости.. </a:t>
          </a:r>
          <a:endParaRPr lang="ru-RU" sz="1600" b="0" i="0" baseline="0">
            <a:effectLst/>
            <a:latin typeface="+mj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600" b="0" i="0" baseline="0">
            <a:effectLst/>
            <a:latin typeface="+mj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600" b="0" i="0" baseline="0">
              <a:effectLst/>
              <a:latin typeface="+mn-lt"/>
              <a:ea typeface="+mn-ea"/>
              <a:cs typeface="+mn-cs"/>
            </a:rPr>
            <a:t>Стандартный комплект поставки: </a:t>
          </a:r>
          <a:endParaRPr lang="ru-RU" sz="1600" b="0" i="0" u="none" strike="noStrike" baseline="0">
            <a:latin typeface="+mn-lt"/>
            <a:ea typeface="+mn-ea"/>
            <a:cs typeface="+mn-cs"/>
          </a:endParaRPr>
        </a:p>
        <a:p>
          <a:r>
            <a:rPr lang="ru-RU" sz="1400" b="0" i="0" baseline="0">
              <a:effectLst/>
              <a:latin typeface="+mn-lt"/>
              <a:ea typeface="+mn-ea"/>
              <a:cs typeface="+mn-cs"/>
            </a:rPr>
            <a:t>•</a:t>
          </a:r>
          <a:r>
            <a:rPr lang="ru-RU" sz="1100" b="0" i="0" baseline="0">
              <a:effectLst/>
              <a:latin typeface="+mn-lt"/>
              <a:ea typeface="+mn-ea"/>
              <a:cs typeface="+mn-cs"/>
            </a:rPr>
            <a:t>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корпус из оцинкованной стали покрытый порошковым покрытием;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+mj-lt"/>
              <a:ea typeface="+mn-ea"/>
              <a:cs typeface="+mn-cs"/>
            </a:rPr>
            <a:t>• тангенциальный </a:t>
          </a:r>
          <a:r>
            <a:rPr lang="en-US" sz="1400" b="0" i="0" baseline="0">
              <a:effectLst/>
              <a:latin typeface="+mj-lt"/>
              <a:ea typeface="+mn-ea"/>
              <a:cs typeface="+mn-cs"/>
            </a:rPr>
            <a:t>DC </a:t>
          </a:r>
          <a:r>
            <a:rPr lang="ru-RU" sz="1400" b="0" i="0" baseline="0">
              <a:effectLst/>
              <a:latin typeface="+mj-lt"/>
              <a:ea typeface="+mn-ea"/>
              <a:cs typeface="+mn-cs"/>
            </a:rPr>
            <a:t>вентилятор, напряжением питания </a:t>
          </a:r>
          <a:r>
            <a:rPr lang="en-US" sz="1400" b="0" i="0" baseline="0">
              <a:effectLst/>
              <a:latin typeface="+mj-lt"/>
              <a:ea typeface="+mn-ea"/>
              <a:cs typeface="+mn-cs"/>
            </a:rPr>
            <a:t>24</a:t>
          </a:r>
          <a:r>
            <a:rPr lang="ru-RU" sz="1400" b="0" i="0" baseline="0">
              <a:effectLst/>
              <a:latin typeface="+mj-lt"/>
              <a:ea typeface="+mn-ea"/>
              <a:cs typeface="+mn-cs"/>
            </a:rPr>
            <a:t>В с уменьшенным уровнем шума;</a:t>
          </a:r>
          <a:endParaRPr lang="ru-RU" sz="1400" b="0" i="0" u="none" strike="noStrike" baseline="0">
            <a:latin typeface="+mj-lt"/>
            <a:ea typeface="+mn-ea"/>
            <a:cs typeface="+mn-cs"/>
          </a:endParaRP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комплект установочных ножек;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продольная решётка;</a:t>
          </a:r>
        </a:p>
        <a:p>
          <a:r>
            <a:rPr lang="ru-RU" sz="1400" b="0" i="0" baseline="0">
              <a:effectLst/>
              <a:latin typeface="+mn-lt"/>
              <a:ea typeface="+mn-ea"/>
              <a:cs typeface="+mn-cs"/>
            </a:rPr>
            <a:t>• 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дубовый шлифованный подоконник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медно-алюминиевый теплообменник (диаметр медной трубы 15 мм);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воздухоотводчик ручной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G1/8’’;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• технический паспорт, инструкция по монтажу и эксплуатации;</a:t>
          </a:r>
        </a:p>
        <a:p>
          <a:r>
            <a:rPr lang="ru-RU" sz="1400" b="0" i="0" baseline="0">
              <a:effectLst/>
              <a:latin typeface="+mn-lt"/>
              <a:ea typeface="+mn-ea"/>
              <a:cs typeface="+mn-cs"/>
            </a:rPr>
            <a:t>•</a:t>
          </a:r>
          <a:r>
            <a:rPr lang="ru-RU" sz="1100" b="0" i="0" baseline="0">
              <a:effectLst/>
              <a:latin typeface="+mn-lt"/>
              <a:ea typeface="+mn-ea"/>
              <a:cs typeface="+mn-cs"/>
            </a:rPr>
            <a:t> </a:t>
          </a:r>
          <a:r>
            <a:rPr lang="ru-RU" sz="1400" b="0" i="0" baseline="0">
              <a:effectLst/>
              <a:latin typeface="+mn-lt"/>
              <a:ea typeface="+mn-ea"/>
              <a:cs typeface="+mn-cs"/>
            </a:rPr>
            <a:t>монтажная доска для защиты от механических повреждений.</a:t>
          </a:r>
          <a:endParaRPr lang="ru-RU" sz="1400" b="0" i="0" u="none" strike="noStrike" baseline="0">
            <a:latin typeface="+mj-lt"/>
            <a:ea typeface="+mn-ea"/>
            <a:cs typeface="+mn-cs"/>
          </a:endParaRPr>
        </a:p>
      </xdr:txBody>
    </xdr:sp>
    <xdr:clientData/>
  </xdr:oneCellAnchor>
  <xdr:twoCellAnchor editAs="oneCell">
    <xdr:from>
      <xdr:col>14</xdr:col>
      <xdr:colOff>973310</xdr:colOff>
      <xdr:row>14</xdr:row>
      <xdr:rowOff>64834</xdr:rowOff>
    </xdr:from>
    <xdr:to>
      <xdr:col>19</xdr:col>
      <xdr:colOff>318406</xdr:colOff>
      <xdr:row>35</xdr:row>
      <xdr:rowOff>165687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68274" y="4881763"/>
          <a:ext cx="7795132" cy="438710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6080311" cy="349752"/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895BF86C-8E98-4C09-8005-E09FBDB7A034}"/>
            </a:ext>
          </a:extLst>
        </xdr:cNvPr>
        <xdr:cNvSpPr/>
      </xdr:nvSpPr>
      <xdr:spPr>
        <a:xfrm>
          <a:off x="0" y="200025"/>
          <a:ext cx="6080311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Декоративная крышка</a:t>
          </a:r>
        </a:p>
        <a:p>
          <a:pPr algn="l"/>
          <a:endParaRPr lang="ru-RU" sz="2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0</xdr:col>
      <xdr:colOff>27214</xdr:colOff>
      <xdr:row>3</xdr:row>
      <xdr:rowOff>95250</xdr:rowOff>
    </xdr:from>
    <xdr:ext cx="11915775" cy="1400175"/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F8837DE7-A6BC-45C2-86DC-B3DE328F96B9}"/>
            </a:ext>
          </a:extLst>
        </xdr:cNvPr>
        <xdr:cNvSpPr/>
      </xdr:nvSpPr>
      <xdr:spPr>
        <a:xfrm>
          <a:off x="27214" y="676275"/>
          <a:ext cx="11915775" cy="1400175"/>
        </a:xfrm>
        <a:prstGeom prst="rect">
          <a:avLst/>
        </a:prstGeom>
        <a:noFill/>
      </xdr:spPr>
      <xdr:txBody>
        <a:bodyPr wrap="square" lIns="91440" tIns="45720" rIns="91440" bIns="45720" anchor="t">
          <a:noAutofit/>
        </a:bodyPr>
        <a:lstStyle/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Декоративная крышка — это сменный элемент, который устанавливается поверх короба конвектора вместо штатной решетки. Ее основная функция — декоративная: она маскирует технический прибор, сливаясь с напольным покрытием или, наоборот, становясь изящным элементом дизайна. 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Покраска в любой цвет по каталогу </a:t>
          </a:r>
          <a:r>
            <a:rPr lang="en-US" sz="1400" b="0" i="0" u="none" strike="noStrike" baseline="0">
              <a:latin typeface="+mj-lt"/>
              <a:ea typeface="+mn-ea"/>
              <a:cs typeface="+mn-cs"/>
            </a:rPr>
            <a:t>RAL: </a:t>
          </a:r>
          <a:r>
            <a:rPr lang="ru-RU" sz="1400" b="0" i="0" u="none" strike="noStrike" baseline="0">
              <a:latin typeface="+mj-lt"/>
              <a:ea typeface="+mn-ea"/>
              <a:cs typeface="+mn-cs"/>
            </a:rPr>
            <a:t>Позволяет идеально подобрать цвет под мебель, стены, плинтуса или акцентные элементы. Толщина в 6 мм гарантирует прочность и несгибаемость.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Перфорация с узором: Вместо стандартных параллельных щелей делают узорчатую перфорацию (круги, волны, геометрические паттерны).</a:t>
          </a:r>
        </a:p>
        <a:p>
          <a:r>
            <a:rPr lang="ru-RU" sz="1400" b="0" i="0" u="none" strike="noStrike" baseline="0">
              <a:latin typeface="+mj-lt"/>
              <a:ea typeface="+mn-ea"/>
              <a:cs typeface="+mn-cs"/>
            </a:rPr>
            <a:t>Декоративная крышка — это прекрасный способ сделать систему отопления невидимой и сохранить безупречный вид интерьера.</a:t>
          </a:r>
        </a:p>
        <a:p>
          <a:endParaRPr lang="ru-RU" sz="1400" b="0" i="0" u="none" strike="noStrike" baseline="0">
            <a:latin typeface="+mj-lt"/>
            <a:ea typeface="+mn-ea"/>
            <a:cs typeface="+mn-cs"/>
          </a:endParaRPr>
        </a:p>
        <a:p>
          <a:endParaRPr lang="ru-RU" sz="1800" b="1" i="0" u="none" strike="noStrik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</xdr:txBody>
    </xdr:sp>
    <xdr:clientData/>
  </xdr:oneCellAnchor>
  <xdr:twoCellAnchor editAs="oneCell">
    <xdr:from>
      <xdr:col>3</xdr:col>
      <xdr:colOff>0</xdr:colOff>
      <xdr:row>95</xdr:row>
      <xdr:rowOff>0</xdr:rowOff>
    </xdr:from>
    <xdr:to>
      <xdr:col>13</xdr:col>
      <xdr:colOff>415717</xdr:colOff>
      <xdr:row>110</xdr:row>
      <xdr:rowOff>22500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4000B579-9C29-4A36-8536-A594EBB09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02" b="702"/>
        <a:stretch/>
      </xdr:blipFill>
      <xdr:spPr>
        <a:xfrm>
          <a:off x="5191125" y="18592800"/>
          <a:ext cx="6511717" cy="2880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122463</xdr:colOff>
      <xdr:row>95</xdr:row>
      <xdr:rowOff>0</xdr:rowOff>
    </xdr:from>
    <xdr:to>
      <xdr:col>2</xdr:col>
      <xdr:colOff>2124075</xdr:colOff>
      <xdr:row>109</xdr:row>
      <xdr:rowOff>141634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C3225379-41FC-41AC-B14A-FCB6672DB8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73"/>
        <a:stretch/>
      </xdr:blipFill>
      <xdr:spPr>
        <a:xfrm>
          <a:off x="122463" y="18592800"/>
          <a:ext cx="4868637" cy="280863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95251</xdr:colOff>
      <xdr:row>141</xdr:row>
      <xdr:rowOff>102053</xdr:rowOff>
    </xdr:from>
    <xdr:to>
      <xdr:col>2</xdr:col>
      <xdr:colOff>2293644</xdr:colOff>
      <xdr:row>156</xdr:row>
      <xdr:rowOff>124553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F9074C19-F6D5-4F96-BCBC-7AB1A3392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1" y="27457853"/>
          <a:ext cx="5065418" cy="2880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3</xdr:col>
      <xdr:colOff>19050</xdr:colOff>
      <xdr:row>141</xdr:row>
      <xdr:rowOff>92529</xdr:rowOff>
    </xdr:from>
    <xdr:to>
      <xdr:col>13</xdr:col>
      <xdr:colOff>399978</xdr:colOff>
      <xdr:row>156</xdr:row>
      <xdr:rowOff>115029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7CE51865-8B90-4405-A2BC-7550B4122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10175" y="27448329"/>
          <a:ext cx="6476928" cy="2880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152399</xdr:colOff>
      <xdr:row>110</xdr:row>
      <xdr:rowOff>48985</xdr:rowOff>
    </xdr:from>
    <xdr:to>
      <xdr:col>2</xdr:col>
      <xdr:colOff>2162175</xdr:colOff>
      <xdr:row>125</xdr:row>
      <xdr:rowOff>71485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9202B36E-BA7E-4585-833E-B51B823718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276" r="1458"/>
        <a:stretch/>
      </xdr:blipFill>
      <xdr:spPr>
        <a:xfrm>
          <a:off x="152399" y="21499285"/>
          <a:ext cx="4876801" cy="2880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</xdr:col>
      <xdr:colOff>2295525</xdr:colOff>
      <xdr:row>110</xdr:row>
      <xdr:rowOff>54429</xdr:rowOff>
    </xdr:from>
    <xdr:to>
      <xdr:col>13</xdr:col>
      <xdr:colOff>406853</xdr:colOff>
      <xdr:row>125</xdr:row>
      <xdr:rowOff>76929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1B892448-C7FA-4DB9-A996-7BA4EC4055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-1" r="1549"/>
        <a:stretch/>
      </xdr:blipFill>
      <xdr:spPr>
        <a:xfrm>
          <a:off x="5162550" y="21504729"/>
          <a:ext cx="6531428" cy="2880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oneCellAnchor>
    <xdr:from>
      <xdr:col>15</xdr:col>
      <xdr:colOff>0</xdr:colOff>
      <xdr:row>101</xdr:row>
      <xdr:rowOff>0</xdr:rowOff>
    </xdr:from>
    <xdr:ext cx="6080311" cy="349752"/>
    <xdr:sp macro="" textlink="">
      <xdr:nvSpPr>
        <xdr:cNvPr id="10" name="Прямоугольник 9">
          <a:extLst>
            <a:ext uri="{FF2B5EF4-FFF2-40B4-BE49-F238E27FC236}">
              <a16:creationId xmlns:a16="http://schemas.microsoft.com/office/drawing/2014/main" id="{9599DF9C-17C2-4EB9-80BC-558DE5BDBF16}"/>
            </a:ext>
          </a:extLst>
        </xdr:cNvPr>
        <xdr:cNvSpPr/>
      </xdr:nvSpPr>
      <xdr:spPr>
        <a:xfrm>
          <a:off x="12506325" y="19735800"/>
          <a:ext cx="6080311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Узор №6</a:t>
          </a:r>
          <a:r>
            <a:rPr lang="ru-RU" sz="2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"Кресты"</a:t>
          </a:r>
          <a:endParaRPr lang="ru-RU" sz="2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  <a:p>
          <a:pPr algn="l"/>
          <a:endParaRPr lang="ru-RU" sz="2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15</xdr:col>
      <xdr:colOff>0</xdr:colOff>
      <xdr:row>149</xdr:row>
      <xdr:rowOff>0</xdr:rowOff>
    </xdr:from>
    <xdr:ext cx="6080311" cy="349752"/>
    <xdr:sp macro="" textlink="">
      <xdr:nvSpPr>
        <xdr:cNvPr id="11" name="Прямоугольник 10">
          <a:extLst>
            <a:ext uri="{FF2B5EF4-FFF2-40B4-BE49-F238E27FC236}">
              <a16:creationId xmlns:a16="http://schemas.microsoft.com/office/drawing/2014/main" id="{05C901CD-0FD9-4693-8D66-268CD2747D0A}"/>
            </a:ext>
          </a:extLst>
        </xdr:cNvPr>
        <xdr:cNvSpPr/>
      </xdr:nvSpPr>
      <xdr:spPr>
        <a:xfrm>
          <a:off x="12506325" y="28879800"/>
          <a:ext cx="6080311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Узор №9</a:t>
          </a:r>
          <a:r>
            <a:rPr lang="ru-RU" sz="2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"Горизонталь"</a:t>
          </a:r>
          <a:endParaRPr lang="ru-RU" sz="2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  <a:p>
          <a:pPr algn="l"/>
          <a:endParaRPr lang="ru-RU" sz="2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15</xdr:col>
      <xdr:colOff>0</xdr:colOff>
      <xdr:row>115</xdr:row>
      <xdr:rowOff>0</xdr:rowOff>
    </xdr:from>
    <xdr:ext cx="6080311" cy="349752"/>
    <xdr:sp macro="" textlink="">
      <xdr:nvSpPr>
        <xdr:cNvPr id="12" name="Прямоугольник 11">
          <a:extLst>
            <a:ext uri="{FF2B5EF4-FFF2-40B4-BE49-F238E27FC236}">
              <a16:creationId xmlns:a16="http://schemas.microsoft.com/office/drawing/2014/main" id="{40CF6011-79B7-4F95-B29E-5E0AFECE86B4}"/>
            </a:ext>
          </a:extLst>
        </xdr:cNvPr>
        <xdr:cNvSpPr/>
      </xdr:nvSpPr>
      <xdr:spPr>
        <a:xfrm>
          <a:off x="12506325" y="22402800"/>
          <a:ext cx="6080311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Узор №7</a:t>
          </a:r>
          <a:r>
            <a:rPr lang="ru-RU" sz="2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"Соты"</a:t>
          </a:r>
          <a:endParaRPr lang="ru-RU" sz="2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  <a:p>
          <a:pPr algn="l"/>
          <a:endParaRPr lang="ru-RU" sz="2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twoCellAnchor editAs="oneCell">
    <xdr:from>
      <xdr:col>0</xdr:col>
      <xdr:colOff>151040</xdr:colOff>
      <xdr:row>125</xdr:row>
      <xdr:rowOff>186418</xdr:rowOff>
    </xdr:from>
    <xdr:to>
      <xdr:col>2</xdr:col>
      <xdr:colOff>2208027</xdr:colOff>
      <xdr:row>141</xdr:row>
      <xdr:rowOff>18418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18D84237-304C-4BAE-A2E9-CB5D99CEC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1040" y="24494218"/>
          <a:ext cx="4924012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2265589</xdr:colOff>
      <xdr:row>125</xdr:row>
      <xdr:rowOff>114300</xdr:rowOff>
    </xdr:from>
    <xdr:to>
      <xdr:col>13</xdr:col>
      <xdr:colOff>422261</xdr:colOff>
      <xdr:row>140</xdr:row>
      <xdr:rowOff>136800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B7517DC9-63B1-469C-BDB0-2EB8167B0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32614" y="24422100"/>
          <a:ext cx="6576772" cy="2880000"/>
        </a:xfrm>
        <a:prstGeom prst="rect">
          <a:avLst/>
        </a:prstGeom>
      </xdr:spPr>
    </xdr:pic>
    <xdr:clientData/>
  </xdr:twoCellAnchor>
  <xdr:oneCellAnchor>
    <xdr:from>
      <xdr:col>15</xdr:col>
      <xdr:colOff>0</xdr:colOff>
      <xdr:row>132</xdr:row>
      <xdr:rowOff>0</xdr:rowOff>
    </xdr:from>
    <xdr:ext cx="6080311" cy="349752"/>
    <xdr:sp macro="" textlink="">
      <xdr:nvSpPr>
        <xdr:cNvPr id="15" name="Прямоугольник 14">
          <a:extLst>
            <a:ext uri="{FF2B5EF4-FFF2-40B4-BE49-F238E27FC236}">
              <a16:creationId xmlns:a16="http://schemas.microsoft.com/office/drawing/2014/main" id="{AC724507-426B-4F63-81DD-E3C9222F8596}"/>
            </a:ext>
          </a:extLst>
        </xdr:cNvPr>
        <xdr:cNvSpPr/>
      </xdr:nvSpPr>
      <xdr:spPr>
        <a:xfrm>
          <a:off x="12506325" y="25641300"/>
          <a:ext cx="6080311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Узор №8</a:t>
          </a:r>
          <a:r>
            <a:rPr lang="ru-RU" sz="2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"Квадраты"</a:t>
          </a:r>
          <a:endParaRPr lang="ru-RU" sz="2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  <a:p>
          <a:pPr algn="l"/>
          <a:endParaRPr lang="ru-RU" sz="2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0</xdr:col>
      <xdr:colOff>122464</xdr:colOff>
      <xdr:row>16</xdr:row>
      <xdr:rowOff>149678</xdr:rowOff>
    </xdr:from>
    <xdr:ext cx="4925786" cy="2880000"/>
    <xdr:pic>
      <xdr:nvPicPr>
        <xdr:cNvPr id="16" name="Рисунок 15">
          <a:extLst>
            <a:ext uri="{FF2B5EF4-FFF2-40B4-BE49-F238E27FC236}">
              <a16:creationId xmlns:a16="http://schemas.microsoft.com/office/drawing/2014/main" id="{C133A4EF-66F9-44E2-BE40-4516EC6ACF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387" r="1600"/>
        <a:stretch/>
      </xdr:blipFill>
      <xdr:spPr>
        <a:xfrm>
          <a:off x="122464" y="3692978"/>
          <a:ext cx="4925786" cy="2880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</xdr:col>
      <xdr:colOff>19050</xdr:colOff>
      <xdr:row>16</xdr:row>
      <xdr:rowOff>163286</xdr:rowOff>
    </xdr:from>
    <xdr:ext cx="6600825" cy="2880000"/>
    <xdr:pic>
      <xdr:nvPicPr>
        <xdr:cNvPr id="17" name="Рисунок 16">
          <a:extLst>
            <a:ext uri="{FF2B5EF4-FFF2-40B4-BE49-F238E27FC236}">
              <a16:creationId xmlns:a16="http://schemas.microsoft.com/office/drawing/2014/main" id="{2A18096B-8AAB-4735-9F3A-9A17910122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347" r="764"/>
        <a:stretch/>
      </xdr:blipFill>
      <xdr:spPr>
        <a:xfrm>
          <a:off x="5210175" y="3706586"/>
          <a:ext cx="6600825" cy="2880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15</xdr:col>
      <xdr:colOff>0</xdr:colOff>
      <xdr:row>23</xdr:row>
      <xdr:rowOff>0</xdr:rowOff>
    </xdr:from>
    <xdr:ext cx="6080311" cy="349752"/>
    <xdr:sp macro="" textlink="">
      <xdr:nvSpPr>
        <xdr:cNvPr id="18" name="Прямоугольник 17">
          <a:extLst>
            <a:ext uri="{FF2B5EF4-FFF2-40B4-BE49-F238E27FC236}">
              <a16:creationId xmlns:a16="http://schemas.microsoft.com/office/drawing/2014/main" id="{58E7DD56-E0F1-4C37-9542-A3E61E122691}"/>
            </a:ext>
          </a:extLst>
        </xdr:cNvPr>
        <xdr:cNvSpPr/>
      </xdr:nvSpPr>
      <xdr:spPr>
        <a:xfrm>
          <a:off x="12506325" y="4876800"/>
          <a:ext cx="6080311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Узор №1</a:t>
          </a:r>
          <a:r>
            <a:rPr lang="ru-RU" sz="2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"Вертикаль 1"</a:t>
          </a:r>
          <a:endParaRPr lang="ru-RU" sz="2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  <a:p>
          <a:pPr algn="l"/>
          <a:endParaRPr lang="ru-RU" sz="2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0</xdr:col>
      <xdr:colOff>95250</xdr:colOff>
      <xdr:row>32</xdr:row>
      <xdr:rowOff>54427</xdr:rowOff>
    </xdr:from>
    <xdr:ext cx="4966607" cy="2880000"/>
    <xdr:pic>
      <xdr:nvPicPr>
        <xdr:cNvPr id="19" name="Рисунок 18">
          <a:extLst>
            <a:ext uri="{FF2B5EF4-FFF2-40B4-BE49-F238E27FC236}">
              <a16:creationId xmlns:a16="http://schemas.microsoft.com/office/drawing/2014/main" id="{996CDB29-C6AE-4895-8852-3E95D1D3DA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1693"/>
        <a:stretch/>
      </xdr:blipFill>
      <xdr:spPr>
        <a:xfrm>
          <a:off x="95250" y="6645727"/>
          <a:ext cx="4966607" cy="2880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</xdr:col>
      <xdr:colOff>0</xdr:colOff>
      <xdr:row>32</xdr:row>
      <xdr:rowOff>40820</xdr:rowOff>
    </xdr:from>
    <xdr:ext cx="6619702" cy="2880000"/>
    <xdr:pic>
      <xdr:nvPicPr>
        <xdr:cNvPr id="20" name="Рисунок 19">
          <a:extLst>
            <a:ext uri="{FF2B5EF4-FFF2-40B4-BE49-F238E27FC236}">
              <a16:creationId xmlns:a16="http://schemas.microsoft.com/office/drawing/2014/main" id="{C01BDC26-5D98-4174-9ECB-777E478DA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91125" y="6632120"/>
          <a:ext cx="6619702" cy="2880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15</xdr:col>
      <xdr:colOff>0</xdr:colOff>
      <xdr:row>39</xdr:row>
      <xdr:rowOff>0</xdr:rowOff>
    </xdr:from>
    <xdr:ext cx="6080311" cy="349752"/>
    <xdr:sp macro="" textlink="">
      <xdr:nvSpPr>
        <xdr:cNvPr id="21" name="Прямоугольник 20">
          <a:extLst>
            <a:ext uri="{FF2B5EF4-FFF2-40B4-BE49-F238E27FC236}">
              <a16:creationId xmlns:a16="http://schemas.microsoft.com/office/drawing/2014/main" id="{06029C7E-F87D-4334-B65A-40A8BE194A53}"/>
            </a:ext>
          </a:extLst>
        </xdr:cNvPr>
        <xdr:cNvSpPr/>
      </xdr:nvSpPr>
      <xdr:spPr>
        <a:xfrm>
          <a:off x="12506325" y="7924800"/>
          <a:ext cx="6080311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Узор №2</a:t>
          </a:r>
          <a:r>
            <a:rPr lang="ru-RU" sz="2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"Вертикаль 2"</a:t>
          </a:r>
          <a:endParaRPr lang="ru-RU" sz="2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  <a:p>
          <a:pPr algn="l"/>
          <a:endParaRPr lang="ru-RU" sz="2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0</xdr:col>
      <xdr:colOff>163286</xdr:colOff>
      <xdr:row>47</xdr:row>
      <xdr:rowOff>163285</xdr:rowOff>
    </xdr:from>
    <xdr:ext cx="4921518" cy="2880000"/>
    <xdr:pic>
      <xdr:nvPicPr>
        <xdr:cNvPr id="22" name="Рисунок 21">
          <a:extLst>
            <a:ext uri="{FF2B5EF4-FFF2-40B4-BE49-F238E27FC236}">
              <a16:creationId xmlns:a16="http://schemas.microsoft.com/office/drawing/2014/main" id="{E62E55D7-1BA0-4C7B-BD97-055CD1B7D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3286" y="9612085"/>
          <a:ext cx="4921518" cy="2880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</xdr:col>
      <xdr:colOff>0</xdr:colOff>
      <xdr:row>47</xdr:row>
      <xdr:rowOff>136070</xdr:rowOff>
    </xdr:from>
    <xdr:ext cx="6613071" cy="2880000"/>
    <xdr:pic>
      <xdr:nvPicPr>
        <xdr:cNvPr id="23" name="Рисунок 22">
          <a:extLst>
            <a:ext uri="{FF2B5EF4-FFF2-40B4-BE49-F238E27FC236}">
              <a16:creationId xmlns:a16="http://schemas.microsoft.com/office/drawing/2014/main" id="{EFD7A6E8-4790-45B6-BEBF-9C41D150B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971" t="3216" r="2275" b="4446"/>
        <a:stretch/>
      </xdr:blipFill>
      <xdr:spPr>
        <a:xfrm>
          <a:off x="5191125" y="9584870"/>
          <a:ext cx="6613071" cy="2880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0</xdr:col>
      <xdr:colOff>123826</xdr:colOff>
      <xdr:row>63</xdr:row>
      <xdr:rowOff>62591</xdr:rowOff>
    </xdr:from>
    <xdr:ext cx="4953000" cy="2880000"/>
    <xdr:pic>
      <xdr:nvPicPr>
        <xdr:cNvPr id="24" name="Рисунок 23">
          <a:extLst>
            <a:ext uri="{FF2B5EF4-FFF2-40B4-BE49-F238E27FC236}">
              <a16:creationId xmlns:a16="http://schemas.microsoft.com/office/drawing/2014/main" id="{9CF6144D-F55D-40C3-923C-DDCA04FA88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580" r="902"/>
        <a:stretch/>
      </xdr:blipFill>
      <xdr:spPr>
        <a:xfrm>
          <a:off x="123826" y="12559391"/>
          <a:ext cx="4953000" cy="2880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</xdr:col>
      <xdr:colOff>27214</xdr:colOff>
      <xdr:row>63</xdr:row>
      <xdr:rowOff>68036</xdr:rowOff>
    </xdr:from>
    <xdr:ext cx="6755335" cy="2880000"/>
    <xdr:pic>
      <xdr:nvPicPr>
        <xdr:cNvPr id="25" name="Рисунок 24">
          <a:extLst>
            <a:ext uri="{FF2B5EF4-FFF2-40B4-BE49-F238E27FC236}">
              <a16:creationId xmlns:a16="http://schemas.microsoft.com/office/drawing/2014/main" id="{A8C94460-D364-4778-A661-C42C52B161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-1" r="-2721"/>
        <a:stretch/>
      </xdr:blipFill>
      <xdr:spPr>
        <a:xfrm>
          <a:off x="5218339" y="12564836"/>
          <a:ext cx="6755335" cy="2880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15</xdr:col>
      <xdr:colOff>0</xdr:colOff>
      <xdr:row>54</xdr:row>
      <xdr:rowOff>0</xdr:rowOff>
    </xdr:from>
    <xdr:ext cx="6080311" cy="349752"/>
    <xdr:sp macro="" textlink="">
      <xdr:nvSpPr>
        <xdr:cNvPr id="26" name="Прямоугольник 25">
          <a:extLst>
            <a:ext uri="{FF2B5EF4-FFF2-40B4-BE49-F238E27FC236}">
              <a16:creationId xmlns:a16="http://schemas.microsoft.com/office/drawing/2014/main" id="{666CB7B2-DBCE-4F14-90C9-B8021B8C3754}"/>
            </a:ext>
          </a:extLst>
        </xdr:cNvPr>
        <xdr:cNvSpPr/>
      </xdr:nvSpPr>
      <xdr:spPr>
        <a:xfrm>
          <a:off x="12506325" y="10782300"/>
          <a:ext cx="6080311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Узор №3</a:t>
          </a:r>
          <a:r>
            <a:rPr lang="ru-RU" sz="2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"Вертикаль 3"</a:t>
          </a:r>
          <a:endParaRPr lang="ru-RU" sz="2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  <a:p>
          <a:pPr algn="l"/>
          <a:endParaRPr lang="ru-RU" sz="2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15</xdr:col>
      <xdr:colOff>0</xdr:colOff>
      <xdr:row>69</xdr:row>
      <xdr:rowOff>0</xdr:rowOff>
    </xdr:from>
    <xdr:ext cx="6080311" cy="349752"/>
    <xdr:sp macro="" textlink="">
      <xdr:nvSpPr>
        <xdr:cNvPr id="27" name="Прямоугольник 26">
          <a:extLst>
            <a:ext uri="{FF2B5EF4-FFF2-40B4-BE49-F238E27FC236}">
              <a16:creationId xmlns:a16="http://schemas.microsoft.com/office/drawing/2014/main" id="{30C994DB-5AF7-4976-9217-BB7147E8838C}"/>
            </a:ext>
          </a:extLst>
        </xdr:cNvPr>
        <xdr:cNvSpPr/>
      </xdr:nvSpPr>
      <xdr:spPr>
        <a:xfrm>
          <a:off x="12506325" y="13639800"/>
          <a:ext cx="6080311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Узор №4</a:t>
          </a:r>
          <a:r>
            <a:rPr lang="ru-RU" sz="2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"Решетка"</a:t>
          </a:r>
          <a:endParaRPr lang="ru-RU" sz="2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  <a:p>
          <a:pPr algn="l"/>
          <a:endParaRPr lang="ru-RU" sz="2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0</xdr:col>
      <xdr:colOff>204107</xdr:colOff>
      <xdr:row>79</xdr:row>
      <xdr:rowOff>54428</xdr:rowOff>
    </xdr:from>
    <xdr:ext cx="4819677" cy="2880000"/>
    <xdr:pic>
      <xdr:nvPicPr>
        <xdr:cNvPr id="28" name="Рисунок 27">
          <a:extLst>
            <a:ext uri="{FF2B5EF4-FFF2-40B4-BE49-F238E27FC236}">
              <a16:creationId xmlns:a16="http://schemas.microsoft.com/office/drawing/2014/main" id="{CA4606C0-DC2A-4FBD-8CA1-DB5E590D9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4107" y="15599228"/>
          <a:ext cx="4819677" cy="2880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</xdr:col>
      <xdr:colOff>0</xdr:colOff>
      <xdr:row>79</xdr:row>
      <xdr:rowOff>81640</xdr:rowOff>
    </xdr:from>
    <xdr:ext cx="6531428" cy="2880000"/>
    <xdr:pic>
      <xdr:nvPicPr>
        <xdr:cNvPr id="29" name="Рисунок 28">
          <a:extLst>
            <a:ext uri="{FF2B5EF4-FFF2-40B4-BE49-F238E27FC236}">
              <a16:creationId xmlns:a16="http://schemas.microsoft.com/office/drawing/2014/main" id="{23ABD7D7-D314-4412-BB51-2355ABC931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3307" r="1289"/>
        <a:stretch/>
      </xdr:blipFill>
      <xdr:spPr>
        <a:xfrm>
          <a:off x="5191125" y="15626440"/>
          <a:ext cx="6531428" cy="2880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15</xdr:col>
      <xdr:colOff>0</xdr:colOff>
      <xdr:row>86</xdr:row>
      <xdr:rowOff>0</xdr:rowOff>
    </xdr:from>
    <xdr:ext cx="6080311" cy="349752"/>
    <xdr:sp macro="" textlink="">
      <xdr:nvSpPr>
        <xdr:cNvPr id="30" name="Прямоугольник 29">
          <a:extLst>
            <a:ext uri="{FF2B5EF4-FFF2-40B4-BE49-F238E27FC236}">
              <a16:creationId xmlns:a16="http://schemas.microsoft.com/office/drawing/2014/main" id="{2766EA5B-AC82-4090-8045-C2024C9BCF79}"/>
            </a:ext>
          </a:extLst>
        </xdr:cNvPr>
        <xdr:cNvSpPr/>
      </xdr:nvSpPr>
      <xdr:spPr>
        <a:xfrm>
          <a:off x="12506325" y="16878300"/>
          <a:ext cx="6080311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Узор №5</a:t>
          </a:r>
          <a:r>
            <a:rPr lang="ru-RU" sz="2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"Круги"</a:t>
          </a:r>
          <a:endParaRPr lang="ru-RU" sz="2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  <a:p>
          <a:pPr algn="l"/>
          <a:endParaRPr lang="ru-RU" sz="2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0</xdr:col>
      <xdr:colOff>206829</xdr:colOff>
      <xdr:row>157</xdr:row>
      <xdr:rowOff>17689</xdr:rowOff>
    </xdr:from>
    <xdr:ext cx="4871357" cy="2880000"/>
    <xdr:pic>
      <xdr:nvPicPr>
        <xdr:cNvPr id="31" name="Рисунок 30">
          <a:extLst>
            <a:ext uri="{FF2B5EF4-FFF2-40B4-BE49-F238E27FC236}">
              <a16:creationId xmlns:a16="http://schemas.microsoft.com/office/drawing/2014/main" id="{C2F9C434-F7F9-4BB2-9EA6-52F4A19914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3541" r="4392"/>
        <a:stretch/>
      </xdr:blipFill>
      <xdr:spPr>
        <a:xfrm>
          <a:off x="206829" y="30421489"/>
          <a:ext cx="4871357" cy="2880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</xdr:col>
      <xdr:colOff>0</xdr:colOff>
      <xdr:row>157</xdr:row>
      <xdr:rowOff>40822</xdr:rowOff>
    </xdr:from>
    <xdr:ext cx="6504215" cy="2880000"/>
    <xdr:pic>
      <xdr:nvPicPr>
        <xdr:cNvPr id="32" name="Рисунок 31">
          <a:extLst>
            <a:ext uri="{FF2B5EF4-FFF2-40B4-BE49-F238E27FC236}">
              <a16:creationId xmlns:a16="http://schemas.microsoft.com/office/drawing/2014/main" id="{2A18E3C8-6B2F-43F7-8069-352B65EB16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012" t="3780" r="2182" b="2670"/>
        <a:stretch/>
      </xdr:blipFill>
      <xdr:spPr>
        <a:xfrm>
          <a:off x="5191125" y="30444622"/>
          <a:ext cx="6504215" cy="2880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14</xdr:col>
      <xdr:colOff>435427</xdr:colOff>
      <xdr:row>162</xdr:row>
      <xdr:rowOff>122465</xdr:rowOff>
    </xdr:from>
    <xdr:ext cx="6080311" cy="349752"/>
    <xdr:sp macro="" textlink="">
      <xdr:nvSpPr>
        <xdr:cNvPr id="33" name="Прямоугольник 32">
          <a:extLst>
            <a:ext uri="{FF2B5EF4-FFF2-40B4-BE49-F238E27FC236}">
              <a16:creationId xmlns:a16="http://schemas.microsoft.com/office/drawing/2014/main" id="{0B3F03D6-3552-4F69-8275-ED04162ED2BC}"/>
            </a:ext>
          </a:extLst>
        </xdr:cNvPr>
        <xdr:cNvSpPr/>
      </xdr:nvSpPr>
      <xdr:spPr>
        <a:xfrm>
          <a:off x="12332152" y="31478765"/>
          <a:ext cx="6080311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Узор №10</a:t>
          </a:r>
          <a:r>
            <a:rPr lang="ru-RU" sz="2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"Треугольники"</a:t>
          </a:r>
          <a:endParaRPr lang="ru-RU" sz="2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  <a:p>
          <a:pPr algn="l"/>
          <a:endParaRPr lang="ru-RU" sz="2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twoCellAnchor editAs="oneCell">
    <xdr:from>
      <xdr:col>0</xdr:col>
      <xdr:colOff>78441</xdr:colOff>
      <xdr:row>173</xdr:row>
      <xdr:rowOff>0</xdr:rowOff>
    </xdr:from>
    <xdr:to>
      <xdr:col>2</xdr:col>
      <xdr:colOff>2229829</xdr:colOff>
      <xdr:row>188</xdr:row>
      <xdr:rowOff>22500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C616F730-B97C-4128-8825-3FCC447DD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441" y="33642300"/>
          <a:ext cx="5018413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2308413</xdr:colOff>
      <xdr:row>172</xdr:row>
      <xdr:rowOff>145677</xdr:rowOff>
    </xdr:from>
    <xdr:to>
      <xdr:col>13</xdr:col>
      <xdr:colOff>540384</xdr:colOff>
      <xdr:row>187</xdr:row>
      <xdr:rowOff>168177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2F5F4DFD-5336-4FC6-874A-C716C64BE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75438" y="33597477"/>
          <a:ext cx="6652071" cy="2880000"/>
        </a:xfrm>
        <a:prstGeom prst="rect">
          <a:avLst/>
        </a:prstGeom>
      </xdr:spPr>
    </xdr:pic>
    <xdr:clientData/>
  </xdr:twoCellAnchor>
  <xdr:oneCellAnchor>
    <xdr:from>
      <xdr:col>15</xdr:col>
      <xdr:colOff>0</xdr:colOff>
      <xdr:row>178</xdr:row>
      <xdr:rowOff>0</xdr:rowOff>
    </xdr:from>
    <xdr:ext cx="6080311" cy="349752"/>
    <xdr:sp macro="" textlink="">
      <xdr:nvSpPr>
        <xdr:cNvPr id="36" name="Прямоугольник 35">
          <a:extLst>
            <a:ext uri="{FF2B5EF4-FFF2-40B4-BE49-F238E27FC236}">
              <a16:creationId xmlns:a16="http://schemas.microsoft.com/office/drawing/2014/main" id="{FEF15A51-D369-4564-83E0-9370F08DA668}"/>
            </a:ext>
          </a:extLst>
        </xdr:cNvPr>
        <xdr:cNvSpPr/>
      </xdr:nvSpPr>
      <xdr:spPr>
        <a:xfrm>
          <a:off x="12506325" y="34594800"/>
          <a:ext cx="6080311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Узор "Без узора"</a:t>
          </a:r>
        </a:p>
        <a:p>
          <a:pPr algn="l"/>
          <a:endParaRPr lang="ru-RU" sz="2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1</xdr:col>
      <xdr:colOff>1299882</xdr:colOff>
      <xdr:row>188</xdr:row>
      <xdr:rowOff>112059</xdr:rowOff>
    </xdr:from>
    <xdr:ext cx="7631206" cy="369794"/>
    <xdr:sp macro="" textlink="">
      <xdr:nvSpPr>
        <xdr:cNvPr id="37" name="Прямоугольник 36">
          <a:extLst>
            <a:ext uri="{FF2B5EF4-FFF2-40B4-BE49-F238E27FC236}">
              <a16:creationId xmlns:a16="http://schemas.microsoft.com/office/drawing/2014/main" id="{BFA5DB70-7633-4659-B06E-C56D36209E32}"/>
            </a:ext>
          </a:extLst>
        </xdr:cNvPr>
        <xdr:cNvSpPr/>
      </xdr:nvSpPr>
      <xdr:spPr>
        <a:xfrm>
          <a:off x="1909482" y="36611859"/>
          <a:ext cx="7631206" cy="369794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Исполнения узоров  декоративных</a:t>
          </a:r>
          <a:r>
            <a:rPr lang="ru-RU" sz="2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крышек</a:t>
          </a:r>
          <a:endParaRPr lang="ru-RU" sz="2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twoCellAnchor editAs="oneCell">
    <xdr:from>
      <xdr:col>0</xdr:col>
      <xdr:colOff>224119</xdr:colOff>
      <xdr:row>207</xdr:row>
      <xdr:rowOff>168088</xdr:rowOff>
    </xdr:from>
    <xdr:to>
      <xdr:col>3</xdr:col>
      <xdr:colOff>271616</xdr:colOff>
      <xdr:row>223</xdr:row>
      <xdr:rowOff>88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43F9C69F-5BFD-4B4E-9457-53B89ED0C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4119" y="40287388"/>
          <a:ext cx="5238622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192</xdr:row>
      <xdr:rowOff>22411</xdr:rowOff>
    </xdr:from>
    <xdr:to>
      <xdr:col>3</xdr:col>
      <xdr:colOff>308054</xdr:colOff>
      <xdr:row>207</xdr:row>
      <xdr:rowOff>44911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C586281B-F0BD-4ADB-80AF-E1EFEE215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37284211"/>
          <a:ext cx="5308679" cy="2880000"/>
        </a:xfrm>
        <a:prstGeom prst="rect">
          <a:avLst/>
        </a:prstGeom>
      </xdr:spPr>
    </xdr:pic>
    <xdr:clientData/>
  </xdr:twoCellAnchor>
  <xdr:oneCellAnchor>
    <xdr:from>
      <xdr:col>4</xdr:col>
      <xdr:colOff>515470</xdr:colOff>
      <xdr:row>197</xdr:row>
      <xdr:rowOff>89647</xdr:rowOff>
    </xdr:from>
    <xdr:ext cx="6080311" cy="349752"/>
    <xdr:sp macro="" textlink="">
      <xdr:nvSpPr>
        <xdr:cNvPr id="40" name="Прямоугольник 39">
          <a:extLst>
            <a:ext uri="{FF2B5EF4-FFF2-40B4-BE49-F238E27FC236}">
              <a16:creationId xmlns:a16="http://schemas.microsoft.com/office/drawing/2014/main" id="{70E39BF1-7F7F-4480-880E-D7C6E9C5C1EF}"/>
            </a:ext>
          </a:extLst>
        </xdr:cNvPr>
        <xdr:cNvSpPr/>
      </xdr:nvSpPr>
      <xdr:spPr>
        <a:xfrm>
          <a:off x="6316195" y="38303947"/>
          <a:ext cx="6080311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Прямое исполнение</a:t>
          </a:r>
        </a:p>
      </xdr:txBody>
    </xdr:sp>
    <xdr:clientData/>
  </xdr:oneCellAnchor>
  <xdr:oneCellAnchor>
    <xdr:from>
      <xdr:col>4</xdr:col>
      <xdr:colOff>593912</xdr:colOff>
      <xdr:row>214</xdr:row>
      <xdr:rowOff>0</xdr:rowOff>
    </xdr:from>
    <xdr:ext cx="6080311" cy="349752"/>
    <xdr:sp macro="" textlink="">
      <xdr:nvSpPr>
        <xdr:cNvPr id="41" name="Прямоугольник 40">
          <a:extLst>
            <a:ext uri="{FF2B5EF4-FFF2-40B4-BE49-F238E27FC236}">
              <a16:creationId xmlns:a16="http://schemas.microsoft.com/office/drawing/2014/main" id="{EDD047E5-3D70-413F-BD09-CDD5C6244D01}"/>
            </a:ext>
          </a:extLst>
        </xdr:cNvPr>
        <xdr:cNvSpPr/>
      </xdr:nvSpPr>
      <xdr:spPr>
        <a:xfrm>
          <a:off x="6394637" y="41452800"/>
          <a:ext cx="6080311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Угловое исполнение короткое</a:t>
          </a:r>
        </a:p>
      </xdr:txBody>
    </xdr:sp>
    <xdr:clientData/>
  </xdr:oneCellAnchor>
  <xdr:twoCellAnchor editAs="oneCell">
    <xdr:from>
      <xdr:col>0</xdr:col>
      <xdr:colOff>212912</xdr:colOff>
      <xdr:row>223</xdr:row>
      <xdr:rowOff>123265</xdr:rowOff>
    </xdr:from>
    <xdr:to>
      <xdr:col>3</xdr:col>
      <xdr:colOff>253096</xdr:colOff>
      <xdr:row>238</xdr:row>
      <xdr:rowOff>145765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00D77B5F-DEE6-4F94-901F-EDB4FC7B9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2912" y="43290565"/>
          <a:ext cx="5231309" cy="2880000"/>
        </a:xfrm>
        <a:prstGeom prst="rect">
          <a:avLst/>
        </a:prstGeom>
      </xdr:spPr>
    </xdr:pic>
    <xdr:clientData/>
  </xdr:twoCellAnchor>
  <xdr:oneCellAnchor>
    <xdr:from>
      <xdr:col>5</xdr:col>
      <xdr:colOff>11206</xdr:colOff>
      <xdr:row>228</xdr:row>
      <xdr:rowOff>179294</xdr:rowOff>
    </xdr:from>
    <xdr:ext cx="6080311" cy="349752"/>
    <xdr:sp macro="" textlink="">
      <xdr:nvSpPr>
        <xdr:cNvPr id="43" name="Прямоугольник 42">
          <a:extLst>
            <a:ext uri="{FF2B5EF4-FFF2-40B4-BE49-F238E27FC236}">
              <a16:creationId xmlns:a16="http://schemas.microsoft.com/office/drawing/2014/main" id="{294A953A-B075-4F86-BC30-F1D30E42C974}"/>
            </a:ext>
          </a:extLst>
        </xdr:cNvPr>
        <xdr:cNvSpPr/>
      </xdr:nvSpPr>
      <xdr:spPr>
        <a:xfrm>
          <a:off x="6421531" y="44299094"/>
          <a:ext cx="6080311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Угловое исполнение длинное </a:t>
          </a:r>
        </a:p>
      </xdr:txBody>
    </xdr:sp>
    <xdr:clientData/>
  </xdr:oneCellAnchor>
  <xdr:twoCellAnchor editAs="oneCell">
    <xdr:from>
      <xdr:col>0</xdr:col>
      <xdr:colOff>224118</xdr:colOff>
      <xdr:row>239</xdr:row>
      <xdr:rowOff>22412</xdr:rowOff>
    </xdr:from>
    <xdr:to>
      <xdr:col>3</xdr:col>
      <xdr:colOff>223551</xdr:colOff>
      <xdr:row>254</xdr:row>
      <xdr:rowOff>44912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C2970EE6-2233-4EDE-B0FB-49111173F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4118" y="46237712"/>
          <a:ext cx="5190558" cy="2880000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245</xdr:row>
      <xdr:rowOff>0</xdr:rowOff>
    </xdr:from>
    <xdr:ext cx="6080311" cy="349752"/>
    <xdr:sp macro="" textlink="">
      <xdr:nvSpPr>
        <xdr:cNvPr id="45" name="Прямоугольник 44">
          <a:extLst>
            <a:ext uri="{FF2B5EF4-FFF2-40B4-BE49-F238E27FC236}">
              <a16:creationId xmlns:a16="http://schemas.microsoft.com/office/drawing/2014/main" id="{1589DDE4-5733-4071-9E3A-3082830DCD91}"/>
            </a:ext>
          </a:extLst>
        </xdr:cNvPr>
        <xdr:cNvSpPr/>
      </xdr:nvSpPr>
      <xdr:spPr>
        <a:xfrm>
          <a:off x="6410325" y="47358300"/>
          <a:ext cx="6080311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Прямое исполнение под колонну</a:t>
          </a:r>
        </a:p>
      </xdr:txBody>
    </xdr:sp>
    <xdr:clientData/>
  </xdr:oneCellAnchor>
  <xdr:twoCellAnchor editAs="oneCell">
    <xdr:from>
      <xdr:col>0</xdr:col>
      <xdr:colOff>291353</xdr:colOff>
      <xdr:row>255</xdr:row>
      <xdr:rowOff>22412</xdr:rowOff>
    </xdr:from>
    <xdr:to>
      <xdr:col>3</xdr:col>
      <xdr:colOff>232865</xdr:colOff>
      <xdr:row>270</xdr:row>
      <xdr:rowOff>44912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27275986-976A-46AF-9202-951F2738C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91353" y="49285712"/>
          <a:ext cx="5132637" cy="2880000"/>
        </a:xfrm>
        <a:prstGeom prst="rect">
          <a:avLst/>
        </a:prstGeom>
      </xdr:spPr>
    </xdr:pic>
    <xdr:clientData/>
  </xdr:twoCellAnchor>
  <xdr:oneCellAnchor>
    <xdr:from>
      <xdr:col>4</xdr:col>
      <xdr:colOff>582706</xdr:colOff>
      <xdr:row>260</xdr:row>
      <xdr:rowOff>168088</xdr:rowOff>
    </xdr:from>
    <xdr:ext cx="6080311" cy="349752"/>
    <xdr:sp macro="" textlink="">
      <xdr:nvSpPr>
        <xdr:cNvPr id="47" name="Прямоугольник 46">
          <a:extLst>
            <a:ext uri="{FF2B5EF4-FFF2-40B4-BE49-F238E27FC236}">
              <a16:creationId xmlns:a16="http://schemas.microsoft.com/office/drawing/2014/main" id="{EB227791-BC6C-4941-A011-88D09E3214A7}"/>
            </a:ext>
          </a:extLst>
        </xdr:cNvPr>
        <xdr:cNvSpPr/>
      </xdr:nvSpPr>
      <xdr:spPr>
        <a:xfrm>
          <a:off x="6383431" y="50383888"/>
          <a:ext cx="6080311" cy="34975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Угловое исполнение под колонну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457199</xdr:colOff>
      <xdr:row>7</xdr:row>
      <xdr:rowOff>304799</xdr:rowOff>
    </xdr:from>
    <xdr:to>
      <xdr:col>5</xdr:col>
      <xdr:colOff>2190750</xdr:colOff>
      <xdr:row>7</xdr:row>
      <xdr:rowOff>1202270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39449" y="1866899"/>
          <a:ext cx="1733551" cy="897471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7</xdr:row>
      <xdr:rowOff>1047751</xdr:rowOff>
    </xdr:from>
    <xdr:to>
      <xdr:col>4</xdr:col>
      <xdr:colOff>2665281</xdr:colOff>
      <xdr:row>7</xdr:row>
      <xdr:rowOff>1508628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77500" y="2609851"/>
          <a:ext cx="2570031" cy="460877"/>
        </a:xfrm>
        <a:prstGeom prst="rect">
          <a:avLst/>
        </a:prstGeom>
      </xdr:spPr>
    </xdr:pic>
    <xdr:clientData/>
  </xdr:twoCellAnchor>
  <xdr:twoCellAnchor editAs="oneCell">
    <xdr:from>
      <xdr:col>3</xdr:col>
      <xdr:colOff>866775</xdr:colOff>
      <xdr:row>7</xdr:row>
      <xdr:rowOff>28575</xdr:rowOff>
    </xdr:from>
    <xdr:to>
      <xdr:col>3</xdr:col>
      <xdr:colOff>1762125</xdr:colOff>
      <xdr:row>7</xdr:row>
      <xdr:rowOff>923925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2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19775" y="1590675"/>
          <a:ext cx="895350" cy="895350"/>
        </a:xfrm>
        <a:prstGeom prst="rect">
          <a:avLst/>
        </a:prstGeom>
      </xdr:spPr>
    </xdr:pic>
    <xdr:clientData/>
  </xdr:twoCellAnchor>
  <xdr:twoCellAnchor editAs="oneCell">
    <xdr:from>
      <xdr:col>2</xdr:col>
      <xdr:colOff>859216</xdr:colOff>
      <xdr:row>7</xdr:row>
      <xdr:rowOff>619126</xdr:rowOff>
    </xdr:from>
    <xdr:to>
      <xdr:col>2</xdr:col>
      <xdr:colOff>1772884</xdr:colOff>
      <xdr:row>7</xdr:row>
      <xdr:rowOff>1095375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2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97591" y="1971676"/>
          <a:ext cx="913668" cy="476249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7</xdr:row>
      <xdr:rowOff>1019176</xdr:rowOff>
    </xdr:from>
    <xdr:to>
      <xdr:col>3</xdr:col>
      <xdr:colOff>2197796</xdr:colOff>
      <xdr:row>7</xdr:row>
      <xdr:rowOff>1494116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2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400675" y="2581276"/>
          <a:ext cx="1750121" cy="474940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685801</xdr:colOff>
      <xdr:row>7</xdr:row>
      <xdr:rowOff>85725</xdr:rowOff>
    </xdr:from>
    <xdr:to>
      <xdr:col>4</xdr:col>
      <xdr:colOff>2019301</xdr:colOff>
      <xdr:row>7</xdr:row>
      <xdr:rowOff>980878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8051" y="1647825"/>
          <a:ext cx="1333500" cy="895153"/>
        </a:xfrm>
        <a:prstGeom prst="rect">
          <a:avLst/>
        </a:prstGeom>
      </xdr:spPr>
    </xdr:pic>
    <xdr:clientData/>
  </xdr:twoCellAnchor>
  <xdr:oneCellAnchor>
    <xdr:from>
      <xdr:col>2</xdr:col>
      <xdr:colOff>836804</xdr:colOff>
      <xdr:row>130</xdr:row>
      <xdr:rowOff>545727</xdr:rowOff>
    </xdr:from>
    <xdr:ext cx="913668" cy="476249"/>
    <xdr:pic>
      <xdr:nvPicPr>
        <xdr:cNvPr id="23" name="Рисунок 22">
          <a:extLst>
            <a:ext uri="{FF2B5EF4-FFF2-40B4-BE49-F238E27FC236}">
              <a16:creationId xmlns:a16="http://schemas.microsoft.com/office/drawing/2014/main" id="{00000000-0008-0000-2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6775" y="31205021"/>
          <a:ext cx="913668" cy="476249"/>
        </a:xfrm>
        <a:prstGeom prst="rect">
          <a:avLst/>
        </a:prstGeom>
      </xdr:spPr>
    </xdr:pic>
    <xdr:clientData/>
  </xdr:oneCellAnchor>
  <xdr:oneCellAnchor>
    <xdr:from>
      <xdr:col>3</xdr:col>
      <xdr:colOff>481292</xdr:colOff>
      <xdr:row>130</xdr:row>
      <xdr:rowOff>601757</xdr:rowOff>
    </xdr:from>
    <xdr:ext cx="1750121" cy="474940"/>
    <xdr:pic>
      <xdr:nvPicPr>
        <xdr:cNvPr id="24" name="Рисунок 23">
          <a:extLst>
            <a:ext uri="{FF2B5EF4-FFF2-40B4-BE49-F238E27FC236}">
              <a16:creationId xmlns:a16="http://schemas.microsoft.com/office/drawing/2014/main" id="{00000000-0008-0000-2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423086" y="31261051"/>
          <a:ext cx="1750121" cy="474940"/>
        </a:xfrm>
        <a:prstGeom prst="rect">
          <a:avLst/>
        </a:prstGeom>
      </xdr:spPr>
    </xdr:pic>
    <xdr:clientData/>
  </xdr:oneCellAnchor>
  <xdr:oneCellAnchor>
    <xdr:from>
      <xdr:col>5</xdr:col>
      <xdr:colOff>457199</xdr:colOff>
      <xdr:row>69</xdr:row>
      <xdr:rowOff>304799</xdr:rowOff>
    </xdr:from>
    <xdr:ext cx="1733551" cy="897471"/>
    <xdr:pic>
      <xdr:nvPicPr>
        <xdr:cNvPr id="27" name="Рисунок 26">
          <a:extLst>
            <a:ext uri="{FF2B5EF4-FFF2-40B4-BE49-F238E27FC236}">
              <a16:creationId xmlns:a16="http://schemas.microsoft.com/office/drawing/2014/main" id="{56C35776-1566-42A4-B305-37BDAB20B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39449" y="16421099"/>
          <a:ext cx="1733551" cy="897471"/>
        </a:xfrm>
        <a:prstGeom prst="rect">
          <a:avLst/>
        </a:prstGeom>
      </xdr:spPr>
    </xdr:pic>
    <xdr:clientData/>
  </xdr:oneCellAnchor>
  <xdr:oneCellAnchor>
    <xdr:from>
      <xdr:col>4</xdr:col>
      <xdr:colOff>95250</xdr:colOff>
      <xdr:row>69</xdr:row>
      <xdr:rowOff>1047751</xdr:rowOff>
    </xdr:from>
    <xdr:ext cx="2570031" cy="460877"/>
    <xdr:pic>
      <xdr:nvPicPr>
        <xdr:cNvPr id="28" name="Рисунок 27">
          <a:extLst>
            <a:ext uri="{FF2B5EF4-FFF2-40B4-BE49-F238E27FC236}">
              <a16:creationId xmlns:a16="http://schemas.microsoft.com/office/drawing/2014/main" id="{9751FD33-3AF6-485B-B0D1-769917F62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62875" y="17164051"/>
          <a:ext cx="2570031" cy="460877"/>
        </a:xfrm>
        <a:prstGeom prst="rect">
          <a:avLst/>
        </a:prstGeom>
      </xdr:spPr>
    </xdr:pic>
    <xdr:clientData/>
  </xdr:oneCellAnchor>
  <xdr:oneCellAnchor>
    <xdr:from>
      <xdr:col>3</xdr:col>
      <xdr:colOff>866775</xdr:colOff>
      <xdr:row>69</xdr:row>
      <xdr:rowOff>28575</xdr:rowOff>
    </xdr:from>
    <xdr:ext cx="895350" cy="895350"/>
    <xdr:pic>
      <xdr:nvPicPr>
        <xdr:cNvPr id="29" name="Рисунок 28">
          <a:extLst>
            <a:ext uri="{FF2B5EF4-FFF2-40B4-BE49-F238E27FC236}">
              <a16:creationId xmlns:a16="http://schemas.microsoft.com/office/drawing/2014/main" id="{DEED14AA-8975-4009-920F-9FE893F6F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19775" y="16144875"/>
          <a:ext cx="895350" cy="895350"/>
        </a:xfrm>
        <a:prstGeom prst="rect">
          <a:avLst/>
        </a:prstGeom>
      </xdr:spPr>
    </xdr:pic>
    <xdr:clientData/>
  </xdr:oneCellAnchor>
  <xdr:oneCellAnchor>
    <xdr:from>
      <xdr:col>2</xdr:col>
      <xdr:colOff>859216</xdr:colOff>
      <xdr:row>69</xdr:row>
      <xdr:rowOff>619126</xdr:rowOff>
    </xdr:from>
    <xdr:ext cx="913668" cy="476249"/>
    <xdr:pic>
      <xdr:nvPicPr>
        <xdr:cNvPr id="30" name="Рисунок 29">
          <a:extLst>
            <a:ext uri="{FF2B5EF4-FFF2-40B4-BE49-F238E27FC236}">
              <a16:creationId xmlns:a16="http://schemas.microsoft.com/office/drawing/2014/main" id="{60E4F50B-265C-4963-8989-286657E23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97591" y="16735426"/>
          <a:ext cx="913668" cy="476249"/>
        </a:xfrm>
        <a:prstGeom prst="rect">
          <a:avLst/>
        </a:prstGeom>
      </xdr:spPr>
    </xdr:pic>
    <xdr:clientData/>
  </xdr:oneCellAnchor>
  <xdr:oneCellAnchor>
    <xdr:from>
      <xdr:col>3</xdr:col>
      <xdr:colOff>447675</xdr:colOff>
      <xdr:row>69</xdr:row>
      <xdr:rowOff>1019176</xdr:rowOff>
    </xdr:from>
    <xdr:ext cx="1750121" cy="474940"/>
    <xdr:pic>
      <xdr:nvPicPr>
        <xdr:cNvPr id="31" name="Рисунок 30">
          <a:extLst>
            <a:ext uri="{FF2B5EF4-FFF2-40B4-BE49-F238E27FC236}">
              <a16:creationId xmlns:a16="http://schemas.microsoft.com/office/drawing/2014/main" id="{C59DFAFF-CD04-4679-8521-1851F021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400675" y="17135476"/>
          <a:ext cx="1750121" cy="474940"/>
        </a:xfrm>
        <a:prstGeom prst="rect">
          <a:avLst/>
        </a:prstGeom>
      </xdr:spPr>
    </xdr:pic>
    <xdr:clientData/>
  </xdr:oneCellAnchor>
  <xdr:oneCellAnchor>
    <xdr:from>
      <xdr:col>4</xdr:col>
      <xdr:colOff>685801</xdr:colOff>
      <xdr:row>69</xdr:row>
      <xdr:rowOff>85725</xdr:rowOff>
    </xdr:from>
    <xdr:ext cx="1333500" cy="895153"/>
    <xdr:pic>
      <xdr:nvPicPr>
        <xdr:cNvPr id="32" name="Рисунок 31">
          <a:extLst>
            <a:ext uri="{FF2B5EF4-FFF2-40B4-BE49-F238E27FC236}">
              <a16:creationId xmlns:a16="http://schemas.microsoft.com/office/drawing/2014/main" id="{CBEBF79B-C494-48F3-954C-031303F8B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3426" y="16202025"/>
          <a:ext cx="1333500" cy="895153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485774</xdr:colOff>
      <xdr:row>3</xdr:row>
      <xdr:rowOff>647699</xdr:rowOff>
    </xdr:from>
    <xdr:to>
      <xdr:col>4</xdr:col>
      <xdr:colOff>2219325</xdr:colOff>
      <xdr:row>3</xdr:row>
      <xdr:rowOff>1545170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00000000-0008-0000-2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153399" y="1371599"/>
          <a:ext cx="1733551" cy="897471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3</xdr:row>
      <xdr:rowOff>504826</xdr:rowOff>
    </xdr:from>
    <xdr:to>
      <xdr:col>5</xdr:col>
      <xdr:colOff>2646231</xdr:colOff>
      <xdr:row>3</xdr:row>
      <xdr:rowOff>965703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00000000-0008-0000-2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58450" y="1228726"/>
          <a:ext cx="2570031" cy="460877"/>
        </a:xfrm>
        <a:prstGeom prst="rect">
          <a:avLst/>
        </a:prstGeom>
      </xdr:spPr>
    </xdr:pic>
    <xdr:clientData/>
  </xdr:twoCellAnchor>
  <xdr:twoCellAnchor editAs="oneCell">
    <xdr:from>
      <xdr:col>2</xdr:col>
      <xdr:colOff>885825</xdr:colOff>
      <xdr:row>3</xdr:row>
      <xdr:rowOff>628650</xdr:rowOff>
    </xdr:from>
    <xdr:to>
      <xdr:col>2</xdr:col>
      <xdr:colOff>1781175</xdr:colOff>
      <xdr:row>3</xdr:row>
      <xdr:rowOff>1524000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00000000-0008-0000-2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24200" y="1352550"/>
          <a:ext cx="895350" cy="895350"/>
        </a:xfrm>
        <a:prstGeom prst="rect">
          <a:avLst/>
        </a:prstGeom>
      </xdr:spPr>
    </xdr:pic>
    <xdr:clientData/>
  </xdr:twoCellAnchor>
  <xdr:twoCellAnchor editAs="oneCell">
    <xdr:from>
      <xdr:col>2</xdr:col>
      <xdr:colOff>887791</xdr:colOff>
      <xdr:row>3</xdr:row>
      <xdr:rowOff>57151</xdr:rowOff>
    </xdr:from>
    <xdr:to>
      <xdr:col>2</xdr:col>
      <xdr:colOff>1801459</xdr:colOff>
      <xdr:row>3</xdr:row>
      <xdr:rowOff>533400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00000000-0008-0000-2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26166" y="781051"/>
          <a:ext cx="913668" cy="476249"/>
        </a:xfrm>
        <a:prstGeom prst="rect">
          <a:avLst/>
        </a:prstGeom>
      </xdr:spPr>
    </xdr:pic>
    <xdr:clientData/>
  </xdr:twoCellAnchor>
  <xdr:twoCellAnchor editAs="oneCell">
    <xdr:from>
      <xdr:col>4</xdr:col>
      <xdr:colOff>485775</xdr:colOff>
      <xdr:row>3</xdr:row>
      <xdr:rowOff>76201</xdr:rowOff>
    </xdr:from>
    <xdr:to>
      <xdr:col>4</xdr:col>
      <xdr:colOff>2235896</xdr:colOff>
      <xdr:row>3</xdr:row>
      <xdr:rowOff>551141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00000000-0008-0000-2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153400" y="800101"/>
          <a:ext cx="1750121" cy="474940"/>
        </a:xfrm>
        <a:prstGeom prst="rect">
          <a:avLst/>
        </a:prstGeom>
      </xdr:spPr>
    </xdr:pic>
    <xdr:clientData/>
  </xdr:twoCellAnchor>
  <xdr:twoCellAnchor editAs="oneCell">
    <xdr:from>
      <xdr:col>3</xdr:col>
      <xdr:colOff>723901</xdr:colOff>
      <xdr:row>3</xdr:row>
      <xdr:rowOff>323850</xdr:rowOff>
    </xdr:from>
    <xdr:to>
      <xdr:col>3</xdr:col>
      <xdr:colOff>2057401</xdr:colOff>
      <xdr:row>3</xdr:row>
      <xdr:rowOff>1219003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00000000-0008-0000-2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6901" y="1047750"/>
          <a:ext cx="1333500" cy="895153"/>
        </a:xfrm>
        <a:prstGeom prst="rect">
          <a:avLst/>
        </a:prstGeom>
      </xdr:spPr>
    </xdr:pic>
    <xdr:clientData/>
  </xdr:twoCellAnchor>
  <xdr:twoCellAnchor editAs="oneCell">
    <xdr:from>
      <xdr:col>2</xdr:col>
      <xdr:colOff>847727</xdr:colOff>
      <xdr:row>5</xdr:row>
      <xdr:rowOff>57150</xdr:rowOff>
    </xdr:from>
    <xdr:to>
      <xdr:col>2</xdr:col>
      <xdr:colOff>1932173</xdr:colOff>
      <xdr:row>5</xdr:row>
      <xdr:rowOff>1527500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00000000-0008-0000-27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3086102" y="2800350"/>
          <a:ext cx="1084446" cy="1470350"/>
        </a:xfrm>
        <a:prstGeom prst="rect">
          <a:avLst/>
        </a:prstGeom>
      </xdr:spPr>
    </xdr:pic>
    <xdr:clientData/>
  </xdr:twoCellAnchor>
  <xdr:twoCellAnchor editAs="oneCell">
    <xdr:from>
      <xdr:col>3</xdr:col>
      <xdr:colOff>740551</xdr:colOff>
      <xdr:row>5</xdr:row>
      <xdr:rowOff>97636</xdr:rowOff>
    </xdr:from>
    <xdr:to>
      <xdr:col>3</xdr:col>
      <xdr:colOff>1900276</xdr:colOff>
      <xdr:row>5</xdr:row>
      <xdr:rowOff>1564557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00000000-0008-0000-2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5693551" y="2840836"/>
          <a:ext cx="1159725" cy="1466921"/>
        </a:xfrm>
        <a:prstGeom prst="rect">
          <a:avLst/>
        </a:prstGeom>
      </xdr:spPr>
    </xdr:pic>
    <xdr:clientData/>
  </xdr:twoCellAnchor>
  <xdr:twoCellAnchor editAs="oneCell">
    <xdr:from>
      <xdr:col>4</xdr:col>
      <xdr:colOff>719100</xdr:colOff>
      <xdr:row>5</xdr:row>
      <xdr:rowOff>61076</xdr:rowOff>
    </xdr:from>
    <xdr:to>
      <xdr:col>4</xdr:col>
      <xdr:colOff>1878825</xdr:colOff>
      <xdr:row>5</xdr:row>
      <xdr:rowOff>1449759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00000000-0008-0000-2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8386725" y="2804276"/>
          <a:ext cx="1159725" cy="1388683"/>
        </a:xfrm>
        <a:prstGeom prst="rect">
          <a:avLst/>
        </a:prstGeom>
      </xdr:spPr>
    </xdr:pic>
    <xdr:clientData/>
  </xdr:twoCellAnchor>
  <xdr:twoCellAnchor editAs="oneCell">
    <xdr:from>
      <xdr:col>5</xdr:col>
      <xdr:colOff>783375</xdr:colOff>
      <xdr:row>5</xdr:row>
      <xdr:rowOff>152265</xdr:rowOff>
    </xdr:from>
    <xdr:to>
      <xdr:col>5</xdr:col>
      <xdr:colOff>1943100</xdr:colOff>
      <xdr:row>5</xdr:row>
      <xdr:rowOff>1361150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00000000-0008-0000-2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11165625" y="2895465"/>
          <a:ext cx="1159725" cy="1208885"/>
        </a:xfrm>
        <a:prstGeom prst="rect">
          <a:avLst/>
        </a:prstGeom>
      </xdr:spPr>
    </xdr:pic>
    <xdr:clientData/>
  </xdr:twoCellAnchor>
  <xdr:twoCellAnchor editAs="oneCell">
    <xdr:from>
      <xdr:col>2</xdr:col>
      <xdr:colOff>628650</xdr:colOff>
      <xdr:row>11</xdr:row>
      <xdr:rowOff>19050</xdr:rowOff>
    </xdr:from>
    <xdr:to>
      <xdr:col>2</xdr:col>
      <xdr:colOff>1939091</xdr:colOff>
      <xdr:row>11</xdr:row>
      <xdr:rowOff>1581150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00000000-0008-0000-27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flipH="1">
          <a:off x="2867025" y="5810250"/>
          <a:ext cx="1310441" cy="1562100"/>
        </a:xfrm>
        <a:prstGeom prst="rect">
          <a:avLst/>
        </a:prstGeom>
      </xdr:spPr>
    </xdr:pic>
    <xdr:clientData/>
  </xdr:twoCellAnchor>
  <xdr:twoCellAnchor editAs="oneCell">
    <xdr:from>
      <xdr:col>5</xdr:col>
      <xdr:colOff>396041</xdr:colOff>
      <xdr:row>11</xdr:row>
      <xdr:rowOff>19049</xdr:rowOff>
    </xdr:from>
    <xdr:to>
      <xdr:col>5</xdr:col>
      <xdr:colOff>2242539</xdr:colOff>
      <xdr:row>11</xdr:row>
      <xdr:rowOff>1553380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00000000-0008-0000-27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flipH="1">
          <a:off x="10778291" y="5810249"/>
          <a:ext cx="1846498" cy="1534331"/>
        </a:xfrm>
        <a:prstGeom prst="rect">
          <a:avLst/>
        </a:prstGeom>
      </xdr:spPr>
    </xdr:pic>
    <xdr:clientData/>
  </xdr:twoCellAnchor>
  <xdr:twoCellAnchor editAs="oneCell">
    <xdr:from>
      <xdr:col>3</xdr:col>
      <xdr:colOff>641488</xdr:colOff>
      <xdr:row>11</xdr:row>
      <xdr:rowOff>17944</xdr:rowOff>
    </xdr:from>
    <xdr:to>
      <xdr:col>3</xdr:col>
      <xdr:colOff>1967666</xdr:colOff>
      <xdr:row>11</xdr:row>
      <xdr:rowOff>1543049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00000000-0008-0000-27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flipH="1">
          <a:off x="5594488" y="5809144"/>
          <a:ext cx="1326178" cy="1525105"/>
        </a:xfrm>
        <a:prstGeom prst="rect">
          <a:avLst/>
        </a:prstGeom>
      </xdr:spPr>
    </xdr:pic>
    <xdr:clientData/>
  </xdr:twoCellAnchor>
  <xdr:twoCellAnchor editAs="oneCell">
    <xdr:from>
      <xdr:col>4</xdr:col>
      <xdr:colOff>615116</xdr:colOff>
      <xdr:row>11</xdr:row>
      <xdr:rowOff>67787</xdr:rowOff>
    </xdr:from>
    <xdr:to>
      <xdr:col>4</xdr:col>
      <xdr:colOff>1986716</xdr:colOff>
      <xdr:row>11</xdr:row>
      <xdr:rowOff>1533270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00000000-0008-0000-2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flipH="1">
          <a:off x="8282741" y="5858987"/>
          <a:ext cx="1371600" cy="1465483"/>
        </a:xfrm>
        <a:prstGeom prst="rect">
          <a:avLst/>
        </a:prstGeom>
      </xdr:spPr>
    </xdr:pic>
    <xdr:clientData/>
  </xdr:twoCellAnchor>
  <xdr:twoCellAnchor editAs="oneCell">
    <xdr:from>
      <xdr:col>2</xdr:col>
      <xdr:colOff>123265</xdr:colOff>
      <xdr:row>16</xdr:row>
      <xdr:rowOff>123264</xdr:rowOff>
    </xdr:from>
    <xdr:to>
      <xdr:col>2</xdr:col>
      <xdr:colOff>2613469</xdr:colOff>
      <xdr:row>23</xdr:row>
      <xdr:rowOff>104214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00000000-0008-0000-2700-00002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0320" t="24047" r="18645" b="18651"/>
        <a:stretch/>
      </xdr:blipFill>
      <xdr:spPr>
        <a:xfrm>
          <a:off x="2353236" y="15083117"/>
          <a:ext cx="2490204" cy="1314450"/>
        </a:xfrm>
        <a:prstGeom prst="rect">
          <a:avLst/>
        </a:prstGeom>
      </xdr:spPr>
    </xdr:pic>
    <xdr:clientData/>
  </xdr:twoCellAnchor>
  <xdr:twoCellAnchor editAs="oneCell">
    <xdr:from>
      <xdr:col>3</xdr:col>
      <xdr:colOff>148477</xdr:colOff>
      <xdr:row>17</xdr:row>
      <xdr:rowOff>821</xdr:rowOff>
    </xdr:from>
    <xdr:to>
      <xdr:col>3</xdr:col>
      <xdr:colOff>2322419</xdr:colOff>
      <xdr:row>23</xdr:row>
      <xdr:rowOff>31937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00000000-0008-0000-27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90271" y="15151174"/>
          <a:ext cx="2173942" cy="1174116"/>
        </a:xfrm>
        <a:prstGeom prst="rect">
          <a:avLst/>
        </a:prstGeom>
      </xdr:spPr>
    </xdr:pic>
    <xdr:clientData/>
  </xdr:twoCellAnchor>
  <xdr:twoCellAnchor editAs="oneCell">
    <xdr:from>
      <xdr:col>4</xdr:col>
      <xdr:colOff>170890</xdr:colOff>
      <xdr:row>16</xdr:row>
      <xdr:rowOff>126067</xdr:rowOff>
    </xdr:from>
    <xdr:to>
      <xdr:col>4</xdr:col>
      <xdr:colOff>2512919</xdr:colOff>
      <xdr:row>23</xdr:row>
      <xdr:rowOff>148800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00000000-0008-0000-27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24508" y="15085920"/>
          <a:ext cx="2342029" cy="135623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1143001</xdr:colOff>
      <xdr:row>4</xdr:row>
      <xdr:rowOff>190500</xdr:rowOff>
    </xdr:from>
    <xdr:to>
      <xdr:col>6</xdr:col>
      <xdr:colOff>2828925</xdr:colOff>
      <xdr:row>4</xdr:row>
      <xdr:rowOff>1876424</xdr:rowOff>
    </xdr:to>
    <xdr:pic>
      <xdr:nvPicPr>
        <xdr:cNvPr id="24" name="Рисунок 23" descr="https://www.scat-technology.ru/images/fans/tangencial/es-ee03061r24v-1.jpg">
          <a:extLst>
            <a:ext uri="{FF2B5EF4-FFF2-40B4-BE49-F238E27FC236}">
              <a16:creationId xmlns:a16="http://schemas.microsoft.com/office/drawing/2014/main" id="{00000000-0008-0000-28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06376" y="21126450"/>
          <a:ext cx="1685924" cy="1685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954181</xdr:colOff>
      <xdr:row>3</xdr:row>
      <xdr:rowOff>17369</xdr:rowOff>
    </xdr:from>
    <xdr:to>
      <xdr:col>6</xdr:col>
      <xdr:colOff>2859181</xdr:colOff>
      <xdr:row>3</xdr:row>
      <xdr:rowOff>1922369</xdr:rowOff>
    </xdr:to>
    <xdr:pic>
      <xdr:nvPicPr>
        <xdr:cNvPr id="25" name="Рисунок 24" descr="https://www.scat-technology.ru/images/fans/tangencial/es-ee03092r24v.jpg">
          <a:extLst>
            <a:ext uri="{FF2B5EF4-FFF2-40B4-BE49-F238E27FC236}">
              <a16:creationId xmlns:a16="http://schemas.microsoft.com/office/drawing/2014/main" id="{00000000-0008-0000-28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31563" y="1895531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1196230</xdr:colOff>
      <xdr:row>6</xdr:row>
      <xdr:rowOff>123265</xdr:rowOff>
    </xdr:from>
    <xdr:to>
      <xdr:col>6</xdr:col>
      <xdr:colOff>2958200</xdr:colOff>
      <xdr:row>6</xdr:row>
      <xdr:rowOff>1885235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73612" y="23050500"/>
          <a:ext cx="1761970" cy="1761970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12</xdr:row>
      <xdr:rowOff>47625</xdr:rowOff>
    </xdr:from>
    <xdr:to>
      <xdr:col>3</xdr:col>
      <xdr:colOff>613479</xdr:colOff>
      <xdr:row>12</xdr:row>
      <xdr:rowOff>1925731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71850" y="11087100"/>
          <a:ext cx="2518479" cy="1866900"/>
        </a:xfrm>
        <a:prstGeom prst="rect">
          <a:avLst/>
        </a:prstGeom>
      </xdr:spPr>
    </xdr:pic>
    <xdr:clientData/>
  </xdr:twoCellAnchor>
  <xdr:twoCellAnchor editAs="oneCell">
    <xdr:from>
      <xdr:col>6</xdr:col>
      <xdr:colOff>1154206</xdr:colOff>
      <xdr:row>5</xdr:row>
      <xdr:rowOff>381000</xdr:rowOff>
    </xdr:from>
    <xdr:to>
      <xdr:col>6</xdr:col>
      <xdr:colOff>3104030</xdr:colOff>
      <xdr:row>5</xdr:row>
      <xdr:rowOff>1683965</xdr:rowOff>
    </xdr:to>
    <xdr:pic>
      <xdr:nvPicPr>
        <xdr:cNvPr id="6" name="Рисунок 5" descr="Вентилятор ES-03035R24-V">
          <a:extLst>
            <a:ext uri="{FF2B5EF4-FFF2-40B4-BE49-F238E27FC236}">
              <a16:creationId xmlns:a16="http://schemas.microsoft.com/office/drawing/2014/main" id="{00000000-0008-0000-28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55" b="17727"/>
        <a:stretch/>
      </xdr:blipFill>
      <xdr:spPr bwMode="auto">
        <a:xfrm>
          <a:off x="13021235" y="5244353"/>
          <a:ext cx="1949824" cy="13029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795618</xdr:colOff>
      <xdr:row>7</xdr:row>
      <xdr:rowOff>425824</xdr:rowOff>
    </xdr:from>
    <xdr:to>
      <xdr:col>6</xdr:col>
      <xdr:colOff>3361930</xdr:colOff>
      <xdr:row>7</xdr:row>
      <xdr:rowOff>1680882</xdr:rowOff>
    </xdr:to>
    <xdr:pic>
      <xdr:nvPicPr>
        <xdr:cNvPr id="7" name="Рисунок 6" descr="https://www.sktech.ru/images/fans/tangencial/es-03029r23.jpg">
          <a:extLst>
            <a:ext uri="{FF2B5EF4-FFF2-40B4-BE49-F238E27FC236}">
              <a16:creationId xmlns:a16="http://schemas.microsoft.com/office/drawing/2014/main" id="{00000000-0008-0000-28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219" b="23302"/>
        <a:stretch/>
      </xdr:blipFill>
      <xdr:spPr bwMode="auto">
        <a:xfrm>
          <a:off x="12654243" y="9093574"/>
          <a:ext cx="2566312" cy="1255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105</xdr:row>
      <xdr:rowOff>123825</xdr:rowOff>
    </xdr:from>
    <xdr:to>
      <xdr:col>2</xdr:col>
      <xdr:colOff>709149</xdr:colOff>
      <xdr:row>105</xdr:row>
      <xdr:rowOff>1304925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38925" y="66798825"/>
          <a:ext cx="632949" cy="1181100"/>
        </a:xfrm>
        <a:prstGeom prst="rect">
          <a:avLst/>
        </a:prstGeom>
      </xdr:spPr>
    </xdr:pic>
    <xdr:clientData/>
  </xdr:twoCellAnchor>
  <xdr:twoCellAnchor editAs="oneCell">
    <xdr:from>
      <xdr:col>2</xdr:col>
      <xdr:colOff>781050</xdr:colOff>
      <xdr:row>105</xdr:row>
      <xdr:rowOff>123825</xdr:rowOff>
    </xdr:from>
    <xdr:to>
      <xdr:col>2</xdr:col>
      <xdr:colOff>1413999</xdr:colOff>
      <xdr:row>105</xdr:row>
      <xdr:rowOff>1304925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43775" y="66798825"/>
          <a:ext cx="632949" cy="1181100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1447800</xdr:colOff>
      <xdr:row>105</xdr:row>
      <xdr:rowOff>133350</xdr:rowOff>
    </xdr:from>
    <xdr:to>
      <xdr:col>2</xdr:col>
      <xdr:colOff>2080749</xdr:colOff>
      <xdr:row>105</xdr:row>
      <xdr:rowOff>1314450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2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10525" y="66808350"/>
          <a:ext cx="632949" cy="1181100"/>
        </a:xfrm>
        <a:prstGeom prst="rect">
          <a:avLst/>
        </a:prstGeom>
      </xdr:spPr>
    </xdr:pic>
    <xdr:clientData/>
  </xdr:twoCellAnchor>
  <xdr:oneCellAnchor>
    <xdr:from>
      <xdr:col>1</xdr:col>
      <xdr:colOff>322169</xdr:colOff>
      <xdr:row>105</xdr:row>
      <xdr:rowOff>387163</xdr:rowOff>
    </xdr:from>
    <xdr:ext cx="3886200" cy="676275"/>
    <xdr:sp macro="" textlink="">
      <xdr:nvSpPr>
        <xdr:cNvPr id="15" name="Прямоугольник 14">
          <a:extLst>
            <a:ext uri="{FF2B5EF4-FFF2-40B4-BE49-F238E27FC236}">
              <a16:creationId xmlns:a16="http://schemas.microsoft.com/office/drawing/2014/main" id="{00000000-0008-0000-2B00-00000F000000}"/>
            </a:ext>
          </a:extLst>
        </xdr:cNvPr>
        <xdr:cNvSpPr/>
      </xdr:nvSpPr>
      <xdr:spPr>
        <a:xfrm>
          <a:off x="2722469" y="67062163"/>
          <a:ext cx="3886200" cy="67627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r>
            <a:rPr lang="ru-RU" sz="1200">
              <a:effectLst/>
              <a:latin typeface="+mn-lt"/>
              <a:ea typeface="+mn-ea"/>
              <a:cs typeface="+mn-cs"/>
            </a:rPr>
            <a:t>Напряжение питания: ~230 В ±10%, 50 Гц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Максимальный ток нагрузки: 16 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Габариты (Ш×В×Г) : 18×90×65 мм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200" b="0" i="0" baseline="0"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200">
            <a:effectLst/>
            <a:latin typeface="+mj-lt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</a:t>
          </a:r>
          <a:endParaRPr lang="en-US" sz="12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1</xdr:col>
      <xdr:colOff>289754</xdr:colOff>
      <xdr:row>13</xdr:row>
      <xdr:rowOff>43222</xdr:rowOff>
    </xdr:from>
    <xdr:ext cx="3776384" cy="2431676"/>
    <xdr:sp macro="" textlink="">
      <xdr:nvSpPr>
        <xdr:cNvPr id="16" name="Прямоугольник 15">
          <a:extLst>
            <a:ext uri="{FF2B5EF4-FFF2-40B4-BE49-F238E27FC236}">
              <a16:creationId xmlns:a16="http://schemas.microsoft.com/office/drawing/2014/main" id="{00000000-0008-0000-2B00-000010000000}"/>
            </a:ext>
          </a:extLst>
        </xdr:cNvPr>
        <xdr:cNvSpPr/>
      </xdr:nvSpPr>
      <xdr:spPr>
        <a:xfrm>
          <a:off x="2690054" y="6091597"/>
          <a:ext cx="3776384" cy="2431676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r>
            <a:rPr lang="ru-RU" sz="1200">
              <a:effectLst/>
              <a:latin typeface="+mn-lt"/>
              <a:ea typeface="+mn-ea"/>
              <a:cs typeface="+mn-cs"/>
            </a:rPr>
            <a:t>Стеклянная сенсорная панель черного цвета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3 скорости вентилятора + АВТО режим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Недельное программирование температуры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Напряжение питания: ~230 В ±10%, 50 Гц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Потребляемая мощность: 0,5 В·А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Нагрузка 3-5 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Степень защиты: </a:t>
          </a:r>
          <a:r>
            <a:rPr lang="en-US" sz="1200">
              <a:effectLst/>
              <a:latin typeface="+mn-lt"/>
              <a:ea typeface="+mn-ea"/>
              <a:cs typeface="+mn-cs"/>
            </a:rPr>
            <a:t>IP</a:t>
          </a:r>
          <a:r>
            <a:rPr lang="ru-RU" sz="1200">
              <a:effectLst/>
              <a:latin typeface="+mn-lt"/>
              <a:ea typeface="+mn-ea"/>
              <a:cs typeface="+mn-cs"/>
            </a:rPr>
            <a:t>30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Температура эксплуатации: 0...+45°С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Габариты (Ш×В×Г) : 86×86×13,3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Монтажная высота: 1500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Для 2-х трубной системы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200" b="0" i="0" baseline="0"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200">
            <a:effectLst/>
            <a:latin typeface="+mj-lt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</a:t>
          </a:r>
          <a:endParaRPr lang="en-US" sz="12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1</xdr:col>
      <xdr:colOff>311444</xdr:colOff>
      <xdr:row>18</xdr:row>
      <xdr:rowOff>82282</xdr:rowOff>
    </xdr:from>
    <xdr:ext cx="3776384" cy="2431676"/>
    <xdr:sp macro="" textlink="">
      <xdr:nvSpPr>
        <xdr:cNvPr id="18" name="Прямоугольник 17">
          <a:extLst>
            <a:ext uri="{FF2B5EF4-FFF2-40B4-BE49-F238E27FC236}">
              <a16:creationId xmlns:a16="http://schemas.microsoft.com/office/drawing/2014/main" id="{00000000-0008-0000-2B00-000012000000}"/>
            </a:ext>
          </a:extLst>
        </xdr:cNvPr>
        <xdr:cNvSpPr/>
      </xdr:nvSpPr>
      <xdr:spPr>
        <a:xfrm>
          <a:off x="2711744" y="8559532"/>
          <a:ext cx="3776384" cy="2431676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r>
            <a:rPr lang="ru-RU" sz="1200">
              <a:effectLst/>
              <a:latin typeface="+mn-lt"/>
              <a:ea typeface="+mn-ea"/>
              <a:cs typeface="+mn-cs"/>
            </a:rPr>
            <a:t>Стеклянная сенсорная панель белого цвета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3 скорости вентилятора + АВТО режим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Недельное программирование температуры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Напряжение питания: ~230 В ±10%, 50 Гц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Потребляемая мощность: 0,5 В·А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Нагрузка 3-5 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Степень защиты: </a:t>
          </a:r>
          <a:r>
            <a:rPr lang="en-US" sz="1200">
              <a:effectLst/>
              <a:latin typeface="+mn-lt"/>
              <a:ea typeface="+mn-ea"/>
              <a:cs typeface="+mn-cs"/>
            </a:rPr>
            <a:t>IP</a:t>
          </a:r>
          <a:r>
            <a:rPr lang="ru-RU" sz="1200">
              <a:effectLst/>
              <a:latin typeface="+mn-lt"/>
              <a:ea typeface="+mn-ea"/>
              <a:cs typeface="+mn-cs"/>
            </a:rPr>
            <a:t>30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Температура эксплуатации: 0...+45°С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Габариты (Ш×В×Г) : 86×86×13,3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Монтажная высота: 1500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Для 2-х трубной системы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200" b="0" i="0" baseline="0"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200">
            <a:effectLst/>
            <a:latin typeface="+mj-lt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</a:t>
          </a:r>
          <a:endParaRPr lang="en-US" sz="12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1</xdr:col>
      <xdr:colOff>300959</xdr:colOff>
      <xdr:row>23</xdr:row>
      <xdr:rowOff>99252</xdr:rowOff>
    </xdr:from>
    <xdr:ext cx="3776384" cy="2431676"/>
    <xdr:sp macro="" textlink="">
      <xdr:nvSpPr>
        <xdr:cNvPr id="19" name="Прямоугольник 18">
          <a:extLst>
            <a:ext uri="{FF2B5EF4-FFF2-40B4-BE49-F238E27FC236}">
              <a16:creationId xmlns:a16="http://schemas.microsoft.com/office/drawing/2014/main" id="{00000000-0008-0000-2B00-000013000000}"/>
            </a:ext>
          </a:extLst>
        </xdr:cNvPr>
        <xdr:cNvSpPr/>
      </xdr:nvSpPr>
      <xdr:spPr>
        <a:xfrm>
          <a:off x="2701259" y="11043477"/>
          <a:ext cx="3776384" cy="2431676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r>
            <a:rPr lang="ru-RU" sz="1200">
              <a:effectLst/>
              <a:latin typeface="+mn-lt"/>
              <a:ea typeface="+mn-ea"/>
              <a:cs typeface="+mn-cs"/>
            </a:rPr>
            <a:t>Стеклянная сенсорная панель черного цвета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3 скорости вентилятора + АВТО режим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Недельное программирование температуры</a:t>
          </a:r>
        </a:p>
        <a:p>
          <a:r>
            <a:rPr lang="en-US" sz="1200">
              <a:effectLst/>
              <a:latin typeface="+mn-lt"/>
              <a:ea typeface="+mn-ea"/>
              <a:cs typeface="+mn-cs"/>
            </a:rPr>
            <a:t>WIFI </a:t>
          </a:r>
          <a:r>
            <a:rPr lang="ru-RU" sz="1200">
              <a:effectLst/>
              <a:latin typeface="+mn-lt"/>
              <a:ea typeface="+mn-ea"/>
              <a:cs typeface="+mn-cs"/>
            </a:rPr>
            <a:t>для </a:t>
          </a:r>
          <a:r>
            <a:rPr lang="en-US" sz="1200">
              <a:effectLst/>
              <a:latin typeface="+mn-lt"/>
              <a:ea typeface="+mn-ea"/>
              <a:cs typeface="+mn-cs"/>
            </a:rPr>
            <a:t>Android </a:t>
          </a:r>
          <a:r>
            <a:rPr lang="ru-RU" sz="1200">
              <a:effectLst/>
              <a:latin typeface="+mn-lt"/>
              <a:ea typeface="+mn-ea"/>
              <a:cs typeface="+mn-cs"/>
            </a:rPr>
            <a:t>и </a:t>
          </a:r>
          <a:r>
            <a:rPr lang="en-US" sz="1200">
              <a:effectLst/>
              <a:latin typeface="+mn-lt"/>
              <a:ea typeface="+mn-ea"/>
              <a:cs typeface="+mn-cs"/>
            </a:rPr>
            <a:t>IOS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Напряжение питания: ~230 В ±10%, 50 Гц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Потребляемая мощность: 0,5 В·А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Нагрузка 3-5 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Степень защиты: </a:t>
          </a:r>
          <a:r>
            <a:rPr lang="en-US" sz="1200">
              <a:effectLst/>
              <a:latin typeface="+mn-lt"/>
              <a:ea typeface="+mn-ea"/>
              <a:cs typeface="+mn-cs"/>
            </a:rPr>
            <a:t>IP</a:t>
          </a:r>
          <a:r>
            <a:rPr lang="ru-RU" sz="1200">
              <a:effectLst/>
              <a:latin typeface="+mn-lt"/>
              <a:ea typeface="+mn-ea"/>
              <a:cs typeface="+mn-cs"/>
            </a:rPr>
            <a:t>30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Температура эксплуатации: 0...+45°С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Габариты (Ш×В×Г) : 86×86×13,3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Монтажная высота: 1500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Для 2-х трубной системы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200" b="0" i="0" baseline="0"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200">
            <a:effectLst/>
            <a:latin typeface="+mj-lt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</a:t>
          </a:r>
          <a:endParaRPr lang="en-US" sz="12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1</xdr:col>
      <xdr:colOff>317848</xdr:colOff>
      <xdr:row>3</xdr:row>
      <xdr:rowOff>91567</xdr:rowOff>
    </xdr:from>
    <xdr:ext cx="3776384" cy="2182587"/>
    <xdr:sp macro="" textlink="">
      <xdr:nvSpPr>
        <xdr:cNvPr id="20" name="Прямоугольник 19">
          <a:extLst>
            <a:ext uri="{FF2B5EF4-FFF2-40B4-BE49-F238E27FC236}">
              <a16:creationId xmlns:a16="http://schemas.microsoft.com/office/drawing/2014/main" id="{00000000-0008-0000-2B00-000014000000}"/>
            </a:ext>
          </a:extLst>
        </xdr:cNvPr>
        <xdr:cNvSpPr/>
      </xdr:nvSpPr>
      <xdr:spPr>
        <a:xfrm>
          <a:off x="2718148" y="1377442"/>
          <a:ext cx="3776384" cy="218258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r>
            <a:rPr lang="ru-RU" sz="1200">
              <a:effectLst/>
              <a:latin typeface="+mn-lt"/>
              <a:ea typeface="+mn-ea"/>
              <a:cs typeface="+mn-cs"/>
            </a:rPr>
            <a:t>Стеклянная сенсорная панель черного цвета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1 скорости вентилятора 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Недельное программирование температуры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Напряжение питания: ~230 В ±10%, 50 Гц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Потребляемая мощность: 0,5 В·А</a:t>
          </a:r>
        </a:p>
        <a:p>
          <a:r>
            <a:rPr lang="ru-RU" sz="1200" b="0">
              <a:effectLst/>
              <a:latin typeface="+mn-lt"/>
              <a:ea typeface="+mn-ea"/>
              <a:cs typeface="+mn-cs"/>
            </a:rPr>
            <a:t>Нагрузка 16 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Степень защиты: </a:t>
          </a:r>
          <a:r>
            <a:rPr lang="en-US" sz="1200">
              <a:effectLst/>
              <a:latin typeface="+mn-lt"/>
              <a:ea typeface="+mn-ea"/>
              <a:cs typeface="+mn-cs"/>
            </a:rPr>
            <a:t>IP</a:t>
          </a:r>
          <a:r>
            <a:rPr lang="ru-RU" sz="1200">
              <a:effectLst/>
              <a:latin typeface="+mn-lt"/>
              <a:ea typeface="+mn-ea"/>
              <a:cs typeface="+mn-cs"/>
            </a:rPr>
            <a:t>30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Температура эксплуатации: 0...+45°С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Габариты (Ш×В×Г) : 86×86×13,3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Монтажная высота: 1500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Для 2-х трубной системы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200" b="0" i="0" baseline="0"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200">
            <a:effectLst/>
            <a:latin typeface="+mj-lt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</a:t>
          </a:r>
          <a:endParaRPr lang="en-US" sz="12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2</xdr:col>
      <xdr:colOff>376517</xdr:colOff>
      <xdr:row>3</xdr:row>
      <xdr:rowOff>408635</xdr:rowOff>
    </xdr:from>
    <xdr:ext cx="1543050" cy="1505778"/>
    <xdr:pic>
      <xdr:nvPicPr>
        <xdr:cNvPr id="21" name="Рисунок 20">
          <a:extLst>
            <a:ext uri="{FF2B5EF4-FFF2-40B4-BE49-F238E27FC236}">
              <a16:creationId xmlns:a16="http://schemas.microsoft.com/office/drawing/2014/main" id="{00000000-0008-0000-2B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9242" y="1694510"/>
          <a:ext cx="1543050" cy="15057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335768</xdr:colOff>
      <xdr:row>33</xdr:row>
      <xdr:rowOff>60105</xdr:rowOff>
    </xdr:from>
    <xdr:ext cx="3980339" cy="5103477"/>
    <xdr:sp macro="" textlink="">
      <xdr:nvSpPr>
        <xdr:cNvPr id="22" name="Прямоугольник 21">
          <a:extLst>
            <a:ext uri="{FF2B5EF4-FFF2-40B4-BE49-F238E27FC236}">
              <a16:creationId xmlns:a16="http://schemas.microsoft.com/office/drawing/2014/main" id="{00000000-0008-0000-2B00-000016000000}"/>
            </a:ext>
          </a:extLst>
        </xdr:cNvPr>
        <xdr:cNvSpPr/>
      </xdr:nvSpPr>
      <xdr:spPr>
        <a:xfrm>
          <a:off x="2736068" y="16338330"/>
          <a:ext cx="3980339" cy="510347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r>
            <a:rPr lang="ru-RU" sz="1200">
              <a:effectLst/>
              <a:latin typeface="+mn-lt"/>
              <a:ea typeface="+mn-ea"/>
              <a:cs typeface="+mn-cs"/>
            </a:rPr>
            <a:t>Стеклянная сенсорная панель черного цвета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3-скоростное управление вентилятором переменного тока</a:t>
          </a:r>
          <a:r>
            <a:rPr lang="lt-LT" sz="1200">
              <a:effectLst/>
              <a:latin typeface="+mn-lt"/>
              <a:ea typeface="+mn-ea"/>
              <a:cs typeface="+mn-cs"/>
            </a:rPr>
            <a:t>.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7 дней, будний / выходной, круглосуточный график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Четыре или шесть настроек в день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Автоматическая синхронизация времени и даты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Автоматически переходит на летнее время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Защита от замерзания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Режим отпуска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Цветной сенсорный </a:t>
          </a:r>
          <a:r>
            <a:rPr lang="en-US" sz="1200">
              <a:effectLst/>
              <a:latin typeface="+mn-lt"/>
              <a:ea typeface="+mn-ea"/>
              <a:cs typeface="+mn-cs"/>
            </a:rPr>
            <a:t>TFT</a:t>
          </a:r>
          <a:r>
            <a:rPr lang="ru-RU" sz="1200">
              <a:effectLst/>
              <a:latin typeface="+mn-lt"/>
              <a:ea typeface="+mn-ea"/>
              <a:cs typeface="+mn-cs"/>
            </a:rPr>
            <a:t>-экран с диагональю 3,5 дюйма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Блокировка сенсорного экрана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Датчик внешней освещенности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Датчик влажности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Геозона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Реле включения / выключения управления клапаном </a:t>
          </a:r>
        </a:p>
        <a:p>
          <a:r>
            <a:rPr lang="en-US" sz="1200">
              <a:effectLst/>
              <a:latin typeface="+mn-lt"/>
              <a:ea typeface="+mn-ea"/>
              <a:cs typeface="+mn-cs"/>
            </a:rPr>
            <a:t>Modbus RS485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Напряжение питания: </a:t>
          </a:r>
          <a:r>
            <a:rPr lang="en-US" sz="1200">
              <a:effectLst/>
              <a:latin typeface="+mn-lt"/>
              <a:ea typeface="+mn-ea"/>
              <a:cs typeface="+mn-cs"/>
            </a:rPr>
            <a:t>~230</a:t>
          </a:r>
          <a:r>
            <a:rPr lang="ru-RU" sz="1200">
              <a:effectLst/>
              <a:latin typeface="+mn-lt"/>
              <a:ea typeface="+mn-ea"/>
              <a:cs typeface="+mn-cs"/>
            </a:rPr>
            <a:t> В</a:t>
          </a:r>
          <a:r>
            <a:rPr lang="en-US" sz="1200">
              <a:effectLst/>
              <a:latin typeface="+mn-lt"/>
              <a:ea typeface="+mn-ea"/>
              <a:cs typeface="+mn-cs"/>
            </a:rPr>
            <a:t> ±10%</a:t>
          </a:r>
          <a:r>
            <a:rPr lang="ru-RU" sz="1200">
              <a:effectLst/>
              <a:latin typeface="+mn-lt"/>
              <a:ea typeface="+mn-ea"/>
              <a:cs typeface="+mn-cs"/>
            </a:rPr>
            <a:t>, 50 Гц</a:t>
          </a:r>
        </a:p>
        <a:p>
          <a:r>
            <a:rPr lang="en-US" sz="1200">
              <a:effectLst/>
              <a:latin typeface="+mn-lt"/>
              <a:ea typeface="+mn-ea"/>
              <a:cs typeface="+mn-cs"/>
            </a:rPr>
            <a:t>WIFI - IEEE 802.11 b/g/n - 2.4ghz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Потребляемая мощность: </a:t>
          </a:r>
          <a:r>
            <a:rPr lang="en-US" sz="1200">
              <a:effectLst/>
              <a:latin typeface="+mn-lt"/>
              <a:ea typeface="+mn-ea"/>
              <a:cs typeface="+mn-cs"/>
            </a:rPr>
            <a:t>0,5</a:t>
          </a:r>
          <a:r>
            <a:rPr lang="ru-RU" sz="1200">
              <a:effectLst/>
              <a:latin typeface="+mn-lt"/>
              <a:ea typeface="+mn-ea"/>
              <a:cs typeface="+mn-cs"/>
            </a:rPr>
            <a:t> В·А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Релейная нагрузка 3-5 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Степень защиты: </a:t>
          </a:r>
          <a:r>
            <a:rPr lang="en-US" sz="1200">
              <a:effectLst/>
              <a:latin typeface="+mn-lt"/>
              <a:ea typeface="+mn-ea"/>
              <a:cs typeface="+mn-cs"/>
            </a:rPr>
            <a:t>IP21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Температура эксплуатации: 0...+</a:t>
          </a:r>
          <a:r>
            <a:rPr lang="en-US" sz="1200">
              <a:effectLst/>
              <a:latin typeface="+mn-lt"/>
              <a:ea typeface="+mn-ea"/>
              <a:cs typeface="+mn-cs"/>
            </a:rPr>
            <a:t>45</a:t>
          </a:r>
          <a:r>
            <a:rPr lang="ru-RU" sz="1200">
              <a:effectLst/>
              <a:latin typeface="+mn-lt"/>
              <a:ea typeface="+mn-ea"/>
              <a:cs typeface="+mn-cs"/>
            </a:rPr>
            <a:t>°С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Габариты (Ш×В×Г) : </a:t>
          </a:r>
          <a:r>
            <a:rPr lang="en-US" sz="1200">
              <a:effectLst/>
              <a:latin typeface="+mn-lt"/>
              <a:ea typeface="+mn-ea"/>
              <a:cs typeface="+mn-cs"/>
            </a:rPr>
            <a:t>9</a:t>
          </a:r>
          <a:r>
            <a:rPr lang="ru-RU" sz="1200">
              <a:effectLst/>
              <a:latin typeface="+mn-lt"/>
              <a:ea typeface="+mn-ea"/>
              <a:cs typeface="+mn-cs"/>
            </a:rPr>
            <a:t>6×86×</a:t>
          </a:r>
          <a:r>
            <a:rPr lang="en-US" sz="1200">
              <a:effectLst/>
              <a:latin typeface="+mn-lt"/>
              <a:ea typeface="+mn-ea"/>
              <a:cs typeface="+mn-cs"/>
            </a:rPr>
            <a:t>13,8</a:t>
          </a:r>
          <a:r>
            <a:rPr lang="ru-RU" sz="1200">
              <a:effectLst/>
              <a:latin typeface="+mn-lt"/>
              <a:ea typeface="+mn-ea"/>
              <a:cs typeface="+mn-cs"/>
            </a:rPr>
            <a:t>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Монтажная высота: 1500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Для 2-х и 4-х трубных систем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 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 Light" panose="020F0302020204030204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0" i="0" u="none" strike="noStrike" kern="0" cap="none" spc="0" normalizeH="0" baseline="0" noProof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  <a:latin typeface="Calibri Light" panose="020F0302020204030204"/>
            </a:rPr>
            <a:t> </a:t>
          </a:r>
          <a:endParaRPr kumimoji="0" lang="en-US" sz="1200" b="0" i="0" u="none" strike="noStrike" kern="0" cap="none" spc="0" normalizeH="0" baseline="0" noProof="0">
            <a:ln w="0"/>
            <a:solidFill>
              <a:sysClr val="windowText" lastClr="00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  <a:latin typeface="Calibri Light" panose="020F0302020204030204"/>
          </a:endParaRPr>
        </a:p>
      </xdr:txBody>
    </xdr:sp>
    <xdr:clientData/>
  </xdr:oneCellAnchor>
  <xdr:twoCellAnchor editAs="oneCell">
    <xdr:from>
      <xdr:col>2</xdr:col>
      <xdr:colOff>255290</xdr:colOff>
      <xdr:row>34</xdr:row>
      <xdr:rowOff>425110</xdr:rowOff>
    </xdr:from>
    <xdr:to>
      <xdr:col>2</xdr:col>
      <xdr:colOff>1936722</xdr:colOff>
      <xdr:row>36</xdr:row>
      <xdr:rowOff>171082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00000000-0008-0000-2B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8015" y="17684410"/>
          <a:ext cx="1681432" cy="17081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306961</xdr:colOff>
      <xdr:row>38</xdr:row>
      <xdr:rowOff>64545</xdr:rowOff>
    </xdr:from>
    <xdr:ext cx="3776384" cy="5103477"/>
    <xdr:sp macro="" textlink="">
      <xdr:nvSpPr>
        <xdr:cNvPr id="24" name="Прямоугольник 23">
          <a:extLst>
            <a:ext uri="{FF2B5EF4-FFF2-40B4-BE49-F238E27FC236}">
              <a16:creationId xmlns:a16="http://schemas.microsoft.com/office/drawing/2014/main" id="{00000000-0008-0000-2B00-000018000000}"/>
            </a:ext>
          </a:extLst>
        </xdr:cNvPr>
        <xdr:cNvSpPr/>
      </xdr:nvSpPr>
      <xdr:spPr>
        <a:xfrm>
          <a:off x="2707261" y="21248145"/>
          <a:ext cx="3776384" cy="510347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r>
            <a:rPr lang="ru-RU" sz="1200">
              <a:effectLst/>
              <a:latin typeface="+mn-lt"/>
              <a:ea typeface="+mn-ea"/>
              <a:cs typeface="+mn-cs"/>
            </a:rPr>
            <a:t>Стеклянная сенсорная панель белого цвета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3-скоростное управление вентилятором переменного тока</a:t>
          </a:r>
          <a:r>
            <a:rPr lang="lt-LT" sz="1200">
              <a:effectLst/>
              <a:latin typeface="+mn-lt"/>
              <a:ea typeface="+mn-ea"/>
              <a:cs typeface="+mn-cs"/>
            </a:rPr>
            <a:t>.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7 дней, будний / выходной, круглосуточный график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Четыре или шесть настроек в день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Автоматическая синхронизация времени и даты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Автоматически переходит на летнее время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Защита от замерзания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Режим отпуска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Цветной сенсорный </a:t>
          </a:r>
          <a:r>
            <a:rPr lang="en-US" sz="1200">
              <a:effectLst/>
              <a:latin typeface="+mn-lt"/>
              <a:ea typeface="+mn-ea"/>
              <a:cs typeface="+mn-cs"/>
            </a:rPr>
            <a:t>TFT</a:t>
          </a:r>
          <a:r>
            <a:rPr lang="ru-RU" sz="1200">
              <a:effectLst/>
              <a:latin typeface="+mn-lt"/>
              <a:ea typeface="+mn-ea"/>
              <a:cs typeface="+mn-cs"/>
            </a:rPr>
            <a:t>-экран с диагональю 3,5 дюйма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Блокировка сенсорного экрана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Датчик внешней освещенности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Датчик влажности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Геозона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Реле включения / выключения управления клапаном </a:t>
          </a:r>
        </a:p>
        <a:p>
          <a:r>
            <a:rPr lang="en-US" sz="1200">
              <a:effectLst/>
              <a:latin typeface="+mn-lt"/>
              <a:ea typeface="+mn-ea"/>
              <a:cs typeface="+mn-cs"/>
            </a:rPr>
            <a:t>Modbus RS485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Напряжение питания: </a:t>
          </a:r>
          <a:r>
            <a:rPr lang="en-US" sz="1200">
              <a:effectLst/>
              <a:latin typeface="+mn-lt"/>
              <a:ea typeface="+mn-ea"/>
              <a:cs typeface="+mn-cs"/>
            </a:rPr>
            <a:t>~230</a:t>
          </a:r>
          <a:r>
            <a:rPr lang="ru-RU" sz="1200">
              <a:effectLst/>
              <a:latin typeface="+mn-lt"/>
              <a:ea typeface="+mn-ea"/>
              <a:cs typeface="+mn-cs"/>
            </a:rPr>
            <a:t> В</a:t>
          </a:r>
          <a:r>
            <a:rPr lang="en-US" sz="1200">
              <a:effectLst/>
              <a:latin typeface="+mn-lt"/>
              <a:ea typeface="+mn-ea"/>
              <a:cs typeface="+mn-cs"/>
            </a:rPr>
            <a:t> ±10%</a:t>
          </a:r>
          <a:r>
            <a:rPr lang="ru-RU" sz="1200">
              <a:effectLst/>
              <a:latin typeface="+mn-lt"/>
              <a:ea typeface="+mn-ea"/>
              <a:cs typeface="+mn-cs"/>
            </a:rPr>
            <a:t>, 50 Гц</a:t>
          </a:r>
        </a:p>
        <a:p>
          <a:r>
            <a:rPr lang="en-US" sz="1200">
              <a:effectLst/>
              <a:latin typeface="+mn-lt"/>
              <a:ea typeface="+mn-ea"/>
              <a:cs typeface="+mn-cs"/>
            </a:rPr>
            <a:t>WIFI - IEEE 802.11 b/g/n - 2.4ghz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Потребляемая мощность: </a:t>
          </a:r>
          <a:r>
            <a:rPr lang="en-US" sz="1200">
              <a:effectLst/>
              <a:latin typeface="+mn-lt"/>
              <a:ea typeface="+mn-ea"/>
              <a:cs typeface="+mn-cs"/>
            </a:rPr>
            <a:t>0,5</a:t>
          </a:r>
          <a:r>
            <a:rPr lang="ru-RU" sz="1200">
              <a:effectLst/>
              <a:latin typeface="+mn-lt"/>
              <a:ea typeface="+mn-ea"/>
              <a:cs typeface="+mn-cs"/>
            </a:rPr>
            <a:t> В·А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Релейная нагрузка 3-5 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Степень защиты: </a:t>
          </a:r>
          <a:r>
            <a:rPr lang="en-US" sz="1200">
              <a:effectLst/>
              <a:latin typeface="+mn-lt"/>
              <a:ea typeface="+mn-ea"/>
              <a:cs typeface="+mn-cs"/>
            </a:rPr>
            <a:t>IP21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Температура эксплуатации: 0...+</a:t>
          </a:r>
          <a:r>
            <a:rPr lang="en-US" sz="1200">
              <a:effectLst/>
              <a:latin typeface="+mn-lt"/>
              <a:ea typeface="+mn-ea"/>
              <a:cs typeface="+mn-cs"/>
            </a:rPr>
            <a:t>45</a:t>
          </a:r>
          <a:r>
            <a:rPr lang="ru-RU" sz="1200">
              <a:effectLst/>
              <a:latin typeface="+mn-lt"/>
              <a:ea typeface="+mn-ea"/>
              <a:cs typeface="+mn-cs"/>
            </a:rPr>
            <a:t>°С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Габариты (Ш×В×Г) : </a:t>
          </a:r>
          <a:r>
            <a:rPr lang="en-US" sz="1200">
              <a:effectLst/>
              <a:latin typeface="+mn-lt"/>
              <a:ea typeface="+mn-ea"/>
              <a:cs typeface="+mn-cs"/>
            </a:rPr>
            <a:t>9</a:t>
          </a:r>
          <a:r>
            <a:rPr lang="ru-RU" sz="1200">
              <a:effectLst/>
              <a:latin typeface="+mn-lt"/>
              <a:ea typeface="+mn-ea"/>
              <a:cs typeface="+mn-cs"/>
            </a:rPr>
            <a:t>6×86×</a:t>
          </a:r>
          <a:r>
            <a:rPr lang="en-US" sz="1200">
              <a:effectLst/>
              <a:latin typeface="+mn-lt"/>
              <a:ea typeface="+mn-ea"/>
              <a:cs typeface="+mn-cs"/>
            </a:rPr>
            <a:t>13,8</a:t>
          </a:r>
          <a:r>
            <a:rPr lang="ru-RU" sz="1200">
              <a:effectLst/>
              <a:latin typeface="+mn-lt"/>
              <a:ea typeface="+mn-ea"/>
              <a:cs typeface="+mn-cs"/>
            </a:rPr>
            <a:t>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Монтажная высота: 1500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Для 2-х и 4-х трубных систем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 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  <a:latin typeface="Calibri Light" panose="020F0302020204030204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 Light" panose="020F0302020204030204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0" i="0" u="none" strike="noStrike" kern="0" cap="none" spc="0" normalizeH="0" baseline="0" noProof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  <a:latin typeface="Calibri Light" panose="020F0302020204030204"/>
            </a:rPr>
            <a:t> </a:t>
          </a:r>
          <a:endParaRPr kumimoji="0" lang="en-US" sz="1200" b="0" i="0" u="none" strike="noStrike" kern="0" cap="none" spc="0" normalizeH="0" baseline="0" noProof="0">
            <a:ln w="0"/>
            <a:solidFill>
              <a:sysClr val="windowText" lastClr="00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  <a:latin typeface="Calibri Light" panose="020F0302020204030204"/>
          </a:endParaRPr>
        </a:p>
      </xdr:txBody>
    </xdr:sp>
    <xdr:clientData/>
  </xdr:oneCellAnchor>
  <xdr:twoCellAnchor editAs="oneCell">
    <xdr:from>
      <xdr:col>2</xdr:col>
      <xdr:colOff>230230</xdr:colOff>
      <xdr:row>39</xdr:row>
      <xdr:rowOff>500626</xdr:rowOff>
    </xdr:from>
    <xdr:to>
      <xdr:col>2</xdr:col>
      <xdr:colOff>2072884</xdr:colOff>
      <xdr:row>41</xdr:row>
      <xdr:rowOff>38557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00000000-0008-0000-2B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2955" y="22731976"/>
          <a:ext cx="1842654" cy="16334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192741</xdr:colOff>
      <xdr:row>44</xdr:row>
      <xdr:rowOff>339412</xdr:rowOff>
    </xdr:from>
    <xdr:to>
      <xdr:col>2</xdr:col>
      <xdr:colOff>2035395</xdr:colOff>
      <xdr:row>46</xdr:row>
      <xdr:rowOff>138075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00000000-0008-0000-2B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5466" y="27799987"/>
          <a:ext cx="1842654" cy="1875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176149</xdr:colOff>
      <xdr:row>48</xdr:row>
      <xdr:rowOff>1535679</xdr:rowOff>
    </xdr:from>
    <xdr:to>
      <xdr:col>2</xdr:col>
      <xdr:colOff>2020035</xdr:colOff>
      <xdr:row>50</xdr:row>
      <xdr:rowOff>710720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00000000-0008-0000-2B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8874" y="32501454"/>
          <a:ext cx="1843886" cy="1594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279186</xdr:colOff>
      <xdr:row>8</xdr:row>
      <xdr:rowOff>115259</xdr:rowOff>
    </xdr:from>
    <xdr:ext cx="3776384" cy="2231571"/>
    <xdr:sp macro="" textlink="">
      <xdr:nvSpPr>
        <xdr:cNvPr id="28" name="Прямоугольник 27">
          <a:extLst>
            <a:ext uri="{FF2B5EF4-FFF2-40B4-BE49-F238E27FC236}">
              <a16:creationId xmlns:a16="http://schemas.microsoft.com/office/drawing/2014/main" id="{00000000-0008-0000-2B00-00001C000000}"/>
            </a:ext>
          </a:extLst>
        </xdr:cNvPr>
        <xdr:cNvSpPr/>
      </xdr:nvSpPr>
      <xdr:spPr>
        <a:xfrm>
          <a:off x="2679486" y="3782384"/>
          <a:ext cx="3776384" cy="2231571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r>
            <a:rPr lang="ru-RU" sz="1200">
              <a:effectLst/>
              <a:latin typeface="+mn-lt"/>
              <a:ea typeface="+mn-ea"/>
              <a:cs typeface="+mn-cs"/>
            </a:rPr>
            <a:t>Стеклянная сенсорная панель белого цвета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1 скорости вентилятора 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Недельное программирование температуры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Напряжение питания: ~230 В ±10%, 50 Гц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Потребляемая мощность: 0,5 В·А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Нагрузка 16 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Степень защиты: </a:t>
          </a:r>
          <a:r>
            <a:rPr lang="en-US" sz="1200">
              <a:effectLst/>
              <a:latin typeface="+mn-lt"/>
              <a:ea typeface="+mn-ea"/>
              <a:cs typeface="+mn-cs"/>
            </a:rPr>
            <a:t>IP</a:t>
          </a:r>
          <a:r>
            <a:rPr lang="ru-RU" sz="1200">
              <a:effectLst/>
              <a:latin typeface="+mn-lt"/>
              <a:ea typeface="+mn-ea"/>
              <a:cs typeface="+mn-cs"/>
            </a:rPr>
            <a:t>30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Температура эксплуатации: 0...+45°С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Габариты (Ш×В×Г) : 86×86×13,3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Монтажная высота: 1500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Для 2-х трубной системы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200" b="0" i="0" baseline="0"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200">
            <a:effectLst/>
            <a:latin typeface="+mj-lt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</a:t>
          </a:r>
          <a:endParaRPr lang="en-US" sz="12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twoCellAnchor editAs="oneCell">
    <xdr:from>
      <xdr:col>2</xdr:col>
      <xdr:colOff>260617</xdr:colOff>
      <xdr:row>8</xdr:row>
      <xdr:rowOff>282308</xdr:rowOff>
    </xdr:from>
    <xdr:to>
      <xdr:col>2</xdr:col>
      <xdr:colOff>1980560</xdr:colOff>
      <xdr:row>12</xdr:row>
      <xdr:rowOff>101621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00000000-0008-0000-2B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3342" y="3949433"/>
          <a:ext cx="1719943" cy="172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347382</xdr:colOff>
      <xdr:row>93</xdr:row>
      <xdr:rowOff>257735</xdr:rowOff>
    </xdr:from>
    <xdr:ext cx="3204882" cy="1568824"/>
    <xdr:sp macro="" textlink="">
      <xdr:nvSpPr>
        <xdr:cNvPr id="30" name="Прямоугольник 29">
          <a:extLst>
            <a:ext uri="{FF2B5EF4-FFF2-40B4-BE49-F238E27FC236}">
              <a16:creationId xmlns:a16="http://schemas.microsoft.com/office/drawing/2014/main" id="{00000000-0008-0000-2B00-00001E000000}"/>
            </a:ext>
          </a:extLst>
        </xdr:cNvPr>
        <xdr:cNvSpPr/>
      </xdr:nvSpPr>
      <xdr:spPr>
        <a:xfrm>
          <a:off x="2747682" y="53873960"/>
          <a:ext cx="3204882" cy="1568824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r>
            <a:rPr lang="ru-RU" sz="1200" b="0" i="0">
              <a:effectLst/>
              <a:latin typeface="+mj-lt"/>
              <a:ea typeface="+mn-ea"/>
              <a:cs typeface="+mn-cs"/>
            </a:rPr>
            <a:t>Управление одним или группой АС-вентиляторов 220В с помощью настенного термостата. Регулятор имеет 3 скорости. Первая и вторая регулируемая (30 ... 100%), третья равна 100%. Дополнительно можно подключить понижающий трансформатор для низковольтных вентиляторов.</a:t>
          </a:r>
          <a:endParaRPr lang="ru-RU" sz="1200" b="0">
            <a:effectLst/>
            <a:latin typeface="+mj-lt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</a:t>
          </a:r>
          <a:endParaRPr lang="en-US" sz="12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1</xdr:col>
      <xdr:colOff>369794</xdr:colOff>
      <xdr:row>97</xdr:row>
      <xdr:rowOff>302558</xdr:rowOff>
    </xdr:from>
    <xdr:ext cx="3038475" cy="1299884"/>
    <xdr:sp macro="" textlink="">
      <xdr:nvSpPr>
        <xdr:cNvPr id="31" name="Прямоугольник 30">
          <a:extLst>
            <a:ext uri="{FF2B5EF4-FFF2-40B4-BE49-F238E27FC236}">
              <a16:creationId xmlns:a16="http://schemas.microsoft.com/office/drawing/2014/main" id="{00000000-0008-0000-2B00-00001F000000}"/>
            </a:ext>
          </a:extLst>
        </xdr:cNvPr>
        <xdr:cNvSpPr/>
      </xdr:nvSpPr>
      <xdr:spPr>
        <a:xfrm>
          <a:off x="2770094" y="55899983"/>
          <a:ext cx="3038475" cy="1299884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r>
            <a:rPr lang="ru-RU" sz="1200" b="0" i="0">
              <a:effectLst/>
              <a:latin typeface="+mj-lt"/>
              <a:ea typeface="+mn-ea"/>
              <a:cs typeface="+mn-cs"/>
            </a:rPr>
            <a:t>Твердотельные реле </a:t>
          </a:r>
          <a:r>
            <a:rPr lang="en-US" sz="1200" b="0" i="0">
              <a:effectLst/>
              <a:latin typeface="+mj-lt"/>
              <a:ea typeface="+mn-ea"/>
              <a:cs typeface="+mn-cs"/>
            </a:rPr>
            <a:t>MaxWell MS-1 </a:t>
          </a:r>
          <a:r>
            <a:rPr lang="ru-RU" sz="1200" b="0" i="0">
              <a:effectLst/>
              <a:latin typeface="+mj-lt"/>
              <a:ea typeface="+mn-ea"/>
              <a:cs typeface="+mn-cs"/>
            </a:rPr>
            <a:t>применяют для бесконтактной коммутации однофазной нагрузки переменного тока (ТЭН-ы, трансформаторы, лампы накаливания, электродвигатели, электромагниты).</a:t>
          </a:r>
          <a:r>
            <a:rPr lang="ru-RU" sz="12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</a:t>
          </a:r>
          <a:endParaRPr lang="en-US" sz="12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twoCellAnchor editAs="oneCell">
    <xdr:from>
      <xdr:col>2</xdr:col>
      <xdr:colOff>201706</xdr:colOff>
      <xdr:row>97</xdr:row>
      <xdr:rowOff>44824</xdr:rowOff>
    </xdr:from>
    <xdr:to>
      <xdr:col>2</xdr:col>
      <xdr:colOff>2073088</xdr:colOff>
      <xdr:row>100</xdr:row>
      <xdr:rowOff>489379</xdr:rowOff>
    </xdr:to>
    <xdr:pic>
      <xdr:nvPicPr>
        <xdr:cNvPr id="32" name="Рисунок 31" descr="https://cdn.goodao.net/clin-ele/Solid-State-Relay-HHG1-0-032F-06-HHG1-0-032F-20-SSR-DD.jpg">
          <a:extLst>
            <a:ext uri="{FF2B5EF4-FFF2-40B4-BE49-F238E27FC236}">
              <a16:creationId xmlns:a16="http://schemas.microsoft.com/office/drawing/2014/main" id="{00000000-0008-0000-2B00-00002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75" t="9705" r="10735" b="7489"/>
        <a:stretch/>
      </xdr:blipFill>
      <xdr:spPr bwMode="auto">
        <a:xfrm>
          <a:off x="6764431" y="55642249"/>
          <a:ext cx="1871382" cy="1930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397007</xdr:colOff>
      <xdr:row>101</xdr:row>
      <xdr:rowOff>298557</xdr:rowOff>
    </xdr:from>
    <xdr:ext cx="3038475" cy="1187823"/>
    <xdr:sp macro="" textlink="">
      <xdr:nvSpPr>
        <xdr:cNvPr id="33" name="Прямоугольник 32">
          <a:extLst>
            <a:ext uri="{FF2B5EF4-FFF2-40B4-BE49-F238E27FC236}">
              <a16:creationId xmlns:a16="http://schemas.microsoft.com/office/drawing/2014/main" id="{00000000-0008-0000-2B00-000021000000}"/>
            </a:ext>
          </a:extLst>
        </xdr:cNvPr>
        <xdr:cNvSpPr/>
      </xdr:nvSpPr>
      <xdr:spPr>
        <a:xfrm>
          <a:off x="2797307" y="57877182"/>
          <a:ext cx="3038475" cy="1187823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ru-RU" sz="1200" b="0" i="0">
              <a:effectLst/>
              <a:latin typeface="+mj-lt"/>
              <a:ea typeface="+mn-ea"/>
              <a:cs typeface="+mn-cs"/>
            </a:rPr>
            <a:t>Импульсный блок питания. Входное напряжение: 110-260</a:t>
          </a:r>
          <a:r>
            <a:rPr lang="en-US" sz="1200" b="0" i="0">
              <a:effectLst/>
              <a:latin typeface="+mj-lt"/>
              <a:ea typeface="+mn-ea"/>
              <a:cs typeface="+mn-cs"/>
            </a:rPr>
            <a:t>V. </a:t>
          </a:r>
          <a:r>
            <a:rPr lang="ru-RU" sz="1200" b="0" i="0">
              <a:effectLst/>
              <a:latin typeface="+mj-lt"/>
              <a:ea typeface="+mn-ea"/>
              <a:cs typeface="+mn-cs"/>
            </a:rPr>
            <a:t>Выходное напряжение: 24</a:t>
          </a:r>
          <a:r>
            <a:rPr lang="en-US" sz="1200" b="0" i="0">
              <a:effectLst/>
              <a:latin typeface="+mj-lt"/>
              <a:ea typeface="+mn-ea"/>
              <a:cs typeface="+mn-cs"/>
            </a:rPr>
            <a:t>V. </a:t>
          </a:r>
          <a:r>
            <a:rPr lang="ru-RU" sz="1200" b="0" i="0">
              <a:effectLst/>
              <a:latin typeface="+mj-lt"/>
              <a:ea typeface="+mn-ea"/>
              <a:cs typeface="+mn-cs"/>
            </a:rPr>
            <a:t>Мощность: 60Вт. Степень защиты: </a:t>
          </a:r>
          <a:r>
            <a:rPr lang="en-US" sz="1200" b="0" i="0">
              <a:effectLst/>
              <a:latin typeface="+mj-lt"/>
              <a:ea typeface="+mn-ea"/>
              <a:cs typeface="+mn-cs"/>
            </a:rPr>
            <a:t>IP20. </a:t>
          </a:r>
          <a:r>
            <a:rPr lang="ru-RU" sz="1200" b="0" i="0">
              <a:effectLst/>
              <a:latin typeface="+mj-lt"/>
              <a:ea typeface="+mn-ea"/>
              <a:cs typeface="+mn-cs"/>
            </a:rPr>
            <a:t>Размеры: 110</a:t>
          </a:r>
          <a:r>
            <a:rPr lang="en-US" sz="1200" b="0" i="0">
              <a:effectLst/>
              <a:latin typeface="+mj-lt"/>
              <a:ea typeface="+mn-ea"/>
              <a:cs typeface="+mn-cs"/>
            </a:rPr>
            <a:t>x78x38</a:t>
          </a:r>
          <a:r>
            <a:rPr lang="ru-RU" sz="1200" b="0" i="0">
              <a:effectLst/>
              <a:latin typeface="+mj-lt"/>
              <a:ea typeface="+mn-ea"/>
              <a:cs typeface="+mn-cs"/>
            </a:rPr>
            <a:t>мм. Гарантия: 2 года.</a:t>
          </a:r>
          <a:r>
            <a:rPr lang="ru-RU" sz="12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</a:t>
          </a:r>
          <a:endParaRPr lang="en-US" sz="12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twoCellAnchor editAs="oneCell">
    <xdr:from>
      <xdr:col>2</xdr:col>
      <xdr:colOff>100852</xdr:colOff>
      <xdr:row>101</xdr:row>
      <xdr:rowOff>224118</xdr:rowOff>
    </xdr:from>
    <xdr:to>
      <xdr:col>2</xdr:col>
      <xdr:colOff>2153515</xdr:colOff>
      <xdr:row>104</xdr:row>
      <xdr:rowOff>123263</xdr:rowOff>
    </xdr:to>
    <xdr:pic>
      <xdr:nvPicPr>
        <xdr:cNvPr id="34" name="Рисунок 33" descr="https://ledpremium.ru/upload/iblock/16e/a_626100.jpg">
          <a:extLst>
            <a:ext uri="{FF2B5EF4-FFF2-40B4-BE49-F238E27FC236}">
              <a16:creationId xmlns:a16="http://schemas.microsoft.com/office/drawing/2014/main" id="{00000000-0008-0000-2B00-00002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20" t="14002" r="13447" b="13652"/>
        <a:stretch/>
      </xdr:blipFill>
      <xdr:spPr bwMode="auto">
        <a:xfrm>
          <a:off x="6663577" y="57802743"/>
          <a:ext cx="2052663" cy="1385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0</xdr:colOff>
      <xdr:row>14</xdr:row>
      <xdr:rowOff>235323</xdr:rowOff>
    </xdr:from>
    <xdr:ext cx="184731" cy="264560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2B00-000023000000}"/>
            </a:ext>
          </a:extLst>
        </xdr:cNvPr>
        <xdr:cNvSpPr txBox="1"/>
      </xdr:nvSpPr>
      <xdr:spPr>
        <a:xfrm>
          <a:off x="10572750" y="675994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oneCellAnchor>
    <xdr:from>
      <xdr:col>5</xdr:col>
      <xdr:colOff>0</xdr:colOff>
      <xdr:row>15</xdr:row>
      <xdr:rowOff>134470</xdr:rowOff>
    </xdr:from>
    <xdr:ext cx="184731" cy="264560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2B00-000024000000}"/>
            </a:ext>
          </a:extLst>
        </xdr:cNvPr>
        <xdr:cNvSpPr txBox="1"/>
      </xdr:nvSpPr>
      <xdr:spPr>
        <a:xfrm>
          <a:off x="10572750" y="713534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oneCellAnchor>
    <xdr:from>
      <xdr:col>1</xdr:col>
      <xdr:colOff>323371</xdr:colOff>
      <xdr:row>28</xdr:row>
      <xdr:rowOff>99252</xdr:rowOff>
    </xdr:from>
    <xdr:ext cx="3776384" cy="2431676"/>
    <xdr:sp macro="" textlink="">
      <xdr:nvSpPr>
        <xdr:cNvPr id="37" name="Прямоугольник 36">
          <a:extLst>
            <a:ext uri="{FF2B5EF4-FFF2-40B4-BE49-F238E27FC236}">
              <a16:creationId xmlns:a16="http://schemas.microsoft.com/office/drawing/2014/main" id="{00000000-0008-0000-2B00-000025000000}"/>
            </a:ext>
          </a:extLst>
        </xdr:cNvPr>
        <xdr:cNvSpPr/>
      </xdr:nvSpPr>
      <xdr:spPr>
        <a:xfrm>
          <a:off x="2723671" y="13710477"/>
          <a:ext cx="3776384" cy="2431676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r>
            <a:rPr lang="ru-RU" sz="1200">
              <a:effectLst/>
              <a:latin typeface="+mn-lt"/>
              <a:ea typeface="+mn-ea"/>
              <a:cs typeface="+mn-cs"/>
            </a:rPr>
            <a:t>Стеклянная сенсорная панель белого цвета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3 скорости вентилятора + АВТО режим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Недельное программирование температуры</a:t>
          </a:r>
        </a:p>
        <a:p>
          <a:r>
            <a:rPr lang="en-US" sz="1200">
              <a:effectLst/>
              <a:latin typeface="+mn-lt"/>
              <a:ea typeface="+mn-ea"/>
              <a:cs typeface="+mn-cs"/>
            </a:rPr>
            <a:t>WIFI </a:t>
          </a:r>
          <a:r>
            <a:rPr lang="ru-RU" sz="1200">
              <a:effectLst/>
              <a:latin typeface="+mn-lt"/>
              <a:ea typeface="+mn-ea"/>
              <a:cs typeface="+mn-cs"/>
            </a:rPr>
            <a:t>для </a:t>
          </a:r>
          <a:r>
            <a:rPr lang="en-US" sz="1200">
              <a:effectLst/>
              <a:latin typeface="+mn-lt"/>
              <a:ea typeface="+mn-ea"/>
              <a:cs typeface="+mn-cs"/>
            </a:rPr>
            <a:t>Android </a:t>
          </a:r>
          <a:r>
            <a:rPr lang="ru-RU" sz="1200">
              <a:effectLst/>
              <a:latin typeface="+mn-lt"/>
              <a:ea typeface="+mn-ea"/>
              <a:cs typeface="+mn-cs"/>
            </a:rPr>
            <a:t>и </a:t>
          </a:r>
          <a:r>
            <a:rPr lang="en-US" sz="1200">
              <a:effectLst/>
              <a:latin typeface="+mn-lt"/>
              <a:ea typeface="+mn-ea"/>
              <a:cs typeface="+mn-cs"/>
            </a:rPr>
            <a:t>IOS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Напряжение питания: ~230 В ±10%, 50 Гц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Потребляемая мощность: 0,5 В·А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Нагрузка 3-5 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Степень защиты: </a:t>
          </a:r>
          <a:r>
            <a:rPr lang="en-US" sz="1200">
              <a:effectLst/>
              <a:latin typeface="+mn-lt"/>
              <a:ea typeface="+mn-ea"/>
              <a:cs typeface="+mn-cs"/>
            </a:rPr>
            <a:t>IP</a:t>
          </a:r>
          <a:r>
            <a:rPr lang="ru-RU" sz="1200">
              <a:effectLst/>
              <a:latin typeface="+mn-lt"/>
              <a:ea typeface="+mn-ea"/>
              <a:cs typeface="+mn-cs"/>
            </a:rPr>
            <a:t>30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Температура эксплуатации: 0...+45°С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Габариты (Ш×В×Г) : 86×86×13,3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Монтажная высота: 1500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Для 2-х трубной системы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200" b="0" i="0" baseline="0"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200">
            <a:effectLst/>
            <a:latin typeface="+mj-lt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</a:t>
          </a:r>
          <a:endParaRPr lang="en-US" sz="12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2</xdr:col>
      <xdr:colOff>306401</xdr:colOff>
      <xdr:row>13</xdr:row>
      <xdr:rowOff>449036</xdr:rowOff>
    </xdr:from>
    <xdr:ext cx="1543050" cy="1505778"/>
    <xdr:pic>
      <xdr:nvPicPr>
        <xdr:cNvPr id="38" name="Рисунок 37">
          <a:extLst>
            <a:ext uri="{FF2B5EF4-FFF2-40B4-BE49-F238E27FC236}">
              <a16:creationId xmlns:a16="http://schemas.microsoft.com/office/drawing/2014/main" id="{00000000-0008-0000-2B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9126" y="6497411"/>
          <a:ext cx="1543050" cy="15057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225137</xdr:colOff>
      <xdr:row>18</xdr:row>
      <xdr:rowOff>398167</xdr:rowOff>
    </xdr:from>
    <xdr:to>
      <xdr:col>2</xdr:col>
      <xdr:colOff>1945080</xdr:colOff>
      <xdr:row>22</xdr:row>
      <xdr:rowOff>252116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00000000-0008-0000-2B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7862" y="8875417"/>
          <a:ext cx="1719943" cy="1758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271764</xdr:colOff>
      <xdr:row>24</xdr:row>
      <xdr:rowOff>180604</xdr:rowOff>
    </xdr:from>
    <xdr:ext cx="1543050" cy="1505778"/>
    <xdr:pic>
      <xdr:nvPicPr>
        <xdr:cNvPr id="40" name="Рисунок 39">
          <a:extLst>
            <a:ext uri="{FF2B5EF4-FFF2-40B4-BE49-F238E27FC236}">
              <a16:creationId xmlns:a16="http://schemas.microsoft.com/office/drawing/2014/main" id="{00000000-0008-0000-2B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4489" y="11658229"/>
          <a:ext cx="1543050" cy="15057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190500</xdr:colOff>
      <xdr:row>28</xdr:row>
      <xdr:rowOff>511971</xdr:rowOff>
    </xdr:from>
    <xdr:to>
      <xdr:col>2</xdr:col>
      <xdr:colOff>1910443</xdr:colOff>
      <xdr:row>32</xdr:row>
      <xdr:rowOff>148206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00000000-0008-0000-2B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14123196"/>
          <a:ext cx="1719943" cy="1769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136071</xdr:colOff>
      <xdr:row>106</xdr:row>
      <xdr:rowOff>95251</xdr:rowOff>
    </xdr:from>
    <xdr:to>
      <xdr:col>2</xdr:col>
      <xdr:colOff>2024730</xdr:colOff>
      <xdr:row>112</xdr:row>
      <xdr:rowOff>70542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00000000-0008-0000-2B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98796" y="68360926"/>
          <a:ext cx="1888659" cy="1461190"/>
        </a:xfrm>
        <a:prstGeom prst="rect">
          <a:avLst/>
        </a:prstGeom>
      </xdr:spPr>
    </xdr:pic>
    <xdr:clientData/>
  </xdr:twoCellAnchor>
  <xdr:oneCellAnchor>
    <xdr:from>
      <xdr:col>1</xdr:col>
      <xdr:colOff>455543</xdr:colOff>
      <xdr:row>107</xdr:row>
      <xdr:rowOff>107674</xdr:rowOff>
    </xdr:from>
    <xdr:ext cx="3886200" cy="1341783"/>
    <xdr:sp macro="" textlink="">
      <xdr:nvSpPr>
        <xdr:cNvPr id="43" name="Прямоугольник 42">
          <a:extLst>
            <a:ext uri="{FF2B5EF4-FFF2-40B4-BE49-F238E27FC236}">
              <a16:creationId xmlns:a16="http://schemas.microsoft.com/office/drawing/2014/main" id="{00000000-0008-0000-2B00-00002B000000}"/>
            </a:ext>
          </a:extLst>
        </xdr:cNvPr>
        <xdr:cNvSpPr/>
      </xdr:nvSpPr>
      <xdr:spPr>
        <a:xfrm>
          <a:off x="2855843" y="68620999"/>
          <a:ext cx="3886200" cy="1341783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r>
            <a:rPr lang="ru-RU" sz="1200">
              <a:effectLst/>
              <a:latin typeface="+mn-lt"/>
              <a:ea typeface="+mn-ea"/>
              <a:cs typeface="+mn-cs"/>
            </a:rPr>
            <a:t>Номинальная мощность:</a:t>
          </a:r>
          <a:r>
            <a:rPr lang="ru-RU" sz="1200" baseline="0">
              <a:effectLst/>
              <a:latin typeface="+mn-lt"/>
              <a:ea typeface="+mn-ea"/>
              <a:cs typeface="+mn-cs"/>
            </a:rPr>
            <a:t> 92 Вт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Номинальный ток: 3,83 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Напряжение постоянного</a:t>
          </a:r>
          <a:r>
            <a:rPr lang="ru-RU" sz="1200" baseline="0">
              <a:effectLst/>
              <a:latin typeface="+mn-lt"/>
              <a:ea typeface="+mn-ea"/>
              <a:cs typeface="+mn-cs"/>
            </a:rPr>
            <a:t> </a:t>
          </a:r>
          <a:r>
            <a:rPr lang="ru-RU" sz="1200">
              <a:effectLst/>
              <a:latin typeface="+mn-lt"/>
              <a:ea typeface="+mn-ea"/>
              <a:cs typeface="+mn-cs"/>
            </a:rPr>
            <a:t>тока: 24 В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>
              <a:effectLst/>
              <a:latin typeface="+mn-lt"/>
              <a:ea typeface="+mn-ea"/>
              <a:cs typeface="+mn-cs"/>
            </a:rPr>
            <a:t>Габариты (Ш×В×Г) : 70×90×54 мм</a:t>
          </a:r>
          <a:endParaRPr lang="ru-RU" sz="1200">
            <a:effectLst/>
          </a:endParaRPr>
        </a:p>
        <a:p>
          <a:endParaRPr lang="ru-RU" sz="1200"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200" b="0" i="0" baseline="0"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200">
            <a:effectLst/>
            <a:latin typeface="+mj-lt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</a:t>
          </a:r>
          <a:endParaRPr lang="en-US" sz="12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1</xdr:col>
      <xdr:colOff>326571</xdr:colOff>
      <xdr:row>43</xdr:row>
      <xdr:rowOff>204108</xdr:rowOff>
    </xdr:from>
    <xdr:ext cx="3913413" cy="4391630"/>
    <xdr:sp macro="" textlink="">
      <xdr:nvSpPr>
        <xdr:cNvPr id="44" name="Прямоугольник 43">
          <a:extLst>
            <a:ext uri="{FF2B5EF4-FFF2-40B4-BE49-F238E27FC236}">
              <a16:creationId xmlns:a16="http://schemas.microsoft.com/office/drawing/2014/main" id="{00000000-0008-0000-2B00-00002C000000}"/>
            </a:ext>
          </a:extLst>
        </xdr:cNvPr>
        <xdr:cNvSpPr/>
      </xdr:nvSpPr>
      <xdr:spPr>
        <a:xfrm>
          <a:off x="2726871" y="26626458"/>
          <a:ext cx="3913413" cy="4391630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r>
            <a:rPr lang="ru-RU" sz="1200">
              <a:effectLst/>
              <a:latin typeface="+mn-lt"/>
              <a:ea typeface="+mn-ea"/>
              <a:cs typeface="+mn-cs"/>
            </a:rPr>
            <a:t>Стеклянная сенсорная панель черного цвета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Управление вентилятором  0-10 постоянного тока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7 дней, будний / выходной, круглосуточный график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Четыре или шесть настроек в день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Автоматическая синхронизация времени и даты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Автоматически переходит на летнее время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Защита от замерзания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Режим отпуска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Цветной сенсорный </a:t>
          </a:r>
          <a:r>
            <a:rPr lang="en-US" sz="1200">
              <a:effectLst/>
              <a:latin typeface="+mn-lt"/>
              <a:ea typeface="+mn-ea"/>
              <a:cs typeface="+mn-cs"/>
            </a:rPr>
            <a:t>TFT</a:t>
          </a:r>
          <a:r>
            <a:rPr lang="ru-RU" sz="1200">
              <a:effectLst/>
              <a:latin typeface="+mn-lt"/>
              <a:ea typeface="+mn-ea"/>
              <a:cs typeface="+mn-cs"/>
            </a:rPr>
            <a:t>-экран с диагональю 3,5 дюйма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Блокировка сенсорного экрана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Датчик внешней освещенности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Датчик влажности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Геозона</a:t>
          </a:r>
        </a:p>
        <a:p>
          <a:r>
            <a:rPr lang="en-US" sz="1200">
              <a:effectLst/>
              <a:latin typeface="+mn-lt"/>
              <a:ea typeface="+mn-ea"/>
              <a:cs typeface="+mn-cs"/>
            </a:rPr>
            <a:t>Modbus RS485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Напряжение питания: </a:t>
          </a:r>
          <a:r>
            <a:rPr lang="en-US" sz="1200">
              <a:effectLst/>
              <a:latin typeface="+mn-lt"/>
              <a:ea typeface="+mn-ea"/>
              <a:cs typeface="+mn-cs"/>
            </a:rPr>
            <a:t>~230</a:t>
          </a:r>
          <a:r>
            <a:rPr lang="ru-RU" sz="1200">
              <a:effectLst/>
              <a:latin typeface="+mn-lt"/>
              <a:ea typeface="+mn-ea"/>
              <a:cs typeface="+mn-cs"/>
            </a:rPr>
            <a:t> В</a:t>
          </a:r>
          <a:r>
            <a:rPr lang="en-US" sz="1200">
              <a:effectLst/>
              <a:latin typeface="+mn-lt"/>
              <a:ea typeface="+mn-ea"/>
              <a:cs typeface="+mn-cs"/>
            </a:rPr>
            <a:t> ±10%</a:t>
          </a:r>
          <a:r>
            <a:rPr lang="ru-RU" sz="1200">
              <a:effectLst/>
              <a:latin typeface="+mn-lt"/>
              <a:ea typeface="+mn-ea"/>
              <a:cs typeface="+mn-cs"/>
            </a:rPr>
            <a:t>, 50 Гц</a:t>
          </a:r>
        </a:p>
        <a:p>
          <a:r>
            <a:rPr lang="en-US" sz="1200">
              <a:effectLst/>
              <a:latin typeface="+mn-lt"/>
              <a:ea typeface="+mn-ea"/>
              <a:cs typeface="+mn-cs"/>
            </a:rPr>
            <a:t>WIFI - IEEE 802.11 b/g/n - 2.4ghz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Потребляемая мощность: </a:t>
          </a:r>
          <a:r>
            <a:rPr lang="en-US" sz="1200">
              <a:effectLst/>
              <a:latin typeface="+mn-lt"/>
              <a:ea typeface="+mn-ea"/>
              <a:cs typeface="+mn-cs"/>
            </a:rPr>
            <a:t>0,5</a:t>
          </a:r>
          <a:r>
            <a:rPr lang="ru-RU" sz="1200">
              <a:effectLst/>
              <a:latin typeface="+mn-lt"/>
              <a:ea typeface="+mn-ea"/>
              <a:cs typeface="+mn-cs"/>
            </a:rPr>
            <a:t> В·А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Релейная нагрузка 3-5 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Степень защиты: </a:t>
          </a:r>
          <a:r>
            <a:rPr lang="en-US" sz="1200">
              <a:effectLst/>
              <a:latin typeface="+mn-lt"/>
              <a:ea typeface="+mn-ea"/>
              <a:cs typeface="+mn-cs"/>
            </a:rPr>
            <a:t>IP21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Температура эксплуатации: 0...+</a:t>
          </a:r>
          <a:r>
            <a:rPr lang="en-US" sz="1200">
              <a:effectLst/>
              <a:latin typeface="+mn-lt"/>
              <a:ea typeface="+mn-ea"/>
              <a:cs typeface="+mn-cs"/>
            </a:rPr>
            <a:t>45</a:t>
          </a:r>
          <a:r>
            <a:rPr lang="ru-RU" sz="1200">
              <a:effectLst/>
              <a:latin typeface="+mn-lt"/>
              <a:ea typeface="+mn-ea"/>
              <a:cs typeface="+mn-cs"/>
            </a:rPr>
            <a:t>°С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Габариты (Ш×В×Г) : </a:t>
          </a:r>
          <a:r>
            <a:rPr lang="en-US" sz="1200">
              <a:effectLst/>
              <a:latin typeface="+mn-lt"/>
              <a:ea typeface="+mn-ea"/>
              <a:cs typeface="+mn-cs"/>
            </a:rPr>
            <a:t>9</a:t>
          </a:r>
          <a:r>
            <a:rPr lang="ru-RU" sz="1200">
              <a:effectLst/>
              <a:latin typeface="+mn-lt"/>
              <a:ea typeface="+mn-ea"/>
              <a:cs typeface="+mn-cs"/>
            </a:rPr>
            <a:t>6×86×</a:t>
          </a:r>
          <a:r>
            <a:rPr lang="en-US" sz="1200">
              <a:effectLst/>
              <a:latin typeface="+mn-lt"/>
              <a:ea typeface="+mn-ea"/>
              <a:cs typeface="+mn-cs"/>
            </a:rPr>
            <a:t>13,8</a:t>
          </a:r>
          <a:r>
            <a:rPr lang="ru-RU" sz="1200">
              <a:effectLst/>
              <a:latin typeface="+mn-lt"/>
              <a:ea typeface="+mn-ea"/>
              <a:cs typeface="+mn-cs"/>
            </a:rPr>
            <a:t>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Монтажная высота: 1500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Для 2-х и 4-х трубных систем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  <a:latin typeface="Calibri Light" panose="020F0302020204030204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 Light" panose="020F0302020204030204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0" i="0" u="none" strike="noStrike" kern="0" cap="none" spc="0" normalizeH="0" baseline="0" noProof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  <a:latin typeface="Calibri Light" panose="020F0302020204030204"/>
            </a:rPr>
            <a:t> </a:t>
          </a:r>
          <a:endParaRPr kumimoji="0" lang="en-US" sz="1200" b="0" i="0" u="none" strike="noStrike" kern="0" cap="none" spc="0" normalizeH="0" baseline="0" noProof="0">
            <a:ln w="0"/>
            <a:solidFill>
              <a:sysClr val="windowText" lastClr="00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  <a:latin typeface="Calibri Light" panose="020F0302020204030204"/>
          </a:endParaRPr>
        </a:p>
      </xdr:txBody>
    </xdr:sp>
    <xdr:clientData/>
  </xdr:oneCellAnchor>
  <xdr:oneCellAnchor>
    <xdr:from>
      <xdr:col>1</xdr:col>
      <xdr:colOff>272143</xdr:colOff>
      <xdr:row>48</xdr:row>
      <xdr:rowOff>0</xdr:rowOff>
    </xdr:from>
    <xdr:ext cx="3913413" cy="4391630"/>
    <xdr:sp macro="" textlink="">
      <xdr:nvSpPr>
        <xdr:cNvPr id="45" name="Прямоугольник 44">
          <a:extLst>
            <a:ext uri="{FF2B5EF4-FFF2-40B4-BE49-F238E27FC236}">
              <a16:creationId xmlns:a16="http://schemas.microsoft.com/office/drawing/2014/main" id="{00000000-0008-0000-2B00-00002D000000}"/>
            </a:ext>
          </a:extLst>
        </xdr:cNvPr>
        <xdr:cNvSpPr/>
      </xdr:nvSpPr>
      <xdr:spPr>
        <a:xfrm>
          <a:off x="2672443" y="31613475"/>
          <a:ext cx="3913413" cy="4391630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r>
            <a:rPr lang="ru-RU" sz="1200">
              <a:effectLst/>
              <a:latin typeface="+mn-lt"/>
              <a:ea typeface="+mn-ea"/>
              <a:cs typeface="+mn-cs"/>
            </a:rPr>
            <a:t>Стеклянная сенсорная панель белого цвета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Управление вентилятором  0-10 В </a:t>
          </a:r>
          <a:r>
            <a:rPr lang="ru-RU" sz="1100">
              <a:effectLst/>
              <a:latin typeface="+mn-lt"/>
              <a:ea typeface="+mn-ea"/>
              <a:cs typeface="+mn-cs"/>
            </a:rPr>
            <a:t>постоянного</a:t>
          </a:r>
          <a:r>
            <a:rPr lang="ru-RU" sz="1200">
              <a:effectLst/>
              <a:latin typeface="+mn-lt"/>
              <a:ea typeface="+mn-ea"/>
              <a:cs typeface="+mn-cs"/>
            </a:rPr>
            <a:t> тока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7 дней, будний / выходной, круглосуточный график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Четыре или шесть настроек в день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Автоматическая синхронизация времени и даты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Автоматически переходит на летнее время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Защита от замерзания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Режим отпуска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Цветной сенсорный </a:t>
          </a:r>
          <a:r>
            <a:rPr lang="en-US" sz="1200">
              <a:effectLst/>
              <a:latin typeface="+mn-lt"/>
              <a:ea typeface="+mn-ea"/>
              <a:cs typeface="+mn-cs"/>
            </a:rPr>
            <a:t>TFT</a:t>
          </a:r>
          <a:r>
            <a:rPr lang="ru-RU" sz="1200">
              <a:effectLst/>
              <a:latin typeface="+mn-lt"/>
              <a:ea typeface="+mn-ea"/>
              <a:cs typeface="+mn-cs"/>
            </a:rPr>
            <a:t>-экран с диагональю 3,5 дюйма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Блокировка сенсорного экрана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Датчик внешней освещенности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Датчик влажности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Геозона</a:t>
          </a:r>
        </a:p>
        <a:p>
          <a:r>
            <a:rPr lang="en-US" sz="1200">
              <a:effectLst/>
              <a:latin typeface="+mn-lt"/>
              <a:ea typeface="+mn-ea"/>
              <a:cs typeface="+mn-cs"/>
            </a:rPr>
            <a:t>Modbus RS485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Напряжение питания: </a:t>
          </a:r>
          <a:r>
            <a:rPr lang="en-US" sz="1200">
              <a:effectLst/>
              <a:latin typeface="+mn-lt"/>
              <a:ea typeface="+mn-ea"/>
              <a:cs typeface="+mn-cs"/>
            </a:rPr>
            <a:t>~230</a:t>
          </a:r>
          <a:r>
            <a:rPr lang="ru-RU" sz="1200">
              <a:effectLst/>
              <a:latin typeface="+mn-lt"/>
              <a:ea typeface="+mn-ea"/>
              <a:cs typeface="+mn-cs"/>
            </a:rPr>
            <a:t> В</a:t>
          </a:r>
          <a:r>
            <a:rPr lang="en-US" sz="1200">
              <a:effectLst/>
              <a:latin typeface="+mn-lt"/>
              <a:ea typeface="+mn-ea"/>
              <a:cs typeface="+mn-cs"/>
            </a:rPr>
            <a:t> ±10%</a:t>
          </a:r>
          <a:r>
            <a:rPr lang="ru-RU" sz="1200">
              <a:effectLst/>
              <a:latin typeface="+mn-lt"/>
              <a:ea typeface="+mn-ea"/>
              <a:cs typeface="+mn-cs"/>
            </a:rPr>
            <a:t>, 50 Гц</a:t>
          </a:r>
        </a:p>
        <a:p>
          <a:r>
            <a:rPr lang="en-US" sz="1200">
              <a:effectLst/>
              <a:latin typeface="+mn-lt"/>
              <a:ea typeface="+mn-ea"/>
              <a:cs typeface="+mn-cs"/>
            </a:rPr>
            <a:t>WIFI - IEEE 802.11 b/g/n - 2.4ghz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Потребляемая мощность: </a:t>
          </a:r>
          <a:r>
            <a:rPr lang="en-US" sz="1200">
              <a:effectLst/>
              <a:latin typeface="+mn-lt"/>
              <a:ea typeface="+mn-ea"/>
              <a:cs typeface="+mn-cs"/>
            </a:rPr>
            <a:t>0,5</a:t>
          </a:r>
          <a:r>
            <a:rPr lang="ru-RU" sz="1200">
              <a:effectLst/>
              <a:latin typeface="+mn-lt"/>
              <a:ea typeface="+mn-ea"/>
              <a:cs typeface="+mn-cs"/>
            </a:rPr>
            <a:t> В·А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Релейная нагрузка 3-5 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Степень защиты: </a:t>
          </a:r>
          <a:r>
            <a:rPr lang="en-US" sz="1200">
              <a:effectLst/>
              <a:latin typeface="+mn-lt"/>
              <a:ea typeface="+mn-ea"/>
              <a:cs typeface="+mn-cs"/>
            </a:rPr>
            <a:t>IP21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Температура эксплуатации: 0...+</a:t>
          </a:r>
          <a:r>
            <a:rPr lang="en-US" sz="1200">
              <a:effectLst/>
              <a:latin typeface="+mn-lt"/>
              <a:ea typeface="+mn-ea"/>
              <a:cs typeface="+mn-cs"/>
            </a:rPr>
            <a:t>45</a:t>
          </a:r>
          <a:r>
            <a:rPr lang="ru-RU" sz="1200">
              <a:effectLst/>
              <a:latin typeface="+mn-lt"/>
              <a:ea typeface="+mn-ea"/>
              <a:cs typeface="+mn-cs"/>
            </a:rPr>
            <a:t>°С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Габариты (Ш×В×Г) : </a:t>
          </a:r>
          <a:r>
            <a:rPr lang="en-US" sz="1200">
              <a:effectLst/>
              <a:latin typeface="+mn-lt"/>
              <a:ea typeface="+mn-ea"/>
              <a:cs typeface="+mn-cs"/>
            </a:rPr>
            <a:t>9</a:t>
          </a:r>
          <a:r>
            <a:rPr lang="ru-RU" sz="1200">
              <a:effectLst/>
              <a:latin typeface="+mn-lt"/>
              <a:ea typeface="+mn-ea"/>
              <a:cs typeface="+mn-cs"/>
            </a:rPr>
            <a:t>6×86×</a:t>
          </a:r>
          <a:r>
            <a:rPr lang="en-US" sz="1200">
              <a:effectLst/>
              <a:latin typeface="+mn-lt"/>
              <a:ea typeface="+mn-ea"/>
              <a:cs typeface="+mn-cs"/>
            </a:rPr>
            <a:t>13,8</a:t>
          </a:r>
          <a:r>
            <a:rPr lang="ru-RU" sz="1200">
              <a:effectLst/>
              <a:latin typeface="+mn-lt"/>
              <a:ea typeface="+mn-ea"/>
              <a:cs typeface="+mn-cs"/>
            </a:rPr>
            <a:t>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Монтажная высота: 1500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Для 2-х и 4-х трубных систем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  <a:latin typeface="Calibri Light" panose="020F0302020204030204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 Light" panose="020F0302020204030204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0" i="0" u="none" strike="noStrike" kern="0" cap="none" spc="0" normalizeH="0" baseline="0" noProof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  <a:latin typeface="Calibri Light" panose="020F0302020204030204"/>
            </a:rPr>
            <a:t> </a:t>
          </a:r>
          <a:endParaRPr kumimoji="0" lang="en-US" sz="1200" b="0" i="0" u="none" strike="noStrike" kern="0" cap="none" spc="0" normalizeH="0" baseline="0" noProof="0">
            <a:ln w="0"/>
            <a:solidFill>
              <a:sysClr val="windowText" lastClr="00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  <a:latin typeface="Calibri Light" panose="020F0302020204030204"/>
          </a:endParaRPr>
        </a:p>
      </xdr:txBody>
    </xdr:sp>
    <xdr:clientData/>
  </xdr:oneCellAnchor>
  <xdr:twoCellAnchor editAs="oneCell">
    <xdr:from>
      <xdr:col>2</xdr:col>
      <xdr:colOff>54429</xdr:colOff>
      <xdr:row>93</xdr:row>
      <xdr:rowOff>95250</xdr:rowOff>
    </xdr:from>
    <xdr:to>
      <xdr:col>2</xdr:col>
      <xdr:colOff>2196110</xdr:colOff>
      <xdr:row>96</xdr:row>
      <xdr:rowOff>251113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00000000-0008-0000-2B00-00002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18855" t="17064" r="13131" b="10138"/>
        <a:stretch/>
      </xdr:blipFill>
      <xdr:spPr>
        <a:xfrm>
          <a:off x="6617154" y="53711475"/>
          <a:ext cx="2141681" cy="1641763"/>
        </a:xfrm>
        <a:prstGeom prst="rect">
          <a:avLst/>
        </a:prstGeom>
      </xdr:spPr>
    </xdr:pic>
    <xdr:clientData/>
  </xdr:twoCellAnchor>
  <xdr:twoCellAnchor editAs="oneCell">
    <xdr:from>
      <xdr:col>2</xdr:col>
      <xdr:colOff>145676</xdr:colOff>
      <xdr:row>59</xdr:row>
      <xdr:rowOff>129986</xdr:rowOff>
    </xdr:from>
    <xdr:to>
      <xdr:col>2</xdr:col>
      <xdr:colOff>2057782</xdr:colOff>
      <xdr:row>61</xdr:row>
      <xdr:rowOff>509896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00000000-0008-0000-2B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8401" y="40687436"/>
          <a:ext cx="1912106" cy="178961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54</xdr:row>
      <xdr:rowOff>134471</xdr:rowOff>
    </xdr:from>
    <xdr:to>
      <xdr:col>2</xdr:col>
      <xdr:colOff>1981776</xdr:colOff>
      <xdr:row>56</xdr:row>
      <xdr:rowOff>410471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00000000-0008-0000-2B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3225" y="36939071"/>
          <a:ext cx="1791276" cy="1800000"/>
        </a:xfrm>
        <a:prstGeom prst="rect">
          <a:avLst/>
        </a:prstGeom>
      </xdr:spPr>
    </xdr:pic>
    <xdr:clientData/>
  </xdr:twoCellAnchor>
  <xdr:oneCellAnchor>
    <xdr:from>
      <xdr:col>1</xdr:col>
      <xdr:colOff>246529</xdr:colOff>
      <xdr:row>57</xdr:row>
      <xdr:rowOff>750795</xdr:rowOff>
    </xdr:from>
    <xdr:ext cx="3913413" cy="3630706"/>
    <xdr:sp macro="" textlink="">
      <xdr:nvSpPr>
        <xdr:cNvPr id="49" name="Прямоугольник 48">
          <a:extLst>
            <a:ext uri="{FF2B5EF4-FFF2-40B4-BE49-F238E27FC236}">
              <a16:creationId xmlns:a16="http://schemas.microsoft.com/office/drawing/2014/main" id="{00000000-0008-0000-2B00-000031000000}"/>
            </a:ext>
          </a:extLst>
        </xdr:cNvPr>
        <xdr:cNvSpPr/>
      </xdr:nvSpPr>
      <xdr:spPr>
        <a:xfrm>
          <a:off x="2646829" y="39841395"/>
          <a:ext cx="3913413" cy="3630706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r>
            <a:rPr lang="ru-RU" sz="1200">
              <a:effectLst/>
              <a:latin typeface="+mn-lt"/>
              <a:ea typeface="+mn-ea"/>
              <a:cs typeface="+mn-cs"/>
            </a:rPr>
            <a:t>Стеклянная сенсорная панель белого цвета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Управление вентилятором  0-10 В </a:t>
          </a:r>
          <a:r>
            <a:rPr lang="ru-RU" sz="1100">
              <a:effectLst/>
              <a:latin typeface="+mn-lt"/>
              <a:ea typeface="+mn-ea"/>
              <a:cs typeface="+mn-cs"/>
            </a:rPr>
            <a:t>постоянного</a:t>
          </a:r>
          <a:r>
            <a:rPr lang="ru-RU" sz="1200">
              <a:effectLst/>
              <a:latin typeface="+mn-lt"/>
              <a:ea typeface="+mn-ea"/>
              <a:cs typeface="+mn-cs"/>
            </a:rPr>
            <a:t> тока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7 дней, будний / выходной, круглосуточный график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4 временных периода с разделением на будни и выходные дни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Цветной емкостный сенсорный</a:t>
          </a:r>
          <a:r>
            <a:rPr lang="ru-RU" sz="1200" baseline="0">
              <a:effectLst/>
              <a:latin typeface="+mn-lt"/>
              <a:ea typeface="+mn-ea"/>
              <a:cs typeface="+mn-cs"/>
            </a:rPr>
            <a:t> </a:t>
          </a:r>
          <a:r>
            <a:rPr lang="ru-RU" sz="1200">
              <a:effectLst/>
              <a:latin typeface="+mn-lt"/>
              <a:ea typeface="+mn-ea"/>
              <a:cs typeface="+mn-cs"/>
            </a:rPr>
            <a:t>экран 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Блокировка сенсорного экрана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Датчик </a:t>
          </a:r>
          <a:r>
            <a:rPr lang="en-US" sz="1200">
              <a:effectLst/>
              <a:latin typeface="+mn-lt"/>
              <a:ea typeface="+mn-ea"/>
              <a:cs typeface="+mn-cs"/>
            </a:rPr>
            <a:t>NTC3950,</a:t>
          </a:r>
          <a:r>
            <a:rPr lang="en-US" sz="1200" baseline="0">
              <a:effectLst/>
              <a:latin typeface="+mn-lt"/>
              <a:ea typeface="+mn-ea"/>
              <a:cs typeface="+mn-cs"/>
            </a:rPr>
            <a:t> 10K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Напряжение питания: </a:t>
          </a:r>
          <a:r>
            <a:rPr lang="en-US" sz="1200">
              <a:effectLst/>
              <a:latin typeface="+mn-lt"/>
              <a:ea typeface="+mn-ea"/>
              <a:cs typeface="+mn-cs"/>
            </a:rPr>
            <a:t>~230</a:t>
          </a:r>
          <a:r>
            <a:rPr lang="ru-RU" sz="1200">
              <a:effectLst/>
              <a:latin typeface="+mn-lt"/>
              <a:ea typeface="+mn-ea"/>
              <a:cs typeface="+mn-cs"/>
            </a:rPr>
            <a:t> В</a:t>
          </a:r>
          <a:r>
            <a:rPr lang="en-US" sz="1200">
              <a:effectLst/>
              <a:latin typeface="+mn-lt"/>
              <a:ea typeface="+mn-ea"/>
              <a:cs typeface="+mn-cs"/>
            </a:rPr>
            <a:t> ±10%</a:t>
          </a:r>
          <a:r>
            <a:rPr lang="ru-RU" sz="1200">
              <a:effectLst/>
              <a:latin typeface="+mn-lt"/>
              <a:ea typeface="+mn-ea"/>
              <a:cs typeface="+mn-cs"/>
            </a:rPr>
            <a:t>, 50 Гц</a:t>
          </a:r>
        </a:p>
        <a:p>
          <a:r>
            <a:rPr lang="en-US" sz="1200">
              <a:effectLst/>
              <a:latin typeface="+mn-lt"/>
              <a:ea typeface="+mn-ea"/>
              <a:cs typeface="+mn-cs"/>
            </a:rPr>
            <a:t>WIFI - IEEE 802.11 b/g/n - 2.4ghz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Потребляемая мощность: </a:t>
          </a:r>
          <a:r>
            <a:rPr lang="en-US" sz="1200">
              <a:effectLst/>
              <a:latin typeface="+mn-lt"/>
              <a:ea typeface="+mn-ea"/>
              <a:cs typeface="+mn-cs"/>
            </a:rPr>
            <a:t>&lt;1</a:t>
          </a:r>
          <a:r>
            <a:rPr lang="en-US" sz="1200" baseline="0">
              <a:effectLst/>
              <a:latin typeface="+mn-lt"/>
              <a:ea typeface="+mn-ea"/>
              <a:cs typeface="+mn-cs"/>
            </a:rPr>
            <a:t> </a:t>
          </a:r>
          <a:r>
            <a:rPr lang="ru-RU" sz="1200" baseline="0">
              <a:effectLst/>
              <a:latin typeface="+mn-lt"/>
              <a:ea typeface="+mn-ea"/>
              <a:cs typeface="+mn-cs"/>
            </a:rPr>
            <a:t>Вт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Релейная нагрузка 5 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Степень защиты: </a:t>
          </a:r>
          <a:r>
            <a:rPr lang="en-US" sz="1200">
              <a:effectLst/>
              <a:latin typeface="+mn-lt"/>
              <a:ea typeface="+mn-ea"/>
              <a:cs typeface="+mn-cs"/>
            </a:rPr>
            <a:t>IP2</a:t>
          </a:r>
          <a:r>
            <a:rPr lang="ru-RU" sz="1200">
              <a:effectLst/>
              <a:latin typeface="+mn-lt"/>
              <a:ea typeface="+mn-ea"/>
              <a:cs typeface="+mn-cs"/>
            </a:rPr>
            <a:t>0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Температура эксплуатации: 0...+</a:t>
          </a:r>
          <a:r>
            <a:rPr lang="en-US" sz="1200">
              <a:effectLst/>
              <a:latin typeface="+mn-lt"/>
              <a:ea typeface="+mn-ea"/>
              <a:cs typeface="+mn-cs"/>
            </a:rPr>
            <a:t>45</a:t>
          </a:r>
          <a:r>
            <a:rPr lang="ru-RU" sz="1200">
              <a:effectLst/>
              <a:latin typeface="+mn-lt"/>
              <a:ea typeface="+mn-ea"/>
              <a:cs typeface="+mn-cs"/>
            </a:rPr>
            <a:t>°С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Температура влажности:</a:t>
          </a:r>
          <a:r>
            <a:rPr lang="ru-RU" sz="1200" baseline="0">
              <a:effectLst/>
              <a:latin typeface="+mn-lt"/>
              <a:ea typeface="+mn-ea"/>
              <a:cs typeface="+mn-cs"/>
            </a:rPr>
            <a:t> 5-95% (без конденсата)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Габариты (Ш×В×Г) : 86×86×45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Монтажная высота: 1500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Для 2-х  трубных систем.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  <a:latin typeface="Calibri Light" panose="020F0302020204030204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 Light" panose="020F0302020204030204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0" i="0" u="none" strike="noStrike" kern="0" cap="none" spc="0" normalizeH="0" baseline="0" noProof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  <a:latin typeface="Calibri Light" panose="020F0302020204030204"/>
            </a:rPr>
            <a:t> </a:t>
          </a:r>
          <a:endParaRPr kumimoji="0" lang="en-US" sz="1200" b="0" i="0" u="none" strike="noStrike" kern="0" cap="none" spc="0" normalizeH="0" baseline="0" noProof="0">
            <a:ln w="0"/>
            <a:solidFill>
              <a:sysClr val="windowText" lastClr="00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  <a:latin typeface="Calibri Light" panose="020F0302020204030204"/>
          </a:endParaRPr>
        </a:p>
      </xdr:txBody>
    </xdr:sp>
    <xdr:clientData/>
  </xdr:oneCellAnchor>
  <xdr:oneCellAnchor>
    <xdr:from>
      <xdr:col>1</xdr:col>
      <xdr:colOff>268941</xdr:colOff>
      <xdr:row>53</xdr:row>
      <xdr:rowOff>134471</xdr:rowOff>
    </xdr:from>
    <xdr:ext cx="3913413" cy="3630706"/>
    <xdr:sp macro="" textlink="">
      <xdr:nvSpPr>
        <xdr:cNvPr id="50" name="Прямоугольник 49">
          <a:extLst>
            <a:ext uri="{FF2B5EF4-FFF2-40B4-BE49-F238E27FC236}">
              <a16:creationId xmlns:a16="http://schemas.microsoft.com/office/drawing/2014/main" id="{00000000-0008-0000-2B00-000032000000}"/>
            </a:ext>
          </a:extLst>
        </xdr:cNvPr>
        <xdr:cNvSpPr/>
      </xdr:nvSpPr>
      <xdr:spPr>
        <a:xfrm>
          <a:off x="2669241" y="36177071"/>
          <a:ext cx="3913413" cy="3630706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r>
            <a:rPr lang="ru-RU" sz="1200">
              <a:effectLst/>
              <a:latin typeface="+mn-lt"/>
              <a:ea typeface="+mn-ea"/>
              <a:cs typeface="+mn-cs"/>
            </a:rPr>
            <a:t>Стеклянная сенсорная панель черного цвета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Управление вентилятором  0-10 В </a:t>
          </a:r>
          <a:r>
            <a:rPr lang="ru-RU" sz="1100">
              <a:effectLst/>
              <a:latin typeface="+mn-lt"/>
              <a:ea typeface="+mn-ea"/>
              <a:cs typeface="+mn-cs"/>
            </a:rPr>
            <a:t>постоянного</a:t>
          </a:r>
          <a:r>
            <a:rPr lang="ru-RU" sz="1200">
              <a:effectLst/>
              <a:latin typeface="+mn-lt"/>
              <a:ea typeface="+mn-ea"/>
              <a:cs typeface="+mn-cs"/>
            </a:rPr>
            <a:t> тока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7 дней, будний / выходной, круглосуточный график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4 временных периода с разделением на будни и выходные дни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Цветной емкостный сенсорный</a:t>
          </a:r>
          <a:r>
            <a:rPr lang="ru-RU" sz="1200" baseline="0">
              <a:effectLst/>
              <a:latin typeface="+mn-lt"/>
              <a:ea typeface="+mn-ea"/>
              <a:cs typeface="+mn-cs"/>
            </a:rPr>
            <a:t> </a:t>
          </a:r>
          <a:r>
            <a:rPr lang="ru-RU" sz="1200">
              <a:effectLst/>
              <a:latin typeface="+mn-lt"/>
              <a:ea typeface="+mn-ea"/>
              <a:cs typeface="+mn-cs"/>
            </a:rPr>
            <a:t>экран 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Блокировка сенсорного экрана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Датчик </a:t>
          </a:r>
          <a:r>
            <a:rPr lang="en-US" sz="1200">
              <a:effectLst/>
              <a:latin typeface="+mn-lt"/>
              <a:ea typeface="+mn-ea"/>
              <a:cs typeface="+mn-cs"/>
            </a:rPr>
            <a:t>NTC3950,</a:t>
          </a:r>
          <a:r>
            <a:rPr lang="en-US" sz="1200" baseline="0">
              <a:effectLst/>
              <a:latin typeface="+mn-lt"/>
              <a:ea typeface="+mn-ea"/>
              <a:cs typeface="+mn-cs"/>
            </a:rPr>
            <a:t> 10K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Напряжение питания: </a:t>
          </a:r>
          <a:r>
            <a:rPr lang="en-US" sz="1200">
              <a:effectLst/>
              <a:latin typeface="+mn-lt"/>
              <a:ea typeface="+mn-ea"/>
              <a:cs typeface="+mn-cs"/>
            </a:rPr>
            <a:t>~230</a:t>
          </a:r>
          <a:r>
            <a:rPr lang="ru-RU" sz="1200">
              <a:effectLst/>
              <a:latin typeface="+mn-lt"/>
              <a:ea typeface="+mn-ea"/>
              <a:cs typeface="+mn-cs"/>
            </a:rPr>
            <a:t> В</a:t>
          </a:r>
          <a:r>
            <a:rPr lang="en-US" sz="1200">
              <a:effectLst/>
              <a:latin typeface="+mn-lt"/>
              <a:ea typeface="+mn-ea"/>
              <a:cs typeface="+mn-cs"/>
            </a:rPr>
            <a:t> ±10%</a:t>
          </a:r>
          <a:r>
            <a:rPr lang="ru-RU" sz="1200">
              <a:effectLst/>
              <a:latin typeface="+mn-lt"/>
              <a:ea typeface="+mn-ea"/>
              <a:cs typeface="+mn-cs"/>
            </a:rPr>
            <a:t>, 50 Гц</a:t>
          </a:r>
        </a:p>
        <a:p>
          <a:r>
            <a:rPr lang="en-US" sz="1200">
              <a:effectLst/>
              <a:latin typeface="+mn-lt"/>
              <a:ea typeface="+mn-ea"/>
              <a:cs typeface="+mn-cs"/>
            </a:rPr>
            <a:t>WIFI - IEEE 802.11 b/g/n - 2.4ghz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Потребляемая мощность: </a:t>
          </a:r>
          <a:r>
            <a:rPr lang="en-US" sz="1200">
              <a:effectLst/>
              <a:latin typeface="+mn-lt"/>
              <a:ea typeface="+mn-ea"/>
              <a:cs typeface="+mn-cs"/>
            </a:rPr>
            <a:t>&lt;1</a:t>
          </a:r>
          <a:r>
            <a:rPr lang="en-US" sz="1200" baseline="0">
              <a:effectLst/>
              <a:latin typeface="+mn-lt"/>
              <a:ea typeface="+mn-ea"/>
              <a:cs typeface="+mn-cs"/>
            </a:rPr>
            <a:t> </a:t>
          </a:r>
          <a:r>
            <a:rPr lang="ru-RU" sz="1200" baseline="0">
              <a:effectLst/>
              <a:latin typeface="+mn-lt"/>
              <a:ea typeface="+mn-ea"/>
              <a:cs typeface="+mn-cs"/>
            </a:rPr>
            <a:t>Вт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Релейная нагрузка 5 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Степень защиты: </a:t>
          </a:r>
          <a:r>
            <a:rPr lang="en-US" sz="1200">
              <a:effectLst/>
              <a:latin typeface="+mn-lt"/>
              <a:ea typeface="+mn-ea"/>
              <a:cs typeface="+mn-cs"/>
            </a:rPr>
            <a:t>IP2</a:t>
          </a:r>
          <a:r>
            <a:rPr lang="ru-RU" sz="1200">
              <a:effectLst/>
              <a:latin typeface="+mn-lt"/>
              <a:ea typeface="+mn-ea"/>
              <a:cs typeface="+mn-cs"/>
            </a:rPr>
            <a:t>0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Температура эксплуатации: 0...+</a:t>
          </a:r>
          <a:r>
            <a:rPr lang="en-US" sz="1200">
              <a:effectLst/>
              <a:latin typeface="+mn-lt"/>
              <a:ea typeface="+mn-ea"/>
              <a:cs typeface="+mn-cs"/>
            </a:rPr>
            <a:t>45</a:t>
          </a:r>
          <a:r>
            <a:rPr lang="ru-RU" sz="1200">
              <a:effectLst/>
              <a:latin typeface="+mn-lt"/>
              <a:ea typeface="+mn-ea"/>
              <a:cs typeface="+mn-cs"/>
            </a:rPr>
            <a:t>°С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Температура влажности:</a:t>
          </a:r>
          <a:r>
            <a:rPr lang="ru-RU" sz="1200" baseline="0">
              <a:effectLst/>
              <a:latin typeface="+mn-lt"/>
              <a:ea typeface="+mn-ea"/>
              <a:cs typeface="+mn-cs"/>
            </a:rPr>
            <a:t> 5-95% (без конденсата)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Габариты (Ш×В×Г) : 86×86×45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Монтажная высота: 1500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Для 2-х  трубных систем.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  <a:latin typeface="Calibri Light" panose="020F0302020204030204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 Light" panose="020F0302020204030204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0" i="0" u="none" strike="noStrike" kern="0" cap="none" spc="0" normalizeH="0" baseline="0" noProof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  <a:latin typeface="Calibri Light" panose="020F0302020204030204"/>
            </a:rPr>
            <a:t> </a:t>
          </a:r>
          <a:endParaRPr kumimoji="0" lang="en-US" sz="1200" b="0" i="0" u="none" strike="noStrike" kern="0" cap="none" spc="0" normalizeH="0" baseline="0" noProof="0">
            <a:ln w="0"/>
            <a:solidFill>
              <a:sysClr val="windowText" lastClr="00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  <a:latin typeface="Calibri Light" panose="020F0302020204030204"/>
          </a:endParaRPr>
        </a:p>
      </xdr:txBody>
    </xdr:sp>
    <xdr:clientData/>
  </xdr:oneCellAnchor>
  <xdr:oneCellAnchor>
    <xdr:from>
      <xdr:col>1</xdr:col>
      <xdr:colOff>289754</xdr:colOff>
      <xdr:row>73</xdr:row>
      <xdr:rowOff>43222</xdr:rowOff>
    </xdr:from>
    <xdr:ext cx="3776384" cy="2431676"/>
    <xdr:sp macro="" textlink="">
      <xdr:nvSpPr>
        <xdr:cNvPr id="51" name="Прямоугольник 50">
          <a:extLst>
            <a:ext uri="{FF2B5EF4-FFF2-40B4-BE49-F238E27FC236}">
              <a16:creationId xmlns:a16="http://schemas.microsoft.com/office/drawing/2014/main" id="{00000000-0008-0000-2B00-000033000000}"/>
            </a:ext>
          </a:extLst>
        </xdr:cNvPr>
        <xdr:cNvSpPr/>
      </xdr:nvSpPr>
      <xdr:spPr>
        <a:xfrm>
          <a:off x="2690054" y="43420072"/>
          <a:ext cx="3776384" cy="2431676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r>
            <a:rPr lang="ru-RU" sz="1200">
              <a:effectLst/>
              <a:latin typeface="+mn-lt"/>
              <a:ea typeface="+mn-ea"/>
              <a:cs typeface="+mn-cs"/>
            </a:rPr>
            <a:t>Накладной</a:t>
          </a:r>
          <a:r>
            <a:rPr lang="ru-RU" sz="1200" baseline="0">
              <a:effectLst/>
              <a:latin typeface="+mn-lt"/>
              <a:ea typeface="+mn-ea"/>
              <a:cs typeface="+mn-cs"/>
            </a:rPr>
            <a:t> монтаж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Стеклянная сенсорная панель черного цвета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3 скорости вентилятора + АВТО режим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Недельное программирование температуры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Напряжение питания: ~230 В ±10%, 50 Гц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Потребляемая мощность: 0,5 В·А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Нагрузка 3-5 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Степень защиты: </a:t>
          </a:r>
          <a:r>
            <a:rPr lang="en-US" sz="1200">
              <a:effectLst/>
              <a:latin typeface="+mn-lt"/>
              <a:ea typeface="+mn-ea"/>
              <a:cs typeface="+mn-cs"/>
            </a:rPr>
            <a:t>IP</a:t>
          </a:r>
          <a:r>
            <a:rPr lang="ru-RU" sz="1200">
              <a:effectLst/>
              <a:latin typeface="+mn-lt"/>
              <a:ea typeface="+mn-ea"/>
              <a:cs typeface="+mn-cs"/>
            </a:rPr>
            <a:t>30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Температура эксплуатации: 0...+45°С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Габариты (Ш×В×Г) : 96×86×32,5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Монтажная высота: 1500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Для 2-х трубной системы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200" b="0" i="0" baseline="0"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200">
            <a:effectLst/>
            <a:latin typeface="+mj-lt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</a:t>
          </a:r>
          <a:endParaRPr lang="en-US" sz="12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1</xdr:col>
      <xdr:colOff>311444</xdr:colOff>
      <xdr:row>78</xdr:row>
      <xdr:rowOff>82282</xdr:rowOff>
    </xdr:from>
    <xdr:ext cx="3776384" cy="2431676"/>
    <xdr:sp macro="" textlink="">
      <xdr:nvSpPr>
        <xdr:cNvPr id="52" name="Прямоугольник 51">
          <a:extLst>
            <a:ext uri="{FF2B5EF4-FFF2-40B4-BE49-F238E27FC236}">
              <a16:creationId xmlns:a16="http://schemas.microsoft.com/office/drawing/2014/main" id="{00000000-0008-0000-2B00-000034000000}"/>
            </a:ext>
          </a:extLst>
        </xdr:cNvPr>
        <xdr:cNvSpPr/>
      </xdr:nvSpPr>
      <xdr:spPr>
        <a:xfrm>
          <a:off x="2711744" y="45888007"/>
          <a:ext cx="3776384" cy="2431676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>
              <a:effectLst/>
              <a:latin typeface="+mn-lt"/>
              <a:ea typeface="+mn-ea"/>
              <a:cs typeface="+mn-cs"/>
            </a:rPr>
            <a:t>Накладной</a:t>
          </a:r>
          <a:r>
            <a:rPr lang="ru-RU" sz="1200" baseline="0">
              <a:effectLst/>
              <a:latin typeface="+mn-lt"/>
              <a:ea typeface="+mn-ea"/>
              <a:cs typeface="+mn-cs"/>
            </a:rPr>
            <a:t> монтаж</a:t>
          </a:r>
          <a:endParaRPr lang="ru-RU" sz="14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Стеклянная сенсорная панель белого цвета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3 скорости вентилятора + АВТО режим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Недельное программирование температуры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Напряжение питания: ~230 В ±10%, 50 Гц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Потребляемая мощность: 0,5 В·А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Нагрузка 3-5 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Степень защиты: </a:t>
          </a:r>
          <a:r>
            <a:rPr lang="en-US" sz="1200">
              <a:effectLst/>
              <a:latin typeface="+mn-lt"/>
              <a:ea typeface="+mn-ea"/>
              <a:cs typeface="+mn-cs"/>
            </a:rPr>
            <a:t>IP</a:t>
          </a:r>
          <a:r>
            <a:rPr lang="ru-RU" sz="1200">
              <a:effectLst/>
              <a:latin typeface="+mn-lt"/>
              <a:ea typeface="+mn-ea"/>
              <a:cs typeface="+mn-cs"/>
            </a:rPr>
            <a:t>30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Температура эксплуатации: 0...+45°С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Габариты (Ш×В×Г) </a:t>
          </a:r>
          <a:r>
            <a:rPr lang="ru-RU" sz="1100">
              <a:effectLst/>
              <a:latin typeface="+mn-lt"/>
              <a:ea typeface="+mn-ea"/>
              <a:cs typeface="+mn-cs"/>
            </a:rPr>
            <a:t>: </a:t>
          </a:r>
          <a:r>
            <a:rPr lang="ru-RU" sz="1200">
              <a:effectLst/>
              <a:latin typeface="+mn-lt"/>
              <a:ea typeface="+mn-ea"/>
              <a:cs typeface="+mn-cs"/>
            </a:rPr>
            <a:t>96×86×32,5 </a:t>
          </a:r>
          <a:r>
            <a:rPr lang="ru-RU" sz="1100">
              <a:effectLst/>
              <a:latin typeface="+mn-lt"/>
              <a:ea typeface="+mn-ea"/>
              <a:cs typeface="+mn-cs"/>
            </a:rPr>
            <a:t> </a:t>
          </a:r>
          <a:r>
            <a:rPr lang="ru-RU" sz="1200">
              <a:effectLst/>
              <a:latin typeface="+mn-lt"/>
              <a:ea typeface="+mn-ea"/>
              <a:cs typeface="+mn-cs"/>
            </a:rPr>
            <a:t>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Монтажная высота: 1500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Для 2-х трубной системы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200" b="0" i="0" baseline="0"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200">
            <a:effectLst/>
            <a:latin typeface="+mj-lt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</a:t>
          </a:r>
          <a:endParaRPr lang="en-US" sz="12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1</xdr:col>
      <xdr:colOff>300959</xdr:colOff>
      <xdr:row>83</xdr:row>
      <xdr:rowOff>99252</xdr:rowOff>
    </xdr:from>
    <xdr:ext cx="3776384" cy="2431676"/>
    <xdr:sp macro="" textlink="">
      <xdr:nvSpPr>
        <xdr:cNvPr id="53" name="Прямоугольник 52">
          <a:extLst>
            <a:ext uri="{FF2B5EF4-FFF2-40B4-BE49-F238E27FC236}">
              <a16:creationId xmlns:a16="http://schemas.microsoft.com/office/drawing/2014/main" id="{00000000-0008-0000-2B00-000035000000}"/>
            </a:ext>
          </a:extLst>
        </xdr:cNvPr>
        <xdr:cNvSpPr/>
      </xdr:nvSpPr>
      <xdr:spPr>
        <a:xfrm>
          <a:off x="2701259" y="48371952"/>
          <a:ext cx="3776384" cy="2431676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r>
            <a:rPr lang="ru-RU" sz="1200">
              <a:effectLst/>
              <a:latin typeface="+mn-lt"/>
              <a:ea typeface="+mn-ea"/>
              <a:cs typeface="+mn-cs"/>
            </a:rPr>
            <a:t>Накладной монтаж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Стеклянная сенсорная панель черного цвета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3 скорости вентилятора + АВТО режим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Недельное программирование температуры</a:t>
          </a:r>
        </a:p>
        <a:p>
          <a:r>
            <a:rPr lang="en-US" sz="1200">
              <a:effectLst/>
              <a:latin typeface="+mn-lt"/>
              <a:ea typeface="+mn-ea"/>
              <a:cs typeface="+mn-cs"/>
            </a:rPr>
            <a:t>WIFI </a:t>
          </a:r>
          <a:r>
            <a:rPr lang="ru-RU" sz="1200">
              <a:effectLst/>
              <a:latin typeface="+mn-lt"/>
              <a:ea typeface="+mn-ea"/>
              <a:cs typeface="+mn-cs"/>
            </a:rPr>
            <a:t>для </a:t>
          </a:r>
          <a:r>
            <a:rPr lang="en-US" sz="1200">
              <a:effectLst/>
              <a:latin typeface="+mn-lt"/>
              <a:ea typeface="+mn-ea"/>
              <a:cs typeface="+mn-cs"/>
            </a:rPr>
            <a:t>Android </a:t>
          </a:r>
          <a:r>
            <a:rPr lang="ru-RU" sz="1200">
              <a:effectLst/>
              <a:latin typeface="+mn-lt"/>
              <a:ea typeface="+mn-ea"/>
              <a:cs typeface="+mn-cs"/>
            </a:rPr>
            <a:t>и </a:t>
          </a:r>
          <a:r>
            <a:rPr lang="en-US" sz="1200">
              <a:effectLst/>
              <a:latin typeface="+mn-lt"/>
              <a:ea typeface="+mn-ea"/>
              <a:cs typeface="+mn-cs"/>
            </a:rPr>
            <a:t>IOS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Напряжение питания: ~230 В ±10%, 50 Гц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Потребляемая мощность: 0,5 В·А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Нагрузка 3-5 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Степень защиты: </a:t>
          </a:r>
          <a:r>
            <a:rPr lang="en-US" sz="1200">
              <a:effectLst/>
              <a:latin typeface="+mn-lt"/>
              <a:ea typeface="+mn-ea"/>
              <a:cs typeface="+mn-cs"/>
            </a:rPr>
            <a:t>IP</a:t>
          </a:r>
          <a:r>
            <a:rPr lang="ru-RU" sz="1200">
              <a:effectLst/>
              <a:latin typeface="+mn-lt"/>
              <a:ea typeface="+mn-ea"/>
              <a:cs typeface="+mn-cs"/>
            </a:rPr>
            <a:t>30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Температура эксплуатации: 0...+45°С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Габариты (Ш×В×Г) :</a:t>
          </a:r>
          <a:r>
            <a:rPr lang="ru-RU" sz="1100">
              <a:effectLst/>
              <a:latin typeface="+mn-lt"/>
              <a:ea typeface="+mn-ea"/>
              <a:cs typeface="+mn-cs"/>
            </a:rPr>
            <a:t> </a:t>
          </a:r>
          <a:r>
            <a:rPr lang="ru-RU" sz="1200">
              <a:effectLst/>
              <a:latin typeface="+mn-lt"/>
              <a:ea typeface="+mn-ea"/>
              <a:cs typeface="+mn-cs"/>
            </a:rPr>
            <a:t>96×86×32,5</a:t>
          </a:r>
          <a:r>
            <a:rPr lang="ru-RU" sz="1100">
              <a:effectLst/>
              <a:latin typeface="+mn-lt"/>
              <a:ea typeface="+mn-ea"/>
              <a:cs typeface="+mn-cs"/>
            </a:rPr>
            <a:t> </a:t>
          </a:r>
          <a:r>
            <a:rPr lang="ru-RU" sz="1200">
              <a:effectLst/>
              <a:latin typeface="+mn-lt"/>
              <a:ea typeface="+mn-ea"/>
              <a:cs typeface="+mn-cs"/>
            </a:rPr>
            <a:t>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Монтажная высота: 1500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Для 2-х трубной системы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200" b="0" i="0" baseline="0"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200">
            <a:effectLst/>
            <a:latin typeface="+mj-lt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</a:t>
          </a:r>
          <a:endParaRPr lang="en-US" sz="12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1</xdr:col>
      <xdr:colOff>323371</xdr:colOff>
      <xdr:row>88</xdr:row>
      <xdr:rowOff>99252</xdr:rowOff>
    </xdr:from>
    <xdr:ext cx="3776384" cy="2431676"/>
    <xdr:sp macro="" textlink="">
      <xdr:nvSpPr>
        <xdr:cNvPr id="54" name="Прямоугольник 53">
          <a:extLst>
            <a:ext uri="{FF2B5EF4-FFF2-40B4-BE49-F238E27FC236}">
              <a16:creationId xmlns:a16="http://schemas.microsoft.com/office/drawing/2014/main" id="{00000000-0008-0000-2B00-000036000000}"/>
            </a:ext>
          </a:extLst>
        </xdr:cNvPr>
        <xdr:cNvSpPr/>
      </xdr:nvSpPr>
      <xdr:spPr>
        <a:xfrm>
          <a:off x="2723671" y="51038952"/>
          <a:ext cx="3776384" cy="2431676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>
              <a:effectLst/>
              <a:latin typeface="+mn-lt"/>
              <a:ea typeface="+mn-ea"/>
              <a:cs typeface="+mn-cs"/>
            </a:rPr>
            <a:t>Накладной</a:t>
          </a:r>
          <a:r>
            <a:rPr lang="ru-RU" sz="1200" baseline="0">
              <a:effectLst/>
              <a:latin typeface="+mn-lt"/>
              <a:ea typeface="+mn-ea"/>
              <a:cs typeface="+mn-cs"/>
            </a:rPr>
            <a:t> монтаж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Стеклянная сенсорная панель белого цвета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3 скорости вентилятора + АВТО режим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Недельное программирование температуры</a:t>
          </a:r>
        </a:p>
        <a:p>
          <a:r>
            <a:rPr lang="en-US" sz="1200">
              <a:effectLst/>
              <a:latin typeface="+mn-lt"/>
              <a:ea typeface="+mn-ea"/>
              <a:cs typeface="+mn-cs"/>
            </a:rPr>
            <a:t>WIFI </a:t>
          </a:r>
          <a:r>
            <a:rPr lang="ru-RU" sz="1200">
              <a:effectLst/>
              <a:latin typeface="+mn-lt"/>
              <a:ea typeface="+mn-ea"/>
              <a:cs typeface="+mn-cs"/>
            </a:rPr>
            <a:t>для </a:t>
          </a:r>
          <a:r>
            <a:rPr lang="en-US" sz="1200">
              <a:effectLst/>
              <a:latin typeface="+mn-lt"/>
              <a:ea typeface="+mn-ea"/>
              <a:cs typeface="+mn-cs"/>
            </a:rPr>
            <a:t>Android </a:t>
          </a:r>
          <a:r>
            <a:rPr lang="ru-RU" sz="1200">
              <a:effectLst/>
              <a:latin typeface="+mn-lt"/>
              <a:ea typeface="+mn-ea"/>
              <a:cs typeface="+mn-cs"/>
            </a:rPr>
            <a:t>и </a:t>
          </a:r>
          <a:r>
            <a:rPr lang="en-US" sz="1200">
              <a:effectLst/>
              <a:latin typeface="+mn-lt"/>
              <a:ea typeface="+mn-ea"/>
              <a:cs typeface="+mn-cs"/>
            </a:rPr>
            <a:t>IOS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Напряжение питания: ~230 В ±10%, 50 Гц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Потребляемая мощность: 0,5 В·А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Нагрузка 3-5 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Степень защиты: </a:t>
          </a:r>
          <a:r>
            <a:rPr lang="en-US" sz="1200">
              <a:effectLst/>
              <a:latin typeface="+mn-lt"/>
              <a:ea typeface="+mn-ea"/>
              <a:cs typeface="+mn-cs"/>
            </a:rPr>
            <a:t>IP</a:t>
          </a:r>
          <a:r>
            <a:rPr lang="ru-RU" sz="1200">
              <a:effectLst/>
              <a:latin typeface="+mn-lt"/>
              <a:ea typeface="+mn-ea"/>
              <a:cs typeface="+mn-cs"/>
            </a:rPr>
            <a:t>30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Температура эксплуатации: 0...+45°С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Габариты (Ш×В×Г) : 96×86×32,5 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Монтажная высота: 1500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Для 2-х трубной системы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200" b="0" i="0" baseline="0"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200">
            <a:effectLst/>
            <a:latin typeface="+mj-lt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</a:t>
          </a:r>
          <a:endParaRPr lang="en-US" sz="12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8</xdr:col>
      <xdr:colOff>0</xdr:colOff>
      <xdr:row>74</xdr:row>
      <xdr:rowOff>235323</xdr:rowOff>
    </xdr:from>
    <xdr:ext cx="184731" cy="264560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00000000-0008-0000-2B00-000037000000}"/>
            </a:ext>
          </a:extLst>
        </xdr:cNvPr>
        <xdr:cNvSpPr txBox="1"/>
      </xdr:nvSpPr>
      <xdr:spPr>
        <a:xfrm>
          <a:off x="13449300" y="4408842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oneCellAnchor>
    <xdr:from>
      <xdr:col>8</xdr:col>
      <xdr:colOff>78441</xdr:colOff>
      <xdr:row>75</xdr:row>
      <xdr:rowOff>134470</xdr:rowOff>
    </xdr:from>
    <xdr:ext cx="184731" cy="264560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2B00-000038000000}"/>
            </a:ext>
          </a:extLst>
        </xdr:cNvPr>
        <xdr:cNvSpPr txBox="1"/>
      </xdr:nvSpPr>
      <xdr:spPr>
        <a:xfrm>
          <a:off x="13527741" y="444638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twoCellAnchor editAs="oneCell">
    <xdr:from>
      <xdr:col>2</xdr:col>
      <xdr:colOff>149677</xdr:colOff>
      <xdr:row>78</xdr:row>
      <xdr:rowOff>299357</xdr:rowOff>
    </xdr:from>
    <xdr:to>
      <xdr:col>2</xdr:col>
      <xdr:colOff>2054678</xdr:colOff>
      <xdr:row>80</xdr:row>
      <xdr:rowOff>472787</xdr:rowOff>
    </xdr:to>
    <xdr:pic>
      <xdr:nvPicPr>
        <xdr:cNvPr id="57" name="图片 12">
          <a:extLst>
            <a:ext uri="{FF2B5EF4-FFF2-40B4-BE49-F238E27FC236}">
              <a16:creationId xmlns:a16="http://schemas.microsoft.com/office/drawing/2014/main" id="{00000000-0008-0000-2B00-000039000000}"/>
            </a:ext>
          </a:extLst>
        </xdr:cNvPr>
        <xdr:cNvPicPr/>
      </xdr:nvPicPr>
      <xdr:blipFill>
        <a:blip xmlns:r="http://schemas.openxmlformats.org/officeDocument/2006/relationships" r:embed="rId12"/>
        <a:srcRect l="-8" t="-9" r="-8" b="-9"/>
        <a:stretch>
          <a:fillRect/>
        </a:stretch>
      </xdr:blipFill>
      <xdr:spPr bwMode="auto">
        <a:xfrm>
          <a:off x="6712402" y="46105082"/>
          <a:ext cx="1905001" cy="170089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73</xdr:row>
      <xdr:rowOff>262618</xdr:rowOff>
    </xdr:from>
    <xdr:to>
      <xdr:col>2</xdr:col>
      <xdr:colOff>2136321</xdr:colOff>
      <xdr:row>75</xdr:row>
      <xdr:rowOff>456458</xdr:rowOff>
    </xdr:to>
    <xdr:pic>
      <xdr:nvPicPr>
        <xdr:cNvPr id="58" name="图片 10">
          <a:extLst>
            <a:ext uri="{FF2B5EF4-FFF2-40B4-BE49-F238E27FC236}">
              <a16:creationId xmlns:a16="http://schemas.microsoft.com/office/drawing/2014/main" id="{00000000-0008-0000-2B00-00003A000000}"/>
            </a:ext>
          </a:extLst>
        </xdr:cNvPr>
        <xdr:cNvPicPr/>
      </xdr:nvPicPr>
      <xdr:blipFill>
        <a:blip xmlns:r="http://schemas.openxmlformats.org/officeDocument/2006/relationships" r:embed="rId13"/>
        <a:srcRect l="-8" t="-9" r="-8" b="-9"/>
        <a:stretch>
          <a:fillRect/>
        </a:stretch>
      </xdr:blipFill>
      <xdr:spPr bwMode="auto">
        <a:xfrm>
          <a:off x="6753225" y="43639468"/>
          <a:ext cx="1945821" cy="168320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88</xdr:row>
      <xdr:rowOff>326571</xdr:rowOff>
    </xdr:from>
    <xdr:to>
      <xdr:col>2</xdr:col>
      <xdr:colOff>1918607</xdr:colOff>
      <xdr:row>91</xdr:row>
      <xdr:rowOff>235404</xdr:rowOff>
    </xdr:to>
    <xdr:pic>
      <xdr:nvPicPr>
        <xdr:cNvPr id="59" name="图片 12">
          <a:extLst>
            <a:ext uri="{FF2B5EF4-FFF2-40B4-BE49-F238E27FC236}">
              <a16:creationId xmlns:a16="http://schemas.microsoft.com/office/drawing/2014/main" id="{00000000-0008-0000-2B00-00003B000000}"/>
            </a:ext>
          </a:extLst>
        </xdr:cNvPr>
        <xdr:cNvPicPr/>
      </xdr:nvPicPr>
      <xdr:blipFill>
        <a:blip xmlns:r="http://schemas.openxmlformats.org/officeDocument/2006/relationships" r:embed="rId12"/>
        <a:srcRect l="-8" t="-9" r="-8" b="-9"/>
        <a:stretch>
          <a:fillRect/>
        </a:stretch>
      </xdr:blipFill>
      <xdr:spPr bwMode="auto">
        <a:xfrm>
          <a:off x="6657975" y="51266271"/>
          <a:ext cx="1823357" cy="1632858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83</xdr:row>
      <xdr:rowOff>398689</xdr:rowOff>
    </xdr:from>
    <xdr:to>
      <xdr:col>2</xdr:col>
      <xdr:colOff>1973036</xdr:colOff>
      <xdr:row>86</xdr:row>
      <xdr:rowOff>345622</xdr:rowOff>
    </xdr:to>
    <xdr:pic>
      <xdr:nvPicPr>
        <xdr:cNvPr id="60" name="图片 10">
          <a:extLst>
            <a:ext uri="{FF2B5EF4-FFF2-40B4-BE49-F238E27FC236}">
              <a16:creationId xmlns:a16="http://schemas.microsoft.com/office/drawing/2014/main" id="{00000000-0008-0000-2B00-00003C000000}"/>
            </a:ext>
          </a:extLst>
        </xdr:cNvPr>
        <xdr:cNvPicPr/>
      </xdr:nvPicPr>
      <xdr:blipFill>
        <a:blip xmlns:r="http://schemas.openxmlformats.org/officeDocument/2006/relationships" r:embed="rId13"/>
        <a:srcRect l="-8" t="-9" r="-8" b="-9"/>
        <a:stretch>
          <a:fillRect/>
        </a:stretch>
      </xdr:blipFill>
      <xdr:spPr bwMode="auto">
        <a:xfrm>
          <a:off x="6753225" y="48671389"/>
          <a:ext cx="1782536" cy="1547133"/>
        </a:xfrm>
        <a:prstGeom prst="rect">
          <a:avLst/>
        </a:prstGeom>
      </xdr:spPr>
    </xdr:pic>
    <xdr:clientData/>
  </xdr:twoCellAnchor>
  <xdr:oneCellAnchor>
    <xdr:from>
      <xdr:col>8</xdr:col>
      <xdr:colOff>0</xdr:colOff>
      <xdr:row>74</xdr:row>
      <xdr:rowOff>235323</xdr:rowOff>
    </xdr:from>
    <xdr:ext cx="184731" cy="264560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2B00-00003D000000}"/>
            </a:ext>
          </a:extLst>
        </xdr:cNvPr>
        <xdr:cNvSpPr txBox="1"/>
      </xdr:nvSpPr>
      <xdr:spPr>
        <a:xfrm>
          <a:off x="13449300" y="4408842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oneCellAnchor>
    <xdr:from>
      <xdr:col>8</xdr:col>
      <xdr:colOff>78441</xdr:colOff>
      <xdr:row>75</xdr:row>
      <xdr:rowOff>134470</xdr:rowOff>
    </xdr:from>
    <xdr:ext cx="184731" cy="264560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0000000-0008-0000-2B00-00003E000000}"/>
            </a:ext>
          </a:extLst>
        </xdr:cNvPr>
        <xdr:cNvSpPr txBox="1"/>
      </xdr:nvSpPr>
      <xdr:spPr>
        <a:xfrm>
          <a:off x="13527741" y="444638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oneCellAnchor>
    <xdr:from>
      <xdr:col>1</xdr:col>
      <xdr:colOff>224118</xdr:colOff>
      <xdr:row>63</xdr:row>
      <xdr:rowOff>145677</xdr:rowOff>
    </xdr:from>
    <xdr:ext cx="3913413" cy="3630706"/>
    <xdr:sp macro="" textlink="">
      <xdr:nvSpPr>
        <xdr:cNvPr id="71" name="Прямоугольник 70">
          <a:extLst>
            <a:ext uri="{FF2B5EF4-FFF2-40B4-BE49-F238E27FC236}">
              <a16:creationId xmlns:a16="http://schemas.microsoft.com/office/drawing/2014/main" id="{00000000-0008-0000-2B00-000047000000}"/>
            </a:ext>
          </a:extLst>
        </xdr:cNvPr>
        <xdr:cNvSpPr/>
      </xdr:nvSpPr>
      <xdr:spPr>
        <a:xfrm>
          <a:off x="2624418" y="43522527"/>
          <a:ext cx="3913413" cy="3630706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r>
            <a:rPr lang="ru-RU" sz="1200">
              <a:effectLst/>
              <a:latin typeface="+mn-lt"/>
              <a:ea typeface="+mn-ea"/>
              <a:cs typeface="+mn-cs"/>
            </a:rPr>
            <a:t>Стеклянная сенсорная панель черного цвета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Управление вентилятором  0-10 В </a:t>
          </a:r>
          <a:r>
            <a:rPr lang="ru-RU" sz="1100">
              <a:effectLst/>
              <a:latin typeface="+mn-lt"/>
              <a:ea typeface="+mn-ea"/>
              <a:cs typeface="+mn-cs"/>
            </a:rPr>
            <a:t>постоянного</a:t>
          </a:r>
          <a:r>
            <a:rPr lang="ru-RU" sz="1200">
              <a:effectLst/>
              <a:latin typeface="+mn-lt"/>
              <a:ea typeface="+mn-ea"/>
              <a:cs typeface="+mn-cs"/>
            </a:rPr>
            <a:t> тока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7 дней, будний / выходной, круглосуточный график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4 временных периода с разделением на будни и выходные дни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Цветной емкостный сенсорный</a:t>
          </a:r>
          <a:r>
            <a:rPr lang="ru-RU" sz="1200" baseline="0">
              <a:effectLst/>
              <a:latin typeface="+mn-lt"/>
              <a:ea typeface="+mn-ea"/>
              <a:cs typeface="+mn-cs"/>
            </a:rPr>
            <a:t> </a:t>
          </a:r>
          <a:r>
            <a:rPr lang="ru-RU" sz="1200">
              <a:effectLst/>
              <a:latin typeface="+mn-lt"/>
              <a:ea typeface="+mn-ea"/>
              <a:cs typeface="+mn-cs"/>
            </a:rPr>
            <a:t>экран 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Блокировка сенсорного экрана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Датчик </a:t>
          </a:r>
          <a:r>
            <a:rPr lang="en-US" sz="1200">
              <a:effectLst/>
              <a:latin typeface="+mn-lt"/>
              <a:ea typeface="+mn-ea"/>
              <a:cs typeface="+mn-cs"/>
            </a:rPr>
            <a:t>NTC3950,</a:t>
          </a:r>
          <a:r>
            <a:rPr lang="en-US" sz="1200" baseline="0">
              <a:effectLst/>
              <a:latin typeface="+mn-lt"/>
              <a:ea typeface="+mn-ea"/>
              <a:cs typeface="+mn-cs"/>
            </a:rPr>
            <a:t> 10K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Напряжение питания: </a:t>
          </a:r>
          <a:r>
            <a:rPr lang="en-US" sz="1200">
              <a:effectLst/>
              <a:latin typeface="+mn-lt"/>
              <a:ea typeface="+mn-ea"/>
              <a:cs typeface="+mn-cs"/>
            </a:rPr>
            <a:t>~230</a:t>
          </a:r>
          <a:r>
            <a:rPr lang="ru-RU" sz="1200">
              <a:effectLst/>
              <a:latin typeface="+mn-lt"/>
              <a:ea typeface="+mn-ea"/>
              <a:cs typeface="+mn-cs"/>
            </a:rPr>
            <a:t> В</a:t>
          </a:r>
          <a:r>
            <a:rPr lang="en-US" sz="1200">
              <a:effectLst/>
              <a:latin typeface="+mn-lt"/>
              <a:ea typeface="+mn-ea"/>
              <a:cs typeface="+mn-cs"/>
            </a:rPr>
            <a:t> ±10%</a:t>
          </a:r>
          <a:r>
            <a:rPr lang="ru-RU" sz="1200">
              <a:effectLst/>
              <a:latin typeface="+mn-lt"/>
              <a:ea typeface="+mn-ea"/>
              <a:cs typeface="+mn-cs"/>
            </a:rPr>
            <a:t>, 50 Гц</a:t>
          </a:r>
        </a:p>
        <a:p>
          <a:r>
            <a:rPr lang="en-US" sz="1200">
              <a:effectLst/>
              <a:latin typeface="+mn-lt"/>
              <a:ea typeface="+mn-ea"/>
              <a:cs typeface="+mn-cs"/>
            </a:rPr>
            <a:t>WIFI - IEEE 802.11 b/g/n - 2.4ghz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en-US" sz="1200"/>
            <a:t>RS485 (Modbus)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Потребляемая мощность: </a:t>
          </a:r>
          <a:r>
            <a:rPr lang="en-US" sz="1200">
              <a:effectLst/>
              <a:latin typeface="+mn-lt"/>
              <a:ea typeface="+mn-ea"/>
              <a:cs typeface="+mn-cs"/>
            </a:rPr>
            <a:t>&lt;1</a:t>
          </a:r>
          <a:r>
            <a:rPr lang="en-US" sz="1200" baseline="0">
              <a:effectLst/>
              <a:latin typeface="+mn-lt"/>
              <a:ea typeface="+mn-ea"/>
              <a:cs typeface="+mn-cs"/>
            </a:rPr>
            <a:t> </a:t>
          </a:r>
          <a:r>
            <a:rPr lang="ru-RU" sz="1200" baseline="0">
              <a:effectLst/>
              <a:latin typeface="+mn-lt"/>
              <a:ea typeface="+mn-ea"/>
              <a:cs typeface="+mn-cs"/>
            </a:rPr>
            <a:t>Вт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Релейная нагрузка 5 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Степень защиты: </a:t>
          </a:r>
          <a:r>
            <a:rPr lang="en-US" sz="1200">
              <a:effectLst/>
              <a:latin typeface="+mn-lt"/>
              <a:ea typeface="+mn-ea"/>
              <a:cs typeface="+mn-cs"/>
            </a:rPr>
            <a:t>IP2</a:t>
          </a:r>
          <a:r>
            <a:rPr lang="ru-RU" sz="1200">
              <a:effectLst/>
              <a:latin typeface="+mn-lt"/>
              <a:ea typeface="+mn-ea"/>
              <a:cs typeface="+mn-cs"/>
            </a:rPr>
            <a:t>0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Температура эксплуатации: 0...+</a:t>
          </a:r>
          <a:r>
            <a:rPr lang="en-US" sz="1200">
              <a:effectLst/>
              <a:latin typeface="+mn-lt"/>
              <a:ea typeface="+mn-ea"/>
              <a:cs typeface="+mn-cs"/>
            </a:rPr>
            <a:t>45</a:t>
          </a:r>
          <a:r>
            <a:rPr lang="ru-RU" sz="1200">
              <a:effectLst/>
              <a:latin typeface="+mn-lt"/>
              <a:ea typeface="+mn-ea"/>
              <a:cs typeface="+mn-cs"/>
            </a:rPr>
            <a:t>°С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Температура влажности:</a:t>
          </a:r>
          <a:r>
            <a:rPr lang="ru-RU" sz="1200" baseline="0">
              <a:effectLst/>
              <a:latin typeface="+mn-lt"/>
              <a:ea typeface="+mn-ea"/>
              <a:cs typeface="+mn-cs"/>
            </a:rPr>
            <a:t> 5-95% (без конденсата)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Габариты (Ш×В×Г) : 86×86×45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Монтажная высота: 1500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Для 4-х  трубных систем.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  <a:latin typeface="Calibri Light" panose="020F0302020204030204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 Light" panose="020F0302020204030204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0" i="0" u="none" strike="noStrike" kern="0" cap="none" spc="0" normalizeH="0" baseline="0" noProof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  <a:latin typeface="Calibri Light" panose="020F0302020204030204"/>
            </a:rPr>
            <a:t> </a:t>
          </a:r>
          <a:endParaRPr kumimoji="0" lang="en-US" sz="1200" b="0" i="0" u="none" strike="noStrike" kern="0" cap="none" spc="0" normalizeH="0" baseline="0" noProof="0">
            <a:ln w="0"/>
            <a:solidFill>
              <a:sysClr val="windowText" lastClr="00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  <a:latin typeface="Calibri Light" panose="020F0302020204030204"/>
          </a:endParaRPr>
        </a:p>
      </xdr:txBody>
    </xdr:sp>
    <xdr:clientData/>
  </xdr:oneCellAnchor>
  <xdr:oneCellAnchor>
    <xdr:from>
      <xdr:col>1</xdr:col>
      <xdr:colOff>257735</xdr:colOff>
      <xdr:row>68</xdr:row>
      <xdr:rowOff>112059</xdr:rowOff>
    </xdr:from>
    <xdr:ext cx="3913413" cy="3630706"/>
    <xdr:sp macro="" textlink="">
      <xdr:nvSpPr>
        <xdr:cNvPr id="72" name="Прямоугольник 71">
          <a:extLst>
            <a:ext uri="{FF2B5EF4-FFF2-40B4-BE49-F238E27FC236}">
              <a16:creationId xmlns:a16="http://schemas.microsoft.com/office/drawing/2014/main" id="{00000000-0008-0000-2B00-000048000000}"/>
            </a:ext>
          </a:extLst>
        </xdr:cNvPr>
        <xdr:cNvSpPr/>
      </xdr:nvSpPr>
      <xdr:spPr>
        <a:xfrm>
          <a:off x="2658035" y="47298909"/>
          <a:ext cx="3913413" cy="3630706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r>
            <a:rPr lang="ru-RU" sz="1200">
              <a:effectLst/>
              <a:latin typeface="+mn-lt"/>
              <a:ea typeface="+mn-ea"/>
              <a:cs typeface="+mn-cs"/>
            </a:rPr>
            <a:t>Стеклянная сенсорная панель белого цвета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Управление вентилятором  0-10 В </a:t>
          </a:r>
          <a:r>
            <a:rPr lang="ru-RU" sz="1100">
              <a:effectLst/>
              <a:latin typeface="+mn-lt"/>
              <a:ea typeface="+mn-ea"/>
              <a:cs typeface="+mn-cs"/>
            </a:rPr>
            <a:t>постоянного</a:t>
          </a:r>
          <a:r>
            <a:rPr lang="ru-RU" sz="1200">
              <a:effectLst/>
              <a:latin typeface="+mn-lt"/>
              <a:ea typeface="+mn-ea"/>
              <a:cs typeface="+mn-cs"/>
            </a:rPr>
            <a:t> тока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7 дней, будний / выходной, круглосуточный график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4 временных периода с разделением на будни и выходные дни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Цветной емкостный сенсорный</a:t>
          </a:r>
          <a:r>
            <a:rPr lang="ru-RU" sz="1200" baseline="0">
              <a:effectLst/>
              <a:latin typeface="+mn-lt"/>
              <a:ea typeface="+mn-ea"/>
              <a:cs typeface="+mn-cs"/>
            </a:rPr>
            <a:t> </a:t>
          </a:r>
          <a:r>
            <a:rPr lang="ru-RU" sz="1200">
              <a:effectLst/>
              <a:latin typeface="+mn-lt"/>
              <a:ea typeface="+mn-ea"/>
              <a:cs typeface="+mn-cs"/>
            </a:rPr>
            <a:t>экран 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Блокировка сенсорного экрана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Датчик </a:t>
          </a:r>
          <a:r>
            <a:rPr lang="en-US" sz="1200">
              <a:effectLst/>
              <a:latin typeface="+mn-lt"/>
              <a:ea typeface="+mn-ea"/>
              <a:cs typeface="+mn-cs"/>
            </a:rPr>
            <a:t>NTC3950,</a:t>
          </a:r>
          <a:r>
            <a:rPr lang="en-US" sz="1200" baseline="0">
              <a:effectLst/>
              <a:latin typeface="+mn-lt"/>
              <a:ea typeface="+mn-ea"/>
              <a:cs typeface="+mn-cs"/>
            </a:rPr>
            <a:t> 10K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Напряжение питания: </a:t>
          </a:r>
          <a:r>
            <a:rPr lang="en-US" sz="1200">
              <a:effectLst/>
              <a:latin typeface="+mn-lt"/>
              <a:ea typeface="+mn-ea"/>
              <a:cs typeface="+mn-cs"/>
            </a:rPr>
            <a:t>~230</a:t>
          </a:r>
          <a:r>
            <a:rPr lang="ru-RU" sz="1200">
              <a:effectLst/>
              <a:latin typeface="+mn-lt"/>
              <a:ea typeface="+mn-ea"/>
              <a:cs typeface="+mn-cs"/>
            </a:rPr>
            <a:t> В</a:t>
          </a:r>
          <a:r>
            <a:rPr lang="en-US" sz="1200">
              <a:effectLst/>
              <a:latin typeface="+mn-lt"/>
              <a:ea typeface="+mn-ea"/>
              <a:cs typeface="+mn-cs"/>
            </a:rPr>
            <a:t> ±10%</a:t>
          </a:r>
          <a:r>
            <a:rPr lang="ru-RU" sz="1200">
              <a:effectLst/>
              <a:latin typeface="+mn-lt"/>
              <a:ea typeface="+mn-ea"/>
              <a:cs typeface="+mn-cs"/>
            </a:rPr>
            <a:t>, 50 Гц</a:t>
          </a:r>
        </a:p>
        <a:p>
          <a:r>
            <a:rPr lang="en-US" sz="1200">
              <a:effectLst/>
              <a:latin typeface="+mn-lt"/>
              <a:ea typeface="+mn-ea"/>
              <a:cs typeface="+mn-cs"/>
            </a:rPr>
            <a:t>WIFI - IEEE 802.11 b/g/n - 2.4ghz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en-US" sz="1200"/>
            <a:t>RS485 (Modbus)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Потребляемая мощность: </a:t>
          </a:r>
          <a:r>
            <a:rPr lang="en-US" sz="1200">
              <a:effectLst/>
              <a:latin typeface="+mn-lt"/>
              <a:ea typeface="+mn-ea"/>
              <a:cs typeface="+mn-cs"/>
            </a:rPr>
            <a:t>&lt;1</a:t>
          </a:r>
          <a:r>
            <a:rPr lang="en-US" sz="1200" baseline="0">
              <a:effectLst/>
              <a:latin typeface="+mn-lt"/>
              <a:ea typeface="+mn-ea"/>
              <a:cs typeface="+mn-cs"/>
            </a:rPr>
            <a:t> </a:t>
          </a:r>
          <a:r>
            <a:rPr lang="ru-RU" sz="1200" baseline="0">
              <a:effectLst/>
              <a:latin typeface="+mn-lt"/>
              <a:ea typeface="+mn-ea"/>
              <a:cs typeface="+mn-cs"/>
            </a:rPr>
            <a:t>Вт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Релейная нагрузка 5 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Степень защиты: </a:t>
          </a:r>
          <a:r>
            <a:rPr lang="en-US" sz="1200">
              <a:effectLst/>
              <a:latin typeface="+mn-lt"/>
              <a:ea typeface="+mn-ea"/>
              <a:cs typeface="+mn-cs"/>
            </a:rPr>
            <a:t>IP2</a:t>
          </a:r>
          <a:r>
            <a:rPr lang="ru-RU" sz="1200">
              <a:effectLst/>
              <a:latin typeface="+mn-lt"/>
              <a:ea typeface="+mn-ea"/>
              <a:cs typeface="+mn-cs"/>
            </a:rPr>
            <a:t>0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Температура эксплуатации: 0...+</a:t>
          </a:r>
          <a:r>
            <a:rPr lang="en-US" sz="1200">
              <a:effectLst/>
              <a:latin typeface="+mn-lt"/>
              <a:ea typeface="+mn-ea"/>
              <a:cs typeface="+mn-cs"/>
            </a:rPr>
            <a:t>45</a:t>
          </a:r>
          <a:r>
            <a:rPr lang="ru-RU" sz="1200">
              <a:effectLst/>
              <a:latin typeface="+mn-lt"/>
              <a:ea typeface="+mn-ea"/>
              <a:cs typeface="+mn-cs"/>
            </a:rPr>
            <a:t>°С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Температура влажности:</a:t>
          </a:r>
          <a:r>
            <a:rPr lang="ru-RU" sz="1200" baseline="0">
              <a:effectLst/>
              <a:latin typeface="+mn-lt"/>
              <a:ea typeface="+mn-ea"/>
              <a:cs typeface="+mn-cs"/>
            </a:rPr>
            <a:t> 5-95% (без конденсата)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Габариты (Ш×В×Г) : 86×86×45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Монтажная высота: 1500 мм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Для 4-х  трубных систем.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  <a:latin typeface="Calibri Light" panose="020F0302020204030204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 Light" panose="020F0302020204030204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0" i="0" u="none" strike="noStrike" kern="0" cap="none" spc="0" normalizeH="0" baseline="0" noProof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  <a:latin typeface="Calibri Light" panose="020F0302020204030204"/>
            </a:rPr>
            <a:t> </a:t>
          </a:r>
          <a:endParaRPr kumimoji="0" lang="en-US" sz="1200" b="0" i="0" u="none" strike="noStrike" kern="0" cap="none" spc="0" normalizeH="0" baseline="0" noProof="0">
            <a:ln w="0"/>
            <a:solidFill>
              <a:sysClr val="windowText" lastClr="00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  <a:latin typeface="Calibri Light" panose="020F0302020204030204"/>
          </a:endParaRPr>
        </a:p>
      </xdr:txBody>
    </xdr:sp>
    <xdr:clientData/>
  </xdr:oneCellAnchor>
  <xdr:twoCellAnchor editAs="oneCell">
    <xdr:from>
      <xdr:col>2</xdr:col>
      <xdr:colOff>138546</xdr:colOff>
      <xdr:row>69</xdr:row>
      <xdr:rowOff>186015</xdr:rowOff>
    </xdr:from>
    <xdr:to>
      <xdr:col>2</xdr:col>
      <xdr:colOff>2050652</xdr:colOff>
      <xdr:row>71</xdr:row>
      <xdr:rowOff>462015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00000000-0008-0000-2B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2137" y="48417151"/>
          <a:ext cx="1912106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183370</xdr:colOff>
      <xdr:row>64</xdr:row>
      <xdr:rowOff>242454</xdr:rowOff>
    </xdr:from>
    <xdr:to>
      <xdr:col>2</xdr:col>
      <xdr:colOff>1974646</xdr:colOff>
      <xdr:row>66</xdr:row>
      <xdr:rowOff>518454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00000000-0008-0000-2B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6961" y="44663590"/>
          <a:ext cx="1791276" cy="1800000"/>
        </a:xfrm>
        <a:prstGeom prst="rect">
          <a:avLst/>
        </a:prstGeom>
      </xdr:spPr>
    </xdr:pic>
    <xdr:clientData/>
  </xdr:twoCellAnchor>
  <xdr:oneCellAnchor>
    <xdr:from>
      <xdr:col>1</xdr:col>
      <xdr:colOff>451436</xdr:colOff>
      <xdr:row>114</xdr:row>
      <xdr:rowOff>107975</xdr:rowOff>
    </xdr:from>
    <xdr:ext cx="3038475" cy="1587475"/>
    <xdr:sp macro="" textlink="">
      <xdr:nvSpPr>
        <xdr:cNvPr id="67" name="Прямоугольник 66">
          <a:extLst>
            <a:ext uri="{FF2B5EF4-FFF2-40B4-BE49-F238E27FC236}">
              <a16:creationId xmlns:a16="http://schemas.microsoft.com/office/drawing/2014/main" id="{00000000-0008-0000-2B00-000043000000}"/>
            </a:ext>
          </a:extLst>
        </xdr:cNvPr>
        <xdr:cNvSpPr/>
      </xdr:nvSpPr>
      <xdr:spPr>
        <a:xfrm>
          <a:off x="2851736" y="80098925"/>
          <a:ext cx="3038475" cy="158747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r>
            <a:rPr lang="ru-RU" sz="1100" b="0" i="0">
              <a:effectLst/>
              <a:latin typeface="+mn-lt"/>
              <a:ea typeface="+mn-ea"/>
              <a:cs typeface="+mn-cs"/>
            </a:rPr>
            <a:t>Коробка открытого монтажа 1-местная</a:t>
          </a:r>
        </a:p>
        <a:p>
          <a:r>
            <a:rPr lang="ru-RU" sz="1100" b="0">
              <a:effectLst/>
              <a:latin typeface="+mn-lt"/>
              <a:ea typeface="+mn-ea"/>
              <a:cs typeface="+mn-cs"/>
            </a:rPr>
            <a:t>Степень защиты</a:t>
          </a:r>
          <a:r>
            <a:rPr lang="en-US" sz="1200">
              <a:effectLst/>
            </a:rPr>
            <a:t>I</a:t>
          </a:r>
          <a:r>
            <a:rPr lang="ru-RU" sz="1200">
              <a:effectLst/>
            </a:rPr>
            <a:t> </a:t>
          </a:r>
          <a:r>
            <a:rPr lang="en-US" sz="1200">
              <a:effectLst/>
            </a:rPr>
            <a:t>P20</a:t>
          </a:r>
          <a:endParaRPr lang="ru-RU" sz="1200">
            <a:effectLst/>
          </a:endParaRPr>
        </a:p>
        <a:p>
          <a:r>
            <a:rPr lang="ru-RU" sz="1100" b="0">
              <a:effectLst/>
              <a:latin typeface="+mn-lt"/>
              <a:ea typeface="+mn-ea"/>
              <a:cs typeface="+mn-cs"/>
            </a:rPr>
            <a:t>Материал </a:t>
          </a:r>
          <a:r>
            <a:rPr lang="ru-RU" sz="1200">
              <a:effectLst/>
            </a:rPr>
            <a:t>Пластик</a:t>
          </a:r>
        </a:p>
        <a:p>
          <a:r>
            <a:rPr lang="ru-RU" sz="1100" b="0">
              <a:effectLst/>
              <a:latin typeface="+mn-lt"/>
              <a:ea typeface="+mn-ea"/>
              <a:cs typeface="+mn-cs"/>
            </a:rPr>
            <a:t>Цвет </a:t>
          </a:r>
          <a:r>
            <a:rPr lang="ru-RU">
              <a:effectLst/>
            </a:rPr>
            <a:t>Белый</a:t>
          </a:r>
        </a:p>
        <a:p>
          <a:r>
            <a:rPr lang="ru-RU" sz="1100" b="0" i="0">
              <a:effectLst/>
              <a:latin typeface="+mn-lt"/>
              <a:ea typeface="+mn-ea"/>
              <a:cs typeface="+mn-cs"/>
            </a:rPr>
            <a:t>Количество выходов</a:t>
          </a:r>
          <a:r>
            <a:rPr lang="ru-RU" sz="1100" b="0" i="0" baseline="0">
              <a:effectLst/>
              <a:latin typeface="+mn-lt"/>
              <a:ea typeface="+mn-ea"/>
              <a:cs typeface="+mn-cs"/>
            </a:rPr>
            <a:t> </a:t>
          </a:r>
          <a:r>
            <a:rPr lang="ru-RU" sz="1100" b="0" i="0">
              <a:effectLst/>
              <a:latin typeface="+mn-lt"/>
              <a:ea typeface="+mn-ea"/>
              <a:cs typeface="+mn-cs"/>
            </a:rPr>
            <a:t>5шт.</a:t>
          </a:r>
        </a:p>
        <a:p>
          <a:r>
            <a:rPr lang="ru-RU" sz="1100" b="0" i="0">
              <a:effectLst/>
              <a:latin typeface="+mn-lt"/>
              <a:ea typeface="+mn-ea"/>
              <a:cs typeface="+mn-cs"/>
            </a:rPr>
            <a:t>Длина</a:t>
          </a:r>
          <a:r>
            <a:rPr lang="ru-RU" sz="1100" b="0" i="0" baseline="0">
              <a:effectLst/>
              <a:latin typeface="+mn-lt"/>
              <a:ea typeface="+mn-ea"/>
              <a:cs typeface="+mn-cs"/>
            </a:rPr>
            <a:t> </a:t>
          </a:r>
          <a:r>
            <a:rPr lang="ru-RU" sz="1100" b="0" i="0">
              <a:effectLst/>
              <a:latin typeface="+mn-lt"/>
              <a:ea typeface="+mn-ea"/>
              <a:cs typeface="+mn-cs"/>
            </a:rPr>
            <a:t>80мм</a:t>
          </a:r>
        </a:p>
        <a:p>
          <a:r>
            <a:rPr lang="ru-RU" sz="1100" b="0" i="0">
              <a:effectLst/>
              <a:latin typeface="+mn-lt"/>
              <a:ea typeface="+mn-ea"/>
              <a:cs typeface="+mn-cs"/>
            </a:rPr>
            <a:t>Ширина</a:t>
          </a:r>
          <a:r>
            <a:rPr lang="ru-RU" sz="1100" b="0" i="0" baseline="0">
              <a:effectLst/>
              <a:latin typeface="+mn-lt"/>
              <a:ea typeface="+mn-ea"/>
              <a:cs typeface="+mn-cs"/>
            </a:rPr>
            <a:t> </a:t>
          </a:r>
          <a:r>
            <a:rPr lang="ru-RU" sz="1100" b="0" i="0">
              <a:effectLst/>
              <a:latin typeface="+mn-lt"/>
              <a:ea typeface="+mn-ea"/>
              <a:cs typeface="+mn-cs"/>
            </a:rPr>
            <a:t>80мм</a:t>
          </a:r>
        </a:p>
        <a:p>
          <a:r>
            <a:rPr lang="ru-RU" sz="1100" b="0" i="0">
              <a:effectLst/>
              <a:latin typeface="+mn-lt"/>
              <a:ea typeface="+mn-ea"/>
              <a:cs typeface="+mn-cs"/>
            </a:rPr>
            <a:t>Глубина</a:t>
          </a:r>
          <a:r>
            <a:rPr lang="ru-RU" sz="1100" b="0" i="0" baseline="0">
              <a:effectLst/>
              <a:latin typeface="+mn-lt"/>
              <a:ea typeface="+mn-ea"/>
              <a:cs typeface="+mn-cs"/>
            </a:rPr>
            <a:t> </a:t>
          </a:r>
          <a:r>
            <a:rPr lang="ru-RU" sz="1100" b="0" i="0">
              <a:effectLst/>
              <a:latin typeface="+mn-lt"/>
              <a:ea typeface="+mn-ea"/>
              <a:cs typeface="+mn-cs"/>
            </a:rPr>
            <a:t>37мм</a:t>
          </a:r>
        </a:p>
        <a:p>
          <a:endParaRPr lang="en-US" sz="12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j-lt"/>
          </a:endParaRPr>
        </a:p>
      </xdr:txBody>
    </xdr:sp>
    <xdr:clientData/>
  </xdr:oneCellAnchor>
  <xdr:oneCellAnchor>
    <xdr:from>
      <xdr:col>1</xdr:col>
      <xdr:colOff>397006</xdr:colOff>
      <xdr:row>112</xdr:row>
      <xdr:rowOff>475450</xdr:rowOff>
    </xdr:from>
    <xdr:ext cx="3753172" cy="1905800"/>
    <xdr:sp macro="" textlink="">
      <xdr:nvSpPr>
        <xdr:cNvPr id="68" name="Прямоугольник 67">
          <a:extLst>
            <a:ext uri="{FF2B5EF4-FFF2-40B4-BE49-F238E27FC236}">
              <a16:creationId xmlns:a16="http://schemas.microsoft.com/office/drawing/2014/main" id="{00000000-0008-0000-2B00-000044000000}"/>
            </a:ext>
          </a:extLst>
        </xdr:cNvPr>
        <xdr:cNvSpPr/>
      </xdr:nvSpPr>
      <xdr:spPr>
        <a:xfrm>
          <a:off x="2797306" y="77618425"/>
          <a:ext cx="3753172" cy="1905800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r>
            <a:rPr lang="ru-RU" sz="1100" b="0" i="0">
              <a:effectLst/>
              <a:latin typeface="+mn-lt"/>
              <a:ea typeface="+mn-ea"/>
              <a:cs typeface="+mn-cs"/>
            </a:rPr>
            <a:t>Используется для установки в стены из гипсокартона.</a:t>
          </a:r>
          <a:br>
            <a:rPr lang="ru-RU"/>
          </a:br>
          <a:r>
            <a:rPr lang="ru-RU" sz="1100" b="0" i="0">
              <a:effectLst/>
              <a:latin typeface="+mn-lt"/>
              <a:ea typeface="+mn-ea"/>
              <a:cs typeface="+mn-cs"/>
            </a:rPr>
            <a:t>Подходит для комнатных термостатов, задняя часть которых представляет собой квадрат со стороной от 63 мм и до 69 мм (не включительно).</a:t>
          </a:r>
        </a:p>
        <a:p>
          <a:r>
            <a:rPr lang="ru-RU" sz="1100" b="0" i="0">
              <a:effectLst/>
              <a:latin typeface="+mn-lt"/>
              <a:ea typeface="+mn-ea"/>
              <a:cs typeface="+mn-cs"/>
            </a:rPr>
            <a:t>Размер полой части (для размещения задней части термостата): 69</a:t>
          </a:r>
          <a:r>
            <a:rPr lang="en-US" sz="1100" b="0" i="0">
              <a:effectLst/>
              <a:latin typeface="+mn-lt"/>
              <a:ea typeface="+mn-ea"/>
              <a:cs typeface="+mn-cs"/>
            </a:rPr>
            <a:t>x69 </a:t>
          </a:r>
          <a:r>
            <a:rPr lang="ru-RU" sz="1100" b="0" i="0">
              <a:effectLst/>
              <a:latin typeface="+mn-lt"/>
              <a:ea typeface="+mn-ea"/>
              <a:cs typeface="+mn-cs"/>
            </a:rPr>
            <a:t>мм, глубина 47 мм</a:t>
          </a:r>
        </a:p>
        <a:p>
          <a:r>
            <a:rPr lang="ru-RU" sz="1100" b="0" i="0">
              <a:effectLst/>
              <a:latin typeface="+mn-lt"/>
              <a:ea typeface="+mn-ea"/>
              <a:cs typeface="+mn-cs"/>
            </a:rPr>
            <a:t>Перфорированный (выламывается) вывод под кабели питания: есть, круглый</a:t>
          </a:r>
        </a:p>
        <a:p>
          <a:r>
            <a:rPr lang="ru-RU" sz="1100" b="0" i="0">
              <a:effectLst/>
              <a:latin typeface="+mn-lt"/>
              <a:ea typeface="+mn-ea"/>
              <a:cs typeface="+mn-cs"/>
            </a:rPr>
            <a:t>Ориентация монтажа: горизонтальная, вертикальная</a:t>
          </a:r>
        </a:p>
        <a:p>
          <a:r>
            <a:rPr lang="ru-RU" sz="1100" b="0" i="0">
              <a:effectLst/>
              <a:latin typeface="+mn-lt"/>
              <a:ea typeface="+mn-ea"/>
              <a:cs typeface="+mn-cs"/>
            </a:rPr>
            <a:t>Степень защиты: </a:t>
          </a:r>
          <a:r>
            <a:rPr lang="en-US" sz="1100" b="0" i="0">
              <a:effectLst/>
              <a:latin typeface="+mn-lt"/>
              <a:ea typeface="+mn-ea"/>
              <a:cs typeface="+mn-cs"/>
            </a:rPr>
            <a:t>IP20</a:t>
          </a:r>
        </a:p>
        <a:p>
          <a:r>
            <a:rPr lang="ru-RU" sz="1100" b="0" i="0">
              <a:effectLst/>
              <a:latin typeface="+mn-lt"/>
              <a:ea typeface="+mn-ea"/>
              <a:cs typeface="+mn-cs"/>
            </a:rPr>
            <a:t>Материал: пластик</a:t>
          </a:r>
        </a:p>
        <a:p>
          <a:r>
            <a:rPr lang="ru-RU" sz="1100" b="0" i="0">
              <a:effectLst/>
              <a:latin typeface="+mn-lt"/>
              <a:ea typeface="+mn-ea"/>
              <a:cs typeface="+mn-cs"/>
            </a:rPr>
            <a:t>Цвет: белый</a:t>
          </a:r>
        </a:p>
        <a:p>
          <a:r>
            <a:rPr lang="ru-RU" sz="1100" b="0" i="0">
              <a:effectLst/>
              <a:latin typeface="+mn-lt"/>
              <a:ea typeface="+mn-ea"/>
              <a:cs typeface="+mn-cs"/>
            </a:rPr>
            <a:t>Лапки для захвата гипсокартонной стены: 2 штуки</a:t>
          </a:r>
        </a:p>
      </xdr:txBody>
    </xdr:sp>
    <xdr:clientData/>
  </xdr:oneCellAnchor>
  <xdr:twoCellAnchor editAs="oneCell">
    <xdr:from>
      <xdr:col>2</xdr:col>
      <xdr:colOff>190500</xdr:colOff>
      <xdr:row>113</xdr:row>
      <xdr:rowOff>277091</xdr:rowOff>
    </xdr:from>
    <xdr:to>
      <xdr:col>2</xdr:col>
      <xdr:colOff>2051136</xdr:colOff>
      <xdr:row>113</xdr:row>
      <xdr:rowOff>2095500</xdr:rowOff>
    </xdr:to>
    <xdr:pic>
      <xdr:nvPicPr>
        <xdr:cNvPr id="73" name="Рисунок 72" descr="Коробка установочная квадратная (GDL1) 83x83x50 мм для термостатов Siemens, Schneider Electric, Xiaomi Aqara ">
          <a:extLst>
            <a:ext uri="{FF2B5EF4-FFF2-40B4-BE49-F238E27FC236}">
              <a16:creationId xmlns:a16="http://schemas.microsoft.com/office/drawing/2014/main" id="{00000000-0008-0000-2B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4091" y="81066409"/>
          <a:ext cx="1860636" cy="1818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103909</xdr:colOff>
      <xdr:row>114</xdr:row>
      <xdr:rowOff>121227</xdr:rowOff>
    </xdr:from>
    <xdr:to>
      <xdr:col>2</xdr:col>
      <xdr:colOff>2164773</xdr:colOff>
      <xdr:row>114</xdr:row>
      <xdr:rowOff>1956955</xdr:rowOff>
    </xdr:to>
    <xdr:pic>
      <xdr:nvPicPr>
        <xdr:cNvPr id="74" name="Рисунок 73" descr="https://simon-russia.com/uploads/market/product/origin/1596317225ik467j7649681.jpg">
          <a:extLst>
            <a:ext uri="{FF2B5EF4-FFF2-40B4-BE49-F238E27FC236}">
              <a16:creationId xmlns:a16="http://schemas.microsoft.com/office/drawing/2014/main" id="{00000000-0008-0000-2B00-00004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036" b="6775"/>
        <a:stretch/>
      </xdr:blipFill>
      <xdr:spPr bwMode="auto">
        <a:xfrm>
          <a:off x="6667500" y="83283136"/>
          <a:ext cx="2060864" cy="183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542925</xdr:colOff>
      <xdr:row>16</xdr:row>
      <xdr:rowOff>85726</xdr:rowOff>
    </xdr:from>
    <xdr:to>
      <xdr:col>2</xdr:col>
      <xdr:colOff>1880462</xdr:colOff>
      <xdr:row>16</xdr:row>
      <xdr:rowOff>1009649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105775" y="24841201"/>
          <a:ext cx="1337537" cy="923923"/>
        </a:xfrm>
        <a:prstGeom prst="rect">
          <a:avLst/>
        </a:prstGeom>
      </xdr:spPr>
    </xdr:pic>
    <xdr:clientData/>
  </xdr:twoCellAnchor>
  <xdr:oneCellAnchor>
    <xdr:from>
      <xdr:col>2</xdr:col>
      <xdr:colOff>713014</xdr:colOff>
      <xdr:row>3</xdr:row>
      <xdr:rowOff>366372</xdr:rowOff>
    </xdr:from>
    <xdr:ext cx="1304925" cy="978694"/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275864" y="2042772"/>
          <a:ext cx="1304925" cy="978694"/>
        </a:xfrm>
        <a:prstGeom prst="rect">
          <a:avLst/>
        </a:prstGeom>
      </xdr:spPr>
    </xdr:pic>
    <xdr:clientData/>
  </xdr:oneCellAnchor>
  <xdr:oneCellAnchor>
    <xdr:from>
      <xdr:col>2</xdr:col>
      <xdr:colOff>171451</xdr:colOff>
      <xdr:row>6</xdr:row>
      <xdr:rowOff>1104901</xdr:rowOff>
    </xdr:from>
    <xdr:ext cx="868710" cy="600074"/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2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34301" y="6534151"/>
          <a:ext cx="868710" cy="600074"/>
        </a:xfrm>
        <a:prstGeom prst="rect">
          <a:avLst/>
        </a:prstGeom>
      </xdr:spPr>
    </xdr:pic>
    <xdr:clientData/>
  </xdr:oneCellAnchor>
  <xdr:oneCellAnchor>
    <xdr:from>
      <xdr:col>2</xdr:col>
      <xdr:colOff>1162050</xdr:colOff>
      <xdr:row>6</xdr:row>
      <xdr:rowOff>502443</xdr:rowOff>
    </xdr:from>
    <xdr:ext cx="1304925" cy="978694"/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2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724900" y="5931693"/>
          <a:ext cx="1304925" cy="978694"/>
        </a:xfrm>
        <a:prstGeom prst="rect">
          <a:avLst/>
        </a:prstGeom>
      </xdr:spPr>
    </xdr:pic>
    <xdr:clientData/>
  </xdr:oneCellAnchor>
  <xdr:oneCellAnchor>
    <xdr:from>
      <xdr:col>1</xdr:col>
      <xdr:colOff>67235</xdr:colOff>
      <xdr:row>6</xdr:row>
      <xdr:rowOff>86845</xdr:rowOff>
    </xdr:from>
    <xdr:ext cx="5021836" cy="1600200"/>
    <xdr:sp macro="" textlink="">
      <xdr:nvSpPr>
        <xdr:cNvPr id="7" name="Прямоугольник 6">
          <a:extLst>
            <a:ext uri="{FF2B5EF4-FFF2-40B4-BE49-F238E27FC236}">
              <a16:creationId xmlns:a16="http://schemas.microsoft.com/office/drawing/2014/main" id="{00000000-0008-0000-2A00-000007000000}"/>
            </a:ext>
          </a:extLst>
        </xdr:cNvPr>
        <xdr:cNvSpPr/>
      </xdr:nvSpPr>
      <xdr:spPr>
        <a:xfrm>
          <a:off x="1867460" y="5516095"/>
          <a:ext cx="5021836" cy="1600200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l"/>
          <a:r>
            <a:rPr lang="ru-RU" sz="1200" b="1">
              <a:effectLst/>
              <a:latin typeface="+mn-lt"/>
              <a:ea typeface="+mn-ea"/>
              <a:cs typeface="+mn-cs"/>
            </a:rPr>
            <a:t>Комплект подключения внутрипольного конвектора №3</a:t>
          </a:r>
        </a:p>
        <a:p>
          <a:pPr algn="l"/>
          <a:endParaRPr lang="ru-RU" sz="1200" b="1">
            <a:effectLst/>
            <a:latin typeface="+mn-lt"/>
            <a:ea typeface="+mn-ea"/>
            <a:cs typeface="+mn-cs"/>
          </a:endParaRPr>
        </a:p>
        <a:p>
          <a:pPr algn="l"/>
          <a:r>
            <a:rPr lang="ru-RU" sz="1200">
              <a:effectLst/>
              <a:latin typeface="+mn-lt"/>
              <a:ea typeface="+mn-ea"/>
              <a:cs typeface="+mn-cs"/>
            </a:rPr>
            <a:t>Вентиль термостатический (прямой) </a:t>
          </a:r>
          <a:r>
            <a:rPr lang="en-US" sz="1200">
              <a:effectLst/>
              <a:latin typeface="+mn-lt"/>
              <a:ea typeface="+mn-ea"/>
              <a:cs typeface="+mn-cs"/>
            </a:rPr>
            <a:t>G</a:t>
          </a:r>
          <a:r>
            <a:rPr lang="ru-RU" sz="1200">
              <a:effectLst/>
              <a:latin typeface="+mn-lt"/>
              <a:ea typeface="+mn-ea"/>
              <a:cs typeface="+mn-cs"/>
            </a:rPr>
            <a:t>1/2''                     1 шт.</a:t>
          </a:r>
        </a:p>
        <a:p>
          <a:pPr algn="l"/>
          <a:r>
            <a:rPr lang="ru-RU" sz="1200">
              <a:effectLst/>
              <a:latin typeface="+mn-lt"/>
              <a:ea typeface="+mn-ea"/>
              <a:cs typeface="+mn-cs"/>
            </a:rPr>
            <a:t>Вентиль обратный (прямой)                                                 1 шт.</a:t>
          </a:r>
        </a:p>
        <a:p>
          <a:pPr algn="l"/>
          <a:r>
            <a:rPr lang="ru-RU" sz="1200">
              <a:effectLst/>
              <a:latin typeface="+mn-lt"/>
              <a:ea typeface="+mn-ea"/>
              <a:cs typeface="+mn-cs"/>
            </a:rPr>
            <a:t>Гибкие шланги из нержавеющей стали длиной 100мм ВН </a:t>
          </a:r>
          <a:r>
            <a:rPr lang="en-US" sz="1200">
              <a:effectLst/>
              <a:latin typeface="+mn-lt"/>
              <a:ea typeface="+mn-ea"/>
              <a:cs typeface="+mn-cs"/>
            </a:rPr>
            <a:t>G</a:t>
          </a:r>
          <a:r>
            <a:rPr lang="ru-RU" sz="1200">
              <a:effectLst/>
              <a:latin typeface="+mn-lt"/>
              <a:ea typeface="+mn-ea"/>
              <a:cs typeface="+mn-cs"/>
            </a:rPr>
            <a:t>1/2''                                                                                          2 шт.</a:t>
          </a:r>
        </a:p>
      </xdr:txBody>
    </xdr:sp>
    <xdr:clientData/>
  </xdr:oneCellAnchor>
  <xdr:oneCellAnchor>
    <xdr:from>
      <xdr:col>2</xdr:col>
      <xdr:colOff>1152525</xdr:colOff>
      <xdr:row>4</xdr:row>
      <xdr:rowOff>409575</xdr:rowOff>
    </xdr:from>
    <xdr:ext cx="1304925" cy="978694"/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2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715375" y="3962400"/>
          <a:ext cx="1304925" cy="978694"/>
        </a:xfrm>
        <a:prstGeom prst="rect">
          <a:avLst/>
        </a:prstGeom>
      </xdr:spPr>
    </xdr:pic>
    <xdr:clientData/>
  </xdr:oneCellAnchor>
  <xdr:oneCellAnchor>
    <xdr:from>
      <xdr:col>1</xdr:col>
      <xdr:colOff>100853</xdr:colOff>
      <xdr:row>4</xdr:row>
      <xdr:rowOff>112059</xdr:rowOff>
    </xdr:from>
    <xdr:ext cx="4000500" cy="1600200"/>
    <xdr:sp macro="" textlink="">
      <xdr:nvSpPr>
        <xdr:cNvPr id="9" name="Прямоугольник 8">
          <a:extLst>
            <a:ext uri="{FF2B5EF4-FFF2-40B4-BE49-F238E27FC236}">
              <a16:creationId xmlns:a16="http://schemas.microsoft.com/office/drawing/2014/main" id="{00000000-0008-0000-2A00-000009000000}"/>
            </a:ext>
          </a:extLst>
        </xdr:cNvPr>
        <xdr:cNvSpPr/>
      </xdr:nvSpPr>
      <xdr:spPr>
        <a:xfrm>
          <a:off x="1901078" y="3664884"/>
          <a:ext cx="4000500" cy="1600200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r>
            <a:rPr lang="ru-RU" sz="1200" b="1">
              <a:effectLst/>
              <a:latin typeface="+mn-lt"/>
              <a:ea typeface="+mn-ea"/>
              <a:cs typeface="+mn-cs"/>
            </a:rPr>
            <a:t>Комплект подключения внутрипольного конвектора №2</a:t>
          </a:r>
        </a:p>
        <a:p>
          <a:endParaRPr lang="ru-RU" sz="1200" b="1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Вентили шаровые (прямой) </a:t>
          </a:r>
          <a:r>
            <a:rPr lang="en-US" sz="1200">
              <a:effectLst/>
              <a:latin typeface="+mn-lt"/>
              <a:ea typeface="+mn-ea"/>
              <a:cs typeface="+mn-cs"/>
            </a:rPr>
            <a:t>G</a:t>
          </a:r>
          <a:r>
            <a:rPr lang="ru-RU" sz="1200">
              <a:effectLst/>
              <a:latin typeface="+mn-lt"/>
              <a:ea typeface="+mn-ea"/>
              <a:cs typeface="+mn-cs"/>
            </a:rPr>
            <a:t>1/2''                    2 шт.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Гибкие шланги из нержавеющей стали длиной 100мм ВН </a:t>
          </a:r>
          <a:r>
            <a:rPr lang="en-US" sz="1200">
              <a:effectLst/>
              <a:latin typeface="+mn-lt"/>
              <a:ea typeface="+mn-ea"/>
              <a:cs typeface="+mn-cs"/>
            </a:rPr>
            <a:t>G</a:t>
          </a:r>
          <a:r>
            <a:rPr lang="ru-RU" sz="1200">
              <a:effectLst/>
              <a:latin typeface="+mn-lt"/>
              <a:ea typeface="+mn-ea"/>
              <a:cs typeface="+mn-cs"/>
            </a:rPr>
            <a:t>1/2''                                                                                          2 шт.</a:t>
          </a:r>
        </a:p>
        <a:p>
          <a:r>
            <a:rPr lang="ru-RU" sz="1100">
              <a:effectLst/>
              <a:latin typeface="+mn-lt"/>
              <a:ea typeface="+mn-ea"/>
              <a:cs typeface="+mn-cs"/>
            </a:rPr>
            <a:t>                                                                               </a:t>
          </a:r>
        </a:p>
      </xdr:txBody>
    </xdr:sp>
    <xdr:clientData/>
  </xdr:oneCellAnchor>
  <xdr:twoCellAnchor editAs="oneCell">
    <xdr:from>
      <xdr:col>2</xdr:col>
      <xdr:colOff>666750</xdr:colOff>
      <xdr:row>15</xdr:row>
      <xdr:rowOff>85725</xdr:rowOff>
    </xdr:from>
    <xdr:to>
      <xdr:col>2</xdr:col>
      <xdr:colOff>1872754</xdr:colOff>
      <xdr:row>15</xdr:row>
      <xdr:rowOff>921381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2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229600" y="23755350"/>
          <a:ext cx="1206004" cy="835656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</xdr:row>
      <xdr:rowOff>85725</xdr:rowOff>
    </xdr:from>
    <xdr:to>
      <xdr:col>2</xdr:col>
      <xdr:colOff>961929</xdr:colOff>
      <xdr:row>4</xdr:row>
      <xdr:rowOff>819058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2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350" y="3638550"/>
          <a:ext cx="771429" cy="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</xdr:row>
      <xdr:rowOff>923925</xdr:rowOff>
    </xdr:from>
    <xdr:to>
      <xdr:col>2</xdr:col>
      <xdr:colOff>961929</xdr:colOff>
      <xdr:row>4</xdr:row>
      <xdr:rowOff>1657258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2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350" y="4476750"/>
          <a:ext cx="771429" cy="733333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8</xdr:row>
      <xdr:rowOff>0</xdr:rowOff>
    </xdr:from>
    <xdr:ext cx="5442857" cy="2707023"/>
    <xdr:sp macro="" textlink="">
      <xdr:nvSpPr>
        <xdr:cNvPr id="19" name="Прямоугольник 18">
          <a:extLst>
            <a:ext uri="{FF2B5EF4-FFF2-40B4-BE49-F238E27FC236}">
              <a16:creationId xmlns:a16="http://schemas.microsoft.com/office/drawing/2014/main" id="{00000000-0008-0000-2A00-000013000000}"/>
            </a:ext>
          </a:extLst>
        </xdr:cNvPr>
        <xdr:cNvSpPr/>
      </xdr:nvSpPr>
      <xdr:spPr>
        <a:xfrm>
          <a:off x="1800225" y="7305675"/>
          <a:ext cx="5442857" cy="2707023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r>
            <a:rPr lang="ru-RU" sz="1200" b="1">
              <a:effectLst/>
              <a:latin typeface="+mn-lt"/>
              <a:ea typeface="+mn-ea"/>
              <a:cs typeface="+mn-cs"/>
            </a:rPr>
            <a:t>Комплект подключения внутрипольного конвектора №3</a:t>
          </a:r>
          <a:r>
            <a:rPr lang="en-US" sz="1200" b="1">
              <a:effectLst/>
              <a:latin typeface="+mn-lt"/>
              <a:ea typeface="+mn-ea"/>
              <a:cs typeface="+mn-cs"/>
            </a:rPr>
            <a:t>C</a:t>
          </a:r>
          <a:endParaRPr lang="ru-RU" sz="1200" b="1">
            <a:effectLst/>
            <a:latin typeface="+mn-lt"/>
            <a:ea typeface="+mn-ea"/>
            <a:cs typeface="+mn-cs"/>
          </a:endParaRPr>
        </a:p>
        <a:p>
          <a:endParaRPr lang="ru-RU" sz="1200" b="1">
            <a:effectLst/>
            <a:latin typeface="+mn-lt"/>
            <a:ea typeface="+mn-ea"/>
            <a:cs typeface="+mn-cs"/>
          </a:endParaRPr>
        </a:p>
        <a:p>
          <a:pPr algn="l"/>
          <a:r>
            <a:rPr lang="ru-RU" sz="1200">
              <a:effectLst/>
              <a:latin typeface="+mn-lt"/>
              <a:ea typeface="+mn-ea"/>
              <a:cs typeface="+mn-cs"/>
            </a:rPr>
            <a:t>Вентиль термостатический (прямой) </a:t>
          </a:r>
          <a:r>
            <a:rPr lang="en-US" sz="1200">
              <a:effectLst/>
              <a:latin typeface="+mn-lt"/>
              <a:ea typeface="+mn-ea"/>
              <a:cs typeface="+mn-cs"/>
            </a:rPr>
            <a:t>G</a:t>
          </a:r>
          <a:r>
            <a:rPr lang="ru-RU" sz="1200">
              <a:effectLst/>
              <a:latin typeface="+mn-lt"/>
              <a:ea typeface="+mn-ea"/>
              <a:cs typeface="+mn-cs"/>
            </a:rPr>
            <a:t>1/2''                    1 шт.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Вентиль обратный (прямой)                                               1 шт.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>
              <a:effectLst/>
              <a:latin typeface="+mn-lt"/>
              <a:ea typeface="+mn-ea"/>
              <a:cs typeface="+mn-cs"/>
            </a:rPr>
            <a:t>Сервопривод электротермический М30*1,5, 230 В, </a:t>
          </a:r>
          <a:r>
            <a:rPr lang="en-US" sz="1200">
              <a:effectLst/>
              <a:latin typeface="+mn-lt"/>
              <a:ea typeface="+mn-ea"/>
              <a:cs typeface="+mn-cs"/>
            </a:rPr>
            <a:t>NC</a:t>
          </a:r>
          <a:r>
            <a:rPr lang="ru-RU" sz="1200">
              <a:effectLst/>
              <a:latin typeface="+mn-lt"/>
              <a:ea typeface="+mn-ea"/>
              <a:cs typeface="+mn-cs"/>
            </a:rPr>
            <a:t> 1 шт.</a:t>
          </a:r>
          <a:endParaRPr lang="ru-RU" sz="12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>
              <a:effectLst/>
              <a:latin typeface="+mn-lt"/>
              <a:ea typeface="+mn-ea"/>
              <a:cs typeface="+mn-cs"/>
            </a:rPr>
            <a:t>Гибкие шланги из нержавеющей стали длиной 100мм ВН </a:t>
          </a:r>
          <a:r>
            <a:rPr lang="en-US" sz="1200">
              <a:effectLst/>
              <a:latin typeface="+mn-lt"/>
              <a:ea typeface="+mn-ea"/>
              <a:cs typeface="+mn-cs"/>
            </a:rPr>
            <a:t>G</a:t>
          </a:r>
          <a:r>
            <a:rPr lang="ru-RU" sz="1200">
              <a:effectLst/>
              <a:latin typeface="+mn-lt"/>
              <a:ea typeface="+mn-ea"/>
              <a:cs typeface="+mn-cs"/>
            </a:rPr>
            <a:t>1/2''      2 шт.</a:t>
          </a:r>
          <a:endParaRPr lang="ru-RU" sz="1200">
            <a:effectLst/>
          </a:endParaRPr>
        </a:p>
        <a:p>
          <a:r>
            <a:rPr lang="ru-RU" sz="1100"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 </a:t>
          </a:r>
        </a:p>
        <a:p>
          <a:endParaRPr lang="ru-RU" sz="1400">
            <a:effectLst/>
          </a:endParaRPr>
        </a:p>
      </xdr:txBody>
    </xdr:sp>
    <xdr:clientData/>
  </xdr:oneCellAnchor>
  <xdr:oneCellAnchor>
    <xdr:from>
      <xdr:col>2</xdr:col>
      <xdr:colOff>220915</xdr:colOff>
      <xdr:row>8</xdr:row>
      <xdr:rowOff>1972335</xdr:rowOff>
    </xdr:from>
    <xdr:ext cx="661147" cy="456697"/>
    <xdr:pic>
      <xdr:nvPicPr>
        <xdr:cNvPr id="20" name="Рисунок 19">
          <a:extLst>
            <a:ext uri="{FF2B5EF4-FFF2-40B4-BE49-F238E27FC236}">
              <a16:creationId xmlns:a16="http://schemas.microsoft.com/office/drawing/2014/main" id="{00000000-0008-0000-2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83765" y="9278010"/>
          <a:ext cx="661147" cy="456697"/>
        </a:xfrm>
        <a:prstGeom prst="rect">
          <a:avLst/>
        </a:prstGeom>
      </xdr:spPr>
    </xdr:pic>
    <xdr:clientData/>
  </xdr:oneCellAnchor>
  <xdr:oneCellAnchor>
    <xdr:from>
      <xdr:col>2</xdr:col>
      <xdr:colOff>112059</xdr:colOff>
      <xdr:row>8</xdr:row>
      <xdr:rowOff>112059</xdr:rowOff>
    </xdr:from>
    <xdr:ext cx="821764" cy="616323"/>
    <xdr:pic>
      <xdr:nvPicPr>
        <xdr:cNvPr id="21" name="Рисунок 20">
          <a:extLst>
            <a:ext uri="{FF2B5EF4-FFF2-40B4-BE49-F238E27FC236}">
              <a16:creationId xmlns:a16="http://schemas.microsoft.com/office/drawing/2014/main" id="{00000000-0008-0000-2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74909" y="7417734"/>
          <a:ext cx="821764" cy="616323"/>
        </a:xfrm>
        <a:prstGeom prst="rect">
          <a:avLst/>
        </a:prstGeom>
      </xdr:spPr>
    </xdr:pic>
    <xdr:clientData/>
  </xdr:oneCellAnchor>
  <xdr:twoCellAnchor editAs="oneCell">
    <xdr:from>
      <xdr:col>2</xdr:col>
      <xdr:colOff>570139</xdr:colOff>
      <xdr:row>16</xdr:row>
      <xdr:rowOff>44904</xdr:rowOff>
    </xdr:from>
    <xdr:to>
      <xdr:col>2</xdr:col>
      <xdr:colOff>1907676</xdr:colOff>
      <xdr:row>16</xdr:row>
      <xdr:rowOff>968827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00000000-0008-0000-2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132989" y="24800379"/>
          <a:ext cx="1337537" cy="923923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15</xdr:row>
      <xdr:rowOff>85725</xdr:rowOff>
    </xdr:from>
    <xdr:to>
      <xdr:col>2</xdr:col>
      <xdr:colOff>1872754</xdr:colOff>
      <xdr:row>15</xdr:row>
      <xdr:rowOff>921381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00000000-0008-0000-2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229600" y="23755350"/>
          <a:ext cx="1206004" cy="835656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</xdr:colOff>
      <xdr:row>6</xdr:row>
      <xdr:rowOff>108858</xdr:rowOff>
    </xdr:from>
    <xdr:to>
      <xdr:col>2</xdr:col>
      <xdr:colOff>1041364</xdr:colOff>
      <xdr:row>6</xdr:row>
      <xdr:rowOff>1044858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00000000-0008-0000-2A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7669961" y="5539854"/>
          <a:ext cx="936000" cy="9325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40822</xdr:colOff>
      <xdr:row>8</xdr:row>
      <xdr:rowOff>870858</xdr:rowOff>
    </xdr:from>
    <xdr:to>
      <xdr:col>2</xdr:col>
      <xdr:colOff>973329</xdr:colOff>
      <xdr:row>8</xdr:row>
      <xdr:rowOff>1806858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00000000-0008-0000-2A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7601926" y="8178279"/>
          <a:ext cx="936000" cy="9325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449036</xdr:colOff>
      <xdr:row>17</xdr:row>
      <xdr:rowOff>190500</xdr:rowOff>
    </xdr:from>
    <xdr:to>
      <xdr:col>2</xdr:col>
      <xdr:colOff>2041072</xdr:colOff>
      <xdr:row>17</xdr:row>
      <xdr:rowOff>1788500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00000000-0008-0000-2A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8008904" y="26034807"/>
          <a:ext cx="1598000" cy="1592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408214</xdr:colOff>
      <xdr:row>18</xdr:row>
      <xdr:rowOff>27214</xdr:rowOff>
    </xdr:from>
    <xdr:to>
      <xdr:col>2</xdr:col>
      <xdr:colOff>2245178</xdr:colOff>
      <xdr:row>18</xdr:row>
      <xdr:rowOff>1864178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00000000-0008-0000-2A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971064" y="27773539"/>
          <a:ext cx="1836964" cy="1836964"/>
        </a:xfrm>
        <a:prstGeom prst="rect">
          <a:avLst/>
        </a:prstGeom>
      </xdr:spPr>
    </xdr:pic>
    <xdr:clientData/>
  </xdr:twoCellAnchor>
  <xdr:oneCellAnchor>
    <xdr:from>
      <xdr:col>0</xdr:col>
      <xdr:colOff>1796142</xdr:colOff>
      <xdr:row>10</xdr:row>
      <xdr:rowOff>176893</xdr:rowOff>
    </xdr:from>
    <xdr:ext cx="5075465" cy="2190750"/>
    <xdr:sp macro="" textlink="">
      <xdr:nvSpPr>
        <xdr:cNvPr id="32" name="Прямоугольник 31">
          <a:extLst>
            <a:ext uri="{FF2B5EF4-FFF2-40B4-BE49-F238E27FC236}">
              <a16:creationId xmlns:a16="http://schemas.microsoft.com/office/drawing/2014/main" id="{00000000-0008-0000-2A00-000020000000}"/>
            </a:ext>
          </a:extLst>
        </xdr:cNvPr>
        <xdr:cNvSpPr/>
      </xdr:nvSpPr>
      <xdr:spPr>
        <a:xfrm>
          <a:off x="1796142" y="12397468"/>
          <a:ext cx="5075465" cy="2190750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r>
            <a:rPr lang="ru-RU" sz="1200" b="1">
              <a:effectLst/>
              <a:latin typeface="+mn-lt"/>
              <a:ea typeface="+mn-ea"/>
              <a:cs typeface="+mn-cs"/>
            </a:rPr>
            <a:t>Комплект подключения внутрипольного конвектора №4</a:t>
          </a:r>
        </a:p>
        <a:p>
          <a:endParaRPr lang="ru-RU" sz="1200" b="1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Вентили шаровые (прямой) </a:t>
          </a:r>
          <a:r>
            <a:rPr lang="en-US" sz="1200">
              <a:effectLst/>
              <a:latin typeface="+mn-lt"/>
              <a:ea typeface="+mn-ea"/>
              <a:cs typeface="+mn-cs"/>
            </a:rPr>
            <a:t>G</a:t>
          </a:r>
          <a:r>
            <a:rPr lang="ru-RU" sz="1200">
              <a:effectLst/>
              <a:latin typeface="+mn-lt"/>
              <a:ea typeface="+mn-ea"/>
              <a:cs typeface="+mn-cs"/>
            </a:rPr>
            <a:t>1/2''                    1 шт.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>
              <a:effectLst/>
              <a:latin typeface="+mn-lt"/>
              <a:ea typeface="+mn-ea"/>
              <a:cs typeface="+mn-cs"/>
            </a:rPr>
            <a:t>Гибкие шланги из нержавеющей стали длиной 100мм ВН </a:t>
          </a:r>
          <a:r>
            <a:rPr lang="en-US" sz="1200">
              <a:effectLst/>
              <a:latin typeface="+mn-lt"/>
              <a:ea typeface="+mn-ea"/>
              <a:cs typeface="+mn-cs"/>
            </a:rPr>
            <a:t>G</a:t>
          </a:r>
          <a:r>
            <a:rPr lang="ru-RU" sz="1200">
              <a:effectLst/>
              <a:latin typeface="+mn-lt"/>
              <a:ea typeface="+mn-ea"/>
              <a:cs typeface="+mn-cs"/>
            </a:rPr>
            <a:t>1/2'' 2 шт.</a:t>
          </a:r>
          <a:endParaRPr lang="ru-RU" sz="1200">
            <a:effectLst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Запорно-регулирующий клапан (прямой) </a:t>
          </a:r>
          <a:r>
            <a:rPr lang="en-US" sz="1200">
              <a:effectLst/>
              <a:latin typeface="+mn-lt"/>
              <a:ea typeface="+mn-ea"/>
              <a:cs typeface="+mn-cs"/>
            </a:rPr>
            <a:t>G</a:t>
          </a:r>
          <a:r>
            <a:rPr lang="ru-RU" sz="1200">
              <a:effectLst/>
              <a:latin typeface="+mn-lt"/>
              <a:ea typeface="+mn-ea"/>
              <a:cs typeface="+mn-cs"/>
            </a:rPr>
            <a:t>1/2'' 1шт</a:t>
          </a:r>
        </a:p>
      </xdr:txBody>
    </xdr:sp>
    <xdr:clientData/>
  </xdr:oneCellAnchor>
  <xdr:oneCellAnchor>
    <xdr:from>
      <xdr:col>2</xdr:col>
      <xdr:colOff>1193345</xdr:colOff>
      <xdr:row>10</xdr:row>
      <xdr:rowOff>786492</xdr:rowOff>
    </xdr:from>
    <xdr:ext cx="1304925" cy="978694"/>
    <xdr:pic>
      <xdr:nvPicPr>
        <xdr:cNvPr id="33" name="Рисунок 32">
          <a:extLst>
            <a:ext uri="{FF2B5EF4-FFF2-40B4-BE49-F238E27FC236}">
              <a16:creationId xmlns:a16="http://schemas.microsoft.com/office/drawing/2014/main" id="{00000000-0008-0000-2A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756195" y="13007067"/>
          <a:ext cx="1304925" cy="978694"/>
        </a:xfrm>
        <a:prstGeom prst="rect">
          <a:avLst/>
        </a:prstGeom>
      </xdr:spPr>
    </xdr:pic>
    <xdr:clientData/>
  </xdr:oneCellAnchor>
  <xdr:twoCellAnchor editAs="oneCell">
    <xdr:from>
      <xdr:col>2</xdr:col>
      <xdr:colOff>136072</xdr:colOff>
      <xdr:row>10</xdr:row>
      <xdr:rowOff>149678</xdr:rowOff>
    </xdr:from>
    <xdr:to>
      <xdr:col>2</xdr:col>
      <xdr:colOff>1143000</xdr:colOff>
      <xdr:row>10</xdr:row>
      <xdr:rowOff>1106880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00000000-0008-0000-2A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8922" y="12370253"/>
          <a:ext cx="1006928" cy="957202"/>
        </a:xfrm>
        <a:prstGeom prst="rect">
          <a:avLst/>
        </a:prstGeom>
      </xdr:spPr>
    </xdr:pic>
    <xdr:clientData/>
  </xdr:twoCellAnchor>
  <xdr:oneCellAnchor>
    <xdr:from>
      <xdr:col>2</xdr:col>
      <xdr:colOff>81644</xdr:colOff>
      <xdr:row>10</xdr:row>
      <xdr:rowOff>1741714</xdr:rowOff>
    </xdr:from>
    <xdr:ext cx="1103126" cy="762000"/>
    <xdr:pic>
      <xdr:nvPicPr>
        <xdr:cNvPr id="35" name="Рисунок 34">
          <a:extLst>
            <a:ext uri="{FF2B5EF4-FFF2-40B4-BE49-F238E27FC236}">
              <a16:creationId xmlns:a16="http://schemas.microsoft.com/office/drawing/2014/main" id="{00000000-0008-0000-2A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44494" y="13962289"/>
          <a:ext cx="1103126" cy="762000"/>
        </a:xfrm>
        <a:prstGeom prst="rect">
          <a:avLst/>
        </a:prstGeom>
      </xdr:spPr>
    </xdr:pic>
    <xdr:clientData/>
  </xdr:oneCellAnchor>
  <xdr:twoCellAnchor editAs="oneCell">
    <xdr:from>
      <xdr:col>2</xdr:col>
      <xdr:colOff>224117</xdr:colOff>
      <xdr:row>12</xdr:row>
      <xdr:rowOff>280945</xdr:rowOff>
    </xdr:from>
    <xdr:to>
      <xdr:col>2</xdr:col>
      <xdr:colOff>1298062</xdr:colOff>
      <xdr:row>12</xdr:row>
      <xdr:rowOff>1396732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00000000-0008-0000-2A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86967" y="15254245"/>
          <a:ext cx="1073945" cy="1115787"/>
        </a:xfrm>
        <a:prstGeom prst="rect">
          <a:avLst/>
        </a:prstGeom>
      </xdr:spPr>
    </xdr:pic>
    <xdr:clientData/>
  </xdr:twoCellAnchor>
  <xdr:twoCellAnchor editAs="oneCell">
    <xdr:from>
      <xdr:col>2</xdr:col>
      <xdr:colOff>1217438</xdr:colOff>
      <xdr:row>12</xdr:row>
      <xdr:rowOff>22412</xdr:rowOff>
    </xdr:from>
    <xdr:to>
      <xdr:col>2</xdr:col>
      <xdr:colOff>2520077</xdr:colOff>
      <xdr:row>12</xdr:row>
      <xdr:rowOff>1811751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00000000-0008-0000-2A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80288" y="14995712"/>
          <a:ext cx="1302639" cy="1789339"/>
        </a:xfrm>
        <a:prstGeom prst="rect">
          <a:avLst/>
        </a:prstGeom>
      </xdr:spPr>
    </xdr:pic>
    <xdr:clientData/>
  </xdr:twoCellAnchor>
  <xdr:twoCellAnchor editAs="oneCell">
    <xdr:from>
      <xdr:col>2</xdr:col>
      <xdr:colOff>1199030</xdr:colOff>
      <xdr:row>8</xdr:row>
      <xdr:rowOff>683559</xdr:rowOff>
    </xdr:from>
    <xdr:to>
      <xdr:col>2</xdr:col>
      <xdr:colOff>2272975</xdr:colOff>
      <xdr:row>8</xdr:row>
      <xdr:rowOff>1799346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00000000-0008-0000-2A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1880" y="7989234"/>
          <a:ext cx="1073945" cy="1115787"/>
        </a:xfrm>
        <a:prstGeom prst="rect">
          <a:avLst/>
        </a:prstGeom>
      </xdr:spPr>
    </xdr:pic>
    <xdr:clientData/>
  </xdr:twoCellAnchor>
  <xdr:oneCellAnchor>
    <xdr:from>
      <xdr:col>2</xdr:col>
      <xdr:colOff>224117</xdr:colOff>
      <xdr:row>13</xdr:row>
      <xdr:rowOff>280945</xdr:rowOff>
    </xdr:from>
    <xdr:ext cx="1073945" cy="1115787"/>
    <xdr:pic>
      <xdr:nvPicPr>
        <xdr:cNvPr id="43" name="Рисунок 42">
          <a:extLst>
            <a:ext uri="{FF2B5EF4-FFF2-40B4-BE49-F238E27FC236}">
              <a16:creationId xmlns:a16="http://schemas.microsoft.com/office/drawing/2014/main" id="{00000000-0008-0000-2A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86967" y="19007095"/>
          <a:ext cx="1073945" cy="1115787"/>
        </a:xfrm>
        <a:prstGeom prst="rect">
          <a:avLst/>
        </a:prstGeom>
      </xdr:spPr>
    </xdr:pic>
    <xdr:clientData/>
  </xdr:oneCellAnchor>
  <xdr:oneCellAnchor>
    <xdr:from>
      <xdr:col>2</xdr:col>
      <xdr:colOff>1217438</xdr:colOff>
      <xdr:row>13</xdr:row>
      <xdr:rowOff>22412</xdr:rowOff>
    </xdr:from>
    <xdr:ext cx="1302639" cy="1789339"/>
    <xdr:pic>
      <xdr:nvPicPr>
        <xdr:cNvPr id="44" name="Рисунок 43">
          <a:extLst>
            <a:ext uri="{FF2B5EF4-FFF2-40B4-BE49-F238E27FC236}">
              <a16:creationId xmlns:a16="http://schemas.microsoft.com/office/drawing/2014/main" id="{00000000-0008-0000-2A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80288" y="18748562"/>
          <a:ext cx="1302639" cy="1789339"/>
        </a:xfrm>
        <a:prstGeom prst="rect">
          <a:avLst/>
        </a:prstGeom>
      </xdr:spPr>
    </xdr:pic>
    <xdr:clientData/>
  </xdr:oneCellAnchor>
  <xdr:twoCellAnchor editAs="oneCell">
    <xdr:from>
      <xdr:col>2</xdr:col>
      <xdr:colOff>163287</xdr:colOff>
      <xdr:row>23</xdr:row>
      <xdr:rowOff>122462</xdr:rowOff>
    </xdr:from>
    <xdr:to>
      <xdr:col>2</xdr:col>
      <xdr:colOff>2138529</xdr:colOff>
      <xdr:row>23</xdr:row>
      <xdr:rowOff>1904997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00000000-0008-0000-2A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6137" y="37831937"/>
          <a:ext cx="1975242" cy="178253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476251</xdr:colOff>
      <xdr:row>19</xdr:row>
      <xdr:rowOff>244928</xdr:rowOff>
    </xdr:from>
    <xdr:to>
      <xdr:col>2</xdr:col>
      <xdr:colOff>2052197</xdr:colOff>
      <xdr:row>19</xdr:row>
      <xdr:rowOff>1850569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00000000-0008-0000-2A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39101" y="29896253"/>
          <a:ext cx="1575946" cy="1605641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2190751</xdr:colOff>
      <xdr:row>23</xdr:row>
      <xdr:rowOff>639533</xdr:rowOff>
    </xdr:from>
    <xdr:to>
      <xdr:col>2</xdr:col>
      <xdr:colOff>3006272</xdr:colOff>
      <xdr:row>23</xdr:row>
      <xdr:rowOff>1428747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00000000-0008-0000-2A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1" y="38349008"/>
          <a:ext cx="815521" cy="789214"/>
        </a:xfrm>
        <a:prstGeom prst="rect">
          <a:avLst/>
        </a:prstGeom>
      </xdr:spPr>
    </xdr:pic>
    <xdr:clientData/>
  </xdr:twoCellAnchor>
  <xdr:twoCellAnchor editAs="oneCell">
    <xdr:from>
      <xdr:col>2</xdr:col>
      <xdr:colOff>40822</xdr:colOff>
      <xdr:row>24</xdr:row>
      <xdr:rowOff>108854</xdr:rowOff>
    </xdr:from>
    <xdr:to>
      <xdr:col>2</xdr:col>
      <xdr:colOff>2231572</xdr:colOff>
      <xdr:row>24</xdr:row>
      <xdr:rowOff>1938311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00000000-0008-0000-2A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03672" y="39818579"/>
          <a:ext cx="2190750" cy="1829457"/>
        </a:xfrm>
        <a:prstGeom prst="rect">
          <a:avLst/>
        </a:prstGeom>
      </xdr:spPr>
    </xdr:pic>
    <xdr:clientData/>
  </xdr:twoCellAnchor>
  <xdr:twoCellAnchor editAs="oneCell">
    <xdr:from>
      <xdr:col>2</xdr:col>
      <xdr:colOff>2204357</xdr:colOff>
      <xdr:row>24</xdr:row>
      <xdr:rowOff>680355</xdr:rowOff>
    </xdr:from>
    <xdr:to>
      <xdr:col>2</xdr:col>
      <xdr:colOff>3019878</xdr:colOff>
      <xdr:row>24</xdr:row>
      <xdr:rowOff>1469569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00000000-0008-0000-2A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67207" y="40390080"/>
          <a:ext cx="815521" cy="789214"/>
        </a:xfrm>
        <a:prstGeom prst="rect">
          <a:avLst/>
        </a:prstGeom>
      </xdr:spPr>
    </xdr:pic>
    <xdr:clientData/>
  </xdr:twoCellAnchor>
  <xdr:twoCellAnchor editAs="oneCell">
    <xdr:from>
      <xdr:col>2</xdr:col>
      <xdr:colOff>421821</xdr:colOff>
      <xdr:row>25</xdr:row>
      <xdr:rowOff>163284</xdr:rowOff>
    </xdr:from>
    <xdr:to>
      <xdr:col>2</xdr:col>
      <xdr:colOff>2336613</xdr:colOff>
      <xdr:row>25</xdr:row>
      <xdr:rowOff>2278129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00000000-0008-0000-2A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4671" y="41882784"/>
          <a:ext cx="1914792" cy="2114845"/>
        </a:xfrm>
        <a:prstGeom prst="rect">
          <a:avLst/>
        </a:prstGeom>
      </xdr:spPr>
    </xdr:pic>
    <xdr:clientData/>
  </xdr:twoCellAnchor>
  <xdr:twoCellAnchor editAs="oneCell">
    <xdr:from>
      <xdr:col>2</xdr:col>
      <xdr:colOff>2027464</xdr:colOff>
      <xdr:row>25</xdr:row>
      <xdr:rowOff>435427</xdr:rowOff>
    </xdr:from>
    <xdr:to>
      <xdr:col>2</xdr:col>
      <xdr:colOff>2615292</xdr:colOff>
      <xdr:row>25</xdr:row>
      <xdr:rowOff>1023256</xdr:rowOff>
    </xdr:to>
    <xdr:pic>
      <xdr:nvPicPr>
        <xdr:cNvPr id="53" name="Рисунок 6">
          <a:extLst>
            <a:ext uri="{FF2B5EF4-FFF2-40B4-BE49-F238E27FC236}">
              <a16:creationId xmlns:a16="http://schemas.microsoft.com/office/drawing/2014/main" id="{00000000-0008-0000-2A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90314" y="42154927"/>
          <a:ext cx="587828" cy="5878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108857</xdr:colOff>
      <xdr:row>20</xdr:row>
      <xdr:rowOff>54426</xdr:rowOff>
    </xdr:from>
    <xdr:to>
      <xdr:col>2</xdr:col>
      <xdr:colOff>2652857</xdr:colOff>
      <xdr:row>20</xdr:row>
      <xdr:rowOff>1962426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00000000-0008-0000-2A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1707" y="31763151"/>
          <a:ext cx="2544000" cy="19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</xdr:colOff>
      <xdr:row>21</xdr:row>
      <xdr:rowOff>54427</xdr:rowOff>
    </xdr:from>
    <xdr:to>
      <xdr:col>2</xdr:col>
      <xdr:colOff>2652857</xdr:colOff>
      <xdr:row>21</xdr:row>
      <xdr:rowOff>1962427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00000000-0008-0000-2A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1707" y="33763402"/>
          <a:ext cx="2544000" cy="19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122464</xdr:colOff>
      <xdr:row>22</xdr:row>
      <xdr:rowOff>54426</xdr:rowOff>
    </xdr:from>
    <xdr:to>
      <xdr:col>2</xdr:col>
      <xdr:colOff>2666464</xdr:colOff>
      <xdr:row>22</xdr:row>
      <xdr:rowOff>1962426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00000000-0008-0000-2A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5314" y="35763651"/>
          <a:ext cx="2544000" cy="19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328748</xdr:colOff>
      <xdr:row>27</xdr:row>
      <xdr:rowOff>34019</xdr:rowOff>
    </xdr:from>
    <xdr:to>
      <xdr:col>2</xdr:col>
      <xdr:colOff>2663415</xdr:colOff>
      <xdr:row>27</xdr:row>
      <xdr:rowOff>2405744</xdr:rowOff>
    </xdr:to>
    <xdr:pic>
      <xdr:nvPicPr>
        <xdr:cNvPr id="57" name="Рисунок 2">
          <a:extLst>
            <a:ext uri="{FF2B5EF4-FFF2-40B4-BE49-F238E27FC236}">
              <a16:creationId xmlns:a16="http://schemas.microsoft.com/office/drawing/2014/main" id="{00000000-0008-0000-2A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7891598" y="46763669"/>
          <a:ext cx="2334667" cy="2371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81643</xdr:colOff>
      <xdr:row>26</xdr:row>
      <xdr:rowOff>201385</xdr:rowOff>
    </xdr:from>
    <xdr:to>
      <xdr:col>2</xdr:col>
      <xdr:colOff>1996435</xdr:colOff>
      <xdr:row>26</xdr:row>
      <xdr:rowOff>800099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00000000-0008-0000-2A00-00003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73" b="54318"/>
        <a:stretch/>
      </xdr:blipFill>
      <xdr:spPr>
        <a:xfrm>
          <a:off x="7644493" y="44425960"/>
          <a:ext cx="1914792" cy="598714"/>
        </a:xfrm>
        <a:prstGeom prst="rect">
          <a:avLst/>
        </a:prstGeom>
      </xdr:spPr>
    </xdr:pic>
    <xdr:clientData/>
  </xdr:twoCellAnchor>
  <xdr:twoCellAnchor editAs="oneCell">
    <xdr:from>
      <xdr:col>2</xdr:col>
      <xdr:colOff>2106386</xdr:colOff>
      <xdr:row>26</xdr:row>
      <xdr:rowOff>149678</xdr:rowOff>
    </xdr:from>
    <xdr:to>
      <xdr:col>2</xdr:col>
      <xdr:colOff>2694214</xdr:colOff>
      <xdr:row>26</xdr:row>
      <xdr:rowOff>737507</xdr:rowOff>
    </xdr:to>
    <xdr:pic>
      <xdr:nvPicPr>
        <xdr:cNvPr id="59" name="Рисунок 6">
          <a:extLst>
            <a:ext uri="{FF2B5EF4-FFF2-40B4-BE49-F238E27FC236}">
              <a16:creationId xmlns:a16="http://schemas.microsoft.com/office/drawing/2014/main" id="{00000000-0008-0000-2A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9236" y="44374253"/>
          <a:ext cx="587828" cy="5878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54428</xdr:colOff>
      <xdr:row>26</xdr:row>
      <xdr:rowOff>854529</xdr:rowOff>
    </xdr:from>
    <xdr:to>
      <xdr:col>2</xdr:col>
      <xdr:colOff>2925535</xdr:colOff>
      <xdr:row>26</xdr:row>
      <xdr:rowOff>2433944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00000000-0008-0000-2A00-00003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27" t="24222" r="20726" b="22367"/>
        <a:stretch/>
      </xdr:blipFill>
      <xdr:spPr>
        <a:xfrm>
          <a:off x="7617278" y="45079104"/>
          <a:ext cx="2871107" cy="1579415"/>
        </a:xfrm>
        <a:prstGeom prst="rect">
          <a:avLst/>
        </a:prstGeom>
      </xdr:spPr>
    </xdr:pic>
    <xdr:clientData/>
  </xdr:twoCellAnchor>
  <xdr:twoCellAnchor editAs="oneCell">
    <xdr:from>
      <xdr:col>2</xdr:col>
      <xdr:colOff>122464</xdr:colOff>
      <xdr:row>28</xdr:row>
      <xdr:rowOff>571499</xdr:rowOff>
    </xdr:from>
    <xdr:to>
      <xdr:col>2</xdr:col>
      <xdr:colOff>2348453</xdr:colOff>
      <xdr:row>28</xdr:row>
      <xdr:rowOff>2367641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00000000-0008-0000-2A00-00003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52" r="5397" b="5645"/>
        <a:stretch/>
      </xdr:blipFill>
      <xdr:spPr bwMode="auto">
        <a:xfrm>
          <a:off x="7685314" y="49806224"/>
          <a:ext cx="2225989" cy="1796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2049235</xdr:colOff>
      <xdr:row>28</xdr:row>
      <xdr:rowOff>187777</xdr:rowOff>
    </xdr:from>
    <xdr:to>
      <xdr:col>2</xdr:col>
      <xdr:colOff>2939142</xdr:colOff>
      <xdr:row>28</xdr:row>
      <xdr:rowOff>816427</xdr:rowOff>
    </xdr:to>
    <xdr:pic>
      <xdr:nvPicPr>
        <xdr:cNvPr id="62" name="Рисунок 5">
          <a:extLst>
            <a:ext uri="{FF2B5EF4-FFF2-40B4-BE49-F238E27FC236}">
              <a16:creationId xmlns:a16="http://schemas.microsoft.com/office/drawing/2014/main" id="{00000000-0008-0000-2A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2085" y="49422502"/>
          <a:ext cx="889907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</xdr:col>
      <xdr:colOff>68036</xdr:colOff>
      <xdr:row>5</xdr:row>
      <xdr:rowOff>54428</xdr:rowOff>
    </xdr:from>
    <xdr:ext cx="4476750" cy="1600200"/>
    <xdr:sp macro="" textlink="">
      <xdr:nvSpPr>
        <xdr:cNvPr id="66" name="Прямоугольник 65">
          <a:extLst>
            <a:ext uri="{FF2B5EF4-FFF2-40B4-BE49-F238E27FC236}">
              <a16:creationId xmlns:a16="http://schemas.microsoft.com/office/drawing/2014/main" id="{00000000-0008-0000-2A00-000042000000}"/>
            </a:ext>
          </a:extLst>
        </xdr:cNvPr>
        <xdr:cNvSpPr/>
      </xdr:nvSpPr>
      <xdr:spPr>
        <a:xfrm>
          <a:off x="1864179" y="9252857"/>
          <a:ext cx="4476750" cy="1600200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r>
            <a:rPr lang="ru-RU" sz="1200" b="1">
              <a:effectLst/>
              <a:latin typeface="+mn-lt"/>
              <a:ea typeface="+mn-ea"/>
              <a:cs typeface="+mn-cs"/>
            </a:rPr>
            <a:t>Комплект подключения внутрипольного конвектора №2-БП</a:t>
          </a:r>
        </a:p>
        <a:p>
          <a:endParaRPr lang="ru-RU" sz="1200" b="1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Вентили шаровые (прямой) </a:t>
          </a:r>
          <a:r>
            <a:rPr lang="en-US" sz="1200">
              <a:effectLst/>
              <a:latin typeface="+mn-lt"/>
              <a:ea typeface="+mn-ea"/>
              <a:cs typeface="+mn-cs"/>
            </a:rPr>
            <a:t>G</a:t>
          </a:r>
          <a:r>
            <a:rPr lang="ru-RU" sz="1200">
              <a:effectLst/>
              <a:latin typeface="+mn-lt"/>
              <a:ea typeface="+mn-ea"/>
              <a:cs typeface="+mn-cs"/>
            </a:rPr>
            <a:t>1/2''                    2 шт.</a:t>
          </a:r>
        </a:p>
        <a:p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100">
              <a:effectLst/>
              <a:latin typeface="+mn-lt"/>
              <a:ea typeface="+mn-ea"/>
              <a:cs typeface="+mn-cs"/>
            </a:rPr>
            <a:t>                                                                               </a:t>
          </a:r>
        </a:p>
      </xdr:txBody>
    </xdr:sp>
    <xdr:clientData/>
  </xdr:oneCellAnchor>
  <xdr:twoCellAnchor editAs="oneCell">
    <xdr:from>
      <xdr:col>2</xdr:col>
      <xdr:colOff>1043667</xdr:colOff>
      <xdr:row>5</xdr:row>
      <xdr:rowOff>163286</xdr:rowOff>
    </xdr:from>
    <xdr:to>
      <xdr:col>2</xdr:col>
      <xdr:colOff>1815096</xdr:colOff>
      <xdr:row>5</xdr:row>
      <xdr:rowOff>896619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00000000-0008-0000-2A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9238" y="5606143"/>
          <a:ext cx="771429" cy="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1034143</xdr:colOff>
      <xdr:row>5</xdr:row>
      <xdr:rowOff>982437</xdr:rowOff>
    </xdr:from>
    <xdr:to>
      <xdr:col>2</xdr:col>
      <xdr:colOff>1805572</xdr:colOff>
      <xdr:row>5</xdr:row>
      <xdr:rowOff>1715770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00000000-0008-0000-2A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9714" y="6425294"/>
          <a:ext cx="771429" cy="733333"/>
        </a:xfrm>
        <a:prstGeom prst="rect">
          <a:avLst/>
        </a:prstGeom>
      </xdr:spPr>
    </xdr:pic>
    <xdr:clientData/>
  </xdr:twoCellAnchor>
  <xdr:oneCellAnchor>
    <xdr:from>
      <xdr:col>1</xdr:col>
      <xdr:colOff>67235</xdr:colOff>
      <xdr:row>7</xdr:row>
      <xdr:rowOff>86845</xdr:rowOff>
    </xdr:from>
    <xdr:ext cx="5021836" cy="1600200"/>
    <xdr:sp macro="" textlink="">
      <xdr:nvSpPr>
        <xdr:cNvPr id="69" name="Прямоугольник 68">
          <a:extLst>
            <a:ext uri="{FF2B5EF4-FFF2-40B4-BE49-F238E27FC236}">
              <a16:creationId xmlns:a16="http://schemas.microsoft.com/office/drawing/2014/main" id="{00000000-0008-0000-2A00-000045000000}"/>
            </a:ext>
          </a:extLst>
        </xdr:cNvPr>
        <xdr:cNvSpPr/>
      </xdr:nvSpPr>
      <xdr:spPr>
        <a:xfrm>
          <a:off x="1867460" y="9268945"/>
          <a:ext cx="5021836" cy="1600200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l"/>
          <a:r>
            <a:rPr lang="ru-RU" sz="1200" b="1">
              <a:effectLst/>
              <a:latin typeface="+mn-lt"/>
              <a:ea typeface="+mn-ea"/>
              <a:cs typeface="+mn-cs"/>
            </a:rPr>
            <a:t>Комплект подключения внутрипольного конвектора №3-БП</a:t>
          </a:r>
        </a:p>
        <a:p>
          <a:pPr algn="l"/>
          <a:endParaRPr lang="ru-RU" sz="1200" b="1">
            <a:effectLst/>
            <a:latin typeface="+mn-lt"/>
            <a:ea typeface="+mn-ea"/>
            <a:cs typeface="+mn-cs"/>
          </a:endParaRPr>
        </a:p>
        <a:p>
          <a:pPr algn="l"/>
          <a:r>
            <a:rPr lang="ru-RU" sz="1200">
              <a:effectLst/>
              <a:latin typeface="+mn-lt"/>
              <a:ea typeface="+mn-ea"/>
              <a:cs typeface="+mn-cs"/>
            </a:rPr>
            <a:t>Вентиль термостатический (прямой) </a:t>
          </a:r>
          <a:r>
            <a:rPr lang="en-US" sz="1200">
              <a:effectLst/>
              <a:latin typeface="+mn-lt"/>
              <a:ea typeface="+mn-ea"/>
              <a:cs typeface="+mn-cs"/>
            </a:rPr>
            <a:t>G</a:t>
          </a:r>
          <a:r>
            <a:rPr lang="ru-RU" sz="1200">
              <a:effectLst/>
              <a:latin typeface="+mn-lt"/>
              <a:ea typeface="+mn-ea"/>
              <a:cs typeface="+mn-cs"/>
            </a:rPr>
            <a:t>1/2''                     1 шт.</a:t>
          </a:r>
        </a:p>
        <a:p>
          <a:pPr algn="l"/>
          <a:r>
            <a:rPr lang="ru-RU" sz="1200">
              <a:effectLst/>
              <a:latin typeface="+mn-lt"/>
              <a:ea typeface="+mn-ea"/>
              <a:cs typeface="+mn-cs"/>
            </a:rPr>
            <a:t>Вентиль обратный (прямой)                                                 1 шт.</a:t>
          </a:r>
        </a:p>
        <a:p>
          <a:pPr algn="l"/>
          <a:r>
            <a:rPr lang="ru-RU" sz="1200">
              <a:effectLst/>
              <a:latin typeface="+mn-lt"/>
              <a:ea typeface="+mn-ea"/>
              <a:cs typeface="+mn-cs"/>
            </a:rPr>
            <a:t>Гибкие шланги из нержавеющей стали длиной 100мм ВН </a:t>
          </a:r>
          <a:r>
            <a:rPr lang="en-US" sz="1200">
              <a:effectLst/>
              <a:latin typeface="+mn-lt"/>
              <a:ea typeface="+mn-ea"/>
              <a:cs typeface="+mn-cs"/>
            </a:rPr>
            <a:t>G</a:t>
          </a:r>
          <a:r>
            <a:rPr lang="ru-RU" sz="1200">
              <a:effectLst/>
              <a:latin typeface="+mn-lt"/>
              <a:ea typeface="+mn-ea"/>
              <a:cs typeface="+mn-cs"/>
            </a:rPr>
            <a:t>1/2''                                                                                          2 шт.</a:t>
          </a:r>
        </a:p>
      </xdr:txBody>
    </xdr:sp>
    <xdr:clientData/>
  </xdr:oneCellAnchor>
  <xdr:oneCellAnchor>
    <xdr:from>
      <xdr:col>2</xdr:col>
      <xdr:colOff>1020535</xdr:colOff>
      <xdr:row>7</xdr:row>
      <xdr:rowOff>1088570</xdr:rowOff>
    </xdr:from>
    <xdr:ext cx="864614" cy="597244"/>
    <xdr:pic>
      <xdr:nvPicPr>
        <xdr:cNvPr id="71" name="Рисунок 70">
          <a:extLst>
            <a:ext uri="{FF2B5EF4-FFF2-40B4-BE49-F238E27FC236}">
              <a16:creationId xmlns:a16="http://schemas.microsoft.com/office/drawing/2014/main" id="{00000000-0008-0000-2A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86106" y="10286999"/>
          <a:ext cx="864614" cy="59724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5442857" cy="2707023"/>
    <xdr:sp macro="" textlink="">
      <xdr:nvSpPr>
        <xdr:cNvPr id="72" name="Прямоугольник 71">
          <a:extLst>
            <a:ext uri="{FF2B5EF4-FFF2-40B4-BE49-F238E27FC236}">
              <a16:creationId xmlns:a16="http://schemas.microsoft.com/office/drawing/2014/main" id="{00000000-0008-0000-2A00-000048000000}"/>
            </a:ext>
          </a:extLst>
        </xdr:cNvPr>
        <xdr:cNvSpPr/>
      </xdr:nvSpPr>
      <xdr:spPr>
        <a:xfrm>
          <a:off x="1800225" y="11058525"/>
          <a:ext cx="5442857" cy="2707023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r>
            <a:rPr lang="ru-RU" sz="1200" b="1">
              <a:effectLst/>
              <a:latin typeface="+mn-lt"/>
              <a:ea typeface="+mn-ea"/>
              <a:cs typeface="+mn-cs"/>
            </a:rPr>
            <a:t>Комплект подключения внутрипольного конвектора №3</a:t>
          </a:r>
          <a:r>
            <a:rPr lang="en-US" sz="1200" b="1">
              <a:effectLst/>
              <a:latin typeface="+mn-lt"/>
              <a:ea typeface="+mn-ea"/>
              <a:cs typeface="+mn-cs"/>
            </a:rPr>
            <a:t>C</a:t>
          </a:r>
          <a:endParaRPr lang="ru-RU" sz="1200" b="1">
            <a:effectLst/>
            <a:latin typeface="+mn-lt"/>
            <a:ea typeface="+mn-ea"/>
            <a:cs typeface="+mn-cs"/>
          </a:endParaRPr>
        </a:p>
        <a:p>
          <a:endParaRPr lang="ru-RU" sz="1200" b="1">
            <a:effectLst/>
            <a:latin typeface="+mn-lt"/>
            <a:ea typeface="+mn-ea"/>
            <a:cs typeface="+mn-cs"/>
          </a:endParaRPr>
        </a:p>
        <a:p>
          <a:pPr algn="l"/>
          <a:r>
            <a:rPr lang="ru-RU" sz="1200">
              <a:effectLst/>
              <a:latin typeface="+mn-lt"/>
              <a:ea typeface="+mn-ea"/>
              <a:cs typeface="+mn-cs"/>
            </a:rPr>
            <a:t>Вентиль термостатический (прямой) </a:t>
          </a:r>
          <a:r>
            <a:rPr lang="en-US" sz="1200">
              <a:effectLst/>
              <a:latin typeface="+mn-lt"/>
              <a:ea typeface="+mn-ea"/>
              <a:cs typeface="+mn-cs"/>
            </a:rPr>
            <a:t>G</a:t>
          </a:r>
          <a:r>
            <a:rPr lang="ru-RU" sz="1200">
              <a:effectLst/>
              <a:latin typeface="+mn-lt"/>
              <a:ea typeface="+mn-ea"/>
              <a:cs typeface="+mn-cs"/>
            </a:rPr>
            <a:t>1/2''                    1 шт.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Вентиль обратный (прямой)                                               1 шт.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>
              <a:effectLst/>
              <a:latin typeface="+mn-lt"/>
              <a:ea typeface="+mn-ea"/>
              <a:cs typeface="+mn-cs"/>
            </a:rPr>
            <a:t>Сервопривод электротермический М30*1,5, 230 В, </a:t>
          </a:r>
          <a:r>
            <a:rPr lang="en-US" sz="1200">
              <a:effectLst/>
              <a:latin typeface="+mn-lt"/>
              <a:ea typeface="+mn-ea"/>
              <a:cs typeface="+mn-cs"/>
            </a:rPr>
            <a:t>NC</a:t>
          </a:r>
          <a:r>
            <a:rPr lang="ru-RU" sz="1200">
              <a:effectLst/>
              <a:latin typeface="+mn-lt"/>
              <a:ea typeface="+mn-ea"/>
              <a:cs typeface="+mn-cs"/>
            </a:rPr>
            <a:t> 1 шт.</a:t>
          </a:r>
          <a:endParaRPr lang="ru-RU" sz="12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>
              <a:effectLst/>
              <a:latin typeface="+mn-lt"/>
              <a:ea typeface="+mn-ea"/>
              <a:cs typeface="+mn-cs"/>
            </a:rPr>
            <a:t>Гибкие шланги из нержавеющей стали длиной 100мм ВН </a:t>
          </a:r>
          <a:r>
            <a:rPr lang="en-US" sz="1200">
              <a:effectLst/>
              <a:latin typeface="+mn-lt"/>
              <a:ea typeface="+mn-ea"/>
              <a:cs typeface="+mn-cs"/>
            </a:rPr>
            <a:t>G</a:t>
          </a:r>
          <a:r>
            <a:rPr lang="ru-RU" sz="1200">
              <a:effectLst/>
              <a:latin typeface="+mn-lt"/>
              <a:ea typeface="+mn-ea"/>
              <a:cs typeface="+mn-cs"/>
            </a:rPr>
            <a:t>1/2''      2 шт.</a:t>
          </a:r>
          <a:endParaRPr lang="ru-RU" sz="1200">
            <a:effectLst/>
          </a:endParaRPr>
        </a:p>
        <a:p>
          <a:r>
            <a:rPr lang="ru-RU" sz="1100"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 </a:t>
          </a:r>
        </a:p>
        <a:p>
          <a:endParaRPr lang="ru-RU" sz="1400">
            <a:effectLst/>
          </a:endParaRPr>
        </a:p>
      </xdr:txBody>
    </xdr:sp>
    <xdr:clientData/>
  </xdr:oneCellAnchor>
  <xdr:oneCellAnchor>
    <xdr:from>
      <xdr:col>1</xdr:col>
      <xdr:colOff>0</xdr:colOff>
      <xdr:row>9</xdr:row>
      <xdr:rowOff>0</xdr:rowOff>
    </xdr:from>
    <xdr:ext cx="5442857" cy="2707023"/>
    <xdr:sp macro="" textlink="">
      <xdr:nvSpPr>
        <xdr:cNvPr id="73" name="Прямоугольник 72">
          <a:extLst>
            <a:ext uri="{FF2B5EF4-FFF2-40B4-BE49-F238E27FC236}">
              <a16:creationId xmlns:a16="http://schemas.microsoft.com/office/drawing/2014/main" id="{00000000-0008-0000-2A00-000049000000}"/>
            </a:ext>
          </a:extLst>
        </xdr:cNvPr>
        <xdr:cNvSpPr/>
      </xdr:nvSpPr>
      <xdr:spPr>
        <a:xfrm>
          <a:off x="1800225" y="13601700"/>
          <a:ext cx="5442857" cy="2707023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r>
            <a:rPr lang="ru-RU" sz="1200" b="1">
              <a:effectLst/>
              <a:latin typeface="+mn-lt"/>
              <a:ea typeface="+mn-ea"/>
              <a:cs typeface="+mn-cs"/>
            </a:rPr>
            <a:t>Комплект подключения внутрипольного конвектора №3</a:t>
          </a:r>
          <a:r>
            <a:rPr lang="en-US" sz="1200" b="1">
              <a:effectLst/>
              <a:latin typeface="+mn-lt"/>
              <a:ea typeface="+mn-ea"/>
              <a:cs typeface="+mn-cs"/>
            </a:rPr>
            <a:t>C</a:t>
          </a:r>
          <a:r>
            <a:rPr lang="ru-RU" sz="1200" b="1">
              <a:effectLst/>
              <a:latin typeface="+mn-lt"/>
              <a:ea typeface="+mn-ea"/>
              <a:cs typeface="+mn-cs"/>
            </a:rPr>
            <a:t>-БП</a:t>
          </a:r>
        </a:p>
        <a:p>
          <a:endParaRPr lang="ru-RU" sz="1200" b="1">
            <a:effectLst/>
            <a:latin typeface="+mn-lt"/>
            <a:ea typeface="+mn-ea"/>
            <a:cs typeface="+mn-cs"/>
          </a:endParaRPr>
        </a:p>
        <a:p>
          <a:pPr algn="l"/>
          <a:r>
            <a:rPr lang="ru-RU" sz="1200">
              <a:effectLst/>
              <a:latin typeface="+mn-lt"/>
              <a:ea typeface="+mn-ea"/>
              <a:cs typeface="+mn-cs"/>
            </a:rPr>
            <a:t>Вентиль термостатический (прямой) </a:t>
          </a:r>
          <a:r>
            <a:rPr lang="en-US" sz="1200">
              <a:effectLst/>
              <a:latin typeface="+mn-lt"/>
              <a:ea typeface="+mn-ea"/>
              <a:cs typeface="+mn-cs"/>
            </a:rPr>
            <a:t>G</a:t>
          </a:r>
          <a:r>
            <a:rPr lang="ru-RU" sz="1200">
              <a:effectLst/>
              <a:latin typeface="+mn-lt"/>
              <a:ea typeface="+mn-ea"/>
              <a:cs typeface="+mn-cs"/>
            </a:rPr>
            <a:t>1/2''                    1 шт.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Вентиль обратный (прямой)                                               1 шт.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>
              <a:effectLst/>
              <a:latin typeface="+mn-lt"/>
              <a:ea typeface="+mn-ea"/>
              <a:cs typeface="+mn-cs"/>
            </a:rPr>
            <a:t>Сервопривод электротермический М30*1,5, 230 В, </a:t>
          </a:r>
          <a:r>
            <a:rPr lang="en-US" sz="1200">
              <a:effectLst/>
              <a:latin typeface="+mn-lt"/>
              <a:ea typeface="+mn-ea"/>
              <a:cs typeface="+mn-cs"/>
            </a:rPr>
            <a:t>NC</a:t>
          </a:r>
          <a:r>
            <a:rPr lang="ru-RU" sz="1200">
              <a:effectLst/>
              <a:latin typeface="+mn-lt"/>
              <a:ea typeface="+mn-ea"/>
              <a:cs typeface="+mn-cs"/>
            </a:rPr>
            <a:t> 1 шт.</a:t>
          </a:r>
          <a:endParaRPr lang="ru-RU" sz="1200">
            <a:effectLst/>
          </a:endParaRPr>
        </a:p>
        <a:p>
          <a:r>
            <a:rPr lang="ru-RU" sz="1100"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 </a:t>
          </a:r>
        </a:p>
        <a:p>
          <a:endParaRPr lang="ru-RU" sz="1400">
            <a:effectLst/>
          </a:endParaRPr>
        </a:p>
      </xdr:txBody>
    </xdr:sp>
    <xdr:clientData/>
  </xdr:oneCellAnchor>
  <xdr:oneCellAnchor>
    <xdr:from>
      <xdr:col>2</xdr:col>
      <xdr:colOff>152879</xdr:colOff>
      <xdr:row>9</xdr:row>
      <xdr:rowOff>1741012</xdr:rowOff>
    </xdr:from>
    <xdr:ext cx="661147" cy="456697"/>
    <xdr:pic>
      <xdr:nvPicPr>
        <xdr:cNvPr id="74" name="Рисунок 73">
          <a:extLst>
            <a:ext uri="{FF2B5EF4-FFF2-40B4-BE49-F238E27FC236}">
              <a16:creationId xmlns:a16="http://schemas.microsoft.com/office/drawing/2014/main" id="{00000000-0008-0000-2A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18450" y="15361762"/>
          <a:ext cx="661147" cy="456697"/>
        </a:xfrm>
        <a:prstGeom prst="rect">
          <a:avLst/>
        </a:prstGeom>
      </xdr:spPr>
    </xdr:pic>
    <xdr:clientData/>
  </xdr:oneCellAnchor>
  <xdr:oneCellAnchor>
    <xdr:from>
      <xdr:col>2</xdr:col>
      <xdr:colOff>40822</xdr:colOff>
      <xdr:row>9</xdr:row>
      <xdr:rowOff>204107</xdr:rowOff>
    </xdr:from>
    <xdr:ext cx="932507" cy="936000"/>
    <xdr:pic>
      <xdr:nvPicPr>
        <xdr:cNvPr id="75" name="Рисунок 74">
          <a:extLst>
            <a:ext uri="{FF2B5EF4-FFF2-40B4-BE49-F238E27FC236}">
              <a16:creationId xmlns:a16="http://schemas.microsoft.com/office/drawing/2014/main" id="{00000000-0008-0000-2A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7604647" y="13826603"/>
          <a:ext cx="936000" cy="9325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1103780</xdr:colOff>
      <xdr:row>9</xdr:row>
      <xdr:rowOff>710772</xdr:rowOff>
    </xdr:from>
    <xdr:ext cx="1073945" cy="1115787"/>
    <xdr:pic>
      <xdr:nvPicPr>
        <xdr:cNvPr id="76" name="Рисунок 75">
          <a:extLst>
            <a:ext uri="{FF2B5EF4-FFF2-40B4-BE49-F238E27FC236}">
              <a16:creationId xmlns:a16="http://schemas.microsoft.com/office/drawing/2014/main" id="{00000000-0008-0000-2A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69351" y="14331522"/>
          <a:ext cx="1073945" cy="1115787"/>
        </a:xfrm>
        <a:prstGeom prst="rect">
          <a:avLst/>
        </a:prstGeom>
      </xdr:spPr>
    </xdr:pic>
    <xdr:clientData/>
  </xdr:oneCellAnchor>
  <xdr:oneCellAnchor>
    <xdr:from>
      <xdr:col>2</xdr:col>
      <xdr:colOff>993321</xdr:colOff>
      <xdr:row>11</xdr:row>
      <xdr:rowOff>149678</xdr:rowOff>
    </xdr:from>
    <xdr:ext cx="1006928" cy="957202"/>
    <xdr:pic>
      <xdr:nvPicPr>
        <xdr:cNvPr id="77" name="Рисунок 76">
          <a:extLst>
            <a:ext uri="{FF2B5EF4-FFF2-40B4-BE49-F238E27FC236}">
              <a16:creationId xmlns:a16="http://schemas.microsoft.com/office/drawing/2014/main" id="{00000000-0008-0000-2A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8892" y="19063607"/>
          <a:ext cx="1006928" cy="957202"/>
        </a:xfrm>
        <a:prstGeom prst="rect">
          <a:avLst/>
        </a:prstGeom>
      </xdr:spPr>
    </xdr:pic>
    <xdr:clientData/>
  </xdr:oneCellAnchor>
  <xdr:oneCellAnchor>
    <xdr:from>
      <xdr:col>2</xdr:col>
      <xdr:colOff>938893</xdr:colOff>
      <xdr:row>11</xdr:row>
      <xdr:rowOff>1741714</xdr:rowOff>
    </xdr:from>
    <xdr:ext cx="1103126" cy="762000"/>
    <xdr:pic>
      <xdr:nvPicPr>
        <xdr:cNvPr id="78" name="Рисунок 77">
          <a:extLst>
            <a:ext uri="{FF2B5EF4-FFF2-40B4-BE49-F238E27FC236}">
              <a16:creationId xmlns:a16="http://schemas.microsoft.com/office/drawing/2014/main" id="{00000000-0008-0000-2A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04464" y="20655643"/>
          <a:ext cx="1103126" cy="762000"/>
        </a:xfrm>
        <a:prstGeom prst="rect">
          <a:avLst/>
        </a:prstGeom>
      </xdr:spPr>
    </xdr:pic>
    <xdr:clientData/>
  </xdr:oneCellAnchor>
  <xdr:oneCellAnchor>
    <xdr:from>
      <xdr:col>1</xdr:col>
      <xdr:colOff>13607</xdr:colOff>
      <xdr:row>11</xdr:row>
      <xdr:rowOff>204107</xdr:rowOff>
    </xdr:from>
    <xdr:ext cx="5075465" cy="2190750"/>
    <xdr:sp macro="" textlink="">
      <xdr:nvSpPr>
        <xdr:cNvPr id="79" name="Прямоугольник 78">
          <a:extLst>
            <a:ext uri="{FF2B5EF4-FFF2-40B4-BE49-F238E27FC236}">
              <a16:creationId xmlns:a16="http://schemas.microsoft.com/office/drawing/2014/main" id="{00000000-0008-0000-2A00-00004F000000}"/>
            </a:ext>
          </a:extLst>
        </xdr:cNvPr>
        <xdr:cNvSpPr/>
      </xdr:nvSpPr>
      <xdr:spPr>
        <a:xfrm>
          <a:off x="1809750" y="19118036"/>
          <a:ext cx="5075465" cy="2190750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r>
            <a:rPr lang="ru-RU" sz="1200" b="1">
              <a:effectLst/>
              <a:latin typeface="+mn-lt"/>
              <a:ea typeface="+mn-ea"/>
              <a:cs typeface="+mn-cs"/>
            </a:rPr>
            <a:t>Комплект подключения внутрипольного конвектора №5-БП</a:t>
          </a:r>
        </a:p>
        <a:p>
          <a:endParaRPr lang="ru-RU" sz="1200" b="1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Вентили шаровые (прямой) </a:t>
          </a:r>
          <a:r>
            <a:rPr lang="en-US" sz="1200">
              <a:effectLst/>
              <a:latin typeface="+mn-lt"/>
              <a:ea typeface="+mn-ea"/>
              <a:cs typeface="+mn-cs"/>
            </a:rPr>
            <a:t>G</a:t>
          </a:r>
          <a:r>
            <a:rPr lang="ru-RU" sz="1200">
              <a:effectLst/>
              <a:latin typeface="+mn-lt"/>
              <a:ea typeface="+mn-ea"/>
              <a:cs typeface="+mn-cs"/>
            </a:rPr>
            <a:t>1/2''                    1 шт.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>
              <a:effectLst/>
              <a:latin typeface="+mn-lt"/>
              <a:ea typeface="+mn-ea"/>
              <a:cs typeface="+mn-cs"/>
            </a:rPr>
            <a:t>Гибкие шланги из нержавеющей стали длиной 100мм ВН </a:t>
          </a:r>
          <a:r>
            <a:rPr lang="en-US" sz="1200">
              <a:effectLst/>
              <a:latin typeface="+mn-lt"/>
              <a:ea typeface="+mn-ea"/>
              <a:cs typeface="+mn-cs"/>
            </a:rPr>
            <a:t>G</a:t>
          </a:r>
          <a:r>
            <a:rPr lang="ru-RU" sz="1200">
              <a:effectLst/>
              <a:latin typeface="+mn-lt"/>
              <a:ea typeface="+mn-ea"/>
              <a:cs typeface="+mn-cs"/>
            </a:rPr>
            <a:t>1/2'' 2 шт.</a:t>
          </a:r>
          <a:endParaRPr lang="ru-RU" sz="1200">
            <a:effectLst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Запорно-регулирующий клапан (прямой) </a:t>
          </a:r>
          <a:r>
            <a:rPr lang="en-US" sz="1200">
              <a:effectLst/>
              <a:latin typeface="+mn-lt"/>
              <a:ea typeface="+mn-ea"/>
              <a:cs typeface="+mn-cs"/>
            </a:rPr>
            <a:t>G</a:t>
          </a:r>
          <a:r>
            <a:rPr lang="ru-RU" sz="1200">
              <a:effectLst/>
              <a:latin typeface="+mn-lt"/>
              <a:ea typeface="+mn-ea"/>
              <a:cs typeface="+mn-cs"/>
            </a:rPr>
            <a:t>1/2'' 1шт</a:t>
          </a:r>
        </a:p>
      </xdr:txBody>
    </xdr:sp>
    <xdr:clientData/>
  </xdr:oneCellAnchor>
  <xdr:oneCellAnchor>
    <xdr:from>
      <xdr:col>0</xdr:col>
      <xdr:colOff>1796142</xdr:colOff>
      <xdr:row>10</xdr:row>
      <xdr:rowOff>176893</xdr:rowOff>
    </xdr:from>
    <xdr:ext cx="5075465" cy="2190750"/>
    <xdr:sp macro="" textlink="">
      <xdr:nvSpPr>
        <xdr:cNvPr id="82" name="Прямоугольник 81">
          <a:extLst>
            <a:ext uri="{FF2B5EF4-FFF2-40B4-BE49-F238E27FC236}">
              <a16:creationId xmlns:a16="http://schemas.microsoft.com/office/drawing/2014/main" id="{00000000-0008-0000-2A00-000052000000}"/>
            </a:ext>
          </a:extLst>
        </xdr:cNvPr>
        <xdr:cNvSpPr/>
      </xdr:nvSpPr>
      <xdr:spPr>
        <a:xfrm>
          <a:off x="1796142" y="16321768"/>
          <a:ext cx="5075465" cy="2190750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r>
            <a:rPr lang="ru-RU" sz="1200" b="1">
              <a:effectLst/>
              <a:latin typeface="+mn-lt"/>
              <a:ea typeface="+mn-ea"/>
              <a:cs typeface="+mn-cs"/>
            </a:rPr>
            <a:t>Комплект подключения внутрипольного конвектора №5</a:t>
          </a:r>
        </a:p>
        <a:p>
          <a:endParaRPr lang="ru-RU" sz="1200" b="1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Вентили шаровые (прямой) </a:t>
          </a:r>
          <a:r>
            <a:rPr lang="en-US" sz="1200">
              <a:effectLst/>
              <a:latin typeface="+mn-lt"/>
              <a:ea typeface="+mn-ea"/>
              <a:cs typeface="+mn-cs"/>
            </a:rPr>
            <a:t>G</a:t>
          </a:r>
          <a:r>
            <a:rPr lang="ru-RU" sz="1200">
              <a:effectLst/>
              <a:latin typeface="+mn-lt"/>
              <a:ea typeface="+mn-ea"/>
              <a:cs typeface="+mn-cs"/>
            </a:rPr>
            <a:t>1/2''                    1 шт.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>
              <a:effectLst/>
              <a:latin typeface="+mn-lt"/>
              <a:ea typeface="+mn-ea"/>
              <a:cs typeface="+mn-cs"/>
            </a:rPr>
            <a:t>Гибкие шланги из нержавеющей стали длиной 100мм ВН </a:t>
          </a:r>
          <a:r>
            <a:rPr lang="en-US" sz="1200">
              <a:effectLst/>
              <a:latin typeface="+mn-lt"/>
              <a:ea typeface="+mn-ea"/>
              <a:cs typeface="+mn-cs"/>
            </a:rPr>
            <a:t>G</a:t>
          </a:r>
          <a:r>
            <a:rPr lang="ru-RU" sz="1200">
              <a:effectLst/>
              <a:latin typeface="+mn-lt"/>
              <a:ea typeface="+mn-ea"/>
              <a:cs typeface="+mn-cs"/>
            </a:rPr>
            <a:t>1/2'' 2 шт.</a:t>
          </a:r>
          <a:endParaRPr lang="ru-RU" sz="1200">
            <a:effectLst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Запорно-регулирующий клапан (прямой) </a:t>
          </a:r>
          <a:r>
            <a:rPr lang="en-US" sz="1200">
              <a:effectLst/>
              <a:latin typeface="+mn-lt"/>
              <a:ea typeface="+mn-ea"/>
              <a:cs typeface="+mn-cs"/>
            </a:rPr>
            <a:t>G</a:t>
          </a:r>
          <a:r>
            <a:rPr lang="ru-RU" sz="1200">
              <a:effectLst/>
              <a:latin typeface="+mn-lt"/>
              <a:ea typeface="+mn-ea"/>
              <a:cs typeface="+mn-cs"/>
            </a:rPr>
            <a:t>1/2'' 1шт</a:t>
          </a:r>
        </a:p>
      </xdr:txBody>
    </xdr:sp>
    <xdr:clientData/>
  </xdr:oneCellAnchor>
  <xdr:twoCellAnchor editAs="oneCell">
    <xdr:from>
      <xdr:col>2</xdr:col>
      <xdr:colOff>81643</xdr:colOff>
      <xdr:row>29</xdr:row>
      <xdr:rowOff>149678</xdr:rowOff>
    </xdr:from>
    <xdr:to>
      <xdr:col>2</xdr:col>
      <xdr:colOff>2929569</xdr:colOff>
      <xdr:row>29</xdr:row>
      <xdr:rowOff>2462892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00000000-0008-0000-2A00-00005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t="9796" b="8979"/>
        <a:stretch/>
      </xdr:blipFill>
      <xdr:spPr>
        <a:xfrm>
          <a:off x="7647214" y="54836785"/>
          <a:ext cx="2847926" cy="2313214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</xdr:row>
      <xdr:rowOff>0</xdr:rowOff>
    </xdr:from>
    <xdr:ext cx="5490884" cy="1600200"/>
    <xdr:sp macro="" textlink="">
      <xdr:nvSpPr>
        <xdr:cNvPr id="81" name="Прямоугольник 80">
          <a:extLst>
            <a:ext uri="{FF2B5EF4-FFF2-40B4-BE49-F238E27FC236}">
              <a16:creationId xmlns:a16="http://schemas.microsoft.com/office/drawing/2014/main" id="{00000000-0008-0000-2A00-000051000000}"/>
            </a:ext>
          </a:extLst>
        </xdr:cNvPr>
        <xdr:cNvSpPr/>
      </xdr:nvSpPr>
      <xdr:spPr>
        <a:xfrm>
          <a:off x="1796143" y="1687286"/>
          <a:ext cx="5490884" cy="1600200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l"/>
          <a:r>
            <a:rPr lang="ru-RU" sz="1200" b="1">
              <a:effectLst/>
              <a:latin typeface="+mn-lt"/>
              <a:ea typeface="+mn-ea"/>
              <a:cs typeface="+mn-cs"/>
            </a:rPr>
            <a:t>Комплект подключения внутрипольного конвектора №1</a:t>
          </a:r>
        </a:p>
        <a:p>
          <a:pPr algn="l"/>
          <a:endParaRPr lang="ru-RU" sz="1200" b="1">
            <a:effectLst/>
            <a:latin typeface="+mn-lt"/>
            <a:ea typeface="+mn-ea"/>
            <a:cs typeface="+mn-cs"/>
          </a:endParaRPr>
        </a:p>
        <a:p>
          <a:pPr algn="l"/>
          <a:r>
            <a:rPr lang="ru-RU" sz="1200">
              <a:effectLst/>
              <a:latin typeface="+mn-lt"/>
              <a:ea typeface="+mn-ea"/>
              <a:cs typeface="+mn-cs"/>
            </a:rPr>
            <a:t>Гибкие шланги из нержавеющей стали длиной 100мм ВН </a:t>
          </a:r>
          <a:r>
            <a:rPr lang="en-US" sz="1200">
              <a:effectLst/>
              <a:latin typeface="+mn-lt"/>
              <a:ea typeface="+mn-ea"/>
              <a:cs typeface="+mn-cs"/>
            </a:rPr>
            <a:t>G</a:t>
          </a:r>
          <a:r>
            <a:rPr lang="ru-RU" sz="1200">
              <a:effectLst/>
              <a:latin typeface="+mn-lt"/>
              <a:ea typeface="+mn-ea"/>
              <a:cs typeface="+mn-cs"/>
            </a:rPr>
            <a:t>1/2''     2шт.  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>
              <a:effectLst/>
              <a:latin typeface="+mn-lt"/>
              <a:ea typeface="+mn-ea"/>
              <a:cs typeface="+mn-cs"/>
            </a:rPr>
            <a:t>Производство Россия</a:t>
          </a:r>
          <a:endParaRPr lang="ru-RU" sz="1200">
            <a:effectLst/>
          </a:endParaRPr>
        </a:p>
        <a:p>
          <a:pPr algn="l"/>
          <a:r>
            <a:rPr lang="ru-RU" sz="1200">
              <a:effectLst/>
              <a:latin typeface="+mn-lt"/>
              <a:ea typeface="+mn-ea"/>
              <a:cs typeface="+mn-cs"/>
            </a:rPr>
            <a:t>       </a:t>
          </a:r>
          <a:endParaRPr lang="ru-RU" sz="1400">
            <a:effectLst/>
          </a:endParaRPr>
        </a:p>
      </xdr:txBody>
    </xdr:sp>
    <xdr:clientData/>
  </xdr:oneCellAnchor>
  <xdr:oneCellAnchor>
    <xdr:from>
      <xdr:col>2</xdr:col>
      <xdr:colOff>898072</xdr:colOff>
      <xdr:row>7</xdr:row>
      <xdr:rowOff>54429</xdr:rowOff>
    </xdr:from>
    <xdr:ext cx="932507" cy="936000"/>
    <xdr:pic>
      <xdr:nvPicPr>
        <xdr:cNvPr id="83" name="Рисунок 82">
          <a:extLst>
            <a:ext uri="{FF2B5EF4-FFF2-40B4-BE49-F238E27FC236}">
              <a16:creationId xmlns:a16="http://schemas.microsoft.com/office/drawing/2014/main" id="{00000000-0008-0000-2A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8461897" y="9254604"/>
          <a:ext cx="936000" cy="9325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884465</xdr:colOff>
      <xdr:row>14</xdr:row>
      <xdr:rowOff>122464</xdr:rowOff>
    </xdr:from>
    <xdr:ext cx="1006928" cy="957202"/>
    <xdr:pic>
      <xdr:nvPicPr>
        <xdr:cNvPr id="87" name="Рисунок 86">
          <a:extLst>
            <a:ext uri="{FF2B5EF4-FFF2-40B4-BE49-F238E27FC236}">
              <a16:creationId xmlns:a16="http://schemas.microsoft.com/office/drawing/2014/main" id="{00000000-0008-0000-2A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7315" y="29278489"/>
          <a:ext cx="1006928" cy="957202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14</xdr:row>
      <xdr:rowOff>304800</xdr:rowOff>
    </xdr:to>
    <xdr:sp macro="" textlink="">
      <xdr:nvSpPr>
        <xdr:cNvPr id="88" name="AutoShape 14" descr="blob:https://web.whatsapp.com/b4bb0b9a-47bf-4cd2-a26e-7d7a2fe1b856">
          <a:extLst>
            <a:ext uri="{FF2B5EF4-FFF2-40B4-BE49-F238E27FC236}">
              <a16:creationId xmlns:a16="http://schemas.microsoft.com/office/drawing/2014/main" id="{00000000-0008-0000-2A00-000058000000}"/>
            </a:ext>
          </a:extLst>
        </xdr:cNvPr>
        <xdr:cNvSpPr>
          <a:spLocks noChangeAspect="1" noChangeArrowheads="1"/>
        </xdr:cNvSpPr>
      </xdr:nvSpPr>
      <xdr:spPr bwMode="auto">
        <a:xfrm>
          <a:off x="7562850" y="2727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14</xdr:row>
      <xdr:rowOff>304800</xdr:rowOff>
    </xdr:to>
    <xdr:sp macro="" textlink="">
      <xdr:nvSpPr>
        <xdr:cNvPr id="89" name="AutoShape 15" descr="blob:https://web.whatsapp.com/b4bb0b9a-47bf-4cd2-a26e-7d7a2fe1b856">
          <a:extLst>
            <a:ext uri="{FF2B5EF4-FFF2-40B4-BE49-F238E27FC236}">
              <a16:creationId xmlns:a16="http://schemas.microsoft.com/office/drawing/2014/main" id="{00000000-0008-0000-2A00-000059000000}"/>
            </a:ext>
          </a:extLst>
        </xdr:cNvPr>
        <xdr:cNvSpPr>
          <a:spLocks noChangeAspect="1" noChangeArrowheads="1"/>
        </xdr:cNvSpPr>
      </xdr:nvSpPr>
      <xdr:spPr bwMode="auto">
        <a:xfrm>
          <a:off x="7562850" y="2727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12</xdr:row>
      <xdr:rowOff>0</xdr:rowOff>
    </xdr:from>
    <xdr:ext cx="6504214" cy="1869623"/>
    <xdr:sp macro="" textlink="">
      <xdr:nvSpPr>
        <xdr:cNvPr id="91" name="Прямоугольник 90">
          <a:extLst>
            <a:ext uri="{FF2B5EF4-FFF2-40B4-BE49-F238E27FC236}">
              <a16:creationId xmlns:a16="http://schemas.microsoft.com/office/drawing/2014/main" id="{00000000-0008-0000-2A00-00005B000000}"/>
            </a:ext>
          </a:extLst>
        </xdr:cNvPr>
        <xdr:cNvSpPr/>
      </xdr:nvSpPr>
      <xdr:spPr>
        <a:xfrm>
          <a:off x="1800225" y="23526750"/>
          <a:ext cx="6504214" cy="1869623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r>
            <a:rPr lang="ru-RU" sz="1200" b="1">
              <a:effectLst/>
              <a:latin typeface="+mn-lt"/>
              <a:ea typeface="+mn-ea"/>
              <a:cs typeface="+mn-cs"/>
            </a:rPr>
            <a:t>Термоэлектрический сервопривод</a:t>
          </a:r>
        </a:p>
        <a:p>
          <a:endParaRPr lang="ru-RU" sz="1200" b="1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Напряжение питания: ~230В ±10%, 50 Гц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Потребляемая мощность: 2 В·А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Тип: 2-позиционный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Степень защиты: </a:t>
          </a:r>
          <a:r>
            <a:rPr lang="en-US" sz="1200">
              <a:effectLst/>
              <a:latin typeface="+mn-lt"/>
              <a:ea typeface="+mn-ea"/>
              <a:cs typeface="+mn-cs"/>
            </a:rPr>
            <a:t>IP</a:t>
          </a:r>
          <a:r>
            <a:rPr lang="ru-RU" sz="1200">
              <a:effectLst/>
              <a:latin typeface="+mn-lt"/>
              <a:ea typeface="+mn-ea"/>
              <a:cs typeface="+mn-cs"/>
            </a:rPr>
            <a:t>54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Резьбовое соединение: </a:t>
          </a:r>
          <a:r>
            <a:rPr lang="en-US" sz="1200">
              <a:effectLst/>
              <a:latin typeface="+mn-lt"/>
              <a:ea typeface="+mn-ea"/>
              <a:cs typeface="+mn-cs"/>
            </a:rPr>
            <a:t>G</a:t>
          </a:r>
          <a:r>
            <a:rPr lang="ru-RU" sz="1200">
              <a:effectLst/>
              <a:latin typeface="+mn-lt"/>
              <a:ea typeface="+mn-ea"/>
              <a:cs typeface="+mn-cs"/>
            </a:rPr>
            <a:t>3/4''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Производство Польша</a:t>
          </a:r>
        </a:p>
      </xdr:txBody>
    </xdr:sp>
    <xdr:clientData/>
  </xdr:oneCellAnchor>
  <xdr:oneCellAnchor>
    <xdr:from>
      <xdr:col>1</xdr:col>
      <xdr:colOff>0</xdr:colOff>
      <xdr:row>13</xdr:row>
      <xdr:rowOff>0</xdr:rowOff>
    </xdr:from>
    <xdr:ext cx="6504214" cy="1869623"/>
    <xdr:sp macro="" textlink="">
      <xdr:nvSpPr>
        <xdr:cNvPr id="92" name="Прямоугольник 91">
          <a:extLst>
            <a:ext uri="{FF2B5EF4-FFF2-40B4-BE49-F238E27FC236}">
              <a16:creationId xmlns:a16="http://schemas.microsoft.com/office/drawing/2014/main" id="{00000000-0008-0000-2A00-00005C000000}"/>
            </a:ext>
          </a:extLst>
        </xdr:cNvPr>
        <xdr:cNvSpPr/>
      </xdr:nvSpPr>
      <xdr:spPr>
        <a:xfrm>
          <a:off x="1800225" y="25403175"/>
          <a:ext cx="6504214" cy="1869623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r>
            <a:rPr lang="ru-RU" sz="1200" b="1">
              <a:effectLst/>
              <a:latin typeface="+mn-lt"/>
              <a:ea typeface="+mn-ea"/>
              <a:cs typeface="+mn-cs"/>
            </a:rPr>
            <a:t>Термоэлектрический сервопривод</a:t>
          </a:r>
        </a:p>
        <a:p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Напряжение питания: -24, 50 Гц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Потребляемая мощность: 2 В·А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Тип: 2-позиционный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Степень защиты: </a:t>
          </a:r>
          <a:r>
            <a:rPr lang="en-US" sz="1200">
              <a:effectLst/>
              <a:latin typeface="+mn-lt"/>
              <a:ea typeface="+mn-ea"/>
              <a:cs typeface="+mn-cs"/>
            </a:rPr>
            <a:t>IP</a:t>
          </a:r>
          <a:r>
            <a:rPr lang="ru-RU" sz="1200">
              <a:effectLst/>
              <a:latin typeface="+mn-lt"/>
              <a:ea typeface="+mn-ea"/>
              <a:cs typeface="+mn-cs"/>
            </a:rPr>
            <a:t>54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Резьбовое соединение: </a:t>
          </a:r>
          <a:r>
            <a:rPr lang="en-US" sz="1200">
              <a:effectLst/>
              <a:latin typeface="+mn-lt"/>
              <a:ea typeface="+mn-ea"/>
              <a:cs typeface="+mn-cs"/>
            </a:rPr>
            <a:t>G</a:t>
          </a:r>
          <a:r>
            <a:rPr lang="ru-RU" sz="1200">
              <a:effectLst/>
              <a:latin typeface="+mn-lt"/>
              <a:ea typeface="+mn-ea"/>
              <a:cs typeface="+mn-cs"/>
            </a:rPr>
            <a:t>3/4''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>
              <a:effectLst/>
              <a:latin typeface="+mn-lt"/>
              <a:ea typeface="+mn-ea"/>
              <a:cs typeface="+mn-cs"/>
            </a:rPr>
            <a:t>Производство Польша</a:t>
          </a:r>
          <a:endParaRPr lang="ru-RU" sz="1200">
            <a:effectLst/>
          </a:endParaRPr>
        </a:p>
        <a:p>
          <a:endParaRPr lang="ru-RU" sz="1200">
            <a:effectLst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</xdr:col>
      <xdr:colOff>27215</xdr:colOff>
      <xdr:row>23</xdr:row>
      <xdr:rowOff>312965</xdr:rowOff>
    </xdr:from>
    <xdr:ext cx="5102681" cy="1426027"/>
    <xdr:sp macro="" textlink="">
      <xdr:nvSpPr>
        <xdr:cNvPr id="99" name="Прямоугольник 98">
          <a:extLst>
            <a:ext uri="{FF2B5EF4-FFF2-40B4-BE49-F238E27FC236}">
              <a16:creationId xmlns:a16="http://schemas.microsoft.com/office/drawing/2014/main" id="{00000000-0008-0000-2A00-000063000000}"/>
            </a:ext>
          </a:extLst>
        </xdr:cNvPr>
        <xdr:cNvSpPr/>
      </xdr:nvSpPr>
      <xdr:spPr>
        <a:xfrm>
          <a:off x="1827440" y="49747715"/>
          <a:ext cx="5102681" cy="142602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r>
            <a:rPr lang="ru-RU" sz="1200" b="1">
              <a:effectLst/>
              <a:latin typeface="+mn-lt"/>
              <a:ea typeface="+mn-ea"/>
              <a:cs typeface="+mn-cs"/>
            </a:rPr>
            <a:t>Комплект нижнего подключения проходной</a:t>
          </a:r>
        </a:p>
        <a:p>
          <a:endParaRPr lang="ru-RU" sz="1200" b="1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Узел нижнего подключения </a:t>
          </a:r>
          <a:r>
            <a:rPr lang="en-US" sz="1200">
              <a:effectLst/>
              <a:latin typeface="+mn-lt"/>
              <a:ea typeface="+mn-ea"/>
              <a:cs typeface="+mn-cs"/>
            </a:rPr>
            <a:t>STANDARD 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Прямой Никелированный </a:t>
          </a:r>
          <a:r>
            <a:rPr lang="en-US" sz="1200">
              <a:effectLst/>
              <a:latin typeface="+mn-lt"/>
              <a:ea typeface="+mn-ea"/>
              <a:cs typeface="+mn-cs"/>
            </a:rPr>
            <a:t>G</a:t>
          </a:r>
          <a:r>
            <a:rPr lang="ru-RU" sz="1200">
              <a:effectLst/>
              <a:latin typeface="+mn-lt"/>
              <a:ea typeface="+mn-ea"/>
              <a:cs typeface="+mn-cs"/>
            </a:rPr>
            <a:t> 3/4*3/4 </a:t>
          </a:r>
          <a:r>
            <a:rPr lang="en-US" sz="1200">
              <a:effectLst/>
              <a:latin typeface="+mn-lt"/>
              <a:ea typeface="+mn-ea"/>
              <a:cs typeface="+mn-cs"/>
            </a:rPr>
            <a:t>EURO KONUS </a:t>
          </a:r>
          <a:r>
            <a:rPr lang="ru-RU" sz="1200">
              <a:effectLst/>
              <a:latin typeface="+mn-lt"/>
              <a:ea typeface="+mn-ea"/>
              <a:cs typeface="+mn-cs"/>
            </a:rPr>
            <a:t>          1  шт.                                                                            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Ниппель1/2* 3/4 евроконус                                                  2 шт.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>
              <a:effectLst/>
              <a:latin typeface="+mn-lt"/>
              <a:ea typeface="+mn-ea"/>
              <a:cs typeface="+mn-cs"/>
            </a:rPr>
            <a:t>Производство Польша</a:t>
          </a:r>
          <a:endParaRPr lang="ru-RU">
            <a:effectLst/>
          </a:endParaRPr>
        </a:p>
        <a:p>
          <a:r>
            <a:rPr lang="ru-RU" sz="1100">
              <a:effectLst/>
              <a:latin typeface="+mn-lt"/>
              <a:ea typeface="+mn-ea"/>
              <a:cs typeface="+mn-cs"/>
            </a:rPr>
            <a:t>                                                              </a:t>
          </a:r>
        </a:p>
      </xdr:txBody>
    </xdr:sp>
    <xdr:clientData/>
  </xdr:oneCellAnchor>
  <xdr:oneCellAnchor>
    <xdr:from>
      <xdr:col>1</xdr:col>
      <xdr:colOff>40822</xdr:colOff>
      <xdr:row>24</xdr:row>
      <xdr:rowOff>381000</xdr:rowOff>
    </xdr:from>
    <xdr:ext cx="5102681" cy="1600200"/>
    <xdr:sp macro="" textlink="">
      <xdr:nvSpPr>
        <xdr:cNvPr id="100" name="Прямоугольник 99">
          <a:extLst>
            <a:ext uri="{FF2B5EF4-FFF2-40B4-BE49-F238E27FC236}">
              <a16:creationId xmlns:a16="http://schemas.microsoft.com/office/drawing/2014/main" id="{00000000-0008-0000-2A00-000064000000}"/>
            </a:ext>
          </a:extLst>
        </xdr:cNvPr>
        <xdr:cNvSpPr/>
      </xdr:nvSpPr>
      <xdr:spPr>
        <a:xfrm>
          <a:off x="1841047" y="51816000"/>
          <a:ext cx="5102681" cy="1600200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r>
            <a:rPr lang="ru-RU" sz="1200" b="1">
              <a:effectLst/>
              <a:latin typeface="+mn-lt"/>
              <a:ea typeface="+mn-ea"/>
              <a:cs typeface="+mn-cs"/>
            </a:rPr>
            <a:t>Комплект нижнего подключения угловой</a:t>
          </a:r>
        </a:p>
        <a:p>
          <a:endParaRPr lang="ru-RU" sz="1200" b="1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Узел нижнего подключения </a:t>
          </a:r>
          <a:r>
            <a:rPr lang="en-US" sz="1200">
              <a:effectLst/>
              <a:latin typeface="+mn-lt"/>
              <a:ea typeface="+mn-ea"/>
              <a:cs typeface="+mn-cs"/>
            </a:rPr>
            <a:t>STANDARD </a:t>
          </a:r>
          <a:endParaRPr lang="ru-RU" sz="1200">
            <a:effectLst/>
            <a:latin typeface="+mn-lt"/>
            <a:ea typeface="+mn-ea"/>
            <a:cs typeface="+mn-cs"/>
          </a:endParaRP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Угловой Никелированный </a:t>
          </a:r>
          <a:r>
            <a:rPr lang="en-US" sz="1200">
              <a:effectLst/>
              <a:latin typeface="+mn-lt"/>
              <a:ea typeface="+mn-ea"/>
              <a:cs typeface="+mn-cs"/>
            </a:rPr>
            <a:t>G</a:t>
          </a:r>
          <a:r>
            <a:rPr lang="ru-RU" sz="1200">
              <a:effectLst/>
              <a:latin typeface="+mn-lt"/>
              <a:ea typeface="+mn-ea"/>
              <a:cs typeface="+mn-cs"/>
            </a:rPr>
            <a:t> 3/4*3/4 </a:t>
          </a:r>
          <a:r>
            <a:rPr lang="en-US" sz="1200">
              <a:effectLst/>
              <a:latin typeface="+mn-lt"/>
              <a:ea typeface="+mn-ea"/>
              <a:cs typeface="+mn-cs"/>
            </a:rPr>
            <a:t>EURO KONUS</a:t>
          </a:r>
          <a:r>
            <a:rPr lang="ru-RU" sz="1200">
              <a:effectLst/>
              <a:latin typeface="+mn-lt"/>
              <a:ea typeface="+mn-ea"/>
              <a:cs typeface="+mn-cs"/>
            </a:rPr>
            <a:t>            1  шт.                                        </a:t>
          </a:r>
        </a:p>
        <a:p>
          <a:r>
            <a:rPr lang="ru-RU" sz="1200">
              <a:effectLst/>
              <a:latin typeface="+mn-lt"/>
              <a:ea typeface="+mn-ea"/>
              <a:cs typeface="+mn-cs"/>
            </a:rPr>
            <a:t>Ниппель1/2* 3/4 евроконус                                                     2 шт.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>
              <a:effectLst/>
              <a:latin typeface="+mn-lt"/>
              <a:ea typeface="+mn-ea"/>
              <a:cs typeface="+mn-cs"/>
            </a:rPr>
            <a:t>Производство Польша</a:t>
          </a:r>
          <a:endParaRPr lang="ru-RU" sz="1200">
            <a:effectLst/>
          </a:endParaRPr>
        </a:p>
        <a:p>
          <a:r>
            <a:rPr lang="ru-RU" sz="12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rPr>
            <a:t>                                                            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vitron.ru/" TargetMode="External"/><Relationship Id="rId1" Type="http://schemas.openxmlformats.org/officeDocument/2006/relationships/hyperlink" Target="https://vitron.ru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AU149"/>
  <sheetViews>
    <sheetView tabSelected="1" zoomScale="85" zoomScaleNormal="85" workbookViewId="0"/>
  </sheetViews>
  <sheetFormatPr defaultRowHeight="15"/>
  <cols>
    <col min="2" max="2" width="67" customWidth="1"/>
    <col min="4" max="4" width="13" customWidth="1"/>
    <col min="10" max="10" width="23.85546875" customWidth="1"/>
    <col min="11" max="47" width="9.140625" style="17"/>
  </cols>
  <sheetData>
    <row r="1" spans="1:13">
      <c r="A1" s="17"/>
      <c r="B1" s="17"/>
      <c r="C1" s="17"/>
      <c r="D1" s="17"/>
      <c r="E1" s="17"/>
      <c r="F1" s="17"/>
      <c r="G1" s="17"/>
      <c r="H1" s="17"/>
      <c r="I1" s="17"/>
      <c r="J1" s="17"/>
    </row>
    <row r="2" spans="1:13">
      <c r="A2" s="17"/>
      <c r="B2" s="17"/>
      <c r="C2" s="17"/>
      <c r="D2" s="17"/>
      <c r="E2" s="17"/>
      <c r="F2" s="17"/>
      <c r="G2" s="17"/>
      <c r="H2" s="17"/>
      <c r="I2" s="17"/>
      <c r="J2" s="17"/>
    </row>
    <row r="3" spans="1:13">
      <c r="A3" s="17"/>
      <c r="B3" s="17"/>
      <c r="C3" s="17"/>
      <c r="D3" s="17"/>
      <c r="E3" s="17"/>
      <c r="F3" s="17"/>
      <c r="G3" s="17"/>
      <c r="H3" s="17"/>
      <c r="I3" s="17"/>
      <c r="J3" s="17"/>
    </row>
    <row r="4" spans="1:13">
      <c r="A4" s="17"/>
      <c r="B4" s="17"/>
      <c r="C4" s="17"/>
      <c r="D4" s="17"/>
      <c r="E4" s="17"/>
      <c r="F4" s="17"/>
      <c r="G4" s="17"/>
      <c r="H4" s="17"/>
      <c r="I4" s="17"/>
      <c r="J4" s="17"/>
    </row>
    <row r="5" spans="1:13">
      <c r="A5" s="17"/>
      <c r="B5" s="17"/>
      <c r="C5" s="17"/>
      <c r="D5" s="17"/>
      <c r="E5" s="17"/>
      <c r="F5" s="17"/>
      <c r="G5" s="17"/>
      <c r="H5" s="17"/>
      <c r="I5" s="17"/>
      <c r="J5" s="17"/>
    </row>
    <row r="6" spans="1:13">
      <c r="A6" s="17"/>
      <c r="B6" s="17"/>
      <c r="C6" s="17"/>
      <c r="D6" s="17"/>
      <c r="E6" s="17"/>
      <c r="F6" s="17"/>
      <c r="G6" s="17"/>
      <c r="H6" s="17"/>
      <c r="I6" s="17"/>
      <c r="J6" s="17"/>
    </row>
    <row r="7" spans="1:13">
      <c r="A7" s="17"/>
      <c r="B7" s="17"/>
      <c r="C7" s="17"/>
      <c r="D7" s="17"/>
      <c r="E7" s="17"/>
      <c r="F7" s="17"/>
      <c r="G7" s="17"/>
      <c r="H7" s="17"/>
      <c r="I7" s="17"/>
      <c r="J7" s="17"/>
    </row>
    <row r="8" spans="1:13">
      <c r="A8" s="17"/>
      <c r="B8" s="17"/>
      <c r="C8" s="17"/>
      <c r="D8" s="17"/>
      <c r="E8" s="17"/>
      <c r="F8" s="17"/>
      <c r="G8" s="17"/>
      <c r="H8" s="17"/>
      <c r="I8" s="17"/>
      <c r="J8" s="17"/>
    </row>
    <row r="9" spans="1:13">
      <c r="A9" s="17"/>
      <c r="B9" s="17"/>
      <c r="C9" s="17"/>
      <c r="D9" s="17"/>
      <c r="E9" s="17"/>
      <c r="F9" s="17"/>
      <c r="G9" s="17"/>
      <c r="H9" s="17"/>
      <c r="I9" s="17"/>
      <c r="J9" s="17"/>
    </row>
    <row r="10" spans="1:13">
      <c r="A10" s="17"/>
      <c r="B10" s="17"/>
      <c r="C10" s="17"/>
      <c r="D10" s="17"/>
      <c r="E10" s="17"/>
      <c r="F10" s="17"/>
      <c r="G10" s="17"/>
      <c r="H10" s="17"/>
      <c r="I10" s="17"/>
      <c r="J10" s="17"/>
    </row>
    <row r="11" spans="1:13" ht="33.75" customHeight="1">
      <c r="A11" s="17"/>
      <c r="C11" s="17"/>
      <c r="D11" s="17"/>
      <c r="E11" s="17"/>
      <c r="F11" s="17"/>
      <c r="G11" s="17"/>
      <c r="H11" s="2012" t="s">
        <v>66</v>
      </c>
      <c r="I11" s="2012"/>
      <c r="J11" s="2012"/>
    </row>
    <row r="12" spans="1:13" ht="27.75" customHeight="1">
      <c r="A12" s="17"/>
      <c r="B12" s="77" t="s">
        <v>4</v>
      </c>
      <c r="C12" s="17"/>
      <c r="D12" s="17"/>
      <c r="E12" s="17"/>
      <c r="F12" s="17"/>
      <c r="G12" s="17"/>
      <c r="H12" s="17"/>
      <c r="I12" s="17"/>
      <c r="J12" s="17"/>
    </row>
    <row r="13" spans="1:13" ht="7.5" customHeight="1">
      <c r="A13" s="17"/>
      <c r="B13" s="17"/>
      <c r="C13" s="17"/>
      <c r="D13" s="17"/>
      <c r="E13" s="17"/>
      <c r="F13" s="17"/>
      <c r="G13" s="17"/>
      <c r="H13" s="17"/>
      <c r="I13" s="17"/>
      <c r="J13" s="17"/>
    </row>
    <row r="14" spans="1:13" ht="19.5" customHeight="1">
      <c r="A14" s="17"/>
      <c r="B14" s="78" t="s">
        <v>5812</v>
      </c>
      <c r="C14" s="17"/>
      <c r="D14" s="17"/>
      <c r="E14" s="17"/>
      <c r="F14" s="17"/>
      <c r="G14" s="17"/>
      <c r="H14" s="17"/>
      <c r="I14" s="17"/>
      <c r="J14" s="17"/>
    </row>
    <row r="15" spans="1:13" s="17" customFormat="1" ht="7.5" customHeight="1"/>
    <row r="16" spans="1:13" ht="24" customHeight="1">
      <c r="A16" s="19"/>
      <c r="B16" s="20" t="s">
        <v>13</v>
      </c>
      <c r="C16" s="21"/>
      <c r="D16" s="21"/>
      <c r="E16" s="21"/>
      <c r="F16" s="21"/>
      <c r="G16" s="21"/>
      <c r="H16" s="21"/>
      <c r="I16" s="21"/>
      <c r="J16" s="21"/>
      <c r="K16" s="79"/>
      <c r="L16" s="79"/>
      <c r="M16" s="79"/>
    </row>
    <row r="17" spans="1:47" s="74" customFormat="1" ht="27.75" customHeight="1">
      <c r="A17" s="249"/>
      <c r="B17" s="2015" t="s">
        <v>149</v>
      </c>
      <c r="C17" s="2015"/>
      <c r="D17" s="2015"/>
      <c r="E17" s="2015"/>
      <c r="F17" s="2015"/>
      <c r="G17" s="250"/>
      <c r="H17" s="250"/>
      <c r="I17" s="250"/>
      <c r="J17" s="250"/>
      <c r="K17" s="17"/>
      <c r="L17" s="80"/>
      <c r="M17" s="81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</row>
    <row r="18" spans="1:47" ht="27.75" customHeight="1">
      <c r="A18" s="22"/>
      <c r="B18" s="2013" t="s">
        <v>145</v>
      </c>
      <c r="C18" s="2013"/>
      <c r="D18" s="2013"/>
      <c r="E18" s="2013"/>
      <c r="F18" s="2013"/>
      <c r="G18" s="23"/>
      <c r="H18" s="23"/>
      <c r="I18" s="23"/>
      <c r="J18" s="23"/>
      <c r="L18" s="80"/>
      <c r="M18" s="81"/>
    </row>
    <row r="19" spans="1:47" s="74" customFormat="1" ht="27.75" customHeight="1">
      <c r="A19" s="533"/>
      <c r="B19" s="534" t="s">
        <v>326</v>
      </c>
      <c r="C19" s="534"/>
      <c r="D19" s="534"/>
      <c r="E19" s="534"/>
      <c r="F19" s="534"/>
      <c r="G19" s="535"/>
      <c r="H19" s="535"/>
      <c r="I19" s="535"/>
      <c r="J19" s="535"/>
      <c r="K19" s="17"/>
      <c r="L19" s="80"/>
      <c r="M19" s="81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</row>
    <row r="20" spans="1:47" s="74" customFormat="1" ht="27.75" customHeight="1">
      <c r="A20" s="799"/>
      <c r="B20" s="800" t="s">
        <v>327</v>
      </c>
      <c r="C20" s="800"/>
      <c r="D20" s="800"/>
      <c r="E20" s="800"/>
      <c r="F20" s="800"/>
      <c r="G20" s="801"/>
      <c r="H20" s="801"/>
      <c r="I20" s="801"/>
      <c r="J20" s="801"/>
      <c r="K20" s="17"/>
      <c r="L20" s="80"/>
      <c r="M20" s="81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</row>
    <row r="21" spans="1:47" s="74" customFormat="1" ht="25.5" customHeight="1">
      <c r="A21" s="255"/>
      <c r="B21" s="255" t="s">
        <v>203</v>
      </c>
      <c r="C21" s="255"/>
      <c r="D21" s="255"/>
      <c r="E21" s="255"/>
      <c r="F21" s="255"/>
      <c r="G21" s="255"/>
      <c r="H21" s="255"/>
      <c r="I21" s="255"/>
      <c r="J21" s="255"/>
      <c r="K21" s="80"/>
      <c r="L21" s="80"/>
      <c r="M21" s="81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</row>
    <row r="22" spans="1:47" s="74" customFormat="1" ht="20.25">
      <c r="A22" s="255"/>
      <c r="B22" s="256" t="s">
        <v>5</v>
      </c>
      <c r="C22" s="257"/>
      <c r="D22" s="269" t="s">
        <v>198</v>
      </c>
      <c r="E22" s="268"/>
      <c r="F22" s="255"/>
      <c r="G22" s="255"/>
      <c r="H22" s="255"/>
      <c r="I22" s="255"/>
      <c r="J22" s="255"/>
      <c r="K22" s="80"/>
      <c r="L22" s="80"/>
      <c r="M22" s="81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</row>
    <row r="23" spans="1:47" s="74" customFormat="1" ht="20.25">
      <c r="A23" s="255"/>
      <c r="B23" s="256"/>
      <c r="C23" s="257"/>
      <c r="D23" s="269" t="s">
        <v>199</v>
      </c>
      <c r="E23" s="268"/>
      <c r="F23" s="255"/>
      <c r="G23" s="255"/>
      <c r="H23" s="255"/>
      <c r="I23" s="255"/>
      <c r="J23" s="255"/>
      <c r="K23" s="80"/>
      <c r="L23" s="80"/>
      <c r="M23" s="81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</row>
    <row r="24" spans="1:47" s="74" customFormat="1" ht="20.25">
      <c r="A24" s="255"/>
      <c r="B24" s="255"/>
      <c r="C24" s="255"/>
      <c r="D24" s="269" t="s">
        <v>202</v>
      </c>
      <c r="E24" s="268"/>
      <c r="F24" s="255"/>
      <c r="G24" s="255"/>
      <c r="H24" s="255"/>
      <c r="I24" s="255"/>
      <c r="J24" s="255"/>
      <c r="K24" s="80"/>
      <c r="L24" s="80"/>
      <c r="M24" s="81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</row>
    <row r="25" spans="1:47" s="74" customFormat="1" ht="20.25">
      <c r="A25" s="255"/>
      <c r="B25" s="255"/>
      <c r="C25" s="255"/>
      <c r="D25" s="1086" t="s">
        <v>413</v>
      </c>
      <c r="E25" s="268"/>
      <c r="F25" s="255"/>
      <c r="G25" s="255"/>
      <c r="H25" s="255"/>
      <c r="I25" s="255"/>
      <c r="J25" s="255"/>
      <c r="K25" s="80"/>
      <c r="L25" s="80"/>
      <c r="M25" s="81"/>
      <c r="N25" s="1082"/>
      <c r="O25" s="1082"/>
      <c r="P25" s="1082"/>
      <c r="Q25" s="1082"/>
      <c r="R25" s="1082"/>
      <c r="S25" s="1082"/>
      <c r="T25" s="1082"/>
      <c r="U25" s="1082"/>
      <c r="V25" s="1082"/>
      <c r="W25" s="1082"/>
      <c r="X25" s="1082"/>
      <c r="Y25" s="1082"/>
      <c r="Z25" s="1082"/>
      <c r="AA25" s="1082"/>
      <c r="AB25" s="1082"/>
      <c r="AC25" s="1082"/>
      <c r="AD25" s="1082"/>
      <c r="AE25" s="1082"/>
      <c r="AF25" s="1082"/>
      <c r="AG25" s="1082"/>
      <c r="AH25" s="1082"/>
      <c r="AI25" s="1082"/>
      <c r="AJ25" s="1082"/>
      <c r="AK25" s="1082"/>
      <c r="AL25" s="1082"/>
      <c r="AM25" s="1082"/>
      <c r="AN25" s="1082"/>
      <c r="AO25" s="1082"/>
      <c r="AP25" s="1082"/>
      <c r="AQ25" s="1082"/>
      <c r="AR25" s="1082"/>
      <c r="AS25" s="1082"/>
      <c r="AT25" s="1082"/>
      <c r="AU25" s="1082"/>
    </row>
    <row r="26" spans="1:47" s="74" customFormat="1" ht="20.25">
      <c r="A26" s="255"/>
      <c r="B26" s="255"/>
      <c r="C26" s="255"/>
      <c r="D26" s="269" t="s">
        <v>205</v>
      </c>
      <c r="E26" s="268"/>
      <c r="F26" s="255"/>
      <c r="G26" s="255"/>
      <c r="H26" s="255"/>
      <c r="I26" s="255"/>
      <c r="J26" s="255"/>
      <c r="K26" s="80"/>
      <c r="L26" s="80"/>
      <c r="M26" s="81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</row>
    <row r="27" spans="1:47" s="74" customFormat="1" ht="20.25">
      <c r="A27" s="255"/>
      <c r="B27" s="255"/>
      <c r="C27" s="255"/>
      <c r="D27" s="269" t="s">
        <v>200</v>
      </c>
      <c r="E27" s="268"/>
      <c r="F27" s="255"/>
      <c r="G27" s="255"/>
      <c r="H27" s="255"/>
      <c r="I27" s="255"/>
      <c r="J27" s="255"/>
      <c r="K27" s="80"/>
      <c r="L27" s="80"/>
      <c r="M27" s="81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</row>
    <row r="28" spans="1:47" s="74" customFormat="1" ht="20.25">
      <c r="A28" s="255"/>
      <c r="B28" s="255"/>
      <c r="C28" s="255"/>
      <c r="D28" s="269" t="s">
        <v>415</v>
      </c>
      <c r="E28" s="268"/>
      <c r="F28" s="255"/>
      <c r="G28" s="255"/>
      <c r="H28" s="255"/>
      <c r="I28" s="255"/>
      <c r="J28" s="255"/>
      <c r="K28" s="80"/>
      <c r="L28" s="80"/>
      <c r="M28" s="81"/>
      <c r="N28" s="1087"/>
      <c r="O28" s="1087"/>
      <c r="P28" s="1087"/>
      <c r="Q28" s="1087"/>
      <c r="R28" s="1087"/>
      <c r="S28" s="1087"/>
      <c r="T28" s="1087"/>
      <c r="U28" s="1087"/>
      <c r="V28" s="1087"/>
      <c r="W28" s="1087"/>
      <c r="X28" s="1087"/>
      <c r="Y28" s="1087"/>
      <c r="Z28" s="1087"/>
      <c r="AA28" s="1087"/>
      <c r="AB28" s="1087"/>
      <c r="AC28" s="1087"/>
      <c r="AD28" s="1087"/>
      <c r="AE28" s="1087"/>
      <c r="AF28" s="1087"/>
      <c r="AG28" s="1087"/>
      <c r="AH28" s="1087"/>
      <c r="AI28" s="1087"/>
      <c r="AJ28" s="1087"/>
      <c r="AK28" s="1087"/>
      <c r="AL28" s="1087"/>
      <c r="AM28" s="1087"/>
      <c r="AN28" s="1087"/>
      <c r="AO28" s="1087"/>
      <c r="AP28" s="1087"/>
      <c r="AQ28" s="1087"/>
      <c r="AR28" s="1087"/>
      <c r="AS28" s="1087"/>
      <c r="AT28" s="1087"/>
      <c r="AU28" s="1087"/>
    </row>
    <row r="29" spans="1:47" s="74" customFormat="1" ht="20.25">
      <c r="A29" s="255"/>
      <c r="B29" s="255"/>
      <c r="C29" s="255"/>
      <c r="D29" s="269" t="s">
        <v>201</v>
      </c>
      <c r="E29" s="268"/>
      <c r="F29" s="255"/>
      <c r="G29" s="255"/>
      <c r="H29" s="255"/>
      <c r="I29" s="255"/>
      <c r="J29" s="255"/>
      <c r="K29" s="80"/>
      <c r="L29" s="80"/>
      <c r="M29" s="81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</row>
    <row r="30" spans="1:47" ht="20.25">
      <c r="A30" s="3"/>
      <c r="B30" s="3" t="s">
        <v>148</v>
      </c>
      <c r="C30" s="3"/>
      <c r="D30" s="3"/>
      <c r="E30" s="3"/>
      <c r="F30" s="3"/>
      <c r="G30" s="3"/>
      <c r="H30" s="3"/>
      <c r="I30" s="3"/>
      <c r="J30" s="3"/>
      <c r="K30" s="80"/>
      <c r="L30" s="80"/>
      <c r="M30" s="81"/>
    </row>
    <row r="31" spans="1:47" s="74" customFormat="1" ht="20.25">
      <c r="A31" s="3"/>
      <c r="B31" s="18" t="s">
        <v>5</v>
      </c>
      <c r="C31" s="3"/>
      <c r="D31" s="210" t="s">
        <v>186</v>
      </c>
      <c r="E31" s="3"/>
      <c r="F31" s="3"/>
      <c r="G31" s="3"/>
      <c r="H31" s="3"/>
      <c r="I31" s="3"/>
      <c r="J31" s="3"/>
      <c r="K31" s="80"/>
      <c r="L31" s="80"/>
      <c r="M31" s="8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</row>
    <row r="32" spans="1:47" s="74" customFormat="1" ht="20.25">
      <c r="A32" s="3"/>
      <c r="B32" s="3"/>
      <c r="C32" s="3"/>
      <c r="D32" s="210" t="s">
        <v>187</v>
      </c>
      <c r="E32" s="3"/>
      <c r="F32" s="3"/>
      <c r="G32" s="3"/>
      <c r="H32" s="3"/>
      <c r="I32" s="3"/>
      <c r="J32" s="3"/>
      <c r="K32" s="80"/>
      <c r="L32" s="80"/>
      <c r="M32" s="8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</row>
    <row r="33" spans="1:47" s="74" customFormat="1" ht="20.25">
      <c r="A33" s="3"/>
      <c r="B33" s="3"/>
      <c r="C33" s="3"/>
      <c r="D33" s="210" t="s">
        <v>188</v>
      </c>
      <c r="E33" s="3"/>
      <c r="F33" s="3"/>
      <c r="G33" s="3"/>
      <c r="H33" s="3"/>
      <c r="I33" s="3"/>
      <c r="J33" s="3"/>
      <c r="K33" s="80"/>
      <c r="L33" s="80"/>
      <c r="M33" s="8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</row>
    <row r="34" spans="1:47" ht="20.25">
      <c r="A34" s="3"/>
      <c r="B34" s="3"/>
      <c r="C34" s="3"/>
      <c r="D34" s="56" t="s">
        <v>189</v>
      </c>
      <c r="E34" s="3"/>
      <c r="F34" s="3"/>
      <c r="G34" s="3"/>
      <c r="H34" s="3"/>
      <c r="I34" s="3"/>
      <c r="J34" s="3"/>
      <c r="K34" s="80"/>
      <c r="L34" s="80"/>
      <c r="M34" s="81"/>
    </row>
    <row r="35" spans="1:47" s="74" customFormat="1" ht="20.25">
      <c r="A35" s="3"/>
      <c r="B35" s="3"/>
      <c r="C35" s="3"/>
      <c r="D35" s="56" t="s">
        <v>190</v>
      </c>
      <c r="E35" s="3"/>
      <c r="F35" s="3"/>
      <c r="G35" s="3"/>
      <c r="H35" s="3"/>
      <c r="I35" s="3"/>
      <c r="J35" s="3"/>
      <c r="K35" s="80"/>
      <c r="L35" s="80"/>
      <c r="M35" s="8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</row>
    <row r="36" spans="1:47" ht="20.25">
      <c r="A36" s="3"/>
      <c r="B36" s="3"/>
      <c r="C36" s="3"/>
      <c r="D36" s="4" t="s">
        <v>204</v>
      </c>
      <c r="E36" s="3"/>
      <c r="F36" s="3"/>
      <c r="G36" s="3"/>
      <c r="H36" s="3"/>
      <c r="I36" s="3"/>
      <c r="J36" s="3"/>
      <c r="K36" s="80"/>
      <c r="L36" s="80"/>
      <c r="M36" s="81"/>
    </row>
    <row r="37" spans="1:47" ht="20.25">
      <c r="A37" s="3"/>
      <c r="B37" s="3"/>
      <c r="C37" s="3"/>
      <c r="D37" s="4" t="s">
        <v>191</v>
      </c>
      <c r="E37" s="3"/>
      <c r="F37" s="3"/>
      <c r="G37" s="3"/>
      <c r="H37" s="3"/>
      <c r="I37" s="3"/>
      <c r="J37" s="3"/>
      <c r="K37" s="80"/>
      <c r="L37" s="80"/>
      <c r="M37" s="81"/>
    </row>
    <row r="38" spans="1:47" s="74" customFormat="1" ht="20.25">
      <c r="A38" s="3"/>
      <c r="B38" s="3"/>
      <c r="C38" s="3"/>
      <c r="D38" s="56" t="s">
        <v>414</v>
      </c>
      <c r="E38" s="3"/>
      <c r="F38" s="3"/>
      <c r="G38" s="3"/>
      <c r="H38" s="3"/>
      <c r="I38" s="3"/>
      <c r="J38" s="3"/>
      <c r="K38" s="80"/>
      <c r="L38" s="80"/>
      <c r="M38" s="81"/>
      <c r="N38" s="1015"/>
      <c r="O38" s="1015"/>
      <c r="P38" s="1015"/>
      <c r="Q38" s="1015"/>
      <c r="R38" s="1015"/>
      <c r="S38" s="1015"/>
      <c r="T38" s="1015"/>
      <c r="U38" s="1015"/>
      <c r="V38" s="1015"/>
      <c r="W38" s="1015"/>
      <c r="X38" s="1015"/>
      <c r="Y38" s="1015"/>
      <c r="Z38" s="1015"/>
      <c r="AA38" s="1015"/>
      <c r="AB38" s="1015"/>
      <c r="AC38" s="1015"/>
      <c r="AD38" s="1015"/>
      <c r="AE38" s="1015"/>
      <c r="AF38" s="1015"/>
      <c r="AG38" s="1015"/>
      <c r="AH38" s="1015"/>
      <c r="AI38" s="1015"/>
      <c r="AJ38" s="1015"/>
      <c r="AK38" s="1015"/>
      <c r="AL38" s="1015"/>
      <c r="AM38" s="1015"/>
      <c r="AN38" s="1015"/>
      <c r="AO38" s="1015"/>
      <c r="AP38" s="1015"/>
      <c r="AQ38" s="1015"/>
      <c r="AR38" s="1015"/>
      <c r="AS38" s="1015"/>
      <c r="AT38" s="1015"/>
      <c r="AU38" s="1015"/>
    </row>
    <row r="39" spans="1:47" ht="20.25">
      <c r="A39" s="3"/>
      <c r="B39" s="3"/>
      <c r="C39" s="3"/>
      <c r="D39" s="4" t="s">
        <v>192</v>
      </c>
      <c r="E39" s="3"/>
      <c r="F39" s="3"/>
      <c r="G39" s="3"/>
      <c r="H39" s="3"/>
      <c r="I39" s="3"/>
      <c r="J39" s="3"/>
      <c r="K39" s="80"/>
      <c r="L39" s="80"/>
      <c r="M39" s="81"/>
    </row>
    <row r="40" spans="1:47" s="74" customFormat="1" ht="20.25">
      <c r="A40" s="3"/>
      <c r="B40" s="3"/>
      <c r="C40" s="3"/>
      <c r="D40" s="4" t="s">
        <v>193</v>
      </c>
      <c r="E40" s="3"/>
      <c r="F40" s="3"/>
      <c r="G40" s="3"/>
      <c r="H40" s="3"/>
      <c r="I40" s="3"/>
      <c r="J40" s="3"/>
      <c r="K40" s="80"/>
      <c r="L40" s="80"/>
      <c r="M40" s="8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</row>
    <row r="41" spans="1:47" s="74" customFormat="1" ht="20.25">
      <c r="A41" s="3"/>
      <c r="B41" s="3"/>
      <c r="C41" s="3"/>
      <c r="D41" s="4" t="s">
        <v>194</v>
      </c>
      <c r="E41" s="3"/>
      <c r="F41" s="3"/>
      <c r="G41" s="3"/>
      <c r="H41" s="3"/>
      <c r="I41" s="3"/>
      <c r="J41" s="3"/>
      <c r="K41" s="80"/>
      <c r="L41" s="80"/>
      <c r="M41" s="8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</row>
    <row r="42" spans="1:47" s="74" customFormat="1" ht="20.25">
      <c r="A42" s="3"/>
      <c r="B42" s="3"/>
      <c r="C42" s="3"/>
      <c r="D42" s="4" t="s">
        <v>195</v>
      </c>
      <c r="E42" s="3"/>
      <c r="F42" s="3"/>
      <c r="G42" s="3"/>
      <c r="H42" s="3"/>
      <c r="I42" s="3"/>
      <c r="J42" s="3"/>
      <c r="K42" s="80"/>
      <c r="L42" s="80"/>
      <c r="M42" s="81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</row>
    <row r="43" spans="1:47" s="74" customFormat="1" ht="20.25">
      <c r="A43" s="3"/>
      <c r="B43" s="3"/>
      <c r="C43" s="3"/>
      <c r="D43" s="4" t="s">
        <v>196</v>
      </c>
      <c r="E43" s="3"/>
      <c r="F43" s="3"/>
      <c r="G43" s="3"/>
      <c r="H43" s="3"/>
      <c r="I43" s="3"/>
      <c r="J43" s="3"/>
      <c r="K43" s="80"/>
      <c r="L43" s="80"/>
      <c r="M43" s="81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</row>
    <row r="44" spans="1:47" s="74" customFormat="1" ht="20.25">
      <c r="A44" s="3"/>
      <c r="B44" s="3"/>
      <c r="C44" s="3"/>
      <c r="D44" s="4" t="s">
        <v>197</v>
      </c>
      <c r="E44" s="3"/>
      <c r="F44" s="3"/>
      <c r="G44" s="3"/>
      <c r="H44" s="3"/>
      <c r="I44" s="3"/>
      <c r="J44" s="3"/>
      <c r="K44" s="80"/>
      <c r="L44" s="80"/>
      <c r="M44" s="81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</row>
    <row r="45" spans="1:47" s="74" customFormat="1" ht="20.25">
      <c r="A45" s="1339"/>
      <c r="B45" s="1339" t="s">
        <v>148</v>
      </c>
      <c r="C45" s="1339"/>
      <c r="D45" s="1340"/>
      <c r="E45" s="1339"/>
      <c r="F45" s="1339"/>
      <c r="G45" s="1339"/>
      <c r="H45" s="1339"/>
      <c r="I45" s="1339"/>
      <c r="J45" s="1339"/>
      <c r="K45" s="80"/>
      <c r="L45" s="80"/>
      <c r="M45" s="81"/>
      <c r="N45" s="1307"/>
      <c r="O45" s="1307"/>
      <c r="P45" s="1307"/>
      <c r="Q45" s="1307"/>
      <c r="R45" s="1307"/>
      <c r="S45" s="1307"/>
      <c r="T45" s="1307"/>
      <c r="U45" s="1307"/>
      <c r="V45" s="1307"/>
      <c r="W45" s="1307"/>
      <c r="X45" s="1307"/>
      <c r="Y45" s="1307"/>
      <c r="Z45" s="1307"/>
      <c r="AA45" s="1307"/>
      <c r="AB45" s="1307"/>
      <c r="AC45" s="1307"/>
      <c r="AD45" s="1307"/>
      <c r="AE45" s="1307"/>
      <c r="AF45" s="1307"/>
      <c r="AG45" s="1307"/>
      <c r="AH45" s="1307"/>
      <c r="AI45" s="1307"/>
      <c r="AJ45" s="1307"/>
      <c r="AK45" s="1307"/>
      <c r="AL45" s="1307"/>
      <c r="AM45" s="1307"/>
      <c r="AN45" s="1307"/>
      <c r="AO45" s="1307"/>
      <c r="AP45" s="1307"/>
      <c r="AQ45" s="1307"/>
      <c r="AR45" s="1307"/>
      <c r="AS45" s="1307"/>
      <c r="AT45" s="1307"/>
      <c r="AU45" s="1307"/>
    </row>
    <row r="46" spans="1:47" s="74" customFormat="1" ht="20.25">
      <c r="A46" s="1339"/>
      <c r="B46" s="1341" t="s">
        <v>5</v>
      </c>
      <c r="C46" s="1339"/>
      <c r="D46" s="1342" t="s">
        <v>5718</v>
      </c>
      <c r="E46" s="1339"/>
      <c r="F46" s="1339"/>
      <c r="G46" s="1339"/>
      <c r="H46" s="1339"/>
      <c r="I46" s="1339"/>
      <c r="J46" s="1339"/>
      <c r="K46" s="80"/>
      <c r="L46" s="80"/>
      <c r="M46" s="81"/>
      <c r="N46" s="1307"/>
      <c r="O46" s="1307"/>
      <c r="P46" s="1307"/>
      <c r="Q46" s="1307"/>
      <c r="R46" s="1307"/>
      <c r="S46" s="1307"/>
      <c r="T46" s="1307"/>
      <c r="U46" s="1307"/>
      <c r="V46" s="1307"/>
      <c r="W46" s="1307"/>
      <c r="X46" s="1307"/>
      <c r="Y46" s="1307"/>
      <c r="Z46" s="1307"/>
      <c r="AA46" s="1307"/>
      <c r="AB46" s="1307"/>
      <c r="AC46" s="1307"/>
      <c r="AD46" s="1307"/>
      <c r="AE46" s="1307"/>
      <c r="AF46" s="1307"/>
      <c r="AG46" s="1307"/>
      <c r="AH46" s="1307"/>
      <c r="AI46" s="1307"/>
      <c r="AJ46" s="1307"/>
      <c r="AK46" s="1307"/>
      <c r="AL46" s="1307"/>
      <c r="AM46" s="1307"/>
      <c r="AN46" s="1307"/>
      <c r="AO46" s="1307"/>
      <c r="AP46" s="1307"/>
      <c r="AQ46" s="1307"/>
      <c r="AR46" s="1307"/>
      <c r="AS46" s="1307"/>
      <c r="AT46" s="1307"/>
      <c r="AU46" s="1307"/>
    </row>
    <row r="47" spans="1:47" s="74" customFormat="1" ht="20.25">
      <c r="A47" s="1339"/>
      <c r="B47" s="1339"/>
      <c r="C47" s="1339"/>
      <c r="D47" s="1342" t="s">
        <v>5719</v>
      </c>
      <c r="E47" s="1339"/>
      <c r="F47" s="1339"/>
      <c r="G47" s="1339"/>
      <c r="H47" s="1339"/>
      <c r="I47" s="1339"/>
      <c r="J47" s="1339"/>
      <c r="K47" s="80"/>
      <c r="L47" s="80"/>
      <c r="M47" s="81"/>
      <c r="N47" s="1307"/>
      <c r="O47" s="1307"/>
      <c r="P47" s="1307"/>
      <c r="Q47" s="1307"/>
      <c r="R47" s="1307"/>
      <c r="S47" s="1307"/>
      <c r="T47" s="1307"/>
      <c r="U47" s="1307"/>
      <c r="V47" s="1307"/>
      <c r="W47" s="1307"/>
      <c r="X47" s="1307"/>
      <c r="Y47" s="1307"/>
      <c r="Z47" s="1307"/>
      <c r="AA47" s="1307"/>
      <c r="AB47" s="1307"/>
      <c r="AC47" s="1307"/>
      <c r="AD47" s="1307"/>
      <c r="AE47" s="1307"/>
      <c r="AF47" s="1307"/>
      <c r="AG47" s="1307"/>
      <c r="AH47" s="1307"/>
      <c r="AI47" s="1307"/>
      <c r="AJ47" s="1307"/>
      <c r="AK47" s="1307"/>
      <c r="AL47" s="1307"/>
      <c r="AM47" s="1307"/>
      <c r="AN47" s="1307"/>
      <c r="AO47" s="1307"/>
      <c r="AP47" s="1307"/>
      <c r="AQ47" s="1307"/>
      <c r="AR47" s="1307"/>
      <c r="AS47" s="1307"/>
      <c r="AT47" s="1307"/>
      <c r="AU47" s="1307"/>
    </row>
    <row r="48" spans="1:47" s="74" customFormat="1" ht="20.25">
      <c r="A48" s="1339"/>
      <c r="B48" s="1339"/>
      <c r="C48" s="1339"/>
      <c r="D48" s="1342" t="s">
        <v>5720</v>
      </c>
      <c r="E48" s="1339"/>
      <c r="F48" s="1339"/>
      <c r="G48" s="1339"/>
      <c r="H48" s="1339"/>
      <c r="I48" s="1339"/>
      <c r="J48" s="1339"/>
      <c r="K48" s="80"/>
      <c r="L48" s="80"/>
      <c r="M48" s="81"/>
      <c r="N48" s="1307"/>
      <c r="O48" s="1307"/>
      <c r="P48" s="1307"/>
      <c r="Q48" s="1307"/>
      <c r="R48" s="1307"/>
      <c r="S48" s="1307"/>
      <c r="T48" s="1307"/>
      <c r="U48" s="1307"/>
      <c r="V48" s="1307"/>
      <c r="W48" s="1307"/>
      <c r="X48" s="1307"/>
      <c r="Y48" s="1307"/>
      <c r="Z48" s="1307"/>
      <c r="AA48" s="1307"/>
      <c r="AB48" s="1307"/>
      <c r="AC48" s="1307"/>
      <c r="AD48" s="1307"/>
      <c r="AE48" s="1307"/>
      <c r="AF48" s="1307"/>
      <c r="AG48" s="1307"/>
      <c r="AH48" s="1307"/>
      <c r="AI48" s="1307"/>
      <c r="AJ48" s="1307"/>
      <c r="AK48" s="1307"/>
      <c r="AL48" s="1307"/>
      <c r="AM48" s="1307"/>
      <c r="AN48" s="1307"/>
      <c r="AO48" s="1307"/>
      <c r="AP48" s="1307"/>
      <c r="AQ48" s="1307"/>
      <c r="AR48" s="1307"/>
      <c r="AS48" s="1307"/>
      <c r="AT48" s="1307"/>
      <c r="AU48" s="1307"/>
    </row>
    <row r="49" spans="1:47" s="74" customFormat="1" ht="20.25">
      <c r="A49" s="1339"/>
      <c r="B49" s="1339"/>
      <c r="C49" s="1339"/>
      <c r="D49" s="1342" t="s">
        <v>5721</v>
      </c>
      <c r="E49" s="1339"/>
      <c r="F49" s="1339"/>
      <c r="G49" s="1339"/>
      <c r="H49" s="1339"/>
      <c r="I49" s="1339"/>
      <c r="J49" s="1339"/>
      <c r="K49" s="80"/>
      <c r="L49" s="80"/>
      <c r="M49" s="81"/>
      <c r="N49" s="1307"/>
      <c r="O49" s="1307"/>
      <c r="P49" s="1307"/>
      <c r="Q49" s="1307"/>
      <c r="R49" s="1307"/>
      <c r="S49" s="1307"/>
      <c r="T49" s="1307"/>
      <c r="U49" s="1307"/>
      <c r="V49" s="1307"/>
      <c r="W49" s="1307"/>
      <c r="X49" s="1307"/>
      <c r="Y49" s="1307"/>
      <c r="Z49" s="1307"/>
      <c r="AA49" s="1307"/>
      <c r="AB49" s="1307"/>
      <c r="AC49" s="1307"/>
      <c r="AD49" s="1307"/>
      <c r="AE49" s="1307"/>
      <c r="AF49" s="1307"/>
      <c r="AG49" s="1307"/>
      <c r="AH49" s="1307"/>
      <c r="AI49" s="1307"/>
      <c r="AJ49" s="1307"/>
      <c r="AK49" s="1307"/>
      <c r="AL49" s="1307"/>
      <c r="AM49" s="1307"/>
      <c r="AN49" s="1307"/>
      <c r="AO49" s="1307"/>
      <c r="AP49" s="1307"/>
      <c r="AQ49" s="1307"/>
      <c r="AR49" s="1307"/>
      <c r="AS49" s="1307"/>
      <c r="AT49" s="1307"/>
      <c r="AU49" s="1307"/>
    </row>
    <row r="50" spans="1:47" s="74" customFormat="1" ht="20.25">
      <c r="A50" s="91"/>
      <c r="B50" s="2014" t="s">
        <v>65</v>
      </c>
      <c r="C50" s="2014"/>
      <c r="D50" s="2014"/>
      <c r="E50" s="92"/>
      <c r="F50" s="92"/>
      <c r="G50" s="92"/>
      <c r="H50" s="92"/>
      <c r="I50" s="92"/>
      <c r="J50" s="92"/>
      <c r="K50" s="80"/>
      <c r="L50" s="80"/>
      <c r="M50" s="81"/>
      <c r="N50" s="1307"/>
      <c r="O50" s="1307"/>
      <c r="P50" s="1307"/>
      <c r="Q50" s="1307"/>
      <c r="R50" s="1307"/>
      <c r="S50" s="1307"/>
      <c r="T50" s="1307"/>
      <c r="U50" s="1307"/>
      <c r="V50" s="1307"/>
      <c r="W50" s="1307"/>
      <c r="X50" s="1307"/>
      <c r="Y50" s="1307"/>
      <c r="Z50" s="1307"/>
      <c r="AA50" s="1307"/>
      <c r="AB50" s="1307"/>
      <c r="AC50" s="1307"/>
      <c r="AD50" s="1307"/>
      <c r="AE50" s="1307"/>
      <c r="AF50" s="1307"/>
      <c r="AG50" s="1307"/>
      <c r="AH50" s="1307"/>
      <c r="AI50" s="1307"/>
      <c r="AJ50" s="1307"/>
      <c r="AK50" s="1307"/>
      <c r="AL50" s="1307"/>
      <c r="AM50" s="1307"/>
      <c r="AN50" s="1307"/>
      <c r="AO50" s="1307"/>
      <c r="AP50" s="1307"/>
      <c r="AQ50" s="1307"/>
      <c r="AR50" s="1307"/>
      <c r="AS50" s="1307"/>
      <c r="AT50" s="1307"/>
      <c r="AU50" s="1307"/>
    </row>
    <row r="51" spans="1:47" s="74" customFormat="1" ht="20.25">
      <c r="A51" s="224"/>
      <c r="B51" s="225" t="s">
        <v>146</v>
      </c>
      <c r="C51" s="225"/>
      <c r="D51" s="225"/>
      <c r="E51" s="226"/>
      <c r="F51" s="226"/>
      <c r="G51" s="226"/>
      <c r="H51" s="226"/>
      <c r="I51" s="226"/>
      <c r="J51" s="226"/>
      <c r="K51" s="80"/>
      <c r="L51" s="80"/>
      <c r="M51" s="81"/>
      <c r="N51" s="1307"/>
      <c r="O51" s="1307"/>
      <c r="P51" s="1307"/>
      <c r="Q51" s="1307"/>
      <c r="R51" s="1307"/>
      <c r="S51" s="1307"/>
      <c r="T51" s="1307"/>
      <c r="U51" s="1307"/>
      <c r="V51" s="1307"/>
      <c r="W51" s="1307"/>
      <c r="X51" s="1307"/>
      <c r="Y51" s="1307"/>
      <c r="Z51" s="1307"/>
      <c r="AA51" s="1307"/>
      <c r="AB51" s="1307"/>
      <c r="AC51" s="1307"/>
      <c r="AD51" s="1307"/>
      <c r="AE51" s="1307"/>
      <c r="AF51" s="1307"/>
      <c r="AG51" s="1307"/>
      <c r="AH51" s="1307"/>
      <c r="AI51" s="1307"/>
      <c r="AJ51" s="1307"/>
      <c r="AK51" s="1307"/>
      <c r="AL51" s="1307"/>
      <c r="AM51" s="1307"/>
      <c r="AN51" s="1307"/>
      <c r="AO51" s="1307"/>
      <c r="AP51" s="1307"/>
      <c r="AQ51" s="1307"/>
      <c r="AR51" s="1307"/>
      <c r="AS51" s="1307"/>
      <c r="AT51" s="1307"/>
      <c r="AU51" s="1307"/>
    </row>
    <row r="52" spans="1:47" s="74" customFormat="1" ht="20.25">
      <c r="A52" s="227"/>
      <c r="B52" s="228" t="s">
        <v>147</v>
      </c>
      <c r="C52" s="228"/>
      <c r="D52" s="228"/>
      <c r="E52" s="229"/>
      <c r="F52" s="229"/>
      <c r="G52" s="229"/>
      <c r="H52" s="229"/>
      <c r="I52" s="229"/>
      <c r="J52" s="229"/>
      <c r="K52" s="80"/>
      <c r="L52" s="80"/>
      <c r="M52" s="81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</row>
    <row r="53" spans="1:47" s="74" customFormat="1" ht="20.25">
      <c r="A53" s="1172"/>
      <c r="B53" s="1173" t="s">
        <v>467</v>
      </c>
      <c r="C53" s="1174"/>
      <c r="D53" s="1174"/>
      <c r="E53" s="1175"/>
      <c r="F53" s="1175"/>
      <c r="G53" s="1175"/>
      <c r="H53" s="1175"/>
      <c r="I53" s="1175"/>
      <c r="J53" s="1175"/>
      <c r="K53" s="80"/>
      <c r="L53" s="80"/>
      <c r="M53" s="81"/>
      <c r="N53" s="1170"/>
      <c r="O53" s="1170"/>
      <c r="P53" s="1170"/>
      <c r="Q53" s="1170"/>
      <c r="R53" s="1170"/>
      <c r="S53" s="1170"/>
      <c r="T53" s="1170"/>
      <c r="U53" s="1170"/>
      <c r="V53" s="1170"/>
      <c r="W53" s="1170"/>
      <c r="X53" s="1170"/>
      <c r="Y53" s="1170"/>
      <c r="Z53" s="1170"/>
      <c r="AA53" s="1170"/>
      <c r="AB53" s="1170"/>
      <c r="AC53" s="1170"/>
      <c r="AD53" s="1170"/>
      <c r="AE53" s="1170"/>
      <c r="AF53" s="1170"/>
      <c r="AG53" s="1170"/>
      <c r="AH53" s="1170"/>
      <c r="AI53" s="1170"/>
      <c r="AJ53" s="1170"/>
      <c r="AK53" s="1170"/>
      <c r="AL53" s="1170"/>
      <c r="AM53" s="1170"/>
      <c r="AN53" s="1170"/>
      <c r="AO53" s="1170"/>
      <c r="AP53" s="1170"/>
      <c r="AQ53" s="1170"/>
      <c r="AR53" s="1170"/>
      <c r="AS53" s="1170"/>
      <c r="AT53" s="1170"/>
      <c r="AU53" s="1170"/>
    </row>
    <row r="54" spans="1:47" s="35" customFormat="1" ht="20.25">
      <c r="A54" s="36"/>
      <c r="B54" s="37" t="s">
        <v>27</v>
      </c>
      <c r="C54" s="36"/>
      <c r="D54" s="37"/>
      <c r="E54" s="36"/>
      <c r="F54" s="36"/>
      <c r="G54" s="36"/>
      <c r="H54" s="36"/>
      <c r="I54" s="36"/>
      <c r="J54" s="36"/>
      <c r="K54" s="82"/>
      <c r="L54" s="82"/>
      <c r="M54" s="83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4"/>
      <c r="AH54" s="84"/>
      <c r="AI54" s="84"/>
      <c r="AJ54" s="84"/>
      <c r="AK54" s="84"/>
      <c r="AL54" s="84"/>
      <c r="AM54" s="84"/>
      <c r="AN54" s="84"/>
      <c r="AO54" s="84"/>
      <c r="AP54" s="84"/>
      <c r="AQ54" s="84"/>
      <c r="AR54" s="84"/>
      <c r="AS54" s="84"/>
      <c r="AT54" s="84"/>
      <c r="AU54" s="84"/>
    </row>
    <row r="55" spans="1:47" s="35" customFormat="1" ht="20.25">
      <c r="A55" s="36"/>
      <c r="B55" s="37" t="s">
        <v>477</v>
      </c>
      <c r="C55" s="36"/>
      <c r="D55" s="37"/>
      <c r="E55" s="36"/>
      <c r="F55" s="36"/>
      <c r="G55" s="36"/>
      <c r="H55" s="36"/>
      <c r="I55" s="36"/>
      <c r="J55" s="36"/>
      <c r="K55" s="82"/>
      <c r="L55" s="82"/>
      <c r="M55" s="83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  <c r="AE55" s="84"/>
      <c r="AF55" s="84"/>
      <c r="AG55" s="84"/>
      <c r="AH55" s="84"/>
      <c r="AI55" s="84"/>
      <c r="AJ55" s="84"/>
      <c r="AK55" s="84"/>
      <c r="AL55" s="84"/>
      <c r="AM55" s="84"/>
      <c r="AN55" s="84"/>
      <c r="AO55" s="84"/>
      <c r="AP55" s="84"/>
      <c r="AQ55" s="84"/>
      <c r="AR55" s="84"/>
      <c r="AS55" s="84"/>
      <c r="AT55" s="84"/>
      <c r="AU55" s="84"/>
    </row>
    <row r="56" spans="1:47" s="35" customFormat="1" ht="20.25">
      <c r="A56" s="42"/>
      <c r="B56" s="43" t="s">
        <v>28</v>
      </c>
      <c r="C56" s="42"/>
      <c r="D56" s="43"/>
      <c r="E56" s="42"/>
      <c r="F56" s="42"/>
      <c r="G56" s="42"/>
      <c r="H56" s="42"/>
      <c r="I56" s="42"/>
      <c r="J56" s="42"/>
      <c r="K56" s="82"/>
      <c r="L56" s="82"/>
      <c r="M56" s="83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4"/>
      <c r="AD56" s="84"/>
      <c r="AE56" s="84"/>
      <c r="AF56" s="84"/>
      <c r="AG56" s="84"/>
      <c r="AH56" s="84"/>
      <c r="AI56" s="84"/>
      <c r="AJ56" s="84"/>
      <c r="AK56" s="84"/>
      <c r="AL56" s="84"/>
      <c r="AM56" s="84"/>
      <c r="AN56" s="84"/>
      <c r="AO56" s="84"/>
      <c r="AP56" s="84"/>
      <c r="AQ56" s="84"/>
      <c r="AR56" s="84"/>
      <c r="AS56" s="84"/>
      <c r="AT56" s="84"/>
      <c r="AU56" s="84"/>
    </row>
    <row r="57" spans="1:47" s="35" customFormat="1" ht="20.25">
      <c r="A57" s="1970"/>
      <c r="B57" s="1971" t="s">
        <v>5794</v>
      </c>
      <c r="C57" s="1970"/>
      <c r="D57" s="1971"/>
      <c r="E57" s="1970"/>
      <c r="F57" s="1970"/>
      <c r="G57" s="1970"/>
      <c r="H57" s="1970"/>
      <c r="I57" s="1970"/>
      <c r="J57" s="1970"/>
      <c r="K57" s="82"/>
      <c r="L57" s="82"/>
      <c r="M57" s="83"/>
      <c r="N57" s="1969"/>
      <c r="O57" s="1969"/>
      <c r="P57" s="1969"/>
      <c r="Q57" s="1969"/>
      <c r="R57" s="1969"/>
      <c r="S57" s="1969"/>
      <c r="T57" s="1969"/>
      <c r="U57" s="1969"/>
      <c r="V57" s="1969"/>
      <c r="W57" s="1969"/>
      <c r="X57" s="1969"/>
      <c r="Y57" s="1969"/>
      <c r="Z57" s="1969"/>
      <c r="AA57" s="1969"/>
      <c r="AB57" s="1969"/>
      <c r="AC57" s="1969"/>
      <c r="AD57" s="1969"/>
      <c r="AE57" s="1969"/>
      <c r="AF57" s="1969"/>
      <c r="AG57" s="1969"/>
      <c r="AH57" s="1969"/>
      <c r="AI57" s="1969"/>
      <c r="AJ57" s="1969"/>
      <c r="AK57" s="1969"/>
      <c r="AL57" s="1969"/>
      <c r="AM57" s="1969"/>
      <c r="AN57" s="1969"/>
      <c r="AO57" s="1969"/>
      <c r="AP57" s="1969"/>
      <c r="AQ57" s="1969"/>
      <c r="AR57" s="1969"/>
      <c r="AS57" s="1969"/>
      <c r="AT57" s="1969"/>
      <c r="AU57" s="1969"/>
    </row>
    <row r="58" spans="1:47" s="74" customFormat="1" ht="32.25" customHeight="1">
      <c r="A58" s="205"/>
      <c r="B58" s="206" t="s">
        <v>5804</v>
      </c>
      <c r="C58" s="206"/>
      <c r="D58" s="205"/>
      <c r="E58" s="205"/>
      <c r="F58" s="205"/>
      <c r="G58" s="205"/>
      <c r="H58" s="205"/>
      <c r="I58" s="205"/>
      <c r="J58" s="205"/>
      <c r="K58" s="80"/>
      <c r="L58" s="80"/>
      <c r="M58" s="81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</row>
    <row r="59" spans="1:47" ht="33.75" customHeight="1">
      <c r="A59" s="5"/>
      <c r="B59" s="10" t="s">
        <v>7</v>
      </c>
      <c r="C59" s="12"/>
      <c r="D59" s="11"/>
      <c r="E59" s="10"/>
      <c r="F59" s="10"/>
      <c r="G59" s="5"/>
      <c r="H59" s="5"/>
      <c r="I59" s="5"/>
      <c r="J59" s="5"/>
      <c r="K59" s="80"/>
      <c r="L59" s="80"/>
      <c r="M59" s="81"/>
    </row>
    <row r="60" spans="1:47" ht="36" customHeight="1">
      <c r="A60" s="6"/>
      <c r="B60" s="13" t="s">
        <v>6</v>
      </c>
      <c r="C60" s="13"/>
      <c r="D60" s="6"/>
      <c r="E60" s="6"/>
      <c r="F60" s="6"/>
      <c r="G60" s="6"/>
      <c r="H60" s="6"/>
      <c r="I60" s="6"/>
      <c r="J60" s="6"/>
      <c r="K60" s="80"/>
      <c r="L60" s="80"/>
      <c r="M60" s="81"/>
    </row>
    <row r="61" spans="1:47" s="17" customFormat="1" ht="20.25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</row>
    <row r="62" spans="1:47" s="17" customFormat="1" ht="20.25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</row>
    <row r="63" spans="1:47" s="17" customFormat="1" ht="20.25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</row>
    <row r="64" spans="1:47" s="17" customFormat="1" ht="20.25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</row>
    <row r="65" spans="1:12" s="17" customFormat="1" ht="20.25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</row>
    <row r="66" spans="1:12" s="17" customFormat="1"/>
    <row r="67" spans="1:12" s="17" customFormat="1"/>
    <row r="68" spans="1:12" s="17" customFormat="1"/>
    <row r="69" spans="1:12" s="17" customFormat="1"/>
    <row r="70" spans="1:12" s="17" customFormat="1"/>
    <row r="71" spans="1:12" s="17" customFormat="1"/>
    <row r="72" spans="1:12" s="17" customFormat="1"/>
    <row r="73" spans="1:12" s="17" customFormat="1"/>
    <row r="74" spans="1:12" s="17" customFormat="1"/>
    <row r="75" spans="1:12" s="17" customFormat="1"/>
    <row r="76" spans="1:12" s="17" customFormat="1"/>
    <row r="77" spans="1:12" s="17" customFormat="1"/>
    <row r="78" spans="1:12" s="17" customFormat="1"/>
    <row r="79" spans="1:12" s="17" customFormat="1"/>
    <row r="80" spans="1:12" s="17" customFormat="1"/>
    <row r="81" s="17" customFormat="1"/>
    <row r="82" s="17" customFormat="1"/>
    <row r="83" s="17" customFormat="1"/>
    <row r="84" s="17" customFormat="1"/>
    <row r="85" s="17" customFormat="1"/>
    <row r="86" s="17" customFormat="1"/>
    <row r="87" s="17" customFormat="1"/>
    <row r="88" s="17" customFormat="1"/>
    <row r="89" s="17" customFormat="1"/>
    <row r="90" s="17" customFormat="1"/>
    <row r="91" s="17" customFormat="1"/>
    <row r="92" s="17" customFormat="1"/>
    <row r="93" s="17" customFormat="1"/>
    <row r="94" s="17" customFormat="1"/>
    <row r="95" s="17" customFormat="1"/>
    <row r="96" s="17" customFormat="1"/>
    <row r="97" s="17" customFormat="1"/>
    <row r="98" s="17" customFormat="1"/>
    <row r="99" s="17" customFormat="1"/>
    <row r="100" s="17" customFormat="1"/>
    <row r="101" s="17" customFormat="1"/>
    <row r="102" s="17" customFormat="1"/>
    <row r="103" s="17" customFormat="1"/>
    <row r="104" s="17" customFormat="1"/>
    <row r="105" s="17" customFormat="1"/>
    <row r="106" s="17" customFormat="1"/>
    <row r="107" s="17" customFormat="1"/>
    <row r="108" s="17" customFormat="1"/>
    <row r="109" s="17" customFormat="1"/>
    <row r="110" s="17" customFormat="1"/>
    <row r="111" s="17" customFormat="1"/>
    <row r="112" s="17" customFormat="1"/>
    <row r="113" s="17" customFormat="1"/>
    <row r="114" s="17" customFormat="1"/>
    <row r="115" s="17" customFormat="1"/>
    <row r="116" s="17" customFormat="1"/>
    <row r="117" s="17" customFormat="1"/>
    <row r="118" s="17" customFormat="1"/>
    <row r="119" s="17" customFormat="1"/>
    <row r="120" s="17" customFormat="1"/>
    <row r="121" s="17" customFormat="1"/>
    <row r="122" s="17" customFormat="1"/>
    <row r="123" s="17" customFormat="1"/>
    <row r="124" s="17" customFormat="1"/>
    <row r="125" s="17" customFormat="1"/>
    <row r="126" s="17" customFormat="1"/>
    <row r="127" s="17" customFormat="1"/>
    <row r="128" s="17" customFormat="1"/>
    <row r="129" s="17" customFormat="1"/>
    <row r="130" s="17" customFormat="1"/>
    <row r="131" s="17" customFormat="1"/>
    <row r="132" s="17" customFormat="1"/>
    <row r="133" s="17" customFormat="1"/>
    <row r="134" s="17" customFormat="1"/>
    <row r="135" s="17" customFormat="1"/>
    <row r="136" s="17" customFormat="1"/>
    <row r="137" s="17" customFormat="1"/>
    <row r="138" s="17" customFormat="1"/>
    <row r="139" s="17" customFormat="1"/>
    <row r="140" s="17" customFormat="1"/>
    <row r="141" s="17" customFormat="1"/>
    <row r="142" s="17" customFormat="1"/>
    <row r="143" s="17" customFormat="1"/>
    <row r="144" s="17" customFormat="1"/>
    <row r="145" s="17" customFormat="1"/>
    <row r="146" s="17" customFormat="1"/>
    <row r="147" s="17" customFormat="1"/>
    <row r="148" s="17" customFormat="1"/>
    <row r="149" s="17" customFormat="1"/>
  </sheetData>
  <mergeCells count="4">
    <mergeCell ref="H11:J11"/>
    <mergeCell ref="B18:F18"/>
    <mergeCell ref="B50:D50"/>
    <mergeCell ref="B17:F17"/>
  </mergeCells>
  <hyperlinks>
    <hyperlink ref="D37" location="'110'!A1" display="110 мм" xr:uid="{00000000-0004-0000-0000-000000000000}"/>
    <hyperlink ref="D39" location="'150'!A1" display="150 мм" xr:uid="{00000000-0004-0000-0000-000001000000}"/>
    <hyperlink ref="B59:F59" location="Арматура!A1" display="Арматура и регулировка" xr:uid="{00000000-0004-0000-0000-000002000000}"/>
    <hyperlink ref="B60:C60" location="Автоматика!A1" display="Автоматика" xr:uid="{00000000-0004-0000-0000-000003000000}"/>
    <hyperlink ref="B16" location="Артикул!A1" display="Артикул (шифр конвектора)" xr:uid="{00000000-0004-0000-0000-000004000000}"/>
    <hyperlink ref="B18" location="Специсполнения!A1" display="Специсполнения (углы, радиусы, продольные решетки)" xr:uid="{00000000-0004-0000-0000-000005000000}"/>
    <hyperlink ref="B54" location="Теплообменники!A1" display="Теплообменники" xr:uid="{00000000-0004-0000-0000-000006000000}"/>
    <hyperlink ref="B56" location="Вентиляторы!A1" display="Вентиляторы" xr:uid="{00000000-0004-0000-0000-000007000000}"/>
    <hyperlink ref="H11" r:id="rId1" display="Сайт витрон" xr:uid="{00000000-0004-0000-0000-000009000000}"/>
    <hyperlink ref="D40" location="'200'!A1" display="200 мм" xr:uid="{00000000-0004-0000-0000-00000A000000}"/>
    <hyperlink ref="D41" location="'300'!A1" display="300 мм" xr:uid="{00000000-0004-0000-0000-00000B000000}"/>
    <hyperlink ref="D42" location="'400'!A1" display="400 мм" xr:uid="{00000000-0004-0000-0000-00000C000000}"/>
    <hyperlink ref="D43" location="'500'!A1" display="500 мм" xr:uid="{00000000-0004-0000-0000-00000D000000}"/>
    <hyperlink ref="D44" location="'600'!A1" display="600 мм" xr:uid="{00000000-0004-0000-0000-00000E000000}"/>
    <hyperlink ref="B17:F17" location="Описание!A1" display="Общее описание, особенности конструкции, комплектация" xr:uid="{00000000-0004-0000-0000-000011000000}"/>
    <hyperlink ref="H11:J11" r:id="rId2" display="Сайт: Vitron.ru" xr:uid="{00000000-0004-0000-0000-000012000000}"/>
    <hyperlink ref="B52" location="ВКВП!A1" display="Конвектор встраиваемый в подоконник" xr:uid="{00000000-0004-0000-0000-000013000000}"/>
    <hyperlink ref="D24" location="'75 ВЕНТ 24В'!A1" display=" 75 мм" xr:uid="{00000000-0004-0000-0000-000014000000}"/>
    <hyperlink ref="D26" location="'90 ВЕНТ 24В'!A1" display=" 90 мм" xr:uid="{00000000-0004-0000-0000-000015000000}"/>
    <hyperlink ref="D27" location="'110 ВЕНТ 24В'!A1" display="110 мм" xr:uid="{00000000-0004-0000-0000-000016000000}"/>
    <hyperlink ref="D29" location="'150 ВЕНТ 24В'!A1" display="150 мм" xr:uid="{00000000-0004-0000-0000-000017000000}"/>
    <hyperlink ref="D22:D23" location="'60 ВЕНТ'!A1" display=" 74 мм" xr:uid="{00000000-0004-0000-0000-000018000000}"/>
    <hyperlink ref="D23" location="'70 ВЕНТ 24В'!A1" display=" 70 мм" xr:uid="{00000000-0004-0000-0000-000019000000}"/>
    <hyperlink ref="D22" location="'65 ВЕНТ 24В'!A1" display=" 65 мм" xr:uid="{00000000-0004-0000-0000-00001A000000}"/>
    <hyperlink ref="D35" location="'80'!A1" display="80 мм" xr:uid="{00000000-0004-0000-0000-00001F000000}"/>
    <hyperlink ref="D33" location="'70'!A1" display="70 мм" xr:uid="{00000000-0004-0000-0000-000020000000}"/>
    <hyperlink ref="D32" location="'65'!A1" display="65 мм" xr:uid="{00000000-0004-0000-0000-000021000000}"/>
    <hyperlink ref="D31" location="'55'!A1" display="55 мм" xr:uid="{00000000-0004-0000-0000-000022000000}"/>
    <hyperlink ref="D34" location="'75'!A1" display="75 мм" xr:uid="{00000000-0004-0000-0000-000023000000}"/>
    <hyperlink ref="D36" location="'90'!A1" display=" 90 мм" xr:uid="{00000000-0004-0000-0000-000024000000}"/>
    <hyperlink ref="B19" location="'Калькулятор теплоотдач ВК'!A1" display="Калькулятор теплоотдач ВК" xr:uid="{00000000-0004-0000-0000-000025000000}"/>
    <hyperlink ref="B20" location="'Калькулятор теплоотдач ВКВ'!A1" display="Калькулятор теплоотдач ВКВ" xr:uid="{00000000-0004-0000-0000-000026000000}"/>
    <hyperlink ref="D38" location="'140'!A1" display="ВК.140 мм" xr:uid="{00000000-0004-0000-0000-000027000000}"/>
    <hyperlink ref="D25" location="'80 ВЕНТ 24В'!R1C1" display="ВКВ.80 мм" xr:uid="{00000000-0004-0000-0000-000028000000}"/>
    <hyperlink ref="D28" location="'140 ВЕНТ 24В'!A1" display="ВКВ.140 мм" xr:uid="{00000000-0004-0000-0000-000029000000}"/>
    <hyperlink ref="B53" location="'ВКВ+ВКЭ'!A1" display="Конвектор встраиваемый в пол водяной + электрический" xr:uid="{00000000-0004-0000-0000-00002A000000}"/>
    <hyperlink ref="B55" location="'Крепление тепл и крышки'!A1" display="Крепление тепл. и крышки" xr:uid="{00000000-0004-0000-0000-00002B000000}"/>
    <hyperlink ref="B51" location="ВКВМ!A1" display="Конвектор встраиваемый в пол" xr:uid="{00000000-0004-0000-0000-000010000000}"/>
    <hyperlink ref="B50" location="ВКВТХ!R1C1" display="Конвекторы встраиваемые в пол тепло-холод" xr:uid="{00000000-0004-0000-0000-000008000000}"/>
    <hyperlink ref="D46" location="ВК.МАХ.90!A1" display=" 90 мм" xr:uid="{A3B59C3E-D83C-473B-A825-9D014CB06718}"/>
    <hyperlink ref="D47" location="ВК.МАХ.110!A1" display="110 мм" xr:uid="{20483F32-1868-4DF7-9DBA-D5FDD039E469}"/>
    <hyperlink ref="D48" location="ВК.МАХ.150!A1" display="150 мм" xr:uid="{F45A1E1C-7BF7-40CC-ACCC-A87ECE5C1EFA}"/>
    <hyperlink ref="D49" location="ВК.МАХ.200!A1" display="200 мм" xr:uid="{085B5DF4-B0D5-4F8E-9EF5-1A4379F6CF43}"/>
    <hyperlink ref="B58" location="'Посезонная вкладка и монтаж кр'!A1" display="Посезонная вкладка и монтажные крышки" xr:uid="{00000000-0004-0000-0000-00000F000000}"/>
    <hyperlink ref="B57" location="'Декоративная крышка'!A1" display="Декоративная крышка" xr:uid="{C414EC52-6CDE-4937-BE0F-FFFF781CDD9E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>
    <tabColor theme="4" tint="0.79998168889431442"/>
  </sheetPr>
  <dimension ref="A1:AQ316"/>
  <sheetViews>
    <sheetView zoomScale="85" zoomScaleNormal="85" workbookViewId="0">
      <selection sqref="A1:I1"/>
    </sheetView>
  </sheetViews>
  <sheetFormatPr defaultRowHeight="15"/>
  <cols>
    <col min="1" max="1" width="85.28515625" customWidth="1"/>
    <col min="2" max="19" width="3.7109375" customWidth="1"/>
  </cols>
  <sheetData>
    <row r="1" spans="1:43" ht="15.75">
      <c r="A1" s="2016" t="s">
        <v>9</v>
      </c>
      <c r="B1" s="2016"/>
      <c r="C1" s="2016"/>
      <c r="D1" s="2016"/>
      <c r="E1" s="2016"/>
      <c r="F1" s="2016"/>
      <c r="G1" s="2016"/>
      <c r="H1" s="2016"/>
      <c r="I1" s="201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</row>
    <row r="2" spans="1:43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</row>
    <row r="3" spans="1:43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</row>
    <row r="4" spans="1:43">
      <c r="A4" s="17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</row>
    <row r="5" spans="1:43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</row>
    <row r="7" spans="1:43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</row>
    <row r="8" spans="1:43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</row>
    <row r="9" spans="1:43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</row>
    <row r="10" spans="1:43">
      <c r="A10" s="211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</row>
    <row r="11" spans="1:43" ht="20.25">
      <c r="A11" s="2017" t="s">
        <v>100</v>
      </c>
      <c r="B11" s="2017"/>
      <c r="C11" s="2017"/>
      <c r="D11" s="2017"/>
      <c r="E11" s="2017"/>
      <c r="F11" s="2017"/>
      <c r="G11" s="2017"/>
      <c r="H11" s="2017"/>
      <c r="I11" s="2017"/>
      <c r="J11" s="2017"/>
      <c r="K11" s="2017"/>
      <c r="L11" s="2017"/>
      <c r="M11" s="2017"/>
      <c r="N11" s="2017"/>
      <c r="O11" s="2017"/>
      <c r="P11" s="2017"/>
      <c r="Q11" s="2017"/>
      <c r="R11" s="2017"/>
      <c r="S11" s="20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</row>
    <row r="12" spans="1:43" ht="19.5">
      <c r="A12" s="212"/>
      <c r="B12" s="2018" t="s">
        <v>10</v>
      </c>
      <c r="C12" s="2018"/>
      <c r="D12" s="2018" t="s">
        <v>5723</v>
      </c>
      <c r="E12" s="2018"/>
      <c r="F12" s="2018" t="s">
        <v>101</v>
      </c>
      <c r="G12" s="2018"/>
      <c r="H12" s="2018" t="s">
        <v>102</v>
      </c>
      <c r="I12" s="2018"/>
      <c r="J12" s="2018" t="s">
        <v>103</v>
      </c>
      <c r="K12" s="2018"/>
      <c r="L12" s="2018" t="s">
        <v>104</v>
      </c>
      <c r="M12" s="2018"/>
      <c r="N12" s="2018" t="s">
        <v>105</v>
      </c>
      <c r="O12" s="2018"/>
      <c r="P12" s="2018" t="s">
        <v>106</v>
      </c>
      <c r="Q12" s="2018"/>
      <c r="R12" s="2018" t="s">
        <v>107</v>
      </c>
      <c r="S12" s="2018"/>
      <c r="T12" s="349" t="s">
        <v>208</v>
      </c>
      <c r="U12" s="969" t="s">
        <v>405</v>
      </c>
      <c r="V12" s="971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</row>
    <row r="13" spans="1:43">
      <c r="A13" s="213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</row>
    <row r="14" spans="1:43" ht="25.5" customHeight="1">
      <c r="A14" s="214" t="s">
        <v>108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</row>
    <row r="15" spans="1:43" ht="25.5" customHeight="1">
      <c r="A15" s="215" t="s">
        <v>109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</row>
    <row r="16" spans="1:43" ht="25.5" customHeight="1">
      <c r="A16" s="215" t="s">
        <v>110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</row>
    <row r="17" spans="1:43" s="74" customFormat="1" ht="25.5" customHeight="1">
      <c r="A17" s="215" t="s">
        <v>411</v>
      </c>
      <c r="B17" s="980"/>
      <c r="C17" s="980"/>
      <c r="D17" s="980"/>
      <c r="E17" s="980"/>
      <c r="F17" s="980"/>
      <c r="G17" s="980"/>
      <c r="H17" s="980"/>
      <c r="I17" s="980"/>
      <c r="J17" s="980"/>
      <c r="K17" s="980"/>
      <c r="L17" s="980"/>
      <c r="M17" s="980"/>
      <c r="N17" s="980"/>
      <c r="O17" s="980"/>
      <c r="P17" s="980"/>
      <c r="Q17" s="980"/>
      <c r="R17" s="980"/>
      <c r="S17" s="980"/>
      <c r="T17" s="980"/>
      <c r="U17" s="980"/>
      <c r="V17" s="980"/>
      <c r="W17" s="980"/>
      <c r="X17" s="980"/>
      <c r="Y17" s="980"/>
      <c r="Z17" s="980"/>
      <c r="AA17" s="980"/>
      <c r="AB17" s="980"/>
      <c r="AC17" s="980"/>
      <c r="AD17" s="980"/>
      <c r="AE17" s="980"/>
      <c r="AF17" s="980"/>
      <c r="AG17" s="980"/>
      <c r="AH17" s="980"/>
      <c r="AI17" s="980"/>
      <c r="AJ17" s="980"/>
      <c r="AK17" s="980"/>
      <c r="AL17" s="980"/>
      <c r="AM17" s="980"/>
      <c r="AN17" s="980"/>
      <c r="AO17" s="980"/>
      <c r="AP17" s="980"/>
      <c r="AQ17" s="980"/>
    </row>
    <row r="18" spans="1:43" ht="25.5" customHeight="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</row>
    <row r="19" spans="1:43" ht="25.5" customHeight="1">
      <c r="A19" s="216" t="s">
        <v>206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</row>
    <row r="20" spans="1:43" ht="25.5" customHeight="1">
      <c r="A20" s="215" t="s">
        <v>207</v>
      </c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</row>
    <row r="21" spans="1:43" ht="25.5" customHeight="1">
      <c r="A21" s="215" t="s">
        <v>5722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</row>
    <row r="22" spans="1:43" ht="25.5" customHeight="1">
      <c r="A22" s="216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</row>
    <row r="23" spans="1:43" ht="25.5" customHeight="1">
      <c r="A23" s="216" t="s">
        <v>113</v>
      </c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</row>
    <row r="24" spans="1:43" ht="25.5" customHeight="1">
      <c r="A24" s="215" t="s">
        <v>425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</row>
    <row r="25" spans="1:43" ht="25.5" customHeight="1">
      <c r="A25" s="215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</row>
    <row r="26" spans="1:43" ht="25.5" customHeight="1">
      <c r="A26" s="216" t="s">
        <v>114</v>
      </c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</row>
    <row r="27" spans="1:43" ht="25.5" customHeight="1">
      <c r="A27" s="215" t="s">
        <v>115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</row>
    <row r="28" spans="1:43" ht="25.5" customHeight="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</row>
    <row r="29" spans="1:43" ht="25.5" customHeight="1">
      <c r="A29" s="216" t="s">
        <v>116</v>
      </c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</row>
    <row r="30" spans="1:43" ht="25.5" customHeight="1">
      <c r="A30" s="215" t="s">
        <v>117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</row>
    <row r="31" spans="1:43" ht="25.5" customHeight="1">
      <c r="A31" s="214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</row>
    <row r="32" spans="1:43" ht="25.5" customHeight="1">
      <c r="A32" s="216" t="s">
        <v>118</v>
      </c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</row>
    <row r="33" spans="1:43" ht="25.5" customHeight="1">
      <c r="A33" s="215" t="s">
        <v>119</v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</row>
    <row r="34" spans="1:43" ht="25.5" customHeight="1">
      <c r="A34" s="215" t="s">
        <v>120</v>
      </c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</row>
    <row r="35" spans="1:43" ht="25.5" customHeight="1">
      <c r="A35" s="215" t="s">
        <v>121</v>
      </c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</row>
    <row r="36" spans="1:43" ht="25.5" customHeight="1">
      <c r="A36" s="215" t="s">
        <v>122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</row>
    <row r="37" spans="1:43" ht="25.5" customHeight="1">
      <c r="A37" s="2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</row>
    <row r="38" spans="1:43" ht="25.5" customHeight="1">
      <c r="A38" s="216" t="s">
        <v>123</v>
      </c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</row>
    <row r="39" spans="1:43" ht="25.5" customHeight="1">
      <c r="A39" s="215" t="s">
        <v>158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</row>
    <row r="40" spans="1:43" ht="25.5" customHeight="1">
      <c r="A40" s="215" t="s">
        <v>124</v>
      </c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</row>
    <row r="41" spans="1:43" ht="25.5" customHeight="1">
      <c r="A41" s="218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</row>
    <row r="42" spans="1:43" ht="25.5" customHeight="1">
      <c r="A42" s="216" t="s">
        <v>125</v>
      </c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</row>
    <row r="43" spans="1:43" ht="25.5" customHeight="1">
      <c r="A43" s="215" t="s">
        <v>5789</v>
      </c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</row>
    <row r="44" spans="1:43" ht="25.5" customHeight="1">
      <c r="A44" s="215" t="s">
        <v>5790</v>
      </c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</row>
    <row r="45" spans="1:43" ht="25.5" customHeight="1">
      <c r="A45" s="215" t="s">
        <v>5791</v>
      </c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</row>
    <row r="46" spans="1:43" ht="25.5" customHeight="1">
      <c r="A46" s="215" t="s">
        <v>5792</v>
      </c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</row>
    <row r="47" spans="1:43" ht="25.5" customHeight="1">
      <c r="A47" s="215" t="s">
        <v>126</v>
      </c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</row>
    <row r="48" spans="1:43" ht="25.5" customHeight="1">
      <c r="A48" s="215" t="s">
        <v>127</v>
      </c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</row>
    <row r="49" spans="1:43" ht="25.5" customHeight="1">
      <c r="A49" s="215" t="s">
        <v>128</v>
      </c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</row>
    <row r="50" spans="1:43" ht="25.5" customHeight="1">
      <c r="A50" s="215" t="s">
        <v>129</v>
      </c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</row>
    <row r="51" spans="1:43" s="74" customFormat="1" ht="25.5" customHeight="1">
      <c r="A51" s="215" t="s">
        <v>5805</v>
      </c>
      <c r="B51" s="1968"/>
      <c r="C51" s="1968"/>
      <c r="D51" s="1968"/>
      <c r="E51" s="1968"/>
      <c r="F51" s="1968"/>
      <c r="G51" s="1968"/>
      <c r="H51" s="1968"/>
      <c r="I51" s="1968"/>
      <c r="J51" s="1968"/>
      <c r="K51" s="1968"/>
      <c r="L51" s="1968"/>
      <c r="M51" s="1968"/>
      <c r="N51" s="1968"/>
      <c r="O51" s="1968"/>
      <c r="P51" s="1968"/>
      <c r="Q51" s="1968"/>
      <c r="R51" s="1968"/>
      <c r="S51" s="1968"/>
      <c r="T51" s="1968"/>
      <c r="U51" s="1968"/>
      <c r="V51" s="1968"/>
      <c r="W51" s="1968"/>
      <c r="X51" s="1968"/>
      <c r="Y51" s="1968"/>
      <c r="Z51" s="1968"/>
      <c r="AA51" s="1968"/>
      <c r="AB51" s="1968"/>
      <c r="AC51" s="1968"/>
      <c r="AD51" s="1968"/>
      <c r="AE51" s="1968"/>
      <c r="AF51" s="1968"/>
      <c r="AG51" s="1968"/>
      <c r="AH51" s="1968"/>
      <c r="AI51" s="1968"/>
      <c r="AJ51" s="1968"/>
      <c r="AK51" s="1968"/>
      <c r="AL51" s="1968"/>
      <c r="AM51" s="1968"/>
      <c r="AN51" s="1968"/>
      <c r="AO51" s="1968"/>
      <c r="AP51" s="1968"/>
      <c r="AQ51" s="1968"/>
    </row>
    <row r="52" spans="1:43" ht="25.5" customHeight="1">
      <c r="A52" s="2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</row>
    <row r="53" spans="1:43" ht="25.5" customHeight="1">
      <c r="A53" s="216" t="s">
        <v>130</v>
      </c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</row>
    <row r="54" spans="1:43" ht="25.5" customHeight="1">
      <c r="A54" s="215" t="s">
        <v>131</v>
      </c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</row>
    <row r="55" spans="1:43" ht="25.5" customHeight="1">
      <c r="A55" s="215" t="s">
        <v>132</v>
      </c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</row>
    <row r="56" spans="1:43" ht="34.5" customHeight="1">
      <c r="A56" s="215" t="s">
        <v>152</v>
      </c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</row>
    <row r="57" spans="1:43" ht="18.75">
      <c r="A57" s="222" t="s">
        <v>143</v>
      </c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</row>
    <row r="58" spans="1:43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</row>
    <row r="59" spans="1:43" ht="18.75">
      <c r="A59" s="216" t="s">
        <v>401</v>
      </c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</row>
    <row r="60" spans="1:43" ht="18.75">
      <c r="A60" s="215" t="s">
        <v>111</v>
      </c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</row>
    <row r="61" spans="1:43" ht="18.75">
      <c r="A61" s="215" t="s">
        <v>486</v>
      </c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</row>
    <row r="62" spans="1:43" ht="18.75">
      <c r="A62" s="215" t="s">
        <v>112</v>
      </c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</row>
    <row r="63" spans="1:43" ht="18.75">
      <c r="A63" s="215" t="s">
        <v>485</v>
      </c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</row>
    <row r="64" spans="1:43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</row>
    <row r="65" spans="1:43" ht="24.75" customHeight="1">
      <c r="A65" s="216" t="s">
        <v>402</v>
      </c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</row>
    <row r="66" spans="1:43" ht="24" customHeight="1">
      <c r="A66" s="215" t="s">
        <v>403</v>
      </c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</row>
    <row r="67" spans="1:43" ht="24" customHeight="1">
      <c r="A67" s="222" t="s">
        <v>404</v>
      </c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</row>
    <row r="68" spans="1:43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</row>
    <row r="69" spans="1:43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</row>
    <row r="70" spans="1:43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</row>
    <row r="71" spans="1:43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</row>
    <row r="72" spans="1:43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</row>
    <row r="73" spans="1:43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</row>
    <row r="74" spans="1:43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</row>
    <row r="75" spans="1:43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</row>
    <row r="76" spans="1:43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</row>
    <row r="77" spans="1:43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</row>
    <row r="78" spans="1:43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</row>
    <row r="79" spans="1:43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</row>
    <row r="80" spans="1:43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</row>
    <row r="81" spans="1:43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</row>
    <row r="82" spans="1:43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</row>
    <row r="83" spans="1:43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</row>
    <row r="84" spans="1:43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</row>
    <row r="85" spans="1:43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</row>
    <row r="86" spans="1:43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</row>
    <row r="87" spans="1:43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</row>
    <row r="88" spans="1:43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</row>
    <row r="89" spans="1:43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</row>
    <row r="90" spans="1:43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</row>
    <row r="91" spans="1:43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</row>
    <row r="92" spans="1:43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</row>
    <row r="93" spans="1:43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</row>
    <row r="94" spans="1:43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</row>
    <row r="95" spans="1:43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</row>
    <row r="96" spans="1:43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</row>
    <row r="97" spans="1:43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</row>
    <row r="98" spans="1:43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</row>
    <row r="99" spans="1:43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</row>
    <row r="100" spans="1:43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</row>
    <row r="101" spans="1:43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</row>
    <row r="102" spans="1:43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</row>
    <row r="103" spans="1:43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</row>
    <row r="104" spans="1:43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</row>
    <row r="105" spans="1:43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</row>
    <row r="106" spans="1:43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</row>
    <row r="107" spans="1:43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</row>
    <row r="108" spans="1:43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</row>
    <row r="109" spans="1:43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</row>
    <row r="110" spans="1:43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</row>
    <row r="111" spans="1:43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</row>
    <row r="112" spans="1:43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</row>
    <row r="113" spans="1:43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</row>
    <row r="114" spans="1:43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</row>
    <row r="115" spans="1:43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</row>
    <row r="116" spans="1:43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</row>
    <row r="117" spans="1:43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</row>
    <row r="118" spans="1:43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</row>
    <row r="119" spans="1:43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</row>
    <row r="120" spans="1:43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</row>
    <row r="121" spans="1:43"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</row>
    <row r="122" spans="1:43"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</row>
    <row r="123" spans="1:43"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</row>
    <row r="124" spans="1:43"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9:43"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29:43"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29:43"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29:43"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</row>
    <row r="133" spans="29:43"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</row>
    <row r="134" spans="29:43"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</row>
    <row r="135" spans="29:43"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</row>
    <row r="136" spans="29:43"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29:43"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29:43"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29:43"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</row>
    <row r="140" spans="29:43"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</row>
    <row r="141" spans="29:43"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</row>
    <row r="142" spans="29:43"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29:43"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29:43"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9:43"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</row>
    <row r="146" spans="29:43"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</row>
    <row r="147" spans="29:43"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</row>
    <row r="148" spans="29:43"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</row>
    <row r="149" spans="29:43"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</row>
    <row r="150" spans="29:43"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</row>
    <row r="151" spans="29:43"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</row>
    <row r="152" spans="29:43"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</row>
    <row r="153" spans="29:43"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</row>
    <row r="154" spans="29:43"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</row>
    <row r="155" spans="29:43"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</row>
    <row r="156" spans="29:43"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</row>
    <row r="157" spans="29:43"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</row>
    <row r="158" spans="29:43"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</row>
    <row r="159" spans="29:43"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</row>
    <row r="160" spans="29:43"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</row>
    <row r="161" spans="29:43"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</row>
    <row r="162" spans="29:43"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</row>
    <row r="163" spans="29:43"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</row>
    <row r="164" spans="29:43"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</row>
    <row r="165" spans="29:43"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</row>
    <row r="166" spans="29:43"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</row>
    <row r="167" spans="29:43"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</row>
    <row r="168" spans="29:43"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</row>
    <row r="169" spans="29:43"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</row>
    <row r="170" spans="29:43"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</row>
    <row r="171" spans="29:43"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</row>
    <row r="172" spans="29:43"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</row>
    <row r="173" spans="29:43"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</row>
    <row r="174" spans="29:43"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</row>
    <row r="175" spans="29:43"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</row>
    <row r="176" spans="29:43"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</row>
    <row r="177" spans="29:43"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</row>
    <row r="178" spans="29:43"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</row>
    <row r="179" spans="29:43"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</row>
    <row r="180" spans="29:43"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</row>
    <row r="181" spans="29:43"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</row>
    <row r="182" spans="29:43"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</row>
    <row r="183" spans="29:43"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</row>
    <row r="184" spans="29:43"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</row>
    <row r="185" spans="29:43"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</row>
    <row r="186" spans="29:43"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</row>
    <row r="187" spans="29:43"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</row>
    <row r="188" spans="29:43"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</row>
    <row r="189" spans="29:43"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</row>
    <row r="190" spans="29:43"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</row>
    <row r="191" spans="29:43"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</row>
    <row r="192" spans="29:43"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</row>
    <row r="193" spans="29:43"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</row>
    <row r="194" spans="29:43"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</row>
    <row r="195" spans="29:43"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</row>
    <row r="196" spans="29:43"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</row>
    <row r="197" spans="29:43"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</row>
    <row r="198" spans="29:43"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</row>
    <row r="199" spans="29:43"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</row>
    <row r="200" spans="29:43"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</row>
    <row r="201" spans="29:43"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</row>
    <row r="202" spans="29:43"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</row>
    <row r="203" spans="29:43"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29:43"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29:43"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29:43"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</row>
    <row r="207" spans="29:43"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</row>
    <row r="208" spans="29:43"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</row>
    <row r="209" spans="29:43"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29:43"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29:43"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29:43"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29:43"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29:43"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29:43"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</row>
    <row r="216" spans="29:43"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</row>
    <row r="217" spans="29:43"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</row>
    <row r="218" spans="29:43"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</row>
    <row r="219" spans="29:43"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</row>
    <row r="220" spans="29:43"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</row>
    <row r="221" spans="29:43"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29:43"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29:43"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29:43"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9:43"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29:43"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</row>
    <row r="227" spans="29:43"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29:43"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29:43"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29:43"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29:43"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29:43"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29:43"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</row>
    <row r="234" spans="29:43"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</row>
    <row r="235" spans="29:43"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</row>
    <row r="236" spans="29:43"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29:43"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29:43"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29:43"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</row>
    <row r="240" spans="29:43"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</row>
    <row r="241" spans="29:43"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</row>
    <row r="242" spans="29:43"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</row>
    <row r="243" spans="29:43"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</row>
    <row r="244" spans="29:43"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</row>
    <row r="245" spans="29:43"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</row>
    <row r="246" spans="29:43"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</row>
    <row r="247" spans="29:43"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</row>
    <row r="248" spans="29:43"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</row>
    <row r="249" spans="29:43"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</row>
    <row r="250" spans="29:43"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</row>
    <row r="251" spans="29:43"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</row>
    <row r="252" spans="29:43"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</row>
    <row r="253" spans="29:43"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</row>
    <row r="254" spans="29:43"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</row>
    <row r="255" spans="29:43"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</row>
    <row r="256" spans="29:43"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</row>
    <row r="257" spans="29:43"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</row>
    <row r="258" spans="29:43"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</row>
    <row r="259" spans="29:43"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</row>
    <row r="260" spans="29:43"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</row>
    <row r="261" spans="29:43"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</row>
    <row r="262" spans="29:43"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</row>
    <row r="263" spans="29:43"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</row>
    <row r="264" spans="29:43"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</row>
    <row r="265" spans="29:43"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</row>
    <row r="266" spans="29:43"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</row>
    <row r="267" spans="29:43"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</row>
    <row r="268" spans="29:43"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</row>
    <row r="269" spans="29:43"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</row>
    <row r="270" spans="29:43"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</row>
    <row r="271" spans="29:43"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</row>
    <row r="272" spans="29:43"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</row>
    <row r="273" spans="29:43"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</row>
    <row r="274" spans="29:43"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</row>
    <row r="275" spans="29:43"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</row>
    <row r="276" spans="29:43"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</row>
    <row r="277" spans="29:43"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</row>
    <row r="278" spans="29:43"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</row>
    <row r="279" spans="29:43"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</row>
    <row r="280" spans="29:43"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</row>
    <row r="281" spans="29:43"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</row>
    <row r="282" spans="29:43"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</row>
    <row r="283" spans="29:43"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</row>
    <row r="284" spans="29:43"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</row>
    <row r="285" spans="29:43"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</row>
    <row r="286" spans="29:43"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</row>
    <row r="287" spans="29:43"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</row>
    <row r="288" spans="29:43"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</row>
    <row r="289" spans="29:43"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</row>
    <row r="290" spans="29:43"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</row>
    <row r="291" spans="29:43"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</row>
    <row r="292" spans="29:43"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</row>
    <row r="293" spans="29:43"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</row>
    <row r="294" spans="29:43"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</row>
    <row r="295" spans="29:43"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29:43"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29:43"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29:43"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</row>
    <row r="299" spans="29:43"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</row>
    <row r="300" spans="29:43"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</row>
    <row r="301" spans="29:43"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29:43"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29:43"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29:43"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9:43"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29:43"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29:43"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</row>
    <row r="308" spans="29:43"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</row>
    <row r="309" spans="29:43"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</row>
    <row r="310" spans="29:43"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</row>
    <row r="311" spans="29:43"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</row>
    <row r="312" spans="29:43"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</row>
    <row r="313" spans="29:43"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29:43"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29:43"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29:43"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</sheetData>
  <mergeCells count="11">
    <mergeCell ref="A1:I1"/>
    <mergeCell ref="A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</mergeCells>
  <hyperlinks>
    <hyperlink ref="A1:I1" location="Главная!A1" display="Вернуться на главную страницу" xr:uid="{00000000-0004-0000-0100-000000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/>
  <dimension ref="A1:AJ435"/>
  <sheetViews>
    <sheetView zoomScale="85" zoomScaleNormal="85" workbookViewId="0">
      <selection activeCell="A140" sqref="A140:XFD182"/>
    </sheetView>
  </sheetViews>
  <sheetFormatPr defaultRowHeight="15"/>
  <cols>
    <col min="1" max="16384" width="9.140625" style="17"/>
  </cols>
  <sheetData>
    <row r="1" spans="1:9" ht="15.75">
      <c r="A1" s="2016" t="s">
        <v>9</v>
      </c>
      <c r="B1" s="2016"/>
      <c r="C1" s="2016"/>
      <c r="D1" s="2016"/>
      <c r="E1" s="2016"/>
      <c r="F1" s="2016"/>
      <c r="G1" s="2016"/>
      <c r="H1" s="2016"/>
      <c r="I1" s="2016"/>
    </row>
    <row r="48" spans="10:10">
      <c r="J48" s="247"/>
    </row>
    <row r="49" spans="10:10">
      <c r="J49" s="248"/>
    </row>
    <row r="50" spans="10:10">
      <c r="J50" s="248"/>
    </row>
    <row r="51" spans="10:10">
      <c r="J51" s="248"/>
    </row>
    <row r="53" spans="10:10">
      <c r="J53" s="248"/>
    </row>
    <row r="99" s="1307" customFormat="1"/>
    <row r="100" s="1307" customFormat="1"/>
    <row r="101" s="1307" customFormat="1"/>
    <row r="102" s="1307" customFormat="1"/>
    <row r="103" s="1307" customFormat="1"/>
    <row r="104" s="1307" customFormat="1"/>
    <row r="105" s="1307" customFormat="1"/>
    <row r="106" s="1307" customFormat="1"/>
    <row r="107" s="1307" customFormat="1"/>
    <row r="108" s="1307" customFormat="1"/>
    <row r="109" s="1307" customFormat="1"/>
    <row r="110" s="1307" customFormat="1"/>
    <row r="111" s="1307" customFormat="1"/>
    <row r="112" s="1307" customFormat="1"/>
    <row r="113" s="1307" customFormat="1"/>
    <row r="114" s="1307" customFormat="1"/>
    <row r="115" s="1307" customFormat="1"/>
    <row r="116" s="1307" customFormat="1"/>
    <row r="117" s="1307" customFormat="1"/>
    <row r="118" s="1307" customFormat="1"/>
    <row r="119" s="1307" customFormat="1"/>
    <row r="120" s="1307" customFormat="1"/>
    <row r="121" s="1307" customFormat="1"/>
    <row r="122" s="1307" customFormat="1"/>
    <row r="123" s="1307" customFormat="1"/>
    <row r="124" s="1307" customFormat="1"/>
    <row r="125" s="1307" customFormat="1"/>
    <row r="126" s="1307" customFormat="1"/>
    <row r="127" s="1307" customFormat="1"/>
    <row r="128" s="1307" customFormat="1"/>
    <row r="129" spans="10:10" s="1307" customFormat="1"/>
    <row r="130" spans="10:10" s="1307" customFormat="1"/>
    <row r="131" spans="10:10" s="1307" customFormat="1"/>
    <row r="132" spans="10:10" s="1307" customFormat="1"/>
    <row r="133" spans="10:10" s="1307" customFormat="1"/>
    <row r="134" spans="10:10" s="1307" customFormat="1"/>
    <row r="135" spans="10:10" s="1307" customFormat="1"/>
    <row r="136" spans="10:10" s="1307" customFormat="1">
      <c r="J136" s="247"/>
    </row>
    <row r="137" spans="10:10" s="1307" customFormat="1">
      <c r="J137" s="248"/>
    </row>
    <row r="138" spans="10:10" s="1307" customFormat="1">
      <c r="J138" s="248"/>
    </row>
    <row r="139" spans="10:10" s="1307" customFormat="1">
      <c r="J139" s="248"/>
    </row>
    <row r="140" spans="10:10" s="970" customFormat="1"/>
    <row r="141" spans="10:10" s="970" customFormat="1"/>
    <row r="142" spans="10:10" s="970" customFormat="1"/>
    <row r="143" spans="10:10" s="970" customFormat="1"/>
    <row r="144" spans="10:10" s="970" customFormat="1"/>
    <row r="145" s="970" customFormat="1"/>
    <row r="146" s="970" customFormat="1"/>
    <row r="147" s="970" customFormat="1"/>
    <row r="148" s="970" customFormat="1"/>
    <row r="149" s="970" customFormat="1"/>
    <row r="150" s="970" customFormat="1"/>
    <row r="151" s="970" customFormat="1"/>
    <row r="152" s="970" customFormat="1"/>
    <row r="153" s="970" customFormat="1"/>
    <row r="154" s="970" customFormat="1"/>
    <row r="155" s="970" customFormat="1"/>
    <row r="156" s="970" customFormat="1"/>
    <row r="157" s="970" customFormat="1"/>
    <row r="158" s="970" customFormat="1"/>
    <row r="159" s="970" customFormat="1"/>
    <row r="160" s="970" customFormat="1"/>
    <row r="161" s="970" customFormat="1"/>
    <row r="162" s="970" customFormat="1"/>
    <row r="163" s="970" customFormat="1"/>
    <row r="164" s="970" customFormat="1"/>
    <row r="165" s="970" customFormat="1"/>
    <row r="166" s="970" customFormat="1"/>
    <row r="167" s="970" customFormat="1"/>
    <row r="168" s="970" customFormat="1"/>
    <row r="169" s="970" customFormat="1"/>
    <row r="170" s="970" customFormat="1"/>
    <row r="171" s="970" customFormat="1"/>
    <row r="172" s="970" customFormat="1"/>
    <row r="173" s="970" customFormat="1"/>
    <row r="174" s="970" customFormat="1"/>
    <row r="175" s="970" customFormat="1"/>
    <row r="176" s="970" customFormat="1"/>
    <row r="177" s="970" customFormat="1"/>
    <row r="178" s="970" customFormat="1"/>
    <row r="179" s="970" customFormat="1"/>
    <row r="180" s="970" customFormat="1"/>
    <row r="181" s="1171" customFormat="1"/>
    <row r="182" s="1184" customFormat="1"/>
    <row r="183" s="1184" customFormat="1"/>
    <row r="184" s="1184" customFormat="1"/>
    <row r="185" s="1184" customFormat="1"/>
    <row r="186" s="1184" customFormat="1"/>
    <row r="187" s="1184" customFormat="1"/>
    <row r="188" s="1184" customFormat="1"/>
    <row r="189" s="1184" customFormat="1"/>
    <row r="190" s="1184" customFormat="1"/>
    <row r="191" s="1184" customFormat="1"/>
    <row r="192" s="1184" customFormat="1"/>
    <row r="193" s="1184" customFormat="1"/>
    <row r="194" s="1184" customFormat="1"/>
    <row r="195" s="1184" customFormat="1"/>
    <row r="196" s="1184" customFormat="1"/>
    <row r="197" s="1184" customFormat="1"/>
    <row r="198" s="1184" customFormat="1"/>
    <row r="199" s="1184" customFormat="1"/>
    <row r="200" s="1184" customFormat="1"/>
    <row r="201" s="1184" customFormat="1"/>
    <row r="202" s="1184" customFormat="1"/>
    <row r="203" s="1184" customFormat="1"/>
    <row r="204" s="1184" customFormat="1"/>
    <row r="205" s="1184" customFormat="1"/>
    <row r="206" s="1184" customFormat="1"/>
    <row r="207" s="1184" customFormat="1"/>
    <row r="208" s="1184" customFormat="1"/>
    <row r="209" s="1184" customFormat="1"/>
    <row r="210" s="1184" customFormat="1"/>
    <row r="211" s="1184" customFormat="1"/>
    <row r="212" s="1184" customFormat="1"/>
    <row r="213" s="1184" customFormat="1"/>
    <row r="214" s="1184" customFormat="1"/>
    <row r="215" s="1184" customFormat="1"/>
    <row r="216" s="1184" customFormat="1"/>
    <row r="217" s="1184" customFormat="1"/>
    <row r="218" s="1184" customFormat="1"/>
    <row r="219" s="1184" customFormat="1"/>
    <row r="220" s="1184" customFormat="1"/>
    <row r="221" s="1184" customFormat="1"/>
    <row r="222" s="1184" customFormat="1"/>
    <row r="223" s="1184" customFormat="1"/>
    <row r="224" s="1184" customFormat="1"/>
    <row r="225" s="1184" customFormat="1"/>
    <row r="226" s="1184" customFormat="1"/>
    <row r="227" s="1184" customFormat="1"/>
    <row r="228" s="1184" customFormat="1"/>
    <row r="229" s="1184" customFormat="1"/>
    <row r="230" s="1219" customFormat="1"/>
    <row r="232" s="1219" customFormat="1"/>
    <row r="233" s="1403" customFormat="1"/>
    <row r="234" s="1403" customFormat="1"/>
    <row r="235" s="1403" customFormat="1"/>
    <row r="236" s="1403" customFormat="1"/>
    <row r="237" s="1403" customFormat="1"/>
    <row r="238" s="1403" customFormat="1"/>
    <row r="239" s="1403" customFormat="1"/>
    <row r="240" s="1403" customFormat="1"/>
    <row r="241" spans="1:36" s="1403" customFormat="1"/>
    <row r="242" spans="1:36" s="1403" customFormat="1">
      <c r="A242" s="221"/>
      <c r="B242" s="221"/>
      <c r="C242" s="221"/>
      <c r="D242" s="221"/>
      <c r="E242" s="221"/>
      <c r="F242" s="221"/>
      <c r="G242" s="221"/>
      <c r="H242" s="221"/>
      <c r="I242" s="221"/>
      <c r="J242" s="221"/>
      <c r="K242" s="221"/>
      <c r="L242" s="221"/>
      <c r="M242" s="221"/>
      <c r="N242" s="221"/>
      <c r="O242" s="221"/>
      <c r="P242" s="221"/>
      <c r="Q242" s="221"/>
      <c r="R242" s="221"/>
      <c r="S242" s="221"/>
      <c r="T242" s="221"/>
      <c r="U242" s="221"/>
      <c r="V242" s="221"/>
      <c r="W242" s="221"/>
      <c r="X242" s="221"/>
      <c r="Y242" s="221"/>
      <c r="Z242" s="221"/>
      <c r="AA242" s="221"/>
      <c r="AB242" s="221"/>
      <c r="AC242" s="221"/>
      <c r="AD242" s="221"/>
      <c r="AE242" s="221"/>
      <c r="AF242" s="221"/>
      <c r="AG242" s="221"/>
      <c r="AH242" s="221"/>
      <c r="AI242" s="221"/>
      <c r="AJ242" s="221"/>
    </row>
    <row r="243" spans="1:36" s="1403" customFormat="1">
      <c r="A243" s="221"/>
      <c r="B243" s="221"/>
      <c r="C243" s="221"/>
      <c r="D243" s="221"/>
      <c r="E243" s="221"/>
      <c r="F243" s="221"/>
      <c r="G243" s="221"/>
      <c r="H243" s="221"/>
      <c r="I243" s="221"/>
      <c r="J243" s="221"/>
      <c r="K243" s="221"/>
      <c r="L243" s="221"/>
      <c r="M243" s="221"/>
      <c r="N243" s="221"/>
      <c r="O243" s="221"/>
      <c r="P243" s="221"/>
      <c r="Q243" s="221"/>
      <c r="R243" s="221"/>
      <c r="S243" s="221"/>
      <c r="T243" s="221"/>
      <c r="U243" s="221"/>
      <c r="V243" s="221"/>
      <c r="W243" s="221"/>
      <c r="X243" s="221"/>
      <c r="Y243" s="221"/>
      <c r="Z243" s="221"/>
      <c r="AA243" s="221"/>
      <c r="AB243" s="221"/>
      <c r="AC243" s="221"/>
      <c r="AD243" s="221"/>
      <c r="AE243" s="221"/>
      <c r="AF243" s="221"/>
      <c r="AG243" s="221"/>
      <c r="AH243" s="221"/>
      <c r="AI243" s="221"/>
      <c r="AJ243" s="221"/>
    </row>
    <row r="244" spans="1:36" s="1403" customFormat="1">
      <c r="A244" s="221"/>
      <c r="B244" s="221"/>
      <c r="C244" s="221"/>
      <c r="D244" s="221"/>
      <c r="E244" s="221"/>
      <c r="F244" s="221"/>
      <c r="G244" s="221"/>
      <c r="H244" s="221"/>
      <c r="I244" s="221"/>
      <c r="J244" s="221"/>
      <c r="K244" s="221"/>
      <c r="L244" s="221"/>
      <c r="M244" s="221"/>
      <c r="N244" s="221"/>
      <c r="O244" s="221"/>
      <c r="P244" s="221"/>
      <c r="Q244" s="221"/>
      <c r="R244" s="221"/>
      <c r="S244" s="221"/>
      <c r="T244" s="221"/>
      <c r="U244" s="221"/>
      <c r="V244" s="221"/>
      <c r="W244" s="221"/>
      <c r="X244" s="221"/>
      <c r="Y244" s="221"/>
      <c r="Z244" s="221"/>
      <c r="AA244" s="221"/>
      <c r="AB244" s="221"/>
      <c r="AC244" s="221"/>
      <c r="AD244" s="221"/>
      <c r="AE244" s="221"/>
      <c r="AF244" s="221"/>
      <c r="AG244" s="221"/>
      <c r="AH244" s="221"/>
      <c r="AI244" s="221"/>
      <c r="AJ244" s="221"/>
    </row>
    <row r="245" spans="1:36" s="1403" customFormat="1">
      <c r="A245" s="221"/>
      <c r="B245" s="221"/>
      <c r="C245" s="221"/>
      <c r="D245" s="221"/>
      <c r="E245" s="221"/>
      <c r="F245" s="221"/>
      <c r="G245" s="221"/>
      <c r="H245" s="221"/>
      <c r="I245" s="221"/>
      <c r="J245" s="221"/>
      <c r="K245" s="221"/>
      <c r="L245" s="221"/>
      <c r="M245" s="221"/>
      <c r="N245" s="221"/>
      <c r="O245" s="221"/>
      <c r="P245" s="221"/>
      <c r="Q245" s="221"/>
      <c r="R245" s="221"/>
      <c r="S245" s="221"/>
      <c r="T245" s="221"/>
      <c r="U245" s="221"/>
      <c r="V245" s="221"/>
      <c r="W245" s="221"/>
      <c r="X245" s="221"/>
      <c r="Y245" s="221"/>
      <c r="Z245" s="221"/>
      <c r="AA245" s="221"/>
      <c r="AB245" s="221"/>
      <c r="AC245" s="221"/>
      <c r="AD245" s="221"/>
      <c r="AE245" s="221"/>
      <c r="AF245" s="221"/>
      <c r="AG245" s="221"/>
      <c r="AH245" s="221"/>
      <c r="AI245" s="221"/>
      <c r="AJ245" s="221"/>
    </row>
    <row r="246" spans="1:36" s="1403" customFormat="1">
      <c r="A246" s="221"/>
      <c r="B246" s="221"/>
      <c r="C246" s="221"/>
      <c r="D246" s="221"/>
      <c r="E246" s="221"/>
      <c r="F246" s="221"/>
      <c r="G246" s="221"/>
      <c r="H246" s="221"/>
      <c r="I246" s="221"/>
      <c r="J246" s="221"/>
      <c r="K246" s="221"/>
      <c r="L246" s="221"/>
      <c r="M246" s="221"/>
      <c r="N246" s="221"/>
      <c r="O246" s="221"/>
      <c r="P246" s="221"/>
      <c r="Q246" s="221"/>
      <c r="R246" s="221"/>
      <c r="S246" s="221"/>
      <c r="T246" s="221"/>
      <c r="U246" s="221"/>
      <c r="V246" s="221"/>
      <c r="W246" s="221"/>
      <c r="X246" s="221"/>
      <c r="Y246" s="221"/>
      <c r="Z246" s="221"/>
      <c r="AA246" s="221"/>
      <c r="AB246" s="221"/>
      <c r="AC246" s="221"/>
      <c r="AD246" s="221"/>
      <c r="AE246" s="221"/>
      <c r="AF246" s="221"/>
      <c r="AG246" s="221"/>
      <c r="AH246" s="221"/>
      <c r="AI246" s="221"/>
      <c r="AJ246" s="221"/>
    </row>
    <row r="247" spans="1:36" s="1403" customFormat="1">
      <c r="A247" s="221"/>
      <c r="B247" s="221"/>
      <c r="C247" s="221"/>
      <c r="D247" s="221"/>
      <c r="E247" s="221"/>
      <c r="F247" s="221"/>
      <c r="G247" s="221"/>
      <c r="H247" s="221"/>
      <c r="I247" s="221"/>
      <c r="J247" s="221"/>
      <c r="K247" s="221"/>
      <c r="L247" s="221"/>
      <c r="M247" s="221"/>
      <c r="N247" s="221"/>
      <c r="O247" s="221"/>
      <c r="P247" s="221"/>
      <c r="Q247" s="221"/>
      <c r="R247" s="221"/>
      <c r="S247" s="221"/>
      <c r="T247" s="221"/>
      <c r="U247" s="221"/>
      <c r="V247" s="221"/>
      <c r="W247" s="221"/>
      <c r="X247" s="221"/>
      <c r="Y247" s="221"/>
      <c r="Z247" s="221"/>
      <c r="AA247" s="221"/>
      <c r="AB247" s="221"/>
      <c r="AC247" s="221"/>
      <c r="AD247" s="221"/>
      <c r="AE247" s="221"/>
      <c r="AF247" s="221"/>
      <c r="AG247" s="221"/>
      <c r="AH247" s="221"/>
      <c r="AI247" s="221"/>
      <c r="AJ247" s="221"/>
    </row>
    <row r="248" spans="1:36" s="1403" customFormat="1">
      <c r="A248" s="221"/>
      <c r="B248" s="221"/>
      <c r="C248" s="221"/>
      <c r="D248" s="221"/>
      <c r="E248" s="221"/>
      <c r="F248" s="221"/>
      <c r="G248" s="221"/>
      <c r="H248" s="221"/>
      <c r="I248" s="221"/>
      <c r="J248" s="221"/>
      <c r="K248" s="221"/>
      <c r="L248" s="221"/>
      <c r="M248" s="221"/>
      <c r="N248" s="221"/>
      <c r="O248" s="221"/>
      <c r="P248" s="221"/>
      <c r="Q248" s="221"/>
      <c r="R248" s="221"/>
      <c r="S248" s="221"/>
      <c r="T248" s="221"/>
      <c r="U248" s="221"/>
      <c r="V248" s="221"/>
      <c r="W248" s="221"/>
      <c r="X248" s="221"/>
      <c r="Y248" s="221"/>
      <c r="Z248" s="221"/>
      <c r="AA248" s="221"/>
      <c r="AB248" s="221"/>
      <c r="AC248" s="221"/>
      <c r="AD248" s="221"/>
      <c r="AE248" s="221"/>
      <c r="AF248" s="221"/>
      <c r="AG248" s="221"/>
      <c r="AH248" s="221"/>
      <c r="AI248" s="221"/>
      <c r="AJ248" s="221"/>
    </row>
    <row r="249" spans="1:36" s="1403" customFormat="1">
      <c r="A249" s="221"/>
      <c r="B249" s="221"/>
      <c r="C249" s="221"/>
      <c r="D249" s="221"/>
      <c r="E249" s="221"/>
      <c r="F249" s="221"/>
      <c r="G249" s="221"/>
      <c r="H249" s="221"/>
      <c r="I249" s="221"/>
      <c r="J249" s="221"/>
      <c r="K249" s="221"/>
      <c r="L249" s="221"/>
      <c r="M249" s="221"/>
      <c r="N249" s="221"/>
      <c r="O249" s="221"/>
      <c r="P249" s="221"/>
      <c r="Q249" s="221"/>
      <c r="R249" s="221"/>
      <c r="S249" s="221"/>
      <c r="T249" s="221"/>
      <c r="U249" s="221"/>
      <c r="V249" s="221"/>
      <c r="W249" s="221"/>
      <c r="X249" s="221"/>
      <c r="Y249" s="221"/>
      <c r="Z249" s="221"/>
      <c r="AA249" s="221"/>
      <c r="AB249" s="221"/>
      <c r="AC249" s="221"/>
      <c r="AD249" s="221"/>
      <c r="AE249" s="221"/>
      <c r="AF249" s="221"/>
      <c r="AG249" s="221"/>
      <c r="AH249" s="221"/>
      <c r="AI249" s="221"/>
      <c r="AJ249" s="221"/>
    </row>
    <row r="250" spans="1:36" s="1403" customFormat="1">
      <c r="A250" s="221"/>
      <c r="B250" s="221"/>
      <c r="C250" s="221"/>
      <c r="D250" s="221"/>
      <c r="E250" s="221"/>
      <c r="F250" s="221"/>
      <c r="G250" s="221"/>
      <c r="H250" s="221"/>
      <c r="I250" s="221"/>
      <c r="J250" s="221"/>
      <c r="K250" s="221"/>
      <c r="L250" s="221"/>
      <c r="M250" s="221"/>
      <c r="N250" s="221"/>
      <c r="O250" s="221"/>
      <c r="P250" s="221"/>
      <c r="Q250" s="221"/>
      <c r="R250" s="221"/>
      <c r="S250" s="221"/>
      <c r="T250" s="221"/>
      <c r="U250" s="221"/>
      <c r="V250" s="221"/>
      <c r="W250" s="221"/>
      <c r="X250" s="221"/>
      <c r="Y250" s="221"/>
      <c r="Z250" s="221"/>
      <c r="AA250" s="221"/>
      <c r="AB250" s="221"/>
      <c r="AC250" s="221"/>
      <c r="AD250" s="221"/>
      <c r="AE250" s="221"/>
      <c r="AF250" s="221"/>
      <c r="AG250" s="221"/>
      <c r="AH250" s="221"/>
      <c r="AI250" s="221"/>
      <c r="AJ250" s="221"/>
    </row>
    <row r="251" spans="1:36" s="1403" customFormat="1">
      <c r="A251" s="221"/>
      <c r="B251" s="221"/>
      <c r="C251" s="221"/>
      <c r="D251" s="221"/>
      <c r="E251" s="221"/>
      <c r="F251" s="221"/>
      <c r="G251" s="221"/>
      <c r="H251" s="221"/>
      <c r="I251" s="221"/>
      <c r="J251" s="221"/>
      <c r="K251" s="221"/>
      <c r="L251" s="221"/>
      <c r="M251" s="221"/>
      <c r="N251" s="221"/>
      <c r="O251" s="221"/>
      <c r="P251" s="221"/>
      <c r="Q251" s="221"/>
      <c r="R251" s="221"/>
      <c r="S251" s="221"/>
      <c r="T251" s="221"/>
      <c r="U251" s="221"/>
      <c r="V251" s="221"/>
      <c r="W251" s="221"/>
      <c r="X251" s="221"/>
      <c r="Y251" s="221"/>
      <c r="Z251" s="221"/>
      <c r="AA251" s="221"/>
      <c r="AB251" s="221"/>
      <c r="AC251" s="221"/>
      <c r="AD251" s="221"/>
      <c r="AE251" s="221"/>
      <c r="AF251" s="221"/>
      <c r="AG251" s="221"/>
      <c r="AH251" s="221"/>
      <c r="AI251" s="221"/>
      <c r="AJ251" s="221"/>
    </row>
    <row r="252" spans="1:36" s="1403" customFormat="1">
      <c r="A252" s="221"/>
      <c r="B252" s="221"/>
      <c r="C252" s="221"/>
      <c r="D252" s="221"/>
      <c r="E252" s="221"/>
      <c r="F252" s="221"/>
      <c r="G252" s="221"/>
      <c r="H252" s="221"/>
      <c r="I252" s="221"/>
      <c r="J252" s="221"/>
      <c r="K252" s="221"/>
      <c r="L252" s="221"/>
      <c r="M252" s="221"/>
      <c r="N252" s="221"/>
      <c r="O252" s="221"/>
      <c r="P252" s="221"/>
      <c r="Q252" s="221"/>
      <c r="R252" s="221"/>
      <c r="S252" s="221"/>
      <c r="T252" s="221"/>
      <c r="U252" s="221"/>
      <c r="V252" s="221"/>
      <c r="W252" s="221"/>
      <c r="X252" s="221"/>
      <c r="Y252" s="221"/>
      <c r="Z252" s="221"/>
      <c r="AA252" s="221"/>
      <c r="AB252" s="221"/>
      <c r="AC252" s="221"/>
      <c r="AD252" s="221"/>
      <c r="AE252" s="221"/>
      <c r="AF252" s="221"/>
      <c r="AG252" s="221"/>
      <c r="AH252" s="221"/>
      <c r="AI252" s="221"/>
      <c r="AJ252" s="221"/>
    </row>
    <row r="253" spans="1:36" s="1403" customFormat="1">
      <c r="A253" s="221"/>
      <c r="B253" s="221"/>
      <c r="C253" s="221"/>
      <c r="D253" s="221"/>
      <c r="E253" s="221"/>
      <c r="F253" s="221"/>
      <c r="G253" s="221"/>
      <c r="H253" s="221"/>
      <c r="I253" s="221"/>
      <c r="J253" s="221"/>
      <c r="K253" s="221"/>
      <c r="L253" s="221"/>
      <c r="M253" s="221"/>
      <c r="N253" s="221"/>
      <c r="O253" s="221"/>
      <c r="P253" s="221"/>
      <c r="Q253" s="221"/>
      <c r="R253" s="221"/>
      <c r="S253" s="221"/>
      <c r="T253" s="221"/>
      <c r="U253" s="221"/>
      <c r="V253" s="221"/>
      <c r="W253" s="221"/>
      <c r="X253" s="221"/>
      <c r="Y253" s="221"/>
      <c r="Z253" s="221"/>
      <c r="AA253" s="221"/>
      <c r="AB253" s="221"/>
      <c r="AC253" s="221"/>
      <c r="AD253" s="221"/>
      <c r="AE253" s="221"/>
      <c r="AF253" s="221"/>
      <c r="AG253" s="221"/>
      <c r="AH253" s="221"/>
      <c r="AI253" s="221"/>
      <c r="AJ253" s="221"/>
    </row>
    <row r="254" spans="1:36" s="1403" customFormat="1">
      <c r="A254" s="221"/>
      <c r="B254" s="221"/>
      <c r="C254" s="221"/>
      <c r="D254" s="221"/>
      <c r="E254" s="221"/>
      <c r="F254" s="221"/>
      <c r="G254" s="221"/>
      <c r="H254" s="221"/>
      <c r="I254" s="221"/>
      <c r="J254" s="221"/>
      <c r="K254" s="221"/>
      <c r="L254" s="221"/>
      <c r="M254" s="221"/>
      <c r="N254" s="221"/>
      <c r="O254" s="221"/>
      <c r="P254" s="221"/>
      <c r="Q254" s="221"/>
      <c r="R254" s="221"/>
      <c r="S254" s="221"/>
      <c r="T254" s="221"/>
      <c r="U254" s="221"/>
      <c r="V254" s="221"/>
      <c r="W254" s="221"/>
      <c r="X254" s="221"/>
      <c r="Y254" s="221"/>
      <c r="Z254" s="221"/>
      <c r="AA254" s="221"/>
      <c r="AB254" s="221"/>
      <c r="AC254" s="221"/>
      <c r="AD254" s="221"/>
      <c r="AE254" s="221"/>
      <c r="AF254" s="221"/>
      <c r="AG254" s="221"/>
      <c r="AH254" s="221"/>
      <c r="AI254" s="221"/>
      <c r="AJ254" s="221"/>
    </row>
    <row r="255" spans="1:36" s="1403" customFormat="1">
      <c r="A255" s="221"/>
      <c r="B255" s="221"/>
      <c r="C255" s="221"/>
      <c r="D255" s="221"/>
      <c r="E255" s="221"/>
      <c r="F255" s="221"/>
      <c r="G255" s="221"/>
      <c r="H255" s="221"/>
      <c r="I255" s="221"/>
      <c r="J255" s="221"/>
      <c r="K255" s="221"/>
      <c r="L255" s="221"/>
      <c r="M255" s="221"/>
      <c r="N255" s="221"/>
      <c r="O255" s="221"/>
      <c r="P255" s="221"/>
      <c r="Q255" s="221"/>
      <c r="R255" s="221"/>
      <c r="S255" s="221"/>
      <c r="T255" s="221"/>
      <c r="U255" s="221"/>
      <c r="V255" s="221"/>
      <c r="W255" s="221"/>
      <c r="X255" s="221"/>
      <c r="Y255" s="221"/>
      <c r="Z255" s="221"/>
      <c r="AA255" s="221"/>
      <c r="AB255" s="221"/>
      <c r="AC255" s="221"/>
      <c r="AD255" s="221"/>
      <c r="AE255" s="221"/>
      <c r="AF255" s="221"/>
      <c r="AG255" s="221"/>
      <c r="AH255" s="221"/>
      <c r="AI255" s="221"/>
      <c r="AJ255" s="221"/>
    </row>
    <row r="256" spans="1:36" s="1403" customFormat="1">
      <c r="A256" s="221"/>
      <c r="B256" s="221"/>
      <c r="C256" s="221"/>
      <c r="D256" s="221"/>
      <c r="E256" s="221"/>
      <c r="F256" s="221"/>
      <c r="G256" s="221"/>
      <c r="H256" s="221"/>
      <c r="I256" s="221"/>
      <c r="J256" s="221"/>
      <c r="K256" s="221"/>
      <c r="L256" s="221"/>
      <c r="M256" s="221"/>
      <c r="N256" s="221"/>
      <c r="O256" s="221"/>
      <c r="P256" s="221"/>
      <c r="Q256" s="221"/>
      <c r="R256" s="221"/>
      <c r="S256" s="221"/>
      <c r="T256" s="221"/>
      <c r="U256" s="221"/>
      <c r="V256" s="221"/>
      <c r="W256" s="221"/>
      <c r="X256" s="221"/>
      <c r="Y256" s="221"/>
      <c r="Z256" s="221"/>
      <c r="AA256" s="221"/>
      <c r="AB256" s="221"/>
      <c r="AC256" s="221"/>
      <c r="AD256" s="221"/>
      <c r="AE256" s="221"/>
      <c r="AF256" s="221"/>
      <c r="AG256" s="221"/>
      <c r="AH256" s="221"/>
      <c r="AI256" s="221"/>
      <c r="AJ256" s="221"/>
    </row>
    <row r="257" spans="1:36" s="1403" customFormat="1">
      <c r="A257" s="221"/>
      <c r="B257" s="221"/>
      <c r="C257" s="221"/>
      <c r="D257" s="221"/>
      <c r="E257" s="221"/>
      <c r="F257" s="221"/>
      <c r="G257" s="221"/>
      <c r="H257" s="221"/>
      <c r="I257" s="221"/>
      <c r="J257" s="221"/>
      <c r="K257" s="221"/>
      <c r="L257" s="221"/>
      <c r="M257" s="221"/>
      <c r="N257" s="221"/>
      <c r="O257" s="221"/>
      <c r="P257" s="221"/>
      <c r="Q257" s="221"/>
      <c r="R257" s="221"/>
      <c r="S257" s="221"/>
      <c r="T257" s="221"/>
      <c r="U257" s="221"/>
      <c r="V257" s="221"/>
      <c r="W257" s="221"/>
      <c r="X257" s="221"/>
      <c r="Y257" s="221"/>
      <c r="Z257" s="221"/>
      <c r="AA257" s="221"/>
      <c r="AB257" s="221"/>
      <c r="AC257" s="221"/>
      <c r="AD257" s="221"/>
      <c r="AE257" s="221"/>
      <c r="AF257" s="221"/>
      <c r="AG257" s="221"/>
      <c r="AH257" s="221"/>
      <c r="AI257" s="221"/>
      <c r="AJ257" s="221"/>
    </row>
    <row r="258" spans="1:36" s="1403" customFormat="1">
      <c r="A258" s="221"/>
      <c r="B258" s="221"/>
      <c r="C258" s="221"/>
      <c r="D258" s="221"/>
      <c r="E258" s="221"/>
      <c r="F258" s="221"/>
      <c r="G258" s="221"/>
      <c r="H258" s="221"/>
      <c r="I258" s="221"/>
      <c r="J258" s="221"/>
      <c r="K258" s="221"/>
      <c r="L258" s="221"/>
      <c r="M258" s="221"/>
      <c r="N258" s="221"/>
      <c r="O258" s="221"/>
      <c r="P258" s="221"/>
      <c r="Q258" s="221"/>
      <c r="R258" s="221"/>
      <c r="S258" s="221"/>
      <c r="T258" s="221"/>
      <c r="U258" s="221"/>
      <c r="V258" s="221"/>
      <c r="W258" s="221"/>
      <c r="X258" s="221"/>
      <c r="Y258" s="221"/>
      <c r="Z258" s="221"/>
      <c r="AA258" s="221"/>
      <c r="AB258" s="221"/>
      <c r="AC258" s="221"/>
      <c r="AD258" s="221"/>
      <c r="AE258" s="221"/>
      <c r="AF258" s="221"/>
      <c r="AG258" s="221"/>
      <c r="AH258" s="221"/>
      <c r="AI258" s="221"/>
      <c r="AJ258" s="221"/>
    </row>
    <row r="259" spans="1:36" s="1403" customFormat="1">
      <c r="A259" s="221"/>
      <c r="B259" s="221"/>
      <c r="C259" s="221"/>
      <c r="D259" s="221"/>
      <c r="E259" s="221"/>
      <c r="F259" s="221"/>
      <c r="G259" s="221"/>
      <c r="H259" s="221"/>
      <c r="I259" s="221"/>
      <c r="J259" s="221"/>
      <c r="K259" s="221"/>
      <c r="L259" s="221"/>
      <c r="M259" s="221"/>
      <c r="N259" s="221"/>
      <c r="O259" s="221"/>
      <c r="P259" s="221"/>
      <c r="Q259" s="221"/>
      <c r="R259" s="221"/>
      <c r="S259" s="221"/>
      <c r="T259" s="221"/>
      <c r="U259" s="221"/>
      <c r="V259" s="221"/>
      <c r="W259" s="221"/>
      <c r="X259" s="221"/>
      <c r="Y259" s="221"/>
      <c r="Z259" s="221"/>
      <c r="AA259" s="221"/>
      <c r="AB259" s="221"/>
      <c r="AC259" s="221"/>
      <c r="AD259" s="221"/>
      <c r="AE259" s="221"/>
      <c r="AF259" s="221"/>
      <c r="AG259" s="221"/>
      <c r="AH259" s="221"/>
      <c r="AI259" s="221"/>
      <c r="AJ259" s="221"/>
    </row>
    <row r="260" spans="1:36" s="1403" customFormat="1">
      <c r="A260" s="221"/>
      <c r="B260" s="221"/>
      <c r="C260" s="221"/>
      <c r="D260" s="221"/>
      <c r="E260" s="221"/>
      <c r="F260" s="221"/>
      <c r="G260" s="221"/>
      <c r="H260" s="221"/>
      <c r="I260" s="221"/>
      <c r="J260" s="221"/>
      <c r="K260" s="221"/>
      <c r="L260" s="221"/>
      <c r="M260" s="221"/>
      <c r="N260" s="221"/>
      <c r="O260" s="221"/>
      <c r="P260" s="221"/>
      <c r="Q260" s="221"/>
      <c r="R260" s="221"/>
      <c r="S260" s="221"/>
      <c r="T260" s="221"/>
      <c r="U260" s="221"/>
      <c r="V260" s="221"/>
      <c r="W260" s="221"/>
      <c r="X260" s="221"/>
      <c r="Y260" s="221"/>
      <c r="Z260" s="221"/>
      <c r="AA260" s="221"/>
      <c r="AB260" s="221"/>
      <c r="AC260" s="221"/>
      <c r="AD260" s="221"/>
      <c r="AE260" s="221"/>
      <c r="AF260" s="221"/>
      <c r="AG260" s="221"/>
      <c r="AH260" s="221"/>
      <c r="AI260" s="221"/>
      <c r="AJ260" s="221"/>
    </row>
    <row r="261" spans="1:36" s="1403" customFormat="1">
      <c r="A261" s="221"/>
      <c r="B261" s="221"/>
      <c r="C261" s="221"/>
      <c r="D261" s="221"/>
      <c r="E261" s="221"/>
      <c r="F261" s="221"/>
      <c r="G261" s="221"/>
      <c r="H261" s="221"/>
      <c r="I261" s="221"/>
      <c r="J261" s="221"/>
      <c r="K261" s="221"/>
      <c r="L261" s="221"/>
      <c r="M261" s="221"/>
      <c r="N261" s="221"/>
      <c r="O261" s="221"/>
      <c r="P261" s="221"/>
      <c r="Q261" s="221"/>
      <c r="R261" s="221"/>
      <c r="S261" s="221"/>
      <c r="T261" s="221"/>
      <c r="U261" s="221"/>
      <c r="V261" s="221"/>
      <c r="W261" s="221"/>
      <c r="X261" s="221"/>
      <c r="Y261" s="221"/>
      <c r="Z261" s="221"/>
      <c r="AA261" s="221"/>
      <c r="AB261" s="221"/>
      <c r="AC261" s="221"/>
      <c r="AD261" s="221"/>
      <c r="AE261" s="221"/>
      <c r="AF261" s="221"/>
      <c r="AG261" s="221"/>
      <c r="AH261" s="221"/>
      <c r="AI261" s="221"/>
      <c r="AJ261" s="221"/>
    </row>
    <row r="262" spans="1:36" s="1403" customFormat="1">
      <c r="A262" s="221"/>
      <c r="B262" s="221"/>
      <c r="C262" s="221"/>
      <c r="D262" s="221"/>
      <c r="E262" s="221"/>
      <c r="F262" s="221"/>
      <c r="G262" s="221"/>
      <c r="H262" s="221"/>
      <c r="I262" s="221"/>
      <c r="J262" s="221"/>
      <c r="K262" s="221"/>
      <c r="L262" s="221"/>
      <c r="M262" s="221"/>
      <c r="N262" s="221"/>
      <c r="O262" s="221"/>
      <c r="P262" s="221"/>
      <c r="Q262" s="221"/>
      <c r="R262" s="221"/>
      <c r="S262" s="221"/>
      <c r="T262" s="221"/>
      <c r="U262" s="221"/>
      <c r="V262" s="221"/>
      <c r="W262" s="221"/>
      <c r="X262" s="221"/>
      <c r="Y262" s="221"/>
      <c r="Z262" s="221"/>
      <c r="AA262" s="221"/>
      <c r="AB262" s="221"/>
      <c r="AC262" s="221"/>
      <c r="AD262" s="221"/>
      <c r="AE262" s="221"/>
      <c r="AF262" s="221"/>
      <c r="AG262" s="221"/>
      <c r="AH262" s="221"/>
      <c r="AI262" s="221"/>
      <c r="AJ262" s="221"/>
    </row>
    <row r="263" spans="1:36" s="1403" customFormat="1">
      <c r="A263" s="221"/>
      <c r="B263" s="221"/>
      <c r="C263" s="221"/>
      <c r="D263" s="221"/>
      <c r="E263" s="221"/>
      <c r="F263" s="221"/>
      <c r="G263" s="221"/>
      <c r="H263" s="221"/>
      <c r="I263" s="221"/>
      <c r="J263" s="221"/>
      <c r="K263" s="221"/>
      <c r="L263" s="221"/>
      <c r="M263" s="221"/>
      <c r="N263" s="221"/>
      <c r="O263" s="221"/>
      <c r="P263" s="221"/>
      <c r="Q263" s="221"/>
      <c r="R263" s="221"/>
      <c r="S263" s="221"/>
      <c r="T263" s="221"/>
      <c r="U263" s="221"/>
      <c r="V263" s="221"/>
      <c r="W263" s="221"/>
      <c r="X263" s="221"/>
      <c r="Y263" s="221"/>
      <c r="Z263" s="221"/>
      <c r="AA263" s="221"/>
      <c r="AB263" s="221"/>
      <c r="AC263" s="221"/>
      <c r="AD263" s="221"/>
      <c r="AE263" s="221"/>
      <c r="AF263" s="221"/>
      <c r="AG263" s="221"/>
      <c r="AH263" s="221"/>
      <c r="AI263" s="221"/>
      <c r="AJ263" s="221"/>
    </row>
    <row r="264" spans="1:36" s="1403" customFormat="1">
      <c r="A264" s="221"/>
      <c r="B264" s="221"/>
      <c r="C264" s="221"/>
      <c r="D264" s="221"/>
      <c r="E264" s="221"/>
      <c r="F264" s="221"/>
      <c r="G264" s="221"/>
      <c r="H264" s="221"/>
      <c r="I264" s="221"/>
      <c r="J264" s="221"/>
      <c r="K264" s="221"/>
      <c r="L264" s="221"/>
      <c r="M264" s="221"/>
      <c r="N264" s="221"/>
      <c r="O264" s="221"/>
      <c r="P264" s="221"/>
      <c r="Q264" s="221"/>
      <c r="R264" s="221"/>
      <c r="S264" s="221"/>
      <c r="T264" s="221"/>
      <c r="U264" s="221"/>
      <c r="V264" s="221"/>
      <c r="W264" s="221"/>
      <c r="X264" s="221"/>
      <c r="Y264" s="221"/>
      <c r="Z264" s="221"/>
      <c r="AA264" s="221"/>
      <c r="AB264" s="221"/>
      <c r="AC264" s="221"/>
      <c r="AD264" s="221"/>
      <c r="AE264" s="221"/>
      <c r="AF264" s="221"/>
      <c r="AG264" s="221"/>
      <c r="AH264" s="221"/>
      <c r="AI264" s="221"/>
      <c r="AJ264" s="221"/>
    </row>
    <row r="265" spans="1:36" s="1403" customFormat="1">
      <c r="A265" s="221"/>
      <c r="B265" s="221"/>
      <c r="C265" s="221"/>
      <c r="D265" s="221"/>
      <c r="E265" s="221"/>
      <c r="F265" s="221"/>
      <c r="G265" s="221"/>
      <c r="H265" s="221"/>
      <c r="I265" s="221"/>
      <c r="J265" s="221"/>
      <c r="K265" s="221"/>
      <c r="L265" s="221"/>
      <c r="M265" s="221"/>
      <c r="N265" s="221"/>
      <c r="O265" s="221"/>
      <c r="P265" s="221"/>
      <c r="Q265" s="221"/>
      <c r="R265" s="221"/>
      <c r="S265" s="221"/>
      <c r="T265" s="221"/>
      <c r="U265" s="221"/>
      <c r="V265" s="221"/>
      <c r="W265" s="221"/>
      <c r="X265" s="221"/>
      <c r="Y265" s="221"/>
      <c r="Z265" s="221"/>
      <c r="AA265" s="221"/>
      <c r="AB265" s="221"/>
      <c r="AC265" s="221"/>
      <c r="AD265" s="221"/>
      <c r="AE265" s="221"/>
      <c r="AF265" s="221"/>
      <c r="AG265" s="221"/>
      <c r="AH265" s="221"/>
      <c r="AI265" s="221"/>
      <c r="AJ265" s="221"/>
    </row>
    <row r="266" spans="1:36" s="1403" customFormat="1">
      <c r="A266" s="221"/>
      <c r="B266" s="221"/>
      <c r="C266" s="221"/>
      <c r="D266" s="221"/>
      <c r="E266" s="221"/>
      <c r="F266" s="221"/>
      <c r="G266" s="221"/>
      <c r="H266" s="221"/>
      <c r="I266" s="221"/>
      <c r="J266" s="221"/>
      <c r="K266" s="221"/>
      <c r="L266" s="221"/>
      <c r="M266" s="221"/>
      <c r="N266" s="221"/>
      <c r="O266" s="221"/>
      <c r="P266" s="221"/>
      <c r="Q266" s="221"/>
      <c r="R266" s="221"/>
      <c r="S266" s="221"/>
      <c r="T266" s="221"/>
      <c r="U266" s="221"/>
      <c r="V266" s="221"/>
      <c r="W266" s="221"/>
      <c r="X266" s="221"/>
      <c r="Y266" s="221"/>
      <c r="Z266" s="221"/>
      <c r="AA266" s="221"/>
      <c r="AB266" s="221"/>
      <c r="AC266" s="221"/>
      <c r="AD266" s="221"/>
      <c r="AE266" s="221"/>
      <c r="AF266" s="221"/>
      <c r="AG266" s="221"/>
      <c r="AH266" s="221"/>
      <c r="AI266" s="221"/>
      <c r="AJ266" s="221"/>
    </row>
    <row r="267" spans="1:36" s="1403" customFormat="1"/>
    <row r="268" spans="1:36" s="1403" customFormat="1"/>
    <row r="269" spans="1:36" s="1403" customFormat="1"/>
    <row r="270" spans="1:36" s="1403" customFormat="1"/>
    <row r="271" spans="1:36" s="1403" customFormat="1"/>
    <row r="272" spans="1:36" s="1403" customFormat="1"/>
    <row r="273" s="1403" customFormat="1"/>
    <row r="274" s="1403" customFormat="1"/>
    <row r="275" s="1403" customFormat="1"/>
    <row r="276" s="1403" customFormat="1"/>
    <row r="277" s="1403" customFormat="1"/>
    <row r="278" s="1403" customFormat="1"/>
    <row r="279" s="1403" customFormat="1"/>
    <row r="280" s="1403" customFormat="1"/>
    <row r="281" s="1403" customFormat="1"/>
    <row r="282" s="1403" customFormat="1"/>
    <row r="283" s="1403" customFormat="1"/>
    <row r="284" s="1403" customFormat="1"/>
    <row r="285" s="1403" customFormat="1"/>
    <row r="286" s="1403" customFormat="1"/>
    <row r="287" s="1403" customFormat="1"/>
    <row r="288" s="1403" customFormat="1"/>
    <row r="289" s="1403" customFormat="1"/>
    <row r="290" s="1403" customFormat="1"/>
    <row r="291" s="1403" customFormat="1"/>
    <row r="292" s="1403" customFormat="1"/>
    <row r="293" s="1403" customFormat="1"/>
    <row r="294" s="1403" customFormat="1"/>
    <row r="295" s="1403" customFormat="1"/>
    <row r="296" s="1403" customFormat="1"/>
    <row r="297" s="1403" customFormat="1"/>
    <row r="298" s="1403" customFormat="1"/>
    <row r="299" s="1403" customFormat="1"/>
    <row r="300" s="1403" customFormat="1"/>
    <row r="301" s="1403" customFormat="1"/>
    <row r="302" s="1403" customFormat="1"/>
    <row r="303" s="1403" customFormat="1"/>
    <row r="304" s="1403" customFormat="1"/>
    <row r="305" s="1403" customFormat="1"/>
    <row r="306" s="1403" customFormat="1"/>
    <row r="307" s="1403" customFormat="1"/>
    <row r="308" s="1403" customFormat="1"/>
    <row r="309" s="1403" customFormat="1"/>
    <row r="310" s="1403" customFormat="1"/>
    <row r="311" s="1403" customFormat="1"/>
    <row r="312" s="1403" customFormat="1"/>
    <row r="313" s="1403" customFormat="1"/>
    <row r="314" s="1403" customFormat="1"/>
    <row r="315" s="1403" customFormat="1"/>
    <row r="316" s="1403" customFormat="1"/>
    <row r="317" s="1403" customFormat="1"/>
    <row r="318" s="1403" customFormat="1"/>
    <row r="319" s="1403" customFormat="1"/>
    <row r="320" s="1403" customFormat="1"/>
    <row r="321" s="1403" customFormat="1"/>
    <row r="322" s="1403" customFormat="1"/>
    <row r="323" s="1403" customFormat="1"/>
    <row r="324" s="1403" customFormat="1"/>
    <row r="325" s="1403" customFormat="1"/>
    <row r="326" s="1403" customFormat="1"/>
    <row r="327" s="1403" customFormat="1"/>
    <row r="328" s="1403" customFormat="1"/>
    <row r="329" s="1403" customFormat="1"/>
    <row r="330" s="1403" customFormat="1"/>
    <row r="331" s="1403" customFormat="1"/>
    <row r="332" s="1403" customFormat="1"/>
    <row r="333" s="1403" customFormat="1"/>
    <row r="334" s="1403" customFormat="1"/>
    <row r="335" s="1403" customFormat="1"/>
    <row r="336" s="1403" customFormat="1"/>
    <row r="337" s="1403" customFormat="1"/>
    <row r="338" s="1403" customFormat="1"/>
    <row r="339" s="1403" customFormat="1"/>
    <row r="340" s="1403" customFormat="1"/>
    <row r="341" s="1403" customFormat="1"/>
    <row r="342" s="1403" customFormat="1"/>
    <row r="343" s="1403" customFormat="1"/>
    <row r="344" s="1403" customFormat="1"/>
    <row r="345" s="1403" customFormat="1"/>
    <row r="346" s="1403" customFormat="1"/>
    <row r="347" s="1403" customFormat="1"/>
    <row r="348" s="1403" customFormat="1"/>
    <row r="349" s="1403" customFormat="1"/>
    <row r="350" s="1403" customFormat="1"/>
    <row r="351" s="1403" customFormat="1"/>
    <row r="352" s="1403" customFormat="1"/>
    <row r="353" spans="1:36" s="1403" customFormat="1"/>
    <row r="354" spans="1:36" s="1403" customFormat="1"/>
    <row r="355" spans="1:36" s="1403" customFormat="1"/>
    <row r="356" spans="1:36" s="1403" customFormat="1">
      <c r="A356" s="221"/>
      <c r="B356" s="221"/>
      <c r="C356" s="221"/>
      <c r="D356" s="221"/>
      <c r="E356" s="221"/>
      <c r="F356" s="221"/>
      <c r="G356" s="221"/>
      <c r="H356" s="221"/>
      <c r="I356" s="221"/>
      <c r="J356" s="221"/>
      <c r="K356" s="221"/>
      <c r="L356" s="221"/>
      <c r="M356" s="221"/>
      <c r="N356" s="221"/>
      <c r="O356" s="221"/>
      <c r="P356" s="221"/>
      <c r="Q356" s="221"/>
      <c r="R356" s="221"/>
      <c r="S356" s="221"/>
      <c r="T356" s="221"/>
      <c r="U356" s="221"/>
      <c r="V356" s="221"/>
      <c r="W356" s="221"/>
      <c r="X356" s="221"/>
      <c r="Y356" s="221"/>
      <c r="Z356" s="221"/>
      <c r="AA356" s="221"/>
      <c r="AB356" s="221"/>
      <c r="AC356" s="221"/>
      <c r="AD356" s="221"/>
      <c r="AE356" s="221"/>
      <c r="AF356" s="221"/>
      <c r="AG356" s="221"/>
      <c r="AH356" s="221"/>
      <c r="AI356" s="221"/>
      <c r="AJ356" s="221"/>
    </row>
    <row r="357" spans="1:36" s="1403" customFormat="1">
      <c r="A357" s="221"/>
      <c r="B357" s="221"/>
      <c r="C357" s="221"/>
      <c r="D357" s="221"/>
      <c r="E357" s="221"/>
      <c r="F357" s="221"/>
      <c r="G357" s="221"/>
      <c r="H357" s="221"/>
      <c r="I357" s="221"/>
      <c r="J357" s="221"/>
      <c r="K357" s="221"/>
      <c r="L357" s="221"/>
      <c r="M357" s="221"/>
      <c r="N357" s="221"/>
      <c r="O357" s="221"/>
      <c r="P357" s="221"/>
      <c r="Q357" s="221"/>
      <c r="R357" s="221"/>
      <c r="S357" s="221"/>
      <c r="T357" s="221"/>
      <c r="U357" s="221"/>
      <c r="V357" s="221"/>
      <c r="W357" s="221"/>
      <c r="X357" s="221"/>
      <c r="Y357" s="221"/>
      <c r="Z357" s="221"/>
      <c r="AA357" s="221"/>
      <c r="AB357" s="221"/>
      <c r="AC357" s="221"/>
      <c r="AD357" s="221"/>
      <c r="AE357" s="221"/>
      <c r="AF357" s="221"/>
      <c r="AG357" s="221"/>
      <c r="AH357" s="221"/>
      <c r="AI357" s="221"/>
      <c r="AJ357" s="221"/>
    </row>
    <row r="358" spans="1:36" s="1403" customFormat="1">
      <c r="A358" s="221"/>
      <c r="B358" s="221"/>
      <c r="C358" s="221"/>
      <c r="D358" s="221"/>
      <c r="E358" s="221"/>
      <c r="F358" s="221"/>
      <c r="G358" s="221"/>
      <c r="H358" s="221"/>
      <c r="I358" s="221"/>
      <c r="J358" s="221"/>
      <c r="K358" s="221"/>
      <c r="L358" s="221"/>
      <c r="M358" s="221"/>
      <c r="N358" s="221"/>
      <c r="O358" s="221"/>
      <c r="P358" s="221"/>
      <c r="Q358" s="221"/>
      <c r="R358" s="221"/>
      <c r="S358" s="221"/>
      <c r="T358" s="221"/>
      <c r="U358" s="221"/>
      <c r="V358" s="221"/>
      <c r="W358" s="221"/>
      <c r="X358" s="221"/>
      <c r="Y358" s="221"/>
      <c r="Z358" s="221"/>
      <c r="AA358" s="221"/>
      <c r="AB358" s="221"/>
      <c r="AC358" s="221"/>
      <c r="AD358" s="221"/>
      <c r="AE358" s="221"/>
      <c r="AF358" s="221"/>
      <c r="AG358" s="221"/>
      <c r="AH358" s="221"/>
      <c r="AI358" s="221"/>
      <c r="AJ358" s="221"/>
    </row>
    <row r="359" spans="1:36" s="1403" customFormat="1">
      <c r="A359" s="221"/>
      <c r="B359" s="221"/>
      <c r="C359" s="221"/>
      <c r="D359" s="221"/>
      <c r="E359" s="221"/>
      <c r="F359" s="221"/>
      <c r="G359" s="221"/>
      <c r="H359" s="221"/>
      <c r="I359" s="221"/>
      <c r="J359" s="221"/>
      <c r="K359" s="221"/>
      <c r="L359" s="221"/>
      <c r="M359" s="221"/>
      <c r="N359" s="221"/>
      <c r="O359" s="221"/>
      <c r="P359" s="221"/>
      <c r="Q359" s="221"/>
      <c r="R359" s="221"/>
      <c r="S359" s="221"/>
      <c r="T359" s="221"/>
      <c r="U359" s="221"/>
      <c r="V359" s="221"/>
      <c r="W359" s="221"/>
      <c r="X359" s="221"/>
      <c r="Y359" s="221"/>
      <c r="Z359" s="221"/>
      <c r="AA359" s="221"/>
      <c r="AB359" s="221"/>
      <c r="AC359" s="221"/>
      <c r="AD359" s="221"/>
      <c r="AE359" s="221"/>
      <c r="AF359" s="221"/>
      <c r="AG359" s="221"/>
      <c r="AH359" s="221"/>
      <c r="AI359" s="221"/>
      <c r="AJ359" s="221"/>
    </row>
    <row r="360" spans="1:36" s="1403" customFormat="1">
      <c r="A360" s="221"/>
      <c r="B360" s="221"/>
      <c r="C360" s="221"/>
      <c r="D360" s="221"/>
      <c r="E360" s="221"/>
      <c r="F360" s="221"/>
      <c r="G360" s="221"/>
      <c r="H360" s="221"/>
      <c r="I360" s="221"/>
      <c r="J360" s="221"/>
      <c r="K360" s="221"/>
      <c r="L360" s="221"/>
      <c r="M360" s="221"/>
      <c r="N360" s="221"/>
      <c r="O360" s="221"/>
      <c r="P360" s="221"/>
      <c r="Q360" s="221"/>
      <c r="R360" s="221"/>
      <c r="S360" s="221"/>
      <c r="T360" s="221"/>
      <c r="U360" s="221"/>
      <c r="V360" s="221"/>
      <c r="W360" s="221"/>
      <c r="X360" s="221"/>
      <c r="Y360" s="221"/>
      <c r="Z360" s="221"/>
      <c r="AA360" s="221"/>
      <c r="AB360" s="221"/>
      <c r="AC360" s="221"/>
      <c r="AD360" s="221"/>
      <c r="AE360" s="221"/>
      <c r="AF360" s="221"/>
      <c r="AG360" s="221"/>
      <c r="AH360" s="221"/>
      <c r="AI360" s="221"/>
      <c r="AJ360" s="221"/>
    </row>
    <row r="361" spans="1:36" s="1403" customFormat="1">
      <c r="A361" s="221"/>
      <c r="B361" s="221"/>
      <c r="C361" s="221"/>
      <c r="D361" s="221"/>
      <c r="E361" s="221"/>
      <c r="F361" s="221"/>
      <c r="G361" s="221"/>
      <c r="H361" s="221"/>
      <c r="I361" s="221"/>
      <c r="J361" s="221"/>
      <c r="K361" s="221"/>
      <c r="L361" s="221"/>
      <c r="M361" s="221"/>
      <c r="N361" s="221"/>
      <c r="O361" s="221"/>
      <c r="P361" s="221"/>
      <c r="Q361" s="221"/>
      <c r="R361" s="221"/>
      <c r="S361" s="221"/>
      <c r="T361" s="221"/>
      <c r="U361" s="221"/>
      <c r="V361" s="221"/>
      <c r="W361" s="221"/>
      <c r="X361" s="221"/>
      <c r="Y361" s="221"/>
      <c r="Z361" s="221"/>
      <c r="AA361" s="221"/>
      <c r="AB361" s="221"/>
      <c r="AC361" s="221"/>
      <c r="AD361" s="221"/>
      <c r="AE361" s="221"/>
      <c r="AF361" s="221"/>
      <c r="AG361" s="221"/>
      <c r="AH361" s="221"/>
      <c r="AI361" s="221"/>
      <c r="AJ361" s="221"/>
    </row>
    <row r="362" spans="1:36" s="1403" customFormat="1">
      <c r="A362" s="221"/>
      <c r="B362" s="221"/>
      <c r="C362" s="221"/>
      <c r="D362" s="221"/>
      <c r="E362" s="221"/>
      <c r="F362" s="221"/>
      <c r="G362" s="221"/>
      <c r="H362" s="221"/>
      <c r="I362" s="221"/>
      <c r="J362" s="221"/>
      <c r="K362" s="221"/>
      <c r="L362" s="221"/>
      <c r="M362" s="221"/>
      <c r="N362" s="221"/>
      <c r="O362" s="221"/>
      <c r="P362" s="221"/>
      <c r="Q362" s="221"/>
      <c r="R362" s="221"/>
      <c r="S362" s="221"/>
      <c r="T362" s="221"/>
      <c r="U362" s="221"/>
      <c r="V362" s="221"/>
      <c r="W362" s="221"/>
      <c r="X362" s="221"/>
      <c r="Y362" s="221"/>
      <c r="Z362" s="221"/>
      <c r="AA362" s="221"/>
      <c r="AB362" s="221"/>
      <c r="AC362" s="221"/>
      <c r="AD362" s="221"/>
      <c r="AE362" s="221"/>
      <c r="AF362" s="221"/>
      <c r="AG362" s="221"/>
      <c r="AH362" s="221"/>
      <c r="AI362" s="221"/>
      <c r="AJ362" s="221"/>
    </row>
    <row r="363" spans="1:36" s="1403" customFormat="1">
      <c r="A363" s="221"/>
      <c r="B363" s="221"/>
      <c r="C363" s="221"/>
      <c r="D363" s="221"/>
      <c r="E363" s="221"/>
      <c r="F363" s="221"/>
      <c r="G363" s="221"/>
      <c r="H363" s="221"/>
      <c r="I363" s="221"/>
      <c r="J363" s="221"/>
      <c r="K363" s="221"/>
      <c r="L363" s="221"/>
      <c r="M363" s="221"/>
      <c r="N363" s="221"/>
      <c r="O363" s="221"/>
      <c r="P363" s="221"/>
      <c r="Q363" s="221"/>
      <c r="R363" s="221"/>
      <c r="S363" s="221"/>
      <c r="T363" s="221"/>
      <c r="U363" s="221"/>
      <c r="V363" s="221"/>
      <c r="W363" s="221"/>
      <c r="X363" s="221"/>
      <c r="Y363" s="221"/>
      <c r="Z363" s="221"/>
      <c r="AA363" s="221"/>
      <c r="AB363" s="221"/>
      <c r="AC363" s="221"/>
      <c r="AD363" s="221"/>
      <c r="AE363" s="221"/>
      <c r="AF363" s="221"/>
      <c r="AG363" s="221"/>
      <c r="AH363" s="221"/>
      <c r="AI363" s="221"/>
      <c r="AJ363" s="221"/>
    </row>
    <row r="364" spans="1:36" s="1403" customFormat="1">
      <c r="A364" s="221"/>
      <c r="B364" s="221"/>
      <c r="C364" s="221"/>
      <c r="D364" s="221"/>
      <c r="E364" s="221"/>
      <c r="F364" s="221"/>
      <c r="G364" s="221"/>
      <c r="H364" s="221"/>
      <c r="I364" s="221"/>
      <c r="J364" s="221"/>
      <c r="K364" s="221"/>
      <c r="L364" s="221"/>
      <c r="M364" s="221"/>
      <c r="N364" s="221"/>
      <c r="O364" s="221"/>
      <c r="P364" s="221"/>
      <c r="Q364" s="221"/>
      <c r="R364" s="221"/>
      <c r="S364" s="221"/>
      <c r="T364" s="221"/>
      <c r="U364" s="221"/>
      <c r="V364" s="221"/>
      <c r="W364" s="221"/>
      <c r="X364" s="221"/>
      <c r="Y364" s="221"/>
      <c r="Z364" s="221"/>
      <c r="AA364" s="221"/>
      <c r="AB364" s="221"/>
      <c r="AC364" s="221"/>
      <c r="AD364" s="221"/>
      <c r="AE364" s="221"/>
      <c r="AF364" s="221"/>
      <c r="AG364" s="221"/>
      <c r="AH364" s="221"/>
      <c r="AI364" s="221"/>
      <c r="AJ364" s="221"/>
    </row>
    <row r="365" spans="1:36" s="1403" customFormat="1">
      <c r="A365" s="221"/>
      <c r="B365" s="221"/>
      <c r="C365" s="221"/>
      <c r="D365" s="221"/>
      <c r="E365" s="221"/>
      <c r="F365" s="221"/>
      <c r="G365" s="221"/>
      <c r="H365" s="221"/>
      <c r="I365" s="221"/>
      <c r="J365" s="221"/>
      <c r="K365" s="221"/>
      <c r="L365" s="221"/>
      <c r="M365" s="221"/>
      <c r="N365" s="221"/>
      <c r="O365" s="221"/>
      <c r="P365" s="221"/>
      <c r="Q365" s="221"/>
      <c r="R365" s="221"/>
      <c r="S365" s="221"/>
      <c r="T365" s="221"/>
      <c r="U365" s="221"/>
      <c r="V365" s="221"/>
      <c r="W365" s="221"/>
      <c r="X365" s="221"/>
      <c r="Y365" s="221"/>
      <c r="Z365" s="221"/>
      <c r="AA365" s="221"/>
      <c r="AB365" s="221"/>
      <c r="AC365" s="221"/>
      <c r="AD365" s="221"/>
      <c r="AE365" s="221"/>
      <c r="AF365" s="221"/>
      <c r="AG365" s="221"/>
      <c r="AH365" s="221"/>
      <c r="AI365" s="221"/>
      <c r="AJ365" s="221"/>
    </row>
    <row r="366" spans="1:36" s="1403" customFormat="1">
      <c r="A366" s="221"/>
      <c r="B366" s="221"/>
      <c r="C366" s="221"/>
      <c r="D366" s="221"/>
      <c r="E366" s="221"/>
      <c r="F366" s="221"/>
      <c r="G366" s="221"/>
      <c r="H366" s="221"/>
      <c r="I366" s="221"/>
      <c r="J366" s="221"/>
      <c r="K366" s="221"/>
      <c r="L366" s="221"/>
      <c r="M366" s="221"/>
      <c r="N366" s="221"/>
      <c r="O366" s="221"/>
      <c r="P366" s="221"/>
      <c r="Q366" s="221"/>
      <c r="R366" s="221"/>
      <c r="S366" s="221"/>
      <c r="T366" s="221"/>
      <c r="U366" s="221"/>
      <c r="V366" s="221"/>
      <c r="W366" s="221"/>
      <c r="X366" s="221"/>
      <c r="Y366" s="221"/>
      <c r="Z366" s="221"/>
      <c r="AA366" s="221"/>
      <c r="AB366" s="221"/>
      <c r="AC366" s="221"/>
      <c r="AD366" s="221"/>
      <c r="AE366" s="221"/>
      <c r="AF366" s="221"/>
      <c r="AG366" s="221"/>
      <c r="AH366" s="221"/>
      <c r="AI366" s="221"/>
      <c r="AJ366" s="221"/>
    </row>
    <row r="367" spans="1:36" s="1403" customFormat="1">
      <c r="A367" s="221"/>
      <c r="B367" s="221"/>
      <c r="C367" s="221"/>
      <c r="D367" s="221"/>
      <c r="E367" s="221"/>
      <c r="F367" s="221"/>
      <c r="G367" s="221"/>
      <c r="H367" s="221"/>
      <c r="I367" s="221"/>
      <c r="J367" s="221"/>
      <c r="K367" s="221"/>
      <c r="L367" s="221"/>
      <c r="M367" s="221"/>
      <c r="N367" s="221"/>
      <c r="O367" s="221"/>
      <c r="P367" s="221"/>
      <c r="Q367" s="221"/>
      <c r="R367" s="221"/>
      <c r="S367" s="221"/>
      <c r="T367" s="221"/>
      <c r="U367" s="221"/>
      <c r="V367" s="221"/>
      <c r="W367" s="221"/>
      <c r="X367" s="221"/>
      <c r="Y367" s="221"/>
      <c r="Z367" s="221"/>
      <c r="AA367" s="221"/>
      <c r="AB367" s="221"/>
      <c r="AC367" s="221"/>
      <c r="AD367" s="221"/>
      <c r="AE367" s="221"/>
      <c r="AF367" s="221"/>
      <c r="AG367" s="221"/>
      <c r="AH367" s="221"/>
      <c r="AI367" s="221"/>
      <c r="AJ367" s="221"/>
    </row>
    <row r="368" spans="1:36" s="1403" customFormat="1">
      <c r="A368" s="221"/>
      <c r="B368" s="221"/>
      <c r="C368" s="221"/>
      <c r="D368" s="221"/>
      <c r="E368" s="221"/>
      <c r="F368" s="221"/>
      <c r="G368" s="221"/>
      <c r="H368" s="221"/>
      <c r="I368" s="221"/>
      <c r="J368" s="221"/>
      <c r="K368" s="221"/>
      <c r="L368" s="221"/>
      <c r="M368" s="221"/>
      <c r="N368" s="221"/>
      <c r="O368" s="221"/>
      <c r="P368" s="221"/>
      <c r="Q368" s="221"/>
      <c r="R368" s="221"/>
      <c r="S368" s="221"/>
      <c r="T368" s="221"/>
      <c r="U368" s="221"/>
      <c r="V368" s="221"/>
      <c r="W368" s="221"/>
      <c r="X368" s="221"/>
      <c r="Y368" s="221"/>
      <c r="Z368" s="221"/>
      <c r="AA368" s="221"/>
      <c r="AB368" s="221"/>
      <c r="AC368" s="221"/>
      <c r="AD368" s="221"/>
      <c r="AE368" s="221"/>
      <c r="AF368" s="221"/>
      <c r="AG368" s="221"/>
      <c r="AH368" s="221"/>
      <c r="AI368" s="221"/>
      <c r="AJ368" s="221"/>
    </row>
    <row r="369" spans="1:36" s="1403" customFormat="1">
      <c r="A369" s="221"/>
      <c r="B369" s="221"/>
      <c r="C369" s="221"/>
      <c r="D369" s="221"/>
      <c r="E369" s="221"/>
      <c r="F369" s="221"/>
      <c r="G369" s="221"/>
      <c r="H369" s="221"/>
      <c r="I369" s="221"/>
      <c r="J369" s="221"/>
      <c r="K369" s="221"/>
      <c r="L369" s="221"/>
      <c r="M369" s="221"/>
      <c r="N369" s="221"/>
      <c r="O369" s="221"/>
      <c r="P369" s="221"/>
      <c r="Q369" s="221"/>
      <c r="R369" s="221"/>
      <c r="S369" s="221"/>
      <c r="T369" s="221"/>
      <c r="U369" s="221"/>
      <c r="V369" s="221"/>
      <c r="W369" s="221"/>
      <c r="X369" s="221"/>
      <c r="Y369" s="221"/>
      <c r="Z369" s="221"/>
      <c r="AA369" s="221"/>
      <c r="AB369" s="221"/>
      <c r="AC369" s="221"/>
      <c r="AD369" s="221"/>
      <c r="AE369" s="221"/>
      <c r="AF369" s="221"/>
      <c r="AG369" s="221"/>
      <c r="AH369" s="221"/>
      <c r="AI369" s="221"/>
      <c r="AJ369" s="221"/>
    </row>
    <row r="370" spans="1:36" s="1403" customFormat="1">
      <c r="A370" s="221"/>
      <c r="B370" s="221"/>
      <c r="C370" s="221"/>
      <c r="D370" s="221"/>
      <c r="E370" s="221"/>
      <c r="F370" s="221"/>
      <c r="G370" s="221"/>
      <c r="H370" s="221"/>
      <c r="I370" s="221"/>
      <c r="J370" s="221"/>
      <c r="K370" s="221"/>
      <c r="L370" s="221"/>
      <c r="M370" s="221"/>
      <c r="N370" s="221"/>
      <c r="O370" s="221"/>
      <c r="P370" s="221"/>
      <c r="Q370" s="221"/>
      <c r="R370" s="221"/>
      <c r="S370" s="221"/>
      <c r="T370" s="221"/>
      <c r="U370" s="221"/>
      <c r="V370" s="221"/>
      <c r="W370" s="221"/>
      <c r="X370" s="221"/>
      <c r="Y370" s="221"/>
      <c r="Z370" s="221"/>
      <c r="AA370" s="221"/>
      <c r="AB370" s="221"/>
      <c r="AC370" s="221"/>
      <c r="AD370" s="221"/>
      <c r="AE370" s="221"/>
      <c r="AF370" s="221"/>
      <c r="AG370" s="221"/>
      <c r="AH370" s="221"/>
      <c r="AI370" s="221"/>
      <c r="AJ370" s="221"/>
    </row>
    <row r="371" spans="1:36" s="1403" customFormat="1">
      <c r="A371" s="221"/>
      <c r="B371" s="221"/>
      <c r="C371" s="221"/>
      <c r="D371" s="221"/>
      <c r="E371" s="221"/>
      <c r="F371" s="221"/>
      <c r="G371" s="221"/>
      <c r="H371" s="221"/>
      <c r="I371" s="221"/>
      <c r="J371" s="221"/>
      <c r="K371" s="221"/>
      <c r="L371" s="221"/>
      <c r="M371" s="221"/>
      <c r="N371" s="221"/>
      <c r="O371" s="221"/>
      <c r="P371" s="221"/>
      <c r="Q371" s="221"/>
      <c r="R371" s="221"/>
      <c r="S371" s="221"/>
      <c r="T371" s="221"/>
      <c r="U371" s="221"/>
      <c r="V371" s="221"/>
      <c r="W371" s="221"/>
      <c r="X371" s="221"/>
      <c r="Y371" s="221"/>
      <c r="Z371" s="221"/>
      <c r="AA371" s="221"/>
      <c r="AB371" s="221"/>
      <c r="AC371" s="221"/>
      <c r="AD371" s="221"/>
      <c r="AE371" s="221"/>
      <c r="AF371" s="221"/>
      <c r="AG371" s="221"/>
      <c r="AH371" s="221"/>
      <c r="AI371" s="221"/>
      <c r="AJ371" s="221"/>
    </row>
    <row r="372" spans="1:36" s="1403" customFormat="1">
      <c r="A372" s="221"/>
      <c r="B372" s="221"/>
      <c r="C372" s="221"/>
      <c r="D372" s="221"/>
      <c r="E372" s="221"/>
      <c r="F372" s="221"/>
      <c r="G372" s="221"/>
      <c r="H372" s="221"/>
      <c r="I372" s="221"/>
      <c r="J372" s="221"/>
      <c r="K372" s="221"/>
      <c r="L372" s="221"/>
      <c r="M372" s="221"/>
      <c r="N372" s="221"/>
      <c r="O372" s="221"/>
      <c r="P372" s="221"/>
      <c r="Q372" s="221"/>
      <c r="R372" s="221"/>
      <c r="S372" s="221"/>
      <c r="T372" s="221"/>
      <c r="U372" s="221"/>
      <c r="V372" s="221"/>
      <c r="W372" s="221"/>
      <c r="X372" s="221"/>
      <c r="Y372" s="221"/>
      <c r="Z372" s="221"/>
      <c r="AA372" s="221"/>
      <c r="AB372" s="221"/>
      <c r="AC372" s="221"/>
      <c r="AD372" s="221"/>
      <c r="AE372" s="221"/>
      <c r="AF372" s="221"/>
      <c r="AG372" s="221"/>
      <c r="AH372" s="221"/>
      <c r="AI372" s="221"/>
      <c r="AJ372" s="221"/>
    </row>
    <row r="373" spans="1:36" s="1403" customFormat="1">
      <c r="A373" s="221"/>
      <c r="B373" s="221"/>
      <c r="C373" s="221"/>
      <c r="D373" s="221"/>
      <c r="E373" s="221"/>
      <c r="F373" s="221"/>
      <c r="G373" s="221"/>
      <c r="H373" s="221"/>
      <c r="I373" s="221"/>
      <c r="J373" s="221"/>
      <c r="K373" s="221"/>
      <c r="L373" s="221"/>
      <c r="M373" s="221"/>
      <c r="N373" s="221"/>
      <c r="O373" s="221"/>
      <c r="P373" s="221"/>
      <c r="Q373" s="221"/>
      <c r="R373" s="221"/>
      <c r="S373" s="221"/>
      <c r="T373" s="221"/>
      <c r="U373" s="221"/>
      <c r="V373" s="221"/>
      <c r="W373" s="221"/>
      <c r="X373" s="221"/>
      <c r="Y373" s="221"/>
      <c r="Z373" s="221"/>
      <c r="AA373" s="221"/>
      <c r="AB373" s="221"/>
      <c r="AC373" s="221"/>
      <c r="AD373" s="221"/>
      <c r="AE373" s="221"/>
      <c r="AF373" s="221"/>
      <c r="AG373" s="221"/>
      <c r="AH373" s="221"/>
      <c r="AI373" s="221"/>
      <c r="AJ373" s="221"/>
    </row>
    <row r="374" spans="1:36" s="1403" customFormat="1">
      <c r="A374" s="221"/>
      <c r="B374" s="221"/>
      <c r="C374" s="221"/>
      <c r="D374" s="221"/>
      <c r="E374" s="221"/>
      <c r="F374" s="221"/>
      <c r="G374" s="221"/>
      <c r="H374" s="221"/>
      <c r="I374" s="221"/>
      <c r="J374" s="221"/>
      <c r="K374" s="221"/>
      <c r="L374" s="221"/>
      <c r="M374" s="221"/>
      <c r="N374" s="221"/>
      <c r="O374" s="221"/>
      <c r="P374" s="221"/>
      <c r="Q374" s="221"/>
      <c r="R374" s="221"/>
      <c r="S374" s="221"/>
      <c r="T374" s="221"/>
      <c r="U374" s="221"/>
      <c r="V374" s="221"/>
      <c r="W374" s="221"/>
      <c r="X374" s="221"/>
      <c r="Y374" s="221"/>
      <c r="Z374" s="221"/>
      <c r="AA374" s="221"/>
      <c r="AB374" s="221"/>
      <c r="AC374" s="221"/>
      <c r="AD374" s="221"/>
      <c r="AE374" s="221"/>
      <c r="AF374" s="221"/>
      <c r="AG374" s="221"/>
      <c r="AH374" s="221"/>
      <c r="AI374" s="221"/>
      <c r="AJ374" s="221"/>
    </row>
    <row r="375" spans="1:36" s="1403" customFormat="1">
      <c r="A375" s="221"/>
      <c r="B375" s="221"/>
      <c r="C375" s="221"/>
      <c r="D375" s="221"/>
      <c r="E375" s="221"/>
      <c r="F375" s="221"/>
      <c r="G375" s="221"/>
      <c r="H375" s="221"/>
      <c r="I375" s="221"/>
      <c r="J375" s="221"/>
      <c r="K375" s="221"/>
      <c r="L375" s="221"/>
      <c r="M375" s="221"/>
      <c r="N375" s="221"/>
      <c r="O375" s="221"/>
      <c r="P375" s="221"/>
      <c r="Q375" s="221"/>
      <c r="R375" s="221"/>
      <c r="S375" s="221"/>
      <c r="T375" s="221"/>
      <c r="U375" s="221"/>
      <c r="V375" s="221"/>
      <c r="W375" s="221"/>
      <c r="X375" s="221"/>
      <c r="Y375" s="221"/>
      <c r="Z375" s="221"/>
      <c r="AA375" s="221"/>
      <c r="AB375" s="221"/>
      <c r="AC375" s="221"/>
      <c r="AD375" s="221"/>
      <c r="AE375" s="221"/>
      <c r="AF375" s="221"/>
      <c r="AG375" s="221"/>
      <c r="AH375" s="221"/>
      <c r="AI375" s="221"/>
      <c r="AJ375" s="221"/>
    </row>
    <row r="376" spans="1:36" s="1403" customFormat="1">
      <c r="A376" s="221"/>
      <c r="B376" s="221"/>
      <c r="C376" s="221"/>
      <c r="D376" s="221"/>
      <c r="E376" s="221"/>
      <c r="F376" s="221"/>
      <c r="G376" s="221"/>
      <c r="H376" s="221"/>
      <c r="I376" s="221"/>
      <c r="J376" s="221"/>
      <c r="K376" s="221"/>
      <c r="L376" s="221"/>
      <c r="M376" s="221"/>
      <c r="N376" s="221"/>
      <c r="O376" s="221"/>
      <c r="P376" s="221"/>
      <c r="Q376" s="221"/>
      <c r="R376" s="221"/>
      <c r="S376" s="221"/>
      <c r="T376" s="221"/>
      <c r="U376" s="221"/>
      <c r="V376" s="221"/>
      <c r="W376" s="221"/>
      <c r="X376" s="221"/>
      <c r="Y376" s="221"/>
      <c r="Z376" s="221"/>
      <c r="AA376" s="221"/>
      <c r="AB376" s="221"/>
      <c r="AC376" s="221"/>
      <c r="AD376" s="221"/>
      <c r="AE376" s="221"/>
      <c r="AF376" s="221"/>
      <c r="AG376" s="221"/>
      <c r="AH376" s="221"/>
      <c r="AI376" s="221"/>
      <c r="AJ376" s="221"/>
    </row>
    <row r="377" spans="1:36" s="1403" customFormat="1">
      <c r="A377" s="221"/>
      <c r="B377" s="221"/>
      <c r="C377" s="221"/>
      <c r="D377" s="221"/>
      <c r="E377" s="221"/>
      <c r="F377" s="221"/>
      <c r="G377" s="221"/>
      <c r="H377" s="221"/>
      <c r="I377" s="221"/>
      <c r="J377" s="221"/>
      <c r="K377" s="221"/>
      <c r="L377" s="221"/>
      <c r="M377" s="221"/>
      <c r="N377" s="221"/>
      <c r="O377" s="221"/>
      <c r="P377" s="221"/>
      <c r="Q377" s="221"/>
      <c r="R377" s="221"/>
      <c r="S377" s="221"/>
      <c r="T377" s="221"/>
      <c r="U377" s="221"/>
      <c r="V377" s="221"/>
      <c r="W377" s="221"/>
      <c r="X377" s="221"/>
      <c r="Y377" s="221"/>
      <c r="Z377" s="221"/>
      <c r="AA377" s="221"/>
      <c r="AB377" s="221"/>
      <c r="AC377" s="221"/>
      <c r="AD377" s="221"/>
      <c r="AE377" s="221"/>
      <c r="AF377" s="221"/>
      <c r="AG377" s="221"/>
      <c r="AH377" s="221"/>
      <c r="AI377" s="221"/>
      <c r="AJ377" s="221"/>
    </row>
    <row r="378" spans="1:36" s="1403" customFormat="1">
      <c r="A378" s="221"/>
      <c r="B378" s="221"/>
      <c r="C378" s="221"/>
      <c r="D378" s="221"/>
      <c r="E378" s="221"/>
      <c r="F378" s="221"/>
      <c r="G378" s="221"/>
      <c r="H378" s="221"/>
      <c r="I378" s="221"/>
      <c r="J378" s="221"/>
      <c r="K378" s="221"/>
      <c r="L378" s="221"/>
      <c r="M378" s="221"/>
      <c r="N378" s="221"/>
      <c r="O378" s="221"/>
      <c r="P378" s="221"/>
      <c r="Q378" s="221"/>
      <c r="R378" s="221"/>
      <c r="S378" s="221"/>
      <c r="T378" s="221"/>
      <c r="U378" s="221"/>
      <c r="V378" s="221"/>
      <c r="W378" s="221"/>
      <c r="X378" s="221"/>
      <c r="Y378" s="221"/>
      <c r="Z378" s="221"/>
      <c r="AA378" s="221"/>
      <c r="AB378" s="221"/>
      <c r="AC378" s="221"/>
      <c r="AD378" s="221"/>
      <c r="AE378" s="221"/>
      <c r="AF378" s="221"/>
      <c r="AG378" s="221"/>
      <c r="AH378" s="221"/>
      <c r="AI378" s="221"/>
      <c r="AJ378" s="221"/>
    </row>
    <row r="379" spans="1:36" s="1403" customFormat="1">
      <c r="A379" s="221"/>
      <c r="B379" s="221"/>
      <c r="C379" s="221"/>
      <c r="D379" s="221"/>
      <c r="E379" s="221"/>
      <c r="F379" s="221"/>
      <c r="G379" s="221"/>
      <c r="H379" s="221"/>
      <c r="I379" s="221"/>
      <c r="J379" s="221"/>
      <c r="K379" s="221"/>
      <c r="L379" s="221"/>
      <c r="M379" s="221"/>
      <c r="N379" s="221"/>
      <c r="O379" s="221"/>
      <c r="P379" s="221"/>
      <c r="Q379" s="221"/>
      <c r="R379" s="221"/>
      <c r="S379" s="221"/>
      <c r="T379" s="221"/>
      <c r="U379" s="221"/>
      <c r="V379" s="221"/>
      <c r="W379" s="221"/>
      <c r="X379" s="221"/>
      <c r="Y379" s="221"/>
      <c r="Z379" s="221"/>
      <c r="AA379" s="221"/>
      <c r="AB379" s="221"/>
      <c r="AC379" s="221"/>
      <c r="AD379" s="221"/>
      <c r="AE379" s="221"/>
      <c r="AF379" s="221"/>
      <c r="AG379" s="221"/>
      <c r="AH379" s="221"/>
      <c r="AI379" s="221"/>
      <c r="AJ379" s="221"/>
    </row>
    <row r="380" spans="1:36" s="1403" customFormat="1">
      <c r="A380" s="221"/>
      <c r="B380" s="221"/>
      <c r="C380" s="221"/>
      <c r="D380" s="221"/>
      <c r="E380" s="221"/>
      <c r="F380" s="221"/>
      <c r="G380" s="221"/>
      <c r="H380" s="221"/>
      <c r="I380" s="221"/>
      <c r="J380" s="221"/>
      <c r="K380" s="221"/>
      <c r="L380" s="221"/>
      <c r="M380" s="221"/>
      <c r="N380" s="221"/>
      <c r="O380" s="221"/>
      <c r="P380" s="221"/>
      <c r="Q380" s="221"/>
      <c r="R380" s="221"/>
      <c r="S380" s="221"/>
      <c r="T380" s="221"/>
      <c r="U380" s="221"/>
      <c r="V380" s="221"/>
      <c r="W380" s="221"/>
      <c r="X380" s="221"/>
      <c r="Y380" s="221"/>
      <c r="Z380" s="221"/>
      <c r="AA380" s="221"/>
      <c r="AB380" s="221"/>
      <c r="AC380" s="221"/>
      <c r="AD380" s="221"/>
      <c r="AE380" s="221"/>
      <c r="AF380" s="221"/>
      <c r="AG380" s="221"/>
      <c r="AH380" s="221"/>
      <c r="AI380" s="221"/>
      <c r="AJ380" s="221"/>
    </row>
    <row r="381" spans="1:36" s="1403" customFormat="1"/>
    <row r="382" spans="1:36" s="1403" customFormat="1"/>
    <row r="383" spans="1:36" s="1403" customFormat="1"/>
    <row r="384" spans="1:36" s="1403" customFormat="1"/>
    <row r="385" s="1403" customFormat="1"/>
    <row r="386" s="1403" customFormat="1"/>
    <row r="387" s="1403" customFormat="1"/>
    <row r="388" s="1403" customFormat="1"/>
    <row r="389" s="1403" customFormat="1"/>
    <row r="390" s="1403" customFormat="1"/>
    <row r="391" s="1403" customFormat="1"/>
    <row r="392" s="1403" customFormat="1"/>
    <row r="393" s="1403" customFormat="1"/>
    <row r="394" s="1403" customFormat="1"/>
    <row r="395" s="1403" customFormat="1"/>
    <row r="396" s="1403" customFormat="1"/>
    <row r="397" s="1403" customFormat="1"/>
    <row r="398" s="1403" customFormat="1"/>
    <row r="399" s="1403" customFormat="1"/>
    <row r="400" s="1403" customFormat="1"/>
    <row r="401" spans="28:28" s="1403" customFormat="1"/>
    <row r="402" spans="28:28" s="1403" customFormat="1"/>
    <row r="403" spans="28:28" s="1403" customFormat="1"/>
    <row r="404" spans="28:28" s="1403" customFormat="1"/>
    <row r="405" spans="28:28" s="1403" customFormat="1"/>
    <row r="406" spans="28:28" s="1403" customFormat="1">
      <c r="AB406" s="74"/>
    </row>
    <row r="407" spans="28:28" s="1403" customFormat="1"/>
    <row r="408" spans="28:28" s="1403" customFormat="1"/>
    <row r="409" spans="28:28" s="1403" customFormat="1"/>
    <row r="410" spans="28:28" s="1403" customFormat="1"/>
    <row r="411" spans="28:28" s="1403" customFormat="1"/>
    <row r="412" spans="28:28" s="1403" customFormat="1"/>
    <row r="413" spans="28:28" s="1403" customFormat="1"/>
    <row r="414" spans="28:28" s="1403" customFormat="1"/>
    <row r="415" spans="28:28" s="1403" customFormat="1"/>
    <row r="416" spans="28:28" s="1403" customFormat="1"/>
    <row r="417" s="1403" customFormat="1"/>
    <row r="418" s="1403" customFormat="1"/>
    <row r="419" s="1403" customFormat="1"/>
    <row r="420" s="1403" customFormat="1"/>
    <row r="421" s="1403" customFormat="1"/>
    <row r="422" s="1403" customFormat="1"/>
    <row r="423" s="1403" customFormat="1"/>
    <row r="424" s="1403" customFormat="1"/>
    <row r="425" s="1403" customFormat="1"/>
    <row r="426" s="1403" customFormat="1"/>
    <row r="427" s="1403" customFormat="1"/>
    <row r="428" s="1403" customFormat="1"/>
    <row r="429" s="1403" customFormat="1"/>
    <row r="430" s="1403" customFormat="1"/>
    <row r="431" s="1403" customFormat="1"/>
    <row r="432" s="1403" customFormat="1"/>
    <row r="433" s="1403" customFormat="1"/>
    <row r="434" s="1403" customFormat="1"/>
    <row r="435" s="1403" customFormat="1"/>
  </sheetData>
  <mergeCells count="1">
    <mergeCell ref="A1:I1"/>
  </mergeCells>
  <hyperlinks>
    <hyperlink ref="A1:I1" location="Главная!A1" display="Вернуться на главную страницу" xr:uid="{00000000-0004-0000-0200-000000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>
    <tabColor rgb="FFFF0000"/>
  </sheetPr>
  <dimension ref="A1:W44"/>
  <sheetViews>
    <sheetView zoomScale="80" zoomScaleNormal="80" workbookViewId="0">
      <selection activeCell="C40" sqref="C40:W44"/>
    </sheetView>
  </sheetViews>
  <sheetFormatPr defaultColWidth="9.140625" defaultRowHeight="15"/>
  <cols>
    <col min="1" max="16384" width="9.140625" style="17"/>
  </cols>
  <sheetData>
    <row r="1" spans="1:7" ht="22.5" customHeight="1">
      <c r="A1" s="2019" t="s">
        <v>9</v>
      </c>
      <c r="B1" s="2019"/>
      <c r="C1" s="2019"/>
      <c r="D1" s="2019"/>
      <c r="E1" s="2019"/>
      <c r="F1" s="2019"/>
      <c r="G1" s="2019"/>
    </row>
    <row r="3" spans="1:7" ht="15.75" customHeight="1"/>
    <row r="5" spans="1:7">
      <c r="B5" s="76"/>
    </row>
    <row r="6" spans="1:7">
      <c r="B6" s="76"/>
    </row>
    <row r="7" spans="1:7">
      <c r="B7" s="76"/>
    </row>
    <row r="8" spans="1:7">
      <c r="B8" s="76"/>
    </row>
    <row r="9" spans="1:7">
      <c r="B9" s="76"/>
    </row>
    <row r="10" spans="1:7">
      <c r="B10" s="76"/>
    </row>
    <row r="11" spans="1:7">
      <c r="B11" s="76"/>
    </row>
    <row r="12" spans="1:7">
      <c r="B12" s="76"/>
    </row>
    <row r="13" spans="1:7">
      <c r="B13" s="76"/>
    </row>
    <row r="14" spans="1:7">
      <c r="B14" s="76"/>
    </row>
    <row r="15" spans="1:7">
      <c r="B15" s="76"/>
    </row>
    <row r="16" spans="1:7">
      <c r="B16" s="76"/>
    </row>
    <row r="17" spans="2:2">
      <c r="B17" s="76"/>
    </row>
    <row r="18" spans="2:2">
      <c r="B18" s="76"/>
    </row>
    <row r="19" spans="2:2">
      <c r="B19" s="76"/>
    </row>
    <row r="20" spans="2:2">
      <c r="B20" s="76"/>
    </row>
    <row r="21" spans="2:2">
      <c r="B21" s="76"/>
    </row>
    <row r="22" spans="2:2">
      <c r="B22" s="76"/>
    </row>
    <row r="23" spans="2:2">
      <c r="B23" s="76"/>
    </row>
    <row r="39" spans="3:23" ht="15.75" thickBot="1"/>
    <row r="40" spans="3:23">
      <c r="C40" s="2020"/>
      <c r="D40" s="2021"/>
      <c r="E40" s="2021"/>
      <c r="F40" s="2021"/>
      <c r="G40" s="2021"/>
      <c r="H40" s="2021"/>
      <c r="I40" s="2021"/>
      <c r="J40" s="2021"/>
      <c r="K40" s="2021"/>
      <c r="L40" s="2021"/>
      <c r="M40" s="2021"/>
      <c r="N40" s="2021"/>
      <c r="O40" s="2021"/>
      <c r="P40" s="2021"/>
      <c r="Q40" s="2021"/>
      <c r="R40" s="2021"/>
      <c r="S40" s="2021"/>
      <c r="T40" s="2021"/>
      <c r="U40" s="2021"/>
      <c r="V40" s="2021"/>
      <c r="W40" s="2022"/>
    </row>
    <row r="41" spans="3:23">
      <c r="C41" s="2023"/>
      <c r="D41" s="2024"/>
      <c r="E41" s="2024"/>
      <c r="F41" s="2024"/>
      <c r="G41" s="2024"/>
      <c r="H41" s="2024"/>
      <c r="I41" s="2024"/>
      <c r="J41" s="2024"/>
      <c r="K41" s="2024"/>
      <c r="L41" s="2024"/>
      <c r="M41" s="2024"/>
      <c r="N41" s="2024"/>
      <c r="O41" s="2024"/>
      <c r="P41" s="2024"/>
      <c r="Q41" s="2024"/>
      <c r="R41" s="2024"/>
      <c r="S41" s="2024"/>
      <c r="T41" s="2024"/>
      <c r="U41" s="2024"/>
      <c r="V41" s="2024"/>
      <c r="W41" s="2025"/>
    </row>
    <row r="42" spans="3:23">
      <c r="C42" s="2023"/>
      <c r="D42" s="2024"/>
      <c r="E42" s="2024"/>
      <c r="F42" s="2024"/>
      <c r="G42" s="2024"/>
      <c r="H42" s="2024"/>
      <c r="I42" s="2024"/>
      <c r="J42" s="2024"/>
      <c r="K42" s="2024"/>
      <c r="L42" s="2024"/>
      <c r="M42" s="2024"/>
      <c r="N42" s="2024"/>
      <c r="O42" s="2024"/>
      <c r="P42" s="2024"/>
      <c r="Q42" s="2024"/>
      <c r="R42" s="2024"/>
      <c r="S42" s="2024"/>
      <c r="T42" s="2024"/>
      <c r="U42" s="2024"/>
      <c r="V42" s="2024"/>
      <c r="W42" s="2025"/>
    </row>
    <row r="43" spans="3:23">
      <c r="C43" s="2023"/>
      <c r="D43" s="2024"/>
      <c r="E43" s="2024"/>
      <c r="F43" s="2024"/>
      <c r="G43" s="2024"/>
      <c r="H43" s="2024"/>
      <c r="I43" s="2024"/>
      <c r="J43" s="2024"/>
      <c r="K43" s="2024"/>
      <c r="L43" s="2024"/>
      <c r="M43" s="2024"/>
      <c r="N43" s="2024"/>
      <c r="O43" s="2024"/>
      <c r="P43" s="2024"/>
      <c r="Q43" s="2024"/>
      <c r="R43" s="2024"/>
      <c r="S43" s="2024"/>
      <c r="T43" s="2024"/>
      <c r="U43" s="2024"/>
      <c r="V43" s="2024"/>
      <c r="W43" s="2025"/>
    </row>
    <row r="44" spans="3:23" ht="15.75" thickBot="1">
      <c r="C44" s="2026"/>
      <c r="D44" s="2027"/>
      <c r="E44" s="2027"/>
      <c r="F44" s="2027"/>
      <c r="G44" s="2027"/>
      <c r="H44" s="2027"/>
      <c r="I44" s="2027"/>
      <c r="J44" s="2027"/>
      <c r="K44" s="2027"/>
      <c r="L44" s="2027"/>
      <c r="M44" s="2027"/>
      <c r="N44" s="2027"/>
      <c r="O44" s="2027"/>
      <c r="P44" s="2027"/>
      <c r="Q44" s="2027"/>
      <c r="R44" s="2027"/>
      <c r="S44" s="2027"/>
      <c r="T44" s="2027"/>
      <c r="U44" s="2027"/>
      <c r="V44" s="2027"/>
      <c r="W44" s="2028"/>
    </row>
  </sheetData>
  <mergeCells count="2">
    <mergeCell ref="A1:G1"/>
    <mergeCell ref="C40:W44"/>
  </mergeCells>
  <hyperlinks>
    <hyperlink ref="A1:G1" location="Главная!A1" display="Вернуться на главную страницу" xr:uid="{00000000-0004-0000-0300-000000000000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>
    <tabColor rgb="FF7030A0"/>
  </sheetPr>
  <dimension ref="A1:T291"/>
  <sheetViews>
    <sheetView zoomScale="85" zoomScaleNormal="85" workbookViewId="0">
      <selection sqref="A1:I1"/>
    </sheetView>
  </sheetViews>
  <sheetFormatPr defaultColWidth="9.140625" defaultRowHeight="15"/>
  <cols>
    <col min="1" max="13" width="9.140625" style="17"/>
    <col min="14" max="14" width="33.85546875" style="17" customWidth="1"/>
    <col min="15" max="15" width="34.85546875" style="17" customWidth="1"/>
    <col min="16" max="17" width="28" style="17" customWidth="1"/>
    <col min="18" max="16384" width="9.140625" style="17"/>
  </cols>
  <sheetData>
    <row r="1" spans="1:9" ht="15.75">
      <c r="A1" s="2016" t="s">
        <v>9</v>
      </c>
      <c r="B1" s="2016"/>
      <c r="C1" s="2016"/>
      <c r="D1" s="2016"/>
      <c r="E1" s="2016"/>
      <c r="F1" s="2016"/>
      <c r="G1" s="2016"/>
      <c r="H1" s="2016"/>
      <c r="I1" s="2016"/>
    </row>
    <row r="5" spans="1:9">
      <c r="G5" s="17" t="s">
        <v>80</v>
      </c>
    </row>
    <row r="17" spans="14:16" ht="15.75" thickBot="1"/>
    <row r="18" spans="14:16">
      <c r="N18" s="2038" t="s">
        <v>59</v>
      </c>
      <c r="O18" s="2039"/>
    </row>
    <row r="19" spans="14:16">
      <c r="N19" s="2040"/>
      <c r="O19" s="2041"/>
    </row>
    <row r="20" spans="14:16" ht="15.75" thickBot="1">
      <c r="N20" s="2042"/>
      <c r="O20" s="2043"/>
    </row>
    <row r="21" spans="14:16" ht="15.75" thickBot="1">
      <c r="N21" s="1190"/>
      <c r="O21" s="1190"/>
    </row>
    <row r="22" spans="14:16" ht="16.5" thickBot="1">
      <c r="N22" s="1188" t="s">
        <v>20</v>
      </c>
      <c r="O22" s="1189"/>
    </row>
    <row r="23" spans="14:16" ht="16.5" customHeight="1" thickBot="1">
      <c r="N23" s="1190"/>
      <c r="O23" s="1190"/>
    </row>
    <row r="24" spans="14:16" ht="15" customHeight="1" thickBot="1">
      <c r="N24" s="2045" t="s">
        <v>15</v>
      </c>
      <c r="O24" s="2046"/>
      <c r="P24" s="24"/>
    </row>
    <row r="25" spans="14:16" ht="15" customHeight="1">
      <c r="N25" s="25" t="s">
        <v>18</v>
      </c>
      <c r="O25" s="26" t="s">
        <v>19</v>
      </c>
    </row>
    <row r="26" spans="14:16" ht="15" customHeight="1">
      <c r="N26" s="27" t="s">
        <v>14</v>
      </c>
      <c r="O26" s="132">
        <v>2</v>
      </c>
    </row>
    <row r="27" spans="14:16" ht="15" customHeight="1" thickBot="1">
      <c r="N27" s="28" t="s">
        <v>16</v>
      </c>
      <c r="O27" s="133">
        <v>1.8</v>
      </c>
    </row>
    <row r="28" spans="14:16" ht="15" customHeight="1" thickBot="1">
      <c r="N28" s="2047" t="s">
        <v>17</v>
      </c>
      <c r="O28" s="2048"/>
    </row>
    <row r="29" spans="14:16" ht="15" customHeight="1">
      <c r="N29" s="29" t="s">
        <v>18</v>
      </c>
      <c r="O29" s="30" t="s">
        <v>19</v>
      </c>
    </row>
    <row r="30" spans="14:16" ht="15.75" customHeight="1">
      <c r="N30" s="31" t="s">
        <v>14</v>
      </c>
      <c r="O30" s="134">
        <v>1.9</v>
      </c>
    </row>
    <row r="31" spans="14:16" ht="16.5" thickBot="1">
      <c r="N31" s="32" t="s">
        <v>16</v>
      </c>
      <c r="O31" s="135">
        <v>1.7</v>
      </c>
    </row>
    <row r="32" spans="14:16" ht="15.75">
      <c r="N32" s="1190" t="s">
        <v>38</v>
      </c>
      <c r="O32" s="165"/>
    </row>
    <row r="33" spans="14:15">
      <c r="N33" s="1191" t="s">
        <v>464</v>
      </c>
      <c r="O33" s="1191"/>
    </row>
    <row r="34" spans="14:15" ht="15.75">
      <c r="N34" s="86" t="s">
        <v>5800</v>
      </c>
      <c r="O34" s="165"/>
    </row>
    <row r="35" spans="14:15" ht="16.5" customHeight="1" thickBot="1">
      <c r="N35" s="1190"/>
      <c r="O35" s="1190"/>
    </row>
    <row r="36" spans="14:15" ht="15" customHeight="1" thickBot="1">
      <c r="N36" s="2045" t="s">
        <v>471</v>
      </c>
      <c r="O36" s="2046"/>
    </row>
    <row r="37" spans="14:15" ht="15" customHeight="1" thickBot="1">
      <c r="N37" s="170" t="s">
        <v>1</v>
      </c>
      <c r="O37" s="1192" t="s">
        <v>472</v>
      </c>
    </row>
    <row r="38" spans="14:15" ht="18" customHeight="1">
      <c r="N38" s="960">
        <v>160</v>
      </c>
      <c r="O38" s="1193">
        <v>2700</v>
      </c>
    </row>
    <row r="39" spans="14:15" ht="18" customHeight="1">
      <c r="N39" s="219">
        <v>200</v>
      </c>
      <c r="O39" s="1194">
        <v>3000</v>
      </c>
    </row>
    <row r="40" spans="14:15" ht="18" customHeight="1">
      <c r="N40" s="219">
        <v>260</v>
      </c>
      <c r="O40" s="1194">
        <v>3900</v>
      </c>
    </row>
    <row r="41" spans="14:15" ht="18" customHeight="1">
      <c r="N41" s="219">
        <v>300</v>
      </c>
      <c r="O41" s="1194">
        <v>4200</v>
      </c>
    </row>
    <row r="42" spans="14:15" ht="18" customHeight="1">
      <c r="N42" s="219">
        <v>360</v>
      </c>
      <c r="O42" s="1194">
        <v>5400</v>
      </c>
    </row>
    <row r="43" spans="14:15" ht="18" customHeight="1" thickBot="1">
      <c r="N43" s="220">
        <v>400</v>
      </c>
      <c r="O43" s="1195">
        <v>5700</v>
      </c>
    </row>
    <row r="44" spans="14:15">
      <c r="N44" s="1190" t="s">
        <v>473</v>
      </c>
      <c r="O44" s="1190"/>
    </row>
    <row r="45" spans="14:15">
      <c r="N45" s="1190" t="s">
        <v>474</v>
      </c>
      <c r="O45" s="1190"/>
    </row>
    <row r="46" spans="14:15">
      <c r="N46" s="86"/>
      <c r="O46" s="1190"/>
    </row>
    <row r="47" spans="14:15">
      <c r="N47" s="86"/>
    </row>
    <row r="48" spans="14:15">
      <c r="N48" s="86"/>
    </row>
    <row r="49" spans="14:16" ht="15.75" thickBot="1">
      <c r="N49" s="86"/>
    </row>
    <row r="50" spans="14:16" ht="16.5" thickBot="1">
      <c r="N50" s="2036" t="s">
        <v>83</v>
      </c>
      <c r="O50" s="2037"/>
    </row>
    <row r="51" spans="14:16" ht="15.75">
      <c r="N51" s="2044" t="s">
        <v>85</v>
      </c>
      <c r="O51" s="2044"/>
    </row>
    <row r="52" spans="14:16" ht="15.75">
      <c r="N52" s="160"/>
      <c r="O52" s="160"/>
    </row>
    <row r="53" spans="14:16" ht="15.75">
      <c r="N53" s="160"/>
      <c r="O53" s="160"/>
    </row>
    <row r="54" spans="14:16" ht="15.75">
      <c r="N54" s="160"/>
      <c r="O54" s="160"/>
    </row>
    <row r="55" spans="14:16" ht="15.75">
      <c r="N55" s="160"/>
      <c r="O55" s="160"/>
    </row>
    <row r="56" spans="14:16" ht="15.75">
      <c r="N56" s="160"/>
      <c r="O56" s="160"/>
    </row>
    <row r="57" spans="14:16" ht="15.75">
      <c r="N57" s="160"/>
      <c r="O57" s="160"/>
    </row>
    <row r="59" spans="14:16">
      <c r="N59" s="86"/>
    </row>
    <row r="60" spans="14:16" ht="15.75" thickBot="1">
      <c r="N60" s="86"/>
    </row>
    <row r="61" spans="14:16" ht="16.5" thickBot="1">
      <c r="N61" s="2036" t="s">
        <v>84</v>
      </c>
      <c r="O61" s="2037"/>
    </row>
    <row r="62" spans="14:16" ht="15.75">
      <c r="N62" s="2044" t="s">
        <v>86</v>
      </c>
      <c r="O62" s="2044"/>
    </row>
    <row r="63" spans="14:16" ht="16.5" thickBot="1">
      <c r="N63" s="2052"/>
      <c r="O63" s="2053"/>
      <c r="P63" s="161"/>
    </row>
    <row r="64" spans="14:16" ht="15.75">
      <c r="N64" s="44" t="s">
        <v>24</v>
      </c>
      <c r="O64" s="45" t="s">
        <v>30</v>
      </c>
      <c r="P64" s="162"/>
    </row>
    <row r="65" spans="4:17" ht="15.75">
      <c r="N65" s="27" t="s">
        <v>157</v>
      </c>
      <c r="O65" s="1963">
        <v>28000</v>
      </c>
      <c r="P65" s="162"/>
    </row>
    <row r="66" spans="4:17" ht="16.5" thickBot="1">
      <c r="N66" s="28" t="s">
        <v>31</v>
      </c>
      <c r="O66" s="137">
        <v>38000</v>
      </c>
      <c r="P66" s="162"/>
    </row>
    <row r="67" spans="4:17" ht="15.75">
      <c r="N67" s="164"/>
      <c r="O67" s="164"/>
      <c r="P67" s="163"/>
    </row>
    <row r="68" spans="4:17">
      <c r="N68" s="2054" t="s">
        <v>587</v>
      </c>
      <c r="O68" s="2054"/>
    </row>
    <row r="69" spans="4:17">
      <c r="N69" s="2055"/>
      <c r="O69" s="2055"/>
    </row>
    <row r="70" spans="4:17">
      <c r="N70" s="2055"/>
      <c r="O70" s="2055"/>
    </row>
    <row r="71" spans="4:17">
      <c r="N71" s="2055"/>
      <c r="O71" s="2055"/>
    </row>
    <row r="72" spans="4:17">
      <c r="N72" s="2055"/>
      <c r="O72" s="2055"/>
    </row>
    <row r="73" spans="4:17">
      <c r="N73" s="2055"/>
      <c r="O73" s="2055"/>
    </row>
    <row r="74" spans="4:17" ht="15.75" thickBot="1">
      <c r="Q74" s="155"/>
    </row>
    <row r="75" spans="4:17" ht="16.5" thickBot="1">
      <c r="D75" s="2049" t="s">
        <v>607</v>
      </c>
      <c r="E75" s="2050"/>
      <c r="F75" s="2050"/>
      <c r="G75" s="2050"/>
      <c r="H75" s="2050"/>
      <c r="I75" s="2050"/>
      <c r="J75" s="2050"/>
      <c r="K75" s="2050"/>
      <c r="L75" s="2051"/>
      <c r="N75" s="2036" t="s">
        <v>37</v>
      </c>
      <c r="O75" s="2037"/>
      <c r="Q75" s="156"/>
    </row>
    <row r="76" spans="4:17" ht="15.75" thickBot="1">
      <c r="Q76" s="156"/>
    </row>
    <row r="77" spans="4:17" ht="16.5" thickBot="1">
      <c r="N77" s="139" t="s">
        <v>75</v>
      </c>
      <c r="O77" s="140"/>
      <c r="Q77" s="156"/>
    </row>
    <row r="78" spans="4:17" ht="15.75">
      <c r="N78" s="150" t="s">
        <v>76</v>
      </c>
      <c r="O78" s="151" t="s">
        <v>36</v>
      </c>
      <c r="Q78" s="156"/>
    </row>
    <row r="79" spans="4:17" ht="15.75">
      <c r="N79" s="27" t="s">
        <v>77</v>
      </c>
      <c r="O79" s="153">
        <v>20</v>
      </c>
      <c r="Q79" s="156"/>
    </row>
    <row r="80" spans="4:17" ht="47.25">
      <c r="N80" s="141" t="s">
        <v>78</v>
      </c>
      <c r="O80" s="153">
        <v>15</v>
      </c>
      <c r="Q80" s="156"/>
    </row>
    <row r="81" spans="14:20" ht="48" thickBot="1">
      <c r="N81" s="152" t="s">
        <v>79</v>
      </c>
      <c r="O81" s="154">
        <v>10</v>
      </c>
      <c r="Q81" s="156"/>
      <c r="R81" s="155"/>
      <c r="S81" s="155"/>
      <c r="T81" s="155"/>
    </row>
    <row r="82" spans="14:20">
      <c r="Q82" s="156"/>
      <c r="R82" s="155"/>
      <c r="S82" s="155"/>
      <c r="T82" s="155"/>
    </row>
    <row r="83" spans="14:20">
      <c r="N83" s="1290" t="s">
        <v>150</v>
      </c>
      <c r="Q83" s="156"/>
      <c r="R83" s="155"/>
      <c r="S83" s="155"/>
      <c r="T83" s="155"/>
    </row>
    <row r="84" spans="14:20">
      <c r="N84" s="1290" t="s">
        <v>5813</v>
      </c>
      <c r="Q84" s="156"/>
      <c r="R84" s="155"/>
      <c r="S84" s="155"/>
      <c r="T84" s="155"/>
    </row>
    <row r="85" spans="14:20">
      <c r="N85" s="86" t="s">
        <v>5801</v>
      </c>
      <c r="Q85" s="156"/>
      <c r="R85" s="155"/>
      <c r="S85" s="155"/>
      <c r="T85" s="155"/>
    </row>
    <row r="86" spans="14:20">
      <c r="Q86" s="156"/>
      <c r="R86" s="155"/>
      <c r="S86" s="155"/>
      <c r="T86" s="155"/>
    </row>
    <row r="87" spans="14:20" s="1290" customFormat="1">
      <c r="Q87" s="156"/>
      <c r="R87" s="155"/>
      <c r="S87" s="155"/>
      <c r="T87" s="155"/>
    </row>
    <row r="88" spans="14:20" s="1290" customFormat="1">
      <c r="Q88" s="156"/>
      <c r="R88" s="155"/>
      <c r="S88" s="155"/>
      <c r="T88" s="155"/>
    </row>
    <row r="89" spans="14:20" s="1290" customFormat="1">
      <c r="Q89" s="156"/>
      <c r="R89" s="155"/>
      <c r="S89" s="155"/>
      <c r="T89" s="155"/>
    </row>
    <row r="90" spans="14:20">
      <c r="Q90" s="156"/>
      <c r="R90" s="155"/>
      <c r="S90" s="155"/>
      <c r="T90" s="155"/>
    </row>
    <row r="91" spans="14:20" ht="16.5" customHeight="1">
      <c r="Q91" s="156"/>
      <c r="R91" s="155"/>
      <c r="S91" s="155"/>
      <c r="T91" s="155"/>
    </row>
    <row r="92" spans="14:20">
      <c r="Q92" s="156"/>
      <c r="R92" s="155"/>
      <c r="S92" s="155"/>
      <c r="T92" s="155"/>
    </row>
    <row r="93" spans="14:20">
      <c r="Q93" s="156"/>
      <c r="R93" s="155"/>
      <c r="S93" s="155"/>
      <c r="T93" s="155"/>
    </row>
    <row r="94" spans="14:20" s="1197" customFormat="1" ht="102.75" customHeight="1" thickBot="1">
      <c r="Q94" s="156"/>
      <c r="R94" s="155"/>
      <c r="S94" s="155"/>
      <c r="T94" s="155"/>
    </row>
    <row r="95" spans="14:20" ht="16.5" thickBot="1">
      <c r="N95" s="2036" t="s">
        <v>88</v>
      </c>
      <c r="O95" s="2037"/>
      <c r="Q95" s="156"/>
      <c r="R95" s="155"/>
      <c r="S95" s="155"/>
      <c r="T95" s="155"/>
    </row>
    <row r="96" spans="14:20" ht="15.75" thickBot="1">
      <c r="Q96" s="156"/>
      <c r="R96" s="155"/>
      <c r="S96" s="155"/>
      <c r="T96" s="155"/>
    </row>
    <row r="97" spans="14:20" ht="31.5">
      <c r="N97" s="171" t="s">
        <v>89</v>
      </c>
      <c r="O97" s="172" t="s">
        <v>91</v>
      </c>
      <c r="Q97" s="156"/>
      <c r="R97" s="155"/>
      <c r="S97" s="155"/>
      <c r="T97" s="155"/>
    </row>
    <row r="98" spans="14:20" ht="31.5">
      <c r="N98" s="966" t="s">
        <v>90</v>
      </c>
      <c r="O98" s="967" t="s">
        <v>92</v>
      </c>
      <c r="Q98" s="156"/>
      <c r="R98" s="155"/>
      <c r="S98" s="155"/>
      <c r="T98" s="155"/>
    </row>
    <row r="99" spans="14:20" ht="32.25" thickBot="1">
      <c r="N99" s="964" t="s">
        <v>397</v>
      </c>
      <c r="O99" s="965" t="s">
        <v>412</v>
      </c>
      <c r="Q99" s="155"/>
      <c r="R99" s="155"/>
      <c r="S99" s="155"/>
      <c r="T99" s="155"/>
    </row>
    <row r="100" spans="14:20" ht="15.75" thickBot="1">
      <c r="N100" s="1243" t="s">
        <v>528</v>
      </c>
      <c r="Q100" s="155"/>
      <c r="R100" s="155"/>
      <c r="S100" s="155"/>
      <c r="T100" s="155"/>
    </row>
    <row r="101" spans="14:20" ht="16.5" thickBot="1">
      <c r="N101" s="2036" t="s">
        <v>39</v>
      </c>
      <c r="O101" s="2037"/>
      <c r="R101" s="155"/>
      <c r="S101" s="155"/>
      <c r="T101" s="155"/>
    </row>
    <row r="102" spans="14:20" ht="15.75" thickBot="1">
      <c r="R102" s="155"/>
      <c r="S102" s="155"/>
      <c r="T102" s="155"/>
    </row>
    <row r="103" spans="14:20" s="1219" customFormat="1" ht="15.75">
      <c r="N103" s="1196" t="s">
        <v>41</v>
      </c>
      <c r="O103" s="2078" t="s">
        <v>30</v>
      </c>
      <c r="P103" s="2079"/>
      <c r="R103" s="155"/>
      <c r="S103" s="155"/>
      <c r="T103" s="155"/>
    </row>
    <row r="104" spans="14:20" ht="16.5" thickBot="1">
      <c r="N104" s="1224" t="s">
        <v>40</v>
      </c>
      <c r="O104" s="2080">
        <v>7000</v>
      </c>
      <c r="P104" s="2081"/>
      <c r="R104" s="155"/>
      <c r="S104" s="155"/>
      <c r="T104" s="155"/>
    </row>
    <row r="105" spans="14:20" ht="16.5" thickBot="1">
      <c r="N105" s="2082" t="s">
        <v>475</v>
      </c>
      <c r="O105" s="2083"/>
      <c r="P105" s="2084"/>
      <c r="Q105" s="221"/>
      <c r="R105" s="221"/>
      <c r="S105" s="221"/>
      <c r="T105" s="155"/>
    </row>
    <row r="106" spans="14:20" ht="15.75">
      <c r="N106" s="2085" t="s">
        <v>2</v>
      </c>
      <c r="O106" s="1225" t="s">
        <v>30</v>
      </c>
      <c r="P106" s="1226" t="s">
        <v>30</v>
      </c>
      <c r="Q106" s="221"/>
      <c r="R106" s="221"/>
      <c r="S106" s="221"/>
      <c r="T106" s="155"/>
    </row>
    <row r="107" spans="14:20" ht="15.75">
      <c r="N107" s="2086"/>
      <c r="O107" s="1218" t="s">
        <v>510</v>
      </c>
      <c r="P107" s="1227" t="s">
        <v>527</v>
      </c>
      <c r="Q107" s="221"/>
      <c r="R107" s="221"/>
      <c r="S107" s="221"/>
      <c r="T107" s="155"/>
    </row>
    <row r="108" spans="14:20" ht="15.75">
      <c r="N108" s="1228" t="s">
        <v>476</v>
      </c>
      <c r="O108" s="1229">
        <v>3750</v>
      </c>
      <c r="P108" s="1230">
        <v>5000</v>
      </c>
      <c r="Q108" s="221"/>
      <c r="R108" s="221"/>
      <c r="S108" s="221"/>
      <c r="T108" s="155"/>
    </row>
    <row r="109" spans="14:20" ht="15.75">
      <c r="N109" s="1228" t="s">
        <v>511</v>
      </c>
      <c r="O109" s="1229">
        <v>7500</v>
      </c>
      <c r="P109" s="1230">
        <v>10000</v>
      </c>
      <c r="Q109" s="221"/>
      <c r="R109" s="221"/>
      <c r="S109" s="221"/>
      <c r="T109" s="155"/>
    </row>
    <row r="110" spans="14:20" ht="15.75">
      <c r="N110" s="1228" t="s">
        <v>512</v>
      </c>
      <c r="O110" s="1229">
        <v>11250</v>
      </c>
      <c r="P110" s="1230">
        <v>15000</v>
      </c>
      <c r="Q110" s="221"/>
      <c r="R110" s="221"/>
      <c r="S110" s="221"/>
      <c r="T110" s="155"/>
    </row>
    <row r="111" spans="14:20" ht="15.75">
      <c r="N111" s="1228" t="s">
        <v>513</v>
      </c>
      <c r="O111" s="1229">
        <v>15000</v>
      </c>
      <c r="P111" s="1230">
        <v>20000</v>
      </c>
      <c r="Q111" s="221"/>
      <c r="R111" s="221"/>
      <c r="S111" s="221"/>
      <c r="T111" s="155"/>
    </row>
    <row r="112" spans="14:20" ht="16.5" thickBot="1">
      <c r="N112" s="1231" t="s">
        <v>514</v>
      </c>
      <c r="O112" s="1232">
        <v>18750</v>
      </c>
      <c r="P112" s="1233">
        <v>25000</v>
      </c>
      <c r="Q112" s="221"/>
      <c r="R112" s="221"/>
      <c r="S112" s="221"/>
      <c r="T112" s="155"/>
    </row>
    <row r="113" spans="14:20">
      <c r="N113" s="86" t="s">
        <v>141</v>
      </c>
      <c r="R113" s="155"/>
      <c r="S113" s="155"/>
      <c r="T113" s="155"/>
    </row>
    <row r="114" spans="14:20">
      <c r="N114" s="86" t="s">
        <v>99</v>
      </c>
      <c r="R114" s="155"/>
    </row>
    <row r="115" spans="14:20">
      <c r="N115" s="86" t="s">
        <v>142</v>
      </c>
      <c r="R115" s="155"/>
    </row>
    <row r="116" spans="14:20">
      <c r="N116" s="962" t="s">
        <v>396</v>
      </c>
    </row>
    <row r="118" spans="14:20" ht="15.75" thickBot="1"/>
    <row r="119" spans="14:20" ht="16.5" thickBot="1">
      <c r="N119" s="2036" t="s">
        <v>61</v>
      </c>
      <c r="O119" s="2037"/>
    </row>
    <row r="120" spans="14:20" ht="15.75" thickBot="1"/>
    <row r="121" spans="14:20" ht="15.75">
      <c r="N121" s="44" t="s">
        <v>41</v>
      </c>
      <c r="O121" s="45" t="s">
        <v>30</v>
      </c>
    </row>
    <row r="122" spans="14:20" ht="15.75">
      <c r="N122" s="173" t="s">
        <v>73</v>
      </c>
      <c r="O122" s="136">
        <v>5500</v>
      </c>
    </row>
    <row r="123" spans="14:20" ht="16.5" thickBot="1">
      <c r="N123" s="138" t="s">
        <v>74</v>
      </c>
      <c r="O123" s="137">
        <v>7500</v>
      </c>
    </row>
    <row r="125" spans="14:20">
      <c r="N125" s="17" t="s">
        <v>64</v>
      </c>
    </row>
    <row r="126" spans="14:20" ht="30.75" customHeight="1">
      <c r="N126" s="2029" t="s">
        <v>465</v>
      </c>
      <c r="O126" s="2029"/>
      <c r="P126" s="2029"/>
      <c r="Q126" s="2029"/>
      <c r="R126" s="1247"/>
      <c r="S126" s="1247"/>
      <c r="T126" s="1247"/>
    </row>
    <row r="127" spans="14:20">
      <c r="N127" s="2029" t="s">
        <v>533</v>
      </c>
      <c r="O127" s="2029"/>
      <c r="P127" s="2029"/>
      <c r="Q127" s="2029"/>
    </row>
    <row r="128" spans="14:20">
      <c r="N128" s="2029"/>
      <c r="O128" s="2029"/>
      <c r="P128" s="2029"/>
      <c r="Q128" s="2029"/>
    </row>
    <row r="129" spans="14:15">
      <c r="N129" s="86" t="s">
        <v>72</v>
      </c>
    </row>
    <row r="134" spans="14:15" ht="15.75" thickBot="1"/>
    <row r="135" spans="14:15" ht="16.5" thickBot="1">
      <c r="N135" s="2036" t="s">
        <v>44</v>
      </c>
      <c r="O135" s="2037"/>
    </row>
    <row r="136" spans="14:15" ht="15.75" thickBot="1"/>
    <row r="137" spans="14:15" ht="15.75">
      <c r="N137" s="44" t="s">
        <v>41</v>
      </c>
      <c r="O137" s="45" t="s">
        <v>30</v>
      </c>
    </row>
    <row r="138" spans="14:15" ht="15.75">
      <c r="N138" s="27" t="s">
        <v>42</v>
      </c>
      <c r="O138" s="1963">
        <v>22500</v>
      </c>
    </row>
    <row r="139" spans="14:15" ht="16.5" thickBot="1">
      <c r="N139" s="28" t="s">
        <v>43</v>
      </c>
      <c r="O139" s="137">
        <v>29500</v>
      </c>
    </row>
    <row r="141" spans="14:15">
      <c r="N141" s="2056" t="s">
        <v>5814</v>
      </c>
      <c r="O141" s="2056"/>
    </row>
    <row r="142" spans="14:15">
      <c r="N142" s="2056"/>
      <c r="O142" s="2056"/>
    </row>
    <row r="143" spans="14:15">
      <c r="N143" s="2056"/>
      <c r="O143" s="2056"/>
    </row>
    <row r="144" spans="14:15">
      <c r="N144" s="2056"/>
      <c r="O144" s="2056"/>
    </row>
    <row r="145" spans="14:16">
      <c r="N145" s="2056"/>
      <c r="O145" s="2056"/>
    </row>
    <row r="146" spans="14:16">
      <c r="N146" s="2056"/>
      <c r="O146" s="2056"/>
    </row>
    <row r="147" spans="14:16">
      <c r="N147" s="2056"/>
      <c r="O147" s="2056"/>
    </row>
    <row r="150" spans="14:16" ht="15.75" thickBot="1"/>
    <row r="151" spans="14:16" ht="16.5" thickBot="1">
      <c r="N151" s="2036" t="s">
        <v>182</v>
      </c>
      <c r="O151" s="2037"/>
    </row>
    <row r="152" spans="14:16" ht="15.75" thickBot="1"/>
    <row r="153" spans="14:16" ht="15.75">
      <c r="N153" s="44" t="s">
        <v>24</v>
      </c>
      <c r="O153" s="45" t="s">
        <v>30</v>
      </c>
    </row>
    <row r="154" spans="14:16" ht="15.75">
      <c r="N154" s="27" t="s">
        <v>32</v>
      </c>
      <c r="O154" s="1963">
        <v>13500</v>
      </c>
    </row>
    <row r="155" spans="14:16" ht="16.5" thickBot="1">
      <c r="N155" s="28" t="s">
        <v>31</v>
      </c>
      <c r="O155" s="137">
        <v>19000</v>
      </c>
      <c r="P155" s="93"/>
    </row>
    <row r="157" spans="14:16">
      <c r="N157" s="2056" t="s">
        <v>95</v>
      </c>
      <c r="O157" s="2056"/>
    </row>
    <row r="158" spans="14:16">
      <c r="N158" s="2056"/>
      <c r="O158" s="2056"/>
    </row>
    <row r="159" spans="14:16">
      <c r="N159" s="2056"/>
      <c r="O159" s="2056"/>
    </row>
    <row r="160" spans="14:16">
      <c r="N160" s="2056"/>
      <c r="O160" s="2056"/>
    </row>
    <row r="161" spans="14:19">
      <c r="N161" s="2056"/>
      <c r="O161" s="2056"/>
    </row>
    <row r="162" spans="14:19">
      <c r="N162" s="2056"/>
      <c r="O162" s="2056"/>
    </row>
    <row r="163" spans="14:19">
      <c r="N163" s="2056"/>
      <c r="O163" s="2056"/>
    </row>
    <row r="166" spans="14:19">
      <c r="N166" s="1304"/>
      <c r="O166" s="1304"/>
      <c r="P166" s="1304"/>
      <c r="Q166" s="1304"/>
    </row>
    <row r="168" spans="14:19" ht="15.75" thickBot="1"/>
    <row r="169" spans="14:19" s="1246" customFormat="1">
      <c r="N169" s="2030" t="s">
        <v>534</v>
      </c>
      <c r="O169" s="2031"/>
      <c r="R169" s="1248"/>
      <c r="S169" s="1248"/>
    </row>
    <row r="170" spans="14:19" s="1246" customFormat="1" ht="15.75" thickBot="1">
      <c r="N170" s="2032"/>
      <c r="O170" s="2033"/>
      <c r="R170" s="1248"/>
      <c r="S170" s="1248"/>
    </row>
    <row r="171" spans="14:19" s="1246" customFormat="1" ht="28.5" customHeight="1">
      <c r="N171" s="2034" t="s">
        <v>24</v>
      </c>
      <c r="O171" s="1300" t="s">
        <v>487</v>
      </c>
      <c r="P171" s="1301"/>
      <c r="Q171" s="1301"/>
      <c r="R171" s="1301"/>
      <c r="S171" s="1248"/>
    </row>
    <row r="172" spans="14:19" s="1246" customFormat="1" ht="16.5" thickBot="1">
      <c r="N172" s="2035"/>
      <c r="O172" s="1198" t="s">
        <v>478</v>
      </c>
      <c r="P172" s="1301"/>
      <c r="Q172" s="1301"/>
      <c r="R172" s="1301"/>
      <c r="S172" s="1248"/>
    </row>
    <row r="173" spans="14:19" s="1246" customFormat="1" ht="15.75">
      <c r="N173" s="1249">
        <v>160</v>
      </c>
      <c r="O173" s="1204">
        <v>2.4</v>
      </c>
      <c r="P173" s="1301"/>
      <c r="Q173" s="1301"/>
      <c r="R173" s="1301"/>
      <c r="S173" s="1248"/>
    </row>
    <row r="174" spans="14:19" s="1246" customFormat="1" ht="15.75">
      <c r="N174" s="219">
        <v>200</v>
      </c>
      <c r="O174" s="1202">
        <v>2.5</v>
      </c>
      <c r="P174" s="1301"/>
      <c r="Q174" s="1301"/>
      <c r="R174" s="1301"/>
      <c r="S174" s="1248"/>
    </row>
    <row r="175" spans="14:19" s="1246" customFormat="1" ht="15.75">
      <c r="N175" s="219">
        <v>260</v>
      </c>
      <c r="O175" s="1202">
        <v>2.6</v>
      </c>
      <c r="P175" s="1301"/>
      <c r="Q175" s="1301"/>
      <c r="R175" s="1301"/>
      <c r="S175" s="1248"/>
    </row>
    <row r="176" spans="14:19" s="1246" customFormat="1" ht="15.75">
      <c r="N176" s="219">
        <v>300</v>
      </c>
      <c r="O176" s="1202">
        <v>2.7</v>
      </c>
      <c r="P176" s="1301"/>
      <c r="Q176" s="1301"/>
      <c r="R176" s="1301"/>
      <c r="S176" s="1248"/>
    </row>
    <row r="177" spans="14:19" ht="15.75">
      <c r="N177" s="219">
        <v>360</v>
      </c>
      <c r="O177" s="1202">
        <v>2.9</v>
      </c>
      <c r="P177" s="1301"/>
      <c r="Q177" s="1301"/>
      <c r="R177" s="1301"/>
      <c r="S177" s="1248"/>
    </row>
    <row r="178" spans="14:19" s="1246" customFormat="1" ht="16.5" thickBot="1">
      <c r="N178" s="220">
        <v>400</v>
      </c>
      <c r="O178" s="1203">
        <v>3</v>
      </c>
      <c r="P178" s="1301"/>
      <c r="Q178" s="1301"/>
      <c r="R178" s="1301"/>
      <c r="S178" s="1248"/>
    </row>
    <row r="179" spans="14:19" s="1246" customFormat="1" ht="15.75" thickBot="1">
      <c r="R179" s="1248"/>
      <c r="S179" s="1248"/>
    </row>
    <row r="180" spans="14:19" s="1246" customFormat="1">
      <c r="N180" s="2030" t="s">
        <v>535</v>
      </c>
      <c r="O180" s="2031"/>
      <c r="R180" s="1248"/>
      <c r="S180" s="1248"/>
    </row>
    <row r="181" spans="14:19" s="1246" customFormat="1" ht="15.75" thickBot="1">
      <c r="N181" s="2062"/>
      <c r="O181" s="2063"/>
      <c r="R181" s="1248"/>
      <c r="S181" s="1248"/>
    </row>
    <row r="182" spans="14:19" ht="29.25" customHeight="1">
      <c r="N182" s="2034" t="s">
        <v>24</v>
      </c>
      <c r="O182" s="1300" t="s">
        <v>536</v>
      </c>
      <c r="P182" s="1301"/>
      <c r="Q182" s="1301"/>
      <c r="R182" s="1248"/>
      <c r="S182" s="1248"/>
    </row>
    <row r="183" spans="14:19" ht="16.5" thickBot="1">
      <c r="N183" s="2035"/>
      <c r="O183" s="1198" t="s">
        <v>478</v>
      </c>
      <c r="P183" s="1301"/>
      <c r="Q183" s="1301"/>
      <c r="R183" s="1248"/>
      <c r="S183" s="1248"/>
    </row>
    <row r="184" spans="14:19" ht="15.75">
      <c r="N184" s="1249">
        <v>160</v>
      </c>
      <c r="O184" s="1204">
        <v>2.4</v>
      </c>
      <c r="P184" s="1301"/>
      <c r="Q184" s="1301"/>
      <c r="R184" s="1248"/>
      <c r="S184" s="1248"/>
    </row>
    <row r="185" spans="14:19" ht="15.75">
      <c r="N185" s="219">
        <v>200</v>
      </c>
      <c r="O185" s="1202">
        <v>2.5</v>
      </c>
      <c r="P185" s="1301"/>
      <c r="Q185" s="1301"/>
      <c r="R185" s="1248"/>
      <c r="S185" s="1248"/>
    </row>
    <row r="186" spans="14:19" ht="15.75">
      <c r="N186" s="219">
        <v>260</v>
      </c>
      <c r="O186" s="1202">
        <v>2.6</v>
      </c>
      <c r="P186" s="1301"/>
      <c r="Q186" s="1301"/>
    </row>
    <row r="187" spans="14:19" ht="16.5" customHeight="1" thickBot="1">
      <c r="N187" s="220">
        <v>300</v>
      </c>
      <c r="O187" s="1203">
        <v>2.7</v>
      </c>
      <c r="P187" s="1301"/>
      <c r="Q187" s="1301"/>
    </row>
    <row r="188" spans="14:19">
      <c r="N188" s="86" t="s">
        <v>153</v>
      </c>
    </row>
    <row r="189" spans="14:19" s="1201" customFormat="1" ht="15.75" thickBot="1">
      <c r="N189" s="86"/>
    </row>
    <row r="190" spans="14:19" s="1201" customFormat="1" ht="16.5" thickBot="1">
      <c r="N190" s="2036" t="s">
        <v>93</v>
      </c>
      <c r="O190" s="2037"/>
    </row>
    <row r="191" spans="14:19" s="1201" customFormat="1" ht="15.75" thickBot="1">
      <c r="N191" s="17"/>
      <c r="O191" s="17"/>
    </row>
    <row r="192" spans="14:19" s="1201" customFormat="1" ht="32.25" thickBot="1">
      <c r="N192" s="1167" t="s">
        <v>87</v>
      </c>
      <c r="O192" s="1245">
        <v>1</v>
      </c>
    </row>
    <row r="193" spans="14:15" s="1201" customFormat="1" ht="95.25" thickBot="1">
      <c r="N193" s="174" t="s">
        <v>531</v>
      </c>
      <c r="O193" s="963">
        <v>0.6</v>
      </c>
    </row>
    <row r="194" spans="14:15" s="1201" customFormat="1" ht="95.25" thickBot="1">
      <c r="N194" s="174" t="s">
        <v>532</v>
      </c>
      <c r="O194" s="963">
        <v>1</v>
      </c>
    </row>
    <row r="195" spans="14:15" s="1402" customFormat="1" ht="15.75" thickBot="1"/>
    <row r="196" spans="14:15" s="1966" customFormat="1" ht="16.5" thickBot="1">
      <c r="N196" s="2036" t="s">
        <v>5797</v>
      </c>
      <c r="O196" s="2037"/>
    </row>
    <row r="197" spans="14:15" s="1966" customFormat="1" ht="47.25">
      <c r="N197" s="2064" t="s">
        <v>24</v>
      </c>
      <c r="O197" s="1300" t="s">
        <v>5799</v>
      </c>
    </row>
    <row r="198" spans="14:15" s="1966" customFormat="1" ht="16.5" thickBot="1">
      <c r="N198" s="2065"/>
      <c r="O198" s="1198" t="s">
        <v>478</v>
      </c>
    </row>
    <row r="199" spans="14:15" s="1966" customFormat="1" ht="15.75">
      <c r="N199" s="1249">
        <v>160</v>
      </c>
      <c r="O199" s="2066" t="s">
        <v>5798</v>
      </c>
    </row>
    <row r="200" spans="14:15" s="1966" customFormat="1" ht="15.75">
      <c r="N200" s="219">
        <v>200</v>
      </c>
      <c r="O200" s="2067"/>
    </row>
    <row r="201" spans="14:15" s="1966" customFormat="1" ht="15.75">
      <c r="N201" s="219">
        <v>260</v>
      </c>
      <c r="O201" s="2067"/>
    </row>
    <row r="202" spans="14:15" s="1966" customFormat="1" ht="15.75">
      <c r="N202" s="219">
        <v>300</v>
      </c>
      <c r="O202" s="2067"/>
    </row>
    <row r="203" spans="14:15" s="1966" customFormat="1" ht="15.75">
      <c r="N203" s="219">
        <v>360</v>
      </c>
      <c r="O203" s="2067"/>
    </row>
    <row r="204" spans="14:15" s="1966" customFormat="1" ht="16.5" thickBot="1">
      <c r="N204" s="220">
        <v>400</v>
      </c>
      <c r="O204" s="2068"/>
    </row>
    <row r="205" spans="14:15" s="1966" customFormat="1" ht="15.75" thickBot="1"/>
    <row r="206" spans="14:15" s="1402" customFormat="1" ht="16.5" thickBot="1">
      <c r="N206" s="2036" t="s">
        <v>5750</v>
      </c>
      <c r="O206" s="2037"/>
    </row>
    <row r="207" spans="14:15" s="1402" customFormat="1" ht="15.75">
      <c r="N207" s="1196" t="s">
        <v>24</v>
      </c>
      <c r="O207" s="1401" t="s">
        <v>5751</v>
      </c>
    </row>
    <row r="208" spans="14:15" s="1402" customFormat="1" ht="15.75">
      <c r="N208" s="27" t="s">
        <v>157</v>
      </c>
      <c r="O208" s="1963">
        <v>1200</v>
      </c>
    </row>
    <row r="209" spans="5:15" s="1402" customFormat="1" ht="16.5" thickBot="1">
      <c r="N209" s="28" t="s">
        <v>31</v>
      </c>
      <c r="O209" s="137">
        <v>1800</v>
      </c>
    </row>
    <row r="210" spans="5:15" s="959" customFormat="1" ht="15.75" thickBot="1"/>
    <row r="211" spans="5:15" s="1208" customFormat="1" ht="39" customHeight="1" thickBot="1">
      <c r="N211" s="2057" t="s">
        <v>463</v>
      </c>
      <c r="O211" s="2058"/>
    </row>
    <row r="212" spans="5:15" s="1208" customFormat="1" ht="39" customHeight="1" thickBot="1">
      <c r="E212" s="1209"/>
      <c r="F212" s="1209"/>
      <c r="G212" s="1209"/>
      <c r="H212" s="1209"/>
      <c r="I212" s="1209"/>
      <c r="J212" s="1209"/>
      <c r="K212" s="1209"/>
      <c r="L212" s="1209"/>
      <c r="N212" s="1167" t="s">
        <v>395</v>
      </c>
      <c r="O212" s="1168">
        <v>0.5</v>
      </c>
    </row>
    <row r="213" spans="5:15" s="1962" customFormat="1" ht="15.75" customHeight="1" thickBot="1"/>
    <row r="214" spans="5:15" s="1962" customFormat="1" ht="34.5" customHeight="1" thickBot="1">
      <c r="N214" s="2057" t="s">
        <v>5794</v>
      </c>
      <c r="O214" s="2058"/>
    </row>
    <row r="215" spans="5:15" s="1962" customFormat="1" ht="37.5" customHeight="1" thickBot="1">
      <c r="N215" s="1167" t="s">
        <v>395</v>
      </c>
      <c r="O215" s="1168">
        <v>0.5</v>
      </c>
    </row>
    <row r="216" spans="5:15" s="1208" customFormat="1" ht="15.75" customHeight="1" thickBot="1"/>
    <row r="217" spans="5:15" s="1208" customFormat="1" ht="40.5" customHeight="1" thickBot="1">
      <c r="E217" s="2087" t="s">
        <v>391</v>
      </c>
      <c r="F217" s="2088"/>
      <c r="G217" s="2088"/>
      <c r="H217" s="2088"/>
      <c r="I217" s="2088"/>
      <c r="J217" s="2088"/>
      <c r="K217" s="2088"/>
      <c r="L217" s="2089"/>
      <c r="N217" s="2057" t="s">
        <v>392</v>
      </c>
      <c r="O217" s="2058"/>
    </row>
    <row r="218" spans="5:15" s="1208" customFormat="1" ht="36" customHeight="1" thickBot="1">
      <c r="E218" s="2093" t="s">
        <v>494</v>
      </c>
      <c r="F218" s="2094"/>
      <c r="G218" s="2094"/>
      <c r="H218" s="2095"/>
      <c r="I218" s="2090" t="s">
        <v>495</v>
      </c>
      <c r="J218" s="2091"/>
      <c r="K218" s="2091"/>
      <c r="L218" s="2092"/>
      <c r="N218" s="170" t="s">
        <v>24</v>
      </c>
      <c r="O218" s="961" t="s">
        <v>395</v>
      </c>
    </row>
    <row r="219" spans="5:15" s="1208" customFormat="1" ht="15.75">
      <c r="E219" s="1210"/>
      <c r="F219" s="1211"/>
      <c r="G219" s="1211"/>
      <c r="H219" s="1212"/>
      <c r="I219" s="1210"/>
      <c r="J219" s="1211"/>
      <c r="K219" s="1211"/>
      <c r="L219" s="1212"/>
      <c r="N219" s="960">
        <v>160</v>
      </c>
      <c r="O219" s="2059">
        <v>1</v>
      </c>
    </row>
    <row r="220" spans="5:15" s="1208" customFormat="1" ht="15.75">
      <c r="E220" s="1210"/>
      <c r="F220" s="1211"/>
      <c r="G220" s="1211"/>
      <c r="H220" s="1212"/>
      <c r="I220" s="1210"/>
      <c r="J220" s="1211"/>
      <c r="K220" s="1211"/>
      <c r="L220" s="1212"/>
      <c r="N220" s="219">
        <v>200</v>
      </c>
      <c r="O220" s="2060"/>
    </row>
    <row r="221" spans="5:15" s="1208" customFormat="1" ht="15.75">
      <c r="E221" s="1210"/>
      <c r="F221" s="1211"/>
      <c r="G221" s="1211"/>
      <c r="H221" s="1212"/>
      <c r="I221" s="1210"/>
      <c r="J221" s="1211"/>
      <c r="K221" s="1211"/>
      <c r="L221" s="1212"/>
      <c r="N221" s="219">
        <v>260</v>
      </c>
      <c r="O221" s="2060"/>
    </row>
    <row r="222" spans="5:15" s="1208" customFormat="1" ht="15.75">
      <c r="E222" s="1210"/>
      <c r="F222" s="1211"/>
      <c r="G222" s="1211"/>
      <c r="H222" s="1212"/>
      <c r="I222" s="1210"/>
      <c r="J222" s="1211"/>
      <c r="K222" s="1211"/>
      <c r="L222" s="1212"/>
      <c r="N222" s="219">
        <v>300</v>
      </c>
      <c r="O222" s="2060"/>
    </row>
    <row r="223" spans="5:15" s="1208" customFormat="1" ht="16.5" thickBot="1">
      <c r="E223" s="1213"/>
      <c r="F223" s="1214"/>
      <c r="G223" s="1214"/>
      <c r="H223" s="1215"/>
      <c r="I223" s="1213"/>
      <c r="J223" s="1214"/>
      <c r="K223" s="1214"/>
      <c r="L223" s="1215"/>
      <c r="N223" s="219">
        <v>360</v>
      </c>
      <c r="O223" s="2060"/>
    </row>
    <row r="224" spans="5:15" s="1208" customFormat="1" ht="19.5" thickBot="1">
      <c r="E224" s="2090" t="s">
        <v>496</v>
      </c>
      <c r="F224" s="2091"/>
      <c r="G224" s="2091"/>
      <c r="H224" s="2092"/>
      <c r="I224" s="2090" t="s">
        <v>497</v>
      </c>
      <c r="J224" s="2091"/>
      <c r="K224" s="2091"/>
      <c r="L224" s="2092"/>
      <c r="N224" s="220">
        <v>400</v>
      </c>
      <c r="O224" s="2061"/>
    </row>
    <row r="225" spans="5:12" s="1208" customFormat="1">
      <c r="E225" s="2069"/>
      <c r="F225" s="2070"/>
      <c r="G225" s="2070"/>
      <c r="H225" s="2071"/>
      <c r="I225" s="2069"/>
      <c r="J225" s="2070"/>
      <c r="K225" s="2070"/>
      <c r="L225" s="2071"/>
    </row>
    <row r="226" spans="5:12" s="1208" customFormat="1">
      <c r="E226" s="2072"/>
      <c r="F226" s="2073"/>
      <c r="G226" s="2073"/>
      <c r="H226" s="2074"/>
      <c r="I226" s="2072"/>
      <c r="J226" s="2073"/>
      <c r="K226" s="2073"/>
      <c r="L226" s="2074"/>
    </row>
    <row r="227" spans="5:12" s="1208" customFormat="1">
      <c r="E227" s="2072"/>
      <c r="F227" s="2073"/>
      <c r="G227" s="2073"/>
      <c r="H227" s="2074"/>
      <c r="I227" s="2072"/>
      <c r="J227" s="2073"/>
      <c r="K227" s="2073"/>
      <c r="L227" s="2074"/>
    </row>
    <row r="228" spans="5:12" s="1208" customFormat="1">
      <c r="E228" s="2072"/>
      <c r="F228" s="2073"/>
      <c r="G228" s="2073"/>
      <c r="H228" s="2074"/>
      <c r="I228" s="2072"/>
      <c r="J228" s="2073"/>
      <c r="K228" s="2073"/>
      <c r="L228" s="2074"/>
    </row>
    <row r="229" spans="5:12" s="1208" customFormat="1" ht="15.75" thickBot="1">
      <c r="E229" s="2075"/>
      <c r="F229" s="2076"/>
      <c r="G229" s="2076"/>
      <c r="H229" s="2077"/>
      <c r="I229" s="2075"/>
      <c r="J229" s="2076"/>
      <c r="K229" s="2076"/>
      <c r="L229" s="2077"/>
    </row>
    <row r="230" spans="5:12" s="1208" customFormat="1" ht="19.5" thickBot="1">
      <c r="E230" s="2090" t="s">
        <v>498</v>
      </c>
      <c r="F230" s="2091"/>
      <c r="G230" s="2091"/>
      <c r="H230" s="2092"/>
      <c r="I230" s="2090" t="s">
        <v>499</v>
      </c>
      <c r="J230" s="2091"/>
      <c r="K230" s="2091"/>
      <c r="L230" s="2092"/>
    </row>
    <row r="231" spans="5:12" s="1208" customFormat="1">
      <c r="E231" s="2072"/>
      <c r="F231" s="2073"/>
      <c r="G231" s="2073"/>
      <c r="H231" s="2074"/>
      <c r="I231" s="2072"/>
      <c r="J231" s="2073"/>
      <c r="K231" s="2073"/>
      <c r="L231" s="2074"/>
    </row>
    <row r="232" spans="5:12" s="1208" customFormat="1">
      <c r="E232" s="2072"/>
      <c r="F232" s="2073"/>
      <c r="G232" s="2073"/>
      <c r="H232" s="2074"/>
      <c r="I232" s="2072"/>
      <c r="J232" s="2073"/>
      <c r="K232" s="2073"/>
      <c r="L232" s="2074"/>
    </row>
    <row r="233" spans="5:12" s="1208" customFormat="1">
      <c r="E233" s="2072"/>
      <c r="F233" s="2073"/>
      <c r="G233" s="2073"/>
      <c r="H233" s="2074"/>
      <c r="I233" s="2072"/>
      <c r="J233" s="2073"/>
      <c r="K233" s="2073"/>
      <c r="L233" s="2074"/>
    </row>
    <row r="234" spans="5:12" s="1208" customFormat="1">
      <c r="E234" s="2072"/>
      <c r="F234" s="2073"/>
      <c r="G234" s="2073"/>
      <c r="H234" s="2074"/>
      <c r="I234" s="2072"/>
      <c r="J234" s="2073"/>
      <c r="K234" s="2073"/>
      <c r="L234" s="2074"/>
    </row>
    <row r="235" spans="5:12" s="1208" customFormat="1" ht="15.75" thickBot="1">
      <c r="E235" s="2075"/>
      <c r="F235" s="2076"/>
      <c r="G235" s="2076"/>
      <c r="H235" s="2077"/>
      <c r="I235" s="2075"/>
      <c r="J235" s="2076"/>
      <c r="K235" s="2076"/>
      <c r="L235" s="2077"/>
    </row>
    <row r="236" spans="5:12" s="1208" customFormat="1" ht="19.5" thickBot="1">
      <c r="E236" s="2090" t="s">
        <v>500</v>
      </c>
      <c r="F236" s="2091"/>
      <c r="G236" s="2091"/>
      <c r="H236" s="2092"/>
      <c r="I236" s="2090" t="s">
        <v>501</v>
      </c>
      <c r="J236" s="2091"/>
      <c r="K236" s="2091"/>
      <c r="L236" s="2092"/>
    </row>
    <row r="237" spans="5:12" s="1208" customFormat="1">
      <c r="E237" s="2069"/>
      <c r="F237" s="2070"/>
      <c r="G237" s="2070"/>
      <c r="H237" s="2071"/>
      <c r="I237" s="2069"/>
      <c r="J237" s="2070"/>
      <c r="K237" s="2070"/>
      <c r="L237" s="2071"/>
    </row>
    <row r="238" spans="5:12" s="1208" customFormat="1">
      <c r="E238" s="2072"/>
      <c r="F238" s="2073"/>
      <c r="G238" s="2073"/>
      <c r="H238" s="2074"/>
      <c r="I238" s="2072"/>
      <c r="J238" s="2073"/>
      <c r="K238" s="2073"/>
      <c r="L238" s="2074"/>
    </row>
    <row r="239" spans="5:12" s="1208" customFormat="1">
      <c r="E239" s="2072"/>
      <c r="F239" s="2073"/>
      <c r="G239" s="2073"/>
      <c r="H239" s="2074"/>
      <c r="I239" s="2072"/>
      <c r="J239" s="2073"/>
      <c r="K239" s="2073"/>
      <c r="L239" s="2074"/>
    </row>
    <row r="240" spans="5:12" s="1208" customFormat="1">
      <c r="E240" s="2072"/>
      <c r="F240" s="2073"/>
      <c r="G240" s="2073"/>
      <c r="H240" s="2074"/>
      <c r="I240" s="2072"/>
      <c r="J240" s="2073"/>
      <c r="K240" s="2073"/>
      <c r="L240" s="2074"/>
    </row>
    <row r="241" spans="5:12" s="1208" customFormat="1" ht="15.75" thickBot="1">
      <c r="E241" s="2072"/>
      <c r="F241" s="2073"/>
      <c r="G241" s="2073"/>
      <c r="H241" s="2074"/>
      <c r="I241" s="2072"/>
      <c r="J241" s="2073"/>
      <c r="K241" s="2073"/>
      <c r="L241" s="2074"/>
    </row>
    <row r="242" spans="5:12" s="1208" customFormat="1" ht="19.5" thickBot="1">
      <c r="E242" s="2090" t="s">
        <v>502</v>
      </c>
      <c r="F242" s="2091"/>
      <c r="G242" s="2091"/>
      <c r="H242" s="2092"/>
      <c r="I242" s="2090" t="s">
        <v>503</v>
      </c>
      <c r="J242" s="2091"/>
      <c r="K242" s="2091"/>
      <c r="L242" s="2092"/>
    </row>
    <row r="243" spans="5:12" s="1208" customFormat="1">
      <c r="E243" s="2069"/>
      <c r="F243" s="2070"/>
      <c r="G243" s="2070"/>
      <c r="H243" s="2071"/>
      <c r="I243" s="2069"/>
      <c r="J243" s="2070"/>
      <c r="K243" s="2070"/>
      <c r="L243" s="2071"/>
    </row>
    <row r="244" spans="5:12" s="1208" customFormat="1">
      <c r="E244" s="2072"/>
      <c r="F244" s="2073"/>
      <c r="G244" s="2073"/>
      <c r="H244" s="2074"/>
      <c r="I244" s="2072"/>
      <c r="J244" s="2073"/>
      <c r="K244" s="2073"/>
      <c r="L244" s="2074"/>
    </row>
    <row r="245" spans="5:12" s="1208" customFormat="1">
      <c r="E245" s="2072"/>
      <c r="F245" s="2073"/>
      <c r="G245" s="2073"/>
      <c r="H245" s="2074"/>
      <c r="I245" s="2072"/>
      <c r="J245" s="2073"/>
      <c r="K245" s="2073"/>
      <c r="L245" s="2074"/>
    </row>
    <row r="246" spans="5:12" s="1208" customFormat="1">
      <c r="E246" s="2072"/>
      <c r="F246" s="2073"/>
      <c r="G246" s="2073"/>
      <c r="H246" s="2074"/>
      <c r="I246" s="2072"/>
      <c r="J246" s="2073"/>
      <c r="K246" s="2073"/>
      <c r="L246" s="2074"/>
    </row>
    <row r="247" spans="5:12" s="1208" customFormat="1" ht="15.75" thickBot="1">
      <c r="E247" s="2072"/>
      <c r="F247" s="2073"/>
      <c r="G247" s="2073"/>
      <c r="H247" s="2074"/>
      <c r="I247" s="2072"/>
      <c r="J247" s="2073"/>
      <c r="K247" s="2073"/>
      <c r="L247" s="2074"/>
    </row>
    <row r="248" spans="5:12" s="1208" customFormat="1" ht="19.5" thickBot="1">
      <c r="E248" s="2090" t="s">
        <v>504</v>
      </c>
      <c r="F248" s="2091"/>
      <c r="G248" s="2091"/>
      <c r="H248" s="2092"/>
      <c r="I248" s="2090" t="s">
        <v>505</v>
      </c>
      <c r="J248" s="2091"/>
      <c r="K248" s="2091"/>
      <c r="L248" s="2092"/>
    </row>
    <row r="249" spans="5:12" s="1208" customFormat="1">
      <c r="E249" s="2069"/>
      <c r="F249" s="2070"/>
      <c r="G249" s="2070"/>
      <c r="H249" s="2071"/>
      <c r="I249" s="2069"/>
      <c r="J249" s="2070"/>
      <c r="K249" s="2070"/>
      <c r="L249" s="2071"/>
    </row>
    <row r="250" spans="5:12" s="1208" customFormat="1">
      <c r="E250" s="2072"/>
      <c r="F250" s="2073"/>
      <c r="G250" s="2073"/>
      <c r="H250" s="2074"/>
      <c r="I250" s="2072"/>
      <c r="J250" s="2073"/>
      <c r="K250" s="2073"/>
      <c r="L250" s="2074"/>
    </row>
    <row r="251" spans="5:12" s="1208" customFormat="1">
      <c r="E251" s="2072"/>
      <c r="F251" s="2073"/>
      <c r="G251" s="2073"/>
      <c r="H251" s="2074"/>
      <c r="I251" s="2072"/>
      <c r="J251" s="2073"/>
      <c r="K251" s="2073"/>
      <c r="L251" s="2074"/>
    </row>
    <row r="252" spans="5:12" s="1208" customFormat="1">
      <c r="E252" s="2072"/>
      <c r="F252" s="2073"/>
      <c r="G252" s="2073"/>
      <c r="H252" s="2074"/>
      <c r="I252" s="2072"/>
      <c r="J252" s="2073"/>
      <c r="K252" s="2073"/>
      <c r="L252" s="2074"/>
    </row>
    <row r="253" spans="5:12" s="1208" customFormat="1" ht="15.75" thickBot="1">
      <c r="E253" s="2072"/>
      <c r="F253" s="2073"/>
      <c r="G253" s="2073"/>
      <c r="H253" s="2074"/>
      <c r="I253" s="2072"/>
      <c r="J253" s="2073"/>
      <c r="K253" s="2073"/>
      <c r="L253" s="2074"/>
    </row>
    <row r="254" spans="5:12" s="1208" customFormat="1" ht="19.5" thickBot="1">
      <c r="E254" s="2090" t="s">
        <v>506</v>
      </c>
      <c r="F254" s="2091"/>
      <c r="G254" s="2091"/>
      <c r="H254" s="2092"/>
      <c r="I254" s="2090" t="s">
        <v>507</v>
      </c>
      <c r="J254" s="2091"/>
      <c r="K254" s="2091"/>
      <c r="L254" s="2092"/>
    </row>
    <row r="255" spans="5:12" s="1208" customFormat="1">
      <c r="E255" s="2069"/>
      <c r="F255" s="2070"/>
      <c r="G255" s="2070"/>
      <c r="H255" s="2071"/>
      <c r="I255" s="2069"/>
      <c r="J255" s="2070"/>
      <c r="K255" s="2070"/>
      <c r="L255" s="2071"/>
    </row>
    <row r="256" spans="5:12" s="1208" customFormat="1">
      <c r="E256" s="2072"/>
      <c r="F256" s="2073"/>
      <c r="G256" s="2073"/>
      <c r="H256" s="2074"/>
      <c r="I256" s="2072"/>
      <c r="J256" s="2073"/>
      <c r="K256" s="2073"/>
      <c r="L256" s="2074"/>
    </row>
    <row r="257" spans="4:17" s="1208" customFormat="1">
      <c r="E257" s="2072"/>
      <c r="F257" s="2073"/>
      <c r="G257" s="2073"/>
      <c r="H257" s="2074"/>
      <c r="I257" s="2072"/>
      <c r="J257" s="2073"/>
      <c r="K257" s="2073"/>
      <c r="L257" s="2074"/>
    </row>
    <row r="258" spans="4:17" s="1208" customFormat="1">
      <c r="E258" s="2072"/>
      <c r="F258" s="2073"/>
      <c r="G258" s="2073"/>
      <c r="H258" s="2074"/>
      <c r="I258" s="2072"/>
      <c r="J258" s="2073"/>
      <c r="K258" s="2073"/>
      <c r="L258" s="2074"/>
    </row>
    <row r="259" spans="4:17" s="1208" customFormat="1" ht="15.75" thickBot="1">
      <c r="E259" s="2072"/>
      <c r="F259" s="2073"/>
      <c r="G259" s="2073"/>
      <c r="H259" s="2074"/>
      <c r="I259" s="2072"/>
      <c r="J259" s="2073"/>
      <c r="K259" s="2073"/>
      <c r="L259" s="2074"/>
    </row>
    <row r="260" spans="4:17" s="1208" customFormat="1" ht="19.5" thickBot="1">
      <c r="E260" s="2090" t="s">
        <v>508</v>
      </c>
      <c r="F260" s="2091"/>
      <c r="G260" s="2091"/>
      <c r="H260" s="2092"/>
      <c r="I260" s="2090" t="s">
        <v>509</v>
      </c>
      <c r="J260" s="2091"/>
      <c r="K260" s="2091"/>
      <c r="L260" s="2092"/>
    </row>
    <row r="261" spans="4:17" s="1208" customFormat="1">
      <c r="E261" s="2069"/>
      <c r="F261" s="2070"/>
      <c r="G261" s="2070"/>
      <c r="H261" s="2071"/>
      <c r="I261" s="2069"/>
      <c r="J261" s="2070"/>
      <c r="K261" s="2070"/>
      <c r="L261" s="2071"/>
    </row>
    <row r="262" spans="4:17" s="1208" customFormat="1">
      <c r="E262" s="2072"/>
      <c r="F262" s="2073"/>
      <c r="G262" s="2073"/>
      <c r="H262" s="2074"/>
      <c r="I262" s="2072"/>
      <c r="J262" s="2073"/>
      <c r="K262" s="2073"/>
      <c r="L262" s="2074"/>
    </row>
    <row r="263" spans="4:17" s="1208" customFormat="1">
      <c r="E263" s="2072"/>
      <c r="F263" s="2073"/>
      <c r="G263" s="2073"/>
      <c r="H263" s="2074"/>
      <c r="I263" s="2072"/>
      <c r="J263" s="2073"/>
      <c r="K263" s="2073"/>
      <c r="L263" s="2074"/>
    </row>
    <row r="264" spans="4:17" s="1208" customFormat="1">
      <c r="E264" s="2072"/>
      <c r="F264" s="2073"/>
      <c r="G264" s="2073"/>
      <c r="H264" s="2074"/>
      <c r="I264" s="2072"/>
      <c r="J264" s="2073"/>
      <c r="K264" s="2073"/>
      <c r="L264" s="2074"/>
    </row>
    <row r="265" spans="4:17" s="1208" customFormat="1" ht="15.75" thickBot="1">
      <c r="E265" s="2072"/>
      <c r="F265" s="2073"/>
      <c r="G265" s="2073"/>
      <c r="H265" s="2074"/>
      <c r="I265" s="2072"/>
      <c r="J265" s="2073"/>
      <c r="K265" s="2073"/>
      <c r="L265" s="2074"/>
    </row>
    <row r="266" spans="4:17" s="1208" customFormat="1" ht="22.5" customHeight="1">
      <c r="E266" s="2097" t="s">
        <v>5802</v>
      </c>
      <c r="F266" s="2097"/>
      <c r="G266" s="2097"/>
      <c r="H266" s="2097"/>
      <c r="I266" s="2097"/>
      <c r="J266" s="2097"/>
      <c r="K266" s="2097"/>
      <c r="L266" s="2097"/>
    </row>
    <row r="267" spans="4:17" s="1216" customFormat="1" ht="22.5" customHeight="1" thickBot="1">
      <c r="E267" s="2096" t="s">
        <v>5803</v>
      </c>
      <c r="F267" s="2096"/>
      <c r="G267" s="2096"/>
      <c r="H267" s="2096"/>
      <c r="I267" s="2096"/>
      <c r="J267" s="2096"/>
      <c r="K267" s="2096"/>
      <c r="L267" s="2096"/>
    </row>
    <row r="268" spans="4:17" ht="16.5" thickBot="1">
      <c r="D268" s="976"/>
      <c r="E268" s="976"/>
      <c r="F268" s="976"/>
      <c r="G268" s="976"/>
      <c r="H268" s="976"/>
      <c r="I268" s="976"/>
      <c r="J268" s="976"/>
      <c r="K268" s="976"/>
      <c r="L268" s="976"/>
      <c r="M268" s="976"/>
      <c r="N268" s="2057" t="s">
        <v>408</v>
      </c>
      <c r="O268" s="2058"/>
      <c r="P268" s="976"/>
      <c r="Q268" s="976"/>
    </row>
    <row r="269" spans="4:17">
      <c r="D269" s="976"/>
      <c r="E269" s="976"/>
      <c r="F269" s="976"/>
      <c r="G269" s="976"/>
      <c r="H269" s="976"/>
      <c r="I269" s="976"/>
      <c r="J269" s="976"/>
      <c r="K269" s="976"/>
      <c r="L269" s="976"/>
      <c r="M269" s="976"/>
      <c r="N269" s="976"/>
      <c r="O269" s="976"/>
      <c r="P269" s="976"/>
      <c r="Q269" s="976"/>
    </row>
    <row r="270" spans="4:17">
      <c r="D270" s="976"/>
      <c r="E270" s="976"/>
      <c r="F270" s="976"/>
      <c r="G270" s="976"/>
      <c r="H270" s="976"/>
      <c r="I270" s="976"/>
      <c r="J270" s="976"/>
      <c r="K270" s="976"/>
      <c r="L270" s="976"/>
      <c r="M270" s="976"/>
      <c r="N270" s="976"/>
      <c r="O270" s="976"/>
      <c r="P270" s="976"/>
      <c r="Q270" s="976"/>
    </row>
    <row r="271" spans="4:17">
      <c r="D271" s="976"/>
      <c r="E271" s="976"/>
      <c r="F271" s="976"/>
      <c r="G271" s="976"/>
      <c r="H271" s="976"/>
      <c r="I271" s="976"/>
      <c r="J271" s="976"/>
      <c r="K271" s="976"/>
      <c r="L271" s="976"/>
      <c r="M271" s="976"/>
      <c r="N271" s="2056"/>
      <c r="O271" s="2056"/>
      <c r="P271" s="976"/>
      <c r="Q271" s="976"/>
    </row>
    <row r="272" spans="4:17">
      <c r="D272" s="976"/>
      <c r="E272" s="976"/>
      <c r="F272" s="976"/>
      <c r="G272" s="976"/>
      <c r="H272" s="976"/>
      <c r="I272" s="976"/>
      <c r="J272" s="976"/>
      <c r="K272" s="976"/>
      <c r="L272" s="976"/>
      <c r="M272" s="976"/>
      <c r="N272" s="2056"/>
      <c r="O272" s="2056"/>
      <c r="P272" s="976"/>
      <c r="Q272" s="976"/>
    </row>
    <row r="273" spans="4:17">
      <c r="D273" s="976"/>
      <c r="E273" s="976"/>
      <c r="F273" s="976"/>
      <c r="G273" s="976"/>
      <c r="H273" s="976"/>
      <c r="I273" s="976"/>
      <c r="J273" s="976"/>
      <c r="K273" s="976"/>
      <c r="L273" s="976"/>
      <c r="M273" s="976"/>
      <c r="N273" s="2056"/>
      <c r="O273" s="2056"/>
      <c r="P273" s="976"/>
      <c r="Q273" s="976"/>
    </row>
    <row r="274" spans="4:17">
      <c r="D274" s="976"/>
      <c r="E274" s="976"/>
      <c r="F274" s="976"/>
      <c r="G274" s="976"/>
      <c r="H274" s="976"/>
      <c r="I274" s="976"/>
      <c r="J274" s="976"/>
      <c r="K274" s="976"/>
      <c r="L274" s="976"/>
      <c r="M274" s="976"/>
      <c r="N274" s="86" t="s">
        <v>5793</v>
      </c>
      <c r="O274" s="979"/>
      <c r="P274" s="976"/>
      <c r="Q274" s="976"/>
    </row>
    <row r="275" spans="4:17">
      <c r="D275" s="976"/>
      <c r="E275" s="976"/>
      <c r="F275" s="976"/>
      <c r="G275" s="976"/>
      <c r="H275" s="976"/>
      <c r="I275" s="976"/>
      <c r="J275" s="976"/>
      <c r="K275" s="976"/>
      <c r="L275" s="976"/>
      <c r="M275" s="976"/>
      <c r="N275" s="86" t="s">
        <v>409</v>
      </c>
      <c r="O275" s="979"/>
      <c r="P275" s="976"/>
      <c r="Q275" s="976"/>
    </row>
    <row r="276" spans="4:17">
      <c r="D276" s="976"/>
      <c r="E276" s="976"/>
      <c r="F276" s="976"/>
      <c r="G276" s="976"/>
      <c r="H276" s="976"/>
      <c r="I276" s="976"/>
      <c r="J276" s="976"/>
      <c r="K276" s="976"/>
      <c r="L276" s="976"/>
      <c r="M276" s="976"/>
      <c r="N276" s="979"/>
      <c r="O276" s="979"/>
      <c r="P276" s="976"/>
      <c r="Q276" s="976"/>
    </row>
    <row r="277" spans="4:17">
      <c r="D277" s="976"/>
      <c r="E277" s="976"/>
      <c r="F277" s="976"/>
      <c r="G277" s="976"/>
      <c r="H277" s="976"/>
      <c r="I277" s="976"/>
      <c r="J277" s="976"/>
      <c r="K277" s="976"/>
      <c r="L277" s="976"/>
      <c r="M277" s="976"/>
      <c r="N277" s="979"/>
      <c r="O277" s="979"/>
      <c r="P277" s="976"/>
      <c r="Q277" s="976"/>
    </row>
    <row r="278" spans="4:17">
      <c r="D278" s="976"/>
      <c r="E278" s="976"/>
      <c r="F278" s="976"/>
      <c r="G278" s="976"/>
      <c r="H278" s="976"/>
      <c r="I278" s="976"/>
      <c r="J278" s="976"/>
      <c r="K278" s="976"/>
      <c r="L278" s="976"/>
      <c r="M278" s="976"/>
      <c r="N278" s="979"/>
      <c r="O278" s="979"/>
      <c r="P278" s="976"/>
      <c r="Q278" s="976"/>
    </row>
    <row r="279" spans="4:17">
      <c r="D279" s="976"/>
      <c r="E279" s="976"/>
      <c r="F279" s="976"/>
      <c r="G279" s="976"/>
      <c r="H279" s="976"/>
      <c r="I279" s="976"/>
      <c r="J279" s="976"/>
      <c r="K279" s="976"/>
      <c r="L279" s="976"/>
      <c r="M279" s="976"/>
      <c r="N279" s="979"/>
      <c r="O279" s="979"/>
      <c r="P279" s="976"/>
      <c r="Q279" s="976"/>
    </row>
    <row r="280" spans="4:17">
      <c r="D280" s="976"/>
      <c r="E280" s="976"/>
      <c r="F280" s="976"/>
      <c r="G280" s="976"/>
      <c r="H280" s="976"/>
      <c r="I280" s="976"/>
      <c r="J280" s="976"/>
      <c r="K280" s="976"/>
      <c r="L280" s="976"/>
      <c r="M280" s="976"/>
      <c r="N280" s="976"/>
      <c r="O280" s="976"/>
      <c r="P280" s="976"/>
      <c r="Q280" s="976"/>
    </row>
    <row r="281" spans="4:17">
      <c r="D281" s="976"/>
      <c r="E281" s="976"/>
      <c r="F281" s="976"/>
      <c r="G281" s="976"/>
      <c r="H281" s="976"/>
      <c r="I281" s="976"/>
      <c r="J281" s="976"/>
      <c r="K281" s="976"/>
      <c r="L281" s="976"/>
      <c r="M281" s="976"/>
      <c r="N281" s="976"/>
      <c r="O281" s="976"/>
      <c r="P281" s="976"/>
      <c r="Q281" s="976"/>
    </row>
    <row r="282" spans="4:17">
      <c r="D282" s="976"/>
      <c r="E282" s="976"/>
      <c r="F282" s="976"/>
      <c r="G282" s="976"/>
      <c r="H282" s="976"/>
      <c r="I282" s="976"/>
      <c r="J282" s="976"/>
      <c r="K282" s="976"/>
      <c r="L282" s="976"/>
      <c r="M282" s="976"/>
      <c r="N282" s="976"/>
      <c r="O282" s="976"/>
      <c r="P282" s="976"/>
      <c r="Q282" s="976"/>
    </row>
    <row r="283" spans="4:17">
      <c r="D283" s="976"/>
      <c r="E283" s="976"/>
      <c r="F283" s="976"/>
      <c r="G283" s="976"/>
      <c r="H283" s="976"/>
      <c r="I283" s="976"/>
      <c r="J283" s="976"/>
      <c r="K283" s="976"/>
      <c r="L283" s="976"/>
      <c r="M283" s="976"/>
      <c r="N283" s="976"/>
      <c r="O283" s="976"/>
      <c r="P283" s="976"/>
      <c r="Q283" s="976"/>
    </row>
    <row r="284" spans="4:17">
      <c r="D284" s="976"/>
      <c r="E284" s="976"/>
      <c r="F284" s="976"/>
      <c r="G284" s="976"/>
      <c r="H284" s="976"/>
      <c r="I284" s="976"/>
      <c r="J284" s="976"/>
      <c r="K284" s="976"/>
      <c r="L284" s="976"/>
      <c r="M284" s="976"/>
      <c r="N284" s="976"/>
      <c r="O284" s="976"/>
      <c r="P284" s="976"/>
      <c r="Q284" s="976"/>
    </row>
    <row r="285" spans="4:17">
      <c r="D285" s="976"/>
      <c r="E285" s="976"/>
      <c r="F285" s="976"/>
      <c r="G285" s="976"/>
      <c r="H285" s="976"/>
      <c r="I285" s="976"/>
      <c r="J285" s="976"/>
      <c r="K285" s="976"/>
      <c r="L285" s="976"/>
      <c r="M285" s="976"/>
      <c r="N285" s="976"/>
      <c r="O285" s="976"/>
      <c r="P285" s="976"/>
      <c r="Q285" s="976"/>
    </row>
    <row r="286" spans="4:17">
      <c r="D286" s="976"/>
      <c r="E286" s="976"/>
      <c r="F286" s="976"/>
      <c r="G286" s="976"/>
      <c r="H286" s="976"/>
      <c r="I286" s="976"/>
      <c r="J286" s="976"/>
      <c r="K286" s="976"/>
      <c r="L286" s="976"/>
      <c r="M286" s="976"/>
      <c r="N286" s="976"/>
      <c r="O286" s="976"/>
      <c r="P286" s="976"/>
      <c r="Q286" s="976"/>
    </row>
    <row r="287" spans="4:17">
      <c r="D287" s="976"/>
      <c r="E287" s="976"/>
      <c r="F287" s="976"/>
      <c r="G287" s="976"/>
      <c r="H287" s="976"/>
      <c r="I287" s="976"/>
      <c r="J287" s="976"/>
      <c r="K287" s="976"/>
      <c r="L287" s="976"/>
      <c r="M287" s="976"/>
      <c r="N287" s="976"/>
      <c r="O287" s="976"/>
      <c r="P287" s="976"/>
      <c r="Q287" s="976"/>
    </row>
    <row r="288" spans="4:17">
      <c r="D288" s="976"/>
      <c r="E288" s="976"/>
      <c r="F288" s="976"/>
      <c r="G288" s="976"/>
      <c r="H288" s="976"/>
      <c r="I288" s="976"/>
      <c r="J288" s="976"/>
      <c r="K288" s="976"/>
      <c r="L288" s="976"/>
      <c r="M288" s="976"/>
      <c r="N288" s="976"/>
      <c r="O288" s="976"/>
      <c r="P288" s="976"/>
      <c r="Q288" s="976"/>
    </row>
    <row r="289" spans="4:17">
      <c r="D289" s="976"/>
      <c r="E289" s="976"/>
      <c r="F289" s="976"/>
      <c r="G289" s="976"/>
      <c r="H289" s="976"/>
      <c r="I289" s="976"/>
      <c r="J289" s="976"/>
      <c r="K289" s="976"/>
      <c r="L289" s="976"/>
      <c r="M289" s="976"/>
      <c r="N289" s="976"/>
      <c r="O289" s="976"/>
      <c r="P289" s="976"/>
      <c r="Q289" s="976"/>
    </row>
    <row r="290" spans="4:17">
      <c r="D290" s="976"/>
      <c r="E290" s="976"/>
      <c r="F290" s="976"/>
      <c r="G290" s="976"/>
      <c r="H290" s="976"/>
      <c r="I290" s="976"/>
      <c r="J290" s="976"/>
      <c r="K290" s="976"/>
      <c r="L290" s="976"/>
      <c r="M290" s="976"/>
      <c r="N290" s="976"/>
      <c r="O290" s="976"/>
      <c r="P290" s="976"/>
      <c r="Q290" s="976"/>
    </row>
    <row r="291" spans="4:17">
      <c r="D291" s="976"/>
      <c r="E291" s="976"/>
      <c r="F291" s="976"/>
      <c r="G291" s="976"/>
      <c r="H291" s="976"/>
      <c r="I291" s="976"/>
      <c r="J291" s="976"/>
      <c r="K291" s="976"/>
      <c r="L291" s="976"/>
      <c r="M291" s="976"/>
      <c r="N291" s="976"/>
      <c r="O291" s="976"/>
      <c r="P291" s="976"/>
      <c r="Q291" s="976"/>
    </row>
  </sheetData>
  <mergeCells count="74">
    <mergeCell ref="E230:H230"/>
    <mergeCell ref="I230:L230"/>
    <mergeCell ref="E267:L267"/>
    <mergeCell ref="I255:L259"/>
    <mergeCell ref="E231:H235"/>
    <mergeCell ref="I231:L235"/>
    <mergeCell ref="E236:H236"/>
    <mergeCell ref="I236:L236"/>
    <mergeCell ref="E237:H241"/>
    <mergeCell ref="I237:L241"/>
    <mergeCell ref="E261:H265"/>
    <mergeCell ref="I261:L265"/>
    <mergeCell ref="E266:L266"/>
    <mergeCell ref="E242:H242"/>
    <mergeCell ref="E260:H260"/>
    <mergeCell ref="I260:L260"/>
    <mergeCell ref="E249:H253"/>
    <mergeCell ref="I249:L253"/>
    <mergeCell ref="E254:H254"/>
    <mergeCell ref="I254:L254"/>
    <mergeCell ref="E255:H259"/>
    <mergeCell ref="I242:L242"/>
    <mergeCell ref="I243:L247"/>
    <mergeCell ref="E248:H248"/>
    <mergeCell ref="I248:L248"/>
    <mergeCell ref="E243:H247"/>
    <mergeCell ref="E225:H229"/>
    <mergeCell ref="I225:L229"/>
    <mergeCell ref="N101:O101"/>
    <mergeCell ref="N95:O95"/>
    <mergeCell ref="N268:O268"/>
    <mergeCell ref="O103:P103"/>
    <mergeCell ref="O104:P104"/>
    <mergeCell ref="N105:P105"/>
    <mergeCell ref="N106:N107"/>
    <mergeCell ref="E217:L217"/>
    <mergeCell ref="E224:H224"/>
    <mergeCell ref="I224:L224"/>
    <mergeCell ref="N135:O135"/>
    <mergeCell ref="N119:O119"/>
    <mergeCell ref="E218:H218"/>
    <mergeCell ref="I218:L218"/>
    <mergeCell ref="N271:O273"/>
    <mergeCell ref="N151:O151"/>
    <mergeCell ref="N141:O147"/>
    <mergeCell ref="N157:O163"/>
    <mergeCell ref="N217:O217"/>
    <mergeCell ref="O219:O224"/>
    <mergeCell ref="N211:O211"/>
    <mergeCell ref="N180:O181"/>
    <mergeCell ref="N182:N183"/>
    <mergeCell ref="N190:O190"/>
    <mergeCell ref="N206:O206"/>
    <mergeCell ref="N214:O214"/>
    <mergeCell ref="N197:N198"/>
    <mergeCell ref="O199:O204"/>
    <mergeCell ref="A1:I1"/>
    <mergeCell ref="N18:O20"/>
    <mergeCell ref="N51:O51"/>
    <mergeCell ref="N62:O62"/>
    <mergeCell ref="N75:O75"/>
    <mergeCell ref="N24:O24"/>
    <mergeCell ref="N28:O28"/>
    <mergeCell ref="N36:O36"/>
    <mergeCell ref="D75:L75"/>
    <mergeCell ref="N50:O50"/>
    <mergeCell ref="N61:O61"/>
    <mergeCell ref="N63:O63"/>
    <mergeCell ref="N68:O73"/>
    <mergeCell ref="N127:Q128"/>
    <mergeCell ref="N126:Q126"/>
    <mergeCell ref="N169:O170"/>
    <mergeCell ref="N171:N172"/>
    <mergeCell ref="N196:O196"/>
  </mergeCells>
  <hyperlinks>
    <hyperlink ref="A1:I1" location="Главная!A1" display="Вернуться на главную страницу" xr:uid="{00000000-0004-0000-0400-000000000000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>
    <tabColor rgb="FF00CC99"/>
  </sheetPr>
  <dimension ref="A1:BL222"/>
  <sheetViews>
    <sheetView zoomScale="85" zoomScaleNormal="85" workbookViewId="0">
      <selection activeCell="P235" sqref="P235"/>
    </sheetView>
  </sheetViews>
  <sheetFormatPr defaultRowHeight="15"/>
  <cols>
    <col min="1" max="1" width="9.140625" style="1079"/>
    <col min="2" max="2" width="29.85546875" style="1079" customWidth="1"/>
    <col min="3" max="3" width="5.7109375" style="1079" customWidth="1"/>
    <col min="4" max="4" width="7" style="1079" hidden="1" customWidth="1"/>
    <col min="5" max="6" width="5.85546875" style="76" hidden="1" customWidth="1"/>
    <col min="7" max="7" width="5.7109375" style="1079" hidden="1" customWidth="1"/>
    <col min="8" max="8" width="5.85546875" style="1079" hidden="1" customWidth="1"/>
    <col min="9" max="9" width="5.42578125" style="1079" hidden="1" customWidth="1"/>
    <col min="10" max="58" width="6.140625" style="1079" customWidth="1"/>
    <col min="59" max="16384" width="9.140625" style="1079"/>
  </cols>
  <sheetData>
    <row r="1" spans="1:58" s="74" customFormat="1" ht="16.5" customHeight="1">
      <c r="A1" s="1071" t="s">
        <v>9</v>
      </c>
      <c r="B1" s="1071"/>
      <c r="C1" s="1071"/>
      <c r="D1" s="1071"/>
      <c r="E1" s="1071"/>
      <c r="F1" s="97"/>
      <c r="G1" s="1071"/>
      <c r="H1" s="1071"/>
      <c r="I1" s="1071"/>
      <c r="J1" s="2099" t="s">
        <v>209</v>
      </c>
      <c r="K1" s="2100"/>
      <c r="L1" s="2100"/>
      <c r="M1" s="2100"/>
      <c r="N1" s="2100"/>
      <c r="O1" s="2100"/>
      <c r="P1" s="2100"/>
      <c r="Q1" s="2100"/>
      <c r="R1" s="2100"/>
      <c r="S1" s="2100"/>
      <c r="T1" s="2100"/>
      <c r="U1" s="2100"/>
      <c r="V1" s="2100"/>
      <c r="W1" s="2100"/>
      <c r="X1" s="2100"/>
      <c r="Y1" s="2100"/>
      <c r="Z1" s="2100"/>
      <c r="AA1" s="2100"/>
      <c r="AB1" s="2100"/>
      <c r="AC1" s="2100"/>
      <c r="AD1" s="2100"/>
      <c r="AE1" s="2100"/>
    </row>
    <row r="2" spans="1:58">
      <c r="J2" s="2099"/>
      <c r="K2" s="2100"/>
      <c r="L2" s="2100"/>
      <c r="M2" s="2100"/>
      <c r="N2" s="2100"/>
      <c r="O2" s="2100"/>
      <c r="P2" s="2100"/>
      <c r="Q2" s="2100"/>
      <c r="R2" s="2100"/>
      <c r="S2" s="2100"/>
      <c r="T2" s="2100"/>
      <c r="U2" s="2100"/>
      <c r="V2" s="2100"/>
      <c r="W2" s="2100"/>
      <c r="X2" s="2100"/>
      <c r="Y2" s="2100"/>
      <c r="Z2" s="2100"/>
      <c r="AA2" s="2100"/>
      <c r="AB2" s="2100"/>
      <c r="AC2" s="2100"/>
      <c r="AD2" s="2100"/>
      <c r="AE2" s="2100"/>
    </row>
    <row r="3" spans="1:58" ht="15.75" thickBot="1">
      <c r="B3" s="355" t="s">
        <v>210</v>
      </c>
      <c r="D3" s="1081"/>
      <c r="E3" s="828"/>
      <c r="F3" s="828"/>
      <c r="G3" s="1081"/>
      <c r="H3" s="829"/>
      <c r="J3" s="2100"/>
      <c r="K3" s="2100"/>
      <c r="L3" s="2100"/>
      <c r="M3" s="2100"/>
      <c r="N3" s="2100"/>
      <c r="O3" s="2100"/>
      <c r="P3" s="2100"/>
      <c r="Q3" s="2100"/>
      <c r="R3" s="2100"/>
      <c r="S3" s="2100"/>
      <c r="T3" s="2100"/>
      <c r="U3" s="2100"/>
      <c r="V3" s="2100"/>
      <c r="W3" s="2100"/>
      <c r="X3" s="2100"/>
      <c r="Y3" s="2100"/>
      <c r="Z3" s="2100"/>
      <c r="AA3" s="2100"/>
      <c r="AB3" s="2100"/>
      <c r="AC3" s="2100"/>
      <c r="AD3" s="2100"/>
      <c r="AE3" s="2100"/>
    </row>
    <row r="4" spans="1:58" ht="26.25" hidden="1" customHeight="1" thickBot="1">
      <c r="C4" s="356" t="s">
        <v>211</v>
      </c>
      <c r="D4" s="830"/>
      <c r="E4" s="831"/>
      <c r="F4" s="831"/>
      <c r="G4" s="830"/>
      <c r="H4" s="835">
        <v>350</v>
      </c>
    </row>
    <row r="5" spans="1:58">
      <c r="B5" s="357" t="s">
        <v>212</v>
      </c>
      <c r="C5" s="358">
        <v>95</v>
      </c>
      <c r="D5" s="832"/>
      <c r="E5" s="833"/>
      <c r="F5" s="833"/>
      <c r="G5" s="833"/>
      <c r="H5" s="360"/>
      <c r="I5" s="360"/>
      <c r="K5" s="360"/>
      <c r="M5" s="360"/>
      <c r="N5" s="360"/>
      <c r="O5" s="360"/>
      <c r="P5" s="360"/>
      <c r="Q5" s="360"/>
      <c r="R5" s="360"/>
      <c r="S5" s="360"/>
      <c r="T5" s="360"/>
      <c r="U5" s="360"/>
      <c r="V5" s="360"/>
      <c r="W5" s="360"/>
      <c r="X5" s="360"/>
      <c r="Y5" s="360"/>
      <c r="Z5" s="360"/>
      <c r="AA5" s="360"/>
      <c r="AB5" s="360"/>
      <c r="AC5" s="360"/>
      <c r="AD5" s="360"/>
      <c r="AE5" s="360"/>
      <c r="AF5" s="360"/>
      <c r="AG5" s="360"/>
      <c r="AH5" s="360"/>
      <c r="AI5" s="360"/>
      <c r="AJ5" s="360"/>
      <c r="AK5" s="360"/>
      <c r="AL5" s="360"/>
      <c r="AM5" s="360"/>
      <c r="AN5" s="360"/>
      <c r="AO5" s="360"/>
      <c r="AP5" s="360"/>
      <c r="AQ5" s="360"/>
      <c r="AR5" s="360"/>
      <c r="AS5" s="360"/>
      <c r="AT5" s="360"/>
      <c r="AU5" s="360"/>
      <c r="AV5" s="360"/>
      <c r="AW5" s="360"/>
      <c r="AX5" s="360"/>
      <c r="AY5" s="360"/>
      <c r="AZ5" s="360"/>
      <c r="BA5" s="360"/>
      <c r="BB5" s="360"/>
      <c r="BC5" s="360"/>
      <c r="BD5" s="360"/>
      <c r="BE5" s="360"/>
      <c r="BF5" s="360"/>
    </row>
    <row r="6" spans="1:58">
      <c r="B6" s="361" t="s">
        <v>213</v>
      </c>
      <c r="C6" s="362">
        <v>85</v>
      </c>
      <c r="D6" s="832"/>
      <c r="E6" s="833"/>
      <c r="F6" s="833"/>
      <c r="G6" s="833"/>
      <c r="H6" s="1081"/>
      <c r="J6" s="360"/>
      <c r="K6" s="360"/>
      <c r="M6" s="360"/>
      <c r="N6" s="360"/>
      <c r="O6" s="360"/>
      <c r="P6" s="360"/>
      <c r="Q6" s="360"/>
      <c r="R6" s="360"/>
      <c r="S6" s="360"/>
      <c r="T6" s="360"/>
      <c r="U6" s="360"/>
      <c r="V6" s="360"/>
      <c r="W6" s="360"/>
      <c r="X6" s="360"/>
      <c r="Y6" s="360"/>
      <c r="Z6" s="360"/>
      <c r="AA6" s="360"/>
      <c r="AB6" s="360"/>
      <c r="AC6" s="360"/>
      <c r="AD6" s="360"/>
      <c r="AE6" s="360"/>
      <c r="AF6" s="360"/>
      <c r="AG6" s="360"/>
      <c r="AH6" s="360"/>
      <c r="AI6" s="360"/>
      <c r="AJ6" s="360"/>
      <c r="AK6" s="360"/>
      <c r="AL6" s="360"/>
      <c r="AM6" s="360"/>
      <c r="AN6" s="360"/>
      <c r="AO6" s="360"/>
      <c r="AP6" s="360"/>
      <c r="AQ6" s="360"/>
      <c r="AR6" s="360"/>
      <c r="AS6" s="360"/>
      <c r="AT6" s="360"/>
      <c r="AU6" s="360"/>
      <c r="AV6" s="360"/>
      <c r="AW6" s="360"/>
      <c r="AX6" s="360"/>
      <c r="AY6" s="360"/>
      <c r="AZ6" s="360"/>
      <c r="BA6" s="360"/>
      <c r="BB6" s="360"/>
      <c r="BC6" s="360"/>
      <c r="BD6" s="360"/>
      <c r="BE6" s="360"/>
      <c r="BF6" s="360"/>
    </row>
    <row r="7" spans="1:58">
      <c r="B7" s="361" t="s">
        <v>214</v>
      </c>
      <c r="C7" s="362">
        <v>20</v>
      </c>
      <c r="D7" s="832"/>
      <c r="E7" s="833"/>
      <c r="F7" s="833"/>
      <c r="G7" s="833"/>
      <c r="H7" s="1081"/>
      <c r="I7" s="360"/>
      <c r="J7" s="360"/>
      <c r="K7" s="360"/>
      <c r="M7" s="360"/>
      <c r="N7" s="360"/>
      <c r="O7" s="360"/>
      <c r="P7" s="360"/>
      <c r="Q7" s="360"/>
      <c r="R7" s="360"/>
      <c r="S7" s="360"/>
      <c r="T7" s="360"/>
      <c r="U7" s="360"/>
      <c r="V7" s="360"/>
      <c r="W7" s="360"/>
      <c r="X7" s="360"/>
      <c r="Y7" s="360"/>
      <c r="Z7" s="360"/>
      <c r="AA7" s="360"/>
      <c r="AB7" s="360"/>
      <c r="AC7" s="360"/>
      <c r="AD7" s="360"/>
      <c r="AE7" s="360"/>
      <c r="AF7" s="360"/>
      <c r="AG7" s="360"/>
      <c r="AH7" s="360"/>
      <c r="AI7" s="360"/>
      <c r="AJ7" s="360"/>
      <c r="AK7" s="360"/>
      <c r="AL7" s="360"/>
      <c r="AM7" s="360"/>
      <c r="AN7" s="360"/>
      <c r="AO7" s="360"/>
      <c r="AP7" s="360"/>
      <c r="AQ7" s="360"/>
      <c r="AR7" s="360"/>
      <c r="AS7" s="360"/>
      <c r="AT7" s="360"/>
      <c r="AU7" s="360"/>
      <c r="AV7" s="360"/>
      <c r="AW7" s="360"/>
      <c r="AX7" s="360"/>
      <c r="AY7" s="360"/>
      <c r="AZ7" s="360"/>
      <c r="BA7" s="360"/>
      <c r="BB7" s="360"/>
      <c r="BC7" s="360"/>
      <c r="BD7" s="360"/>
      <c r="BE7" s="360"/>
      <c r="BF7" s="360"/>
    </row>
    <row r="8" spans="1:58" ht="15.75" thickBot="1">
      <c r="B8" s="363" t="s">
        <v>215</v>
      </c>
      <c r="C8" s="364">
        <f>(C5+C6)/2-C7</f>
        <v>70</v>
      </c>
      <c r="D8" s="834"/>
      <c r="E8" s="834"/>
      <c r="F8" s="834"/>
      <c r="G8" s="834"/>
      <c r="H8" s="1081"/>
      <c r="I8" s="360"/>
      <c r="J8" s="360"/>
      <c r="K8" s="360"/>
      <c r="M8" s="360"/>
      <c r="N8" s="360"/>
      <c r="O8" s="360"/>
      <c r="P8" s="360"/>
      <c r="Q8" s="360"/>
      <c r="R8" s="360"/>
      <c r="S8" s="360"/>
      <c r="T8" s="360"/>
      <c r="U8" s="360"/>
      <c r="V8" s="360"/>
      <c r="W8" s="360"/>
      <c r="X8" s="360"/>
      <c r="Y8" s="360"/>
      <c r="Z8" s="360"/>
      <c r="AA8" s="360"/>
      <c r="AB8" s="360"/>
      <c r="AC8" s="360"/>
      <c r="AD8" s="360"/>
      <c r="AE8" s="360"/>
      <c r="AF8" s="360"/>
      <c r="AG8" s="360"/>
      <c r="AH8" s="360"/>
      <c r="AI8" s="360"/>
      <c r="AJ8" s="360"/>
      <c r="AK8" s="360"/>
      <c r="AL8" s="360"/>
      <c r="AM8" s="360"/>
      <c r="AN8" s="360"/>
      <c r="AO8" s="360"/>
      <c r="AP8" s="360"/>
      <c r="AQ8" s="360"/>
      <c r="AR8" s="360"/>
      <c r="AS8" s="360"/>
      <c r="AT8" s="360"/>
      <c r="AU8" s="360"/>
      <c r="AV8" s="360"/>
      <c r="AW8" s="360"/>
      <c r="AX8" s="360"/>
      <c r="AY8" s="360"/>
      <c r="AZ8" s="360"/>
      <c r="BA8" s="360"/>
      <c r="BB8" s="360"/>
      <c r="BC8" s="360"/>
      <c r="BD8" s="360"/>
      <c r="BE8" s="360"/>
      <c r="BF8" s="360"/>
    </row>
    <row r="9" spans="1:58" ht="15.75" thickBot="1">
      <c r="B9" s="366"/>
      <c r="C9" s="365"/>
      <c r="D9" s="834"/>
      <c r="E9" s="834"/>
      <c r="F9" s="834"/>
      <c r="G9" s="834"/>
      <c r="H9" s="1081"/>
      <c r="I9" s="360"/>
      <c r="J9" s="360"/>
      <c r="K9" s="360"/>
      <c r="M9" s="360"/>
      <c r="N9" s="360"/>
      <c r="O9" s="360"/>
      <c r="P9" s="360"/>
      <c r="Q9" s="360"/>
      <c r="R9" s="360"/>
      <c r="S9" s="360"/>
      <c r="T9" s="360"/>
      <c r="U9" s="360"/>
      <c r="V9" s="360"/>
      <c r="W9" s="360"/>
      <c r="X9" s="360"/>
      <c r="Y9" s="360"/>
      <c r="Z9" s="360"/>
      <c r="AA9" s="360"/>
      <c r="AB9" s="360"/>
      <c r="AC9" s="360"/>
      <c r="AD9" s="360"/>
      <c r="AE9" s="360"/>
      <c r="AF9" s="360"/>
      <c r="AG9" s="360"/>
      <c r="AH9" s="360"/>
      <c r="AI9" s="360"/>
      <c r="AJ9" s="360"/>
      <c r="AK9" s="360"/>
      <c r="AL9" s="360"/>
      <c r="AM9" s="360"/>
      <c r="AN9" s="360"/>
      <c r="AO9" s="360"/>
      <c r="AP9" s="360"/>
      <c r="AQ9" s="360"/>
      <c r="AR9" s="360"/>
      <c r="AS9" s="360"/>
      <c r="AT9" s="360"/>
      <c r="AU9" s="360"/>
      <c r="AV9" s="360"/>
      <c r="AW9" s="360"/>
      <c r="AX9" s="360"/>
      <c r="AY9" s="360"/>
      <c r="AZ9" s="360"/>
      <c r="BA9" s="360"/>
      <c r="BB9" s="360"/>
      <c r="BC9" s="360"/>
      <c r="BD9" s="360"/>
      <c r="BE9" s="360"/>
      <c r="BF9" s="360"/>
    </row>
    <row r="10" spans="1:58">
      <c r="B10" s="367" t="s">
        <v>216</v>
      </c>
      <c r="C10" s="358">
        <v>1000</v>
      </c>
      <c r="D10" s="832">
        <f>C10*(1+C11%)</f>
        <v>1050</v>
      </c>
      <c r="E10" s="833"/>
      <c r="F10" s="833"/>
      <c r="G10" s="833"/>
      <c r="H10" s="1081"/>
      <c r="K10" s="360"/>
      <c r="M10" s="360"/>
      <c r="N10" s="360"/>
      <c r="O10" s="360"/>
      <c r="P10" s="360"/>
      <c r="Q10" s="360"/>
      <c r="R10" s="360"/>
      <c r="S10" s="360"/>
      <c r="T10" s="360"/>
      <c r="U10" s="360"/>
      <c r="V10" s="360"/>
      <c r="W10" s="360"/>
      <c r="X10" s="360"/>
      <c r="Y10" s="360"/>
      <c r="Z10" s="360"/>
      <c r="AA10" s="360"/>
      <c r="AB10" s="360"/>
      <c r="AC10" s="360"/>
      <c r="AD10" s="360"/>
      <c r="AE10" s="360"/>
      <c r="AF10" s="360"/>
      <c r="AG10" s="360"/>
      <c r="AH10" s="360"/>
      <c r="AI10" s="360"/>
      <c r="AJ10" s="360"/>
      <c r="AK10" s="360"/>
      <c r="AL10" s="360"/>
      <c r="AM10" s="360"/>
      <c r="AN10" s="360"/>
      <c r="AO10" s="360"/>
      <c r="AP10" s="360"/>
      <c r="AQ10" s="360"/>
      <c r="AR10" s="360"/>
      <c r="AS10" s="360"/>
      <c r="AT10" s="360"/>
      <c r="AU10" s="360"/>
      <c r="AV10" s="360"/>
      <c r="AW10" s="360"/>
      <c r="AX10" s="360"/>
      <c r="AY10" s="360"/>
      <c r="AZ10" s="360"/>
      <c r="BA10" s="360"/>
      <c r="BB10" s="360"/>
      <c r="BC10" s="360"/>
      <c r="BD10" s="360"/>
      <c r="BE10" s="360"/>
      <c r="BF10" s="360"/>
    </row>
    <row r="11" spans="1:58" ht="14.25" customHeight="1">
      <c r="B11" s="368" t="s">
        <v>217</v>
      </c>
      <c r="C11" s="362">
        <v>5</v>
      </c>
      <c r="D11" s="832">
        <f>C10*(1-C11%)</f>
        <v>950</v>
      </c>
      <c r="E11" s="833"/>
      <c r="F11" s="833"/>
      <c r="G11" s="833"/>
      <c r="H11" s="1081"/>
      <c r="J11" s="369">
        <f>C10*(C11/100+1)</f>
        <v>1050</v>
      </c>
      <c r="K11" s="360"/>
      <c r="M11" s="360"/>
      <c r="N11" s="360"/>
      <c r="O11" s="360"/>
      <c r="P11" s="360"/>
      <c r="Q11" s="360"/>
      <c r="R11" s="360"/>
      <c r="S11" s="360"/>
      <c r="T11" s="360"/>
      <c r="U11" s="360"/>
      <c r="V11" s="360"/>
      <c r="W11" s="360"/>
      <c r="X11" s="360"/>
      <c r="Y11" s="360"/>
      <c r="Z11" s="360"/>
      <c r="AA11" s="360"/>
      <c r="AB11" s="360"/>
      <c r="AC11" s="360"/>
      <c r="AD11" s="360"/>
      <c r="AE11" s="360"/>
      <c r="AF11" s="360"/>
      <c r="AG11" s="360"/>
      <c r="AH11" s="360"/>
      <c r="AI11" s="360"/>
      <c r="AJ11" s="360"/>
      <c r="AK11" s="360"/>
      <c r="AL11" s="360"/>
      <c r="AM11" s="360"/>
      <c r="AN11" s="360"/>
      <c r="AO11" s="360"/>
      <c r="AP11" s="360"/>
      <c r="AQ11" s="360"/>
      <c r="AR11" s="360"/>
      <c r="AS11" s="360"/>
      <c r="AT11" s="360"/>
      <c r="AU11" s="360"/>
      <c r="AV11" s="360"/>
      <c r="AW11" s="360"/>
      <c r="AX11" s="360"/>
      <c r="AY11" s="360"/>
      <c r="AZ11" s="360"/>
      <c r="BA11" s="360"/>
      <c r="BB11" s="360"/>
      <c r="BC11" s="360"/>
      <c r="BD11" s="360"/>
      <c r="BE11" s="360"/>
      <c r="BF11" s="360"/>
    </row>
    <row r="12" spans="1:58" ht="18" customHeight="1" thickBot="1">
      <c r="B12" s="363" t="s">
        <v>218</v>
      </c>
      <c r="C12" s="370">
        <v>4</v>
      </c>
      <c r="D12" s="832"/>
      <c r="E12" s="833"/>
      <c r="F12" s="833"/>
      <c r="G12" s="833"/>
      <c r="H12" s="1081"/>
      <c r="J12" s="369">
        <f>C10*ABS(C12/100-1)</f>
        <v>960</v>
      </c>
      <c r="K12" s="360"/>
      <c r="M12" s="360"/>
      <c r="N12" s="360"/>
      <c r="O12" s="360"/>
      <c r="P12" s="360"/>
      <c r="Q12" s="360"/>
      <c r="R12" s="360"/>
      <c r="S12" s="360"/>
      <c r="T12" s="360"/>
      <c r="U12" s="360"/>
      <c r="V12" s="360"/>
      <c r="W12" s="360"/>
      <c r="X12" s="360"/>
      <c r="Y12" s="360"/>
      <c r="Z12" s="360"/>
      <c r="AA12" s="360"/>
      <c r="AB12" s="360"/>
      <c r="AC12" s="360"/>
      <c r="AD12" s="360"/>
      <c r="AE12" s="360"/>
      <c r="AF12" s="360"/>
      <c r="AG12" s="360"/>
      <c r="AH12" s="360"/>
      <c r="AI12" s="360"/>
      <c r="AJ12" s="360"/>
      <c r="AK12" s="360"/>
      <c r="AL12" s="360"/>
      <c r="AM12" s="360"/>
      <c r="AN12" s="360"/>
      <c r="AO12" s="360"/>
      <c r="AP12" s="360"/>
      <c r="AQ12" s="360"/>
      <c r="AR12" s="360"/>
      <c r="AS12" s="360"/>
      <c r="AT12" s="360"/>
      <c r="AU12" s="360"/>
      <c r="AV12" s="360"/>
      <c r="AW12" s="360"/>
      <c r="AX12" s="360"/>
      <c r="AY12" s="360"/>
      <c r="AZ12" s="360"/>
      <c r="BA12" s="360"/>
      <c r="BB12" s="360"/>
      <c r="BC12" s="360"/>
      <c r="BD12" s="360"/>
      <c r="BE12" s="360"/>
      <c r="BF12" s="360"/>
    </row>
    <row r="13" spans="1:58" s="1297" customFormat="1" ht="18" customHeight="1">
      <c r="B13" s="366"/>
      <c r="C13" s="366"/>
      <c r="D13" s="366"/>
      <c r="E13" s="366"/>
      <c r="F13" s="366"/>
      <c r="G13" s="366"/>
      <c r="H13" s="1298"/>
      <c r="J13" s="369"/>
      <c r="K13" s="360"/>
      <c r="M13" s="360"/>
      <c r="N13" s="360"/>
      <c r="O13" s="360"/>
      <c r="P13" s="360"/>
      <c r="Q13" s="360"/>
      <c r="R13" s="360"/>
      <c r="S13" s="360"/>
      <c r="T13" s="360"/>
      <c r="U13" s="360"/>
      <c r="V13" s="360"/>
      <c r="W13" s="360"/>
      <c r="X13" s="360"/>
      <c r="Y13" s="360"/>
      <c r="Z13" s="360"/>
      <c r="AA13" s="360"/>
      <c r="AB13" s="360"/>
      <c r="AC13" s="360"/>
      <c r="AD13" s="360"/>
      <c r="AE13" s="360"/>
      <c r="AF13" s="360"/>
      <c r="AG13" s="360"/>
      <c r="AH13" s="360"/>
      <c r="AI13" s="360"/>
      <c r="AJ13" s="360"/>
      <c r="AK13" s="360"/>
      <c r="AL13" s="360"/>
      <c r="AM13" s="360"/>
      <c r="AN13" s="360"/>
      <c r="AO13" s="360"/>
      <c r="AP13" s="360"/>
      <c r="AQ13" s="360"/>
      <c r="AR13" s="360"/>
      <c r="AS13" s="360"/>
      <c r="AT13" s="360"/>
      <c r="AU13" s="360"/>
      <c r="AV13" s="360"/>
      <c r="AW13" s="360"/>
      <c r="AX13" s="360"/>
      <c r="AY13" s="360"/>
      <c r="AZ13" s="360"/>
      <c r="BA13" s="360"/>
      <c r="BB13" s="360"/>
      <c r="BC13" s="360"/>
      <c r="BD13" s="360"/>
      <c r="BE13" s="360"/>
      <c r="BF13" s="360"/>
    </row>
    <row r="14" spans="1:58" s="1297" customFormat="1" ht="18" customHeight="1">
      <c r="B14" s="366"/>
      <c r="C14" s="366"/>
      <c r="D14" s="366"/>
      <c r="E14" s="366"/>
      <c r="F14" s="366"/>
      <c r="G14" s="366"/>
      <c r="H14" s="1298"/>
      <c r="J14" s="369"/>
      <c r="K14" s="360"/>
      <c r="M14" s="360"/>
      <c r="N14" s="360"/>
      <c r="O14" s="360"/>
      <c r="P14" s="360"/>
      <c r="Q14" s="360"/>
      <c r="R14" s="360"/>
      <c r="S14" s="360"/>
      <c r="T14" s="360"/>
      <c r="U14" s="360"/>
      <c r="V14" s="360"/>
      <c r="W14" s="360"/>
      <c r="X14" s="360"/>
      <c r="Y14" s="360"/>
      <c r="Z14" s="360"/>
      <c r="AA14" s="360"/>
      <c r="AB14" s="360"/>
      <c r="AC14" s="360"/>
      <c r="AD14" s="360"/>
      <c r="AE14" s="360"/>
      <c r="AF14" s="360"/>
      <c r="AG14" s="360"/>
      <c r="AH14" s="360"/>
      <c r="AI14" s="360"/>
      <c r="AJ14" s="360"/>
      <c r="AK14" s="360"/>
      <c r="AL14" s="360"/>
      <c r="AM14" s="360"/>
      <c r="AN14" s="360"/>
      <c r="AO14" s="360"/>
      <c r="AP14" s="360"/>
      <c r="AQ14" s="360"/>
      <c r="AR14" s="360"/>
      <c r="AS14" s="360"/>
      <c r="AT14" s="360"/>
      <c r="AU14" s="360"/>
      <c r="AV14" s="360"/>
      <c r="AW14" s="360"/>
      <c r="AX14" s="360"/>
      <c r="AY14" s="360"/>
      <c r="AZ14" s="360"/>
      <c r="BA14" s="360"/>
      <c r="BB14" s="360"/>
      <c r="BC14" s="360"/>
      <c r="BD14" s="360"/>
      <c r="BE14" s="360"/>
      <c r="BF14" s="360"/>
    </row>
    <row r="15" spans="1:58" s="1297" customFormat="1" ht="18" customHeight="1">
      <c r="B15" s="366"/>
      <c r="C15" s="366"/>
      <c r="D15" s="366"/>
      <c r="E15" s="366"/>
      <c r="F15" s="366"/>
      <c r="G15" s="366"/>
      <c r="H15" s="1298"/>
      <c r="J15" s="369"/>
      <c r="K15" s="360"/>
      <c r="M15" s="360"/>
      <c r="N15" s="360"/>
      <c r="O15" s="360"/>
      <c r="P15" s="360"/>
      <c r="Q15" s="360"/>
      <c r="R15" s="360"/>
      <c r="S15" s="360"/>
      <c r="T15" s="360"/>
      <c r="U15" s="360"/>
      <c r="V15" s="360"/>
      <c r="W15" s="360"/>
      <c r="X15" s="360"/>
      <c r="Y15" s="360"/>
      <c r="Z15" s="360"/>
      <c r="AA15" s="360"/>
      <c r="AB15" s="360"/>
      <c r="AC15" s="360"/>
      <c r="AD15" s="360"/>
      <c r="AE15" s="360"/>
      <c r="AF15" s="360"/>
      <c r="AG15" s="360"/>
      <c r="AH15" s="360"/>
      <c r="AI15" s="360"/>
      <c r="AJ15" s="360"/>
      <c r="AK15" s="360"/>
      <c r="AL15" s="360"/>
      <c r="AM15" s="360"/>
      <c r="AN15" s="360"/>
      <c r="AO15" s="360"/>
      <c r="AP15" s="360"/>
      <c r="AQ15" s="360"/>
      <c r="AR15" s="360"/>
      <c r="AS15" s="360"/>
      <c r="AT15" s="360"/>
      <c r="AU15" s="360"/>
      <c r="AV15" s="360"/>
      <c r="AW15" s="360"/>
      <c r="AX15" s="360"/>
      <c r="AY15" s="360"/>
      <c r="AZ15" s="360"/>
      <c r="BA15" s="360"/>
      <c r="BB15" s="360"/>
      <c r="BC15" s="360"/>
      <c r="BD15" s="360"/>
      <c r="BE15" s="360"/>
      <c r="BF15" s="360"/>
    </row>
    <row r="16" spans="1:58" s="1297" customFormat="1" ht="18" hidden="1" customHeight="1">
      <c r="B16" s="366"/>
      <c r="C16" s="1299"/>
      <c r="D16" s="832"/>
      <c r="E16" s="833"/>
      <c r="F16" s="833"/>
      <c r="G16" s="833"/>
      <c r="H16" s="1298"/>
      <c r="J16" s="369"/>
      <c r="K16" s="360"/>
      <c r="M16" s="360"/>
      <c r="N16" s="360"/>
      <c r="O16" s="360"/>
      <c r="P16" s="360"/>
      <c r="Q16" s="360"/>
      <c r="R16" s="360"/>
      <c r="S16" s="360"/>
      <c r="T16" s="360"/>
      <c r="U16" s="360"/>
      <c r="V16" s="360"/>
      <c r="W16" s="360"/>
      <c r="X16" s="360"/>
      <c r="Y16" s="360"/>
      <c r="Z16" s="360"/>
      <c r="AA16" s="360"/>
      <c r="AB16" s="360"/>
      <c r="AC16" s="360"/>
      <c r="AD16" s="360"/>
      <c r="AE16" s="360"/>
      <c r="AF16" s="360"/>
      <c r="AG16" s="360"/>
      <c r="AH16" s="360"/>
      <c r="AI16" s="360"/>
      <c r="AJ16" s="360"/>
      <c r="AK16" s="360"/>
      <c r="AL16" s="360"/>
      <c r="AM16" s="360"/>
      <c r="AN16" s="360"/>
      <c r="AO16" s="360"/>
      <c r="AP16" s="360"/>
      <c r="AQ16" s="360"/>
      <c r="AR16" s="360"/>
      <c r="AS16" s="360"/>
      <c r="AT16" s="360"/>
      <c r="AU16" s="360"/>
      <c r="AV16" s="360"/>
      <c r="AW16" s="360"/>
      <c r="AX16" s="360"/>
      <c r="AY16" s="360"/>
      <c r="AZ16" s="360"/>
      <c r="BA16" s="360"/>
      <c r="BB16" s="360"/>
      <c r="BC16" s="360"/>
      <c r="BD16" s="360"/>
      <c r="BE16" s="360"/>
      <c r="BF16" s="360"/>
    </row>
    <row r="17" spans="3:58" ht="16.5" hidden="1" customHeight="1" thickBot="1">
      <c r="C17" s="281"/>
      <c r="D17" s="281"/>
      <c r="E17" s="442"/>
      <c r="F17" s="442"/>
      <c r="G17" s="281"/>
      <c r="H17" s="360"/>
      <c r="I17" s="360"/>
      <c r="J17" s="360"/>
      <c r="K17" s="360"/>
      <c r="L17" s="360"/>
      <c r="M17" s="360"/>
      <c r="N17" s="360"/>
      <c r="O17" s="360"/>
      <c r="P17" s="360"/>
      <c r="Q17" s="360"/>
      <c r="R17" s="360"/>
      <c r="S17" s="360"/>
      <c r="T17" s="360"/>
      <c r="AD17" s="360"/>
      <c r="AE17" s="360"/>
      <c r="AO17" s="360"/>
      <c r="AP17" s="360"/>
      <c r="AQ17" s="360"/>
      <c r="AR17" s="360"/>
      <c r="AS17" s="360"/>
      <c r="AT17" s="360"/>
      <c r="AU17" s="360"/>
      <c r="AV17" s="360"/>
      <c r="AW17" s="360"/>
      <c r="AX17" s="360"/>
      <c r="AY17" s="360"/>
      <c r="AZ17" s="360"/>
      <c r="BA17" s="360"/>
      <c r="BB17" s="360"/>
      <c r="BC17" s="360"/>
      <c r="BD17" s="360"/>
      <c r="BE17" s="360"/>
      <c r="BF17" s="360"/>
    </row>
    <row r="18" spans="3:58" ht="30.75" hidden="1" customHeight="1" thickBot="1">
      <c r="C18" s="281"/>
      <c r="D18" s="281"/>
      <c r="E18" s="442"/>
      <c r="F18" s="442"/>
      <c r="G18" s="281"/>
      <c r="H18" s="360"/>
      <c r="I18" s="360"/>
      <c r="J18" s="2101" t="s">
        <v>219</v>
      </c>
      <c r="K18" s="2102"/>
      <c r="L18" s="2102"/>
      <c r="M18" s="2102"/>
      <c r="N18" s="2102"/>
      <c r="O18" s="2102"/>
      <c r="P18" s="2102"/>
      <c r="Q18" s="2102"/>
      <c r="R18" s="2102"/>
      <c r="S18" s="2102"/>
      <c r="T18" s="2102"/>
      <c r="U18" s="2102"/>
      <c r="V18" s="2102"/>
      <c r="W18" s="2102"/>
      <c r="X18" s="2102"/>
      <c r="Y18" s="2102"/>
      <c r="Z18" s="2102"/>
      <c r="AA18" s="2102"/>
      <c r="AB18" s="2102"/>
      <c r="AC18" s="2102"/>
      <c r="AD18" s="2102"/>
      <c r="AE18" s="2102"/>
      <c r="AF18" s="2102"/>
      <c r="AG18" s="2102"/>
      <c r="AH18" s="2102"/>
      <c r="AI18" s="2102"/>
      <c r="AJ18" s="2102"/>
      <c r="AK18" s="2102"/>
      <c r="AL18" s="2102"/>
      <c r="AM18" s="2102"/>
      <c r="AN18" s="2102"/>
      <c r="AO18" s="2102"/>
      <c r="AP18" s="2102"/>
      <c r="AQ18" s="2102"/>
      <c r="AR18" s="2102"/>
      <c r="AS18" s="2102"/>
      <c r="AT18" s="2102"/>
      <c r="AU18" s="2102"/>
      <c r="AV18" s="2102"/>
      <c r="AW18" s="2102"/>
      <c r="AX18" s="2102"/>
      <c r="AY18" s="2102"/>
      <c r="AZ18" s="2103"/>
      <c r="BA18" s="360"/>
      <c r="BB18" s="360"/>
      <c r="BC18" s="360"/>
      <c r="BD18" s="360"/>
      <c r="BE18" s="360"/>
      <c r="BF18" s="360"/>
    </row>
    <row r="19" spans="3:58" ht="14.25" hidden="1" customHeight="1" thickBot="1">
      <c r="J19" s="2075" t="s">
        <v>220</v>
      </c>
      <c r="K19" s="2076"/>
      <c r="L19" s="2076"/>
      <c r="M19" s="2076"/>
      <c r="N19" s="2076"/>
      <c r="O19" s="2076"/>
      <c r="P19" s="2076"/>
      <c r="Q19" s="2076"/>
      <c r="R19" s="2076"/>
      <c r="S19" s="2077"/>
      <c r="T19" s="360"/>
      <c r="V19" s="2075" t="s">
        <v>221</v>
      </c>
      <c r="W19" s="2076"/>
      <c r="X19" s="2076"/>
      <c r="Y19" s="2076"/>
      <c r="Z19" s="2076"/>
      <c r="AA19" s="2076"/>
      <c r="AB19" s="2076"/>
      <c r="AC19" s="2076"/>
      <c r="AD19" s="2076"/>
      <c r="AE19" s="2077"/>
      <c r="AH19" s="2104" t="s">
        <v>220</v>
      </c>
      <c r="AI19" s="2105"/>
      <c r="AJ19" s="2105"/>
      <c r="AK19" s="2105"/>
      <c r="AL19" s="2105"/>
      <c r="AM19" s="2105"/>
      <c r="AN19" s="2105"/>
      <c r="AO19" s="2105"/>
      <c r="AP19" s="2106"/>
      <c r="AR19" s="371" t="s">
        <v>221</v>
      </c>
      <c r="AS19" s="371"/>
      <c r="AT19" s="371"/>
      <c r="AU19" s="371"/>
      <c r="AV19" s="371"/>
      <c r="AW19" s="371"/>
      <c r="AX19" s="371"/>
      <c r="AY19" s="371"/>
      <c r="AZ19" s="371"/>
      <c r="BA19" s="360"/>
      <c r="BB19" s="360"/>
      <c r="BC19" s="360"/>
      <c r="BD19" s="360"/>
      <c r="BE19" s="360"/>
      <c r="BF19" s="360"/>
    </row>
    <row r="20" spans="3:58" ht="14.25" hidden="1" customHeight="1" thickBot="1">
      <c r="J20" s="372" t="s">
        <v>1</v>
      </c>
      <c r="K20" s="2107">
        <v>160</v>
      </c>
      <c r="L20" s="2109">
        <v>200</v>
      </c>
      <c r="M20" s="2109">
        <v>260</v>
      </c>
      <c r="N20" s="2109">
        <v>300</v>
      </c>
      <c r="O20" s="2109"/>
      <c r="P20" s="2111">
        <v>360</v>
      </c>
      <c r="Q20" s="2112"/>
      <c r="R20" s="2109">
        <v>400</v>
      </c>
      <c r="S20" s="2118"/>
      <c r="T20" s="281"/>
      <c r="U20" s="360"/>
      <c r="V20" s="373" t="s">
        <v>1</v>
      </c>
      <c r="W20" s="2107">
        <v>160</v>
      </c>
      <c r="X20" s="2109">
        <v>200</v>
      </c>
      <c r="Y20" s="2109">
        <v>260</v>
      </c>
      <c r="Z20" s="2109">
        <v>300</v>
      </c>
      <c r="AA20" s="2109"/>
      <c r="AB20" s="2111">
        <v>360</v>
      </c>
      <c r="AC20" s="2112"/>
      <c r="AD20" s="2109">
        <v>400</v>
      </c>
      <c r="AE20" s="2118"/>
      <c r="AF20" s="360"/>
      <c r="AG20" s="360"/>
      <c r="AH20" s="374" t="s">
        <v>1</v>
      </c>
      <c r="AI20" s="2113">
        <v>160</v>
      </c>
      <c r="AJ20" s="375">
        <v>200</v>
      </c>
      <c r="AK20" s="2115">
        <v>260</v>
      </c>
      <c r="AL20" s="2117">
        <v>300</v>
      </c>
      <c r="AM20" s="2107"/>
      <c r="AN20" s="2115">
        <v>360</v>
      </c>
      <c r="AO20" s="2117">
        <v>400</v>
      </c>
      <c r="AP20" s="2107"/>
      <c r="AQ20" s="360"/>
      <c r="AR20" s="376" t="s">
        <v>1</v>
      </c>
      <c r="AS20" s="2113">
        <v>160</v>
      </c>
      <c r="AT20" s="375">
        <v>200</v>
      </c>
      <c r="AU20" s="2115">
        <v>260</v>
      </c>
      <c r="AV20" s="2117">
        <v>300</v>
      </c>
      <c r="AW20" s="2107"/>
      <c r="AX20" s="2115">
        <v>360</v>
      </c>
      <c r="AY20" s="2117">
        <v>400</v>
      </c>
      <c r="AZ20" s="2107"/>
      <c r="BA20" s="360"/>
      <c r="BB20" s="360"/>
      <c r="BC20" s="360"/>
      <c r="BD20" s="360"/>
      <c r="BE20" s="360"/>
      <c r="BF20" s="360"/>
    </row>
    <row r="21" spans="3:58" ht="18" hidden="1" customHeight="1" thickBot="1">
      <c r="J21" s="377" t="s">
        <v>0</v>
      </c>
      <c r="K21" s="2108"/>
      <c r="L21" s="2110"/>
      <c r="M21" s="2110"/>
      <c r="N21" s="1076">
        <v>1</v>
      </c>
      <c r="O21" s="1076">
        <v>2</v>
      </c>
      <c r="P21" s="573">
        <v>1</v>
      </c>
      <c r="Q21" s="1076">
        <v>2</v>
      </c>
      <c r="R21" s="1076">
        <v>1</v>
      </c>
      <c r="S21" s="574">
        <v>2</v>
      </c>
      <c r="T21" s="281"/>
      <c r="U21" s="360"/>
      <c r="V21" s="378" t="s">
        <v>0</v>
      </c>
      <c r="W21" s="2119"/>
      <c r="X21" s="2120"/>
      <c r="Y21" s="2120"/>
      <c r="Z21" s="1080">
        <v>1</v>
      </c>
      <c r="AA21" s="1080">
        <v>2</v>
      </c>
      <c r="AB21" s="1080">
        <v>1</v>
      </c>
      <c r="AC21" s="1080">
        <v>2</v>
      </c>
      <c r="AD21" s="1080">
        <v>1</v>
      </c>
      <c r="AE21" s="572">
        <v>2</v>
      </c>
      <c r="AF21" s="360"/>
      <c r="AG21" s="360"/>
      <c r="AH21" s="379" t="s">
        <v>0</v>
      </c>
      <c r="AI21" s="2114"/>
      <c r="AJ21" s="380"/>
      <c r="AK21" s="2116"/>
      <c r="AL21" s="376">
        <v>1</v>
      </c>
      <c r="AM21" s="376">
        <v>2</v>
      </c>
      <c r="AN21" s="2116"/>
      <c r="AO21" s="376">
        <v>1</v>
      </c>
      <c r="AP21" s="376">
        <v>2</v>
      </c>
      <c r="AQ21" s="360"/>
      <c r="AR21" s="376" t="s">
        <v>0</v>
      </c>
      <c r="AS21" s="2114"/>
      <c r="AT21" s="380"/>
      <c r="AU21" s="2116"/>
      <c r="AV21" s="376">
        <v>1</v>
      </c>
      <c r="AW21" s="376">
        <v>2</v>
      </c>
      <c r="AX21" s="2116"/>
      <c r="AY21" s="376">
        <v>1</v>
      </c>
      <c r="AZ21" s="376">
        <v>2</v>
      </c>
      <c r="BA21" s="360"/>
      <c r="BB21" s="360"/>
      <c r="BC21" s="360"/>
      <c r="BD21" s="360"/>
      <c r="BE21" s="360"/>
      <c r="BF21" s="360"/>
    </row>
    <row r="22" spans="3:58" ht="18" hidden="1" customHeight="1" thickBot="1">
      <c r="J22" s="577">
        <v>65</v>
      </c>
      <c r="K22" s="580">
        <f>K24*0.71</f>
        <v>182.38337999999999</v>
      </c>
      <c r="L22" s="580">
        <f t="shared" ref="L22:S23" si="0">L24*0.71</f>
        <v>202.64819999999997</v>
      </c>
      <c r="M22" s="580">
        <f t="shared" si="0"/>
        <v>261.01871999999997</v>
      </c>
      <c r="N22" s="580">
        <f t="shared" si="0"/>
        <v>280.43382555270722</v>
      </c>
      <c r="O22" s="580">
        <f t="shared" si="0"/>
        <v>375.5616</v>
      </c>
      <c r="P22" s="580"/>
      <c r="Q22" s="580">
        <f>Q24*0.71</f>
        <v>403.41262799999993</v>
      </c>
      <c r="R22" s="580">
        <f t="shared" si="0"/>
        <v>415.60485203260788</v>
      </c>
      <c r="S22" s="581">
        <f t="shared" si="0"/>
        <v>541.32671999999991</v>
      </c>
      <c r="T22" s="381"/>
      <c r="U22" s="360"/>
      <c r="V22" s="628">
        <v>65</v>
      </c>
      <c r="W22" s="536">
        <v>1.8</v>
      </c>
      <c r="X22" s="537">
        <v>1.75</v>
      </c>
      <c r="Y22" s="537">
        <v>1.7</v>
      </c>
      <c r="Z22" s="537">
        <v>1.65</v>
      </c>
      <c r="AA22" s="537">
        <v>1.65</v>
      </c>
      <c r="AB22" s="537"/>
      <c r="AC22" s="537">
        <v>1.6</v>
      </c>
      <c r="AD22" s="537">
        <v>1.55</v>
      </c>
      <c r="AE22" s="538">
        <v>1.55</v>
      </c>
      <c r="AF22" s="360"/>
      <c r="AG22" s="360"/>
      <c r="AH22" s="382">
        <v>55</v>
      </c>
      <c r="AI22" s="383">
        <f t="shared" ref="AI22:AP22" si="1">AI23*0.55</f>
        <v>115.85197800000002</v>
      </c>
      <c r="AJ22" s="383">
        <f t="shared" si="1"/>
        <v>128.72441999999998</v>
      </c>
      <c r="AK22" s="383">
        <f t="shared" si="1"/>
        <v>165.802032</v>
      </c>
      <c r="AL22" s="383">
        <f t="shared" si="1"/>
        <v>178.13472580883234</v>
      </c>
      <c r="AM22" s="383">
        <f t="shared" si="1"/>
        <v>238.56095999999999</v>
      </c>
      <c r="AN22" s="383">
        <f t="shared" si="1"/>
        <v>256.25224679999997</v>
      </c>
      <c r="AO22" s="383">
        <f t="shared" si="1"/>
        <v>263.99688488268475</v>
      </c>
      <c r="AP22" s="383">
        <f t="shared" si="1"/>
        <v>343.856832</v>
      </c>
      <c r="AQ22" s="360"/>
      <c r="AR22" s="376">
        <v>55</v>
      </c>
      <c r="AS22" s="384">
        <v>1.85</v>
      </c>
      <c r="AT22" s="384">
        <v>1.8</v>
      </c>
      <c r="AU22" s="384">
        <v>1.75</v>
      </c>
      <c r="AV22" s="384">
        <v>1.7</v>
      </c>
      <c r="AW22" s="384">
        <v>1.7</v>
      </c>
      <c r="AX22" s="384">
        <v>1.65</v>
      </c>
      <c r="AY22" s="384">
        <v>1.6</v>
      </c>
      <c r="AZ22" s="384">
        <v>1.6</v>
      </c>
      <c r="BA22" s="360"/>
      <c r="BB22" s="360"/>
      <c r="BC22" s="360"/>
      <c r="BD22" s="360"/>
      <c r="BE22" s="360"/>
      <c r="BF22" s="360"/>
    </row>
    <row r="23" spans="3:58" ht="14.25" hidden="1" customHeight="1" thickBot="1">
      <c r="J23" s="578">
        <v>70</v>
      </c>
      <c r="K23" s="582">
        <f>K25*0.71</f>
        <v>223.64202760739133</v>
      </c>
      <c r="L23" s="582">
        <f t="shared" si="0"/>
        <v>254.13866773567196</v>
      </c>
      <c r="M23" s="582">
        <f t="shared" si="0"/>
        <v>321.11084986879609</v>
      </c>
      <c r="N23" s="582">
        <f t="shared" si="0"/>
        <v>343.95352294051128</v>
      </c>
      <c r="O23" s="582">
        <f t="shared" si="0"/>
        <v>437.49764734670396</v>
      </c>
      <c r="P23" s="582"/>
      <c r="Q23" s="582">
        <f>Q25*0.71</f>
        <v>475.23930866570652</v>
      </c>
      <c r="R23" s="582">
        <f t="shared" si="0"/>
        <v>496.94875110427813</v>
      </c>
      <c r="S23" s="583">
        <f t="shared" si="0"/>
        <v>568.60214714941435</v>
      </c>
      <c r="T23" s="381"/>
      <c r="U23" s="360"/>
      <c r="V23" s="578">
        <v>70</v>
      </c>
      <c r="W23" s="539">
        <v>1.75</v>
      </c>
      <c r="X23" s="540">
        <v>1.7</v>
      </c>
      <c r="Y23" s="540">
        <v>1.65</v>
      </c>
      <c r="Z23" s="540">
        <v>1.6</v>
      </c>
      <c r="AA23" s="540">
        <v>1.6</v>
      </c>
      <c r="AB23" s="540"/>
      <c r="AC23" s="540">
        <v>1.55</v>
      </c>
      <c r="AD23" s="540">
        <v>1.5</v>
      </c>
      <c r="AE23" s="541">
        <v>1.5</v>
      </c>
      <c r="AF23" s="360"/>
      <c r="AG23" s="360"/>
      <c r="AH23" s="382">
        <v>75</v>
      </c>
      <c r="AI23" s="383">
        <v>210.63996</v>
      </c>
      <c r="AJ23" s="385">
        <v>234.04439999999997</v>
      </c>
      <c r="AK23" s="385">
        <v>301.45823999999999</v>
      </c>
      <c r="AL23" s="385">
        <v>323.88131965242241</v>
      </c>
      <c r="AM23" s="385">
        <v>433.74719999999996</v>
      </c>
      <c r="AN23" s="385">
        <v>465.91317599999985</v>
      </c>
      <c r="AO23" s="385">
        <v>479.99433615033593</v>
      </c>
      <c r="AP23" s="385">
        <v>625.19423999999992</v>
      </c>
      <c r="AR23" s="376">
        <v>75</v>
      </c>
      <c r="AS23" s="386">
        <v>1.7</v>
      </c>
      <c r="AT23" s="386">
        <v>1.65</v>
      </c>
      <c r="AU23" s="386">
        <v>1.6</v>
      </c>
      <c r="AV23" s="386">
        <v>1.55</v>
      </c>
      <c r="AW23" s="386">
        <v>1.55</v>
      </c>
      <c r="AX23" s="386">
        <v>1.5</v>
      </c>
      <c r="AY23" s="386">
        <v>1.45</v>
      </c>
      <c r="AZ23" s="386">
        <v>1.45</v>
      </c>
      <c r="BA23" s="360"/>
      <c r="BB23" s="360"/>
      <c r="BC23" s="360"/>
      <c r="BD23" s="360"/>
      <c r="BE23" s="360"/>
      <c r="BF23" s="360"/>
    </row>
    <row r="24" spans="3:58" ht="14.25" hidden="1" customHeight="1">
      <c r="J24" s="578">
        <v>75</v>
      </c>
      <c r="K24" s="387">
        <f>L24*0.9</f>
        <v>256.87799999999999</v>
      </c>
      <c r="L24" s="388">
        <f>L26*0.71</f>
        <v>285.41999999999996</v>
      </c>
      <c r="M24" s="388">
        <f>M26*0.69</f>
        <v>367.63199999999995</v>
      </c>
      <c r="N24" s="388">
        <f>N26*0.66</f>
        <v>394.97721908832006</v>
      </c>
      <c r="O24" s="388">
        <f>O26*0.76</f>
        <v>528.96</v>
      </c>
      <c r="P24" s="388"/>
      <c r="Q24" s="388">
        <f>Q26*0.74</f>
        <v>568.18679999999995</v>
      </c>
      <c r="R24" s="388">
        <f>R26*0.72</f>
        <v>585.35894652479988</v>
      </c>
      <c r="S24" s="389">
        <f>S26*0.76</f>
        <v>762.4319999999999</v>
      </c>
      <c r="T24" s="390"/>
      <c r="U24" s="360"/>
      <c r="V24" s="578">
        <v>75</v>
      </c>
      <c r="W24" s="542">
        <v>1.7</v>
      </c>
      <c r="X24" s="543">
        <v>1.65</v>
      </c>
      <c r="Y24" s="543">
        <v>1.6</v>
      </c>
      <c r="Z24" s="543">
        <v>1.55</v>
      </c>
      <c r="AA24" s="543">
        <v>1.55</v>
      </c>
      <c r="AB24" s="543"/>
      <c r="AC24" s="543">
        <v>1.5</v>
      </c>
      <c r="AD24" s="543">
        <v>1.45</v>
      </c>
      <c r="AE24" s="544">
        <v>1.45</v>
      </c>
      <c r="AF24" s="360"/>
      <c r="AG24" s="360"/>
      <c r="AQ24" s="360"/>
      <c r="BA24" s="360"/>
      <c r="BB24" s="360"/>
      <c r="BC24" s="360"/>
      <c r="BD24" s="360"/>
      <c r="BE24" s="360"/>
      <c r="BF24" s="360"/>
    </row>
    <row r="25" spans="3:58" ht="14.25" hidden="1" customHeight="1">
      <c r="J25" s="578">
        <v>80</v>
      </c>
      <c r="K25" s="391">
        <f>K27*0.71</f>
        <v>314.98877127801597</v>
      </c>
      <c r="L25" s="391">
        <f t="shared" ref="L25:S25" si="2">L27*0.71</f>
        <v>357.94178554319996</v>
      </c>
      <c r="M25" s="391">
        <f t="shared" si="2"/>
        <v>452.26880263210722</v>
      </c>
      <c r="N25" s="391">
        <f>N27*0.71</f>
        <v>484.44158160635391</v>
      </c>
      <c r="O25" s="391">
        <f t="shared" si="2"/>
        <v>616.19386950239993</v>
      </c>
      <c r="P25" s="391"/>
      <c r="Q25" s="391">
        <f>Q27*0.71</f>
        <v>669.35113896578389</v>
      </c>
      <c r="R25" s="391">
        <f t="shared" si="2"/>
        <v>699.92781845672982</v>
      </c>
      <c r="S25" s="392">
        <f t="shared" si="2"/>
        <v>800.84809457663994</v>
      </c>
      <c r="T25" s="393"/>
      <c r="U25" s="360"/>
      <c r="V25" s="578">
        <v>80</v>
      </c>
      <c r="W25" s="545">
        <v>1.65</v>
      </c>
      <c r="X25" s="546">
        <v>1.6</v>
      </c>
      <c r="Y25" s="546">
        <v>1.55</v>
      </c>
      <c r="Z25" s="546">
        <v>1.5</v>
      </c>
      <c r="AA25" s="546">
        <v>1.5</v>
      </c>
      <c r="AB25" s="546"/>
      <c r="AC25" s="546">
        <v>1.45</v>
      </c>
      <c r="AD25" s="546">
        <v>1.4</v>
      </c>
      <c r="AE25" s="547">
        <v>1.4</v>
      </c>
      <c r="AF25" s="360"/>
      <c r="AG25" s="360"/>
      <c r="AH25" s="360"/>
      <c r="AI25" s="360"/>
      <c r="AJ25" s="360"/>
      <c r="AK25" s="360"/>
      <c r="AL25" s="360"/>
      <c r="AM25" s="360"/>
      <c r="AN25" s="360"/>
      <c r="AO25" s="360"/>
      <c r="AP25" s="360"/>
      <c r="AQ25" s="360"/>
      <c r="AR25" s="360"/>
      <c r="AS25" s="360"/>
      <c r="AT25" s="360"/>
      <c r="AU25" s="360"/>
      <c r="AV25" s="360"/>
      <c r="AW25" s="360"/>
      <c r="AX25" s="360"/>
      <c r="AY25" s="360"/>
      <c r="AZ25" s="360"/>
      <c r="BA25" s="360"/>
      <c r="BB25" s="360"/>
      <c r="BC25" s="360"/>
      <c r="BD25" s="360"/>
      <c r="BE25" s="360"/>
      <c r="BF25" s="360"/>
    </row>
    <row r="26" spans="3:58" ht="14.25" hidden="1" customHeight="1">
      <c r="J26" s="578">
        <v>90</v>
      </c>
      <c r="K26" s="394">
        <f>L26*0.89</f>
        <v>357.78000000000003</v>
      </c>
      <c r="L26" s="396">
        <f>335*1.2</f>
        <v>402</v>
      </c>
      <c r="M26" s="395">
        <f>444*1.2</f>
        <v>532.79999999999995</v>
      </c>
      <c r="N26" s="395">
        <f>M26*1.12321759</f>
        <v>598.45033195200006</v>
      </c>
      <c r="O26" s="396">
        <f>580*1.2</f>
        <v>696</v>
      </c>
      <c r="P26" s="396"/>
      <c r="Q26" s="395">
        <f>L26*1.91</f>
        <v>767.81999999999994</v>
      </c>
      <c r="R26" s="395">
        <f>L26*2.02238442</f>
        <v>812.99853683999993</v>
      </c>
      <c r="S26" s="584">
        <f>836*1.2</f>
        <v>1003.1999999999999</v>
      </c>
      <c r="T26" s="397"/>
      <c r="U26" s="360"/>
      <c r="V26" s="578">
        <v>90</v>
      </c>
      <c r="W26" s="548">
        <v>1.6</v>
      </c>
      <c r="X26" s="549">
        <v>1.55</v>
      </c>
      <c r="Y26" s="549">
        <v>1.5</v>
      </c>
      <c r="Z26" s="549">
        <v>1.45</v>
      </c>
      <c r="AA26" s="549">
        <v>1.45</v>
      </c>
      <c r="AB26" s="549"/>
      <c r="AC26" s="549">
        <v>1.4</v>
      </c>
      <c r="AD26" s="549">
        <v>1.3</v>
      </c>
      <c r="AE26" s="550">
        <v>1.3</v>
      </c>
      <c r="AF26" s="360"/>
      <c r="AG26" s="360"/>
      <c r="AH26" s="360"/>
      <c r="AI26" s="360"/>
      <c r="AJ26" s="360"/>
      <c r="AK26" s="360"/>
      <c r="AL26" s="360"/>
      <c r="AM26" s="360"/>
      <c r="AN26" s="360"/>
      <c r="AO26" s="360"/>
      <c r="AP26" s="360"/>
      <c r="AQ26" s="360"/>
      <c r="AR26" s="360"/>
      <c r="AS26" s="360"/>
      <c r="AT26" s="360"/>
      <c r="AU26" s="360"/>
      <c r="AV26" s="360"/>
      <c r="AW26" s="360"/>
      <c r="AX26" s="360"/>
      <c r="AY26" s="360"/>
      <c r="AZ26" s="360"/>
      <c r="BA26" s="360"/>
      <c r="BB26" s="360"/>
      <c r="BC26" s="360"/>
      <c r="BD26" s="360"/>
      <c r="BE26" s="360"/>
      <c r="BF26" s="360"/>
    </row>
    <row r="27" spans="3:58" ht="15" hidden="1" customHeight="1">
      <c r="J27" s="578">
        <v>110</v>
      </c>
      <c r="K27" s="398">
        <f>L27*0.88</f>
        <v>443.64615672959997</v>
      </c>
      <c r="L27" s="399">
        <f>L26*1.25408796</f>
        <v>504.14335991999997</v>
      </c>
      <c r="M27" s="399">
        <f>L27*1.26352614</f>
        <v>636.9983135663482</v>
      </c>
      <c r="N27" s="399">
        <f>M27*1.07113641</f>
        <v>682.31208676951258</v>
      </c>
      <c r="O27" s="399">
        <f>O26*1.24695214</f>
        <v>867.87868944000002</v>
      </c>
      <c r="P27" s="399"/>
      <c r="Q27" s="399">
        <f>L27*1.87</f>
        <v>942.74808305039994</v>
      </c>
      <c r="R27" s="399">
        <f>L27*1.95542361</f>
        <v>985.81382881229558</v>
      </c>
      <c r="S27" s="400">
        <f>S26*1.12435712</f>
        <v>1127.9550627839999</v>
      </c>
      <c r="T27" s="390"/>
      <c r="U27" s="360"/>
      <c r="V27" s="578">
        <v>110</v>
      </c>
      <c r="W27" s="551">
        <v>1.5</v>
      </c>
      <c r="X27" s="552">
        <v>1.3</v>
      </c>
      <c r="Y27" s="552">
        <v>1.3</v>
      </c>
      <c r="Z27" s="552">
        <v>1.3</v>
      </c>
      <c r="AA27" s="552">
        <v>1.3</v>
      </c>
      <c r="AB27" s="552"/>
      <c r="AC27" s="552">
        <v>1.3</v>
      </c>
      <c r="AD27" s="552">
        <v>1.3</v>
      </c>
      <c r="AE27" s="553">
        <v>1.3</v>
      </c>
      <c r="AF27" s="360"/>
      <c r="AG27" s="360"/>
      <c r="AH27" s="360"/>
      <c r="AI27" s="360"/>
      <c r="AJ27" s="360"/>
      <c r="AK27" s="360"/>
      <c r="AL27" s="360"/>
      <c r="AM27" s="360"/>
      <c r="AN27" s="360"/>
      <c r="AO27" s="360"/>
      <c r="AP27" s="360"/>
      <c r="AQ27" s="360"/>
      <c r="AR27" s="360"/>
      <c r="AS27" s="360"/>
      <c r="AT27" s="360"/>
      <c r="AU27" s="360"/>
      <c r="AV27" s="360"/>
      <c r="AW27" s="360"/>
      <c r="AX27" s="360"/>
      <c r="AY27" s="360"/>
      <c r="AZ27" s="360"/>
      <c r="BA27" s="360"/>
      <c r="BB27" s="360"/>
      <c r="BC27" s="360"/>
      <c r="BD27" s="360"/>
      <c r="BE27" s="360"/>
      <c r="BF27" s="360"/>
    </row>
    <row r="28" spans="3:58" ht="15" hidden="1" customHeight="1">
      <c r="J28" s="578">
        <v>140</v>
      </c>
      <c r="K28" s="425">
        <f>K29*0.965</f>
        <v>651.82661999999993</v>
      </c>
      <c r="L28" s="425">
        <f t="shared" ref="L28:S28" si="3">L29*0.965</f>
        <v>749.226</v>
      </c>
      <c r="M28" s="425">
        <f t="shared" si="3"/>
        <v>971.40305141459987</v>
      </c>
      <c r="N28" s="425">
        <f t="shared" si="3"/>
        <v>1068.5560799999998</v>
      </c>
      <c r="O28" s="425">
        <f t="shared" si="3"/>
        <v>1161.4739999999999</v>
      </c>
      <c r="P28" s="425">
        <f t="shared" si="3"/>
        <v>1113.6828024919505</v>
      </c>
      <c r="Q28" s="425">
        <f t="shared" si="3"/>
        <v>1223.8272554856599</v>
      </c>
      <c r="R28" s="425">
        <f t="shared" si="3"/>
        <v>1186.0236</v>
      </c>
      <c r="S28" s="425">
        <f t="shared" si="3"/>
        <v>1317.8039999999999</v>
      </c>
      <c r="T28" s="390"/>
      <c r="U28" s="360"/>
      <c r="V28" s="578">
        <v>140</v>
      </c>
      <c r="W28" s="603">
        <v>1.41</v>
      </c>
      <c r="X28" s="604">
        <v>1.34</v>
      </c>
      <c r="Y28" s="604">
        <v>1.3180000000000001</v>
      </c>
      <c r="Z28" s="604">
        <v>1.3</v>
      </c>
      <c r="AA28" s="604">
        <v>1.3</v>
      </c>
      <c r="AB28" s="604">
        <v>1.28</v>
      </c>
      <c r="AC28" s="604">
        <v>1.28</v>
      </c>
      <c r="AD28" s="604">
        <v>1.25</v>
      </c>
      <c r="AE28" s="605">
        <v>1.25</v>
      </c>
      <c r="AF28" s="360"/>
      <c r="AG28" s="360"/>
      <c r="AH28" s="360"/>
      <c r="AI28" s="360"/>
      <c r="AJ28" s="360"/>
      <c r="AK28" s="360"/>
      <c r="AL28" s="360"/>
      <c r="AM28" s="360"/>
      <c r="AN28" s="360"/>
      <c r="AO28" s="360"/>
      <c r="AP28" s="360"/>
      <c r="AQ28" s="360"/>
      <c r="AR28" s="360"/>
      <c r="AS28" s="360"/>
      <c r="AT28" s="360"/>
      <c r="AU28" s="360"/>
      <c r="AV28" s="360"/>
      <c r="AW28" s="360"/>
      <c r="AX28" s="360"/>
      <c r="AY28" s="360"/>
      <c r="AZ28" s="360"/>
      <c r="BA28" s="360"/>
      <c r="BB28" s="360"/>
      <c r="BC28" s="360"/>
      <c r="BD28" s="360"/>
      <c r="BE28" s="360"/>
      <c r="BF28" s="360"/>
    </row>
    <row r="29" spans="3:58" ht="15" hidden="1" customHeight="1">
      <c r="J29" s="578">
        <v>150</v>
      </c>
      <c r="K29" s="401">
        <f>L29*0.87</f>
        <v>675.46799999999996</v>
      </c>
      <c r="L29" s="404">
        <f>1.2*647</f>
        <v>776.4</v>
      </c>
      <c r="M29" s="402">
        <f>L29*1.2965421</f>
        <v>1006.63528644</v>
      </c>
      <c r="N29" s="403">
        <f>O29*0.92</f>
        <v>1107.3119999999999</v>
      </c>
      <c r="O29" s="404">
        <f>1003*1.2</f>
        <v>1203.5999999999999</v>
      </c>
      <c r="P29" s="403">
        <f>Q29*0.91</f>
        <v>1154.0754429968399</v>
      </c>
      <c r="Q29" s="403">
        <f>O29*1.05368459</f>
        <v>1268.214772524</v>
      </c>
      <c r="R29" s="403">
        <f>S29*0.9</f>
        <v>1229.04</v>
      </c>
      <c r="S29" s="405">
        <f>1138*1.2</f>
        <v>1365.6</v>
      </c>
      <c r="T29" s="406"/>
      <c r="U29" s="360"/>
      <c r="V29" s="578">
        <v>150</v>
      </c>
      <c r="W29" s="554">
        <v>1.4</v>
      </c>
      <c r="X29" s="555">
        <v>1.35</v>
      </c>
      <c r="Y29" s="555">
        <v>1.32</v>
      </c>
      <c r="Z29" s="555">
        <v>1.3</v>
      </c>
      <c r="AA29" s="555">
        <v>1.3</v>
      </c>
      <c r="AB29" s="555">
        <v>1.28</v>
      </c>
      <c r="AC29" s="555">
        <v>1.28</v>
      </c>
      <c r="AD29" s="555">
        <v>1.25</v>
      </c>
      <c r="AE29" s="556">
        <v>1.25</v>
      </c>
      <c r="AF29" s="360"/>
      <c r="AG29" s="360"/>
      <c r="AH29" s="360"/>
      <c r="AI29" s="360"/>
      <c r="AJ29" s="360"/>
      <c r="AK29" s="360"/>
      <c r="AL29" s="360"/>
      <c r="AM29" s="360"/>
      <c r="AN29" s="360"/>
      <c r="AO29" s="360"/>
      <c r="AP29" s="360"/>
      <c r="AQ29" s="360"/>
      <c r="AR29" s="360"/>
      <c r="AS29" s="360"/>
      <c r="AT29" s="360"/>
      <c r="AU29" s="360"/>
      <c r="AV29" s="360"/>
      <c r="AW29" s="360"/>
      <c r="AX29" s="360"/>
      <c r="AY29" s="360"/>
      <c r="AZ29" s="360"/>
      <c r="BA29" s="360"/>
      <c r="BB29" s="360"/>
      <c r="BC29" s="360"/>
      <c r="BD29" s="360"/>
      <c r="BE29" s="360"/>
      <c r="BF29" s="360"/>
    </row>
    <row r="30" spans="3:58" ht="15" hidden="1" customHeight="1">
      <c r="J30" s="578">
        <v>200</v>
      </c>
      <c r="K30" s="585"/>
      <c r="L30" s="407">
        <f>L29*1.15</f>
        <v>892.8599999999999</v>
      </c>
      <c r="M30" s="407">
        <f>M29*1.032</f>
        <v>1038.8476156060799</v>
      </c>
      <c r="N30" s="407">
        <f>M30*1.07113641</f>
        <v>1112.7475055173563</v>
      </c>
      <c r="O30" s="407"/>
      <c r="P30" s="407"/>
      <c r="Q30" s="407">
        <f>1874/1268*Q29</f>
        <v>1874.3174161750599</v>
      </c>
      <c r="R30" s="407"/>
      <c r="S30" s="408"/>
      <c r="T30" s="390"/>
      <c r="U30" s="360"/>
      <c r="V30" s="578">
        <v>200</v>
      </c>
      <c r="W30" s="557">
        <v>1.3</v>
      </c>
      <c r="X30" s="558">
        <v>1.25</v>
      </c>
      <c r="Y30" s="558">
        <v>1.3</v>
      </c>
      <c r="Z30" s="558">
        <v>1.28</v>
      </c>
      <c r="AA30" s="558"/>
      <c r="AB30" s="558"/>
      <c r="AC30" s="558">
        <v>1.26</v>
      </c>
      <c r="AD30" s="558"/>
      <c r="AE30" s="559"/>
      <c r="AF30" s="360"/>
      <c r="AG30" s="360"/>
      <c r="AH30" s="360"/>
      <c r="AI30" s="360">
        <v>856.83302508671989</v>
      </c>
      <c r="AJ30" s="360">
        <v>973.67389214399986</v>
      </c>
      <c r="AK30" s="360">
        <v>1230.2624145594843</v>
      </c>
      <c r="AL30" s="360">
        <v>1317.7788660891779</v>
      </c>
      <c r="AM30" s="360">
        <v>1500.8315957039999</v>
      </c>
      <c r="AN30" s="360">
        <v>1820.7701783092798</v>
      </c>
      <c r="AO30" s="360">
        <v>1903.9449171389708</v>
      </c>
      <c r="AP30" s="360">
        <v>1535.4220830719999</v>
      </c>
      <c r="AQ30" s="360"/>
      <c r="AR30" s="360"/>
      <c r="AS30" s="360"/>
      <c r="AT30" s="360"/>
      <c r="AU30" s="360"/>
      <c r="AV30" s="360"/>
      <c r="AW30" s="360"/>
      <c r="AX30" s="360"/>
      <c r="AY30" s="360"/>
      <c r="AZ30" s="360"/>
      <c r="BA30" s="360"/>
      <c r="BB30" s="360"/>
      <c r="BC30" s="360"/>
      <c r="BD30" s="360"/>
      <c r="BE30" s="360"/>
      <c r="BF30" s="360"/>
    </row>
    <row r="31" spans="3:58" ht="15" hidden="1" customHeight="1">
      <c r="J31" s="578">
        <v>300</v>
      </c>
      <c r="K31" s="586"/>
      <c r="L31" s="409"/>
      <c r="M31" s="409">
        <f>1194/1039*M30</f>
        <v>1193.8248826117992</v>
      </c>
      <c r="N31" s="409">
        <f>M31*1.07113641</f>
        <v>1278.7492989294742</v>
      </c>
      <c r="O31" s="409"/>
      <c r="P31" s="409"/>
      <c r="Q31" s="409">
        <f>2148/1874*Q30</f>
        <v>2148.3638260106877</v>
      </c>
      <c r="R31" s="409"/>
      <c r="S31" s="410"/>
      <c r="T31" s="390"/>
      <c r="U31" s="360"/>
      <c r="V31" s="578">
        <v>300</v>
      </c>
      <c r="W31" s="560">
        <v>1.2</v>
      </c>
      <c r="X31" s="561"/>
      <c r="Y31" s="561">
        <v>1.28</v>
      </c>
      <c r="Z31" s="561">
        <v>1.26</v>
      </c>
      <c r="AA31" s="561"/>
      <c r="AB31" s="561"/>
      <c r="AC31" s="561">
        <v>1.24</v>
      </c>
      <c r="AD31" s="561"/>
      <c r="AE31" s="562"/>
      <c r="AF31" s="360"/>
      <c r="AG31" s="360"/>
      <c r="AH31" s="360"/>
      <c r="AI31" s="360">
        <v>1074.5439804916334</v>
      </c>
      <c r="AJ31" s="360">
        <v>1221.0727051041288</v>
      </c>
      <c r="AK31" s="360">
        <v>1542.8572817395782</v>
      </c>
      <c r="AL31" s="360">
        <v>1652.6106099048905</v>
      </c>
      <c r="AM31" s="360">
        <v>1871.4651700427178</v>
      </c>
      <c r="AN31" s="360">
        <v>2283.4059585447208</v>
      </c>
      <c r="AO31" s="360">
        <v>2387.7143970871807</v>
      </c>
      <c r="AP31" s="360">
        <v>1726.3627513072345</v>
      </c>
      <c r="AQ31" s="360"/>
      <c r="AR31" s="360"/>
      <c r="AS31" s="360"/>
      <c r="AT31" s="360"/>
      <c r="AU31" s="360"/>
      <c r="AV31" s="360"/>
      <c r="AW31" s="360"/>
      <c r="AX31" s="360"/>
      <c r="AY31" s="360"/>
      <c r="AZ31" s="360"/>
      <c r="BA31" s="360"/>
      <c r="BB31" s="360"/>
      <c r="BC31" s="360"/>
      <c r="BD31" s="360"/>
      <c r="BE31" s="360"/>
      <c r="BF31" s="360"/>
    </row>
    <row r="32" spans="3:58" ht="15" hidden="1" customHeight="1">
      <c r="J32" s="578">
        <v>400</v>
      </c>
      <c r="K32" s="587"/>
      <c r="L32" s="411"/>
      <c r="M32" s="412">
        <f>1396/1194*M31</f>
        <v>1395.7952563869949</v>
      </c>
      <c r="N32" s="413">
        <f>M32*1.07113641</f>
        <v>1495.0871200213953</v>
      </c>
      <c r="O32" s="412"/>
      <c r="P32" s="412"/>
      <c r="Q32" s="412">
        <f>2516/2148*Q31</f>
        <v>2516.4261574687571</v>
      </c>
      <c r="R32" s="411"/>
      <c r="S32" s="414"/>
      <c r="T32" s="415"/>
      <c r="U32" s="360"/>
      <c r="V32" s="578">
        <v>400</v>
      </c>
      <c r="W32" s="563">
        <v>1.1000000000000001</v>
      </c>
      <c r="X32" s="564"/>
      <c r="Y32" s="564">
        <v>1.27</v>
      </c>
      <c r="Z32" s="564">
        <v>1.25</v>
      </c>
      <c r="AA32" s="564"/>
      <c r="AB32" s="564"/>
      <c r="AC32" s="564">
        <v>1.22</v>
      </c>
      <c r="AD32" s="564"/>
      <c r="AE32" s="565"/>
      <c r="AF32" s="360"/>
      <c r="AG32" s="360"/>
      <c r="AH32" s="360"/>
      <c r="AI32" s="360">
        <v>1347.5726684250321</v>
      </c>
      <c r="AJ32" s="360">
        <v>1531.3325777557184</v>
      </c>
      <c r="AK32" s="360">
        <v>1934.8787410279326</v>
      </c>
      <c r="AL32" s="360">
        <v>2072.5190684499794</v>
      </c>
      <c r="AM32" s="360">
        <v>2333.627498720231</v>
      </c>
      <c r="AN32" s="360">
        <v>2863.5919204031934</v>
      </c>
      <c r="AO32" s="360">
        <v>2994.4038773056923</v>
      </c>
      <c r="AP32" s="360">
        <v>1941.0482511350783</v>
      </c>
      <c r="AQ32" s="360"/>
      <c r="AR32" s="360"/>
      <c r="AS32" s="360"/>
      <c r="AT32" s="360"/>
      <c r="AU32" s="360"/>
      <c r="AV32" s="360"/>
      <c r="AW32" s="360"/>
      <c r="AX32" s="360"/>
      <c r="AY32" s="360"/>
      <c r="AZ32" s="360"/>
      <c r="BA32" s="360"/>
      <c r="BB32" s="360"/>
      <c r="BC32" s="360"/>
      <c r="BD32" s="360"/>
      <c r="BE32" s="360"/>
      <c r="BF32" s="360"/>
    </row>
    <row r="33" spans="10:58" ht="15" hidden="1" customHeight="1">
      <c r="J33" s="578">
        <v>500</v>
      </c>
      <c r="K33" s="588"/>
      <c r="L33" s="416"/>
      <c r="M33" s="416">
        <f>1606/1396*M32</f>
        <v>1605.7644568463566</v>
      </c>
      <c r="N33" s="416">
        <f>M33*1.07113641</f>
        <v>1719.9927756120064</v>
      </c>
      <c r="O33" s="416"/>
      <c r="P33" s="416"/>
      <c r="Q33" s="416">
        <f>2891/2516*Q32</f>
        <v>2891.4896745795618</v>
      </c>
      <c r="R33" s="416"/>
      <c r="S33" s="417"/>
      <c r="T33" s="390"/>
      <c r="U33" s="360"/>
      <c r="V33" s="578">
        <v>500</v>
      </c>
      <c r="W33" s="566">
        <v>1</v>
      </c>
      <c r="X33" s="567"/>
      <c r="Y33" s="567">
        <v>1.26</v>
      </c>
      <c r="Z33" s="567">
        <v>1.24</v>
      </c>
      <c r="AA33" s="567"/>
      <c r="AB33" s="567"/>
      <c r="AC33" s="567">
        <v>1.2</v>
      </c>
      <c r="AD33" s="567"/>
      <c r="AE33" s="568"/>
      <c r="AF33" s="360"/>
      <c r="AG33" s="360"/>
      <c r="AH33" s="360"/>
      <c r="AI33" s="360">
        <v>1689.974658696905</v>
      </c>
      <c r="AJ33" s="360">
        <v>1920.4257485192102</v>
      </c>
      <c r="AK33" s="360">
        <v>2426.5081331830884</v>
      </c>
      <c r="AL33" s="360">
        <v>2599.1212106135354</v>
      </c>
      <c r="AM33" s="360">
        <v>2909.9218034920395</v>
      </c>
      <c r="AN33" s="360">
        <v>3591.196149730923</v>
      </c>
      <c r="AO33" s="360">
        <v>3755.245849906386</v>
      </c>
      <c r="AP33" s="360">
        <v>2182.4314214272736</v>
      </c>
      <c r="AQ33" s="360"/>
      <c r="AR33" s="360"/>
      <c r="AS33" s="360"/>
      <c r="AT33" s="360"/>
      <c r="AU33" s="360"/>
      <c r="AV33" s="360"/>
      <c r="AW33" s="360"/>
      <c r="AX33" s="360"/>
      <c r="AY33" s="360"/>
      <c r="AZ33" s="360"/>
      <c r="BA33" s="360"/>
      <c r="BB33" s="360"/>
      <c r="BC33" s="360"/>
      <c r="BD33" s="360"/>
      <c r="BE33" s="360"/>
      <c r="BF33" s="360"/>
    </row>
    <row r="34" spans="10:58" ht="15" hidden="1" customHeight="1" thickBot="1">
      <c r="J34" s="579">
        <v>600</v>
      </c>
      <c r="K34" s="589"/>
      <c r="L34" s="418"/>
      <c r="M34" s="418">
        <f>1814/1606*M33</f>
        <v>1813.7339506346768</v>
      </c>
      <c r="N34" s="418">
        <f>M34*1.07113641</f>
        <v>1942.756472577945</v>
      </c>
      <c r="O34" s="418"/>
      <c r="P34" s="418"/>
      <c r="Q34" s="418">
        <f>3296</f>
        <v>3296</v>
      </c>
      <c r="R34" s="418"/>
      <c r="S34" s="419"/>
      <c r="T34" s="390"/>
      <c r="U34" s="360"/>
      <c r="V34" s="579">
        <v>600</v>
      </c>
      <c r="W34" s="569">
        <v>0.9</v>
      </c>
      <c r="X34" s="570"/>
      <c r="Y34" s="570">
        <v>1.25</v>
      </c>
      <c r="Z34" s="570">
        <v>1.23</v>
      </c>
      <c r="AA34" s="570"/>
      <c r="AB34" s="570"/>
      <c r="AC34" s="570">
        <v>1.18</v>
      </c>
      <c r="AD34" s="570"/>
      <c r="AE34" s="571"/>
      <c r="AF34" s="360"/>
      <c r="AG34" s="360"/>
      <c r="AH34" s="360"/>
      <c r="AI34" s="360">
        <v>2119.3768721768975</v>
      </c>
      <c r="AJ34" s="360">
        <v>2408.3828092919289</v>
      </c>
      <c r="AK34" s="360">
        <v>3043.0546346669871</v>
      </c>
      <c r="AL34" s="360">
        <v>3259.5266168110584</v>
      </c>
      <c r="AM34" s="360">
        <v>3628.5332200970583</v>
      </c>
      <c r="AN34" s="360">
        <v>4503.6758533759075</v>
      </c>
      <c r="AO34" s="360">
        <v>4709.4086072075652</v>
      </c>
      <c r="AP34" s="360">
        <v>2453.8323075934754</v>
      </c>
      <c r="AQ34" s="360"/>
      <c r="AR34" s="360"/>
      <c r="AS34" s="360"/>
      <c r="AT34" s="360"/>
      <c r="AU34" s="360"/>
      <c r="AV34" s="360"/>
      <c r="AW34" s="360"/>
      <c r="AX34" s="360"/>
      <c r="AY34" s="360"/>
      <c r="AZ34" s="360"/>
      <c r="BA34" s="360"/>
      <c r="BB34" s="360"/>
      <c r="BC34" s="360"/>
      <c r="BD34" s="360"/>
      <c r="BE34" s="360"/>
      <c r="BF34" s="360"/>
    </row>
    <row r="35" spans="10:58" ht="15" hidden="1" customHeight="1" thickBot="1">
      <c r="J35" s="281"/>
      <c r="K35" s="420"/>
      <c r="L35" s="390"/>
      <c r="M35" s="390"/>
      <c r="N35" s="390"/>
      <c r="O35" s="390"/>
      <c r="P35" s="390"/>
      <c r="Q35" s="390"/>
      <c r="R35" s="390"/>
      <c r="S35" s="390"/>
      <c r="T35" s="390"/>
      <c r="U35" s="360"/>
      <c r="V35" s="281"/>
      <c r="W35" s="155"/>
      <c r="X35" s="155"/>
      <c r="Y35" s="155"/>
      <c r="Z35" s="155"/>
      <c r="AA35" s="155"/>
      <c r="AB35" s="155"/>
      <c r="AC35" s="155"/>
      <c r="AD35" s="155"/>
      <c r="AE35" s="155"/>
      <c r="AF35" s="360"/>
      <c r="AG35" s="360"/>
      <c r="AH35" s="360"/>
      <c r="AI35" s="360"/>
      <c r="AJ35" s="360"/>
      <c r="AK35" s="360"/>
      <c r="AL35" s="360"/>
      <c r="AM35" s="360"/>
      <c r="AN35" s="360"/>
      <c r="AO35" s="360"/>
      <c r="AP35" s="360"/>
      <c r="AQ35" s="360"/>
      <c r="AR35" s="360"/>
      <c r="AS35" s="360"/>
      <c r="AT35" s="360"/>
      <c r="AU35" s="360"/>
      <c r="AV35" s="360"/>
      <c r="AW35" s="360"/>
      <c r="AX35" s="360"/>
      <c r="AY35" s="360"/>
      <c r="AZ35" s="360"/>
      <c r="BA35" s="360"/>
      <c r="BB35" s="360"/>
      <c r="BC35" s="360"/>
      <c r="BD35" s="360"/>
      <c r="BE35" s="360"/>
      <c r="BF35" s="360"/>
    </row>
    <row r="36" spans="10:58" ht="32.25" hidden="1" customHeight="1" thickBot="1">
      <c r="J36" s="2101" t="s">
        <v>222</v>
      </c>
      <c r="K36" s="2102"/>
      <c r="L36" s="2102"/>
      <c r="M36" s="2102"/>
      <c r="N36" s="2102"/>
      <c r="O36" s="2102"/>
      <c r="P36" s="2102"/>
      <c r="Q36" s="2102"/>
      <c r="R36" s="2102"/>
      <c r="S36" s="2102"/>
      <c r="T36" s="2102"/>
      <c r="U36" s="2102"/>
      <c r="V36" s="2102"/>
      <c r="W36" s="2102"/>
      <c r="X36" s="2102"/>
      <c r="Y36" s="2102"/>
      <c r="Z36" s="2102"/>
      <c r="AA36" s="2102"/>
      <c r="AB36" s="2102"/>
      <c r="AC36" s="2102"/>
      <c r="AD36" s="2102"/>
      <c r="AE36" s="2102"/>
      <c r="AF36" s="2102"/>
      <c r="AG36" s="2102"/>
      <c r="AH36" s="2102"/>
      <c r="AI36" s="2102"/>
      <c r="AJ36" s="2102"/>
      <c r="AK36" s="2102"/>
      <c r="AL36" s="2102"/>
      <c r="AM36" s="2102"/>
      <c r="AN36" s="2102"/>
      <c r="AO36" s="2102"/>
      <c r="AP36" s="2102"/>
      <c r="AQ36" s="2102"/>
      <c r="AR36" s="2102"/>
      <c r="AS36" s="2102"/>
      <c r="AT36" s="2102"/>
      <c r="AU36" s="2102"/>
      <c r="AV36" s="2102"/>
      <c r="AW36" s="2102"/>
      <c r="AX36" s="2102"/>
      <c r="AY36" s="2102"/>
      <c r="AZ36" s="2103"/>
      <c r="BA36" s="360"/>
      <c r="BB36" s="360"/>
      <c r="BC36" s="360"/>
      <c r="BD36" s="360"/>
      <c r="BE36" s="360"/>
      <c r="BF36" s="360"/>
    </row>
    <row r="37" spans="10:58" ht="15" hidden="1" customHeight="1" thickBot="1">
      <c r="J37" s="2121" t="s">
        <v>220</v>
      </c>
      <c r="K37" s="2122"/>
      <c r="L37" s="2122"/>
      <c r="M37" s="2122"/>
      <c r="N37" s="2122"/>
      <c r="O37" s="2122"/>
      <c r="P37" s="2122"/>
      <c r="Q37" s="2122"/>
      <c r="R37" s="2122"/>
      <c r="S37" s="2123"/>
      <c r="T37" s="360"/>
      <c r="V37" s="2121" t="s">
        <v>221</v>
      </c>
      <c r="W37" s="2122"/>
      <c r="X37" s="2122"/>
      <c r="Y37" s="2122"/>
      <c r="Z37" s="2122"/>
      <c r="AA37" s="2122"/>
      <c r="AB37" s="2122"/>
      <c r="AC37" s="2122"/>
      <c r="AD37" s="2122"/>
      <c r="AE37" s="2123"/>
      <c r="AH37" s="2124" t="s">
        <v>220</v>
      </c>
      <c r="AI37" s="2125"/>
      <c r="AJ37" s="2125"/>
      <c r="AK37" s="2125"/>
      <c r="AL37" s="2125"/>
      <c r="AM37" s="2125"/>
      <c r="AN37" s="2125"/>
      <c r="AO37" s="2125"/>
      <c r="AP37" s="2126"/>
      <c r="AR37" s="376" t="s">
        <v>221</v>
      </c>
      <c r="AS37" s="376"/>
      <c r="AT37" s="376"/>
      <c r="AU37" s="376"/>
      <c r="AV37" s="376"/>
      <c r="AW37" s="376"/>
      <c r="AX37" s="376"/>
      <c r="AY37" s="376"/>
      <c r="AZ37" s="376"/>
      <c r="BA37" s="360"/>
      <c r="BB37" s="360"/>
      <c r="BC37" s="360"/>
      <c r="BD37" s="360"/>
      <c r="BE37" s="360"/>
      <c r="BF37" s="360"/>
    </row>
    <row r="38" spans="10:58" ht="15" hidden="1" customHeight="1" thickBot="1">
      <c r="J38" s="622" t="s">
        <v>1</v>
      </c>
      <c r="K38" s="2107">
        <v>160</v>
      </c>
      <c r="L38" s="2109">
        <v>200</v>
      </c>
      <c r="M38" s="2109">
        <v>260</v>
      </c>
      <c r="N38" s="2109">
        <v>300</v>
      </c>
      <c r="O38" s="2109"/>
      <c r="P38" s="2111">
        <v>360</v>
      </c>
      <c r="Q38" s="2112"/>
      <c r="R38" s="2109">
        <v>400</v>
      </c>
      <c r="S38" s="2118"/>
      <c r="T38" s="491"/>
      <c r="U38" s="441"/>
      <c r="V38" s="575" t="s">
        <v>1</v>
      </c>
      <c r="W38" s="2107">
        <v>160</v>
      </c>
      <c r="X38" s="2109">
        <v>200</v>
      </c>
      <c r="Y38" s="2109">
        <v>260</v>
      </c>
      <c r="Z38" s="2109">
        <v>300</v>
      </c>
      <c r="AA38" s="2109"/>
      <c r="AB38" s="2111">
        <v>360</v>
      </c>
      <c r="AC38" s="2112"/>
      <c r="AD38" s="2109">
        <v>400</v>
      </c>
      <c r="AE38" s="2118"/>
      <c r="AF38" s="360"/>
      <c r="AG38" s="360"/>
      <c r="AH38" s="374" t="s">
        <v>1</v>
      </c>
      <c r="AI38" s="2113">
        <v>160</v>
      </c>
      <c r="AJ38" s="375">
        <v>200</v>
      </c>
      <c r="AK38" s="2115">
        <v>260</v>
      </c>
      <c r="AL38" s="2117">
        <v>300</v>
      </c>
      <c r="AM38" s="2107"/>
      <c r="AN38" s="2115">
        <v>360</v>
      </c>
      <c r="AO38" s="2117">
        <v>400</v>
      </c>
      <c r="AP38" s="2107"/>
      <c r="AQ38" s="360"/>
      <c r="AR38" s="376" t="s">
        <v>1</v>
      </c>
      <c r="AS38" s="2113">
        <v>160</v>
      </c>
      <c r="AT38" s="375">
        <v>200</v>
      </c>
      <c r="AU38" s="2115">
        <v>260</v>
      </c>
      <c r="AV38" s="2117">
        <v>300</v>
      </c>
      <c r="AW38" s="2107"/>
      <c r="AX38" s="2115">
        <v>360</v>
      </c>
      <c r="AY38" s="2117">
        <v>400</v>
      </c>
      <c r="AZ38" s="2107"/>
      <c r="BA38" s="360"/>
      <c r="BB38" s="360"/>
      <c r="BC38" s="360"/>
      <c r="BD38" s="360"/>
      <c r="BE38" s="360"/>
      <c r="BF38" s="360"/>
    </row>
    <row r="39" spans="10:58" ht="15" hidden="1" customHeight="1" thickBot="1">
      <c r="J39" s="623" t="s">
        <v>0</v>
      </c>
      <c r="K39" s="2108"/>
      <c r="L39" s="2110"/>
      <c r="M39" s="2110"/>
      <c r="N39" s="1076">
        <v>1</v>
      </c>
      <c r="O39" s="1076">
        <v>2</v>
      </c>
      <c r="P39" s="573">
        <v>1</v>
      </c>
      <c r="Q39" s="1076">
        <v>2</v>
      </c>
      <c r="R39" s="1076">
        <v>1</v>
      </c>
      <c r="S39" s="574">
        <v>2</v>
      </c>
      <c r="T39" s="491"/>
      <c r="U39" s="441"/>
      <c r="V39" s="576" t="s">
        <v>0</v>
      </c>
      <c r="W39" s="2119"/>
      <c r="X39" s="2120"/>
      <c r="Y39" s="2120"/>
      <c r="Z39" s="1080">
        <v>1</v>
      </c>
      <c r="AA39" s="1080">
        <v>2</v>
      </c>
      <c r="AB39" s="1080">
        <v>1</v>
      </c>
      <c r="AC39" s="1080">
        <v>2</v>
      </c>
      <c r="AD39" s="1080">
        <v>1</v>
      </c>
      <c r="AE39" s="572">
        <v>2</v>
      </c>
      <c r="AF39" s="360"/>
      <c r="AG39" s="360"/>
      <c r="AH39" s="379" t="s">
        <v>0</v>
      </c>
      <c r="AI39" s="2114"/>
      <c r="AJ39" s="380"/>
      <c r="AK39" s="2116"/>
      <c r="AL39" s="376">
        <v>1</v>
      </c>
      <c r="AM39" s="376">
        <v>2</v>
      </c>
      <c r="AN39" s="2116"/>
      <c r="AO39" s="376">
        <v>1</v>
      </c>
      <c r="AP39" s="376">
        <v>2</v>
      </c>
      <c r="AQ39" s="360"/>
      <c r="AR39" s="376" t="s">
        <v>0</v>
      </c>
      <c r="AS39" s="2114"/>
      <c r="AT39" s="380"/>
      <c r="AU39" s="2116"/>
      <c r="AV39" s="376">
        <v>1</v>
      </c>
      <c r="AW39" s="376">
        <v>2</v>
      </c>
      <c r="AX39" s="2116"/>
      <c r="AY39" s="376">
        <v>1</v>
      </c>
      <c r="AZ39" s="376">
        <v>2</v>
      </c>
      <c r="BA39" s="360"/>
      <c r="BB39" s="360"/>
      <c r="BC39" s="360"/>
      <c r="BD39" s="360"/>
      <c r="BE39" s="360"/>
      <c r="BF39" s="360"/>
    </row>
    <row r="40" spans="10:58" ht="15" hidden="1" customHeight="1" thickBot="1">
      <c r="J40" s="624">
        <v>65</v>
      </c>
      <c r="K40" s="625"/>
      <c r="L40" s="625"/>
      <c r="M40" s="625"/>
      <c r="N40" s="625"/>
      <c r="O40" s="625"/>
      <c r="P40" s="625"/>
      <c r="Q40" s="625"/>
      <c r="R40" s="625"/>
      <c r="S40" s="626"/>
      <c r="T40" s="590"/>
      <c r="U40" s="441"/>
      <c r="V40" s="628">
        <v>65</v>
      </c>
      <c r="W40" s="591"/>
      <c r="X40" s="592"/>
      <c r="Y40" s="592"/>
      <c r="Z40" s="592"/>
      <c r="AA40" s="592"/>
      <c r="AB40" s="592"/>
      <c r="AC40" s="592"/>
      <c r="AD40" s="592"/>
      <c r="AE40" s="593"/>
      <c r="AF40" s="360"/>
      <c r="AG40" s="360"/>
      <c r="AH40" s="382">
        <v>55</v>
      </c>
      <c r="AI40" s="383">
        <f t="shared" ref="AI40:AP40" si="4">AI41*0.55</f>
        <v>115.85197800000002</v>
      </c>
      <c r="AJ40" s="383">
        <f t="shared" si="4"/>
        <v>128.72441999999998</v>
      </c>
      <c r="AK40" s="383">
        <f t="shared" si="4"/>
        <v>165.802032</v>
      </c>
      <c r="AL40" s="383">
        <f t="shared" si="4"/>
        <v>178.13472580883234</v>
      </c>
      <c r="AM40" s="383">
        <f t="shared" si="4"/>
        <v>238.56095999999999</v>
      </c>
      <c r="AN40" s="383">
        <f t="shared" si="4"/>
        <v>256.25224679999997</v>
      </c>
      <c r="AO40" s="383">
        <f t="shared" si="4"/>
        <v>263.99688488268475</v>
      </c>
      <c r="AP40" s="383">
        <f t="shared" si="4"/>
        <v>343.856832</v>
      </c>
      <c r="AQ40" s="360"/>
      <c r="AR40" s="376">
        <v>55</v>
      </c>
      <c r="AS40" s="384">
        <v>1.85</v>
      </c>
      <c r="AT40" s="384">
        <v>1.8</v>
      </c>
      <c r="AU40" s="384">
        <v>1.75</v>
      </c>
      <c r="AV40" s="384">
        <v>1.7</v>
      </c>
      <c r="AW40" s="384">
        <v>1.7</v>
      </c>
      <c r="AX40" s="384">
        <v>1.65</v>
      </c>
      <c r="AY40" s="384">
        <v>1.6</v>
      </c>
      <c r="AZ40" s="384">
        <v>1.6</v>
      </c>
      <c r="BA40" s="360"/>
      <c r="BB40" s="360"/>
      <c r="BC40" s="360"/>
      <c r="BD40" s="360"/>
      <c r="BE40" s="360"/>
      <c r="BF40" s="360"/>
    </row>
    <row r="41" spans="10:58" ht="15" hidden="1" customHeight="1" thickBot="1">
      <c r="J41" s="577">
        <v>70</v>
      </c>
      <c r="K41" s="421"/>
      <c r="L41" s="421"/>
      <c r="M41" s="421"/>
      <c r="N41" s="421"/>
      <c r="O41" s="421"/>
      <c r="P41" s="421"/>
      <c r="Q41" s="421"/>
      <c r="R41" s="421"/>
      <c r="S41" s="424"/>
      <c r="T41" s="590"/>
      <c r="U41" s="441"/>
      <c r="V41" s="578">
        <v>70</v>
      </c>
      <c r="W41" s="594"/>
      <c r="X41" s="595"/>
      <c r="Y41" s="595"/>
      <c r="Z41" s="595"/>
      <c r="AA41" s="595"/>
      <c r="AB41" s="595"/>
      <c r="AC41" s="595"/>
      <c r="AD41" s="595"/>
      <c r="AE41" s="596"/>
      <c r="AF41" s="360"/>
      <c r="AG41" s="360"/>
      <c r="AH41" s="382">
        <v>75</v>
      </c>
      <c r="AI41" s="383">
        <v>210.63996</v>
      </c>
      <c r="AJ41" s="385">
        <v>234.04439999999997</v>
      </c>
      <c r="AK41" s="385">
        <v>301.45823999999999</v>
      </c>
      <c r="AL41" s="385">
        <v>323.88131965242241</v>
      </c>
      <c r="AM41" s="385">
        <v>433.74719999999996</v>
      </c>
      <c r="AN41" s="385">
        <v>465.91317599999985</v>
      </c>
      <c r="AO41" s="385">
        <v>479.99433615033593</v>
      </c>
      <c r="AP41" s="385">
        <v>625.19423999999992</v>
      </c>
      <c r="AR41" s="376">
        <v>75</v>
      </c>
      <c r="AS41" s="386">
        <v>1.7</v>
      </c>
      <c r="AT41" s="386">
        <v>1.65</v>
      </c>
      <c r="AU41" s="386">
        <v>1.6</v>
      </c>
      <c r="AV41" s="386">
        <v>1.55</v>
      </c>
      <c r="AW41" s="386">
        <v>1.55</v>
      </c>
      <c r="AX41" s="386">
        <v>1.5</v>
      </c>
      <c r="AY41" s="386">
        <v>1.45</v>
      </c>
      <c r="AZ41" s="386">
        <v>1.45</v>
      </c>
      <c r="BA41" s="360"/>
      <c r="BB41" s="360"/>
      <c r="BC41" s="360"/>
      <c r="BD41" s="360"/>
      <c r="BE41" s="360"/>
      <c r="BF41" s="360"/>
    </row>
    <row r="42" spans="10:58" ht="15" hidden="1" customHeight="1">
      <c r="J42" s="578">
        <v>75</v>
      </c>
      <c r="K42" s="421"/>
      <c r="L42" s="422"/>
      <c r="M42" s="422"/>
      <c r="N42" s="422"/>
      <c r="O42" s="422"/>
      <c r="P42" s="422"/>
      <c r="Q42" s="422"/>
      <c r="R42" s="422"/>
      <c r="S42" s="423"/>
      <c r="T42" s="597"/>
      <c r="U42" s="441"/>
      <c r="V42" s="578">
        <v>75</v>
      </c>
      <c r="W42" s="598"/>
      <c r="X42" s="599"/>
      <c r="Y42" s="599"/>
      <c r="Z42" s="599"/>
      <c r="AA42" s="599"/>
      <c r="AB42" s="599"/>
      <c r="AC42" s="599"/>
      <c r="AD42" s="599"/>
      <c r="AE42" s="600"/>
      <c r="AF42" s="360"/>
      <c r="AG42" s="360"/>
      <c r="AQ42" s="360"/>
      <c r="BA42" s="360"/>
      <c r="BB42" s="360"/>
      <c r="BC42" s="360"/>
      <c r="BD42" s="360"/>
      <c r="BE42" s="360"/>
      <c r="BF42" s="360"/>
    </row>
    <row r="43" spans="10:58" ht="15" hidden="1" customHeight="1">
      <c r="J43" s="578">
        <v>80</v>
      </c>
      <c r="K43" s="421"/>
      <c r="L43" s="421"/>
      <c r="M43" s="421"/>
      <c r="N43" s="421"/>
      <c r="O43" s="421"/>
      <c r="P43" s="421"/>
      <c r="Q43" s="421"/>
      <c r="R43" s="421"/>
      <c r="S43" s="424"/>
      <c r="T43" s="590"/>
      <c r="U43" s="441"/>
      <c r="V43" s="578">
        <v>80</v>
      </c>
      <c r="W43" s="601"/>
      <c r="X43" s="599"/>
      <c r="Y43" s="599"/>
      <c r="Z43" s="599"/>
      <c r="AA43" s="599"/>
      <c r="AB43" s="599"/>
      <c r="AC43" s="599"/>
      <c r="AD43" s="599"/>
      <c r="AE43" s="600"/>
      <c r="AF43" s="360"/>
      <c r="AG43" s="360"/>
      <c r="AH43" s="360"/>
      <c r="AI43" s="360"/>
      <c r="AJ43" s="360"/>
      <c r="AK43" s="360"/>
      <c r="AL43" s="360"/>
      <c r="AM43" s="360"/>
      <c r="AN43" s="360"/>
      <c r="AO43" s="360"/>
      <c r="AP43" s="360"/>
      <c r="AQ43" s="360"/>
      <c r="AR43" s="360"/>
      <c r="AS43" s="360"/>
      <c r="AT43" s="360"/>
      <c r="AU43" s="360"/>
      <c r="AV43" s="360"/>
      <c r="AW43" s="360"/>
      <c r="AX43" s="360"/>
      <c r="AY43" s="360"/>
      <c r="AZ43" s="360"/>
      <c r="BA43" s="360"/>
      <c r="BB43" s="360"/>
      <c r="BC43" s="360"/>
      <c r="BD43" s="360"/>
      <c r="BE43" s="360"/>
      <c r="BF43" s="360"/>
    </row>
    <row r="44" spans="10:58" ht="14.25" hidden="1" customHeight="1">
      <c r="J44" s="578">
        <v>90</v>
      </c>
      <c r="K44" s="425"/>
      <c r="L44" s="427">
        <f>335*1.2*1.2</f>
        <v>482.4</v>
      </c>
      <c r="M44" s="426">
        <f>444*1.2*1.2</f>
        <v>639.3599999999999</v>
      </c>
      <c r="N44" s="426">
        <f>M44*1.12321759</f>
        <v>718.14039834239998</v>
      </c>
      <c r="O44" s="427">
        <f>580*1.2*1.2</f>
        <v>835.19999999999993</v>
      </c>
      <c r="P44" s="426">
        <f>Q44*0.91</f>
        <v>838.45943999999997</v>
      </c>
      <c r="Q44" s="426">
        <f>L44*1.91</f>
        <v>921.3839999999999</v>
      </c>
      <c r="R44" s="426">
        <f>L44*2.02238442</f>
        <v>975.59824420799987</v>
      </c>
      <c r="S44" s="621">
        <f>836*1.2*1.2</f>
        <v>1203.8399999999999</v>
      </c>
      <c r="T44" s="602"/>
      <c r="U44" s="441"/>
      <c r="V44" s="578">
        <v>90</v>
      </c>
      <c r="W44" s="603"/>
      <c r="X44" s="604">
        <v>1.55</v>
      </c>
      <c r="Y44" s="604">
        <v>1.5</v>
      </c>
      <c r="Z44" s="604">
        <v>1.45</v>
      </c>
      <c r="AA44" s="604">
        <v>1.45</v>
      </c>
      <c r="AB44" s="604">
        <v>1.4</v>
      </c>
      <c r="AC44" s="604">
        <v>1.4</v>
      </c>
      <c r="AD44" s="604">
        <v>1.3</v>
      </c>
      <c r="AE44" s="605">
        <v>1.3</v>
      </c>
      <c r="AF44" s="360"/>
      <c r="AG44" s="360"/>
      <c r="AH44" s="360"/>
      <c r="AI44" s="360"/>
      <c r="AJ44" s="360"/>
      <c r="AK44" s="360"/>
      <c r="AL44" s="360"/>
      <c r="AM44" s="360"/>
      <c r="AN44" s="360"/>
      <c r="AO44" s="360"/>
      <c r="AP44" s="360"/>
      <c r="AQ44" s="360"/>
      <c r="AR44" s="360"/>
      <c r="AS44" s="360"/>
      <c r="AT44" s="360"/>
      <c r="AU44" s="360"/>
      <c r="AV44" s="360"/>
      <c r="AW44" s="360"/>
      <c r="AX44" s="360"/>
      <c r="AY44" s="360"/>
      <c r="AZ44" s="360"/>
      <c r="BA44" s="360"/>
      <c r="BB44" s="360"/>
      <c r="BC44" s="360"/>
      <c r="BD44" s="360"/>
      <c r="BE44" s="360"/>
      <c r="BF44" s="360"/>
    </row>
    <row r="45" spans="10:58" ht="14.25" hidden="1" customHeight="1">
      <c r="J45" s="578">
        <v>110</v>
      </c>
      <c r="K45" s="428"/>
      <c r="L45" s="429">
        <f>L44*1.25408796</f>
        <v>604.97203190399989</v>
      </c>
      <c r="M45" s="429">
        <f>L45*1.26352614</f>
        <v>764.39797627961786</v>
      </c>
      <c r="N45" s="429">
        <f>M45*1.07113641</f>
        <v>818.77450412341511</v>
      </c>
      <c r="O45" s="429">
        <f>O44*1.24695214</f>
        <v>1041.4544273280001</v>
      </c>
      <c r="P45" s="429">
        <f>Q45*0.91</f>
        <v>1029.4809066910366</v>
      </c>
      <c r="Q45" s="429">
        <f>L45*1.87</f>
        <v>1131.2976996604798</v>
      </c>
      <c r="R45" s="429">
        <f>L45*1.95542361</f>
        <v>1182.9765945747547</v>
      </c>
      <c r="S45" s="430">
        <f>S44*1.12435712</f>
        <v>1353.5460753407999</v>
      </c>
      <c r="T45" s="597"/>
      <c r="U45" s="441"/>
      <c r="V45" s="578">
        <v>110</v>
      </c>
      <c r="W45" s="606"/>
      <c r="X45" s="607">
        <v>1.3</v>
      </c>
      <c r="Y45" s="607">
        <v>1.3</v>
      </c>
      <c r="Z45" s="607">
        <v>1.3</v>
      </c>
      <c r="AA45" s="607">
        <v>1.3</v>
      </c>
      <c r="AB45" s="607">
        <v>1.3</v>
      </c>
      <c r="AC45" s="607">
        <v>1.3</v>
      </c>
      <c r="AD45" s="607">
        <v>1.3</v>
      </c>
      <c r="AE45" s="608">
        <v>1.3</v>
      </c>
      <c r="AF45" s="360"/>
      <c r="AG45" s="360"/>
      <c r="AH45" s="360"/>
      <c r="AI45" s="360"/>
      <c r="AJ45" s="360"/>
      <c r="AK45" s="360"/>
      <c r="AL45" s="360"/>
      <c r="AM45" s="360"/>
      <c r="AN45" s="360"/>
      <c r="AO45" s="360"/>
      <c r="AP45" s="360"/>
      <c r="AQ45" s="360"/>
      <c r="AR45" s="360"/>
      <c r="AS45" s="360"/>
      <c r="AT45" s="360"/>
      <c r="AU45" s="360"/>
      <c r="AV45" s="360"/>
      <c r="AW45" s="360"/>
      <c r="AX45" s="360"/>
      <c r="AY45" s="360"/>
      <c r="AZ45" s="360"/>
      <c r="BA45" s="360"/>
      <c r="BB45" s="360"/>
      <c r="BC45" s="360"/>
      <c r="BD45" s="360"/>
      <c r="BE45" s="360"/>
      <c r="BF45" s="360"/>
    </row>
    <row r="46" spans="10:58" ht="14.25" hidden="1" customHeight="1">
      <c r="J46" s="578">
        <v>150</v>
      </c>
      <c r="K46" s="431">
        <f>L46*0.87</f>
        <v>675.46799999999996</v>
      </c>
      <c r="L46" s="434">
        <f>1.2*647</f>
        <v>776.4</v>
      </c>
      <c r="M46" s="432">
        <f>L46*1.2965421</f>
        <v>1006.63528644</v>
      </c>
      <c r="N46" s="433">
        <f>O46*0.92</f>
        <v>1107.3119999999999</v>
      </c>
      <c r="O46" s="434">
        <f>1003*1.2</f>
        <v>1203.5999999999999</v>
      </c>
      <c r="P46" s="433">
        <f>Q46*0.91</f>
        <v>1154.0754429968399</v>
      </c>
      <c r="Q46" s="433">
        <f>O46*1.05368459</f>
        <v>1268.214772524</v>
      </c>
      <c r="R46" s="433">
        <f>S46*0.9</f>
        <v>1229.04</v>
      </c>
      <c r="S46" s="435">
        <f>1138*1.2</f>
        <v>1365.6</v>
      </c>
      <c r="T46" s="602"/>
      <c r="U46" s="441"/>
      <c r="V46" s="578">
        <v>150</v>
      </c>
      <c r="W46" s="609"/>
      <c r="X46" s="610">
        <v>1.35</v>
      </c>
      <c r="Y46" s="610">
        <v>1.32</v>
      </c>
      <c r="Z46" s="610">
        <v>1.3</v>
      </c>
      <c r="AA46" s="610">
        <v>1.3</v>
      </c>
      <c r="AB46" s="610">
        <v>1.28</v>
      </c>
      <c r="AC46" s="610">
        <v>1.28</v>
      </c>
      <c r="AD46" s="610">
        <v>1.25</v>
      </c>
      <c r="AE46" s="611">
        <v>1.25</v>
      </c>
      <c r="AF46" s="360"/>
      <c r="AG46" s="360"/>
      <c r="AH46" s="360"/>
      <c r="AI46" s="360"/>
      <c r="AJ46" s="360"/>
      <c r="AK46" s="360"/>
      <c r="AL46" s="360"/>
      <c r="AM46" s="360"/>
      <c r="AN46" s="360"/>
      <c r="AO46" s="360"/>
      <c r="AP46" s="360"/>
      <c r="AQ46" s="360"/>
      <c r="AR46" s="360"/>
      <c r="AS46" s="360"/>
      <c r="AT46" s="360"/>
      <c r="AU46" s="360"/>
      <c r="AV46" s="360"/>
      <c r="AW46" s="360"/>
      <c r="AX46" s="360"/>
      <c r="AY46" s="360"/>
      <c r="AZ46" s="360"/>
      <c r="BA46" s="360"/>
      <c r="BB46" s="360"/>
      <c r="BC46" s="360"/>
      <c r="BD46" s="360"/>
      <c r="BE46" s="360"/>
      <c r="BF46" s="360"/>
    </row>
    <row r="47" spans="10:58" ht="14.25" hidden="1" customHeight="1">
      <c r="J47" s="578">
        <v>200</v>
      </c>
      <c r="K47" s="436">
        <f>K46*1.032</f>
        <v>697.08297600000003</v>
      </c>
      <c r="L47" s="436">
        <f>M47*0.93</f>
        <v>1383.5836828969723</v>
      </c>
      <c r="M47" s="436">
        <f>1874/1268*M46</f>
        <v>1487.724390211798</v>
      </c>
      <c r="N47" s="436">
        <f>M47*1.07113641</f>
        <v>1593.5557624009045</v>
      </c>
      <c r="O47" s="436">
        <f>1874/1268*O46</f>
        <v>1778.8220820189272</v>
      </c>
      <c r="P47" s="436">
        <f>N47*1.07</f>
        <v>1705.1046657689681</v>
      </c>
      <c r="Q47" s="436">
        <f>1874/1268*Q46</f>
        <v>1874.3174161750599</v>
      </c>
      <c r="R47" s="436">
        <f>1874/1268*R46</f>
        <v>1816.4203154574132</v>
      </c>
      <c r="S47" s="436"/>
      <c r="T47" s="597"/>
      <c r="U47" s="441"/>
      <c r="V47" s="578">
        <v>200</v>
      </c>
      <c r="W47" s="612"/>
      <c r="X47" s="613">
        <v>1.25</v>
      </c>
      <c r="Y47" s="613">
        <v>1.3</v>
      </c>
      <c r="Z47" s="613">
        <v>1.28</v>
      </c>
      <c r="AA47" s="613">
        <v>1.27</v>
      </c>
      <c r="AB47" s="613">
        <v>1.26</v>
      </c>
      <c r="AC47" s="613">
        <v>1.26</v>
      </c>
      <c r="AD47" s="613">
        <v>1.25</v>
      </c>
      <c r="AE47" s="614">
        <v>1.25</v>
      </c>
      <c r="AF47" s="360"/>
      <c r="AG47" s="360"/>
      <c r="AH47" s="360"/>
      <c r="AI47" s="360">
        <v>856.83302508671989</v>
      </c>
      <c r="AJ47" s="360">
        <v>973.67389214399986</v>
      </c>
      <c r="AK47" s="360">
        <v>1230.2624145594843</v>
      </c>
      <c r="AL47" s="360">
        <v>1317.7788660891779</v>
      </c>
      <c r="AM47" s="360">
        <v>1500.8315957039999</v>
      </c>
      <c r="AN47" s="360">
        <v>1820.7701783092798</v>
      </c>
      <c r="AO47" s="360">
        <v>1903.9449171389708</v>
      </c>
      <c r="AP47" s="360">
        <v>1535.4220830719999</v>
      </c>
      <c r="AQ47" s="360"/>
      <c r="AR47" s="360"/>
      <c r="AS47" s="360"/>
      <c r="AT47" s="360"/>
      <c r="AU47" s="360"/>
      <c r="AV47" s="360"/>
      <c r="AW47" s="360"/>
      <c r="AX47" s="360"/>
      <c r="AY47" s="360"/>
      <c r="AZ47" s="360"/>
      <c r="BA47" s="360"/>
      <c r="BB47" s="360"/>
      <c r="BC47" s="360"/>
      <c r="BD47" s="360"/>
      <c r="BE47" s="360"/>
      <c r="BF47" s="360"/>
    </row>
    <row r="48" spans="10:58" ht="14.25" hidden="1" customHeight="1">
      <c r="J48" s="578">
        <v>300</v>
      </c>
      <c r="K48" s="421"/>
      <c r="L48" s="422"/>
      <c r="M48" s="422"/>
      <c r="N48" s="422"/>
      <c r="O48" s="422"/>
      <c r="P48" s="422"/>
      <c r="Q48" s="422"/>
      <c r="R48" s="422"/>
      <c r="S48" s="423"/>
      <c r="T48" s="597"/>
      <c r="U48" s="441"/>
      <c r="V48" s="578">
        <v>300</v>
      </c>
      <c r="W48" s="598"/>
      <c r="X48" s="599"/>
      <c r="Y48" s="599"/>
      <c r="Z48" s="599"/>
      <c r="AA48" s="599"/>
      <c r="AB48" s="599"/>
      <c r="AC48" s="599"/>
      <c r="AD48" s="599"/>
      <c r="AE48" s="600"/>
      <c r="AF48" s="360"/>
      <c r="AG48" s="360"/>
      <c r="AH48" s="360"/>
      <c r="AI48" s="360">
        <v>1074.5439804916334</v>
      </c>
      <c r="AJ48" s="360">
        <v>1221.0727051041288</v>
      </c>
      <c r="AK48" s="360">
        <v>1542.8572817395782</v>
      </c>
      <c r="AL48" s="360">
        <v>1652.6106099048905</v>
      </c>
      <c r="AM48" s="360">
        <v>1871.4651700427178</v>
      </c>
      <c r="AN48" s="360">
        <v>2283.4059585447208</v>
      </c>
      <c r="AO48" s="360">
        <v>2387.7143970871807</v>
      </c>
      <c r="AP48" s="360">
        <v>1726.3627513072345</v>
      </c>
      <c r="AQ48" s="360"/>
      <c r="AR48" s="360"/>
      <c r="AS48" s="360"/>
      <c r="AT48" s="360"/>
      <c r="AU48" s="360"/>
      <c r="AV48" s="360"/>
      <c r="AW48" s="360"/>
      <c r="AX48" s="360"/>
      <c r="AY48" s="360"/>
      <c r="AZ48" s="360"/>
      <c r="BA48" s="360"/>
      <c r="BB48" s="360"/>
      <c r="BC48" s="360"/>
      <c r="BD48" s="360"/>
      <c r="BE48" s="360"/>
      <c r="BF48" s="360"/>
    </row>
    <row r="49" spans="5:58" ht="14.25" hidden="1" customHeight="1">
      <c r="J49" s="578">
        <v>400</v>
      </c>
      <c r="K49" s="627"/>
      <c r="L49" s="437"/>
      <c r="M49" s="438"/>
      <c r="N49" s="422"/>
      <c r="O49" s="438"/>
      <c r="P49" s="438"/>
      <c r="Q49" s="438"/>
      <c r="R49" s="437"/>
      <c r="S49" s="439"/>
      <c r="T49" s="615"/>
      <c r="U49" s="441"/>
      <c r="V49" s="578">
        <v>400</v>
      </c>
      <c r="W49" s="598"/>
      <c r="X49" s="599"/>
      <c r="Y49" s="599"/>
      <c r="Z49" s="599"/>
      <c r="AA49" s="599"/>
      <c r="AB49" s="599"/>
      <c r="AC49" s="599"/>
      <c r="AD49" s="599"/>
      <c r="AE49" s="600"/>
      <c r="AF49" s="360"/>
      <c r="AG49" s="360"/>
      <c r="AH49" s="360"/>
      <c r="AI49" s="360">
        <v>1347.5726684250321</v>
      </c>
      <c r="AJ49" s="360">
        <v>1531.3325777557184</v>
      </c>
      <c r="AK49" s="360">
        <v>1934.8787410279326</v>
      </c>
      <c r="AL49" s="360">
        <v>2072.5190684499794</v>
      </c>
      <c r="AM49" s="360">
        <v>2333.627498720231</v>
      </c>
      <c r="AN49" s="360">
        <v>2863.5919204031934</v>
      </c>
      <c r="AO49" s="360">
        <v>2994.4038773056923</v>
      </c>
      <c r="AP49" s="360">
        <v>1941.0482511350783</v>
      </c>
      <c r="AQ49" s="360"/>
      <c r="AR49" s="360"/>
      <c r="AS49" s="360"/>
      <c r="AT49" s="360"/>
      <c r="AU49" s="360"/>
      <c r="AV49" s="360"/>
      <c r="AW49" s="360"/>
      <c r="AX49" s="360"/>
      <c r="AY49" s="360"/>
      <c r="AZ49" s="360"/>
      <c r="BA49" s="360"/>
      <c r="BB49" s="360"/>
      <c r="BC49" s="360"/>
      <c r="BD49" s="360"/>
      <c r="BE49" s="360"/>
      <c r="BF49" s="360"/>
    </row>
    <row r="50" spans="5:58" ht="14.25" hidden="1" customHeight="1">
      <c r="J50" s="578">
        <v>500</v>
      </c>
      <c r="K50" s="421"/>
      <c r="L50" s="422"/>
      <c r="M50" s="422"/>
      <c r="N50" s="422"/>
      <c r="O50" s="422"/>
      <c r="P50" s="422"/>
      <c r="Q50" s="422"/>
      <c r="R50" s="422"/>
      <c r="S50" s="423"/>
      <c r="T50" s="597"/>
      <c r="U50" s="441"/>
      <c r="V50" s="578">
        <v>500</v>
      </c>
      <c r="W50" s="598"/>
      <c r="X50" s="599"/>
      <c r="Y50" s="599"/>
      <c r="Z50" s="599"/>
      <c r="AA50" s="599"/>
      <c r="AB50" s="599"/>
      <c r="AC50" s="599"/>
      <c r="AD50" s="599"/>
      <c r="AE50" s="600"/>
      <c r="AF50" s="360"/>
      <c r="AG50" s="360"/>
      <c r="AH50" s="360"/>
      <c r="AI50" s="360">
        <v>1689.974658696905</v>
      </c>
      <c r="AJ50" s="360">
        <v>1920.4257485192102</v>
      </c>
      <c r="AK50" s="360">
        <v>2426.5081331830884</v>
      </c>
      <c r="AL50" s="360">
        <v>2599.1212106135354</v>
      </c>
      <c r="AM50" s="360">
        <v>2909.9218034920395</v>
      </c>
      <c r="AN50" s="360">
        <v>3591.196149730923</v>
      </c>
      <c r="AO50" s="360">
        <v>3755.245849906386</v>
      </c>
      <c r="AP50" s="360">
        <v>2182.4314214272736</v>
      </c>
      <c r="AQ50" s="360"/>
      <c r="AR50" s="360"/>
      <c r="AS50" s="360"/>
      <c r="AT50" s="360"/>
      <c r="AU50" s="360"/>
      <c r="AV50" s="360"/>
      <c r="AW50" s="360"/>
      <c r="AX50" s="360"/>
      <c r="AY50" s="360"/>
      <c r="AZ50" s="360"/>
      <c r="BA50" s="360"/>
      <c r="BB50" s="360"/>
      <c r="BC50" s="360"/>
      <c r="BD50" s="360"/>
      <c r="BE50" s="360"/>
      <c r="BF50" s="360"/>
    </row>
    <row r="51" spans="5:58" ht="14.25" hidden="1" customHeight="1" thickBot="1">
      <c r="J51" s="579">
        <v>600</v>
      </c>
      <c r="K51" s="440"/>
      <c r="L51" s="616"/>
      <c r="M51" s="616"/>
      <c r="N51" s="616"/>
      <c r="O51" s="616"/>
      <c r="P51" s="616"/>
      <c r="Q51" s="616"/>
      <c r="R51" s="616"/>
      <c r="S51" s="617"/>
      <c r="T51" s="597"/>
      <c r="U51" s="441"/>
      <c r="V51" s="579">
        <v>600</v>
      </c>
      <c r="W51" s="618"/>
      <c r="X51" s="619"/>
      <c r="Y51" s="619"/>
      <c r="Z51" s="619"/>
      <c r="AA51" s="619"/>
      <c r="AB51" s="619"/>
      <c r="AC51" s="619"/>
      <c r="AD51" s="619"/>
      <c r="AE51" s="620"/>
      <c r="AF51" s="360"/>
      <c r="AG51" s="360"/>
      <c r="AH51" s="360"/>
      <c r="AI51" s="360">
        <v>2119.3768721768975</v>
      </c>
      <c r="AJ51" s="360">
        <v>2408.3828092919289</v>
      </c>
      <c r="AK51" s="360">
        <v>3043.0546346669871</v>
      </c>
      <c r="AL51" s="360">
        <v>3259.5266168110584</v>
      </c>
      <c r="AM51" s="360">
        <v>3628.5332200970583</v>
      </c>
      <c r="AN51" s="360">
        <v>4503.6758533759075</v>
      </c>
      <c r="AO51" s="360">
        <v>4709.4086072075652</v>
      </c>
      <c r="AP51" s="360">
        <v>2453.8323075934754</v>
      </c>
      <c r="AQ51" s="360"/>
      <c r="AR51" s="360"/>
      <c r="AS51" s="360"/>
      <c r="AT51" s="360"/>
      <c r="AU51" s="360"/>
      <c r="AV51" s="360"/>
      <c r="AW51" s="360"/>
      <c r="AX51" s="360"/>
      <c r="AY51" s="360"/>
      <c r="AZ51" s="360"/>
      <c r="BA51" s="360"/>
      <c r="BB51" s="360"/>
      <c r="BC51" s="360"/>
      <c r="BD51" s="360"/>
      <c r="BE51" s="360"/>
      <c r="BF51" s="360"/>
    </row>
    <row r="52" spans="5:58" ht="14.25" hidden="1" customHeight="1" thickBot="1">
      <c r="J52" s="442"/>
      <c r="K52" s="590"/>
      <c r="L52" s="597"/>
      <c r="M52" s="597"/>
      <c r="N52" s="597"/>
      <c r="O52" s="597"/>
      <c r="P52" s="597"/>
      <c r="Q52" s="597"/>
      <c r="R52" s="597"/>
      <c r="S52" s="597"/>
      <c r="T52" s="597"/>
      <c r="U52" s="441"/>
      <c r="V52" s="442"/>
      <c r="W52" s="804"/>
      <c r="X52" s="804"/>
      <c r="Y52" s="804"/>
      <c r="Z52" s="804"/>
      <c r="AA52" s="804"/>
      <c r="AB52" s="804"/>
      <c r="AC52" s="804"/>
      <c r="AD52" s="804"/>
      <c r="AE52" s="804"/>
      <c r="AF52" s="360"/>
      <c r="AG52" s="360"/>
      <c r="AH52" s="360"/>
      <c r="AI52" s="360"/>
      <c r="AJ52" s="360"/>
      <c r="AK52" s="360"/>
      <c r="AL52" s="360"/>
      <c r="AM52" s="360"/>
      <c r="AN52" s="360"/>
      <c r="AO52" s="360"/>
      <c r="AP52" s="360"/>
      <c r="AQ52" s="360"/>
      <c r="AR52" s="360"/>
      <c r="AS52" s="360"/>
      <c r="AT52" s="360"/>
      <c r="AU52" s="360"/>
      <c r="AV52" s="360"/>
      <c r="AW52" s="360"/>
      <c r="AX52" s="360"/>
      <c r="AY52" s="360"/>
      <c r="AZ52" s="360"/>
      <c r="BA52" s="360"/>
      <c r="BB52" s="360"/>
      <c r="BC52" s="360"/>
      <c r="BD52" s="360"/>
      <c r="BE52" s="360"/>
      <c r="BF52" s="360"/>
    </row>
    <row r="53" spans="5:58" ht="32.25" hidden="1" customHeight="1" thickBot="1">
      <c r="E53" s="1079"/>
      <c r="F53" s="1079"/>
      <c r="J53" s="2101" t="s">
        <v>350</v>
      </c>
      <c r="K53" s="2102"/>
      <c r="L53" s="2102"/>
      <c r="M53" s="2102"/>
      <c r="N53" s="2102"/>
      <c r="O53" s="2102"/>
      <c r="P53" s="2102"/>
      <c r="Q53" s="2102"/>
      <c r="R53" s="2102"/>
      <c r="S53" s="2102"/>
      <c r="T53" s="2102"/>
      <c r="U53" s="2102"/>
      <c r="V53" s="2102"/>
      <c r="W53" s="2102"/>
      <c r="X53" s="2102"/>
      <c r="Y53" s="2102"/>
      <c r="Z53" s="2102"/>
      <c r="AA53" s="2102"/>
      <c r="AB53" s="2102"/>
      <c r="AC53" s="2102"/>
      <c r="AD53" s="2102"/>
      <c r="AE53" s="2102"/>
      <c r="AF53" s="2102"/>
      <c r="AG53" s="2102"/>
      <c r="AH53" s="2102"/>
      <c r="AI53" s="2102"/>
      <c r="AJ53" s="2102"/>
      <c r="AK53" s="2102"/>
      <c r="AL53" s="2102"/>
      <c r="AM53" s="2102"/>
      <c r="AN53" s="2102"/>
      <c r="AO53" s="2102"/>
      <c r="AP53" s="2102"/>
      <c r="AQ53" s="2102"/>
      <c r="AR53" s="2102"/>
      <c r="AS53" s="2102"/>
      <c r="AT53" s="2102"/>
      <c r="AU53" s="2102"/>
      <c r="AV53" s="2102"/>
      <c r="AW53" s="2102"/>
      <c r="AX53" s="2102"/>
      <c r="AY53" s="2102"/>
      <c r="AZ53" s="2103"/>
      <c r="BA53" s="360"/>
      <c r="BB53" s="360"/>
      <c r="BC53" s="360"/>
      <c r="BD53" s="360"/>
      <c r="BE53" s="360"/>
      <c r="BF53" s="360"/>
    </row>
    <row r="54" spans="5:58" ht="14.25" hidden="1" customHeight="1" thickBot="1">
      <c r="E54" s="1079"/>
      <c r="F54" s="1079"/>
      <c r="J54" s="2121" t="s">
        <v>220</v>
      </c>
      <c r="K54" s="2122"/>
      <c r="L54" s="2122"/>
      <c r="M54" s="2122"/>
      <c r="N54" s="2122"/>
      <c r="O54" s="2122"/>
      <c r="P54" s="2122"/>
      <c r="Q54" s="2122"/>
      <c r="R54" s="2123"/>
      <c r="S54" s="360"/>
      <c r="V54" s="2121" t="s">
        <v>349</v>
      </c>
      <c r="W54" s="2122"/>
      <c r="X54" s="2122"/>
      <c r="Y54" s="2122"/>
      <c r="Z54" s="2122"/>
      <c r="AA54" s="2122"/>
      <c r="AB54" s="2122"/>
      <c r="AC54" s="2122"/>
      <c r="AD54" s="2123"/>
      <c r="AE54" s="804"/>
      <c r="AF54" s="360"/>
      <c r="AG54" s="360"/>
      <c r="BA54" s="360"/>
      <c r="BB54" s="360"/>
      <c r="BC54" s="360"/>
      <c r="BD54" s="360"/>
      <c r="BE54" s="360"/>
      <c r="BF54" s="360"/>
    </row>
    <row r="55" spans="5:58" ht="14.25" hidden="1" customHeight="1" thickBot="1">
      <c r="E55" s="1079"/>
      <c r="F55" s="1079"/>
      <c r="J55" s="805" t="s">
        <v>1</v>
      </c>
      <c r="K55" s="2238">
        <v>160</v>
      </c>
      <c r="L55" s="2109">
        <v>200</v>
      </c>
      <c r="M55" s="2109">
        <v>260</v>
      </c>
      <c r="N55" s="2109">
        <v>300</v>
      </c>
      <c r="O55" s="2109"/>
      <c r="P55" s="2109">
        <v>360</v>
      </c>
      <c r="Q55" s="2109">
        <v>400</v>
      </c>
      <c r="R55" s="2118"/>
      <c r="S55" s="360"/>
      <c r="V55" s="805" t="s">
        <v>1</v>
      </c>
      <c r="W55" s="2238">
        <v>160</v>
      </c>
      <c r="X55" s="2109">
        <v>200</v>
      </c>
      <c r="Y55" s="2109">
        <v>260</v>
      </c>
      <c r="Z55" s="2109">
        <v>300</v>
      </c>
      <c r="AA55" s="2109"/>
      <c r="AB55" s="2109">
        <v>360</v>
      </c>
      <c r="AC55" s="2109">
        <v>400</v>
      </c>
      <c r="AD55" s="2118"/>
      <c r="AE55" s="804"/>
      <c r="AF55" s="360"/>
      <c r="AG55" s="360"/>
      <c r="BA55" s="360"/>
      <c r="BB55" s="360"/>
      <c r="BC55" s="360"/>
      <c r="BD55" s="360"/>
      <c r="BE55" s="360"/>
      <c r="BF55" s="360"/>
    </row>
    <row r="56" spans="5:58" ht="14.25" hidden="1" customHeight="1" thickBot="1">
      <c r="E56" s="1079"/>
      <c r="F56" s="1079"/>
      <c r="J56" s="372" t="s">
        <v>0</v>
      </c>
      <c r="K56" s="2249"/>
      <c r="L56" s="2250"/>
      <c r="M56" s="2237"/>
      <c r="N56" s="1078">
        <v>1</v>
      </c>
      <c r="O56" s="1078">
        <v>2</v>
      </c>
      <c r="P56" s="2237"/>
      <c r="Q56" s="1078">
        <v>1</v>
      </c>
      <c r="R56" s="813">
        <v>2</v>
      </c>
      <c r="S56" s="360"/>
      <c r="V56" s="372" t="s">
        <v>0</v>
      </c>
      <c r="W56" s="2239"/>
      <c r="X56" s="2240"/>
      <c r="Y56" s="2110"/>
      <c r="Z56" s="1076">
        <v>1</v>
      </c>
      <c r="AA56" s="1076">
        <v>2</v>
      </c>
      <c r="AB56" s="2110"/>
      <c r="AC56" s="1076">
        <v>1</v>
      </c>
      <c r="AD56" s="574">
        <v>2</v>
      </c>
      <c r="AE56" s="804"/>
      <c r="AF56" s="360"/>
      <c r="AG56" s="360"/>
      <c r="BA56" s="360"/>
      <c r="BB56" s="360"/>
      <c r="BC56" s="360"/>
      <c r="BD56" s="360"/>
      <c r="BE56" s="360"/>
      <c r="BF56" s="360"/>
    </row>
    <row r="57" spans="5:58" ht="14.25" hidden="1" customHeight="1">
      <c r="E57" s="1079"/>
      <c r="F57" s="1079"/>
      <c r="J57" s="814">
        <v>75</v>
      </c>
      <c r="K57" s="374">
        <f>L57*0.9</f>
        <v>210.63995999999997</v>
      </c>
      <c r="L57" s="806">
        <f>L58*0.71</f>
        <v>234.04439999999997</v>
      </c>
      <c r="M57" s="1075">
        <f>M58*0.69</f>
        <v>301.45823999999993</v>
      </c>
      <c r="N57" s="1075">
        <f>N58*0.66</f>
        <v>323.88131965242241</v>
      </c>
      <c r="O57" s="1075">
        <f>O58*0.76</f>
        <v>433.74719999999996</v>
      </c>
      <c r="P57" s="1075">
        <f>P58*0.74</f>
        <v>465.91317599999996</v>
      </c>
      <c r="Q57" s="1075">
        <f>Q58*0.72</f>
        <v>479.99433615033593</v>
      </c>
      <c r="R57" s="1077">
        <f>R58*0.76</f>
        <v>625.19423999999992</v>
      </c>
      <c r="S57" s="360"/>
      <c r="V57" s="814">
        <v>75</v>
      </c>
      <c r="W57" s="836">
        <v>1.7</v>
      </c>
      <c r="X57" s="837">
        <v>1.65</v>
      </c>
      <c r="Y57" s="837">
        <v>1.6</v>
      </c>
      <c r="Z57" s="837">
        <v>1.55</v>
      </c>
      <c r="AA57" s="837">
        <v>1.55</v>
      </c>
      <c r="AB57" s="837">
        <v>1.5</v>
      </c>
      <c r="AC57" s="837">
        <v>1.45</v>
      </c>
      <c r="AD57" s="838">
        <v>1.45</v>
      </c>
      <c r="AE57" s="804"/>
      <c r="AF57" s="360"/>
      <c r="AG57" s="360"/>
      <c r="BA57" s="360"/>
      <c r="BB57" s="360"/>
      <c r="BC57" s="360"/>
      <c r="BD57" s="360"/>
      <c r="BE57" s="360"/>
      <c r="BF57" s="360"/>
    </row>
    <row r="58" spans="5:58" ht="14.25" hidden="1" customHeight="1">
      <c r="E58" s="1079"/>
      <c r="F58" s="1079"/>
      <c r="J58" s="815">
        <v>90</v>
      </c>
      <c r="K58" s="379">
        <f>L58*0.89</f>
        <v>293.37959999999998</v>
      </c>
      <c r="L58" s="846">
        <f>335*0.82*1.2</f>
        <v>329.64</v>
      </c>
      <c r="M58" s="807">
        <f>444*0.82*1.2</f>
        <v>436.89599999999996</v>
      </c>
      <c r="N58" s="1080">
        <f>M58*1.12321759</f>
        <v>490.72927220063997</v>
      </c>
      <c r="O58" s="807">
        <f>580*0.82*1.2</f>
        <v>570.71999999999991</v>
      </c>
      <c r="P58" s="1080">
        <f>L58*1.91</f>
        <v>629.61239999999998</v>
      </c>
      <c r="Q58" s="1080">
        <f>L58*2.02238442</f>
        <v>666.6588002087999</v>
      </c>
      <c r="R58" s="847">
        <f>836*0.82*1.2</f>
        <v>822.62399999999991</v>
      </c>
      <c r="S58" s="360"/>
      <c r="V58" s="815">
        <v>90</v>
      </c>
      <c r="W58" s="839">
        <v>1.6</v>
      </c>
      <c r="X58" s="840">
        <v>1.55</v>
      </c>
      <c r="Y58" s="840">
        <v>1.5</v>
      </c>
      <c r="Z58" s="840">
        <v>1.45</v>
      </c>
      <c r="AA58" s="840">
        <v>1.45</v>
      </c>
      <c r="AB58" s="840">
        <v>1.4</v>
      </c>
      <c r="AC58" s="840">
        <v>1.3</v>
      </c>
      <c r="AD58" s="841">
        <v>1.3</v>
      </c>
      <c r="AE58" s="804"/>
      <c r="AF58" s="360"/>
      <c r="AG58" s="360"/>
      <c r="BA58" s="360"/>
      <c r="BB58" s="360"/>
      <c r="BC58" s="360"/>
      <c r="BD58" s="360"/>
      <c r="BE58" s="360"/>
      <c r="BF58" s="360"/>
    </row>
    <row r="59" spans="5:58" ht="14.25" hidden="1" customHeight="1">
      <c r="E59" s="1079"/>
      <c r="F59" s="1079"/>
      <c r="J59" s="815">
        <v>110</v>
      </c>
      <c r="K59" s="379">
        <f>L59*0.88</f>
        <v>363.78984851827198</v>
      </c>
      <c r="L59" s="808">
        <f>L58*1.25408796</f>
        <v>413.39755513439997</v>
      </c>
      <c r="M59" s="1080">
        <f>L59*1.26352614</f>
        <v>522.33861712440557</v>
      </c>
      <c r="N59" s="1080">
        <f>M59*1.07113641</f>
        <v>559.49591115100031</v>
      </c>
      <c r="O59" s="1080">
        <f>O58*1.24695214</f>
        <v>711.66052534079995</v>
      </c>
      <c r="P59" s="1080">
        <f>L59*1.87</f>
        <v>773.053428101328</v>
      </c>
      <c r="Q59" s="1080">
        <f>L59*1.95542361</f>
        <v>808.36733962608241</v>
      </c>
      <c r="R59" s="572">
        <f>R58*1.12435712</f>
        <v>924.92315148287992</v>
      </c>
      <c r="S59" s="360"/>
      <c r="V59" s="815">
        <v>110</v>
      </c>
      <c r="W59" s="839">
        <v>1.5</v>
      </c>
      <c r="X59" s="840">
        <v>1.3</v>
      </c>
      <c r="Y59" s="840">
        <v>1.3</v>
      </c>
      <c r="Z59" s="840">
        <v>1.3</v>
      </c>
      <c r="AA59" s="840">
        <v>1.3</v>
      </c>
      <c r="AB59" s="840">
        <v>1.3</v>
      </c>
      <c r="AC59" s="840">
        <v>1.3</v>
      </c>
      <c r="AD59" s="841">
        <v>1.3</v>
      </c>
      <c r="AE59" s="804"/>
      <c r="AF59" s="360"/>
      <c r="AG59" s="360"/>
      <c r="BA59" s="360"/>
      <c r="BB59" s="360"/>
      <c r="BC59" s="360"/>
      <c r="BD59" s="360"/>
      <c r="BE59" s="360"/>
      <c r="BF59" s="360"/>
    </row>
    <row r="60" spans="5:58" ht="14.25" hidden="1" customHeight="1">
      <c r="E60" s="1079"/>
      <c r="F60" s="1079"/>
      <c r="J60" s="816">
        <v>150</v>
      </c>
      <c r="K60" s="845">
        <f>L60*0.87</f>
        <v>553.88375999999994</v>
      </c>
      <c r="L60" s="848">
        <f>647*0.82*1.2</f>
        <v>636.64799999999991</v>
      </c>
      <c r="M60" s="809">
        <f>L60*1.2965421</f>
        <v>825.44093488079989</v>
      </c>
      <c r="N60" s="1078" t="s">
        <v>328</v>
      </c>
      <c r="O60" s="810">
        <f>1003*0.82*1.2</f>
        <v>986.95199999999988</v>
      </c>
      <c r="P60" s="1078">
        <f>O60*1.05368459</f>
        <v>1039.9361134696799</v>
      </c>
      <c r="Q60" s="1078" t="s">
        <v>328</v>
      </c>
      <c r="R60" s="811">
        <f>1138*0.82*1.2</f>
        <v>1119.7919999999999</v>
      </c>
      <c r="S60" s="360"/>
      <c r="V60" s="816">
        <v>150</v>
      </c>
      <c r="W60" s="839">
        <v>1.4</v>
      </c>
      <c r="X60" s="840">
        <v>1.35</v>
      </c>
      <c r="Y60" s="840">
        <v>1.32</v>
      </c>
      <c r="Z60" s="840"/>
      <c r="AA60" s="840">
        <v>1.3</v>
      </c>
      <c r="AB60" s="840">
        <v>1.28</v>
      </c>
      <c r="AC60" s="840"/>
      <c r="AD60" s="841">
        <v>1.25</v>
      </c>
      <c r="AE60" s="804"/>
      <c r="AF60" s="360"/>
      <c r="AG60" s="360"/>
      <c r="BA60" s="360"/>
      <c r="BB60" s="360"/>
      <c r="BC60" s="360"/>
      <c r="BD60" s="360"/>
      <c r="BE60" s="360"/>
      <c r="BF60" s="360"/>
    </row>
    <row r="61" spans="5:58" ht="14.25" hidden="1" customHeight="1">
      <c r="E61" s="1079"/>
      <c r="F61" s="1079"/>
      <c r="J61" s="808">
        <v>200</v>
      </c>
      <c r="K61" s="379">
        <f>L61*0.88</f>
        <v>702.60308057111024</v>
      </c>
      <c r="L61" s="808">
        <f>L60*1.25408796</f>
        <v>798.41259155807984</v>
      </c>
      <c r="M61" s="1080">
        <f>L61*1.26352614</f>
        <v>1008.8151799387772</v>
      </c>
      <c r="N61" s="1080">
        <f>M61*1.07113641</f>
        <v>1080.5786701931258</v>
      </c>
      <c r="O61" s="1080">
        <f>O60*1.24695214</f>
        <v>1230.6819084772799</v>
      </c>
      <c r="P61" s="1080">
        <f>L61*1.87</f>
        <v>1493.0315462136093</v>
      </c>
      <c r="Q61" s="1080">
        <f>L61*1.95542361</f>
        <v>1561.2348320539561</v>
      </c>
      <c r="R61" s="572">
        <f>R60*1.12435712</f>
        <v>1259.0461081190399</v>
      </c>
      <c r="S61" s="360"/>
      <c r="V61" s="815">
        <v>200</v>
      </c>
      <c r="W61" s="839"/>
      <c r="X61" s="840"/>
      <c r="Y61" s="840"/>
      <c r="Z61" s="840"/>
      <c r="AA61" s="840"/>
      <c r="AB61" s="840"/>
      <c r="AC61" s="840"/>
      <c r="AD61" s="841"/>
      <c r="AE61" s="804"/>
      <c r="AF61" s="360"/>
      <c r="AG61" s="360"/>
      <c r="BA61" s="360"/>
      <c r="BB61" s="360"/>
      <c r="BC61" s="360"/>
      <c r="BD61" s="360"/>
      <c r="BE61" s="360"/>
      <c r="BF61" s="360"/>
    </row>
    <row r="62" spans="5:58" ht="14.25" hidden="1" customHeight="1">
      <c r="E62" s="1079"/>
      <c r="F62" s="1079"/>
      <c r="J62" s="808">
        <v>300</v>
      </c>
      <c r="K62" s="379">
        <f>L62*0.88</f>
        <v>881.12606400313928</v>
      </c>
      <c r="L62" s="808">
        <f>L61*1.25408796</f>
        <v>1001.2796181853855</v>
      </c>
      <c r="M62" s="1080">
        <f>L62*1.26352614</f>
        <v>1265.142971026454</v>
      </c>
      <c r="N62" s="1080">
        <f>M62*1.07113641</f>
        <v>1355.14070012201</v>
      </c>
      <c r="O62" s="1080">
        <f>O61*1.24695214</f>
        <v>1534.6014394350284</v>
      </c>
      <c r="P62" s="1080">
        <f>L62*1.87</f>
        <v>1872.392886006671</v>
      </c>
      <c r="Q62" s="1080">
        <f>L62*1.95542361</f>
        <v>1957.9258056114882</v>
      </c>
      <c r="R62" s="572">
        <f>R61*1.12435712</f>
        <v>1415.6174560719323</v>
      </c>
      <c r="S62" s="360"/>
      <c r="V62" s="815">
        <v>300</v>
      </c>
      <c r="W62" s="839"/>
      <c r="X62" s="840"/>
      <c r="Y62" s="840"/>
      <c r="Z62" s="840"/>
      <c r="AA62" s="840"/>
      <c r="AB62" s="840"/>
      <c r="AC62" s="840"/>
      <c r="AD62" s="841"/>
      <c r="AE62" s="804"/>
      <c r="AF62" s="360"/>
      <c r="AG62" s="360"/>
      <c r="BA62" s="360"/>
      <c r="BB62" s="360"/>
      <c r="BC62" s="360"/>
      <c r="BD62" s="360"/>
      <c r="BE62" s="360"/>
      <c r="BF62" s="360"/>
    </row>
    <row r="63" spans="5:58" ht="14.25" hidden="1" customHeight="1">
      <c r="E63" s="1079"/>
      <c r="F63" s="1079"/>
      <c r="J63" s="808">
        <v>400</v>
      </c>
      <c r="K63" s="379">
        <f>L63*0.88</f>
        <v>1105.0095881085263</v>
      </c>
      <c r="L63" s="808">
        <f>L62*1.25408796</f>
        <v>1255.692713759689</v>
      </c>
      <c r="M63" s="1080">
        <f>L63*1.26352614</f>
        <v>1586.6005676429047</v>
      </c>
      <c r="N63" s="1080">
        <f>M63*1.07113641</f>
        <v>1699.4656361289831</v>
      </c>
      <c r="O63" s="1080">
        <f>O62*1.24695214</f>
        <v>1913.5745489505891</v>
      </c>
      <c r="P63" s="1080">
        <f>L63*1.87</f>
        <v>2348.1453747306186</v>
      </c>
      <c r="Q63" s="1080">
        <f>L63*1.95542361</f>
        <v>2455.4111793906677</v>
      </c>
      <c r="R63" s="572">
        <f>R62*1.12435712</f>
        <v>1591.6595659307643</v>
      </c>
      <c r="S63" s="360"/>
      <c r="V63" s="815">
        <v>400</v>
      </c>
      <c r="W63" s="839"/>
      <c r="X63" s="840"/>
      <c r="Y63" s="840"/>
      <c r="Z63" s="840"/>
      <c r="AA63" s="840"/>
      <c r="AB63" s="840"/>
      <c r="AC63" s="840"/>
      <c r="AD63" s="841"/>
      <c r="AE63" s="804"/>
      <c r="AF63" s="360"/>
      <c r="AG63" s="360"/>
      <c r="BA63" s="360"/>
      <c r="BB63" s="360"/>
      <c r="BC63" s="360"/>
      <c r="BD63" s="360"/>
      <c r="BE63" s="360"/>
      <c r="BF63" s="360"/>
    </row>
    <row r="64" spans="5:58" ht="14.25" hidden="1" customHeight="1">
      <c r="E64" s="1079"/>
      <c r="F64" s="1079"/>
      <c r="J64" s="808">
        <v>500</v>
      </c>
      <c r="K64" s="379">
        <f>L64*0.88</f>
        <v>1385.7792201314619</v>
      </c>
      <c r="L64" s="808">
        <f>L63*1.25408796</f>
        <v>1574.7491137857521</v>
      </c>
      <c r="M64" s="1080">
        <f>L64*1.26352614</f>
        <v>1989.736669210132</v>
      </c>
      <c r="N64" s="1080">
        <f>M64*1.07113641</f>
        <v>2131.2793927030984</v>
      </c>
      <c r="O64" s="1080">
        <f>O63*1.24695214</f>
        <v>2386.135878863472</v>
      </c>
      <c r="P64" s="1080">
        <f>L64*1.87</f>
        <v>2944.7808427793566</v>
      </c>
      <c r="Q64" s="1080">
        <f>L64*1.95542361</f>
        <v>3079.301596923236</v>
      </c>
      <c r="R64" s="572">
        <f>R63*1.12435712</f>
        <v>1789.5937655703642</v>
      </c>
      <c r="S64" s="360"/>
      <c r="V64" s="815">
        <v>500</v>
      </c>
      <c r="W64" s="839"/>
      <c r="X64" s="840"/>
      <c r="Y64" s="840"/>
      <c r="Z64" s="840"/>
      <c r="AA64" s="840"/>
      <c r="AB64" s="840"/>
      <c r="AC64" s="840"/>
      <c r="AD64" s="841"/>
      <c r="AE64" s="804"/>
      <c r="AF64" s="360"/>
      <c r="AG64" s="360"/>
      <c r="BA64" s="360"/>
      <c r="BB64" s="360"/>
      <c r="BC64" s="360"/>
      <c r="BD64" s="360"/>
      <c r="BE64" s="360"/>
      <c r="BF64" s="360"/>
    </row>
    <row r="65" spans="1:58" ht="14.25" hidden="1" customHeight="1" thickBot="1">
      <c r="J65" s="812">
        <v>600</v>
      </c>
      <c r="K65" s="382">
        <f>L65*0.88</f>
        <v>1737.8890351850557</v>
      </c>
      <c r="L65" s="812">
        <f>L64*1.25408796</f>
        <v>1974.8739036193815</v>
      </c>
      <c r="M65" s="1076">
        <f>L65*1.26352614</f>
        <v>2495.304800426929</v>
      </c>
      <c r="N65" s="1076">
        <f>M65*1.07113641</f>
        <v>2672.8118257850674</v>
      </c>
      <c r="O65" s="1076">
        <f>O64*1.24695214</f>
        <v>2975.3972404795873</v>
      </c>
      <c r="P65" s="1076">
        <f>L65*1.87</f>
        <v>3693.0141997682435</v>
      </c>
      <c r="Q65" s="1076">
        <f>L65*1.95542361</f>
        <v>3861.7150579102031</v>
      </c>
      <c r="R65" s="574">
        <f>R64*1.12435712</f>
        <v>2012.1424922266499</v>
      </c>
      <c r="S65" s="360"/>
      <c r="V65" s="817">
        <v>600</v>
      </c>
      <c r="W65" s="842"/>
      <c r="X65" s="843"/>
      <c r="Y65" s="843"/>
      <c r="Z65" s="843"/>
      <c r="AA65" s="843"/>
      <c r="AB65" s="843"/>
      <c r="AC65" s="843"/>
      <c r="AD65" s="844"/>
      <c r="AE65" s="804"/>
      <c r="AF65" s="360"/>
      <c r="AG65" s="360"/>
      <c r="BA65" s="360"/>
      <c r="BB65" s="360"/>
      <c r="BC65" s="360"/>
      <c r="BD65" s="360"/>
      <c r="BE65" s="360"/>
      <c r="BF65" s="360"/>
    </row>
    <row r="66" spans="1:58" ht="31.5" hidden="1" customHeight="1">
      <c r="B66" s="2135" t="s">
        <v>223</v>
      </c>
      <c r="C66" s="281"/>
      <c r="D66" s="281"/>
      <c r="E66" s="442"/>
      <c r="F66" s="442"/>
      <c r="G66" s="281"/>
      <c r="H66" s="441"/>
      <c r="I66" s="442"/>
      <c r="J66" s="442"/>
      <c r="K66" s="442"/>
      <c r="L66" s="442"/>
      <c r="M66" s="442"/>
      <c r="N66" s="442"/>
      <c r="O66" s="442"/>
      <c r="P66" s="360"/>
      <c r="Q66" s="281"/>
      <c r="R66" s="155"/>
      <c r="S66" s="155"/>
      <c r="T66" s="155"/>
      <c r="U66" s="155"/>
      <c r="V66" s="155"/>
      <c r="W66" s="155"/>
      <c r="X66" s="155"/>
      <c r="Y66" s="155"/>
      <c r="Z66" s="360"/>
      <c r="AA66" s="360"/>
      <c r="AB66" s="360"/>
      <c r="AC66" s="360"/>
      <c r="AD66" s="360"/>
      <c r="AE66" s="360"/>
      <c r="AF66" s="360"/>
      <c r="AG66" s="360"/>
      <c r="AH66" s="360"/>
      <c r="AR66" s="360"/>
      <c r="AS66" s="360"/>
      <c r="AT66" s="360"/>
      <c r="AU66" s="360"/>
      <c r="AV66" s="360"/>
      <c r="AW66" s="360"/>
      <c r="AX66" s="360"/>
      <c r="AY66" s="360"/>
      <c r="AZ66" s="360"/>
      <c r="BA66" s="360"/>
      <c r="BB66" s="360"/>
      <c r="BC66" s="360"/>
      <c r="BD66" s="360"/>
      <c r="BE66" s="360"/>
      <c r="BF66" s="360"/>
    </row>
    <row r="67" spans="1:58" s="1297" customFormat="1" ht="31.5" hidden="1" customHeight="1">
      <c r="B67" s="2135"/>
      <c r="C67" s="281"/>
      <c r="D67" s="281"/>
      <c r="E67" s="442"/>
      <c r="F67" s="442"/>
      <c r="G67" s="281"/>
      <c r="H67" s="441"/>
      <c r="I67" s="442"/>
      <c r="J67" s="442"/>
      <c r="K67" s="442"/>
      <c r="L67" s="442"/>
      <c r="M67" s="442"/>
      <c r="N67" s="442"/>
      <c r="O67" s="442"/>
      <c r="P67" s="360"/>
      <c r="Q67" s="281"/>
      <c r="R67" s="155"/>
      <c r="S67" s="155"/>
      <c r="T67" s="155"/>
      <c r="U67" s="155"/>
      <c r="V67" s="155"/>
      <c r="W67" s="155"/>
      <c r="X67" s="155"/>
      <c r="Y67" s="155"/>
      <c r="Z67" s="360"/>
      <c r="AA67" s="360"/>
      <c r="AB67" s="360"/>
      <c r="AC67" s="360"/>
      <c r="AD67" s="360"/>
      <c r="AE67" s="360"/>
      <c r="AF67" s="360"/>
      <c r="AG67" s="360"/>
      <c r="AH67" s="360"/>
      <c r="AR67" s="360"/>
      <c r="AS67" s="360"/>
      <c r="AT67" s="360"/>
      <c r="AU67" s="360"/>
      <c r="AV67" s="360"/>
      <c r="AW67" s="360"/>
      <c r="AX67" s="360"/>
      <c r="AY67" s="360"/>
      <c r="AZ67" s="360"/>
      <c r="BA67" s="360"/>
      <c r="BB67" s="360"/>
      <c r="BC67" s="360"/>
      <c r="BD67" s="360"/>
      <c r="BE67" s="360"/>
      <c r="BF67" s="360"/>
    </row>
    <row r="68" spans="1:58" s="1297" customFormat="1" ht="31.5" customHeight="1">
      <c r="B68" s="2135"/>
      <c r="C68" s="281"/>
      <c r="D68" s="281"/>
      <c r="E68" s="442"/>
      <c r="F68" s="442"/>
      <c r="G68" s="281"/>
      <c r="H68" s="441"/>
      <c r="I68" s="442"/>
      <c r="J68" s="442"/>
      <c r="K68" s="442"/>
      <c r="L68" s="442"/>
      <c r="M68" s="442"/>
      <c r="N68" s="442"/>
      <c r="O68" s="442"/>
      <c r="P68" s="360"/>
      <c r="Q68" s="281"/>
      <c r="R68" s="155"/>
      <c r="S68" s="155"/>
      <c r="T68" s="155"/>
      <c r="U68" s="155"/>
      <c r="V68" s="155"/>
      <c r="W68" s="155"/>
      <c r="X68" s="155"/>
      <c r="Y68" s="155"/>
      <c r="Z68" s="360"/>
      <c r="AA68" s="360"/>
      <c r="AB68" s="360"/>
      <c r="AC68" s="360"/>
      <c r="AD68" s="360"/>
      <c r="AE68" s="360"/>
      <c r="AF68" s="360"/>
      <c r="AG68" s="360"/>
      <c r="AH68" s="360"/>
      <c r="AR68" s="360"/>
      <c r="AS68" s="360"/>
      <c r="AT68" s="360"/>
      <c r="AU68" s="360"/>
      <c r="AV68" s="360"/>
      <c r="AW68" s="360"/>
      <c r="AX68" s="360"/>
      <c r="AY68" s="360"/>
      <c r="AZ68" s="360"/>
      <c r="BA68" s="360"/>
      <c r="BB68" s="360"/>
      <c r="BC68" s="360"/>
      <c r="BD68" s="360"/>
      <c r="BE68" s="360"/>
      <c r="BF68" s="360"/>
    </row>
    <row r="69" spans="1:58" s="1297" customFormat="1" ht="31.5" customHeight="1" thickBot="1">
      <c r="B69" s="2135"/>
      <c r="C69" s="281"/>
      <c r="D69" s="281"/>
      <c r="E69" s="442"/>
      <c r="F69" s="442"/>
      <c r="G69" s="281"/>
      <c r="H69" s="441"/>
      <c r="I69" s="442"/>
      <c r="J69" s="442"/>
      <c r="K69" s="442"/>
      <c r="L69" s="442"/>
      <c r="M69" s="442"/>
      <c r="N69" s="442"/>
      <c r="O69" s="442"/>
      <c r="P69" s="360"/>
      <c r="Q69" s="281"/>
      <c r="R69" s="155"/>
      <c r="S69" s="155"/>
      <c r="T69" s="155"/>
      <c r="U69" s="155"/>
      <c r="V69" s="155"/>
      <c r="W69" s="155"/>
      <c r="X69" s="155"/>
      <c r="Y69" s="155"/>
      <c r="Z69" s="360"/>
      <c r="AA69" s="360"/>
      <c r="AB69" s="360"/>
      <c r="AC69" s="360"/>
      <c r="AD69" s="360"/>
      <c r="AE69" s="360"/>
      <c r="AF69" s="360"/>
      <c r="AG69" s="360"/>
      <c r="AH69" s="360"/>
      <c r="AR69" s="360"/>
      <c r="AS69" s="360"/>
      <c r="AT69" s="360"/>
      <c r="AU69" s="360"/>
      <c r="AV69" s="360"/>
      <c r="AW69" s="360"/>
      <c r="AX69" s="360"/>
      <c r="AY69" s="360"/>
      <c r="AZ69" s="360"/>
      <c r="BA69" s="360"/>
      <c r="BB69" s="360"/>
      <c r="BC69" s="360"/>
      <c r="BD69" s="360"/>
      <c r="BE69" s="360"/>
      <c r="BF69" s="360"/>
    </row>
    <row r="70" spans="1:58" ht="23.25" customHeight="1" thickBot="1">
      <c r="B70" s="2136" t="s">
        <v>375</v>
      </c>
      <c r="C70" s="2137"/>
      <c r="D70" s="2140" t="s">
        <v>224</v>
      </c>
      <c r="E70" s="2142" t="s">
        <v>0</v>
      </c>
      <c r="F70" s="2142" t="s">
        <v>1</v>
      </c>
      <c r="G70" s="2144" t="s">
        <v>185</v>
      </c>
      <c r="H70" s="2146" t="s">
        <v>18</v>
      </c>
      <c r="I70" s="2146"/>
      <c r="J70" s="2146"/>
      <c r="K70" s="2146"/>
      <c r="L70" s="2146"/>
      <c r="M70" s="2146"/>
      <c r="N70" s="2146"/>
      <c r="O70" s="2146"/>
      <c r="P70" s="2146"/>
      <c r="Q70" s="2146"/>
      <c r="R70" s="2146"/>
      <c r="S70" s="2146"/>
      <c r="T70" s="2146"/>
      <c r="U70" s="2146"/>
      <c r="V70" s="2146"/>
      <c r="W70" s="2146"/>
      <c r="X70" s="2146"/>
      <c r="Y70" s="2146"/>
      <c r="Z70" s="2146"/>
      <c r="AA70" s="2146"/>
      <c r="AB70" s="2146"/>
      <c r="AC70" s="2146"/>
      <c r="AD70" s="2146"/>
      <c r="AE70" s="2146"/>
      <c r="AF70" s="2146"/>
      <c r="AG70" s="2146"/>
      <c r="AH70" s="2146"/>
      <c r="AI70" s="2146"/>
      <c r="AJ70" s="2146"/>
      <c r="AK70" s="2146"/>
      <c r="AL70" s="2146"/>
      <c r="AM70" s="2146"/>
      <c r="AN70" s="2146"/>
      <c r="AO70" s="2146"/>
      <c r="AP70" s="2146"/>
      <c r="AQ70" s="2146"/>
      <c r="AR70" s="2146"/>
      <c r="AS70" s="2146"/>
      <c r="AT70" s="2146"/>
      <c r="AU70" s="2146"/>
      <c r="AV70" s="2146"/>
      <c r="AW70" s="2146"/>
      <c r="AX70" s="2146"/>
      <c r="AY70" s="2146"/>
      <c r="AZ70" s="2146"/>
      <c r="BA70" s="2146"/>
      <c r="BB70" s="2146"/>
      <c r="BC70" s="2146"/>
      <c r="BD70" s="2146"/>
      <c r="BE70" s="2146"/>
      <c r="BF70" s="2147"/>
    </row>
    <row r="71" spans="1:58" ht="23.25" customHeight="1" thickBot="1">
      <c r="B71" s="2138"/>
      <c r="C71" s="2139"/>
      <c r="D71" s="2141"/>
      <c r="E71" s="2143"/>
      <c r="F71" s="2143"/>
      <c r="G71" s="2145"/>
      <c r="H71" s="700">
        <v>500</v>
      </c>
      <c r="I71" s="701">
        <v>550</v>
      </c>
      <c r="J71" s="629">
        <v>600</v>
      </c>
      <c r="K71" s="630">
        <v>650</v>
      </c>
      <c r="L71" s="630">
        <v>700</v>
      </c>
      <c r="M71" s="630">
        <v>750</v>
      </c>
      <c r="N71" s="630">
        <v>800</v>
      </c>
      <c r="O71" s="630">
        <v>850</v>
      </c>
      <c r="P71" s="630">
        <v>900</v>
      </c>
      <c r="Q71" s="630">
        <v>950</v>
      </c>
      <c r="R71" s="630">
        <v>1000</v>
      </c>
      <c r="S71" s="630">
        <v>1050</v>
      </c>
      <c r="T71" s="630">
        <v>1100</v>
      </c>
      <c r="U71" s="630">
        <v>1150</v>
      </c>
      <c r="V71" s="630">
        <v>1200</v>
      </c>
      <c r="W71" s="630">
        <v>1250</v>
      </c>
      <c r="X71" s="630">
        <v>1300</v>
      </c>
      <c r="Y71" s="630">
        <v>1350</v>
      </c>
      <c r="Z71" s="630">
        <v>1400</v>
      </c>
      <c r="AA71" s="630">
        <v>1450</v>
      </c>
      <c r="AB71" s="630">
        <v>1500</v>
      </c>
      <c r="AC71" s="630">
        <v>1550</v>
      </c>
      <c r="AD71" s="630">
        <v>1600</v>
      </c>
      <c r="AE71" s="630">
        <v>1650</v>
      </c>
      <c r="AF71" s="630">
        <v>1700</v>
      </c>
      <c r="AG71" s="630">
        <v>1750</v>
      </c>
      <c r="AH71" s="630">
        <v>1800</v>
      </c>
      <c r="AI71" s="630">
        <v>1850</v>
      </c>
      <c r="AJ71" s="630">
        <v>1900</v>
      </c>
      <c r="AK71" s="630">
        <v>1950</v>
      </c>
      <c r="AL71" s="630">
        <v>2000</v>
      </c>
      <c r="AM71" s="630">
        <v>2050</v>
      </c>
      <c r="AN71" s="630">
        <v>2100</v>
      </c>
      <c r="AO71" s="630">
        <v>2150</v>
      </c>
      <c r="AP71" s="630">
        <v>2200</v>
      </c>
      <c r="AQ71" s="630">
        <v>2250</v>
      </c>
      <c r="AR71" s="630">
        <v>2300</v>
      </c>
      <c r="AS71" s="630">
        <v>2350</v>
      </c>
      <c r="AT71" s="630">
        <v>2400</v>
      </c>
      <c r="AU71" s="630">
        <v>2450</v>
      </c>
      <c r="AV71" s="630">
        <v>2500</v>
      </c>
      <c r="AW71" s="630">
        <v>2550</v>
      </c>
      <c r="AX71" s="630">
        <v>2600</v>
      </c>
      <c r="AY71" s="630">
        <v>2650</v>
      </c>
      <c r="AZ71" s="630">
        <v>2700</v>
      </c>
      <c r="BA71" s="630">
        <v>2750</v>
      </c>
      <c r="BB71" s="630">
        <v>2800</v>
      </c>
      <c r="BC71" s="630">
        <v>2850</v>
      </c>
      <c r="BD71" s="630">
        <v>2900</v>
      </c>
      <c r="BE71" s="630">
        <v>2950</v>
      </c>
      <c r="BF71" s="631">
        <v>3000</v>
      </c>
    </row>
    <row r="72" spans="1:58">
      <c r="A72" s="2098" t="s">
        <v>226</v>
      </c>
      <c r="B72" s="2127" t="s">
        <v>225</v>
      </c>
      <c r="C72" s="2128"/>
      <c r="D72" s="443" t="s">
        <v>226</v>
      </c>
      <c r="E72" s="492">
        <v>55</v>
      </c>
      <c r="F72" s="492">
        <v>160</v>
      </c>
      <c r="G72" s="444" t="s">
        <v>227</v>
      </c>
      <c r="H72" s="1088">
        <f t="shared" ref="H72:AM72" si="5">((H$71-$H$4)/1000)*$AI$22*(($C$8/70)^$AS$22)</f>
        <v>17.377796700000001</v>
      </c>
      <c r="I72" s="1088">
        <f t="shared" si="5"/>
        <v>23.170395600000006</v>
      </c>
      <c r="J72" s="1088">
        <f t="shared" si="5"/>
        <v>28.962994500000004</v>
      </c>
      <c r="K72" s="1088">
        <f t="shared" si="5"/>
        <v>34.755593400000002</v>
      </c>
      <c r="L72" s="1088">
        <f t="shared" si="5"/>
        <v>40.548192300000004</v>
      </c>
      <c r="M72" s="1088">
        <f t="shared" si="5"/>
        <v>46.340791200000012</v>
      </c>
      <c r="N72" s="1088">
        <f t="shared" si="5"/>
        <v>52.133390100000007</v>
      </c>
      <c r="O72" s="1088">
        <f t="shared" si="5"/>
        <v>57.925989000000008</v>
      </c>
      <c r="P72" s="1088">
        <f t="shared" si="5"/>
        <v>63.718587900000017</v>
      </c>
      <c r="Q72" s="1088">
        <f t="shared" si="5"/>
        <v>69.511186800000004</v>
      </c>
      <c r="R72" s="1088">
        <f t="shared" si="5"/>
        <v>75.30378570000002</v>
      </c>
      <c r="S72" s="1088">
        <f t="shared" si="5"/>
        <v>81.096384600000007</v>
      </c>
      <c r="T72" s="1088">
        <f t="shared" si="5"/>
        <v>86.888983500000009</v>
      </c>
      <c r="U72" s="1088">
        <f t="shared" si="5"/>
        <v>92.681582400000025</v>
      </c>
      <c r="V72" s="1088">
        <f t="shared" si="5"/>
        <v>98.474181300000012</v>
      </c>
      <c r="W72" s="1088">
        <f t="shared" si="5"/>
        <v>104.26678020000001</v>
      </c>
      <c r="X72" s="1088">
        <f t="shared" si="5"/>
        <v>110.05937910000002</v>
      </c>
      <c r="Y72" s="1088">
        <f t="shared" si="5"/>
        <v>115.85197800000002</v>
      </c>
      <c r="Z72" s="1088">
        <f t="shared" si="5"/>
        <v>121.64457690000002</v>
      </c>
      <c r="AA72" s="1088">
        <f t="shared" si="5"/>
        <v>127.43717580000003</v>
      </c>
      <c r="AB72" s="1088">
        <f t="shared" si="5"/>
        <v>133.22977470000001</v>
      </c>
      <c r="AC72" s="1088">
        <f t="shared" si="5"/>
        <v>139.02237360000001</v>
      </c>
      <c r="AD72" s="1088">
        <f t="shared" si="5"/>
        <v>144.81497250000001</v>
      </c>
      <c r="AE72" s="1088">
        <f t="shared" si="5"/>
        <v>150.60757140000004</v>
      </c>
      <c r="AF72" s="1088">
        <f t="shared" si="5"/>
        <v>156.40017030000004</v>
      </c>
      <c r="AG72" s="1088">
        <f t="shared" si="5"/>
        <v>162.19276920000001</v>
      </c>
      <c r="AH72" s="1088">
        <f t="shared" si="5"/>
        <v>167.98536810000002</v>
      </c>
      <c r="AI72" s="1088">
        <f t="shared" si="5"/>
        <v>173.77796700000002</v>
      </c>
      <c r="AJ72" s="1088">
        <f t="shared" si="5"/>
        <v>179.57056590000002</v>
      </c>
      <c r="AK72" s="1088">
        <f t="shared" si="5"/>
        <v>185.36316480000005</v>
      </c>
      <c r="AL72" s="1088">
        <f t="shared" si="5"/>
        <v>191.15576370000002</v>
      </c>
      <c r="AM72" s="1088">
        <f t="shared" si="5"/>
        <v>196.94836260000002</v>
      </c>
      <c r="AN72" s="1088">
        <f t="shared" ref="AN72:BF72" si="6">((AN$71-$H$4)/1000)*$AI$22*(($C$8/70)^$AS$22)</f>
        <v>202.74096150000003</v>
      </c>
      <c r="AO72" s="1088">
        <f t="shared" si="6"/>
        <v>208.53356040000003</v>
      </c>
      <c r="AP72" s="1088">
        <f t="shared" si="6"/>
        <v>214.32615930000003</v>
      </c>
      <c r="AQ72" s="1088">
        <f t="shared" si="6"/>
        <v>220.11875820000003</v>
      </c>
      <c r="AR72" s="1088">
        <f t="shared" si="6"/>
        <v>225.91135710000003</v>
      </c>
      <c r="AS72" s="1088">
        <f t="shared" si="6"/>
        <v>231.70395600000003</v>
      </c>
      <c r="AT72" s="1088">
        <f t="shared" si="6"/>
        <v>237.49655490000001</v>
      </c>
      <c r="AU72" s="1088">
        <f t="shared" si="6"/>
        <v>243.28915380000004</v>
      </c>
      <c r="AV72" s="1088">
        <f t="shared" si="6"/>
        <v>249.08175270000004</v>
      </c>
      <c r="AW72" s="1088">
        <f t="shared" si="6"/>
        <v>254.87435160000007</v>
      </c>
      <c r="AX72" s="1088">
        <f t="shared" si="6"/>
        <v>260.66695050000004</v>
      </c>
      <c r="AY72" s="1088">
        <f t="shared" si="6"/>
        <v>266.45954940000001</v>
      </c>
      <c r="AZ72" s="1088">
        <f t="shared" si="6"/>
        <v>272.25214830000004</v>
      </c>
      <c r="BA72" s="1088">
        <f t="shared" si="6"/>
        <v>278.04474720000002</v>
      </c>
      <c r="BB72" s="1088">
        <f t="shared" si="6"/>
        <v>283.83734610000005</v>
      </c>
      <c r="BC72" s="1088">
        <f t="shared" si="6"/>
        <v>289.62994500000002</v>
      </c>
      <c r="BD72" s="1088">
        <f t="shared" si="6"/>
        <v>295.42254390000005</v>
      </c>
      <c r="BE72" s="1088">
        <f t="shared" si="6"/>
        <v>301.21514280000008</v>
      </c>
      <c r="BF72" s="1088">
        <f t="shared" si="6"/>
        <v>307.00774170000005</v>
      </c>
    </row>
    <row r="73" spans="1:58">
      <c r="A73" s="2098"/>
      <c r="B73" s="2129" t="s">
        <v>228</v>
      </c>
      <c r="C73" s="2130"/>
      <c r="D73" s="445" t="s">
        <v>226</v>
      </c>
      <c r="E73" s="493">
        <v>55</v>
      </c>
      <c r="F73" s="493">
        <v>200</v>
      </c>
      <c r="G73" s="446" t="s">
        <v>227</v>
      </c>
      <c r="H73" s="1089">
        <f t="shared" ref="H73:AM73" si="7">((H$71-$H$4)/1000)*$AJ$22*(($C$8/70)^$AT$22)</f>
        <v>19.308662999999996</v>
      </c>
      <c r="I73" s="1089">
        <f t="shared" si="7"/>
        <v>25.744883999999999</v>
      </c>
      <c r="J73" s="1089">
        <f t="shared" si="7"/>
        <v>32.181104999999995</v>
      </c>
      <c r="K73" s="1089">
        <f t="shared" si="7"/>
        <v>38.617325999999991</v>
      </c>
      <c r="L73" s="1089">
        <f t="shared" si="7"/>
        <v>45.053546999999988</v>
      </c>
      <c r="M73" s="1089">
        <f t="shared" si="7"/>
        <v>51.489767999999998</v>
      </c>
      <c r="N73" s="1089">
        <f t="shared" si="7"/>
        <v>57.925988999999994</v>
      </c>
      <c r="O73" s="1089">
        <f t="shared" si="7"/>
        <v>64.36220999999999</v>
      </c>
      <c r="P73" s="1089">
        <f t="shared" si="7"/>
        <v>70.798430999999994</v>
      </c>
      <c r="Q73" s="1089">
        <f t="shared" si="7"/>
        <v>77.234651999999983</v>
      </c>
      <c r="R73" s="1089">
        <f t="shared" si="7"/>
        <v>83.670872999999986</v>
      </c>
      <c r="S73" s="1089">
        <f t="shared" si="7"/>
        <v>90.107093999999975</v>
      </c>
      <c r="T73" s="1089">
        <f t="shared" si="7"/>
        <v>96.543314999999978</v>
      </c>
      <c r="U73" s="1089">
        <f t="shared" si="7"/>
        <v>102.979536</v>
      </c>
      <c r="V73" s="1089">
        <f t="shared" si="7"/>
        <v>109.41575699999999</v>
      </c>
      <c r="W73" s="1089">
        <f t="shared" si="7"/>
        <v>115.85197799999999</v>
      </c>
      <c r="X73" s="1089">
        <f t="shared" si="7"/>
        <v>122.28819899999998</v>
      </c>
      <c r="Y73" s="1089">
        <f t="shared" si="7"/>
        <v>128.72441999999998</v>
      </c>
      <c r="Z73" s="1089">
        <f t="shared" si="7"/>
        <v>135.160641</v>
      </c>
      <c r="AA73" s="1089">
        <f t="shared" si="7"/>
        <v>141.59686199999999</v>
      </c>
      <c r="AB73" s="1089">
        <f t="shared" si="7"/>
        <v>148.03308299999998</v>
      </c>
      <c r="AC73" s="1089">
        <f t="shared" si="7"/>
        <v>154.46930399999997</v>
      </c>
      <c r="AD73" s="1089">
        <f t="shared" si="7"/>
        <v>160.90552499999998</v>
      </c>
      <c r="AE73" s="1089">
        <f t="shared" si="7"/>
        <v>167.34174599999997</v>
      </c>
      <c r="AF73" s="1089">
        <f t="shared" si="7"/>
        <v>173.77796699999999</v>
      </c>
      <c r="AG73" s="1089">
        <f t="shared" si="7"/>
        <v>180.21418799999995</v>
      </c>
      <c r="AH73" s="1089">
        <f t="shared" si="7"/>
        <v>186.65040899999997</v>
      </c>
      <c r="AI73" s="1089">
        <f t="shared" si="7"/>
        <v>193.08662999999996</v>
      </c>
      <c r="AJ73" s="1089">
        <f t="shared" si="7"/>
        <v>199.52285099999997</v>
      </c>
      <c r="AK73" s="1089">
        <f t="shared" si="7"/>
        <v>205.95907199999999</v>
      </c>
      <c r="AL73" s="1089">
        <f t="shared" si="7"/>
        <v>212.39529299999995</v>
      </c>
      <c r="AM73" s="1089">
        <f t="shared" si="7"/>
        <v>218.83151399999997</v>
      </c>
      <c r="AN73" s="1089">
        <f t="shared" ref="AN73:BF73" si="8">((AN$71-$H$4)/1000)*$AJ$22*(($C$8/70)^$AT$22)</f>
        <v>225.26773499999996</v>
      </c>
      <c r="AO73" s="1089">
        <f t="shared" si="8"/>
        <v>231.70395599999998</v>
      </c>
      <c r="AP73" s="1089">
        <f t="shared" si="8"/>
        <v>238.14017699999997</v>
      </c>
      <c r="AQ73" s="1089">
        <f t="shared" si="8"/>
        <v>244.57639799999995</v>
      </c>
      <c r="AR73" s="1089">
        <f t="shared" si="8"/>
        <v>251.01261899999994</v>
      </c>
      <c r="AS73" s="1089">
        <f t="shared" si="8"/>
        <v>257.44883999999996</v>
      </c>
      <c r="AT73" s="1089">
        <f t="shared" si="8"/>
        <v>263.88506099999995</v>
      </c>
      <c r="AU73" s="1089">
        <f t="shared" si="8"/>
        <v>270.321282</v>
      </c>
      <c r="AV73" s="1089">
        <f t="shared" si="8"/>
        <v>276.75750299999993</v>
      </c>
      <c r="AW73" s="1089">
        <f t="shared" si="8"/>
        <v>283.19372399999997</v>
      </c>
      <c r="AX73" s="1089">
        <f t="shared" si="8"/>
        <v>289.62994499999996</v>
      </c>
      <c r="AY73" s="1089">
        <f t="shared" si="8"/>
        <v>296.06616599999995</v>
      </c>
      <c r="AZ73" s="1089">
        <f t="shared" si="8"/>
        <v>302.50238699999994</v>
      </c>
      <c r="BA73" s="1089">
        <f t="shared" si="8"/>
        <v>308.93860799999993</v>
      </c>
      <c r="BB73" s="1089">
        <f t="shared" si="8"/>
        <v>315.37482899999998</v>
      </c>
      <c r="BC73" s="1089">
        <f t="shared" si="8"/>
        <v>321.81104999999997</v>
      </c>
      <c r="BD73" s="1089">
        <f t="shared" si="8"/>
        <v>328.24727099999996</v>
      </c>
      <c r="BE73" s="1089">
        <f t="shared" si="8"/>
        <v>334.68349199999994</v>
      </c>
      <c r="BF73" s="1089">
        <f t="shared" si="8"/>
        <v>341.11971299999993</v>
      </c>
    </row>
    <row r="74" spans="1:58">
      <c r="A74" s="2098"/>
      <c r="B74" s="2129" t="s">
        <v>229</v>
      </c>
      <c r="C74" s="2130"/>
      <c r="D74" s="445" t="s">
        <v>226</v>
      </c>
      <c r="E74" s="493">
        <v>55</v>
      </c>
      <c r="F74" s="493">
        <v>260</v>
      </c>
      <c r="G74" s="446" t="s">
        <v>227</v>
      </c>
      <c r="H74" s="1089">
        <f t="shared" ref="H74:AM74" si="9">((H$71-$H$4)/1000)*$AK$22*(($C$8/70)^$AU$22)</f>
        <v>24.8703048</v>
      </c>
      <c r="I74" s="1089">
        <f t="shared" si="9"/>
        <v>33.160406399999999</v>
      </c>
      <c r="J74" s="1089">
        <f t="shared" si="9"/>
        <v>41.450507999999999</v>
      </c>
      <c r="K74" s="1089">
        <f t="shared" si="9"/>
        <v>49.740609599999999</v>
      </c>
      <c r="L74" s="1089">
        <f t="shared" si="9"/>
        <v>58.030711199999992</v>
      </c>
      <c r="M74" s="1089">
        <f t="shared" si="9"/>
        <v>66.320812799999999</v>
      </c>
      <c r="N74" s="1089">
        <f t="shared" si="9"/>
        <v>74.610914399999999</v>
      </c>
      <c r="O74" s="1089">
        <f t="shared" si="9"/>
        <v>82.901015999999998</v>
      </c>
      <c r="P74" s="1089">
        <f t="shared" si="9"/>
        <v>91.191117600000013</v>
      </c>
      <c r="Q74" s="1089">
        <f t="shared" si="9"/>
        <v>99.481219199999998</v>
      </c>
      <c r="R74" s="1089">
        <f t="shared" si="9"/>
        <v>107.7713208</v>
      </c>
      <c r="S74" s="1089">
        <f t="shared" si="9"/>
        <v>116.06142239999998</v>
      </c>
      <c r="T74" s="1089">
        <f t="shared" si="9"/>
        <v>124.351524</v>
      </c>
      <c r="U74" s="1089">
        <f t="shared" si="9"/>
        <v>132.6416256</v>
      </c>
      <c r="V74" s="1089">
        <f t="shared" si="9"/>
        <v>140.93172719999998</v>
      </c>
      <c r="W74" s="1089">
        <f t="shared" si="9"/>
        <v>149.2218288</v>
      </c>
      <c r="X74" s="1089">
        <f t="shared" si="9"/>
        <v>157.51193039999998</v>
      </c>
      <c r="Y74" s="1089">
        <f t="shared" si="9"/>
        <v>165.802032</v>
      </c>
      <c r="Z74" s="1089">
        <f t="shared" si="9"/>
        <v>174.09213360000001</v>
      </c>
      <c r="AA74" s="1089">
        <f t="shared" si="9"/>
        <v>182.38223520000003</v>
      </c>
      <c r="AB74" s="1089">
        <f t="shared" si="9"/>
        <v>190.67233679999998</v>
      </c>
      <c r="AC74" s="1089">
        <f t="shared" si="9"/>
        <v>198.9624384</v>
      </c>
      <c r="AD74" s="1089">
        <f t="shared" si="9"/>
        <v>207.25254000000001</v>
      </c>
      <c r="AE74" s="1089">
        <f t="shared" si="9"/>
        <v>215.5426416</v>
      </c>
      <c r="AF74" s="1089">
        <f t="shared" si="9"/>
        <v>223.83274320000001</v>
      </c>
      <c r="AG74" s="1089">
        <f t="shared" si="9"/>
        <v>232.12284479999997</v>
      </c>
      <c r="AH74" s="1089">
        <f t="shared" si="9"/>
        <v>240.41294639999998</v>
      </c>
      <c r="AI74" s="1089">
        <f t="shared" si="9"/>
        <v>248.703048</v>
      </c>
      <c r="AJ74" s="1089">
        <f t="shared" si="9"/>
        <v>256.99314959999998</v>
      </c>
      <c r="AK74" s="1089">
        <f t="shared" si="9"/>
        <v>265.2832512</v>
      </c>
      <c r="AL74" s="1089">
        <f t="shared" si="9"/>
        <v>273.57335279999995</v>
      </c>
      <c r="AM74" s="1089">
        <f t="shared" si="9"/>
        <v>281.86345439999997</v>
      </c>
      <c r="AN74" s="1089">
        <f t="shared" ref="AN74:BF74" si="10">((AN$71-$H$4)/1000)*$AK$22*(($C$8/70)^$AU$22)</f>
        <v>290.15355599999998</v>
      </c>
      <c r="AO74" s="1089">
        <f t="shared" si="10"/>
        <v>298.44365759999999</v>
      </c>
      <c r="AP74" s="1089">
        <f t="shared" si="10"/>
        <v>306.73375920000001</v>
      </c>
      <c r="AQ74" s="1089">
        <f t="shared" si="10"/>
        <v>315.02386079999997</v>
      </c>
      <c r="AR74" s="1089">
        <f t="shared" si="10"/>
        <v>323.31396239999998</v>
      </c>
      <c r="AS74" s="1089">
        <f t="shared" si="10"/>
        <v>331.60406399999999</v>
      </c>
      <c r="AT74" s="1089">
        <f t="shared" si="10"/>
        <v>339.89416559999995</v>
      </c>
      <c r="AU74" s="1089">
        <f t="shared" si="10"/>
        <v>348.18426720000002</v>
      </c>
      <c r="AV74" s="1089">
        <f t="shared" si="10"/>
        <v>356.47436879999998</v>
      </c>
      <c r="AW74" s="1089">
        <f t="shared" si="10"/>
        <v>364.76447040000005</v>
      </c>
      <c r="AX74" s="1089">
        <f t="shared" si="10"/>
        <v>373.05457200000001</v>
      </c>
      <c r="AY74" s="1089">
        <f t="shared" si="10"/>
        <v>381.34467359999996</v>
      </c>
      <c r="AZ74" s="1089">
        <f t="shared" si="10"/>
        <v>389.63477520000004</v>
      </c>
      <c r="BA74" s="1089">
        <f t="shared" si="10"/>
        <v>397.92487679999999</v>
      </c>
      <c r="BB74" s="1089">
        <f t="shared" si="10"/>
        <v>406.21497840000001</v>
      </c>
      <c r="BC74" s="1089">
        <f t="shared" si="10"/>
        <v>414.50508000000002</v>
      </c>
      <c r="BD74" s="1089">
        <f t="shared" si="10"/>
        <v>422.79518159999998</v>
      </c>
      <c r="BE74" s="1089">
        <f t="shared" si="10"/>
        <v>431.08528319999999</v>
      </c>
      <c r="BF74" s="1089">
        <f t="shared" si="10"/>
        <v>439.37538479999995</v>
      </c>
    </row>
    <row r="75" spans="1:58">
      <c r="A75" s="2098"/>
      <c r="B75" s="2129" t="s">
        <v>230</v>
      </c>
      <c r="C75" s="2130"/>
      <c r="D75" s="445" t="s">
        <v>226</v>
      </c>
      <c r="E75" s="493">
        <v>55</v>
      </c>
      <c r="F75" s="493">
        <v>300</v>
      </c>
      <c r="G75" s="446" t="s">
        <v>227</v>
      </c>
      <c r="H75" s="1089">
        <f t="shared" ref="H75:AM75" si="11">((H$71-$H$4)/1000)*$AL$22*(($C$8/70)^$AV$22)</f>
        <v>26.72020887132485</v>
      </c>
      <c r="I75" s="1089">
        <f t="shared" si="11"/>
        <v>35.626945161766471</v>
      </c>
      <c r="J75" s="1089">
        <f t="shared" si="11"/>
        <v>44.533681452208086</v>
      </c>
      <c r="K75" s="1089">
        <f t="shared" si="11"/>
        <v>53.4404177426497</v>
      </c>
      <c r="L75" s="1089">
        <f t="shared" si="11"/>
        <v>62.347154033091314</v>
      </c>
      <c r="M75" s="1089">
        <f t="shared" si="11"/>
        <v>71.253890323532943</v>
      </c>
      <c r="N75" s="1089">
        <f t="shared" si="11"/>
        <v>80.160626613974557</v>
      </c>
      <c r="O75" s="1089">
        <f t="shared" si="11"/>
        <v>89.067362904416171</v>
      </c>
      <c r="P75" s="1089">
        <f t="shared" si="11"/>
        <v>97.9740991948578</v>
      </c>
      <c r="Q75" s="1089">
        <f t="shared" si="11"/>
        <v>106.8808354852994</v>
      </c>
      <c r="R75" s="1089">
        <f t="shared" si="11"/>
        <v>115.78757177574103</v>
      </c>
      <c r="S75" s="1089">
        <f t="shared" si="11"/>
        <v>124.69430806618263</v>
      </c>
      <c r="T75" s="1089">
        <f t="shared" si="11"/>
        <v>133.60104435662424</v>
      </c>
      <c r="U75" s="1089">
        <f t="shared" si="11"/>
        <v>142.50778064706589</v>
      </c>
      <c r="V75" s="1089">
        <f t="shared" si="11"/>
        <v>151.4145169375075</v>
      </c>
      <c r="W75" s="1089">
        <f t="shared" si="11"/>
        <v>160.32125322794911</v>
      </c>
      <c r="X75" s="1089">
        <f t="shared" si="11"/>
        <v>169.22798951839073</v>
      </c>
      <c r="Y75" s="1089">
        <f t="shared" si="11"/>
        <v>178.13472580883234</v>
      </c>
      <c r="Z75" s="1089">
        <f t="shared" si="11"/>
        <v>187.04146209927396</v>
      </c>
      <c r="AA75" s="1089">
        <f t="shared" si="11"/>
        <v>195.9481983897156</v>
      </c>
      <c r="AB75" s="1089">
        <f t="shared" si="11"/>
        <v>204.85493468015719</v>
      </c>
      <c r="AC75" s="1089">
        <f t="shared" si="11"/>
        <v>213.7616709705988</v>
      </c>
      <c r="AD75" s="1089">
        <f t="shared" si="11"/>
        <v>222.66840726104044</v>
      </c>
      <c r="AE75" s="1089">
        <f t="shared" si="11"/>
        <v>231.57514355148206</v>
      </c>
      <c r="AF75" s="1089">
        <f t="shared" si="11"/>
        <v>240.48187984192367</v>
      </c>
      <c r="AG75" s="1089">
        <f t="shared" si="11"/>
        <v>249.38861613236526</v>
      </c>
      <c r="AH75" s="1089">
        <f t="shared" si="11"/>
        <v>258.2953524228069</v>
      </c>
      <c r="AI75" s="1089">
        <f t="shared" si="11"/>
        <v>267.20208871324849</v>
      </c>
      <c r="AJ75" s="1089">
        <f t="shared" si="11"/>
        <v>276.10882500369013</v>
      </c>
      <c r="AK75" s="1089">
        <f t="shared" si="11"/>
        <v>285.01556129413177</v>
      </c>
      <c r="AL75" s="1089">
        <f t="shared" si="11"/>
        <v>293.92229758457336</v>
      </c>
      <c r="AM75" s="1089">
        <f t="shared" si="11"/>
        <v>302.829033875015</v>
      </c>
      <c r="AN75" s="1089">
        <f t="shared" ref="AN75:BF75" si="12">((AN$71-$H$4)/1000)*$AL$22*(($C$8/70)^$AV$22)</f>
        <v>311.73577016545659</v>
      </c>
      <c r="AO75" s="1089">
        <f t="shared" si="12"/>
        <v>320.64250645589823</v>
      </c>
      <c r="AP75" s="1089">
        <f t="shared" si="12"/>
        <v>329.54924274633987</v>
      </c>
      <c r="AQ75" s="1089">
        <f t="shared" si="12"/>
        <v>338.45597903678146</v>
      </c>
      <c r="AR75" s="1089">
        <f t="shared" si="12"/>
        <v>347.36271532722304</v>
      </c>
      <c r="AS75" s="1089">
        <f t="shared" si="12"/>
        <v>356.26945161766469</v>
      </c>
      <c r="AT75" s="1089">
        <f t="shared" si="12"/>
        <v>365.17618790810627</v>
      </c>
      <c r="AU75" s="1089">
        <f t="shared" si="12"/>
        <v>374.08292419854791</v>
      </c>
      <c r="AV75" s="1089">
        <f t="shared" si="12"/>
        <v>382.9896604889895</v>
      </c>
      <c r="AW75" s="1089">
        <f t="shared" si="12"/>
        <v>391.8963967794312</v>
      </c>
      <c r="AX75" s="1089">
        <f t="shared" si="12"/>
        <v>400.80313306987279</v>
      </c>
      <c r="AY75" s="1089">
        <f t="shared" si="12"/>
        <v>409.70986936031437</v>
      </c>
      <c r="AZ75" s="1089">
        <f t="shared" si="12"/>
        <v>418.61660565075601</v>
      </c>
      <c r="BA75" s="1089">
        <f t="shared" si="12"/>
        <v>427.5233419411976</v>
      </c>
      <c r="BB75" s="1089">
        <f t="shared" si="12"/>
        <v>436.4300782316393</v>
      </c>
      <c r="BC75" s="1089">
        <f t="shared" si="12"/>
        <v>445.33681452208089</v>
      </c>
      <c r="BD75" s="1089">
        <f t="shared" si="12"/>
        <v>454.24355081252241</v>
      </c>
      <c r="BE75" s="1089">
        <f t="shared" si="12"/>
        <v>463.15028710296411</v>
      </c>
      <c r="BF75" s="1089">
        <f t="shared" si="12"/>
        <v>472.0570233934057</v>
      </c>
    </row>
    <row r="76" spans="1:58" ht="15.75" thickBot="1">
      <c r="A76" s="2098"/>
      <c r="B76" s="2131" t="s">
        <v>231</v>
      </c>
      <c r="C76" s="2132"/>
      <c r="D76" s="447" t="s">
        <v>226</v>
      </c>
      <c r="E76" s="494">
        <v>55</v>
      </c>
      <c r="F76" s="494">
        <v>300</v>
      </c>
      <c r="G76" s="448" t="s">
        <v>232</v>
      </c>
      <c r="H76" s="1090">
        <f t="shared" ref="H76:AM76" si="13">((H$71-$H$4)/1000)*$AM$22*(($C$8/70)^$AW$22)</f>
        <v>35.784143999999998</v>
      </c>
      <c r="I76" s="1090">
        <f t="shared" si="13"/>
        <v>47.712192000000002</v>
      </c>
      <c r="J76" s="1090">
        <f t="shared" si="13"/>
        <v>59.640239999999999</v>
      </c>
      <c r="K76" s="1090">
        <f t="shared" si="13"/>
        <v>71.568287999999995</v>
      </c>
      <c r="L76" s="1090">
        <f t="shared" si="13"/>
        <v>83.496335999999999</v>
      </c>
      <c r="M76" s="1090">
        <f t="shared" si="13"/>
        <v>95.424384000000003</v>
      </c>
      <c r="N76" s="1090">
        <f t="shared" si="13"/>
        <v>107.35243199999999</v>
      </c>
      <c r="O76" s="1090">
        <f t="shared" si="13"/>
        <v>119.28048</v>
      </c>
      <c r="P76" s="1090">
        <f t="shared" si="13"/>
        <v>131.208528</v>
      </c>
      <c r="Q76" s="1090">
        <f t="shared" si="13"/>
        <v>143.13657599999999</v>
      </c>
      <c r="R76" s="1090">
        <f t="shared" si="13"/>
        <v>155.06462400000001</v>
      </c>
      <c r="S76" s="1090">
        <f t="shared" si="13"/>
        <v>166.992672</v>
      </c>
      <c r="T76" s="1090">
        <f t="shared" si="13"/>
        <v>178.92071999999999</v>
      </c>
      <c r="U76" s="1090">
        <f t="shared" si="13"/>
        <v>190.84876800000001</v>
      </c>
      <c r="V76" s="1090">
        <f t="shared" si="13"/>
        <v>202.776816</v>
      </c>
      <c r="W76" s="1090">
        <f t="shared" si="13"/>
        <v>214.70486399999999</v>
      </c>
      <c r="X76" s="1090">
        <f t="shared" si="13"/>
        <v>226.63291199999998</v>
      </c>
      <c r="Y76" s="1090">
        <f t="shared" si="13"/>
        <v>238.56095999999999</v>
      </c>
      <c r="Z76" s="1090">
        <f t="shared" si="13"/>
        <v>250.48900800000001</v>
      </c>
      <c r="AA76" s="1090">
        <f t="shared" si="13"/>
        <v>262.417056</v>
      </c>
      <c r="AB76" s="1090">
        <f t="shared" si="13"/>
        <v>274.34510399999999</v>
      </c>
      <c r="AC76" s="1090">
        <f t="shared" si="13"/>
        <v>286.27315199999998</v>
      </c>
      <c r="AD76" s="1090">
        <f t="shared" si="13"/>
        <v>298.20119999999997</v>
      </c>
      <c r="AE76" s="1090">
        <f t="shared" si="13"/>
        <v>310.12924800000002</v>
      </c>
      <c r="AF76" s="1090">
        <f t="shared" si="13"/>
        <v>322.05729600000001</v>
      </c>
      <c r="AG76" s="1090">
        <f t="shared" si="13"/>
        <v>333.985344</v>
      </c>
      <c r="AH76" s="1090">
        <f t="shared" si="13"/>
        <v>345.91339199999999</v>
      </c>
      <c r="AI76" s="1090">
        <f t="shared" si="13"/>
        <v>357.84143999999998</v>
      </c>
      <c r="AJ76" s="1090">
        <f t="shared" si="13"/>
        <v>369.76948800000002</v>
      </c>
      <c r="AK76" s="1090">
        <f t="shared" si="13"/>
        <v>381.69753600000001</v>
      </c>
      <c r="AL76" s="1090">
        <f t="shared" si="13"/>
        <v>393.62558399999995</v>
      </c>
      <c r="AM76" s="1090">
        <f t="shared" si="13"/>
        <v>405.55363199999999</v>
      </c>
      <c r="AN76" s="1090">
        <f t="shared" ref="AN76:BF76" si="14">((AN$71-$H$4)/1000)*$AM$22*(($C$8/70)^$AW$22)</f>
        <v>417.48167999999998</v>
      </c>
      <c r="AO76" s="1090">
        <f t="shared" si="14"/>
        <v>429.40972799999997</v>
      </c>
      <c r="AP76" s="1090">
        <f t="shared" si="14"/>
        <v>441.33777600000002</v>
      </c>
      <c r="AQ76" s="1090">
        <f t="shared" si="14"/>
        <v>453.26582399999995</v>
      </c>
      <c r="AR76" s="1090">
        <f t="shared" si="14"/>
        <v>465.193872</v>
      </c>
      <c r="AS76" s="1090">
        <f t="shared" si="14"/>
        <v>477.12191999999999</v>
      </c>
      <c r="AT76" s="1090">
        <f t="shared" si="14"/>
        <v>489.04996799999992</v>
      </c>
      <c r="AU76" s="1090">
        <f t="shared" si="14"/>
        <v>500.97801600000003</v>
      </c>
      <c r="AV76" s="1090">
        <f t="shared" si="14"/>
        <v>512.90606400000001</v>
      </c>
      <c r="AW76" s="1090">
        <f t="shared" si="14"/>
        <v>524.834112</v>
      </c>
      <c r="AX76" s="1090">
        <f t="shared" si="14"/>
        <v>536.76215999999999</v>
      </c>
      <c r="AY76" s="1090">
        <f t="shared" si="14"/>
        <v>548.69020799999998</v>
      </c>
      <c r="AZ76" s="1090">
        <f t="shared" si="14"/>
        <v>560.61825599999997</v>
      </c>
      <c r="BA76" s="1090">
        <f t="shared" si="14"/>
        <v>572.54630399999996</v>
      </c>
      <c r="BB76" s="1090">
        <f t="shared" si="14"/>
        <v>584.47435200000007</v>
      </c>
      <c r="BC76" s="1090">
        <f t="shared" si="14"/>
        <v>596.40239999999994</v>
      </c>
      <c r="BD76" s="1090">
        <f t="shared" si="14"/>
        <v>608.33044799999993</v>
      </c>
      <c r="BE76" s="1090">
        <f t="shared" si="14"/>
        <v>620.25849600000004</v>
      </c>
      <c r="BF76" s="1090">
        <f t="shared" si="14"/>
        <v>632.18654399999991</v>
      </c>
    </row>
    <row r="77" spans="1:58" ht="15.75" hidden="1" customHeight="1" thickBot="1">
      <c r="A77" s="2098"/>
      <c r="B77" s="2133" t="s">
        <v>233</v>
      </c>
      <c r="C77" s="2134"/>
      <c r="D77" s="444"/>
      <c r="E77" s="492"/>
      <c r="F77" s="492"/>
      <c r="G77" s="444"/>
      <c r="H77" s="1091">
        <f t="shared" ref="H77:AM77" si="15">((H$71-$H$4)/1000)*$AN$22*(($C$8/70)^$AX$22)</f>
        <v>38.437837019999996</v>
      </c>
      <c r="I77" s="1091">
        <f t="shared" si="15"/>
        <v>51.250449359999998</v>
      </c>
      <c r="J77" s="1091">
        <f t="shared" si="15"/>
        <v>64.063061699999992</v>
      </c>
      <c r="K77" s="1091">
        <f t="shared" si="15"/>
        <v>76.875674039999993</v>
      </c>
      <c r="L77" s="1091">
        <f t="shared" si="15"/>
        <v>89.68828637999998</v>
      </c>
      <c r="M77" s="1091">
        <f t="shared" si="15"/>
        <v>102.50089872</v>
      </c>
      <c r="N77" s="1091">
        <f t="shared" si="15"/>
        <v>115.31351105999998</v>
      </c>
      <c r="O77" s="1091">
        <f t="shared" si="15"/>
        <v>128.12612339999998</v>
      </c>
      <c r="P77" s="1091">
        <f t="shared" si="15"/>
        <v>140.93873574</v>
      </c>
      <c r="Q77" s="1091">
        <f t="shared" si="15"/>
        <v>153.75134807999999</v>
      </c>
      <c r="R77" s="1091">
        <f t="shared" si="15"/>
        <v>166.56396041999997</v>
      </c>
      <c r="S77" s="1091">
        <f t="shared" si="15"/>
        <v>179.37657275999996</v>
      </c>
      <c r="T77" s="1091">
        <f t="shared" si="15"/>
        <v>192.18918509999997</v>
      </c>
      <c r="U77" s="1091">
        <f t="shared" si="15"/>
        <v>205.00179743999999</v>
      </c>
      <c r="V77" s="1091">
        <f t="shared" si="15"/>
        <v>217.81440977999998</v>
      </c>
      <c r="W77" s="1091">
        <f t="shared" si="15"/>
        <v>230.62702211999996</v>
      </c>
      <c r="X77" s="1091">
        <f t="shared" si="15"/>
        <v>243.43963445999995</v>
      </c>
      <c r="Y77" s="1091">
        <f t="shared" si="15"/>
        <v>256.25224679999997</v>
      </c>
      <c r="Z77" s="1091">
        <f t="shared" si="15"/>
        <v>269.06485913999995</v>
      </c>
      <c r="AA77" s="1091">
        <f t="shared" si="15"/>
        <v>281.87747148</v>
      </c>
      <c r="AB77" s="1091">
        <f t="shared" si="15"/>
        <v>294.69008381999993</v>
      </c>
      <c r="AC77" s="1091">
        <f t="shared" si="15"/>
        <v>307.50269615999997</v>
      </c>
      <c r="AD77" s="1091">
        <f t="shared" si="15"/>
        <v>320.31530849999996</v>
      </c>
      <c r="AE77" s="1091">
        <f t="shared" si="15"/>
        <v>333.12792083999994</v>
      </c>
      <c r="AF77" s="1091">
        <f t="shared" si="15"/>
        <v>345.94053317999999</v>
      </c>
      <c r="AG77" s="1091">
        <f t="shared" si="15"/>
        <v>358.75314551999992</v>
      </c>
      <c r="AH77" s="1091">
        <f t="shared" si="15"/>
        <v>371.56575785999996</v>
      </c>
      <c r="AI77" s="1091">
        <f t="shared" si="15"/>
        <v>384.37837019999995</v>
      </c>
      <c r="AJ77" s="1091">
        <f t="shared" si="15"/>
        <v>397.19098253999994</v>
      </c>
      <c r="AK77" s="1091">
        <f t="shared" si="15"/>
        <v>410.00359487999998</v>
      </c>
      <c r="AL77" s="1091">
        <f t="shared" si="15"/>
        <v>422.81620721999991</v>
      </c>
      <c r="AM77" s="1091">
        <f t="shared" si="15"/>
        <v>435.62881955999995</v>
      </c>
      <c r="AN77" s="1091">
        <f t="shared" ref="AN77:BF77" si="16">((AN$71-$H$4)/1000)*$AN$22*(($C$8/70)^$AX$22)</f>
        <v>448.44143189999994</v>
      </c>
      <c r="AO77" s="1091">
        <f t="shared" si="16"/>
        <v>461.25404423999993</v>
      </c>
      <c r="AP77" s="1091">
        <f t="shared" si="16"/>
        <v>474.06665657999997</v>
      </c>
      <c r="AQ77" s="1091">
        <f t="shared" si="16"/>
        <v>486.8792689199999</v>
      </c>
      <c r="AR77" s="1091">
        <f t="shared" si="16"/>
        <v>499.69188125999995</v>
      </c>
      <c r="AS77" s="1091">
        <f t="shared" si="16"/>
        <v>512.50449359999993</v>
      </c>
      <c r="AT77" s="1091">
        <f t="shared" si="16"/>
        <v>525.31710593999992</v>
      </c>
      <c r="AU77" s="1091">
        <f t="shared" si="16"/>
        <v>538.12971827999991</v>
      </c>
      <c r="AV77" s="1091">
        <f t="shared" si="16"/>
        <v>550.94233061999989</v>
      </c>
      <c r="AW77" s="1091">
        <f t="shared" si="16"/>
        <v>563.75494295999999</v>
      </c>
      <c r="AX77" s="1091">
        <f t="shared" si="16"/>
        <v>576.56755529999987</v>
      </c>
      <c r="AY77" s="1091">
        <f t="shared" si="16"/>
        <v>589.38016763999985</v>
      </c>
      <c r="AZ77" s="1091">
        <f t="shared" si="16"/>
        <v>602.19277997999995</v>
      </c>
      <c r="BA77" s="1091">
        <f t="shared" si="16"/>
        <v>615.00539231999994</v>
      </c>
      <c r="BB77" s="1091">
        <f t="shared" si="16"/>
        <v>627.81800465999993</v>
      </c>
      <c r="BC77" s="1091">
        <f t="shared" si="16"/>
        <v>640.63061699999992</v>
      </c>
      <c r="BD77" s="1091">
        <f t="shared" si="16"/>
        <v>653.4432293399999</v>
      </c>
      <c r="BE77" s="1091">
        <f t="shared" si="16"/>
        <v>666.25584167999989</v>
      </c>
      <c r="BF77" s="1091">
        <f t="shared" si="16"/>
        <v>679.06845401999988</v>
      </c>
    </row>
    <row r="78" spans="1:58" ht="15.75" hidden="1" customHeight="1" thickBot="1">
      <c r="A78" s="2098"/>
      <c r="B78" s="2160" t="s">
        <v>234</v>
      </c>
      <c r="C78" s="2161"/>
      <c r="D78" s="446"/>
      <c r="E78" s="493"/>
      <c r="F78" s="493"/>
      <c r="G78" s="446"/>
      <c r="H78" s="1089">
        <f t="shared" ref="H78:AM78" si="17">((H$71-$H$4)/1000)*$AO$22*(($C$8/70)^$AY$22)</f>
        <v>39.599532732402714</v>
      </c>
      <c r="I78" s="1089">
        <f t="shared" si="17"/>
        <v>52.799376976536955</v>
      </c>
      <c r="J78" s="1089">
        <f t="shared" si="17"/>
        <v>65.999221220671188</v>
      </c>
      <c r="K78" s="1089">
        <f t="shared" si="17"/>
        <v>79.199065464805429</v>
      </c>
      <c r="L78" s="1089">
        <f t="shared" si="17"/>
        <v>92.398909708939655</v>
      </c>
      <c r="M78" s="1089">
        <f t="shared" si="17"/>
        <v>105.59875395307391</v>
      </c>
      <c r="N78" s="1089">
        <f t="shared" si="17"/>
        <v>118.79859819720814</v>
      </c>
      <c r="O78" s="1089">
        <f t="shared" si="17"/>
        <v>131.99844244134238</v>
      </c>
      <c r="P78" s="1089">
        <f t="shared" si="17"/>
        <v>145.19828668547663</v>
      </c>
      <c r="Q78" s="1089">
        <f t="shared" si="17"/>
        <v>158.39813092961086</v>
      </c>
      <c r="R78" s="1089">
        <f t="shared" si="17"/>
        <v>171.59797517374508</v>
      </c>
      <c r="S78" s="1089">
        <f t="shared" si="17"/>
        <v>184.79781941787931</v>
      </c>
      <c r="T78" s="1089">
        <f t="shared" si="17"/>
        <v>197.99766366201357</v>
      </c>
      <c r="U78" s="1089">
        <f t="shared" si="17"/>
        <v>211.19750790614782</v>
      </c>
      <c r="V78" s="1089">
        <f t="shared" si="17"/>
        <v>224.39735215028205</v>
      </c>
      <c r="W78" s="1089">
        <f t="shared" si="17"/>
        <v>237.59719639441627</v>
      </c>
      <c r="X78" s="1089">
        <f t="shared" si="17"/>
        <v>250.7970406385505</v>
      </c>
      <c r="Y78" s="1089">
        <f t="shared" si="17"/>
        <v>263.99688488268475</v>
      </c>
      <c r="Z78" s="1089">
        <f t="shared" si="17"/>
        <v>277.19672912681898</v>
      </c>
      <c r="AA78" s="1089">
        <f t="shared" si="17"/>
        <v>290.39657337095326</v>
      </c>
      <c r="AB78" s="1089">
        <f t="shared" si="17"/>
        <v>303.59641761508743</v>
      </c>
      <c r="AC78" s="1089">
        <f t="shared" si="17"/>
        <v>316.79626185922172</v>
      </c>
      <c r="AD78" s="1089">
        <f t="shared" si="17"/>
        <v>329.99610610335594</v>
      </c>
      <c r="AE78" s="1089">
        <f t="shared" si="17"/>
        <v>343.19595034749017</v>
      </c>
      <c r="AF78" s="1089">
        <f t="shared" si="17"/>
        <v>356.39579459162445</v>
      </c>
      <c r="AG78" s="1089">
        <f t="shared" si="17"/>
        <v>369.59563883575862</v>
      </c>
      <c r="AH78" s="1089">
        <f t="shared" si="17"/>
        <v>382.7954830798929</v>
      </c>
      <c r="AI78" s="1089">
        <f t="shared" si="17"/>
        <v>395.99532732402713</v>
      </c>
      <c r="AJ78" s="1089">
        <f t="shared" si="17"/>
        <v>409.19517156816136</v>
      </c>
      <c r="AK78" s="1089">
        <f t="shared" si="17"/>
        <v>422.39501581229564</v>
      </c>
      <c r="AL78" s="1089">
        <f t="shared" si="17"/>
        <v>435.59486005642981</v>
      </c>
      <c r="AM78" s="1089">
        <f t="shared" si="17"/>
        <v>448.79470430056409</v>
      </c>
      <c r="AN78" s="1089">
        <f t="shared" ref="AN78:BF78" si="18">((AN$71-$H$4)/1000)*$AO$22*(($C$8/70)^$AY$22)</f>
        <v>461.99454854469832</v>
      </c>
      <c r="AO78" s="1089">
        <f t="shared" si="18"/>
        <v>475.19439278883254</v>
      </c>
      <c r="AP78" s="1089">
        <f t="shared" si="18"/>
        <v>488.39423703296683</v>
      </c>
      <c r="AQ78" s="1089">
        <f t="shared" si="18"/>
        <v>501.594081277101</v>
      </c>
      <c r="AR78" s="1089">
        <f t="shared" si="18"/>
        <v>514.79392552123522</v>
      </c>
      <c r="AS78" s="1089">
        <f t="shared" si="18"/>
        <v>527.99376976536951</v>
      </c>
      <c r="AT78" s="1089">
        <f t="shared" si="18"/>
        <v>541.19361400950368</v>
      </c>
      <c r="AU78" s="1089">
        <f t="shared" si="18"/>
        <v>554.39345825363796</v>
      </c>
      <c r="AV78" s="1089">
        <f t="shared" si="18"/>
        <v>567.59330249777224</v>
      </c>
      <c r="AW78" s="1089">
        <f t="shared" si="18"/>
        <v>580.79314674190653</v>
      </c>
      <c r="AX78" s="1089">
        <f t="shared" si="18"/>
        <v>593.9929909860407</v>
      </c>
      <c r="AY78" s="1089">
        <f t="shared" si="18"/>
        <v>607.19283523017486</v>
      </c>
      <c r="AZ78" s="1089">
        <f t="shared" si="18"/>
        <v>620.39267947430915</v>
      </c>
      <c r="BA78" s="1089">
        <f t="shared" si="18"/>
        <v>633.59252371844343</v>
      </c>
      <c r="BB78" s="1089">
        <f t="shared" si="18"/>
        <v>646.79236796257771</v>
      </c>
      <c r="BC78" s="1089">
        <f t="shared" si="18"/>
        <v>659.99221220671188</v>
      </c>
      <c r="BD78" s="1089">
        <f t="shared" si="18"/>
        <v>673.19205645084605</v>
      </c>
      <c r="BE78" s="1089">
        <f t="shared" si="18"/>
        <v>686.39190069498034</v>
      </c>
      <c r="BF78" s="1089">
        <f t="shared" si="18"/>
        <v>699.59174493911462</v>
      </c>
    </row>
    <row r="79" spans="1:58" ht="15.75" hidden="1" customHeight="1" thickBot="1">
      <c r="A79" s="2098"/>
      <c r="B79" s="2162" t="s">
        <v>235</v>
      </c>
      <c r="C79" s="2163"/>
      <c r="D79" s="448"/>
      <c r="E79" s="494"/>
      <c r="F79" s="494"/>
      <c r="G79" s="448"/>
      <c r="H79" s="1090">
        <f t="shared" ref="H79:AM79" si="19">((H$71-$H$4)/1000)*$AP$22*(($C$8/70)^$AZ$22)</f>
        <v>51.578524799999997</v>
      </c>
      <c r="I79" s="1090">
        <f t="shared" si="19"/>
        <v>68.771366400000005</v>
      </c>
      <c r="J79" s="1090">
        <f t="shared" si="19"/>
        <v>85.964207999999999</v>
      </c>
      <c r="K79" s="1090">
        <f t="shared" si="19"/>
        <v>103.15704959999999</v>
      </c>
      <c r="L79" s="1090">
        <f t="shared" si="19"/>
        <v>120.34989119999999</v>
      </c>
      <c r="M79" s="1090">
        <f t="shared" si="19"/>
        <v>137.54273280000001</v>
      </c>
      <c r="N79" s="1090">
        <f t="shared" si="19"/>
        <v>154.73557439999999</v>
      </c>
      <c r="O79" s="1090">
        <f t="shared" si="19"/>
        <v>171.928416</v>
      </c>
      <c r="P79" s="1090">
        <f t="shared" si="19"/>
        <v>189.12125760000001</v>
      </c>
      <c r="Q79" s="1090">
        <f t="shared" si="19"/>
        <v>206.31409919999999</v>
      </c>
      <c r="R79" s="1090">
        <f t="shared" si="19"/>
        <v>223.5069408</v>
      </c>
      <c r="S79" s="1090">
        <f t="shared" si="19"/>
        <v>240.69978239999998</v>
      </c>
      <c r="T79" s="1090">
        <f t="shared" si="19"/>
        <v>257.89262400000001</v>
      </c>
      <c r="U79" s="1090">
        <f t="shared" si="19"/>
        <v>275.08546560000002</v>
      </c>
      <c r="V79" s="1090">
        <f t="shared" si="19"/>
        <v>292.27830719999997</v>
      </c>
      <c r="W79" s="1090">
        <f t="shared" si="19"/>
        <v>309.47114879999998</v>
      </c>
      <c r="X79" s="1090">
        <f t="shared" si="19"/>
        <v>326.66399039999999</v>
      </c>
      <c r="Y79" s="1090">
        <f t="shared" si="19"/>
        <v>343.856832</v>
      </c>
      <c r="Z79" s="1090">
        <f t="shared" si="19"/>
        <v>361.04967360000001</v>
      </c>
      <c r="AA79" s="1090">
        <f t="shared" si="19"/>
        <v>378.24251520000001</v>
      </c>
      <c r="AB79" s="1090">
        <f t="shared" si="19"/>
        <v>395.43535679999997</v>
      </c>
      <c r="AC79" s="1090">
        <f t="shared" si="19"/>
        <v>412.62819839999997</v>
      </c>
      <c r="AD79" s="1090">
        <f t="shared" si="19"/>
        <v>429.82103999999998</v>
      </c>
      <c r="AE79" s="1090">
        <f t="shared" si="19"/>
        <v>447.01388159999999</v>
      </c>
      <c r="AF79" s="1090">
        <f t="shared" si="19"/>
        <v>464.2067232</v>
      </c>
      <c r="AG79" s="1090">
        <f t="shared" si="19"/>
        <v>481.39956479999995</v>
      </c>
      <c r="AH79" s="1090">
        <f t="shared" si="19"/>
        <v>498.59240639999996</v>
      </c>
      <c r="AI79" s="1090">
        <f t="shared" si="19"/>
        <v>515.78524800000002</v>
      </c>
      <c r="AJ79" s="1090">
        <f t="shared" si="19"/>
        <v>532.97808959999998</v>
      </c>
      <c r="AK79" s="1090">
        <f t="shared" si="19"/>
        <v>550.17093120000004</v>
      </c>
      <c r="AL79" s="1090">
        <f t="shared" si="19"/>
        <v>567.36377279999999</v>
      </c>
      <c r="AM79" s="1090">
        <f t="shared" si="19"/>
        <v>584.55661439999994</v>
      </c>
      <c r="AN79" s="1090">
        <f t="shared" ref="AN79:BF79" si="20">((AN$71-$H$4)/1000)*$AP$22*(($C$8/70)^$AZ$22)</f>
        <v>601.74945600000001</v>
      </c>
      <c r="AO79" s="1090">
        <f t="shared" si="20"/>
        <v>618.94229759999996</v>
      </c>
      <c r="AP79" s="1090">
        <f t="shared" si="20"/>
        <v>636.13513920000003</v>
      </c>
      <c r="AQ79" s="1090">
        <f t="shared" si="20"/>
        <v>653.32798079999998</v>
      </c>
      <c r="AR79" s="1090">
        <f t="shared" si="20"/>
        <v>670.52082239999993</v>
      </c>
      <c r="AS79" s="1090">
        <f t="shared" si="20"/>
        <v>687.71366399999999</v>
      </c>
      <c r="AT79" s="1090">
        <f t="shared" si="20"/>
        <v>704.90650559999995</v>
      </c>
      <c r="AU79" s="1090">
        <f t="shared" si="20"/>
        <v>722.09934720000001</v>
      </c>
      <c r="AV79" s="1090">
        <f t="shared" si="20"/>
        <v>739.29218879999996</v>
      </c>
      <c r="AW79" s="1090">
        <f t="shared" si="20"/>
        <v>756.48503040000003</v>
      </c>
      <c r="AX79" s="1090">
        <f t="shared" si="20"/>
        <v>773.67787199999998</v>
      </c>
      <c r="AY79" s="1090">
        <f t="shared" si="20"/>
        <v>790.87071359999993</v>
      </c>
      <c r="AZ79" s="1090">
        <f t="shared" si="20"/>
        <v>808.0635552</v>
      </c>
      <c r="BA79" s="1090">
        <f t="shared" si="20"/>
        <v>825.25639679999995</v>
      </c>
      <c r="BB79" s="1090">
        <f t="shared" si="20"/>
        <v>842.44923840000001</v>
      </c>
      <c r="BC79" s="1090">
        <f t="shared" si="20"/>
        <v>859.64207999999996</v>
      </c>
      <c r="BD79" s="1090">
        <f t="shared" si="20"/>
        <v>876.83492159999992</v>
      </c>
      <c r="BE79" s="1090">
        <f t="shared" si="20"/>
        <v>894.02776319999998</v>
      </c>
      <c r="BF79" s="1090">
        <f t="shared" si="20"/>
        <v>911.22060479999993</v>
      </c>
    </row>
    <row r="80" spans="1:58">
      <c r="A80" s="2098"/>
      <c r="B80" s="2164" t="s">
        <v>236</v>
      </c>
      <c r="C80" s="2165"/>
      <c r="D80" s="802" t="s">
        <v>226</v>
      </c>
      <c r="E80" s="803">
        <v>65</v>
      </c>
      <c r="F80" s="803">
        <v>160</v>
      </c>
      <c r="G80" s="802" t="s">
        <v>227</v>
      </c>
      <c r="H80" s="1092">
        <f t="shared" ref="H80:AM80" si="21">((H$71-$H$4)/1000)*$K$22*(($C$8/70)^$W$22)</f>
        <v>27.357506999999998</v>
      </c>
      <c r="I80" s="1092">
        <f t="shared" si="21"/>
        <v>36.476675999999998</v>
      </c>
      <c r="J80" s="1092">
        <f t="shared" si="21"/>
        <v>45.595844999999997</v>
      </c>
      <c r="K80" s="1092">
        <f t="shared" si="21"/>
        <v>54.715013999999996</v>
      </c>
      <c r="L80" s="1092">
        <f t="shared" si="21"/>
        <v>63.834182999999989</v>
      </c>
      <c r="M80" s="1092">
        <f t="shared" si="21"/>
        <v>72.953351999999995</v>
      </c>
      <c r="N80" s="1092">
        <f t="shared" si="21"/>
        <v>82.072520999999995</v>
      </c>
      <c r="O80" s="1092">
        <f t="shared" si="21"/>
        <v>91.191689999999994</v>
      </c>
      <c r="P80" s="1092">
        <f t="shared" si="21"/>
        <v>100.31085900000001</v>
      </c>
      <c r="Q80" s="1092">
        <f t="shared" si="21"/>
        <v>109.43002799999999</v>
      </c>
      <c r="R80" s="1092">
        <f t="shared" si="21"/>
        <v>118.54919699999999</v>
      </c>
      <c r="S80" s="1092">
        <f t="shared" si="21"/>
        <v>127.66836599999998</v>
      </c>
      <c r="T80" s="1092">
        <f t="shared" si="21"/>
        <v>136.78753499999999</v>
      </c>
      <c r="U80" s="1092">
        <f t="shared" si="21"/>
        <v>145.90670399999999</v>
      </c>
      <c r="V80" s="1092">
        <f t="shared" si="21"/>
        <v>155.02587299999999</v>
      </c>
      <c r="W80" s="1092">
        <f t="shared" si="21"/>
        <v>164.14504199999999</v>
      </c>
      <c r="X80" s="1092">
        <f t="shared" si="21"/>
        <v>173.26421099999999</v>
      </c>
      <c r="Y80" s="1092">
        <f t="shared" si="21"/>
        <v>182.38337999999999</v>
      </c>
      <c r="Z80" s="1092">
        <f t="shared" si="21"/>
        <v>191.50254899999999</v>
      </c>
      <c r="AA80" s="1092">
        <f t="shared" si="21"/>
        <v>200.62171800000002</v>
      </c>
      <c r="AB80" s="1092">
        <f t="shared" si="21"/>
        <v>209.74088699999996</v>
      </c>
      <c r="AC80" s="1092">
        <f t="shared" si="21"/>
        <v>218.86005599999999</v>
      </c>
      <c r="AD80" s="1092">
        <f t="shared" si="21"/>
        <v>227.97922499999999</v>
      </c>
      <c r="AE80" s="1092">
        <f t="shared" si="21"/>
        <v>237.09839399999998</v>
      </c>
      <c r="AF80" s="1092">
        <f t="shared" si="21"/>
        <v>246.21756300000001</v>
      </c>
      <c r="AG80" s="1092">
        <f t="shared" si="21"/>
        <v>255.33673199999996</v>
      </c>
      <c r="AH80" s="1092">
        <f t="shared" si="21"/>
        <v>264.45590099999998</v>
      </c>
      <c r="AI80" s="1092">
        <f t="shared" si="21"/>
        <v>273.57506999999998</v>
      </c>
      <c r="AJ80" s="1092">
        <f t="shared" si="21"/>
        <v>282.69423899999998</v>
      </c>
      <c r="AK80" s="1092">
        <f t="shared" si="21"/>
        <v>291.81340799999998</v>
      </c>
      <c r="AL80" s="1092">
        <f t="shared" si="21"/>
        <v>300.93257699999998</v>
      </c>
      <c r="AM80" s="1092">
        <f t="shared" si="21"/>
        <v>310.05174599999998</v>
      </c>
      <c r="AN80" s="1092">
        <f t="shared" ref="AN80:BF80" si="22">((AN$71-$H$4)/1000)*$K$22*(($C$8/70)^$W$22)</f>
        <v>319.17091499999998</v>
      </c>
      <c r="AO80" s="1092">
        <f t="shared" si="22"/>
        <v>328.29008399999998</v>
      </c>
      <c r="AP80" s="1092">
        <f t="shared" si="22"/>
        <v>337.40925299999998</v>
      </c>
      <c r="AQ80" s="1092">
        <f t="shared" si="22"/>
        <v>346.52842199999998</v>
      </c>
      <c r="AR80" s="1092">
        <f t="shared" si="22"/>
        <v>355.64759099999998</v>
      </c>
      <c r="AS80" s="1092">
        <f t="shared" si="22"/>
        <v>364.76675999999998</v>
      </c>
      <c r="AT80" s="1092">
        <f t="shared" si="22"/>
        <v>373.88592899999992</v>
      </c>
      <c r="AU80" s="1092">
        <f t="shared" si="22"/>
        <v>383.00509799999998</v>
      </c>
      <c r="AV80" s="1092">
        <f t="shared" si="22"/>
        <v>392.12426699999997</v>
      </c>
      <c r="AW80" s="1092">
        <f t="shared" si="22"/>
        <v>401.24343600000003</v>
      </c>
      <c r="AX80" s="1092">
        <f t="shared" si="22"/>
        <v>410.36260499999997</v>
      </c>
      <c r="AY80" s="1092">
        <f t="shared" si="22"/>
        <v>419.48177399999992</v>
      </c>
      <c r="AZ80" s="1092">
        <f t="shared" si="22"/>
        <v>428.60094299999997</v>
      </c>
      <c r="BA80" s="1092">
        <f t="shared" si="22"/>
        <v>437.72011199999997</v>
      </c>
      <c r="BB80" s="1092">
        <f t="shared" si="22"/>
        <v>446.83928100000003</v>
      </c>
      <c r="BC80" s="1092">
        <f t="shared" si="22"/>
        <v>455.95844999999997</v>
      </c>
      <c r="BD80" s="1092">
        <f t="shared" si="22"/>
        <v>465.07761899999991</v>
      </c>
      <c r="BE80" s="1092">
        <f t="shared" si="22"/>
        <v>474.19678799999997</v>
      </c>
      <c r="BF80" s="1092">
        <f t="shared" si="22"/>
        <v>483.31595699999997</v>
      </c>
    </row>
    <row r="81" spans="1:58">
      <c r="A81" s="2098"/>
      <c r="B81" s="2166" t="s">
        <v>237</v>
      </c>
      <c r="C81" s="2167"/>
      <c r="D81" s="450" t="s">
        <v>226</v>
      </c>
      <c r="E81" s="496">
        <v>65</v>
      </c>
      <c r="F81" s="496">
        <v>200</v>
      </c>
      <c r="G81" s="450" t="s">
        <v>227</v>
      </c>
      <c r="H81" s="1093">
        <f t="shared" ref="H81:AM81" si="23">((H$71-$H$4)/1000)*$L$22*(($C$8/70)^$X$22)</f>
        <v>30.397229999999993</v>
      </c>
      <c r="I81" s="1093">
        <f t="shared" si="23"/>
        <v>40.529640000000001</v>
      </c>
      <c r="J81" s="1093">
        <f t="shared" si="23"/>
        <v>50.662049999999994</v>
      </c>
      <c r="K81" s="1093">
        <f t="shared" si="23"/>
        <v>60.794459999999987</v>
      </c>
      <c r="L81" s="1093">
        <f t="shared" si="23"/>
        <v>70.92686999999998</v>
      </c>
      <c r="M81" s="1093">
        <f t="shared" si="23"/>
        <v>81.059280000000001</v>
      </c>
      <c r="N81" s="1093">
        <f t="shared" si="23"/>
        <v>91.191689999999994</v>
      </c>
      <c r="O81" s="1093">
        <f t="shared" si="23"/>
        <v>101.32409999999999</v>
      </c>
      <c r="P81" s="1093">
        <f t="shared" si="23"/>
        <v>111.45650999999999</v>
      </c>
      <c r="Q81" s="1093">
        <f t="shared" si="23"/>
        <v>121.58891999999997</v>
      </c>
      <c r="R81" s="1093">
        <f t="shared" si="23"/>
        <v>131.72132999999999</v>
      </c>
      <c r="S81" s="1093">
        <f t="shared" si="23"/>
        <v>141.85373999999996</v>
      </c>
      <c r="T81" s="1093">
        <f t="shared" si="23"/>
        <v>151.98614999999998</v>
      </c>
      <c r="U81" s="1093">
        <f t="shared" si="23"/>
        <v>162.11856</v>
      </c>
      <c r="V81" s="1093">
        <f t="shared" si="23"/>
        <v>172.25096999999997</v>
      </c>
      <c r="W81" s="1093">
        <f t="shared" si="23"/>
        <v>182.38337999999999</v>
      </c>
      <c r="X81" s="1093">
        <f t="shared" si="23"/>
        <v>192.51578999999995</v>
      </c>
      <c r="Y81" s="1093">
        <f t="shared" si="23"/>
        <v>202.64819999999997</v>
      </c>
      <c r="Z81" s="1093">
        <f t="shared" si="23"/>
        <v>212.78061</v>
      </c>
      <c r="AA81" s="1093">
        <f t="shared" si="23"/>
        <v>222.91301999999999</v>
      </c>
      <c r="AB81" s="1093">
        <f t="shared" si="23"/>
        <v>233.04542999999995</v>
      </c>
      <c r="AC81" s="1093">
        <f t="shared" si="23"/>
        <v>243.17783999999995</v>
      </c>
      <c r="AD81" s="1093">
        <f t="shared" si="23"/>
        <v>253.31024999999997</v>
      </c>
      <c r="AE81" s="1093">
        <f t="shared" si="23"/>
        <v>263.44265999999999</v>
      </c>
      <c r="AF81" s="1093">
        <f t="shared" si="23"/>
        <v>273.57506999999998</v>
      </c>
      <c r="AG81" s="1093">
        <f t="shared" si="23"/>
        <v>283.70747999999992</v>
      </c>
      <c r="AH81" s="1093">
        <f t="shared" si="23"/>
        <v>293.83988999999997</v>
      </c>
      <c r="AI81" s="1093">
        <f t="shared" si="23"/>
        <v>303.97229999999996</v>
      </c>
      <c r="AJ81" s="1093">
        <f t="shared" si="23"/>
        <v>314.10470999999995</v>
      </c>
      <c r="AK81" s="1093">
        <f t="shared" si="23"/>
        <v>324.23712</v>
      </c>
      <c r="AL81" s="1093">
        <f t="shared" si="23"/>
        <v>334.36952999999994</v>
      </c>
      <c r="AM81" s="1093">
        <f t="shared" si="23"/>
        <v>344.50193999999993</v>
      </c>
      <c r="AN81" s="1093">
        <f t="shared" ref="AN81:BF81" si="24">((AN$71-$H$4)/1000)*$L$22*(($C$8/70)^$X$22)</f>
        <v>354.63434999999993</v>
      </c>
      <c r="AO81" s="1093">
        <f t="shared" si="24"/>
        <v>364.76675999999998</v>
      </c>
      <c r="AP81" s="1093">
        <f t="shared" si="24"/>
        <v>374.89916999999997</v>
      </c>
      <c r="AQ81" s="1093">
        <f t="shared" si="24"/>
        <v>385.03157999999991</v>
      </c>
      <c r="AR81" s="1093">
        <f t="shared" si="24"/>
        <v>395.16398999999996</v>
      </c>
      <c r="AS81" s="1093">
        <f t="shared" si="24"/>
        <v>405.29639999999995</v>
      </c>
      <c r="AT81" s="1093">
        <f t="shared" si="24"/>
        <v>415.42880999999988</v>
      </c>
      <c r="AU81" s="1093">
        <f t="shared" si="24"/>
        <v>425.56121999999999</v>
      </c>
      <c r="AV81" s="1093">
        <f t="shared" si="24"/>
        <v>435.69362999999993</v>
      </c>
      <c r="AW81" s="1093">
        <f t="shared" si="24"/>
        <v>445.82603999999998</v>
      </c>
      <c r="AX81" s="1093">
        <f t="shared" si="24"/>
        <v>455.95844999999997</v>
      </c>
      <c r="AY81" s="1093">
        <f t="shared" si="24"/>
        <v>466.09085999999991</v>
      </c>
      <c r="AZ81" s="1093">
        <f t="shared" si="24"/>
        <v>476.22326999999996</v>
      </c>
      <c r="BA81" s="1093">
        <f t="shared" si="24"/>
        <v>486.35567999999989</v>
      </c>
      <c r="BB81" s="1093">
        <f t="shared" si="24"/>
        <v>496.48809</v>
      </c>
      <c r="BC81" s="1093">
        <f t="shared" si="24"/>
        <v>506.62049999999994</v>
      </c>
      <c r="BD81" s="1093">
        <f t="shared" si="24"/>
        <v>516.75290999999993</v>
      </c>
      <c r="BE81" s="1093">
        <f t="shared" si="24"/>
        <v>526.88531999999998</v>
      </c>
      <c r="BF81" s="1093">
        <f t="shared" si="24"/>
        <v>537.01772999999991</v>
      </c>
    </row>
    <row r="82" spans="1:58">
      <c r="A82" s="2098"/>
      <c r="B82" s="2166" t="s">
        <v>238</v>
      </c>
      <c r="C82" s="2167"/>
      <c r="D82" s="450" t="s">
        <v>226</v>
      </c>
      <c r="E82" s="496">
        <v>65</v>
      </c>
      <c r="F82" s="496">
        <v>260</v>
      </c>
      <c r="G82" s="450" t="s">
        <v>227</v>
      </c>
      <c r="H82" s="1093">
        <f t="shared" ref="H82:AM82" si="25">((H$71-$H$4)/1000)*$M$22*(($C$8/70)^$Y$22)</f>
        <v>39.152807999999993</v>
      </c>
      <c r="I82" s="1093">
        <f t="shared" si="25"/>
        <v>52.203744</v>
      </c>
      <c r="J82" s="1093">
        <f t="shared" si="25"/>
        <v>65.254679999999993</v>
      </c>
      <c r="K82" s="1093">
        <f t="shared" si="25"/>
        <v>78.305615999999986</v>
      </c>
      <c r="L82" s="1093">
        <f t="shared" si="25"/>
        <v>91.356551999999979</v>
      </c>
      <c r="M82" s="1093">
        <f t="shared" si="25"/>
        <v>104.407488</v>
      </c>
      <c r="N82" s="1093">
        <f t="shared" si="25"/>
        <v>117.45842399999999</v>
      </c>
      <c r="O82" s="1093">
        <f t="shared" si="25"/>
        <v>130.50935999999999</v>
      </c>
      <c r="P82" s="1093">
        <f t="shared" si="25"/>
        <v>143.56029599999999</v>
      </c>
      <c r="Q82" s="1093">
        <f t="shared" si="25"/>
        <v>156.61123199999997</v>
      </c>
      <c r="R82" s="1093">
        <f t="shared" si="25"/>
        <v>169.66216799999998</v>
      </c>
      <c r="S82" s="1093">
        <f t="shared" si="25"/>
        <v>182.71310399999996</v>
      </c>
      <c r="T82" s="1093">
        <f t="shared" si="25"/>
        <v>195.76403999999997</v>
      </c>
      <c r="U82" s="1093">
        <f t="shared" si="25"/>
        <v>208.814976</v>
      </c>
      <c r="V82" s="1093">
        <f t="shared" si="25"/>
        <v>221.86591199999998</v>
      </c>
      <c r="W82" s="1093">
        <f t="shared" si="25"/>
        <v>234.91684799999999</v>
      </c>
      <c r="X82" s="1093">
        <f t="shared" si="25"/>
        <v>247.96778399999997</v>
      </c>
      <c r="Y82" s="1093">
        <f t="shared" si="25"/>
        <v>261.01871999999997</v>
      </c>
      <c r="Z82" s="1093">
        <f t="shared" si="25"/>
        <v>274.06965600000001</v>
      </c>
      <c r="AA82" s="1093">
        <f t="shared" si="25"/>
        <v>287.12059199999999</v>
      </c>
      <c r="AB82" s="1093">
        <f t="shared" si="25"/>
        <v>300.17152799999997</v>
      </c>
      <c r="AC82" s="1093">
        <f t="shared" si="25"/>
        <v>313.22246399999995</v>
      </c>
      <c r="AD82" s="1093">
        <f t="shared" si="25"/>
        <v>326.27339999999998</v>
      </c>
      <c r="AE82" s="1093">
        <f t="shared" si="25"/>
        <v>339.32433599999996</v>
      </c>
      <c r="AF82" s="1093">
        <f t="shared" si="25"/>
        <v>352.375272</v>
      </c>
      <c r="AG82" s="1093">
        <f t="shared" si="25"/>
        <v>365.42620799999992</v>
      </c>
      <c r="AH82" s="1093">
        <f t="shared" si="25"/>
        <v>378.47714399999995</v>
      </c>
      <c r="AI82" s="1093">
        <f t="shared" si="25"/>
        <v>391.52807999999993</v>
      </c>
      <c r="AJ82" s="1093">
        <f t="shared" si="25"/>
        <v>404.57901599999997</v>
      </c>
      <c r="AK82" s="1093">
        <f t="shared" si="25"/>
        <v>417.629952</v>
      </c>
      <c r="AL82" s="1093">
        <f t="shared" si="25"/>
        <v>430.68088799999992</v>
      </c>
      <c r="AM82" s="1093">
        <f t="shared" si="25"/>
        <v>443.73182399999996</v>
      </c>
      <c r="AN82" s="1093">
        <f t="shared" ref="AN82:BF82" si="26">((AN$71-$H$4)/1000)*$M$22*(($C$8/70)^$Y$22)</f>
        <v>456.78275999999994</v>
      </c>
      <c r="AO82" s="1093">
        <f t="shared" si="26"/>
        <v>469.83369599999997</v>
      </c>
      <c r="AP82" s="1093">
        <f t="shared" si="26"/>
        <v>482.88463199999995</v>
      </c>
      <c r="AQ82" s="1093">
        <f t="shared" si="26"/>
        <v>495.93556799999993</v>
      </c>
      <c r="AR82" s="1093">
        <f t="shared" si="26"/>
        <v>508.98650399999991</v>
      </c>
      <c r="AS82" s="1093">
        <f t="shared" si="26"/>
        <v>522.03743999999995</v>
      </c>
      <c r="AT82" s="1093">
        <f t="shared" si="26"/>
        <v>535.08837599999993</v>
      </c>
      <c r="AU82" s="1093">
        <f t="shared" si="26"/>
        <v>548.13931200000002</v>
      </c>
      <c r="AV82" s="1093">
        <f t="shared" si="26"/>
        <v>561.19024799999988</v>
      </c>
      <c r="AW82" s="1093">
        <f t="shared" si="26"/>
        <v>574.24118399999998</v>
      </c>
      <c r="AX82" s="1093">
        <f t="shared" si="26"/>
        <v>587.29211999999995</v>
      </c>
      <c r="AY82" s="1093">
        <f t="shared" si="26"/>
        <v>600.34305599999993</v>
      </c>
      <c r="AZ82" s="1093">
        <f t="shared" si="26"/>
        <v>613.39399199999991</v>
      </c>
      <c r="BA82" s="1093">
        <f t="shared" si="26"/>
        <v>626.44492799999989</v>
      </c>
      <c r="BB82" s="1093">
        <f t="shared" si="26"/>
        <v>639.49586399999998</v>
      </c>
      <c r="BC82" s="1093">
        <f t="shared" si="26"/>
        <v>652.54679999999996</v>
      </c>
      <c r="BD82" s="1093">
        <f t="shared" si="26"/>
        <v>665.59773599999994</v>
      </c>
      <c r="BE82" s="1093">
        <f t="shared" si="26"/>
        <v>678.64867199999992</v>
      </c>
      <c r="BF82" s="1093">
        <f t="shared" si="26"/>
        <v>691.6996079999999</v>
      </c>
    </row>
    <row r="83" spans="1:58">
      <c r="A83" s="2098"/>
      <c r="B83" s="2166" t="s">
        <v>239</v>
      </c>
      <c r="C83" s="2167"/>
      <c r="D83" s="450" t="s">
        <v>226</v>
      </c>
      <c r="E83" s="496">
        <v>65</v>
      </c>
      <c r="F83" s="496">
        <v>300</v>
      </c>
      <c r="G83" s="450" t="s">
        <v>227</v>
      </c>
      <c r="H83" s="1093">
        <f t="shared" ref="H83:AM83" si="27">((H$71-$H$4)/1000)*$N$22*(($C$8/70)^$Z$22)</f>
        <v>42.06507383290608</v>
      </c>
      <c r="I83" s="1093">
        <f t="shared" si="27"/>
        <v>56.08676511054145</v>
      </c>
      <c r="J83" s="1093">
        <f t="shared" si="27"/>
        <v>70.108456388176805</v>
      </c>
      <c r="K83" s="1093">
        <f t="shared" si="27"/>
        <v>84.13014766581216</v>
      </c>
      <c r="L83" s="1093">
        <f t="shared" si="27"/>
        <v>98.151838943447515</v>
      </c>
      <c r="M83" s="1093">
        <f t="shared" si="27"/>
        <v>112.1735302210829</v>
      </c>
      <c r="N83" s="1093">
        <f t="shared" si="27"/>
        <v>126.19522149871825</v>
      </c>
      <c r="O83" s="1093">
        <f t="shared" si="27"/>
        <v>140.21691277635361</v>
      </c>
      <c r="P83" s="1093">
        <f t="shared" si="27"/>
        <v>154.23860405398898</v>
      </c>
      <c r="Q83" s="1093">
        <f t="shared" si="27"/>
        <v>168.26029533162432</v>
      </c>
      <c r="R83" s="1093">
        <f t="shared" si="27"/>
        <v>182.28198660925969</v>
      </c>
      <c r="S83" s="1093">
        <f t="shared" si="27"/>
        <v>196.30367788689503</v>
      </c>
      <c r="T83" s="1093">
        <f t="shared" si="27"/>
        <v>210.3253691645304</v>
      </c>
      <c r="U83" s="1093">
        <f t="shared" si="27"/>
        <v>224.3470604421658</v>
      </c>
      <c r="V83" s="1093">
        <f t="shared" si="27"/>
        <v>238.36875171980114</v>
      </c>
      <c r="W83" s="1093">
        <f t="shared" si="27"/>
        <v>252.39044299743651</v>
      </c>
      <c r="X83" s="1093">
        <f t="shared" si="27"/>
        <v>266.41213427507182</v>
      </c>
      <c r="Y83" s="1093">
        <f t="shared" si="27"/>
        <v>280.43382555270722</v>
      </c>
      <c r="Z83" s="1093">
        <f t="shared" si="27"/>
        <v>294.45551683034262</v>
      </c>
      <c r="AA83" s="1093">
        <f t="shared" si="27"/>
        <v>308.47720810797796</v>
      </c>
      <c r="AB83" s="1093">
        <f t="shared" si="27"/>
        <v>322.4988993856133</v>
      </c>
      <c r="AC83" s="1093">
        <f t="shared" si="27"/>
        <v>336.52059066324864</v>
      </c>
      <c r="AD83" s="1093">
        <f t="shared" si="27"/>
        <v>350.54228194088404</v>
      </c>
      <c r="AE83" s="1093">
        <f t="shared" si="27"/>
        <v>364.56397321851938</v>
      </c>
      <c r="AF83" s="1093">
        <f t="shared" si="27"/>
        <v>378.58566449615478</v>
      </c>
      <c r="AG83" s="1093">
        <f t="shared" si="27"/>
        <v>392.60735577379006</v>
      </c>
      <c r="AH83" s="1093">
        <f t="shared" si="27"/>
        <v>406.62904705142546</v>
      </c>
      <c r="AI83" s="1093">
        <f t="shared" si="27"/>
        <v>420.6507383290608</v>
      </c>
      <c r="AJ83" s="1093">
        <f t="shared" si="27"/>
        <v>434.6724296066962</v>
      </c>
      <c r="AK83" s="1093">
        <f t="shared" si="27"/>
        <v>448.6941208843316</v>
      </c>
      <c r="AL83" s="1093">
        <f t="shared" si="27"/>
        <v>462.71581216196688</v>
      </c>
      <c r="AM83" s="1093">
        <f t="shared" si="27"/>
        <v>476.73750343960228</v>
      </c>
      <c r="AN83" s="1093">
        <f t="shared" ref="AN83:BF83" si="28">((AN$71-$H$4)/1000)*$N$22*(($C$8/70)^$Z$22)</f>
        <v>490.75919471723762</v>
      </c>
      <c r="AO83" s="1093">
        <f t="shared" si="28"/>
        <v>504.78088599487302</v>
      </c>
      <c r="AP83" s="1093">
        <f t="shared" si="28"/>
        <v>518.80257727250842</v>
      </c>
      <c r="AQ83" s="1093">
        <f t="shared" si="28"/>
        <v>532.82426855014364</v>
      </c>
      <c r="AR83" s="1093">
        <f t="shared" si="28"/>
        <v>546.8459598277791</v>
      </c>
      <c r="AS83" s="1093">
        <f t="shared" si="28"/>
        <v>560.86765110541444</v>
      </c>
      <c r="AT83" s="1093">
        <f t="shared" si="28"/>
        <v>574.88934238304978</v>
      </c>
      <c r="AU83" s="1093">
        <f t="shared" si="28"/>
        <v>588.91103366068523</v>
      </c>
      <c r="AV83" s="1093">
        <f t="shared" si="28"/>
        <v>602.93272493832046</v>
      </c>
      <c r="AW83" s="1093">
        <f t="shared" si="28"/>
        <v>616.95441621595592</v>
      </c>
      <c r="AX83" s="1093">
        <f t="shared" si="28"/>
        <v>630.97610749359126</v>
      </c>
      <c r="AY83" s="1093">
        <f t="shared" si="28"/>
        <v>644.9977987712266</v>
      </c>
      <c r="AZ83" s="1093">
        <f t="shared" si="28"/>
        <v>659.01949004886194</v>
      </c>
      <c r="BA83" s="1093">
        <f t="shared" si="28"/>
        <v>673.04118132649728</v>
      </c>
      <c r="BB83" s="1093">
        <f t="shared" si="28"/>
        <v>687.06287260413274</v>
      </c>
      <c r="BC83" s="1093">
        <f t="shared" si="28"/>
        <v>701.08456388176808</v>
      </c>
      <c r="BD83" s="1093">
        <f t="shared" si="28"/>
        <v>715.1062551594033</v>
      </c>
      <c r="BE83" s="1093">
        <f t="shared" si="28"/>
        <v>729.12794643703876</v>
      </c>
      <c r="BF83" s="1093">
        <f t="shared" si="28"/>
        <v>743.1496377146741</v>
      </c>
    </row>
    <row r="84" spans="1:58" ht="15" customHeight="1" thickBot="1">
      <c r="A84" s="2098"/>
      <c r="B84" s="2148" t="s">
        <v>240</v>
      </c>
      <c r="C84" s="2149"/>
      <c r="D84" s="451" t="s">
        <v>226</v>
      </c>
      <c r="E84" s="497">
        <v>65</v>
      </c>
      <c r="F84" s="497">
        <v>300</v>
      </c>
      <c r="G84" s="451" t="s">
        <v>232</v>
      </c>
      <c r="H84" s="1094">
        <f t="shared" ref="H84:AM84" si="29">((H$71-$H$4)/1000)*$O$22*(($C$8/70)^$AA$22)</f>
        <v>56.334240000000001</v>
      </c>
      <c r="I84" s="1094">
        <f t="shared" si="29"/>
        <v>75.112319999999997</v>
      </c>
      <c r="J84" s="1094">
        <f t="shared" si="29"/>
        <v>93.8904</v>
      </c>
      <c r="K84" s="1094">
        <f t="shared" si="29"/>
        <v>112.66848</v>
      </c>
      <c r="L84" s="1094">
        <f t="shared" si="29"/>
        <v>131.44656000000001</v>
      </c>
      <c r="M84" s="1094">
        <f t="shared" si="29"/>
        <v>150.22463999999999</v>
      </c>
      <c r="N84" s="1094">
        <f t="shared" si="29"/>
        <v>169.00272000000001</v>
      </c>
      <c r="O84" s="1094">
        <f t="shared" si="29"/>
        <v>187.7808</v>
      </c>
      <c r="P84" s="1094">
        <f t="shared" si="29"/>
        <v>206.55888000000002</v>
      </c>
      <c r="Q84" s="1094">
        <f t="shared" si="29"/>
        <v>225.33696</v>
      </c>
      <c r="R84" s="1094">
        <f t="shared" si="29"/>
        <v>244.11503999999999</v>
      </c>
      <c r="S84" s="1094">
        <f t="shared" si="29"/>
        <v>262.89312000000001</v>
      </c>
      <c r="T84" s="1094">
        <f t="shared" si="29"/>
        <v>281.6712</v>
      </c>
      <c r="U84" s="1094">
        <f t="shared" si="29"/>
        <v>300.44927999999999</v>
      </c>
      <c r="V84" s="1094">
        <f t="shared" si="29"/>
        <v>319.22735999999998</v>
      </c>
      <c r="W84" s="1094">
        <f t="shared" si="29"/>
        <v>338.00544000000002</v>
      </c>
      <c r="X84" s="1094">
        <f t="shared" si="29"/>
        <v>356.78352000000001</v>
      </c>
      <c r="Y84" s="1094">
        <f t="shared" si="29"/>
        <v>375.5616</v>
      </c>
      <c r="Z84" s="1094">
        <f t="shared" si="29"/>
        <v>394.33967999999999</v>
      </c>
      <c r="AA84" s="1094">
        <f t="shared" si="29"/>
        <v>413.11776000000003</v>
      </c>
      <c r="AB84" s="1094">
        <f t="shared" si="29"/>
        <v>431.89583999999996</v>
      </c>
      <c r="AC84" s="1094">
        <f t="shared" si="29"/>
        <v>450.67392000000001</v>
      </c>
      <c r="AD84" s="1094">
        <f t="shared" si="29"/>
        <v>469.452</v>
      </c>
      <c r="AE84" s="1094">
        <f t="shared" si="29"/>
        <v>488.23007999999999</v>
      </c>
      <c r="AF84" s="1094">
        <f t="shared" si="29"/>
        <v>507.00816000000003</v>
      </c>
      <c r="AG84" s="1094">
        <f t="shared" si="29"/>
        <v>525.78624000000002</v>
      </c>
      <c r="AH84" s="1094">
        <f t="shared" si="29"/>
        <v>544.56431999999995</v>
      </c>
      <c r="AI84" s="1094">
        <f t="shared" si="29"/>
        <v>563.3424</v>
      </c>
      <c r="AJ84" s="1094">
        <f t="shared" si="29"/>
        <v>582.12048000000004</v>
      </c>
      <c r="AK84" s="1094">
        <f t="shared" si="29"/>
        <v>600.89855999999997</v>
      </c>
      <c r="AL84" s="1094">
        <f t="shared" si="29"/>
        <v>619.67664000000002</v>
      </c>
      <c r="AM84" s="1094">
        <f t="shared" si="29"/>
        <v>638.45471999999995</v>
      </c>
      <c r="AN84" s="1094">
        <f t="shared" ref="AN84:BF84" si="30">((AN$71-$H$4)/1000)*$O$22*(($C$8/70)^$AA$22)</f>
        <v>657.2328</v>
      </c>
      <c r="AO84" s="1094">
        <f t="shared" si="30"/>
        <v>676.01088000000004</v>
      </c>
      <c r="AP84" s="1094">
        <f t="shared" si="30"/>
        <v>694.78895999999997</v>
      </c>
      <c r="AQ84" s="1094">
        <f t="shared" si="30"/>
        <v>713.56704000000002</v>
      </c>
      <c r="AR84" s="1094">
        <f t="shared" si="30"/>
        <v>732.34511999999995</v>
      </c>
      <c r="AS84" s="1094">
        <f t="shared" si="30"/>
        <v>751.1232</v>
      </c>
      <c r="AT84" s="1094">
        <f t="shared" si="30"/>
        <v>769.90127999999993</v>
      </c>
      <c r="AU84" s="1094">
        <f t="shared" si="30"/>
        <v>788.67935999999997</v>
      </c>
      <c r="AV84" s="1094">
        <f t="shared" si="30"/>
        <v>807.45744000000002</v>
      </c>
      <c r="AW84" s="1094">
        <f t="shared" si="30"/>
        <v>826.23552000000007</v>
      </c>
      <c r="AX84" s="1094">
        <f t="shared" si="30"/>
        <v>845.0136</v>
      </c>
      <c r="AY84" s="1094">
        <f t="shared" si="30"/>
        <v>863.79167999999993</v>
      </c>
      <c r="AZ84" s="1094">
        <f t="shared" si="30"/>
        <v>882.56975999999997</v>
      </c>
      <c r="BA84" s="1094">
        <f t="shared" si="30"/>
        <v>901.34784000000002</v>
      </c>
      <c r="BB84" s="1094">
        <f t="shared" si="30"/>
        <v>920.12592000000006</v>
      </c>
      <c r="BC84" s="1094">
        <f t="shared" si="30"/>
        <v>938.904</v>
      </c>
      <c r="BD84" s="1094">
        <f t="shared" si="30"/>
        <v>957.68207999999993</v>
      </c>
      <c r="BE84" s="1094">
        <f t="shared" si="30"/>
        <v>976.46015999999997</v>
      </c>
      <c r="BF84" s="1094">
        <f t="shared" si="30"/>
        <v>995.23824000000002</v>
      </c>
    </row>
    <row r="85" spans="1:58" ht="15" hidden="1" customHeight="1">
      <c r="A85" s="2098"/>
      <c r="B85" s="2150" t="s">
        <v>241</v>
      </c>
      <c r="C85" s="2151"/>
      <c r="D85" s="449"/>
      <c r="E85" s="495"/>
      <c r="F85" s="495"/>
      <c r="G85" s="449"/>
      <c r="H85" s="1095">
        <f t="shared" ref="H85:AM85" si="31">((H$71-$H$4)/1000)*$Q$22*(($C$8/70)^$AC$22)</f>
        <v>60.511894199999986</v>
      </c>
      <c r="I85" s="1095">
        <f t="shared" si="31"/>
        <v>80.682525599999991</v>
      </c>
      <c r="J85" s="1095">
        <f t="shared" si="31"/>
        <v>100.85315699999998</v>
      </c>
      <c r="K85" s="1095">
        <f t="shared" si="31"/>
        <v>121.02378839999997</v>
      </c>
      <c r="L85" s="1095">
        <f t="shared" si="31"/>
        <v>141.19441979999996</v>
      </c>
      <c r="M85" s="1095">
        <f t="shared" si="31"/>
        <v>161.36505119999998</v>
      </c>
      <c r="N85" s="1095">
        <f t="shared" si="31"/>
        <v>181.53568259999997</v>
      </c>
      <c r="O85" s="1095">
        <f t="shared" si="31"/>
        <v>201.70631399999996</v>
      </c>
      <c r="P85" s="1095">
        <f t="shared" si="31"/>
        <v>221.87694539999998</v>
      </c>
      <c r="Q85" s="1095">
        <f t="shared" si="31"/>
        <v>242.04757679999994</v>
      </c>
      <c r="R85" s="1095">
        <f t="shared" si="31"/>
        <v>262.21820819999994</v>
      </c>
      <c r="S85" s="1095">
        <f t="shared" si="31"/>
        <v>282.38883959999993</v>
      </c>
      <c r="T85" s="1095">
        <f t="shared" si="31"/>
        <v>302.55947099999992</v>
      </c>
      <c r="U85" s="1095">
        <f t="shared" si="31"/>
        <v>322.73010239999996</v>
      </c>
      <c r="V85" s="1095">
        <f t="shared" si="31"/>
        <v>342.90073379999995</v>
      </c>
      <c r="W85" s="1095">
        <f t="shared" si="31"/>
        <v>363.07136519999995</v>
      </c>
      <c r="X85" s="1095">
        <f t="shared" si="31"/>
        <v>383.24199659999994</v>
      </c>
      <c r="Y85" s="1095">
        <f t="shared" si="31"/>
        <v>403.41262799999993</v>
      </c>
      <c r="Z85" s="1095">
        <f t="shared" si="31"/>
        <v>423.58325939999992</v>
      </c>
      <c r="AA85" s="1095">
        <f t="shared" si="31"/>
        <v>443.75389079999997</v>
      </c>
      <c r="AB85" s="1095">
        <f t="shared" si="31"/>
        <v>463.9245221999999</v>
      </c>
      <c r="AC85" s="1095">
        <f t="shared" si="31"/>
        <v>484.09515359999989</v>
      </c>
      <c r="AD85" s="1095">
        <f t="shared" si="31"/>
        <v>504.26578499999994</v>
      </c>
      <c r="AE85" s="1095">
        <f t="shared" si="31"/>
        <v>524.43641639999987</v>
      </c>
      <c r="AF85" s="1095">
        <f t="shared" si="31"/>
        <v>544.60704779999992</v>
      </c>
      <c r="AG85" s="1095">
        <f t="shared" si="31"/>
        <v>564.77767919999985</v>
      </c>
      <c r="AH85" s="1095">
        <f t="shared" si="31"/>
        <v>584.9483105999999</v>
      </c>
      <c r="AI85" s="1095">
        <f t="shared" si="31"/>
        <v>605.11894199999983</v>
      </c>
      <c r="AJ85" s="1095">
        <f t="shared" si="31"/>
        <v>625.28957339999988</v>
      </c>
      <c r="AK85" s="1095">
        <f t="shared" si="31"/>
        <v>645.46020479999993</v>
      </c>
      <c r="AL85" s="1095">
        <f t="shared" si="31"/>
        <v>665.63083619999986</v>
      </c>
      <c r="AM85" s="1095">
        <f t="shared" si="31"/>
        <v>685.80146759999991</v>
      </c>
      <c r="AN85" s="1095">
        <f t="shared" ref="AN85:BF85" si="32">((AN$71-$H$4)/1000)*$Q$22*(($C$8/70)^$AC$22)</f>
        <v>705.97209899999984</v>
      </c>
      <c r="AO85" s="1095">
        <f t="shared" si="32"/>
        <v>726.14273039999989</v>
      </c>
      <c r="AP85" s="1095">
        <f t="shared" si="32"/>
        <v>746.31336179999994</v>
      </c>
      <c r="AQ85" s="1095">
        <f t="shared" si="32"/>
        <v>766.48399319999987</v>
      </c>
      <c r="AR85" s="1095">
        <f t="shared" si="32"/>
        <v>786.65462459999981</v>
      </c>
      <c r="AS85" s="1095">
        <f t="shared" si="32"/>
        <v>806.82525599999985</v>
      </c>
      <c r="AT85" s="1095">
        <f t="shared" si="32"/>
        <v>826.99588739999979</v>
      </c>
      <c r="AU85" s="1095">
        <f t="shared" si="32"/>
        <v>847.16651879999984</v>
      </c>
      <c r="AV85" s="1095">
        <f t="shared" si="32"/>
        <v>867.33715019999977</v>
      </c>
      <c r="AW85" s="1095">
        <f t="shared" si="32"/>
        <v>887.50778159999993</v>
      </c>
      <c r="AX85" s="1095">
        <f t="shared" si="32"/>
        <v>907.67841299999986</v>
      </c>
      <c r="AY85" s="1095">
        <f t="shared" si="32"/>
        <v>927.8490443999998</v>
      </c>
      <c r="AZ85" s="1095">
        <f t="shared" si="32"/>
        <v>948.01967579999985</v>
      </c>
      <c r="BA85" s="1095">
        <f t="shared" si="32"/>
        <v>968.19030719999978</v>
      </c>
      <c r="BB85" s="1095">
        <f t="shared" si="32"/>
        <v>988.36093859999994</v>
      </c>
      <c r="BC85" s="1095">
        <f t="shared" si="32"/>
        <v>1008.5315699999999</v>
      </c>
      <c r="BD85" s="1095">
        <f t="shared" si="32"/>
        <v>1028.7022013999997</v>
      </c>
      <c r="BE85" s="1095">
        <f t="shared" si="32"/>
        <v>1048.8728327999997</v>
      </c>
      <c r="BF85" s="1095">
        <f t="shared" si="32"/>
        <v>1069.0434641999998</v>
      </c>
    </row>
    <row r="86" spans="1:58" ht="15" hidden="1" customHeight="1">
      <c r="A86" s="2098"/>
      <c r="B86" s="2152" t="s">
        <v>242</v>
      </c>
      <c r="C86" s="2153"/>
      <c r="D86" s="450"/>
      <c r="E86" s="496"/>
      <c r="F86" s="496"/>
      <c r="G86" s="450"/>
      <c r="H86" s="1093">
        <f t="shared" ref="H86:AM86" si="33">((H$71-$H$4)/1000)*$R$22*(($C$8/70)^$AD$22)</f>
        <v>62.340727804891181</v>
      </c>
      <c r="I86" s="1093">
        <f t="shared" si="33"/>
        <v>83.120970406521579</v>
      </c>
      <c r="J86" s="1093">
        <f t="shared" si="33"/>
        <v>103.90121300815197</v>
      </c>
      <c r="K86" s="1093">
        <f t="shared" si="33"/>
        <v>124.68145560978236</v>
      </c>
      <c r="L86" s="1093">
        <f t="shared" si="33"/>
        <v>145.46169821141274</v>
      </c>
      <c r="M86" s="1093">
        <f t="shared" si="33"/>
        <v>166.24194081304316</v>
      </c>
      <c r="N86" s="1093">
        <f t="shared" si="33"/>
        <v>187.02218341467355</v>
      </c>
      <c r="O86" s="1093">
        <f t="shared" si="33"/>
        <v>207.80242601630394</v>
      </c>
      <c r="P86" s="1093">
        <f t="shared" si="33"/>
        <v>228.58266861793436</v>
      </c>
      <c r="Q86" s="1093">
        <f t="shared" si="33"/>
        <v>249.36291121956472</v>
      </c>
      <c r="R86" s="1093">
        <f t="shared" si="33"/>
        <v>270.14315382119514</v>
      </c>
      <c r="S86" s="1093">
        <f t="shared" si="33"/>
        <v>290.92339642282548</v>
      </c>
      <c r="T86" s="1093">
        <f t="shared" si="33"/>
        <v>311.70363902445592</v>
      </c>
      <c r="U86" s="1093">
        <f t="shared" si="33"/>
        <v>332.48388162608632</v>
      </c>
      <c r="V86" s="1093">
        <f t="shared" si="33"/>
        <v>353.26412422771671</v>
      </c>
      <c r="W86" s="1093">
        <f t="shared" si="33"/>
        <v>374.0443668293471</v>
      </c>
      <c r="X86" s="1093">
        <f t="shared" si="33"/>
        <v>394.82460943097749</v>
      </c>
      <c r="Y86" s="1093">
        <f t="shared" si="33"/>
        <v>415.60485203260788</v>
      </c>
      <c r="Z86" s="1093">
        <f t="shared" si="33"/>
        <v>436.38509463423827</v>
      </c>
      <c r="AA86" s="1093">
        <f t="shared" si="33"/>
        <v>457.16533723586872</v>
      </c>
      <c r="AB86" s="1093">
        <f t="shared" si="33"/>
        <v>477.94557983749905</v>
      </c>
      <c r="AC86" s="1093">
        <f t="shared" si="33"/>
        <v>498.72582243912944</v>
      </c>
      <c r="AD86" s="1093">
        <f t="shared" si="33"/>
        <v>519.50606504075984</v>
      </c>
      <c r="AE86" s="1093">
        <f t="shared" si="33"/>
        <v>540.28630764239028</v>
      </c>
      <c r="AF86" s="1093">
        <f t="shared" si="33"/>
        <v>561.06655024402062</v>
      </c>
      <c r="AG86" s="1093">
        <f t="shared" si="33"/>
        <v>581.84679284565095</v>
      </c>
      <c r="AH86" s="1093">
        <f t="shared" si="33"/>
        <v>602.6270354472814</v>
      </c>
      <c r="AI86" s="1093">
        <f t="shared" si="33"/>
        <v>623.40727804891185</v>
      </c>
      <c r="AJ86" s="1093">
        <f t="shared" si="33"/>
        <v>644.18752065054218</v>
      </c>
      <c r="AK86" s="1093">
        <f t="shared" si="33"/>
        <v>664.96776325217263</v>
      </c>
      <c r="AL86" s="1093">
        <f t="shared" si="33"/>
        <v>685.74800585380297</v>
      </c>
      <c r="AM86" s="1093">
        <f t="shared" si="33"/>
        <v>706.52824845543341</v>
      </c>
      <c r="AN86" s="1093">
        <f t="shared" ref="AN86:BF86" si="34">((AN$71-$H$4)/1000)*$R$22*(($C$8/70)^$AD$22)</f>
        <v>727.30849105706375</v>
      </c>
      <c r="AO86" s="1093">
        <f t="shared" si="34"/>
        <v>748.0887336586942</v>
      </c>
      <c r="AP86" s="1093">
        <f t="shared" si="34"/>
        <v>768.86897626032464</v>
      </c>
      <c r="AQ86" s="1093">
        <f t="shared" si="34"/>
        <v>789.64921886195498</v>
      </c>
      <c r="AR86" s="1093">
        <f t="shared" si="34"/>
        <v>810.42946146358531</v>
      </c>
      <c r="AS86" s="1093">
        <f t="shared" si="34"/>
        <v>831.20970406521576</v>
      </c>
      <c r="AT86" s="1093">
        <f t="shared" si="34"/>
        <v>851.98994666684609</v>
      </c>
      <c r="AU86" s="1093">
        <f t="shared" si="34"/>
        <v>872.77018926847654</v>
      </c>
      <c r="AV86" s="1093">
        <f t="shared" si="34"/>
        <v>893.55043187010688</v>
      </c>
      <c r="AW86" s="1093">
        <f t="shared" si="34"/>
        <v>914.33067447173744</v>
      </c>
      <c r="AX86" s="1093">
        <f t="shared" si="34"/>
        <v>935.11091707336777</v>
      </c>
      <c r="AY86" s="1093">
        <f t="shared" si="34"/>
        <v>955.89115967499811</v>
      </c>
      <c r="AZ86" s="1093">
        <f t="shared" si="34"/>
        <v>976.67140227662856</v>
      </c>
      <c r="BA86" s="1093">
        <f t="shared" si="34"/>
        <v>997.45164487825889</v>
      </c>
      <c r="BB86" s="1093">
        <f t="shared" si="34"/>
        <v>1018.2318874798893</v>
      </c>
      <c r="BC86" s="1093">
        <f t="shared" si="34"/>
        <v>1039.0121300815197</v>
      </c>
      <c r="BD86" s="1093">
        <f t="shared" si="34"/>
        <v>1059.79237268315</v>
      </c>
      <c r="BE86" s="1093">
        <f t="shared" si="34"/>
        <v>1080.5726152847806</v>
      </c>
      <c r="BF86" s="1093">
        <f t="shared" si="34"/>
        <v>1101.3528578864109</v>
      </c>
    </row>
    <row r="87" spans="1:58" ht="15.75" hidden="1" customHeight="1" thickBot="1">
      <c r="A87" s="2098"/>
      <c r="B87" s="2154" t="s">
        <v>243</v>
      </c>
      <c r="C87" s="2155"/>
      <c r="D87" s="451"/>
      <c r="E87" s="497"/>
      <c r="F87" s="497"/>
      <c r="G87" s="451"/>
      <c r="H87" s="1094">
        <f t="shared" ref="H87:AM87" si="35">((H$71-$H$4)/1000)*$S$22*(($C$8/70)^$AE$22)</f>
        <v>81.199007999999978</v>
      </c>
      <c r="I87" s="1094">
        <f t="shared" si="35"/>
        <v>108.26534399999998</v>
      </c>
      <c r="J87" s="1094">
        <f t="shared" si="35"/>
        <v>135.33167999999998</v>
      </c>
      <c r="K87" s="1094">
        <f t="shared" si="35"/>
        <v>162.39801599999996</v>
      </c>
      <c r="L87" s="1094">
        <f t="shared" si="35"/>
        <v>189.46435199999996</v>
      </c>
      <c r="M87" s="1094">
        <f t="shared" si="35"/>
        <v>216.53068799999997</v>
      </c>
      <c r="N87" s="1094">
        <f t="shared" si="35"/>
        <v>243.59702399999998</v>
      </c>
      <c r="O87" s="1094">
        <f t="shared" si="35"/>
        <v>270.66335999999995</v>
      </c>
      <c r="P87" s="1094">
        <f t="shared" si="35"/>
        <v>297.72969599999999</v>
      </c>
      <c r="Q87" s="1094">
        <f t="shared" si="35"/>
        <v>324.79603199999991</v>
      </c>
      <c r="R87" s="1094">
        <f t="shared" si="35"/>
        <v>351.86236799999995</v>
      </c>
      <c r="S87" s="1094">
        <f t="shared" si="35"/>
        <v>378.92870399999993</v>
      </c>
      <c r="T87" s="1094">
        <f t="shared" si="35"/>
        <v>405.9950399999999</v>
      </c>
      <c r="U87" s="1094">
        <f t="shared" si="35"/>
        <v>433.06137599999994</v>
      </c>
      <c r="V87" s="1094">
        <f t="shared" si="35"/>
        <v>460.12771199999992</v>
      </c>
      <c r="W87" s="1094">
        <f t="shared" si="35"/>
        <v>487.19404799999995</v>
      </c>
      <c r="X87" s="1094">
        <f t="shared" si="35"/>
        <v>514.26038399999993</v>
      </c>
      <c r="Y87" s="1094">
        <f t="shared" si="35"/>
        <v>541.32671999999991</v>
      </c>
      <c r="Z87" s="1094">
        <f t="shared" si="35"/>
        <v>568.39305599999989</v>
      </c>
      <c r="AA87" s="1094">
        <f t="shared" si="35"/>
        <v>595.45939199999998</v>
      </c>
      <c r="AB87" s="1094">
        <f t="shared" si="35"/>
        <v>622.52572799999984</v>
      </c>
      <c r="AC87" s="1094">
        <f t="shared" si="35"/>
        <v>649.59206399999982</v>
      </c>
      <c r="AD87" s="1094">
        <f t="shared" si="35"/>
        <v>676.65839999999992</v>
      </c>
      <c r="AE87" s="1094">
        <f t="shared" si="35"/>
        <v>703.72473599999989</v>
      </c>
      <c r="AF87" s="1094">
        <f t="shared" si="35"/>
        <v>730.79107199999987</v>
      </c>
      <c r="AG87" s="1094">
        <f t="shared" si="35"/>
        <v>757.85740799999985</v>
      </c>
      <c r="AH87" s="1094">
        <f t="shared" si="35"/>
        <v>784.92374399999983</v>
      </c>
      <c r="AI87" s="1094">
        <f t="shared" si="35"/>
        <v>811.99007999999981</v>
      </c>
      <c r="AJ87" s="1094">
        <f t="shared" si="35"/>
        <v>839.0564159999999</v>
      </c>
      <c r="AK87" s="1094">
        <f t="shared" si="35"/>
        <v>866.12275199999988</v>
      </c>
      <c r="AL87" s="1094">
        <f t="shared" si="35"/>
        <v>893.18908799999986</v>
      </c>
      <c r="AM87" s="1094">
        <f t="shared" si="35"/>
        <v>920.25542399999983</v>
      </c>
      <c r="AN87" s="1094">
        <f t="shared" ref="AN87:BF87" si="36">((AN$71-$H$4)/1000)*$S$22*(($C$8/70)^$AE$22)</f>
        <v>947.32175999999981</v>
      </c>
      <c r="AO87" s="1094">
        <f t="shared" si="36"/>
        <v>974.3880959999999</v>
      </c>
      <c r="AP87" s="1094">
        <f t="shared" si="36"/>
        <v>1001.4544319999999</v>
      </c>
      <c r="AQ87" s="1094">
        <f t="shared" si="36"/>
        <v>1028.5207679999999</v>
      </c>
      <c r="AR87" s="1094">
        <f t="shared" si="36"/>
        <v>1055.5871039999997</v>
      </c>
      <c r="AS87" s="1094">
        <f t="shared" si="36"/>
        <v>1082.6534399999998</v>
      </c>
      <c r="AT87" s="1094">
        <f t="shared" si="36"/>
        <v>1109.7197759999997</v>
      </c>
      <c r="AU87" s="1094">
        <f t="shared" si="36"/>
        <v>1136.7861119999998</v>
      </c>
      <c r="AV87" s="1094">
        <f t="shared" si="36"/>
        <v>1163.8524479999999</v>
      </c>
      <c r="AW87" s="1094">
        <f t="shared" si="36"/>
        <v>1190.918784</v>
      </c>
      <c r="AX87" s="1094">
        <f t="shared" si="36"/>
        <v>1217.9851199999998</v>
      </c>
      <c r="AY87" s="1094">
        <f t="shared" si="36"/>
        <v>1245.0514559999997</v>
      </c>
      <c r="AZ87" s="1094">
        <f t="shared" si="36"/>
        <v>1272.1177919999998</v>
      </c>
      <c r="BA87" s="1094">
        <f t="shared" si="36"/>
        <v>1299.1841279999996</v>
      </c>
      <c r="BB87" s="1094">
        <f t="shared" si="36"/>
        <v>1326.250464</v>
      </c>
      <c r="BC87" s="1094">
        <f t="shared" si="36"/>
        <v>1353.3167999999998</v>
      </c>
      <c r="BD87" s="1094">
        <f t="shared" si="36"/>
        <v>1380.3831359999997</v>
      </c>
      <c r="BE87" s="1094">
        <f t="shared" si="36"/>
        <v>1407.4494719999998</v>
      </c>
      <c r="BF87" s="1094">
        <f t="shared" si="36"/>
        <v>1434.5158079999997</v>
      </c>
    </row>
    <row r="88" spans="1:58" ht="15" customHeight="1">
      <c r="A88" s="2098"/>
      <c r="B88" s="2156" t="s">
        <v>244</v>
      </c>
      <c r="C88" s="2157"/>
      <c r="D88" s="452" t="s">
        <v>226</v>
      </c>
      <c r="E88" s="498">
        <v>70</v>
      </c>
      <c r="F88" s="498">
        <v>160</v>
      </c>
      <c r="G88" s="452" t="s">
        <v>227</v>
      </c>
      <c r="H88" s="1096">
        <f t="shared" ref="H88:AM88" si="37">((H$71-$H$4)/1000)*$K23*(($C$8/70)^$W$23)</f>
        <v>33.546304141108699</v>
      </c>
      <c r="I88" s="1096">
        <f t="shared" si="37"/>
        <v>44.728405521478265</v>
      </c>
      <c r="J88" s="1096">
        <f t="shared" si="37"/>
        <v>55.910506901847832</v>
      </c>
      <c r="K88" s="1096">
        <f t="shared" si="37"/>
        <v>67.092608282217398</v>
      </c>
      <c r="L88" s="1096">
        <f t="shared" si="37"/>
        <v>78.274709662586957</v>
      </c>
      <c r="M88" s="1096">
        <f t="shared" si="37"/>
        <v>89.456811042956531</v>
      </c>
      <c r="N88" s="1096">
        <f t="shared" si="37"/>
        <v>100.6389124233261</v>
      </c>
      <c r="O88" s="1096">
        <f t="shared" si="37"/>
        <v>111.82101380369566</v>
      </c>
      <c r="P88" s="1096">
        <f t="shared" si="37"/>
        <v>123.00311518406524</v>
      </c>
      <c r="Q88" s="1096">
        <f t="shared" si="37"/>
        <v>134.1852165644348</v>
      </c>
      <c r="R88" s="1096">
        <f t="shared" si="37"/>
        <v>145.36731794480437</v>
      </c>
      <c r="S88" s="1096">
        <f t="shared" si="37"/>
        <v>156.54941932517391</v>
      </c>
      <c r="T88" s="1096">
        <f t="shared" si="37"/>
        <v>167.73152070554349</v>
      </c>
      <c r="U88" s="1096">
        <f t="shared" si="37"/>
        <v>178.91362208591306</v>
      </c>
      <c r="V88" s="1096">
        <f t="shared" si="37"/>
        <v>190.09572346628264</v>
      </c>
      <c r="W88" s="1096">
        <f t="shared" si="37"/>
        <v>201.27782484665221</v>
      </c>
      <c r="X88" s="1096">
        <f t="shared" si="37"/>
        <v>212.45992622702175</v>
      </c>
      <c r="Y88" s="1096">
        <f t="shared" si="37"/>
        <v>223.64202760739133</v>
      </c>
      <c r="Z88" s="1096">
        <f t="shared" si="37"/>
        <v>234.8241289877609</v>
      </c>
      <c r="AA88" s="1096">
        <f t="shared" si="37"/>
        <v>246.00623036813047</v>
      </c>
      <c r="AB88" s="1096">
        <f t="shared" si="37"/>
        <v>257.18833174849999</v>
      </c>
      <c r="AC88" s="1096">
        <f t="shared" si="37"/>
        <v>268.37043312886959</v>
      </c>
      <c r="AD88" s="1096">
        <f t="shared" si="37"/>
        <v>279.55253450923914</v>
      </c>
      <c r="AE88" s="1096">
        <f t="shared" si="37"/>
        <v>290.73463588960874</v>
      </c>
      <c r="AF88" s="1096">
        <f t="shared" si="37"/>
        <v>301.91673726997828</v>
      </c>
      <c r="AG88" s="1096">
        <f t="shared" si="37"/>
        <v>313.09883865034783</v>
      </c>
      <c r="AH88" s="1096">
        <f t="shared" si="37"/>
        <v>324.28094003071743</v>
      </c>
      <c r="AI88" s="1096">
        <f t="shared" si="37"/>
        <v>335.46304141108698</v>
      </c>
      <c r="AJ88" s="1096">
        <f t="shared" si="37"/>
        <v>346.64514279145658</v>
      </c>
      <c r="AK88" s="1096">
        <f t="shared" si="37"/>
        <v>357.82724417182612</v>
      </c>
      <c r="AL88" s="1096">
        <f t="shared" si="37"/>
        <v>369.00934555219567</v>
      </c>
      <c r="AM88" s="1096">
        <f t="shared" si="37"/>
        <v>380.19144693256527</v>
      </c>
      <c r="AN88" s="1096">
        <f t="shared" ref="AN88:BF88" si="38">((AN$71-$H$4)/1000)*$K23*(($C$8/70)^$W$23)</f>
        <v>391.37354831293482</v>
      </c>
      <c r="AO88" s="1096">
        <f t="shared" si="38"/>
        <v>402.55564969330442</v>
      </c>
      <c r="AP88" s="1096">
        <f t="shared" si="38"/>
        <v>413.73775107367396</v>
      </c>
      <c r="AQ88" s="1096">
        <f t="shared" si="38"/>
        <v>424.91985245404351</v>
      </c>
      <c r="AR88" s="1096">
        <f t="shared" si="38"/>
        <v>436.10195383441305</v>
      </c>
      <c r="AS88" s="1096">
        <f t="shared" si="38"/>
        <v>447.28405521478265</v>
      </c>
      <c r="AT88" s="1096">
        <f t="shared" si="38"/>
        <v>458.4661565951522</v>
      </c>
      <c r="AU88" s="1096">
        <f t="shared" si="38"/>
        <v>469.6482579755218</v>
      </c>
      <c r="AV88" s="1096">
        <f t="shared" si="38"/>
        <v>480.83035935589135</v>
      </c>
      <c r="AW88" s="1096">
        <f t="shared" si="38"/>
        <v>492.01246073626095</v>
      </c>
      <c r="AX88" s="1096">
        <f t="shared" si="38"/>
        <v>503.19456211663049</v>
      </c>
      <c r="AY88" s="1096">
        <f t="shared" si="38"/>
        <v>514.37666349699998</v>
      </c>
      <c r="AZ88" s="1096">
        <f t="shared" si="38"/>
        <v>525.55876487736964</v>
      </c>
      <c r="BA88" s="1096">
        <f t="shared" si="38"/>
        <v>536.74086625773919</v>
      </c>
      <c r="BB88" s="1096">
        <f t="shared" si="38"/>
        <v>547.92296763810884</v>
      </c>
      <c r="BC88" s="1096">
        <f t="shared" si="38"/>
        <v>559.10506901847828</v>
      </c>
      <c r="BD88" s="1096">
        <f t="shared" si="38"/>
        <v>570.28717039884782</v>
      </c>
      <c r="BE88" s="1096">
        <f t="shared" si="38"/>
        <v>581.46927177921748</v>
      </c>
      <c r="BF88" s="1096">
        <f t="shared" si="38"/>
        <v>592.65137315958702</v>
      </c>
    </row>
    <row r="89" spans="1:58">
      <c r="A89" s="2098"/>
      <c r="B89" s="2158" t="s">
        <v>245</v>
      </c>
      <c r="C89" s="2159"/>
      <c r="D89" s="453" t="s">
        <v>226</v>
      </c>
      <c r="E89" s="499">
        <v>70</v>
      </c>
      <c r="F89" s="499">
        <v>200</v>
      </c>
      <c r="G89" s="453" t="s">
        <v>227</v>
      </c>
      <c r="H89" s="1097">
        <f t="shared" ref="H89:AM89" si="39">((H$71-$H$4)/1000)*$L$23*(($C$8/70)^$X$23)</f>
        <v>38.12080016035079</v>
      </c>
      <c r="I89" s="1097">
        <f t="shared" si="39"/>
        <v>50.827733547134393</v>
      </c>
      <c r="J89" s="1097">
        <f t="shared" si="39"/>
        <v>63.53466693391799</v>
      </c>
      <c r="K89" s="1097">
        <f t="shared" si="39"/>
        <v>76.241600320701579</v>
      </c>
      <c r="L89" s="1097">
        <f t="shared" si="39"/>
        <v>88.948533707485183</v>
      </c>
      <c r="M89" s="1097">
        <f t="shared" si="39"/>
        <v>101.65546709426879</v>
      </c>
      <c r="N89" s="1097">
        <f t="shared" si="39"/>
        <v>114.36240048105239</v>
      </c>
      <c r="O89" s="1097">
        <f t="shared" si="39"/>
        <v>127.06933386783598</v>
      </c>
      <c r="P89" s="1097">
        <f t="shared" si="39"/>
        <v>139.7762672546196</v>
      </c>
      <c r="Q89" s="1097">
        <f t="shared" si="39"/>
        <v>152.48320064140316</v>
      </c>
      <c r="R89" s="1097">
        <f t="shared" si="39"/>
        <v>165.19013402818678</v>
      </c>
      <c r="S89" s="1097">
        <f t="shared" si="39"/>
        <v>177.89706741497037</v>
      </c>
      <c r="T89" s="1097">
        <f t="shared" si="39"/>
        <v>190.60400080175395</v>
      </c>
      <c r="U89" s="1097">
        <f t="shared" si="39"/>
        <v>203.31093418853757</v>
      </c>
      <c r="V89" s="1097">
        <f t="shared" si="39"/>
        <v>216.01786757532116</v>
      </c>
      <c r="W89" s="1097">
        <f t="shared" si="39"/>
        <v>228.72480096210478</v>
      </c>
      <c r="X89" s="1097">
        <f t="shared" si="39"/>
        <v>241.43173434888834</v>
      </c>
      <c r="Y89" s="1097">
        <f t="shared" si="39"/>
        <v>254.13866773567196</v>
      </c>
      <c r="Z89" s="1097">
        <f t="shared" si="39"/>
        <v>266.84560112245555</v>
      </c>
      <c r="AA89" s="1097">
        <f t="shared" si="39"/>
        <v>279.55253450923919</v>
      </c>
      <c r="AB89" s="1097">
        <f t="shared" si="39"/>
        <v>292.25946789602273</v>
      </c>
      <c r="AC89" s="1097">
        <f t="shared" si="39"/>
        <v>304.96640128280632</v>
      </c>
      <c r="AD89" s="1097">
        <f t="shared" si="39"/>
        <v>317.67333466958996</v>
      </c>
      <c r="AE89" s="1097">
        <f t="shared" si="39"/>
        <v>330.38026805637355</v>
      </c>
      <c r="AF89" s="1097">
        <f t="shared" si="39"/>
        <v>343.08720144315714</v>
      </c>
      <c r="AG89" s="1097">
        <f t="shared" si="39"/>
        <v>355.79413482994073</v>
      </c>
      <c r="AH89" s="1097">
        <f t="shared" si="39"/>
        <v>368.50106821672432</v>
      </c>
      <c r="AI89" s="1097">
        <f t="shared" si="39"/>
        <v>381.20800160350791</v>
      </c>
      <c r="AJ89" s="1097">
        <f t="shared" si="39"/>
        <v>393.91493499029156</v>
      </c>
      <c r="AK89" s="1097">
        <f t="shared" si="39"/>
        <v>406.62186837707515</v>
      </c>
      <c r="AL89" s="1097">
        <f t="shared" si="39"/>
        <v>419.32880176385873</v>
      </c>
      <c r="AM89" s="1097">
        <f t="shared" si="39"/>
        <v>432.03573515064232</v>
      </c>
      <c r="AN89" s="1097">
        <f t="shared" ref="AN89:BF89" si="40">((AN$71-$H$4)/1000)*$L$23*(($C$8/70)^$X$23)</f>
        <v>444.74266853742591</v>
      </c>
      <c r="AO89" s="1097">
        <f t="shared" si="40"/>
        <v>457.44960192420956</v>
      </c>
      <c r="AP89" s="1097">
        <f t="shared" si="40"/>
        <v>470.15653531099315</v>
      </c>
      <c r="AQ89" s="1097">
        <f t="shared" si="40"/>
        <v>482.86346869777668</v>
      </c>
      <c r="AR89" s="1097">
        <f t="shared" si="40"/>
        <v>495.57040208456033</v>
      </c>
      <c r="AS89" s="1097">
        <f t="shared" si="40"/>
        <v>508.27733547134392</v>
      </c>
      <c r="AT89" s="1097">
        <f t="shared" si="40"/>
        <v>520.98426885812751</v>
      </c>
      <c r="AU89" s="1097">
        <f t="shared" si="40"/>
        <v>533.6912022449111</v>
      </c>
      <c r="AV89" s="1097">
        <f t="shared" si="40"/>
        <v>546.39813563169469</v>
      </c>
      <c r="AW89" s="1097">
        <f t="shared" si="40"/>
        <v>559.10506901847839</v>
      </c>
      <c r="AX89" s="1097">
        <f t="shared" si="40"/>
        <v>571.81200240526186</v>
      </c>
      <c r="AY89" s="1097">
        <f t="shared" si="40"/>
        <v>584.51893579204545</v>
      </c>
      <c r="AZ89" s="1097">
        <f t="shared" si="40"/>
        <v>597.22586917882916</v>
      </c>
      <c r="BA89" s="1097">
        <f t="shared" si="40"/>
        <v>609.93280256561263</v>
      </c>
      <c r="BB89" s="1097">
        <f t="shared" si="40"/>
        <v>622.63973595239634</v>
      </c>
      <c r="BC89" s="1097">
        <f t="shared" si="40"/>
        <v>635.34666933917993</v>
      </c>
      <c r="BD89" s="1097">
        <f t="shared" si="40"/>
        <v>648.0536027259634</v>
      </c>
      <c r="BE89" s="1097">
        <f t="shared" si="40"/>
        <v>660.7605361127471</v>
      </c>
      <c r="BF89" s="1097">
        <f t="shared" si="40"/>
        <v>673.46746949953069</v>
      </c>
    </row>
    <row r="90" spans="1:58">
      <c r="A90" s="2098"/>
      <c r="B90" s="2158" t="s">
        <v>246</v>
      </c>
      <c r="C90" s="2159"/>
      <c r="D90" s="453" t="s">
        <v>226</v>
      </c>
      <c r="E90" s="499">
        <v>70</v>
      </c>
      <c r="F90" s="499">
        <v>260</v>
      </c>
      <c r="G90" s="453" t="s">
        <v>227</v>
      </c>
      <c r="H90" s="1097">
        <f t="shared" ref="H90:AM90" si="41">((H$71-$H$4)/1000)*$M$23*(($C$8/70)^$Y$23)</f>
        <v>48.166627480319413</v>
      </c>
      <c r="I90" s="1097">
        <f t="shared" si="41"/>
        <v>64.222169973759222</v>
      </c>
      <c r="J90" s="1097">
        <f t="shared" si="41"/>
        <v>80.277712467199024</v>
      </c>
      <c r="K90" s="1097">
        <f t="shared" si="41"/>
        <v>96.333254960638826</v>
      </c>
      <c r="L90" s="1097">
        <f t="shared" si="41"/>
        <v>112.38879745407863</v>
      </c>
      <c r="M90" s="1097">
        <f t="shared" si="41"/>
        <v>128.44433994751844</v>
      </c>
      <c r="N90" s="1097">
        <f t="shared" si="41"/>
        <v>144.49988244095826</v>
      </c>
      <c r="O90" s="1097">
        <f t="shared" si="41"/>
        <v>160.55542493439805</v>
      </c>
      <c r="P90" s="1097">
        <f t="shared" si="41"/>
        <v>176.61096742783786</v>
      </c>
      <c r="Q90" s="1097">
        <f t="shared" si="41"/>
        <v>192.66650992127765</v>
      </c>
      <c r="R90" s="1097">
        <f t="shared" si="41"/>
        <v>208.72205241471747</v>
      </c>
      <c r="S90" s="1097">
        <f t="shared" si="41"/>
        <v>224.77759490815725</v>
      </c>
      <c r="T90" s="1097">
        <f t="shared" si="41"/>
        <v>240.83313740159707</v>
      </c>
      <c r="U90" s="1097">
        <f t="shared" si="41"/>
        <v>256.88867989503689</v>
      </c>
      <c r="V90" s="1097">
        <f t="shared" si="41"/>
        <v>272.94422238847665</v>
      </c>
      <c r="W90" s="1097">
        <f t="shared" si="41"/>
        <v>288.99976488191652</v>
      </c>
      <c r="X90" s="1097">
        <f t="shared" si="41"/>
        <v>305.05530737535628</v>
      </c>
      <c r="Y90" s="1097">
        <f t="shared" si="41"/>
        <v>321.11084986879609</v>
      </c>
      <c r="Z90" s="1097">
        <f t="shared" si="41"/>
        <v>337.16639236223591</v>
      </c>
      <c r="AA90" s="1097">
        <f t="shared" si="41"/>
        <v>353.22193485567573</v>
      </c>
      <c r="AB90" s="1097">
        <f t="shared" si="41"/>
        <v>369.27747734911549</v>
      </c>
      <c r="AC90" s="1097">
        <f t="shared" si="41"/>
        <v>385.3330198425553</v>
      </c>
      <c r="AD90" s="1097">
        <f t="shared" si="41"/>
        <v>401.38856233599512</v>
      </c>
      <c r="AE90" s="1097">
        <f t="shared" si="41"/>
        <v>417.44410482943493</v>
      </c>
      <c r="AF90" s="1097">
        <f t="shared" si="41"/>
        <v>433.49964732287475</v>
      </c>
      <c r="AG90" s="1097">
        <f t="shared" si="41"/>
        <v>449.55518981631451</v>
      </c>
      <c r="AH90" s="1097">
        <f t="shared" si="41"/>
        <v>465.61073230975433</v>
      </c>
      <c r="AI90" s="1097">
        <f t="shared" si="41"/>
        <v>481.66627480319414</v>
      </c>
      <c r="AJ90" s="1097">
        <f t="shared" si="41"/>
        <v>497.72181729663396</v>
      </c>
      <c r="AK90" s="1097">
        <f t="shared" si="41"/>
        <v>513.77735979007377</v>
      </c>
      <c r="AL90" s="1097">
        <f t="shared" si="41"/>
        <v>529.83290228351348</v>
      </c>
      <c r="AM90" s="1097">
        <f t="shared" si="41"/>
        <v>545.88844477695329</v>
      </c>
      <c r="AN90" s="1097">
        <f t="shared" ref="AN90:BF90" si="42">((AN$71-$H$4)/1000)*$M$23*(($C$8/70)^$Y$23)</f>
        <v>561.94398727039311</v>
      </c>
      <c r="AO90" s="1097">
        <f t="shared" si="42"/>
        <v>577.99952976383304</v>
      </c>
      <c r="AP90" s="1097">
        <f t="shared" si="42"/>
        <v>594.05507225727285</v>
      </c>
      <c r="AQ90" s="1097">
        <f t="shared" si="42"/>
        <v>610.11061475071256</v>
      </c>
      <c r="AR90" s="1097">
        <f t="shared" si="42"/>
        <v>626.16615724415237</v>
      </c>
      <c r="AS90" s="1097">
        <f t="shared" si="42"/>
        <v>642.22169973759219</v>
      </c>
      <c r="AT90" s="1097">
        <f t="shared" si="42"/>
        <v>658.27724223103189</v>
      </c>
      <c r="AU90" s="1097">
        <f t="shared" si="42"/>
        <v>674.33278472447182</v>
      </c>
      <c r="AV90" s="1097">
        <f t="shared" si="42"/>
        <v>690.38832721791152</v>
      </c>
      <c r="AW90" s="1097">
        <f t="shared" si="42"/>
        <v>706.44386971135145</v>
      </c>
      <c r="AX90" s="1097">
        <f t="shared" si="42"/>
        <v>722.49941220479127</v>
      </c>
      <c r="AY90" s="1097">
        <f t="shared" si="42"/>
        <v>738.55495469823097</v>
      </c>
      <c r="AZ90" s="1097">
        <f t="shared" si="42"/>
        <v>754.6104971916709</v>
      </c>
      <c r="BA90" s="1097">
        <f t="shared" si="42"/>
        <v>770.6660396851106</v>
      </c>
      <c r="BB90" s="1097">
        <f t="shared" si="42"/>
        <v>786.72158217855053</v>
      </c>
      <c r="BC90" s="1097">
        <f t="shared" si="42"/>
        <v>802.77712467199024</v>
      </c>
      <c r="BD90" s="1097">
        <f t="shared" si="42"/>
        <v>818.83266716542994</v>
      </c>
      <c r="BE90" s="1097">
        <f t="shared" si="42"/>
        <v>834.88820965886987</v>
      </c>
      <c r="BF90" s="1097">
        <f t="shared" si="42"/>
        <v>850.94375215230957</v>
      </c>
    </row>
    <row r="91" spans="1:58">
      <c r="A91" s="2098"/>
      <c r="B91" s="2158" t="s">
        <v>247</v>
      </c>
      <c r="C91" s="2159"/>
      <c r="D91" s="453" t="s">
        <v>226</v>
      </c>
      <c r="E91" s="499">
        <v>70</v>
      </c>
      <c r="F91" s="499">
        <v>300</v>
      </c>
      <c r="G91" s="453" t="s">
        <v>227</v>
      </c>
      <c r="H91" s="1097">
        <f t="shared" ref="H91:AM91" si="43">((H$71-$H$4)/1000)*$N$23*(($C$8/70)^$Z$23)</f>
        <v>51.59302844107669</v>
      </c>
      <c r="I91" s="1097">
        <f t="shared" si="43"/>
        <v>68.790704588102258</v>
      </c>
      <c r="J91" s="1097">
        <f t="shared" si="43"/>
        <v>85.988380735127819</v>
      </c>
      <c r="K91" s="1097">
        <f t="shared" si="43"/>
        <v>103.18605688215338</v>
      </c>
      <c r="L91" s="1097">
        <f t="shared" si="43"/>
        <v>120.38373302917894</v>
      </c>
      <c r="M91" s="1097">
        <f t="shared" si="43"/>
        <v>137.58140917620452</v>
      </c>
      <c r="N91" s="1097">
        <f t="shared" si="43"/>
        <v>154.77908532323008</v>
      </c>
      <c r="O91" s="1097">
        <f t="shared" si="43"/>
        <v>171.97676147025564</v>
      </c>
      <c r="P91" s="1097">
        <f t="shared" si="43"/>
        <v>189.17443761728123</v>
      </c>
      <c r="Q91" s="1097">
        <f t="shared" si="43"/>
        <v>206.37211376430676</v>
      </c>
      <c r="R91" s="1097">
        <f t="shared" si="43"/>
        <v>223.56978991133235</v>
      </c>
      <c r="S91" s="1097">
        <f t="shared" si="43"/>
        <v>240.76746605835788</v>
      </c>
      <c r="T91" s="1097">
        <f t="shared" si="43"/>
        <v>257.96514220538347</v>
      </c>
      <c r="U91" s="1097">
        <f t="shared" si="43"/>
        <v>275.16281835240903</v>
      </c>
      <c r="V91" s="1097">
        <f t="shared" si="43"/>
        <v>292.36049449943459</v>
      </c>
      <c r="W91" s="1097">
        <f t="shared" si="43"/>
        <v>309.55817064646016</v>
      </c>
      <c r="X91" s="1097">
        <f t="shared" si="43"/>
        <v>326.75584679348572</v>
      </c>
      <c r="Y91" s="1097">
        <f t="shared" si="43"/>
        <v>343.95352294051128</v>
      </c>
      <c r="Z91" s="1097">
        <f t="shared" si="43"/>
        <v>361.15119908753684</v>
      </c>
      <c r="AA91" s="1097">
        <f t="shared" si="43"/>
        <v>378.34887523456246</v>
      </c>
      <c r="AB91" s="1097">
        <f t="shared" si="43"/>
        <v>395.54655138158796</v>
      </c>
      <c r="AC91" s="1097">
        <f t="shared" si="43"/>
        <v>412.74422752861352</v>
      </c>
      <c r="AD91" s="1097">
        <f t="shared" si="43"/>
        <v>429.94190367563908</v>
      </c>
      <c r="AE91" s="1097">
        <f t="shared" si="43"/>
        <v>447.1395798226647</v>
      </c>
      <c r="AF91" s="1097">
        <f t="shared" si="43"/>
        <v>464.33725596969026</v>
      </c>
      <c r="AG91" s="1097">
        <f t="shared" si="43"/>
        <v>481.53493211671577</v>
      </c>
      <c r="AH91" s="1097">
        <f t="shared" si="43"/>
        <v>498.73260826374133</v>
      </c>
      <c r="AI91" s="1097">
        <f t="shared" si="43"/>
        <v>515.93028441076694</v>
      </c>
      <c r="AJ91" s="1097">
        <f t="shared" si="43"/>
        <v>533.12796055779245</v>
      </c>
      <c r="AK91" s="1097">
        <f t="shared" si="43"/>
        <v>550.32563670481807</v>
      </c>
      <c r="AL91" s="1097">
        <f t="shared" si="43"/>
        <v>567.52331285184357</v>
      </c>
      <c r="AM91" s="1097">
        <f t="shared" si="43"/>
        <v>584.72098899886919</v>
      </c>
      <c r="AN91" s="1097">
        <f t="shared" ref="AN91:BF91" si="44">((AN$71-$H$4)/1000)*$N$23*(($C$8/70)^$Z$23)</f>
        <v>601.91866514589469</v>
      </c>
      <c r="AO91" s="1097">
        <f t="shared" si="44"/>
        <v>619.11634129292031</v>
      </c>
      <c r="AP91" s="1097">
        <f t="shared" si="44"/>
        <v>636.31401743994593</v>
      </c>
      <c r="AQ91" s="1097">
        <f t="shared" si="44"/>
        <v>653.51169358697143</v>
      </c>
      <c r="AR91" s="1097">
        <f t="shared" si="44"/>
        <v>670.70936973399694</v>
      </c>
      <c r="AS91" s="1097">
        <f t="shared" si="44"/>
        <v>687.90704588102255</v>
      </c>
      <c r="AT91" s="1097">
        <f t="shared" si="44"/>
        <v>705.10472202804806</v>
      </c>
      <c r="AU91" s="1097">
        <f t="shared" si="44"/>
        <v>722.30239817507368</v>
      </c>
      <c r="AV91" s="1097">
        <f t="shared" si="44"/>
        <v>739.50007432209918</v>
      </c>
      <c r="AW91" s="1097">
        <f t="shared" si="44"/>
        <v>756.69775046912491</v>
      </c>
      <c r="AX91" s="1097">
        <f t="shared" si="44"/>
        <v>773.89542661615042</v>
      </c>
      <c r="AY91" s="1097">
        <f t="shared" si="44"/>
        <v>791.09310276317592</v>
      </c>
      <c r="AZ91" s="1097">
        <f t="shared" si="44"/>
        <v>808.29077891020154</v>
      </c>
      <c r="BA91" s="1097">
        <f t="shared" si="44"/>
        <v>825.48845505722704</v>
      </c>
      <c r="BB91" s="1097">
        <f t="shared" si="44"/>
        <v>842.68613120425266</v>
      </c>
      <c r="BC91" s="1097">
        <f t="shared" si="44"/>
        <v>859.88380735127816</v>
      </c>
      <c r="BD91" s="1097">
        <f t="shared" si="44"/>
        <v>877.08148349830367</v>
      </c>
      <c r="BE91" s="1097">
        <f t="shared" si="44"/>
        <v>894.2791596453294</v>
      </c>
      <c r="BF91" s="1097">
        <f t="shared" si="44"/>
        <v>911.4768357923549</v>
      </c>
    </row>
    <row r="92" spans="1:58" ht="15.75" thickBot="1">
      <c r="A92" s="2098"/>
      <c r="B92" s="2172" t="s">
        <v>248</v>
      </c>
      <c r="C92" s="2173"/>
      <c r="D92" s="454" t="s">
        <v>226</v>
      </c>
      <c r="E92" s="500">
        <v>70</v>
      </c>
      <c r="F92" s="500">
        <v>300</v>
      </c>
      <c r="G92" s="454" t="s">
        <v>232</v>
      </c>
      <c r="H92" s="1098">
        <f t="shared" ref="H92:AM92" si="45">((H$71-$H$4)/1000)*$O$23*(($C$8/70)^$AA$23)</f>
        <v>65.624647102005596</v>
      </c>
      <c r="I92" s="1098">
        <f t="shared" si="45"/>
        <v>87.4995294693408</v>
      </c>
      <c r="J92" s="1098">
        <f t="shared" si="45"/>
        <v>109.37441183667599</v>
      </c>
      <c r="K92" s="1098">
        <f t="shared" si="45"/>
        <v>131.24929420401119</v>
      </c>
      <c r="L92" s="1098">
        <f t="shared" si="45"/>
        <v>153.12417657134637</v>
      </c>
      <c r="M92" s="1098">
        <f t="shared" si="45"/>
        <v>174.9990589386816</v>
      </c>
      <c r="N92" s="1098">
        <f t="shared" si="45"/>
        <v>196.87394130601677</v>
      </c>
      <c r="O92" s="1098">
        <f t="shared" si="45"/>
        <v>218.74882367335198</v>
      </c>
      <c r="P92" s="1098">
        <f t="shared" si="45"/>
        <v>240.62370604068718</v>
      </c>
      <c r="Q92" s="1098">
        <f t="shared" si="45"/>
        <v>262.49858840802239</v>
      </c>
      <c r="R92" s="1098">
        <f t="shared" si="45"/>
        <v>284.37347077535759</v>
      </c>
      <c r="S92" s="1098">
        <f t="shared" si="45"/>
        <v>306.24835314269274</v>
      </c>
      <c r="T92" s="1098">
        <f t="shared" si="45"/>
        <v>328.12323551002794</v>
      </c>
      <c r="U92" s="1098">
        <f t="shared" si="45"/>
        <v>349.9981178773632</v>
      </c>
      <c r="V92" s="1098">
        <f t="shared" si="45"/>
        <v>371.87300024469835</v>
      </c>
      <c r="W92" s="1098">
        <f t="shared" si="45"/>
        <v>393.74788261203355</v>
      </c>
      <c r="X92" s="1098">
        <f t="shared" si="45"/>
        <v>415.62276497936875</v>
      </c>
      <c r="Y92" s="1098">
        <f t="shared" si="45"/>
        <v>437.49764734670396</v>
      </c>
      <c r="Z92" s="1098">
        <f t="shared" si="45"/>
        <v>459.37252971403916</v>
      </c>
      <c r="AA92" s="1098">
        <f t="shared" si="45"/>
        <v>481.24741208137436</v>
      </c>
      <c r="AB92" s="1098">
        <f t="shared" si="45"/>
        <v>503.12229444870951</v>
      </c>
      <c r="AC92" s="1098">
        <f t="shared" si="45"/>
        <v>524.99717681604477</v>
      </c>
      <c r="AD92" s="1098">
        <f t="shared" si="45"/>
        <v>546.87205918337997</v>
      </c>
      <c r="AE92" s="1098">
        <f t="shared" si="45"/>
        <v>568.74694155071518</v>
      </c>
      <c r="AF92" s="1098">
        <f t="shared" si="45"/>
        <v>590.62182391805038</v>
      </c>
      <c r="AG92" s="1098">
        <f t="shared" si="45"/>
        <v>612.49670628538547</v>
      </c>
      <c r="AH92" s="1098">
        <f t="shared" si="45"/>
        <v>634.37158865272067</v>
      </c>
      <c r="AI92" s="1098">
        <f t="shared" si="45"/>
        <v>656.24647102005588</v>
      </c>
      <c r="AJ92" s="1098">
        <f t="shared" si="45"/>
        <v>678.1213533873912</v>
      </c>
      <c r="AK92" s="1098">
        <f t="shared" si="45"/>
        <v>699.9962357547264</v>
      </c>
      <c r="AL92" s="1098">
        <f t="shared" si="45"/>
        <v>721.87111812206149</v>
      </c>
      <c r="AM92" s="1098">
        <f t="shared" si="45"/>
        <v>743.74600048939669</v>
      </c>
      <c r="AN92" s="1098">
        <f t="shared" ref="AN92:BF92" si="46">((AN$71-$H$4)/1000)*$O$23*(($C$8/70)^$AA$23)</f>
        <v>765.6208828567319</v>
      </c>
      <c r="AO92" s="1098">
        <f t="shared" si="46"/>
        <v>787.4957652240671</v>
      </c>
      <c r="AP92" s="1098">
        <f t="shared" si="46"/>
        <v>809.3706475914023</v>
      </c>
      <c r="AQ92" s="1098">
        <f t="shared" si="46"/>
        <v>831.24552995873751</v>
      </c>
      <c r="AR92" s="1098">
        <f t="shared" si="46"/>
        <v>853.12041232607271</v>
      </c>
      <c r="AS92" s="1098">
        <f t="shared" si="46"/>
        <v>874.99529469340791</v>
      </c>
      <c r="AT92" s="1098">
        <f t="shared" si="46"/>
        <v>896.870177060743</v>
      </c>
      <c r="AU92" s="1098">
        <f t="shared" si="46"/>
        <v>918.74505942807832</v>
      </c>
      <c r="AV92" s="1098">
        <f t="shared" si="46"/>
        <v>940.61994179541352</v>
      </c>
      <c r="AW92" s="1098">
        <f t="shared" si="46"/>
        <v>962.49482416274873</v>
      </c>
      <c r="AX92" s="1098">
        <f t="shared" si="46"/>
        <v>984.36970653008393</v>
      </c>
      <c r="AY92" s="1098">
        <f t="shared" si="46"/>
        <v>1006.244588897419</v>
      </c>
      <c r="AZ92" s="1098">
        <f t="shared" si="46"/>
        <v>1028.1194712647543</v>
      </c>
      <c r="BA92" s="1098">
        <f t="shared" si="46"/>
        <v>1049.9943536320895</v>
      </c>
      <c r="BB92" s="1098">
        <f t="shared" si="46"/>
        <v>1071.8692359994247</v>
      </c>
      <c r="BC92" s="1098">
        <f t="shared" si="46"/>
        <v>1093.7441183667599</v>
      </c>
      <c r="BD92" s="1098">
        <f t="shared" si="46"/>
        <v>1115.6190007340949</v>
      </c>
      <c r="BE92" s="1098">
        <f t="shared" si="46"/>
        <v>1137.4938831014304</v>
      </c>
      <c r="BF92" s="1098">
        <f t="shared" si="46"/>
        <v>1159.3687654687656</v>
      </c>
    </row>
    <row r="93" spans="1:58" ht="15.75" hidden="1" thickBot="1">
      <c r="A93" s="2098"/>
      <c r="B93" s="2174" t="s">
        <v>249</v>
      </c>
      <c r="C93" s="2175"/>
      <c r="D93" s="1016" t="s">
        <v>226</v>
      </c>
      <c r="E93" s="1017">
        <v>70</v>
      </c>
      <c r="F93" s="1017">
        <v>360</v>
      </c>
      <c r="G93" s="1016" t="s">
        <v>232</v>
      </c>
      <c r="H93" s="1099">
        <f t="shared" ref="H93:AM93" si="47">((H$71-$H$4)/1000)*$Q$23*(($C$8/70)^$AC$23)</f>
        <v>71.285896299855978</v>
      </c>
      <c r="I93" s="1099">
        <f t="shared" si="47"/>
        <v>95.047861733141303</v>
      </c>
      <c r="J93" s="1099">
        <f t="shared" si="47"/>
        <v>118.80982716642663</v>
      </c>
      <c r="K93" s="1099">
        <f t="shared" si="47"/>
        <v>142.57179259971196</v>
      </c>
      <c r="L93" s="1099">
        <f t="shared" si="47"/>
        <v>166.33375803299728</v>
      </c>
      <c r="M93" s="1099">
        <f t="shared" si="47"/>
        <v>190.09572346628261</v>
      </c>
      <c r="N93" s="1099">
        <f t="shared" si="47"/>
        <v>213.85768889956793</v>
      </c>
      <c r="O93" s="1099">
        <f t="shared" si="47"/>
        <v>237.61965433285326</v>
      </c>
      <c r="P93" s="1099">
        <f t="shared" si="47"/>
        <v>261.38161976613861</v>
      </c>
      <c r="Q93" s="1099">
        <f t="shared" si="47"/>
        <v>285.14358519942391</v>
      </c>
      <c r="R93" s="1099">
        <f t="shared" si="47"/>
        <v>308.90555063270926</v>
      </c>
      <c r="S93" s="1099">
        <f t="shared" si="47"/>
        <v>332.66751606599456</v>
      </c>
      <c r="T93" s="1099">
        <f t="shared" si="47"/>
        <v>356.42948149927986</v>
      </c>
      <c r="U93" s="1099">
        <f t="shared" si="47"/>
        <v>380.19144693256521</v>
      </c>
      <c r="V93" s="1099">
        <f t="shared" si="47"/>
        <v>403.95341236585051</v>
      </c>
      <c r="W93" s="1099">
        <f t="shared" si="47"/>
        <v>427.71537779913587</v>
      </c>
      <c r="X93" s="1099">
        <f t="shared" si="47"/>
        <v>451.47734323242116</v>
      </c>
      <c r="Y93" s="1099">
        <f t="shared" si="47"/>
        <v>475.23930866570652</v>
      </c>
      <c r="Z93" s="1099">
        <f t="shared" si="47"/>
        <v>499.00127409899187</v>
      </c>
      <c r="AA93" s="1099">
        <f t="shared" si="47"/>
        <v>522.76323953227723</v>
      </c>
      <c r="AB93" s="1099">
        <f t="shared" si="47"/>
        <v>546.52520496556247</v>
      </c>
      <c r="AC93" s="1099">
        <f t="shared" si="47"/>
        <v>570.28717039884782</v>
      </c>
      <c r="AD93" s="1099">
        <f t="shared" si="47"/>
        <v>594.04913583213317</v>
      </c>
      <c r="AE93" s="1099">
        <f t="shared" si="47"/>
        <v>617.81110126541853</v>
      </c>
      <c r="AF93" s="1099">
        <f t="shared" si="47"/>
        <v>641.57306669870388</v>
      </c>
      <c r="AG93" s="1099">
        <f t="shared" si="47"/>
        <v>665.33503213198912</v>
      </c>
      <c r="AH93" s="1099">
        <f t="shared" si="47"/>
        <v>689.09699756527448</v>
      </c>
      <c r="AI93" s="1099">
        <f t="shared" si="47"/>
        <v>712.85896299855972</v>
      </c>
      <c r="AJ93" s="1099">
        <f t="shared" si="47"/>
        <v>736.62092843184507</v>
      </c>
      <c r="AK93" s="1099">
        <f t="shared" si="47"/>
        <v>760.38289386513043</v>
      </c>
      <c r="AL93" s="1099">
        <f t="shared" si="47"/>
        <v>784.14485929841567</v>
      </c>
      <c r="AM93" s="1099">
        <f t="shared" si="47"/>
        <v>807.90682473170102</v>
      </c>
      <c r="AN93" s="1099">
        <f t="shared" ref="AN93:BF93" si="48">((AN$71-$H$4)/1000)*$Q$23*(($C$8/70)^$AC$23)</f>
        <v>831.66879016498638</v>
      </c>
      <c r="AO93" s="1099">
        <f t="shared" si="48"/>
        <v>855.43075559827173</v>
      </c>
      <c r="AP93" s="1099">
        <f t="shared" si="48"/>
        <v>879.19272103155708</v>
      </c>
      <c r="AQ93" s="1099">
        <f t="shared" si="48"/>
        <v>902.95468646484233</v>
      </c>
      <c r="AR93" s="1099">
        <f t="shared" si="48"/>
        <v>926.71665189812768</v>
      </c>
      <c r="AS93" s="1099">
        <f t="shared" si="48"/>
        <v>950.47861733141303</v>
      </c>
      <c r="AT93" s="1099">
        <f t="shared" si="48"/>
        <v>974.24058276469827</v>
      </c>
      <c r="AU93" s="1099">
        <f t="shared" si="48"/>
        <v>998.00254819798374</v>
      </c>
      <c r="AV93" s="1099">
        <f t="shared" si="48"/>
        <v>1021.764513631269</v>
      </c>
      <c r="AW93" s="1099">
        <f t="shared" si="48"/>
        <v>1045.5264790645545</v>
      </c>
      <c r="AX93" s="1099">
        <f t="shared" si="48"/>
        <v>1069.2884444978397</v>
      </c>
      <c r="AY93" s="1099">
        <f t="shared" si="48"/>
        <v>1093.0504099311249</v>
      </c>
      <c r="AZ93" s="1099">
        <f t="shared" si="48"/>
        <v>1116.8123753644104</v>
      </c>
      <c r="BA93" s="1099">
        <f t="shared" si="48"/>
        <v>1140.5743407976956</v>
      </c>
      <c r="BB93" s="1099">
        <f t="shared" si="48"/>
        <v>1164.3363062309811</v>
      </c>
      <c r="BC93" s="1099">
        <f t="shared" si="48"/>
        <v>1188.0982716642663</v>
      </c>
      <c r="BD93" s="1099">
        <f t="shared" si="48"/>
        <v>1211.8602370975516</v>
      </c>
      <c r="BE93" s="1099">
        <f t="shared" si="48"/>
        <v>1235.6222025308371</v>
      </c>
      <c r="BF93" s="1099">
        <f t="shared" si="48"/>
        <v>1259.3841679641223</v>
      </c>
    </row>
    <row r="94" spans="1:58" ht="15.75" hidden="1" thickBot="1">
      <c r="A94" s="2098"/>
      <c r="B94" s="2158" t="s">
        <v>250</v>
      </c>
      <c r="C94" s="2159"/>
      <c r="D94" s="453" t="s">
        <v>226</v>
      </c>
      <c r="E94" s="499">
        <v>70</v>
      </c>
      <c r="F94" s="499">
        <v>400</v>
      </c>
      <c r="G94" s="453" t="s">
        <v>232</v>
      </c>
      <c r="H94" s="1097">
        <f t="shared" ref="H94:AM94" si="49">((H$71-$H$4)/1000)*$R$23*(($C$8/70)^$AD$23)</f>
        <v>74.542312665641717</v>
      </c>
      <c r="I94" s="1097">
        <f t="shared" si="49"/>
        <v>99.389750220855632</v>
      </c>
      <c r="J94" s="1097">
        <f t="shared" si="49"/>
        <v>124.23718777606953</v>
      </c>
      <c r="K94" s="1097">
        <f t="shared" si="49"/>
        <v>149.08462533128343</v>
      </c>
      <c r="L94" s="1097">
        <f t="shared" si="49"/>
        <v>173.93206288649733</v>
      </c>
      <c r="M94" s="1097">
        <f t="shared" si="49"/>
        <v>198.77950044171126</v>
      </c>
      <c r="N94" s="1097">
        <f t="shared" si="49"/>
        <v>223.62693799692516</v>
      </c>
      <c r="O94" s="1097">
        <f t="shared" si="49"/>
        <v>248.47437555213907</v>
      </c>
      <c r="P94" s="1097">
        <f t="shared" si="49"/>
        <v>273.32181310735297</v>
      </c>
      <c r="Q94" s="1097">
        <f t="shared" si="49"/>
        <v>298.16925066256687</v>
      </c>
      <c r="R94" s="1097">
        <f t="shared" si="49"/>
        <v>323.01668821778077</v>
      </c>
      <c r="S94" s="1097">
        <f t="shared" si="49"/>
        <v>347.86412577299467</v>
      </c>
      <c r="T94" s="1097">
        <f t="shared" si="49"/>
        <v>372.71156332820863</v>
      </c>
      <c r="U94" s="1097">
        <f t="shared" si="49"/>
        <v>397.55900088342253</v>
      </c>
      <c r="V94" s="1097">
        <f t="shared" si="49"/>
        <v>422.40643843863643</v>
      </c>
      <c r="W94" s="1097">
        <f t="shared" si="49"/>
        <v>447.25387599385033</v>
      </c>
      <c r="X94" s="1097">
        <f t="shared" si="49"/>
        <v>472.10131354906423</v>
      </c>
      <c r="Y94" s="1097">
        <f t="shared" si="49"/>
        <v>496.94875110427813</v>
      </c>
      <c r="Z94" s="1097">
        <f t="shared" si="49"/>
        <v>521.79618865949203</v>
      </c>
      <c r="AA94" s="1097">
        <f t="shared" si="49"/>
        <v>546.64362621470593</v>
      </c>
      <c r="AB94" s="1097">
        <f t="shared" si="49"/>
        <v>571.49106376991983</v>
      </c>
      <c r="AC94" s="1097">
        <f t="shared" si="49"/>
        <v>596.33850132513373</v>
      </c>
      <c r="AD94" s="1097">
        <f t="shared" si="49"/>
        <v>621.18593888034763</v>
      </c>
      <c r="AE94" s="1097">
        <f t="shared" si="49"/>
        <v>646.03337643556154</v>
      </c>
      <c r="AF94" s="1097">
        <f t="shared" si="49"/>
        <v>670.88081399077555</v>
      </c>
      <c r="AG94" s="1097">
        <f t="shared" si="49"/>
        <v>695.72825154598934</v>
      </c>
      <c r="AH94" s="1097">
        <f t="shared" si="49"/>
        <v>720.57568910120324</v>
      </c>
      <c r="AI94" s="1097">
        <f t="shared" si="49"/>
        <v>745.42312665641725</v>
      </c>
      <c r="AJ94" s="1097">
        <f t="shared" si="49"/>
        <v>770.27056421163115</v>
      </c>
      <c r="AK94" s="1097">
        <f t="shared" si="49"/>
        <v>795.11800176684505</v>
      </c>
      <c r="AL94" s="1097">
        <f t="shared" si="49"/>
        <v>819.96543932205884</v>
      </c>
      <c r="AM94" s="1097">
        <f t="shared" si="49"/>
        <v>844.81287687727286</v>
      </c>
      <c r="AN94" s="1097">
        <f t="shared" ref="AN94:BF94" si="50">((AN$71-$H$4)/1000)*$R$23*(($C$8/70)^$AD$23)</f>
        <v>869.66031443248676</v>
      </c>
      <c r="AO94" s="1097">
        <f t="shared" si="50"/>
        <v>894.50775198770066</v>
      </c>
      <c r="AP94" s="1097">
        <f t="shared" si="50"/>
        <v>919.35518954291456</v>
      </c>
      <c r="AQ94" s="1097">
        <f t="shared" si="50"/>
        <v>944.20262709812846</v>
      </c>
      <c r="AR94" s="1097">
        <f t="shared" si="50"/>
        <v>969.05006465334236</v>
      </c>
      <c r="AS94" s="1097">
        <f t="shared" si="50"/>
        <v>993.89750220855626</v>
      </c>
      <c r="AT94" s="1097">
        <f t="shared" si="50"/>
        <v>1018.74493976377</v>
      </c>
      <c r="AU94" s="1097">
        <f t="shared" si="50"/>
        <v>1043.5923773189841</v>
      </c>
      <c r="AV94" s="1097">
        <f t="shared" si="50"/>
        <v>1068.439814874198</v>
      </c>
      <c r="AW94" s="1097">
        <f t="shared" si="50"/>
        <v>1093.2872524294119</v>
      </c>
      <c r="AX94" s="1097">
        <f t="shared" si="50"/>
        <v>1118.1346899846258</v>
      </c>
      <c r="AY94" s="1097">
        <f t="shared" si="50"/>
        <v>1142.9821275398397</v>
      </c>
      <c r="AZ94" s="1097">
        <f t="shared" si="50"/>
        <v>1167.8295650950536</v>
      </c>
      <c r="BA94" s="1097">
        <f t="shared" si="50"/>
        <v>1192.6770026502675</v>
      </c>
      <c r="BB94" s="1097">
        <f t="shared" si="50"/>
        <v>1217.5244402054816</v>
      </c>
      <c r="BC94" s="1097">
        <f t="shared" si="50"/>
        <v>1242.3718777606953</v>
      </c>
      <c r="BD94" s="1097">
        <f t="shared" si="50"/>
        <v>1267.2193153159092</v>
      </c>
      <c r="BE94" s="1097">
        <f t="shared" si="50"/>
        <v>1292.0667528711231</v>
      </c>
      <c r="BF94" s="1097">
        <f t="shared" si="50"/>
        <v>1316.914190426337</v>
      </c>
    </row>
    <row r="95" spans="1:58" ht="15.75" hidden="1" thickBot="1">
      <c r="A95" s="2098"/>
      <c r="B95" s="2172" t="s">
        <v>251</v>
      </c>
      <c r="C95" s="2173"/>
      <c r="D95" s="454" t="s">
        <v>226</v>
      </c>
      <c r="E95" s="500">
        <v>70</v>
      </c>
      <c r="F95" s="500">
        <v>400</v>
      </c>
      <c r="G95" s="453" t="s">
        <v>252</v>
      </c>
      <c r="H95" s="1098">
        <f t="shared" ref="H95:AM95" si="51">((H$71-$H$4)/1000)*$S$23*(($C$8/70)^$AE$23)</f>
        <v>85.290322072412152</v>
      </c>
      <c r="I95" s="1098">
        <f t="shared" si="51"/>
        <v>113.72042942988287</v>
      </c>
      <c r="J95" s="1098">
        <f t="shared" si="51"/>
        <v>142.15053678735359</v>
      </c>
      <c r="K95" s="1098">
        <f t="shared" si="51"/>
        <v>170.5806441448243</v>
      </c>
      <c r="L95" s="1098">
        <f t="shared" si="51"/>
        <v>199.01075150229502</v>
      </c>
      <c r="M95" s="1098">
        <f t="shared" si="51"/>
        <v>227.44085885976574</v>
      </c>
      <c r="N95" s="1098">
        <f t="shared" si="51"/>
        <v>255.87096621723646</v>
      </c>
      <c r="O95" s="1098">
        <f t="shared" si="51"/>
        <v>284.30107357470717</v>
      </c>
      <c r="P95" s="1098">
        <f t="shared" si="51"/>
        <v>312.73118093217789</v>
      </c>
      <c r="Q95" s="1098">
        <f t="shared" si="51"/>
        <v>341.16128828964861</v>
      </c>
      <c r="R95" s="1098">
        <f t="shared" si="51"/>
        <v>369.59139564711933</v>
      </c>
      <c r="S95" s="1098">
        <f t="shared" si="51"/>
        <v>398.02150300459004</v>
      </c>
      <c r="T95" s="1098">
        <f t="shared" si="51"/>
        <v>426.45161036206076</v>
      </c>
      <c r="U95" s="1098">
        <f t="shared" si="51"/>
        <v>454.88171771953148</v>
      </c>
      <c r="V95" s="1098">
        <f t="shared" si="51"/>
        <v>483.3118250770022</v>
      </c>
      <c r="W95" s="1098">
        <f t="shared" si="51"/>
        <v>511.74193243447291</v>
      </c>
      <c r="X95" s="1098">
        <f t="shared" si="51"/>
        <v>540.17203979194358</v>
      </c>
      <c r="Y95" s="1098">
        <f t="shared" si="51"/>
        <v>568.60214714941435</v>
      </c>
      <c r="Z95" s="1098">
        <f t="shared" si="51"/>
        <v>597.03225450688512</v>
      </c>
      <c r="AA95" s="1098">
        <f t="shared" si="51"/>
        <v>625.46236186435578</v>
      </c>
      <c r="AB95" s="1098">
        <f t="shared" si="51"/>
        <v>653.89246922182645</v>
      </c>
      <c r="AC95" s="1098">
        <f t="shared" si="51"/>
        <v>682.32257657929722</v>
      </c>
      <c r="AD95" s="1098">
        <f t="shared" si="51"/>
        <v>710.75268393676788</v>
      </c>
      <c r="AE95" s="1098">
        <f t="shared" si="51"/>
        <v>739.18279129423865</v>
      </c>
      <c r="AF95" s="1098">
        <f t="shared" si="51"/>
        <v>767.61289865170943</v>
      </c>
      <c r="AG95" s="1098">
        <f t="shared" si="51"/>
        <v>796.04300600918009</v>
      </c>
      <c r="AH95" s="1098">
        <f t="shared" si="51"/>
        <v>824.47311336665075</v>
      </c>
      <c r="AI95" s="1098">
        <f t="shared" si="51"/>
        <v>852.90322072412152</v>
      </c>
      <c r="AJ95" s="1098">
        <f t="shared" si="51"/>
        <v>881.3333280815923</v>
      </c>
      <c r="AK95" s="1098">
        <f t="shared" si="51"/>
        <v>909.76343543906296</v>
      </c>
      <c r="AL95" s="1098">
        <f t="shared" si="51"/>
        <v>938.19354279653362</v>
      </c>
      <c r="AM95" s="1098">
        <f t="shared" si="51"/>
        <v>966.62365015400439</v>
      </c>
      <c r="AN95" s="1098">
        <f t="shared" ref="AN95:BF95" si="52">((AN$71-$H$4)/1000)*$S$23*(($C$8/70)^$AE$23)</f>
        <v>995.05375751147517</v>
      </c>
      <c r="AO95" s="1098">
        <f t="shared" si="52"/>
        <v>1023.4838648689458</v>
      </c>
      <c r="AP95" s="1098">
        <f t="shared" si="52"/>
        <v>1051.9139722264165</v>
      </c>
      <c r="AQ95" s="1098">
        <f t="shared" si="52"/>
        <v>1080.3440795838872</v>
      </c>
      <c r="AR95" s="1098">
        <f t="shared" si="52"/>
        <v>1108.774186941358</v>
      </c>
      <c r="AS95" s="1098">
        <f t="shared" si="52"/>
        <v>1137.2042942988287</v>
      </c>
      <c r="AT95" s="1098">
        <f t="shared" si="52"/>
        <v>1165.6344016562994</v>
      </c>
      <c r="AU95" s="1098">
        <f t="shared" si="52"/>
        <v>1194.0645090137702</v>
      </c>
      <c r="AV95" s="1098">
        <f t="shared" si="52"/>
        <v>1222.4946163712409</v>
      </c>
      <c r="AW95" s="1098">
        <f t="shared" si="52"/>
        <v>1250.9247237287116</v>
      </c>
      <c r="AX95" s="1098">
        <f t="shared" si="52"/>
        <v>1279.3548310861822</v>
      </c>
      <c r="AY95" s="1098">
        <f t="shared" si="52"/>
        <v>1307.7849384436529</v>
      </c>
      <c r="AZ95" s="1098">
        <f t="shared" si="52"/>
        <v>1336.2150458011238</v>
      </c>
      <c r="BA95" s="1098">
        <f t="shared" si="52"/>
        <v>1364.6451531585944</v>
      </c>
      <c r="BB95" s="1098">
        <f t="shared" si="52"/>
        <v>1393.0752605160653</v>
      </c>
      <c r="BC95" s="1098">
        <f t="shared" si="52"/>
        <v>1421.5053678735358</v>
      </c>
      <c r="BD95" s="1098">
        <f t="shared" si="52"/>
        <v>1449.9354752310064</v>
      </c>
      <c r="BE95" s="1098">
        <f t="shared" si="52"/>
        <v>1478.3655825884773</v>
      </c>
      <c r="BF95" s="1098">
        <f t="shared" si="52"/>
        <v>1506.795689945948</v>
      </c>
    </row>
    <row r="96" spans="1:58">
      <c r="A96" s="2098"/>
      <c r="B96" s="2168" t="s">
        <v>253</v>
      </c>
      <c r="C96" s="2169"/>
      <c r="D96" s="455" t="s">
        <v>226</v>
      </c>
      <c r="E96" s="501">
        <v>75</v>
      </c>
      <c r="F96" s="502">
        <v>160</v>
      </c>
      <c r="G96" s="455" t="s">
        <v>227</v>
      </c>
      <c r="H96" s="1100">
        <f t="shared" ref="H96:AM96" si="53">((H$71-$H$4)/1000)*$K24*(($C$8/70)^$W$24)</f>
        <v>38.531699999999994</v>
      </c>
      <c r="I96" s="1100">
        <f t="shared" si="53"/>
        <v>51.375599999999999</v>
      </c>
      <c r="J96" s="1100">
        <f t="shared" si="53"/>
        <v>64.219499999999996</v>
      </c>
      <c r="K96" s="1100">
        <f t="shared" si="53"/>
        <v>77.063399999999987</v>
      </c>
      <c r="L96" s="1100">
        <f t="shared" si="53"/>
        <v>89.907299999999992</v>
      </c>
      <c r="M96" s="1100">
        <f t="shared" si="53"/>
        <v>102.7512</v>
      </c>
      <c r="N96" s="1100">
        <f t="shared" si="53"/>
        <v>115.5951</v>
      </c>
      <c r="O96" s="1100">
        <f t="shared" si="53"/>
        <v>128.43899999999999</v>
      </c>
      <c r="P96" s="1100">
        <f t="shared" si="53"/>
        <v>141.28290000000001</v>
      </c>
      <c r="Q96" s="1100">
        <f t="shared" si="53"/>
        <v>154.12679999999997</v>
      </c>
      <c r="R96" s="1100">
        <f t="shared" si="53"/>
        <v>166.97069999999999</v>
      </c>
      <c r="S96" s="1100">
        <f t="shared" si="53"/>
        <v>179.81459999999998</v>
      </c>
      <c r="T96" s="1100">
        <f t="shared" si="53"/>
        <v>192.6585</v>
      </c>
      <c r="U96" s="1100">
        <f t="shared" si="53"/>
        <v>205.50239999999999</v>
      </c>
      <c r="V96" s="1100">
        <f t="shared" si="53"/>
        <v>218.34629999999999</v>
      </c>
      <c r="W96" s="1100">
        <f t="shared" si="53"/>
        <v>231.1902</v>
      </c>
      <c r="X96" s="1100">
        <f t="shared" si="53"/>
        <v>244.03409999999997</v>
      </c>
      <c r="Y96" s="1100">
        <f t="shared" si="53"/>
        <v>256.87799999999999</v>
      </c>
      <c r="Z96" s="1100">
        <f t="shared" si="53"/>
        <v>269.72190000000001</v>
      </c>
      <c r="AA96" s="1100">
        <f t="shared" si="53"/>
        <v>282.56580000000002</v>
      </c>
      <c r="AB96" s="1100">
        <f t="shared" si="53"/>
        <v>295.40969999999999</v>
      </c>
      <c r="AC96" s="1100">
        <f t="shared" si="53"/>
        <v>308.25359999999995</v>
      </c>
      <c r="AD96" s="1100">
        <f t="shared" si="53"/>
        <v>321.09749999999997</v>
      </c>
      <c r="AE96" s="1100">
        <f t="shared" si="53"/>
        <v>333.94139999999999</v>
      </c>
      <c r="AF96" s="1100">
        <f t="shared" si="53"/>
        <v>346.78530000000001</v>
      </c>
      <c r="AG96" s="1100">
        <f t="shared" si="53"/>
        <v>359.62919999999997</v>
      </c>
      <c r="AH96" s="1100">
        <f t="shared" si="53"/>
        <v>372.47309999999999</v>
      </c>
      <c r="AI96" s="1100">
        <f t="shared" si="53"/>
        <v>385.31700000000001</v>
      </c>
      <c r="AJ96" s="1100">
        <f t="shared" si="53"/>
        <v>398.16089999999997</v>
      </c>
      <c r="AK96" s="1100">
        <f t="shared" si="53"/>
        <v>411.00479999999999</v>
      </c>
      <c r="AL96" s="1100">
        <f t="shared" si="53"/>
        <v>423.84869999999995</v>
      </c>
      <c r="AM96" s="1100">
        <f t="shared" si="53"/>
        <v>436.69259999999997</v>
      </c>
      <c r="AN96" s="1100">
        <f t="shared" ref="AN96:BF96" si="54">((AN$71-$H$4)/1000)*$K24*(($C$8/70)^$W$24)</f>
        <v>449.53649999999999</v>
      </c>
      <c r="AO96" s="1100">
        <f t="shared" si="54"/>
        <v>462.38040000000001</v>
      </c>
      <c r="AP96" s="1100">
        <f t="shared" si="54"/>
        <v>475.22429999999997</v>
      </c>
      <c r="AQ96" s="1100">
        <f t="shared" si="54"/>
        <v>488.06819999999993</v>
      </c>
      <c r="AR96" s="1100">
        <f t="shared" si="54"/>
        <v>500.91209999999995</v>
      </c>
      <c r="AS96" s="1100">
        <f t="shared" si="54"/>
        <v>513.75599999999997</v>
      </c>
      <c r="AT96" s="1100">
        <f t="shared" si="54"/>
        <v>526.59989999999993</v>
      </c>
      <c r="AU96" s="1100">
        <f t="shared" si="54"/>
        <v>539.44380000000001</v>
      </c>
      <c r="AV96" s="1100">
        <f t="shared" si="54"/>
        <v>552.28769999999997</v>
      </c>
      <c r="AW96" s="1100">
        <f t="shared" si="54"/>
        <v>565.13160000000005</v>
      </c>
      <c r="AX96" s="1100">
        <f t="shared" si="54"/>
        <v>577.97550000000001</v>
      </c>
      <c r="AY96" s="1100">
        <f t="shared" si="54"/>
        <v>590.81939999999997</v>
      </c>
      <c r="AZ96" s="1100">
        <f t="shared" si="54"/>
        <v>603.66329999999994</v>
      </c>
      <c r="BA96" s="1100">
        <f t="shared" si="54"/>
        <v>616.5071999999999</v>
      </c>
      <c r="BB96" s="1100">
        <f t="shared" si="54"/>
        <v>629.35109999999997</v>
      </c>
      <c r="BC96" s="1100">
        <f t="shared" si="54"/>
        <v>642.19499999999994</v>
      </c>
      <c r="BD96" s="1100">
        <f t="shared" si="54"/>
        <v>655.0388999999999</v>
      </c>
      <c r="BE96" s="1100">
        <f t="shared" si="54"/>
        <v>667.88279999999997</v>
      </c>
      <c r="BF96" s="1100">
        <f t="shared" si="54"/>
        <v>680.72669999999994</v>
      </c>
    </row>
    <row r="97" spans="1:58">
      <c r="A97" s="2098"/>
      <c r="B97" s="2170" t="s">
        <v>254</v>
      </c>
      <c r="C97" s="2171"/>
      <c r="D97" s="456" t="s">
        <v>226</v>
      </c>
      <c r="E97" s="501">
        <v>75</v>
      </c>
      <c r="F97" s="501">
        <v>200</v>
      </c>
      <c r="G97" s="456" t="s">
        <v>227</v>
      </c>
      <c r="H97" s="1101">
        <f t="shared" ref="H97:AM97" si="55">((H$71-$H$4)/1000)*$L$24*(($C$8/70)^$X$24)</f>
        <v>42.812999999999995</v>
      </c>
      <c r="I97" s="1101">
        <f t="shared" si="55"/>
        <v>57.083999999999996</v>
      </c>
      <c r="J97" s="1101">
        <f t="shared" si="55"/>
        <v>71.35499999999999</v>
      </c>
      <c r="K97" s="1101">
        <f t="shared" si="55"/>
        <v>85.625999999999991</v>
      </c>
      <c r="L97" s="1101">
        <f t="shared" si="55"/>
        <v>99.896999999999977</v>
      </c>
      <c r="M97" s="1101">
        <f t="shared" si="55"/>
        <v>114.16799999999999</v>
      </c>
      <c r="N97" s="1101">
        <f t="shared" si="55"/>
        <v>128.43899999999999</v>
      </c>
      <c r="O97" s="1101">
        <f t="shared" si="55"/>
        <v>142.70999999999998</v>
      </c>
      <c r="P97" s="1101">
        <f t="shared" si="55"/>
        <v>156.98099999999999</v>
      </c>
      <c r="Q97" s="1101">
        <f t="shared" si="55"/>
        <v>171.25199999999998</v>
      </c>
      <c r="R97" s="1101">
        <f t="shared" si="55"/>
        <v>185.52299999999997</v>
      </c>
      <c r="S97" s="1101">
        <f t="shared" si="55"/>
        <v>199.79399999999995</v>
      </c>
      <c r="T97" s="1101">
        <f t="shared" si="55"/>
        <v>214.06499999999997</v>
      </c>
      <c r="U97" s="1101">
        <f t="shared" si="55"/>
        <v>228.33599999999998</v>
      </c>
      <c r="V97" s="1101">
        <f t="shared" si="55"/>
        <v>242.60699999999997</v>
      </c>
      <c r="W97" s="1101">
        <f t="shared" si="55"/>
        <v>256.87799999999999</v>
      </c>
      <c r="X97" s="1101">
        <f t="shared" si="55"/>
        <v>271.14899999999994</v>
      </c>
      <c r="Y97" s="1101">
        <f t="shared" si="55"/>
        <v>285.41999999999996</v>
      </c>
      <c r="Z97" s="1101">
        <f t="shared" si="55"/>
        <v>299.69099999999997</v>
      </c>
      <c r="AA97" s="1101">
        <f t="shared" si="55"/>
        <v>313.96199999999999</v>
      </c>
      <c r="AB97" s="1101">
        <f t="shared" si="55"/>
        <v>328.23299999999995</v>
      </c>
      <c r="AC97" s="1101">
        <f t="shared" si="55"/>
        <v>342.50399999999996</v>
      </c>
      <c r="AD97" s="1101">
        <f t="shared" si="55"/>
        <v>356.77499999999998</v>
      </c>
      <c r="AE97" s="1101">
        <f t="shared" si="55"/>
        <v>371.04599999999994</v>
      </c>
      <c r="AF97" s="1101">
        <f t="shared" si="55"/>
        <v>385.31699999999995</v>
      </c>
      <c r="AG97" s="1101">
        <f t="shared" si="55"/>
        <v>399.58799999999991</v>
      </c>
      <c r="AH97" s="1101">
        <f t="shared" si="55"/>
        <v>413.85899999999992</v>
      </c>
      <c r="AI97" s="1101">
        <f t="shared" si="55"/>
        <v>428.12999999999994</v>
      </c>
      <c r="AJ97" s="1101">
        <f t="shared" si="55"/>
        <v>442.40099999999995</v>
      </c>
      <c r="AK97" s="1101">
        <f t="shared" si="55"/>
        <v>456.67199999999997</v>
      </c>
      <c r="AL97" s="1101">
        <f t="shared" si="55"/>
        <v>470.94299999999993</v>
      </c>
      <c r="AM97" s="1101">
        <f t="shared" si="55"/>
        <v>485.21399999999994</v>
      </c>
      <c r="AN97" s="1101">
        <f t="shared" ref="AN97:BF97" si="56">((AN$71-$H$4)/1000)*$L$24*(($C$8/70)^$X$24)</f>
        <v>499.4849999999999</v>
      </c>
      <c r="AO97" s="1101">
        <f t="shared" si="56"/>
        <v>513.75599999999997</v>
      </c>
      <c r="AP97" s="1101">
        <f t="shared" si="56"/>
        <v>528.02699999999993</v>
      </c>
      <c r="AQ97" s="1101">
        <f t="shared" si="56"/>
        <v>542.29799999999989</v>
      </c>
      <c r="AR97" s="1101">
        <f t="shared" si="56"/>
        <v>556.56899999999996</v>
      </c>
      <c r="AS97" s="1101">
        <f t="shared" si="56"/>
        <v>570.83999999999992</v>
      </c>
      <c r="AT97" s="1101">
        <f t="shared" si="56"/>
        <v>585.11099999999988</v>
      </c>
      <c r="AU97" s="1101">
        <f t="shared" si="56"/>
        <v>599.38199999999995</v>
      </c>
      <c r="AV97" s="1101">
        <f t="shared" si="56"/>
        <v>613.65299999999991</v>
      </c>
      <c r="AW97" s="1101">
        <f t="shared" si="56"/>
        <v>627.92399999999998</v>
      </c>
      <c r="AX97" s="1101">
        <f t="shared" si="56"/>
        <v>642.19499999999994</v>
      </c>
      <c r="AY97" s="1101">
        <f t="shared" si="56"/>
        <v>656.46599999999989</v>
      </c>
      <c r="AZ97" s="1101">
        <f t="shared" si="56"/>
        <v>670.73699999999997</v>
      </c>
      <c r="BA97" s="1101">
        <f t="shared" si="56"/>
        <v>685.00799999999992</v>
      </c>
      <c r="BB97" s="1101">
        <f t="shared" si="56"/>
        <v>699.279</v>
      </c>
      <c r="BC97" s="1101">
        <f t="shared" si="56"/>
        <v>713.55</v>
      </c>
      <c r="BD97" s="1101">
        <f t="shared" si="56"/>
        <v>727.8209999999998</v>
      </c>
      <c r="BE97" s="1101">
        <f t="shared" si="56"/>
        <v>742.09199999999987</v>
      </c>
      <c r="BF97" s="1101">
        <f t="shared" si="56"/>
        <v>756.36299999999983</v>
      </c>
    </row>
    <row r="98" spans="1:58">
      <c r="A98" s="2098"/>
      <c r="B98" s="2170" t="s">
        <v>255</v>
      </c>
      <c r="C98" s="2171"/>
      <c r="D98" s="456" t="s">
        <v>226</v>
      </c>
      <c r="E98" s="501">
        <v>75</v>
      </c>
      <c r="F98" s="501">
        <v>260</v>
      </c>
      <c r="G98" s="456" t="s">
        <v>227</v>
      </c>
      <c r="H98" s="1101">
        <f t="shared" ref="H98:AM98" si="57">((H$71-$H$4)/1000)*$M$24*(($C$8/70)^$Y$24)</f>
        <v>55.144799999999989</v>
      </c>
      <c r="I98" s="1101">
        <f t="shared" si="57"/>
        <v>73.526399999999995</v>
      </c>
      <c r="J98" s="1101">
        <f t="shared" si="57"/>
        <v>91.907999999999987</v>
      </c>
      <c r="K98" s="1101">
        <f t="shared" si="57"/>
        <v>110.28959999999998</v>
      </c>
      <c r="L98" s="1101">
        <f t="shared" si="57"/>
        <v>128.67119999999997</v>
      </c>
      <c r="M98" s="1101">
        <f t="shared" si="57"/>
        <v>147.05279999999999</v>
      </c>
      <c r="N98" s="1101">
        <f t="shared" si="57"/>
        <v>165.43439999999998</v>
      </c>
      <c r="O98" s="1101">
        <f t="shared" si="57"/>
        <v>183.81599999999997</v>
      </c>
      <c r="P98" s="1101">
        <f t="shared" si="57"/>
        <v>202.19759999999999</v>
      </c>
      <c r="Q98" s="1101">
        <f t="shared" si="57"/>
        <v>220.57919999999996</v>
      </c>
      <c r="R98" s="1101">
        <f t="shared" si="57"/>
        <v>238.96079999999998</v>
      </c>
      <c r="S98" s="1101">
        <f t="shared" si="57"/>
        <v>257.34239999999994</v>
      </c>
      <c r="T98" s="1101">
        <f t="shared" si="57"/>
        <v>275.72399999999993</v>
      </c>
      <c r="U98" s="1101">
        <f t="shared" si="57"/>
        <v>294.10559999999998</v>
      </c>
      <c r="V98" s="1101">
        <f t="shared" si="57"/>
        <v>312.48719999999997</v>
      </c>
      <c r="W98" s="1101">
        <f t="shared" si="57"/>
        <v>330.86879999999996</v>
      </c>
      <c r="X98" s="1101">
        <f t="shared" si="57"/>
        <v>349.25039999999996</v>
      </c>
      <c r="Y98" s="1101">
        <f t="shared" si="57"/>
        <v>367.63199999999995</v>
      </c>
      <c r="Z98" s="1101">
        <f t="shared" si="57"/>
        <v>386.01359999999994</v>
      </c>
      <c r="AA98" s="1101">
        <f t="shared" si="57"/>
        <v>404.39519999999999</v>
      </c>
      <c r="AB98" s="1101">
        <f t="shared" si="57"/>
        <v>422.77679999999992</v>
      </c>
      <c r="AC98" s="1101">
        <f t="shared" si="57"/>
        <v>441.15839999999992</v>
      </c>
      <c r="AD98" s="1101">
        <f t="shared" si="57"/>
        <v>459.53999999999996</v>
      </c>
      <c r="AE98" s="1101">
        <f t="shared" si="57"/>
        <v>477.92159999999996</v>
      </c>
      <c r="AF98" s="1101">
        <f t="shared" si="57"/>
        <v>496.30319999999995</v>
      </c>
      <c r="AG98" s="1101">
        <f t="shared" si="57"/>
        <v>514.68479999999988</v>
      </c>
      <c r="AH98" s="1101">
        <f t="shared" si="57"/>
        <v>533.06639999999993</v>
      </c>
      <c r="AI98" s="1101">
        <f t="shared" si="57"/>
        <v>551.44799999999987</v>
      </c>
      <c r="AJ98" s="1101">
        <f t="shared" si="57"/>
        <v>569.82959999999991</v>
      </c>
      <c r="AK98" s="1101">
        <f t="shared" si="57"/>
        <v>588.21119999999996</v>
      </c>
      <c r="AL98" s="1101">
        <f t="shared" si="57"/>
        <v>606.5927999999999</v>
      </c>
      <c r="AM98" s="1101">
        <f t="shared" si="57"/>
        <v>624.97439999999995</v>
      </c>
      <c r="AN98" s="1101">
        <f t="shared" ref="AN98:BF98" si="58">((AN$71-$H$4)/1000)*$M$24*(($C$8/70)^$Y$24)</f>
        <v>643.35599999999988</v>
      </c>
      <c r="AO98" s="1101">
        <f t="shared" si="58"/>
        <v>661.73759999999993</v>
      </c>
      <c r="AP98" s="1101">
        <f t="shared" si="58"/>
        <v>680.11919999999998</v>
      </c>
      <c r="AQ98" s="1101">
        <f t="shared" si="58"/>
        <v>698.50079999999991</v>
      </c>
      <c r="AR98" s="1101">
        <f t="shared" si="58"/>
        <v>716.88239999999985</v>
      </c>
      <c r="AS98" s="1101">
        <f t="shared" si="58"/>
        <v>735.2639999999999</v>
      </c>
      <c r="AT98" s="1101">
        <f t="shared" si="58"/>
        <v>753.64559999999983</v>
      </c>
      <c r="AU98" s="1101">
        <f t="shared" si="58"/>
        <v>772.02719999999988</v>
      </c>
      <c r="AV98" s="1101">
        <f t="shared" si="58"/>
        <v>790.40879999999981</v>
      </c>
      <c r="AW98" s="1101">
        <f t="shared" si="58"/>
        <v>808.79039999999998</v>
      </c>
      <c r="AX98" s="1101">
        <f t="shared" si="58"/>
        <v>827.17199999999991</v>
      </c>
      <c r="AY98" s="1101">
        <f t="shared" si="58"/>
        <v>845.55359999999985</v>
      </c>
      <c r="AZ98" s="1101">
        <f t="shared" si="58"/>
        <v>863.9351999999999</v>
      </c>
      <c r="BA98" s="1101">
        <f t="shared" si="58"/>
        <v>882.31679999999983</v>
      </c>
      <c r="BB98" s="1101">
        <f t="shared" si="58"/>
        <v>900.69839999999999</v>
      </c>
      <c r="BC98" s="1101">
        <f t="shared" si="58"/>
        <v>919.07999999999993</v>
      </c>
      <c r="BD98" s="1101">
        <f t="shared" si="58"/>
        <v>937.46159999999975</v>
      </c>
      <c r="BE98" s="1101">
        <f t="shared" si="58"/>
        <v>955.84319999999991</v>
      </c>
      <c r="BF98" s="1101">
        <f t="shared" si="58"/>
        <v>974.22479999999985</v>
      </c>
    </row>
    <row r="99" spans="1:58">
      <c r="A99" s="2098"/>
      <c r="B99" s="2170" t="s">
        <v>256</v>
      </c>
      <c r="C99" s="2171"/>
      <c r="D99" s="456" t="s">
        <v>226</v>
      </c>
      <c r="E99" s="501">
        <v>75</v>
      </c>
      <c r="F99" s="501">
        <v>300</v>
      </c>
      <c r="G99" s="456" t="s">
        <v>227</v>
      </c>
      <c r="H99" s="1101">
        <f t="shared" ref="H99:AM99" si="59">((H$71-$H$4)/1000)*$N$24*(($C$8/70)^$Z$24)</f>
        <v>59.246582863248008</v>
      </c>
      <c r="I99" s="1101">
        <f t="shared" si="59"/>
        <v>78.995443817664011</v>
      </c>
      <c r="J99" s="1101">
        <f t="shared" si="59"/>
        <v>98.744304772080014</v>
      </c>
      <c r="K99" s="1101">
        <f t="shared" si="59"/>
        <v>118.49316572649602</v>
      </c>
      <c r="L99" s="1101">
        <f t="shared" si="59"/>
        <v>138.24202668091201</v>
      </c>
      <c r="M99" s="1101">
        <f t="shared" si="59"/>
        <v>157.99088763532802</v>
      </c>
      <c r="N99" s="1101">
        <f t="shared" si="59"/>
        <v>177.73974858974404</v>
      </c>
      <c r="O99" s="1101">
        <f t="shared" si="59"/>
        <v>197.48860954416003</v>
      </c>
      <c r="P99" s="1101">
        <f t="shared" si="59"/>
        <v>217.23747049857604</v>
      </c>
      <c r="Q99" s="1101">
        <f t="shared" si="59"/>
        <v>236.98633145299203</v>
      </c>
      <c r="R99" s="1101">
        <f t="shared" si="59"/>
        <v>256.73519240740802</v>
      </c>
      <c r="S99" s="1101">
        <f t="shared" si="59"/>
        <v>276.48405336182401</v>
      </c>
      <c r="T99" s="1101">
        <f t="shared" si="59"/>
        <v>296.23291431624006</v>
      </c>
      <c r="U99" s="1101">
        <f t="shared" si="59"/>
        <v>315.98177527065604</v>
      </c>
      <c r="V99" s="1101">
        <f t="shared" si="59"/>
        <v>335.73063622507203</v>
      </c>
      <c r="W99" s="1101">
        <f t="shared" si="59"/>
        <v>355.47949717948808</v>
      </c>
      <c r="X99" s="1101">
        <f t="shared" si="59"/>
        <v>375.22835813390401</v>
      </c>
      <c r="Y99" s="1101">
        <f t="shared" si="59"/>
        <v>394.97721908832006</v>
      </c>
      <c r="Z99" s="1101">
        <f t="shared" si="59"/>
        <v>414.7260800427361</v>
      </c>
      <c r="AA99" s="1101">
        <f t="shared" si="59"/>
        <v>434.47494099715209</v>
      </c>
      <c r="AB99" s="1101">
        <f t="shared" si="59"/>
        <v>454.22380195156802</v>
      </c>
      <c r="AC99" s="1101">
        <f t="shared" si="59"/>
        <v>473.97266290598407</v>
      </c>
      <c r="AD99" s="1101">
        <f t="shared" si="59"/>
        <v>493.72152386040005</v>
      </c>
      <c r="AE99" s="1101">
        <f t="shared" si="59"/>
        <v>513.47038481481604</v>
      </c>
      <c r="AF99" s="1101">
        <f t="shared" si="59"/>
        <v>533.21924576923209</v>
      </c>
      <c r="AG99" s="1101">
        <f t="shared" si="59"/>
        <v>552.96810672364802</v>
      </c>
      <c r="AH99" s="1101">
        <f t="shared" si="59"/>
        <v>572.71696767806407</v>
      </c>
      <c r="AI99" s="1101">
        <f t="shared" si="59"/>
        <v>592.46582863248011</v>
      </c>
      <c r="AJ99" s="1101">
        <f t="shared" si="59"/>
        <v>612.21468958689616</v>
      </c>
      <c r="AK99" s="1101">
        <f t="shared" si="59"/>
        <v>631.96355054131209</v>
      </c>
      <c r="AL99" s="1101">
        <f t="shared" si="59"/>
        <v>651.71241149572802</v>
      </c>
      <c r="AM99" s="1101">
        <f t="shared" si="59"/>
        <v>671.46127245014407</v>
      </c>
      <c r="AN99" s="1101">
        <f t="shared" ref="AN99:BF99" si="60">((AN$71-$H$4)/1000)*$N$24*(($C$8/70)^$Z$24)</f>
        <v>691.21013340456011</v>
      </c>
      <c r="AO99" s="1101">
        <f t="shared" si="60"/>
        <v>710.95899435897616</v>
      </c>
      <c r="AP99" s="1101">
        <f t="shared" si="60"/>
        <v>730.70785531339209</v>
      </c>
      <c r="AQ99" s="1101">
        <f t="shared" si="60"/>
        <v>750.45671626780802</v>
      </c>
      <c r="AR99" s="1101">
        <f t="shared" si="60"/>
        <v>770.20557722222406</v>
      </c>
      <c r="AS99" s="1101">
        <f t="shared" si="60"/>
        <v>789.95443817664011</v>
      </c>
      <c r="AT99" s="1101">
        <f t="shared" si="60"/>
        <v>809.70329913105604</v>
      </c>
      <c r="AU99" s="1101">
        <f t="shared" si="60"/>
        <v>829.4521600854722</v>
      </c>
      <c r="AV99" s="1101">
        <f t="shared" si="60"/>
        <v>849.20102103988813</v>
      </c>
      <c r="AW99" s="1101">
        <f t="shared" si="60"/>
        <v>868.94988199430418</v>
      </c>
      <c r="AX99" s="1101">
        <f t="shared" si="60"/>
        <v>888.69874294872011</v>
      </c>
      <c r="AY99" s="1101">
        <f t="shared" si="60"/>
        <v>908.44760390313604</v>
      </c>
      <c r="AZ99" s="1101">
        <f t="shared" si="60"/>
        <v>928.1964648575522</v>
      </c>
      <c r="BA99" s="1101">
        <f t="shared" si="60"/>
        <v>947.94532581196813</v>
      </c>
      <c r="BB99" s="1101">
        <f t="shared" si="60"/>
        <v>967.69418676638418</v>
      </c>
      <c r="BC99" s="1101">
        <f t="shared" si="60"/>
        <v>987.44304772080011</v>
      </c>
      <c r="BD99" s="1101">
        <f t="shared" si="60"/>
        <v>1007.191908675216</v>
      </c>
      <c r="BE99" s="1101">
        <f t="shared" si="60"/>
        <v>1026.9407696296321</v>
      </c>
      <c r="BF99" s="1101">
        <f t="shared" si="60"/>
        <v>1046.689630584048</v>
      </c>
    </row>
    <row r="100" spans="1:58">
      <c r="A100" s="2098"/>
      <c r="B100" s="2170" t="s">
        <v>257</v>
      </c>
      <c r="C100" s="2171"/>
      <c r="D100" s="456" t="s">
        <v>226</v>
      </c>
      <c r="E100" s="501">
        <v>75</v>
      </c>
      <c r="F100" s="501">
        <v>300</v>
      </c>
      <c r="G100" s="456" t="s">
        <v>232</v>
      </c>
      <c r="H100" s="1101">
        <f t="shared" ref="H100:AM100" si="61">((H$71-$H$4)/1000)*$O$24*(($C$8/70)^$AA24)</f>
        <v>79.344000000000008</v>
      </c>
      <c r="I100" s="1101">
        <f t="shared" si="61"/>
        <v>105.79200000000002</v>
      </c>
      <c r="J100" s="1101">
        <f t="shared" si="61"/>
        <v>132.24</v>
      </c>
      <c r="K100" s="1101">
        <f t="shared" si="61"/>
        <v>158.68800000000002</v>
      </c>
      <c r="L100" s="1101">
        <f t="shared" si="61"/>
        <v>185.136</v>
      </c>
      <c r="M100" s="1101">
        <f t="shared" si="61"/>
        <v>211.58400000000003</v>
      </c>
      <c r="N100" s="1101">
        <f t="shared" si="61"/>
        <v>238.03200000000001</v>
      </c>
      <c r="O100" s="1101">
        <f t="shared" si="61"/>
        <v>264.48</v>
      </c>
      <c r="P100" s="1101">
        <f t="shared" si="61"/>
        <v>290.92800000000005</v>
      </c>
      <c r="Q100" s="1101">
        <f t="shared" si="61"/>
        <v>317.37600000000003</v>
      </c>
      <c r="R100" s="1101">
        <f t="shared" si="61"/>
        <v>343.82400000000001</v>
      </c>
      <c r="S100" s="1101">
        <f t="shared" si="61"/>
        <v>370.27199999999999</v>
      </c>
      <c r="T100" s="1101">
        <f t="shared" si="61"/>
        <v>396.72</v>
      </c>
      <c r="U100" s="1101">
        <f t="shared" si="61"/>
        <v>423.16800000000006</v>
      </c>
      <c r="V100" s="1101">
        <f t="shared" si="61"/>
        <v>449.61600000000004</v>
      </c>
      <c r="W100" s="1101">
        <f t="shared" si="61"/>
        <v>476.06400000000002</v>
      </c>
      <c r="X100" s="1101">
        <f t="shared" si="61"/>
        <v>502.512</v>
      </c>
      <c r="Y100" s="1101">
        <f t="shared" si="61"/>
        <v>528.96</v>
      </c>
      <c r="Z100" s="1101">
        <f t="shared" si="61"/>
        <v>555.40800000000002</v>
      </c>
      <c r="AA100" s="1101">
        <f t="shared" si="61"/>
        <v>581.85600000000011</v>
      </c>
      <c r="AB100" s="1101">
        <f t="shared" si="61"/>
        <v>608.30399999999997</v>
      </c>
      <c r="AC100" s="1101">
        <f t="shared" si="61"/>
        <v>634.75200000000007</v>
      </c>
      <c r="AD100" s="1101">
        <f t="shared" si="61"/>
        <v>661.2</v>
      </c>
      <c r="AE100" s="1101">
        <f t="shared" si="61"/>
        <v>687.64800000000002</v>
      </c>
      <c r="AF100" s="1101">
        <f t="shared" si="61"/>
        <v>714.09600000000012</v>
      </c>
      <c r="AG100" s="1101">
        <f t="shared" si="61"/>
        <v>740.54399999999998</v>
      </c>
      <c r="AH100" s="1101">
        <f t="shared" si="61"/>
        <v>766.99200000000008</v>
      </c>
      <c r="AI100" s="1101">
        <f t="shared" si="61"/>
        <v>793.44</v>
      </c>
      <c r="AJ100" s="1101">
        <f t="shared" si="61"/>
        <v>819.88800000000003</v>
      </c>
      <c r="AK100" s="1101">
        <f t="shared" si="61"/>
        <v>846.33600000000013</v>
      </c>
      <c r="AL100" s="1101">
        <f t="shared" si="61"/>
        <v>872.78399999999999</v>
      </c>
      <c r="AM100" s="1101">
        <f t="shared" si="61"/>
        <v>899.23200000000008</v>
      </c>
      <c r="AN100" s="1101">
        <f t="shared" ref="AN100:BF100" si="62">((AN$71-$H$4)/1000)*$O$24*(($C$8/70)^$AA24)</f>
        <v>925.68000000000006</v>
      </c>
      <c r="AO100" s="1101">
        <f t="shared" si="62"/>
        <v>952.12800000000004</v>
      </c>
      <c r="AP100" s="1101">
        <f t="shared" si="62"/>
        <v>978.57600000000014</v>
      </c>
      <c r="AQ100" s="1101">
        <f t="shared" si="62"/>
        <v>1005.024</v>
      </c>
      <c r="AR100" s="1101">
        <f t="shared" si="62"/>
        <v>1031.472</v>
      </c>
      <c r="AS100" s="1101">
        <f t="shared" si="62"/>
        <v>1057.92</v>
      </c>
      <c r="AT100" s="1101">
        <f t="shared" si="62"/>
        <v>1084.3679999999999</v>
      </c>
      <c r="AU100" s="1101">
        <f t="shared" si="62"/>
        <v>1110.816</v>
      </c>
      <c r="AV100" s="1101">
        <f t="shared" si="62"/>
        <v>1137.2640000000001</v>
      </c>
      <c r="AW100" s="1101">
        <f t="shared" si="62"/>
        <v>1163.7120000000002</v>
      </c>
      <c r="AX100" s="1101">
        <f t="shared" si="62"/>
        <v>1190.1600000000001</v>
      </c>
      <c r="AY100" s="1101">
        <f t="shared" si="62"/>
        <v>1216.6079999999999</v>
      </c>
      <c r="AZ100" s="1101">
        <f t="shared" si="62"/>
        <v>1243.056</v>
      </c>
      <c r="BA100" s="1101">
        <f t="shared" si="62"/>
        <v>1269.5040000000001</v>
      </c>
      <c r="BB100" s="1101">
        <f t="shared" si="62"/>
        <v>1295.9520000000002</v>
      </c>
      <c r="BC100" s="1101">
        <f t="shared" si="62"/>
        <v>1322.4</v>
      </c>
      <c r="BD100" s="1101">
        <f t="shared" si="62"/>
        <v>1348.848</v>
      </c>
      <c r="BE100" s="1101">
        <f t="shared" si="62"/>
        <v>1375.296</v>
      </c>
      <c r="BF100" s="1101">
        <f t="shared" si="62"/>
        <v>1401.7440000000001</v>
      </c>
    </row>
    <row r="101" spans="1:58">
      <c r="A101" s="2098"/>
      <c r="B101" s="2170" t="s">
        <v>258</v>
      </c>
      <c r="C101" s="2171"/>
      <c r="D101" s="456" t="s">
        <v>226</v>
      </c>
      <c r="E101" s="501">
        <v>75</v>
      </c>
      <c r="F101" s="501">
        <v>360</v>
      </c>
      <c r="G101" s="456" t="s">
        <v>232</v>
      </c>
      <c r="H101" s="1101">
        <f t="shared" ref="H101:AM101" si="63">((H$71-$H$4)/1000)*$Q$24*(($C$8/70)^$AC$24)</f>
        <v>85.228019999999987</v>
      </c>
      <c r="I101" s="1101">
        <f t="shared" si="63"/>
        <v>113.63736</v>
      </c>
      <c r="J101" s="1101">
        <f t="shared" si="63"/>
        <v>142.04669999999999</v>
      </c>
      <c r="K101" s="1101">
        <f t="shared" si="63"/>
        <v>170.45603999999997</v>
      </c>
      <c r="L101" s="1101">
        <f t="shared" si="63"/>
        <v>198.86537999999996</v>
      </c>
      <c r="M101" s="1101">
        <f t="shared" si="63"/>
        <v>227.27472</v>
      </c>
      <c r="N101" s="1101">
        <f t="shared" si="63"/>
        <v>255.68405999999999</v>
      </c>
      <c r="O101" s="1101">
        <f t="shared" si="63"/>
        <v>284.09339999999997</v>
      </c>
      <c r="P101" s="1101">
        <f t="shared" si="63"/>
        <v>312.50274000000002</v>
      </c>
      <c r="Q101" s="1101">
        <f t="shared" si="63"/>
        <v>340.91207999999995</v>
      </c>
      <c r="R101" s="1101">
        <f t="shared" si="63"/>
        <v>369.32141999999999</v>
      </c>
      <c r="S101" s="1101">
        <f t="shared" si="63"/>
        <v>397.73075999999992</v>
      </c>
      <c r="T101" s="1101">
        <f t="shared" si="63"/>
        <v>426.14009999999996</v>
      </c>
      <c r="U101" s="1101">
        <f t="shared" si="63"/>
        <v>454.54944</v>
      </c>
      <c r="V101" s="1101">
        <f t="shared" si="63"/>
        <v>482.95877999999993</v>
      </c>
      <c r="W101" s="1101">
        <f t="shared" si="63"/>
        <v>511.36811999999998</v>
      </c>
      <c r="X101" s="1101">
        <f t="shared" si="63"/>
        <v>539.77745999999991</v>
      </c>
      <c r="Y101" s="1101">
        <f t="shared" si="63"/>
        <v>568.18679999999995</v>
      </c>
      <c r="Z101" s="1101">
        <f t="shared" si="63"/>
        <v>596.59613999999999</v>
      </c>
      <c r="AA101" s="1101">
        <f t="shared" si="63"/>
        <v>625.00548000000003</v>
      </c>
      <c r="AB101" s="1101">
        <f t="shared" si="63"/>
        <v>653.41481999999985</v>
      </c>
      <c r="AC101" s="1101">
        <f t="shared" si="63"/>
        <v>681.82415999999989</v>
      </c>
      <c r="AD101" s="1101">
        <f t="shared" si="63"/>
        <v>710.23349999999994</v>
      </c>
      <c r="AE101" s="1101">
        <f t="shared" si="63"/>
        <v>738.64283999999998</v>
      </c>
      <c r="AF101" s="1101">
        <f t="shared" si="63"/>
        <v>767.05218000000002</v>
      </c>
      <c r="AG101" s="1101">
        <f t="shared" si="63"/>
        <v>795.46151999999984</v>
      </c>
      <c r="AH101" s="1101">
        <f t="shared" si="63"/>
        <v>823.87085999999988</v>
      </c>
      <c r="AI101" s="1101">
        <f t="shared" si="63"/>
        <v>852.28019999999992</v>
      </c>
      <c r="AJ101" s="1101">
        <f t="shared" si="63"/>
        <v>880.68953999999997</v>
      </c>
      <c r="AK101" s="1101">
        <f t="shared" si="63"/>
        <v>909.09888000000001</v>
      </c>
      <c r="AL101" s="1101">
        <f t="shared" si="63"/>
        <v>937.50821999999982</v>
      </c>
      <c r="AM101" s="1101">
        <f t="shared" si="63"/>
        <v>965.91755999999987</v>
      </c>
      <c r="AN101" s="1101">
        <f t="shared" ref="AN101:BF101" si="64">((AN$71-$H$4)/1000)*$Q$24*(($C$8/70)^$AC$24)</f>
        <v>994.32689999999991</v>
      </c>
      <c r="AO101" s="1101">
        <f t="shared" si="64"/>
        <v>1022.73624</v>
      </c>
      <c r="AP101" s="1101">
        <f t="shared" si="64"/>
        <v>1051.1455799999999</v>
      </c>
      <c r="AQ101" s="1101">
        <f t="shared" si="64"/>
        <v>1079.5549199999998</v>
      </c>
      <c r="AR101" s="1101">
        <f t="shared" si="64"/>
        <v>1107.96426</v>
      </c>
      <c r="AS101" s="1101">
        <f t="shared" si="64"/>
        <v>1136.3735999999999</v>
      </c>
      <c r="AT101" s="1101">
        <f t="shared" si="64"/>
        <v>1164.7829399999998</v>
      </c>
      <c r="AU101" s="1101">
        <f t="shared" si="64"/>
        <v>1193.19228</v>
      </c>
      <c r="AV101" s="1101">
        <f t="shared" si="64"/>
        <v>1221.6016199999999</v>
      </c>
      <c r="AW101" s="1101">
        <f t="shared" si="64"/>
        <v>1250.0109600000001</v>
      </c>
      <c r="AX101" s="1101">
        <f t="shared" si="64"/>
        <v>1278.4202999999998</v>
      </c>
      <c r="AY101" s="1101">
        <f t="shared" si="64"/>
        <v>1306.8296399999997</v>
      </c>
      <c r="AZ101" s="1101">
        <f t="shared" si="64"/>
        <v>1335.2389799999999</v>
      </c>
      <c r="BA101" s="1101">
        <f t="shared" si="64"/>
        <v>1363.6483199999998</v>
      </c>
      <c r="BB101" s="1101">
        <f t="shared" si="64"/>
        <v>1392.0576599999999</v>
      </c>
      <c r="BC101" s="1101">
        <f t="shared" si="64"/>
        <v>1420.4669999999999</v>
      </c>
      <c r="BD101" s="1101">
        <f t="shared" si="64"/>
        <v>1448.8763399999998</v>
      </c>
      <c r="BE101" s="1101">
        <f t="shared" si="64"/>
        <v>1477.28568</v>
      </c>
      <c r="BF101" s="1101">
        <f t="shared" si="64"/>
        <v>1505.6950199999999</v>
      </c>
    </row>
    <row r="102" spans="1:58">
      <c r="A102" s="2098"/>
      <c r="B102" s="2170" t="s">
        <v>259</v>
      </c>
      <c r="C102" s="2171"/>
      <c r="D102" s="456" t="s">
        <v>226</v>
      </c>
      <c r="E102" s="501">
        <v>75</v>
      </c>
      <c r="F102" s="501">
        <v>400</v>
      </c>
      <c r="G102" s="456" t="s">
        <v>232</v>
      </c>
      <c r="H102" s="1101">
        <f t="shared" ref="H102:AM102" si="65">((H$71-$H$4)/1000)*$R$24*(($C$8/70)^$AD$24)</f>
        <v>87.803841978719973</v>
      </c>
      <c r="I102" s="1101">
        <f t="shared" si="65"/>
        <v>117.07178930495998</v>
      </c>
      <c r="J102" s="1101">
        <f t="shared" si="65"/>
        <v>146.33973663119997</v>
      </c>
      <c r="K102" s="1101">
        <f t="shared" si="65"/>
        <v>175.60768395743995</v>
      </c>
      <c r="L102" s="1101">
        <f t="shared" si="65"/>
        <v>204.87563128367995</v>
      </c>
      <c r="M102" s="1101">
        <f t="shared" si="65"/>
        <v>234.14357860991996</v>
      </c>
      <c r="N102" s="1101">
        <f t="shared" si="65"/>
        <v>263.41152593615993</v>
      </c>
      <c r="O102" s="1101">
        <f t="shared" si="65"/>
        <v>292.67947326239994</v>
      </c>
      <c r="P102" s="1101">
        <f t="shared" si="65"/>
        <v>321.94742058863994</v>
      </c>
      <c r="Q102" s="1101">
        <f t="shared" si="65"/>
        <v>351.21536791487989</v>
      </c>
      <c r="R102" s="1101">
        <f t="shared" si="65"/>
        <v>380.48331524111995</v>
      </c>
      <c r="S102" s="1101">
        <f t="shared" si="65"/>
        <v>409.7512625673599</v>
      </c>
      <c r="T102" s="1101">
        <f t="shared" si="65"/>
        <v>439.01920989359991</v>
      </c>
      <c r="U102" s="1101">
        <f t="shared" si="65"/>
        <v>468.28715721983991</v>
      </c>
      <c r="V102" s="1101">
        <f t="shared" si="65"/>
        <v>497.55510454607986</v>
      </c>
      <c r="W102" s="1101">
        <f t="shared" si="65"/>
        <v>526.82305187231987</v>
      </c>
      <c r="X102" s="1101">
        <f t="shared" si="65"/>
        <v>556.09099919855987</v>
      </c>
      <c r="Y102" s="1101">
        <f t="shared" si="65"/>
        <v>585.35894652479988</v>
      </c>
      <c r="Z102" s="1101">
        <f t="shared" si="65"/>
        <v>614.62689385103988</v>
      </c>
      <c r="AA102" s="1101">
        <f t="shared" si="65"/>
        <v>643.89484117727989</v>
      </c>
      <c r="AB102" s="1101">
        <f t="shared" si="65"/>
        <v>673.16278850351978</v>
      </c>
      <c r="AC102" s="1101">
        <f t="shared" si="65"/>
        <v>702.43073582975978</v>
      </c>
      <c r="AD102" s="1101">
        <f t="shared" si="65"/>
        <v>731.69868315599979</v>
      </c>
      <c r="AE102" s="1101">
        <f t="shared" si="65"/>
        <v>760.96663048223991</v>
      </c>
      <c r="AF102" s="1101">
        <f t="shared" si="65"/>
        <v>790.23457780847991</v>
      </c>
      <c r="AG102" s="1101">
        <f t="shared" si="65"/>
        <v>819.5025251347198</v>
      </c>
      <c r="AH102" s="1101">
        <f t="shared" si="65"/>
        <v>848.77047246095981</v>
      </c>
      <c r="AI102" s="1101">
        <f t="shared" si="65"/>
        <v>878.03841978719981</v>
      </c>
      <c r="AJ102" s="1101">
        <f t="shared" si="65"/>
        <v>907.30636711343982</v>
      </c>
      <c r="AK102" s="1101">
        <f t="shared" si="65"/>
        <v>936.57431443967982</v>
      </c>
      <c r="AL102" s="1101">
        <f t="shared" si="65"/>
        <v>965.84226176591972</v>
      </c>
      <c r="AM102" s="1101">
        <f t="shared" si="65"/>
        <v>995.11020909215972</v>
      </c>
      <c r="AN102" s="1101">
        <f t="shared" ref="AN102:BF102" si="66">((AN$71-$H$4)/1000)*$R$24*(($C$8/70)^$AD$24)</f>
        <v>1024.3781564183998</v>
      </c>
      <c r="AO102" s="1101">
        <f t="shared" si="66"/>
        <v>1053.6461037446397</v>
      </c>
      <c r="AP102" s="1101">
        <f t="shared" si="66"/>
        <v>1082.9140510708799</v>
      </c>
      <c r="AQ102" s="1101">
        <f t="shared" si="66"/>
        <v>1112.1819983971197</v>
      </c>
      <c r="AR102" s="1101">
        <f t="shared" si="66"/>
        <v>1141.4499457233596</v>
      </c>
      <c r="AS102" s="1101">
        <f t="shared" si="66"/>
        <v>1170.7178930495998</v>
      </c>
      <c r="AT102" s="1101">
        <f t="shared" si="66"/>
        <v>1199.9858403758396</v>
      </c>
      <c r="AU102" s="1101">
        <f t="shared" si="66"/>
        <v>1229.2537877020798</v>
      </c>
      <c r="AV102" s="1101">
        <f t="shared" si="66"/>
        <v>1258.5217350283197</v>
      </c>
      <c r="AW102" s="1101">
        <f t="shared" si="66"/>
        <v>1287.7896823545598</v>
      </c>
      <c r="AX102" s="1101">
        <f t="shared" si="66"/>
        <v>1317.0576296807997</v>
      </c>
      <c r="AY102" s="1101">
        <f t="shared" si="66"/>
        <v>1346.3255770070396</v>
      </c>
      <c r="AZ102" s="1101">
        <f t="shared" si="66"/>
        <v>1375.5935243332797</v>
      </c>
      <c r="BA102" s="1101">
        <f t="shared" si="66"/>
        <v>1404.8614716595196</v>
      </c>
      <c r="BB102" s="1101">
        <f t="shared" si="66"/>
        <v>1434.1294189857599</v>
      </c>
      <c r="BC102" s="1101">
        <f t="shared" si="66"/>
        <v>1463.3973663119996</v>
      </c>
      <c r="BD102" s="1101">
        <f t="shared" si="66"/>
        <v>1492.6653136382395</v>
      </c>
      <c r="BE102" s="1101">
        <f t="shared" si="66"/>
        <v>1521.9332609644798</v>
      </c>
      <c r="BF102" s="1101">
        <f t="shared" si="66"/>
        <v>1551.2012082907197</v>
      </c>
    </row>
    <row r="103" spans="1:58" ht="15.75" thickBot="1">
      <c r="A103" s="2098"/>
      <c r="B103" s="2184" t="s">
        <v>260</v>
      </c>
      <c r="C103" s="2185"/>
      <c r="D103" s="457" t="s">
        <v>226</v>
      </c>
      <c r="E103" s="503">
        <v>75</v>
      </c>
      <c r="F103" s="503">
        <v>400</v>
      </c>
      <c r="G103" s="457" t="s">
        <v>252</v>
      </c>
      <c r="H103" s="1102">
        <f t="shared" ref="H103:AM103" si="67">((H$71-$H$4)/1000)*$S$24*(($C$8/70)^$AE$24)</f>
        <v>114.36479999999999</v>
      </c>
      <c r="I103" s="1102">
        <f t="shared" si="67"/>
        <v>152.48639999999997</v>
      </c>
      <c r="J103" s="1102">
        <f t="shared" si="67"/>
        <v>190.60799999999998</v>
      </c>
      <c r="K103" s="1102">
        <f t="shared" si="67"/>
        <v>228.72959999999998</v>
      </c>
      <c r="L103" s="1102">
        <f t="shared" si="67"/>
        <v>266.85119999999995</v>
      </c>
      <c r="M103" s="1102">
        <f t="shared" si="67"/>
        <v>304.97279999999995</v>
      </c>
      <c r="N103" s="1102">
        <f t="shared" si="67"/>
        <v>343.09439999999995</v>
      </c>
      <c r="O103" s="1102">
        <f t="shared" si="67"/>
        <v>381.21599999999995</v>
      </c>
      <c r="P103" s="1102">
        <f t="shared" si="67"/>
        <v>419.33759999999995</v>
      </c>
      <c r="Q103" s="1102">
        <f t="shared" si="67"/>
        <v>457.45919999999995</v>
      </c>
      <c r="R103" s="1102">
        <f t="shared" si="67"/>
        <v>495.58079999999995</v>
      </c>
      <c r="S103" s="1102">
        <f t="shared" si="67"/>
        <v>533.7023999999999</v>
      </c>
      <c r="T103" s="1102">
        <f t="shared" si="67"/>
        <v>571.82399999999996</v>
      </c>
      <c r="U103" s="1102">
        <f t="shared" si="67"/>
        <v>609.9455999999999</v>
      </c>
      <c r="V103" s="1102">
        <f t="shared" si="67"/>
        <v>648.06719999999996</v>
      </c>
      <c r="W103" s="1102">
        <f t="shared" si="67"/>
        <v>686.1887999999999</v>
      </c>
      <c r="X103" s="1102">
        <f t="shared" si="67"/>
        <v>724.31039999999985</v>
      </c>
      <c r="Y103" s="1102">
        <f t="shared" si="67"/>
        <v>762.4319999999999</v>
      </c>
      <c r="Z103" s="1102">
        <f t="shared" si="67"/>
        <v>800.55359999999996</v>
      </c>
      <c r="AA103" s="1102">
        <f t="shared" si="67"/>
        <v>838.6751999999999</v>
      </c>
      <c r="AB103" s="1102">
        <f t="shared" si="67"/>
        <v>876.79679999999985</v>
      </c>
      <c r="AC103" s="1102">
        <f t="shared" si="67"/>
        <v>914.91839999999991</v>
      </c>
      <c r="AD103" s="1102">
        <f t="shared" si="67"/>
        <v>953.03999999999985</v>
      </c>
      <c r="AE103" s="1102">
        <f t="shared" si="67"/>
        <v>991.16159999999991</v>
      </c>
      <c r="AF103" s="1102">
        <f t="shared" si="67"/>
        <v>1029.2831999999999</v>
      </c>
      <c r="AG103" s="1102">
        <f t="shared" si="67"/>
        <v>1067.4047999999998</v>
      </c>
      <c r="AH103" s="1102">
        <f t="shared" si="67"/>
        <v>1105.5263999999997</v>
      </c>
      <c r="AI103" s="1102">
        <f t="shared" si="67"/>
        <v>1143.6479999999999</v>
      </c>
      <c r="AJ103" s="1102">
        <f t="shared" si="67"/>
        <v>1181.7695999999999</v>
      </c>
      <c r="AK103" s="1102">
        <f t="shared" si="67"/>
        <v>1219.8911999999998</v>
      </c>
      <c r="AL103" s="1102">
        <f t="shared" si="67"/>
        <v>1258.0127999999997</v>
      </c>
      <c r="AM103" s="1102">
        <f t="shared" si="67"/>
        <v>1296.1343999999999</v>
      </c>
      <c r="AN103" s="1102">
        <f t="shared" ref="AN103:BF103" si="68">((AN$71-$H$4)/1000)*$S$24*(($C$8/70)^$AE$24)</f>
        <v>1334.2559999999999</v>
      </c>
      <c r="AO103" s="1102">
        <f t="shared" si="68"/>
        <v>1372.3775999999998</v>
      </c>
      <c r="AP103" s="1102">
        <f t="shared" si="68"/>
        <v>1410.4992</v>
      </c>
      <c r="AQ103" s="1102">
        <f t="shared" si="68"/>
        <v>1448.6207999999997</v>
      </c>
      <c r="AR103" s="1102">
        <f t="shared" si="68"/>
        <v>1486.7423999999999</v>
      </c>
      <c r="AS103" s="1102">
        <f t="shared" si="68"/>
        <v>1524.8639999999998</v>
      </c>
      <c r="AT103" s="1102">
        <f t="shared" si="68"/>
        <v>1562.9855999999997</v>
      </c>
      <c r="AU103" s="1102">
        <f t="shared" si="68"/>
        <v>1601.1071999999999</v>
      </c>
      <c r="AV103" s="1102">
        <f t="shared" si="68"/>
        <v>1639.2287999999996</v>
      </c>
      <c r="AW103" s="1102">
        <f t="shared" si="68"/>
        <v>1677.3503999999998</v>
      </c>
      <c r="AX103" s="1102">
        <f t="shared" si="68"/>
        <v>1715.4719999999998</v>
      </c>
      <c r="AY103" s="1102">
        <f t="shared" si="68"/>
        <v>1753.5935999999997</v>
      </c>
      <c r="AZ103" s="1102">
        <f t="shared" si="68"/>
        <v>1791.7151999999999</v>
      </c>
      <c r="BA103" s="1102">
        <f t="shared" si="68"/>
        <v>1829.8367999999998</v>
      </c>
      <c r="BB103" s="1102">
        <f t="shared" si="68"/>
        <v>1867.9584</v>
      </c>
      <c r="BC103" s="1102">
        <f t="shared" si="68"/>
        <v>1906.0799999999997</v>
      </c>
      <c r="BD103" s="1102">
        <f t="shared" si="68"/>
        <v>1944.2015999999996</v>
      </c>
      <c r="BE103" s="1102">
        <f t="shared" si="68"/>
        <v>1982.3231999999998</v>
      </c>
      <c r="BF103" s="1102">
        <f t="shared" si="68"/>
        <v>2020.4447999999998</v>
      </c>
    </row>
    <row r="104" spans="1:58">
      <c r="A104" s="2098"/>
      <c r="B104" s="2186" t="s">
        <v>261</v>
      </c>
      <c r="C104" s="2187"/>
      <c r="D104" s="458" t="s">
        <v>226</v>
      </c>
      <c r="E104" s="504">
        <v>80</v>
      </c>
      <c r="F104" s="504">
        <v>160</v>
      </c>
      <c r="G104" s="459" t="s">
        <v>227</v>
      </c>
      <c r="H104" s="1103">
        <f t="shared" ref="H104:AM104" si="69">((H$71-$H$4)/1000)*$K25*(($C$8/70)^$W$25)</f>
        <v>47.248315691702395</v>
      </c>
      <c r="I104" s="1103">
        <f t="shared" si="69"/>
        <v>62.997754255603198</v>
      </c>
      <c r="J104" s="1103">
        <f t="shared" si="69"/>
        <v>78.747192819503994</v>
      </c>
      <c r="K104" s="1103">
        <f t="shared" si="69"/>
        <v>94.49663138340479</v>
      </c>
      <c r="L104" s="1103">
        <f t="shared" si="69"/>
        <v>110.24606994730559</v>
      </c>
      <c r="M104" s="1103">
        <f t="shared" si="69"/>
        <v>125.9955085112064</v>
      </c>
      <c r="N104" s="1103">
        <f t="shared" si="69"/>
        <v>141.74494707510721</v>
      </c>
      <c r="O104" s="1103">
        <f t="shared" si="69"/>
        <v>157.49438563900799</v>
      </c>
      <c r="P104" s="1103">
        <f t="shared" si="69"/>
        <v>173.2438242029088</v>
      </c>
      <c r="Q104" s="1103">
        <f t="shared" si="69"/>
        <v>188.99326276680958</v>
      </c>
      <c r="R104" s="1103">
        <f t="shared" si="69"/>
        <v>204.74270133071039</v>
      </c>
      <c r="S104" s="1103">
        <f t="shared" si="69"/>
        <v>220.49213989461117</v>
      </c>
      <c r="T104" s="1103">
        <f t="shared" si="69"/>
        <v>236.24157845851198</v>
      </c>
      <c r="U104" s="1103">
        <f t="shared" si="69"/>
        <v>251.99101702241279</v>
      </c>
      <c r="V104" s="1103">
        <f t="shared" si="69"/>
        <v>267.74045558631354</v>
      </c>
      <c r="W104" s="1103">
        <f t="shared" si="69"/>
        <v>283.48989415021441</v>
      </c>
      <c r="X104" s="1103">
        <f t="shared" si="69"/>
        <v>299.23933271411516</v>
      </c>
      <c r="Y104" s="1103">
        <f t="shared" si="69"/>
        <v>314.98877127801597</v>
      </c>
      <c r="Z104" s="1103">
        <f t="shared" si="69"/>
        <v>330.73820984191678</v>
      </c>
      <c r="AA104" s="1103">
        <f t="shared" si="69"/>
        <v>346.48764840581759</v>
      </c>
      <c r="AB104" s="1103">
        <f t="shared" si="69"/>
        <v>362.23708696971835</v>
      </c>
      <c r="AC104" s="1103">
        <f t="shared" si="69"/>
        <v>377.98652553361916</v>
      </c>
      <c r="AD104" s="1103">
        <f t="shared" si="69"/>
        <v>393.73596409751997</v>
      </c>
      <c r="AE104" s="1103">
        <f t="shared" si="69"/>
        <v>409.48540266142078</v>
      </c>
      <c r="AF104" s="1103">
        <f t="shared" si="69"/>
        <v>425.23484122532159</v>
      </c>
      <c r="AG104" s="1103">
        <f t="shared" si="69"/>
        <v>440.98427978922234</v>
      </c>
      <c r="AH104" s="1103">
        <f t="shared" si="69"/>
        <v>456.73371835312315</v>
      </c>
      <c r="AI104" s="1103">
        <f t="shared" si="69"/>
        <v>472.48315691702396</v>
      </c>
      <c r="AJ104" s="1103">
        <f t="shared" si="69"/>
        <v>488.23259548092477</v>
      </c>
      <c r="AK104" s="1103">
        <f t="shared" si="69"/>
        <v>503.98203404482558</v>
      </c>
      <c r="AL104" s="1103">
        <f t="shared" si="69"/>
        <v>519.73147260872634</v>
      </c>
      <c r="AM104" s="1103">
        <f t="shared" si="69"/>
        <v>535.48091117262709</v>
      </c>
      <c r="AN104" s="1103">
        <f t="shared" ref="AN104:BF104" si="70">((AN$71-$H$4)/1000)*$K25*(($C$8/70)^$W$25)</f>
        <v>551.23034973652796</v>
      </c>
      <c r="AO104" s="1103">
        <f t="shared" si="70"/>
        <v>566.97978830042882</v>
      </c>
      <c r="AP104" s="1103">
        <f t="shared" si="70"/>
        <v>582.72922686432958</v>
      </c>
      <c r="AQ104" s="1103">
        <f t="shared" si="70"/>
        <v>598.47866542823033</v>
      </c>
      <c r="AR104" s="1103">
        <f t="shared" si="70"/>
        <v>614.22810399213108</v>
      </c>
      <c r="AS104" s="1103">
        <f t="shared" si="70"/>
        <v>629.97754255603195</v>
      </c>
      <c r="AT104" s="1103">
        <f t="shared" si="70"/>
        <v>645.7269811199327</v>
      </c>
      <c r="AU104" s="1103">
        <f t="shared" si="70"/>
        <v>661.47641968383357</v>
      </c>
      <c r="AV104" s="1103">
        <f t="shared" si="70"/>
        <v>677.22585824773432</v>
      </c>
      <c r="AW104" s="1103">
        <f t="shared" si="70"/>
        <v>692.97529681163519</v>
      </c>
      <c r="AX104" s="1103">
        <f t="shared" si="70"/>
        <v>708.72473537553594</v>
      </c>
      <c r="AY104" s="1103">
        <f t="shared" si="70"/>
        <v>724.4741739394367</v>
      </c>
      <c r="AZ104" s="1103">
        <f t="shared" si="70"/>
        <v>740.22361250333756</v>
      </c>
      <c r="BA104" s="1103">
        <f t="shared" si="70"/>
        <v>755.97305106723832</v>
      </c>
      <c r="BB104" s="1103">
        <f t="shared" si="70"/>
        <v>771.72248963113918</v>
      </c>
      <c r="BC104" s="1103">
        <f t="shared" si="70"/>
        <v>787.47192819503994</v>
      </c>
      <c r="BD104" s="1103">
        <f t="shared" si="70"/>
        <v>803.22136675894069</v>
      </c>
      <c r="BE104" s="1103">
        <f t="shared" si="70"/>
        <v>818.97080532284156</v>
      </c>
      <c r="BF104" s="1103">
        <f t="shared" si="70"/>
        <v>834.72024388674231</v>
      </c>
    </row>
    <row r="105" spans="1:58">
      <c r="A105" s="2098"/>
      <c r="B105" s="2176" t="s">
        <v>262</v>
      </c>
      <c r="C105" s="2177"/>
      <c r="D105" s="460" t="s">
        <v>226</v>
      </c>
      <c r="E105" s="505">
        <v>80</v>
      </c>
      <c r="F105" s="505">
        <v>200</v>
      </c>
      <c r="G105" s="461" t="s">
        <v>227</v>
      </c>
      <c r="H105" s="1104">
        <f t="shared" ref="H105:AM105" si="71">((H$71-$H$4)/1000)*$L$25*(($C$8/70)^$X$25)</f>
        <v>53.69126783147999</v>
      </c>
      <c r="I105" s="1104">
        <f t="shared" si="71"/>
        <v>71.588357108639997</v>
      </c>
      <c r="J105" s="1104">
        <f t="shared" si="71"/>
        <v>89.485446385799989</v>
      </c>
      <c r="K105" s="1104">
        <f t="shared" si="71"/>
        <v>107.38253566295998</v>
      </c>
      <c r="L105" s="1104">
        <f t="shared" si="71"/>
        <v>125.27962494011997</v>
      </c>
      <c r="M105" s="1104">
        <f t="shared" si="71"/>
        <v>143.17671421727999</v>
      </c>
      <c r="N105" s="1104">
        <f t="shared" si="71"/>
        <v>161.07380349443997</v>
      </c>
      <c r="O105" s="1104">
        <f t="shared" si="71"/>
        <v>178.97089277159998</v>
      </c>
      <c r="P105" s="1104">
        <f t="shared" si="71"/>
        <v>196.86798204875998</v>
      </c>
      <c r="Q105" s="1104">
        <f t="shared" si="71"/>
        <v>214.76507132591996</v>
      </c>
      <c r="R105" s="1104">
        <f t="shared" si="71"/>
        <v>232.66216060307997</v>
      </c>
      <c r="S105" s="1104">
        <f t="shared" si="71"/>
        <v>250.55924988023995</v>
      </c>
      <c r="T105" s="1104">
        <f t="shared" si="71"/>
        <v>268.45633915739995</v>
      </c>
      <c r="U105" s="1104">
        <f t="shared" si="71"/>
        <v>286.35342843455999</v>
      </c>
      <c r="V105" s="1104">
        <f t="shared" si="71"/>
        <v>304.25051771171997</v>
      </c>
      <c r="W105" s="1104">
        <f t="shared" si="71"/>
        <v>322.14760698887994</v>
      </c>
      <c r="X105" s="1104">
        <f t="shared" si="71"/>
        <v>340.04469626603992</v>
      </c>
      <c r="Y105" s="1104">
        <f t="shared" si="71"/>
        <v>357.94178554319996</v>
      </c>
      <c r="Z105" s="1104">
        <f t="shared" si="71"/>
        <v>375.83887482035999</v>
      </c>
      <c r="AA105" s="1104">
        <f t="shared" si="71"/>
        <v>393.73596409751997</v>
      </c>
      <c r="AB105" s="1104">
        <f t="shared" si="71"/>
        <v>411.63305337467989</v>
      </c>
      <c r="AC105" s="1104">
        <f t="shared" si="71"/>
        <v>429.53014265183992</v>
      </c>
      <c r="AD105" s="1104">
        <f t="shared" si="71"/>
        <v>447.42723192899996</v>
      </c>
      <c r="AE105" s="1104">
        <f t="shared" si="71"/>
        <v>465.32432120615994</v>
      </c>
      <c r="AF105" s="1104">
        <f t="shared" si="71"/>
        <v>483.22141048331997</v>
      </c>
      <c r="AG105" s="1104">
        <f t="shared" si="71"/>
        <v>501.11849976047989</v>
      </c>
      <c r="AH105" s="1104">
        <f t="shared" si="71"/>
        <v>519.01558903763987</v>
      </c>
      <c r="AI105" s="1104">
        <f t="shared" si="71"/>
        <v>536.9126783147999</v>
      </c>
      <c r="AJ105" s="1104">
        <f t="shared" si="71"/>
        <v>554.80976759195994</v>
      </c>
      <c r="AK105" s="1104">
        <f t="shared" si="71"/>
        <v>572.70685686911997</v>
      </c>
      <c r="AL105" s="1104">
        <f t="shared" si="71"/>
        <v>590.6039461462799</v>
      </c>
      <c r="AM105" s="1104">
        <f t="shared" si="71"/>
        <v>608.50103542343993</v>
      </c>
      <c r="AN105" s="1104">
        <f t="shared" ref="AN105:BF105" si="72">((AN$71-$H$4)/1000)*$L$25*(($C$8/70)^$X$25)</f>
        <v>626.39812470059996</v>
      </c>
      <c r="AO105" s="1104">
        <f t="shared" si="72"/>
        <v>644.29521397775989</v>
      </c>
      <c r="AP105" s="1104">
        <f t="shared" si="72"/>
        <v>662.19230325491992</v>
      </c>
      <c r="AQ105" s="1104">
        <f t="shared" si="72"/>
        <v>680.08939253207984</v>
      </c>
      <c r="AR105" s="1104">
        <f t="shared" si="72"/>
        <v>697.98648180923988</v>
      </c>
      <c r="AS105" s="1104">
        <f t="shared" si="72"/>
        <v>715.88357108639991</v>
      </c>
      <c r="AT105" s="1104">
        <f t="shared" si="72"/>
        <v>733.78066036355983</v>
      </c>
      <c r="AU105" s="1104">
        <f t="shared" si="72"/>
        <v>751.67774964071998</v>
      </c>
      <c r="AV105" s="1104">
        <f t="shared" si="72"/>
        <v>769.5748389178799</v>
      </c>
      <c r="AW105" s="1104">
        <f t="shared" si="72"/>
        <v>787.47192819503994</v>
      </c>
      <c r="AX105" s="1104">
        <f t="shared" si="72"/>
        <v>805.36901747219986</v>
      </c>
      <c r="AY105" s="1104">
        <f t="shared" si="72"/>
        <v>823.26610674935978</v>
      </c>
      <c r="AZ105" s="1104">
        <f t="shared" si="72"/>
        <v>841.16319602651993</v>
      </c>
      <c r="BA105" s="1104">
        <f t="shared" si="72"/>
        <v>859.06028530367985</v>
      </c>
      <c r="BB105" s="1104">
        <f t="shared" si="72"/>
        <v>876.95737458084</v>
      </c>
      <c r="BC105" s="1104">
        <f t="shared" si="72"/>
        <v>894.85446385799992</v>
      </c>
      <c r="BD105" s="1104">
        <f t="shared" si="72"/>
        <v>912.75155313515984</v>
      </c>
      <c r="BE105" s="1104">
        <f t="shared" si="72"/>
        <v>930.64864241231987</v>
      </c>
      <c r="BF105" s="1104">
        <f t="shared" si="72"/>
        <v>948.54573168947979</v>
      </c>
    </row>
    <row r="106" spans="1:58">
      <c r="A106" s="2098"/>
      <c r="B106" s="2176" t="s">
        <v>263</v>
      </c>
      <c r="C106" s="2177"/>
      <c r="D106" s="460" t="s">
        <v>226</v>
      </c>
      <c r="E106" s="505">
        <v>80</v>
      </c>
      <c r="F106" s="505">
        <v>260</v>
      </c>
      <c r="G106" s="461" t="s">
        <v>227</v>
      </c>
      <c r="H106" s="1104">
        <f t="shared" ref="H106:AM106" si="73">((H$71-$H$4)/1000)*$M$25*(($C$8/70)^$Y$25)</f>
        <v>67.840320394816075</v>
      </c>
      <c r="I106" s="1104">
        <f t="shared" si="73"/>
        <v>90.453760526421448</v>
      </c>
      <c r="J106" s="1104">
        <f t="shared" si="73"/>
        <v>113.06720065802681</v>
      </c>
      <c r="K106" s="1104">
        <f t="shared" si="73"/>
        <v>135.68064078963215</v>
      </c>
      <c r="L106" s="1104">
        <f t="shared" si="73"/>
        <v>158.29408092123751</v>
      </c>
      <c r="M106" s="1104">
        <f t="shared" si="73"/>
        <v>180.9075210528429</v>
      </c>
      <c r="N106" s="1104">
        <f t="shared" si="73"/>
        <v>203.52096118444825</v>
      </c>
      <c r="O106" s="1104">
        <f t="shared" si="73"/>
        <v>226.13440131605361</v>
      </c>
      <c r="P106" s="1104">
        <f t="shared" si="73"/>
        <v>248.747841447659</v>
      </c>
      <c r="Q106" s="1104">
        <f t="shared" si="73"/>
        <v>271.3612815792643</v>
      </c>
      <c r="R106" s="1104">
        <f t="shared" si="73"/>
        <v>293.97472171086969</v>
      </c>
      <c r="S106" s="1104">
        <f t="shared" si="73"/>
        <v>316.58816184247502</v>
      </c>
      <c r="T106" s="1104">
        <f t="shared" si="73"/>
        <v>339.2016019740804</v>
      </c>
      <c r="U106" s="1104">
        <f t="shared" si="73"/>
        <v>361.81504210568579</v>
      </c>
      <c r="V106" s="1104">
        <f t="shared" si="73"/>
        <v>384.42848223729112</v>
      </c>
      <c r="W106" s="1104">
        <f t="shared" si="73"/>
        <v>407.04192236889651</v>
      </c>
      <c r="X106" s="1104">
        <f t="shared" si="73"/>
        <v>429.65536250050184</v>
      </c>
      <c r="Y106" s="1104">
        <f t="shared" si="73"/>
        <v>452.26880263210722</v>
      </c>
      <c r="Z106" s="1104">
        <f t="shared" si="73"/>
        <v>474.88224276371261</v>
      </c>
      <c r="AA106" s="1104">
        <f t="shared" si="73"/>
        <v>497.495682895318</v>
      </c>
      <c r="AB106" s="1104">
        <f t="shared" si="73"/>
        <v>520.10912302692327</v>
      </c>
      <c r="AC106" s="1104">
        <f t="shared" si="73"/>
        <v>542.7225631585286</v>
      </c>
      <c r="AD106" s="1104">
        <f t="shared" si="73"/>
        <v>565.33600329013404</v>
      </c>
      <c r="AE106" s="1104">
        <f t="shared" si="73"/>
        <v>587.94944342173937</v>
      </c>
      <c r="AF106" s="1104">
        <f t="shared" si="73"/>
        <v>610.56288355334482</v>
      </c>
      <c r="AG106" s="1104">
        <f t="shared" si="73"/>
        <v>633.17632368495003</v>
      </c>
      <c r="AH106" s="1104">
        <f t="shared" si="73"/>
        <v>655.78976381655548</v>
      </c>
      <c r="AI106" s="1104">
        <f t="shared" si="73"/>
        <v>678.40320394816081</v>
      </c>
      <c r="AJ106" s="1104">
        <f t="shared" si="73"/>
        <v>701.01664407976625</v>
      </c>
      <c r="AK106" s="1104">
        <f t="shared" si="73"/>
        <v>723.63008421137158</v>
      </c>
      <c r="AL106" s="1104">
        <f t="shared" si="73"/>
        <v>746.24352434297691</v>
      </c>
      <c r="AM106" s="1104">
        <f t="shared" si="73"/>
        <v>768.85696447458224</v>
      </c>
      <c r="AN106" s="1104">
        <f t="shared" ref="AN106:BF106" si="74">((AN$71-$H$4)/1000)*$M$25*(($C$8/70)^$Y$25)</f>
        <v>791.47040460618769</v>
      </c>
      <c r="AO106" s="1104">
        <f t="shared" si="74"/>
        <v>814.08384473779302</v>
      </c>
      <c r="AP106" s="1104">
        <f t="shared" si="74"/>
        <v>836.69728486939846</v>
      </c>
      <c r="AQ106" s="1104">
        <f t="shared" si="74"/>
        <v>859.31072500100368</v>
      </c>
      <c r="AR106" s="1104">
        <f t="shared" si="74"/>
        <v>881.92416513260912</v>
      </c>
      <c r="AS106" s="1104">
        <f t="shared" si="74"/>
        <v>904.53760526421445</v>
      </c>
      <c r="AT106" s="1104">
        <f t="shared" si="74"/>
        <v>927.15104539581978</v>
      </c>
      <c r="AU106" s="1104">
        <f t="shared" si="74"/>
        <v>949.76448552742522</v>
      </c>
      <c r="AV106" s="1104">
        <f t="shared" si="74"/>
        <v>972.37792565903044</v>
      </c>
      <c r="AW106" s="1104">
        <f t="shared" si="74"/>
        <v>994.991365790636</v>
      </c>
      <c r="AX106" s="1104">
        <f t="shared" si="74"/>
        <v>1017.6048059222412</v>
      </c>
      <c r="AY106" s="1104">
        <f t="shared" si="74"/>
        <v>1040.2182460538465</v>
      </c>
      <c r="AZ106" s="1104">
        <f t="shared" si="74"/>
        <v>1062.8316861854521</v>
      </c>
      <c r="BA106" s="1104">
        <f t="shared" si="74"/>
        <v>1085.4451263170572</v>
      </c>
      <c r="BB106" s="1104">
        <f t="shared" si="74"/>
        <v>1108.0585664486628</v>
      </c>
      <c r="BC106" s="1104">
        <f t="shared" si="74"/>
        <v>1130.6720065802681</v>
      </c>
      <c r="BD106" s="1104">
        <f t="shared" si="74"/>
        <v>1153.2854467118734</v>
      </c>
      <c r="BE106" s="1104">
        <f t="shared" si="74"/>
        <v>1175.8988868434787</v>
      </c>
      <c r="BF106" s="1104">
        <f t="shared" si="74"/>
        <v>1198.5123269750841</v>
      </c>
    </row>
    <row r="107" spans="1:58">
      <c r="A107" s="2098"/>
      <c r="B107" s="2176" t="s">
        <v>264</v>
      </c>
      <c r="C107" s="2177"/>
      <c r="D107" s="460" t="s">
        <v>226</v>
      </c>
      <c r="E107" s="505">
        <v>80</v>
      </c>
      <c r="F107" s="505">
        <v>300</v>
      </c>
      <c r="G107" s="461" t="s">
        <v>227</v>
      </c>
      <c r="H107" s="1104">
        <f t="shared" ref="H107:AM107" si="75">((H$71-$H$4)/1000)*$N$25*(($C$8/70)^$Z$25)</f>
        <v>72.66623724095308</v>
      </c>
      <c r="I107" s="1104">
        <f t="shared" si="75"/>
        <v>96.888316321270793</v>
      </c>
      <c r="J107" s="1104">
        <f t="shared" si="75"/>
        <v>121.11039540158848</v>
      </c>
      <c r="K107" s="1104">
        <f t="shared" si="75"/>
        <v>145.33247448190616</v>
      </c>
      <c r="L107" s="1104">
        <f t="shared" si="75"/>
        <v>169.55455356222384</v>
      </c>
      <c r="M107" s="1104">
        <f t="shared" si="75"/>
        <v>193.77663264254159</v>
      </c>
      <c r="N107" s="1104">
        <f t="shared" si="75"/>
        <v>217.99871172285927</v>
      </c>
      <c r="O107" s="1104">
        <f t="shared" si="75"/>
        <v>242.22079080317695</v>
      </c>
      <c r="P107" s="1104">
        <f t="shared" si="75"/>
        <v>266.44286988349467</v>
      </c>
      <c r="Q107" s="1104">
        <f t="shared" si="75"/>
        <v>290.66494896381232</v>
      </c>
      <c r="R107" s="1104">
        <f t="shared" si="75"/>
        <v>314.88702804413003</v>
      </c>
      <c r="S107" s="1104">
        <f t="shared" si="75"/>
        <v>339.10910712444769</v>
      </c>
      <c r="T107" s="1104">
        <f t="shared" si="75"/>
        <v>363.33118620476546</v>
      </c>
      <c r="U107" s="1104">
        <f t="shared" si="75"/>
        <v>387.55326528508317</v>
      </c>
      <c r="V107" s="1104">
        <f t="shared" si="75"/>
        <v>411.77534436540083</v>
      </c>
      <c r="W107" s="1104">
        <f t="shared" si="75"/>
        <v>435.99742344571854</v>
      </c>
      <c r="X107" s="1104">
        <f t="shared" si="75"/>
        <v>460.21950252603619</v>
      </c>
      <c r="Y107" s="1104">
        <f t="shared" si="75"/>
        <v>484.44158160635391</v>
      </c>
      <c r="Z107" s="1104">
        <f t="shared" si="75"/>
        <v>508.66366068667162</v>
      </c>
      <c r="AA107" s="1104">
        <f t="shared" si="75"/>
        <v>532.88573976698933</v>
      </c>
      <c r="AB107" s="1104">
        <f t="shared" si="75"/>
        <v>557.10781884730693</v>
      </c>
      <c r="AC107" s="1104">
        <f t="shared" si="75"/>
        <v>581.32989792762464</v>
      </c>
      <c r="AD107" s="1104">
        <f t="shared" si="75"/>
        <v>605.55197700794236</v>
      </c>
      <c r="AE107" s="1104">
        <f t="shared" si="75"/>
        <v>629.77405608826007</v>
      </c>
      <c r="AF107" s="1104">
        <f t="shared" si="75"/>
        <v>653.99613516857778</v>
      </c>
      <c r="AG107" s="1104">
        <f t="shared" si="75"/>
        <v>678.21821424889538</v>
      </c>
      <c r="AH107" s="1104">
        <f t="shared" si="75"/>
        <v>702.44029332921309</v>
      </c>
      <c r="AI107" s="1104">
        <f t="shared" si="75"/>
        <v>726.66237240953092</v>
      </c>
      <c r="AJ107" s="1104">
        <f t="shared" si="75"/>
        <v>750.88445148984863</v>
      </c>
      <c r="AK107" s="1104">
        <f t="shared" si="75"/>
        <v>775.10653057016634</v>
      </c>
      <c r="AL107" s="1104">
        <f t="shared" si="75"/>
        <v>799.32860965048394</v>
      </c>
      <c r="AM107" s="1104">
        <f t="shared" si="75"/>
        <v>823.55068873080165</v>
      </c>
      <c r="AN107" s="1104">
        <f t="shared" ref="AN107:BF107" si="76">((AN$71-$H$4)/1000)*$N$25*(($C$8/70)^$Z$25)</f>
        <v>847.77276781111937</v>
      </c>
      <c r="AO107" s="1104">
        <f t="shared" si="76"/>
        <v>871.99484689143708</v>
      </c>
      <c r="AP107" s="1104">
        <f t="shared" si="76"/>
        <v>896.21692597175479</v>
      </c>
      <c r="AQ107" s="1104">
        <f t="shared" si="76"/>
        <v>920.43900505207239</v>
      </c>
      <c r="AR107" s="1104">
        <f t="shared" si="76"/>
        <v>944.6610841323901</v>
      </c>
      <c r="AS107" s="1104">
        <f t="shared" si="76"/>
        <v>968.88316321270781</v>
      </c>
      <c r="AT107" s="1104">
        <f t="shared" si="76"/>
        <v>993.10524229302541</v>
      </c>
      <c r="AU107" s="1104">
        <f t="shared" si="76"/>
        <v>1017.3273213733432</v>
      </c>
      <c r="AV107" s="1104">
        <f t="shared" si="76"/>
        <v>1041.5494004536608</v>
      </c>
      <c r="AW107" s="1104">
        <f t="shared" si="76"/>
        <v>1065.7714795339787</v>
      </c>
      <c r="AX107" s="1104">
        <f t="shared" si="76"/>
        <v>1089.9935586142963</v>
      </c>
      <c r="AY107" s="1104">
        <f t="shared" si="76"/>
        <v>1114.2156376946139</v>
      </c>
      <c r="AZ107" s="1104">
        <f t="shared" si="76"/>
        <v>1138.4377167749317</v>
      </c>
      <c r="BA107" s="1104">
        <f t="shared" si="76"/>
        <v>1162.6597958552493</v>
      </c>
      <c r="BB107" s="1104">
        <f t="shared" si="76"/>
        <v>1186.8818749355671</v>
      </c>
      <c r="BC107" s="1104">
        <f t="shared" si="76"/>
        <v>1211.1039540158847</v>
      </c>
      <c r="BD107" s="1104">
        <f t="shared" si="76"/>
        <v>1235.3260330962023</v>
      </c>
      <c r="BE107" s="1104">
        <f t="shared" si="76"/>
        <v>1259.5481121765201</v>
      </c>
      <c r="BF107" s="1104">
        <f t="shared" si="76"/>
        <v>1283.7701912568377</v>
      </c>
    </row>
    <row r="108" spans="1:58">
      <c r="A108" s="2098"/>
      <c r="B108" s="2176" t="s">
        <v>265</v>
      </c>
      <c r="C108" s="2177"/>
      <c r="D108" s="460" t="s">
        <v>226</v>
      </c>
      <c r="E108" s="505">
        <v>80</v>
      </c>
      <c r="F108" s="505">
        <v>300</v>
      </c>
      <c r="G108" s="461" t="s">
        <v>232</v>
      </c>
      <c r="H108" s="1104">
        <f t="shared" ref="H108:AM108" si="77">((H$71-$H$4)/1000)*$O$25*(($C$8/70)^$AA$25)</f>
        <v>92.429080425359984</v>
      </c>
      <c r="I108" s="1104">
        <f t="shared" si="77"/>
        <v>123.23877390048</v>
      </c>
      <c r="J108" s="1104">
        <f t="shared" si="77"/>
        <v>154.04846737559998</v>
      </c>
      <c r="K108" s="1104">
        <f t="shared" si="77"/>
        <v>184.85816085071997</v>
      </c>
      <c r="L108" s="1104">
        <f t="shared" si="77"/>
        <v>215.66785432583995</v>
      </c>
      <c r="M108" s="1104">
        <f t="shared" si="77"/>
        <v>246.47754780096</v>
      </c>
      <c r="N108" s="1104">
        <f t="shared" si="77"/>
        <v>277.28724127607995</v>
      </c>
      <c r="O108" s="1104">
        <f t="shared" si="77"/>
        <v>308.09693475119997</v>
      </c>
      <c r="P108" s="1104">
        <f t="shared" si="77"/>
        <v>338.90662822631998</v>
      </c>
      <c r="Q108" s="1104">
        <f t="shared" si="77"/>
        <v>369.71632170143994</v>
      </c>
      <c r="R108" s="1104">
        <f t="shared" si="77"/>
        <v>400.52601517655995</v>
      </c>
      <c r="S108" s="1104">
        <f t="shared" si="77"/>
        <v>431.33570865167991</v>
      </c>
      <c r="T108" s="1104">
        <f t="shared" si="77"/>
        <v>462.14540212679992</v>
      </c>
      <c r="U108" s="1104">
        <f t="shared" si="77"/>
        <v>492.95509560191999</v>
      </c>
      <c r="V108" s="1104">
        <f t="shared" si="77"/>
        <v>523.76478907703995</v>
      </c>
      <c r="W108" s="1104">
        <f t="shared" si="77"/>
        <v>554.57448255215991</v>
      </c>
      <c r="X108" s="1104">
        <f t="shared" si="77"/>
        <v>585.38417602727986</v>
      </c>
      <c r="Y108" s="1104">
        <f t="shared" si="77"/>
        <v>616.19386950239993</v>
      </c>
      <c r="Z108" s="1104">
        <f t="shared" si="77"/>
        <v>647.00356297752001</v>
      </c>
      <c r="AA108" s="1104">
        <f t="shared" si="77"/>
        <v>677.81325645263996</v>
      </c>
      <c r="AB108" s="1104">
        <f t="shared" si="77"/>
        <v>708.62294992775992</v>
      </c>
      <c r="AC108" s="1104">
        <f t="shared" si="77"/>
        <v>739.43264340287988</v>
      </c>
      <c r="AD108" s="1104">
        <f t="shared" si="77"/>
        <v>770.24233687799995</v>
      </c>
      <c r="AE108" s="1104">
        <f t="shared" si="77"/>
        <v>801.0520303531199</v>
      </c>
      <c r="AF108" s="1104">
        <f t="shared" si="77"/>
        <v>831.86172382823997</v>
      </c>
      <c r="AG108" s="1104">
        <f t="shared" si="77"/>
        <v>862.67141730335982</v>
      </c>
      <c r="AH108" s="1104">
        <f t="shared" si="77"/>
        <v>893.48111077847989</v>
      </c>
      <c r="AI108" s="1104">
        <f t="shared" si="77"/>
        <v>924.29080425359984</v>
      </c>
      <c r="AJ108" s="1104">
        <f t="shared" si="77"/>
        <v>955.10049772871992</v>
      </c>
      <c r="AK108" s="1104">
        <f t="shared" si="77"/>
        <v>985.91019120383999</v>
      </c>
      <c r="AL108" s="1104">
        <f t="shared" si="77"/>
        <v>1016.7198846789598</v>
      </c>
      <c r="AM108" s="1104">
        <f t="shared" si="77"/>
        <v>1047.5295781540799</v>
      </c>
      <c r="AN108" s="1104">
        <f t="shared" ref="AN108:BF108" si="78">((AN$71-$H$4)/1000)*$O$25*(($C$8/70)^$AA$25)</f>
        <v>1078.3392716291999</v>
      </c>
      <c r="AO108" s="1104">
        <f t="shared" si="78"/>
        <v>1109.1489651043198</v>
      </c>
      <c r="AP108" s="1104">
        <f t="shared" si="78"/>
        <v>1139.95865857944</v>
      </c>
      <c r="AQ108" s="1104">
        <f t="shared" si="78"/>
        <v>1170.7683520545597</v>
      </c>
      <c r="AR108" s="1104">
        <f t="shared" si="78"/>
        <v>1201.5780455296799</v>
      </c>
      <c r="AS108" s="1104">
        <f t="shared" si="78"/>
        <v>1232.3877390047999</v>
      </c>
      <c r="AT108" s="1104">
        <f t="shared" si="78"/>
        <v>1263.1974324799198</v>
      </c>
      <c r="AU108" s="1104">
        <f t="shared" si="78"/>
        <v>1294.00712595504</v>
      </c>
      <c r="AV108" s="1104">
        <f t="shared" si="78"/>
        <v>1324.8168194301597</v>
      </c>
      <c r="AW108" s="1104">
        <f t="shared" si="78"/>
        <v>1355.6265129052799</v>
      </c>
      <c r="AX108" s="1104">
        <f t="shared" si="78"/>
        <v>1386.4362063803999</v>
      </c>
      <c r="AY108" s="1104">
        <f t="shared" si="78"/>
        <v>1417.2458998555198</v>
      </c>
      <c r="AZ108" s="1104">
        <f t="shared" si="78"/>
        <v>1448.0555933306398</v>
      </c>
      <c r="BA108" s="1104">
        <f t="shared" si="78"/>
        <v>1478.8652868057598</v>
      </c>
      <c r="BB108" s="1104">
        <f t="shared" si="78"/>
        <v>1509.6749802808799</v>
      </c>
      <c r="BC108" s="1104">
        <f t="shared" si="78"/>
        <v>1540.4846737559999</v>
      </c>
      <c r="BD108" s="1104">
        <f t="shared" si="78"/>
        <v>1571.2943672311196</v>
      </c>
      <c r="BE108" s="1104">
        <f t="shared" si="78"/>
        <v>1602.1040607062398</v>
      </c>
      <c r="BF108" s="1104">
        <f t="shared" si="78"/>
        <v>1632.9137541813598</v>
      </c>
    </row>
    <row r="109" spans="1:58">
      <c r="A109" s="2098"/>
      <c r="B109" s="2176" t="s">
        <v>266</v>
      </c>
      <c r="C109" s="2177"/>
      <c r="D109" s="460" t="s">
        <v>226</v>
      </c>
      <c r="E109" s="505">
        <v>80</v>
      </c>
      <c r="F109" s="505">
        <v>360</v>
      </c>
      <c r="G109" s="461" t="s">
        <v>232</v>
      </c>
      <c r="H109" s="1104">
        <f t="shared" ref="H109:AM109" si="79">((H$71-$H$4)/1000)*$Q$25*(($C$8/70)^$AC$25)</f>
        <v>100.40267084486759</v>
      </c>
      <c r="I109" s="1104">
        <f t="shared" si="79"/>
        <v>133.87022779315677</v>
      </c>
      <c r="J109" s="1104">
        <f t="shared" si="79"/>
        <v>167.33778474144597</v>
      </c>
      <c r="K109" s="1104">
        <f t="shared" si="79"/>
        <v>200.80534168973517</v>
      </c>
      <c r="L109" s="1104">
        <f t="shared" si="79"/>
        <v>234.27289863802434</v>
      </c>
      <c r="M109" s="1104">
        <f t="shared" si="79"/>
        <v>267.74045558631354</v>
      </c>
      <c r="N109" s="1104">
        <f t="shared" si="79"/>
        <v>301.20801253460274</v>
      </c>
      <c r="O109" s="1104">
        <f t="shared" si="79"/>
        <v>334.67556948289194</v>
      </c>
      <c r="P109" s="1104">
        <f t="shared" si="79"/>
        <v>368.14312643118114</v>
      </c>
      <c r="Q109" s="1104">
        <f t="shared" si="79"/>
        <v>401.61068337947034</v>
      </c>
      <c r="R109" s="1104">
        <f t="shared" si="79"/>
        <v>435.07824032775954</v>
      </c>
      <c r="S109" s="1104">
        <f t="shared" si="79"/>
        <v>468.54579727604869</v>
      </c>
      <c r="T109" s="1104">
        <f t="shared" si="79"/>
        <v>502.01335422433795</v>
      </c>
      <c r="U109" s="1104">
        <f t="shared" si="79"/>
        <v>535.48091117262709</v>
      </c>
      <c r="V109" s="1104">
        <f t="shared" si="79"/>
        <v>568.94846812091635</v>
      </c>
      <c r="W109" s="1104">
        <f t="shared" si="79"/>
        <v>602.41602506920549</v>
      </c>
      <c r="X109" s="1104">
        <f t="shared" si="79"/>
        <v>635.88358201749463</v>
      </c>
      <c r="Y109" s="1104">
        <f t="shared" si="79"/>
        <v>669.35113896578389</v>
      </c>
      <c r="Z109" s="1104">
        <f t="shared" si="79"/>
        <v>702.81869591407315</v>
      </c>
      <c r="AA109" s="1104">
        <f t="shared" si="79"/>
        <v>736.28625286236229</v>
      </c>
      <c r="AB109" s="1104">
        <f t="shared" si="79"/>
        <v>769.75380981065143</v>
      </c>
      <c r="AC109" s="1104">
        <f t="shared" si="79"/>
        <v>803.22136675894069</v>
      </c>
      <c r="AD109" s="1104">
        <f t="shared" si="79"/>
        <v>836.68892370722983</v>
      </c>
      <c r="AE109" s="1104">
        <f t="shared" si="79"/>
        <v>870.15648065551909</v>
      </c>
      <c r="AF109" s="1104">
        <f t="shared" si="79"/>
        <v>903.62403760380835</v>
      </c>
      <c r="AG109" s="1104">
        <f t="shared" si="79"/>
        <v>937.09159455209738</v>
      </c>
      <c r="AH109" s="1104">
        <f t="shared" si="79"/>
        <v>970.55915150038663</v>
      </c>
      <c r="AI109" s="1104">
        <f t="shared" si="79"/>
        <v>1004.0267084486759</v>
      </c>
      <c r="AJ109" s="1104">
        <f t="shared" si="79"/>
        <v>1037.4942653969651</v>
      </c>
      <c r="AK109" s="1104">
        <f t="shared" si="79"/>
        <v>1070.9618223452542</v>
      </c>
      <c r="AL109" s="1104">
        <f t="shared" si="79"/>
        <v>1104.4293792935434</v>
      </c>
      <c r="AM109" s="1104">
        <f t="shared" si="79"/>
        <v>1137.8969362418327</v>
      </c>
      <c r="AN109" s="1104">
        <f t="shared" ref="AN109:BF109" si="80">((AN$71-$H$4)/1000)*$Q$25*(($C$8/70)^$AC$25)</f>
        <v>1171.3644931901217</v>
      </c>
      <c r="AO109" s="1104">
        <f t="shared" si="80"/>
        <v>1204.832050138411</v>
      </c>
      <c r="AP109" s="1104">
        <f t="shared" si="80"/>
        <v>1238.2996070867002</v>
      </c>
      <c r="AQ109" s="1104">
        <f t="shared" si="80"/>
        <v>1271.7671640349893</v>
      </c>
      <c r="AR109" s="1104">
        <f t="shared" si="80"/>
        <v>1305.2347209832785</v>
      </c>
      <c r="AS109" s="1104">
        <f t="shared" si="80"/>
        <v>1338.7022779315678</v>
      </c>
      <c r="AT109" s="1104">
        <f t="shared" si="80"/>
        <v>1372.1698348798568</v>
      </c>
      <c r="AU109" s="1104">
        <f t="shared" si="80"/>
        <v>1405.6373918281463</v>
      </c>
      <c r="AV109" s="1104">
        <f t="shared" si="80"/>
        <v>1439.1049487764353</v>
      </c>
      <c r="AW109" s="1104">
        <f t="shared" si="80"/>
        <v>1472.5725057247246</v>
      </c>
      <c r="AX109" s="1104">
        <f t="shared" si="80"/>
        <v>1506.0400626730138</v>
      </c>
      <c r="AY109" s="1104">
        <f t="shared" si="80"/>
        <v>1539.5076196213029</v>
      </c>
      <c r="AZ109" s="1104">
        <f t="shared" si="80"/>
        <v>1572.9751765695921</v>
      </c>
      <c r="BA109" s="1104">
        <f t="shared" si="80"/>
        <v>1606.4427335178814</v>
      </c>
      <c r="BB109" s="1104">
        <f t="shared" si="80"/>
        <v>1639.9102904661706</v>
      </c>
      <c r="BC109" s="1104">
        <f t="shared" si="80"/>
        <v>1673.3778474144597</v>
      </c>
      <c r="BD109" s="1104">
        <f t="shared" si="80"/>
        <v>1706.8454043627487</v>
      </c>
      <c r="BE109" s="1104">
        <f t="shared" si="80"/>
        <v>1740.3129613110382</v>
      </c>
      <c r="BF109" s="1104">
        <f t="shared" si="80"/>
        <v>1773.7805182593272</v>
      </c>
    </row>
    <row r="110" spans="1:58">
      <c r="A110" s="2098"/>
      <c r="B110" s="2176" t="s">
        <v>267</v>
      </c>
      <c r="C110" s="2177"/>
      <c r="D110" s="460" t="s">
        <v>226</v>
      </c>
      <c r="E110" s="505">
        <v>80</v>
      </c>
      <c r="F110" s="505">
        <v>400</v>
      </c>
      <c r="G110" s="461" t="s">
        <v>232</v>
      </c>
      <c r="H110" s="1104">
        <f t="shared" ref="H110:AM110" si="81">((H$71-$H$4)/1000)*$R$25*(($C$8/70)^$AD$25)</f>
        <v>104.98917276850948</v>
      </c>
      <c r="I110" s="1104">
        <f t="shared" si="81"/>
        <v>139.98556369134596</v>
      </c>
      <c r="J110" s="1104">
        <f t="shared" si="81"/>
        <v>174.98195461418246</v>
      </c>
      <c r="K110" s="1104">
        <f t="shared" si="81"/>
        <v>209.97834553701895</v>
      </c>
      <c r="L110" s="1104">
        <f t="shared" si="81"/>
        <v>244.97473645985542</v>
      </c>
      <c r="M110" s="1104">
        <f t="shared" si="81"/>
        <v>279.97112738269192</v>
      </c>
      <c r="N110" s="1104">
        <f t="shared" si="81"/>
        <v>314.96751830552842</v>
      </c>
      <c r="O110" s="1104">
        <f t="shared" si="81"/>
        <v>349.96390922836491</v>
      </c>
      <c r="P110" s="1104">
        <f t="shared" si="81"/>
        <v>384.96030015120141</v>
      </c>
      <c r="Q110" s="1104">
        <f t="shared" si="81"/>
        <v>419.95669107403791</v>
      </c>
      <c r="R110" s="1104">
        <f t="shared" si="81"/>
        <v>454.9530819968744</v>
      </c>
      <c r="S110" s="1104">
        <f t="shared" si="81"/>
        <v>489.94947291971084</v>
      </c>
      <c r="T110" s="1104">
        <f t="shared" si="81"/>
        <v>524.9458638425474</v>
      </c>
      <c r="U110" s="1104">
        <f t="shared" si="81"/>
        <v>559.94225476538384</v>
      </c>
      <c r="V110" s="1104">
        <f t="shared" si="81"/>
        <v>594.93864568822039</v>
      </c>
      <c r="W110" s="1104">
        <f t="shared" si="81"/>
        <v>629.93503661105683</v>
      </c>
      <c r="X110" s="1104">
        <f t="shared" si="81"/>
        <v>664.93142753389327</v>
      </c>
      <c r="Y110" s="1104">
        <f t="shared" si="81"/>
        <v>699.92781845672982</v>
      </c>
      <c r="Z110" s="1104">
        <f t="shared" si="81"/>
        <v>734.92420937956638</v>
      </c>
      <c r="AA110" s="1104">
        <f t="shared" si="81"/>
        <v>769.92060030240282</v>
      </c>
      <c r="AB110" s="1104">
        <f t="shared" si="81"/>
        <v>804.91699122523926</v>
      </c>
      <c r="AC110" s="1104">
        <f t="shared" si="81"/>
        <v>839.91338214807581</v>
      </c>
      <c r="AD110" s="1104">
        <f t="shared" si="81"/>
        <v>874.90977307091225</v>
      </c>
      <c r="AE110" s="1104">
        <f t="shared" si="81"/>
        <v>909.90616399374881</v>
      </c>
      <c r="AF110" s="1104">
        <f t="shared" si="81"/>
        <v>944.90255491658536</v>
      </c>
      <c r="AG110" s="1104">
        <f t="shared" si="81"/>
        <v>979.89894583942169</v>
      </c>
      <c r="AH110" s="1104">
        <f t="shared" si="81"/>
        <v>1014.8953367622582</v>
      </c>
      <c r="AI110" s="1104">
        <f t="shared" si="81"/>
        <v>1049.8917276850948</v>
      </c>
      <c r="AJ110" s="1104">
        <f t="shared" si="81"/>
        <v>1084.8881186079313</v>
      </c>
      <c r="AK110" s="1104">
        <f t="shared" si="81"/>
        <v>1119.8845095307677</v>
      </c>
      <c r="AL110" s="1104">
        <f t="shared" si="81"/>
        <v>1154.8809004536042</v>
      </c>
      <c r="AM110" s="1104">
        <f t="shared" si="81"/>
        <v>1189.8772913764408</v>
      </c>
      <c r="AN110" s="1104">
        <f t="shared" ref="AN110:BF110" si="82">((AN$71-$H$4)/1000)*$R$25*(($C$8/70)^$AD$25)</f>
        <v>1224.8736822992771</v>
      </c>
      <c r="AO110" s="1104">
        <f t="shared" si="82"/>
        <v>1259.8700732221137</v>
      </c>
      <c r="AP110" s="1104">
        <f t="shared" si="82"/>
        <v>1294.8664641449502</v>
      </c>
      <c r="AQ110" s="1104">
        <f t="shared" si="82"/>
        <v>1329.8628550677865</v>
      </c>
      <c r="AR110" s="1104">
        <f t="shared" si="82"/>
        <v>1364.8592459906231</v>
      </c>
      <c r="AS110" s="1104">
        <f t="shared" si="82"/>
        <v>1399.8556369134596</v>
      </c>
      <c r="AT110" s="1104">
        <f t="shared" si="82"/>
        <v>1434.852027836296</v>
      </c>
      <c r="AU110" s="1104">
        <f t="shared" si="82"/>
        <v>1469.8484187591328</v>
      </c>
      <c r="AV110" s="1104">
        <f t="shared" si="82"/>
        <v>1504.8448096819691</v>
      </c>
      <c r="AW110" s="1104">
        <f t="shared" si="82"/>
        <v>1539.8412006048056</v>
      </c>
      <c r="AX110" s="1104">
        <f t="shared" si="82"/>
        <v>1574.8375915276422</v>
      </c>
      <c r="AY110" s="1104">
        <f t="shared" si="82"/>
        <v>1609.8339824504785</v>
      </c>
      <c r="AZ110" s="1104">
        <f t="shared" si="82"/>
        <v>1644.8303733733151</v>
      </c>
      <c r="BA110" s="1104">
        <f t="shared" si="82"/>
        <v>1679.8267642961516</v>
      </c>
      <c r="BB110" s="1104">
        <f t="shared" si="82"/>
        <v>1714.8231552189882</v>
      </c>
      <c r="BC110" s="1104">
        <f t="shared" si="82"/>
        <v>1749.8195461418245</v>
      </c>
      <c r="BD110" s="1104">
        <f t="shared" si="82"/>
        <v>1784.8159370646608</v>
      </c>
      <c r="BE110" s="1104">
        <f t="shared" si="82"/>
        <v>1819.8123279874976</v>
      </c>
      <c r="BF110" s="1104">
        <f t="shared" si="82"/>
        <v>1854.8087189103339</v>
      </c>
    </row>
    <row r="111" spans="1:58" ht="15.75" thickBot="1">
      <c r="A111" s="2098"/>
      <c r="B111" s="2178" t="s">
        <v>268</v>
      </c>
      <c r="C111" s="2179"/>
      <c r="D111" s="462" t="s">
        <v>226</v>
      </c>
      <c r="E111" s="506">
        <v>80</v>
      </c>
      <c r="F111" s="506">
        <v>400</v>
      </c>
      <c r="G111" s="463" t="s">
        <v>252</v>
      </c>
      <c r="H111" s="1105">
        <f t="shared" ref="H111:AM111" si="83">((H$71-$H$4)/1000)*$S$25*(($C$8/70)^$AE$25)</f>
        <v>120.12721418649599</v>
      </c>
      <c r="I111" s="1105">
        <f t="shared" si="83"/>
        <v>160.16961891532799</v>
      </c>
      <c r="J111" s="1105">
        <f t="shared" si="83"/>
        <v>200.21202364415998</v>
      </c>
      <c r="K111" s="1105">
        <f t="shared" si="83"/>
        <v>240.25442837299198</v>
      </c>
      <c r="L111" s="1105">
        <f t="shared" si="83"/>
        <v>280.29683310182395</v>
      </c>
      <c r="M111" s="1105">
        <f t="shared" si="83"/>
        <v>320.33923783065597</v>
      </c>
      <c r="N111" s="1105">
        <f t="shared" si="83"/>
        <v>360.381642559488</v>
      </c>
      <c r="O111" s="1105">
        <f t="shared" si="83"/>
        <v>400.42404728831997</v>
      </c>
      <c r="P111" s="1105">
        <f t="shared" si="83"/>
        <v>440.46645201715199</v>
      </c>
      <c r="Q111" s="1105">
        <f t="shared" si="83"/>
        <v>480.50885674598396</v>
      </c>
      <c r="R111" s="1105">
        <f t="shared" si="83"/>
        <v>520.55126147481599</v>
      </c>
      <c r="S111" s="1105">
        <f t="shared" si="83"/>
        <v>560.5936662036479</v>
      </c>
      <c r="T111" s="1105">
        <f t="shared" si="83"/>
        <v>600.63607093247992</v>
      </c>
      <c r="U111" s="1105">
        <f t="shared" si="83"/>
        <v>640.67847566131195</v>
      </c>
      <c r="V111" s="1105">
        <f t="shared" si="83"/>
        <v>680.72088039014398</v>
      </c>
      <c r="W111" s="1105">
        <f t="shared" si="83"/>
        <v>720.763285118976</v>
      </c>
      <c r="X111" s="1105">
        <f t="shared" si="83"/>
        <v>760.80568984780791</v>
      </c>
      <c r="Y111" s="1105">
        <f t="shared" si="83"/>
        <v>800.84809457663994</v>
      </c>
      <c r="Z111" s="1105">
        <f t="shared" si="83"/>
        <v>840.89049930547196</v>
      </c>
      <c r="AA111" s="1105">
        <f t="shared" si="83"/>
        <v>880.93290403430399</v>
      </c>
      <c r="AB111" s="1105">
        <f t="shared" si="83"/>
        <v>920.9753087631359</v>
      </c>
      <c r="AC111" s="1105">
        <f t="shared" si="83"/>
        <v>961.01771349196792</v>
      </c>
      <c r="AD111" s="1105">
        <f t="shared" si="83"/>
        <v>1001.0601182207999</v>
      </c>
      <c r="AE111" s="1105">
        <f t="shared" si="83"/>
        <v>1041.102522949632</v>
      </c>
      <c r="AF111" s="1105">
        <f t="shared" si="83"/>
        <v>1081.144927678464</v>
      </c>
      <c r="AG111" s="1105">
        <f t="shared" si="83"/>
        <v>1121.1873324072958</v>
      </c>
      <c r="AH111" s="1105">
        <f t="shared" si="83"/>
        <v>1161.2297371361278</v>
      </c>
      <c r="AI111" s="1105">
        <f t="shared" si="83"/>
        <v>1201.2721418649598</v>
      </c>
      <c r="AJ111" s="1105">
        <f t="shared" si="83"/>
        <v>1241.3145465937919</v>
      </c>
      <c r="AK111" s="1105">
        <f t="shared" si="83"/>
        <v>1281.3569513226239</v>
      </c>
      <c r="AL111" s="1105">
        <f t="shared" si="83"/>
        <v>1321.3993560514559</v>
      </c>
      <c r="AM111" s="1105">
        <f t="shared" si="83"/>
        <v>1361.441760780288</v>
      </c>
      <c r="AN111" s="1105">
        <f t="shared" ref="AN111:BF111" si="84">((AN$71-$H$4)/1000)*$S$25*(($C$8/70)^$AE$25)</f>
        <v>1401.48416550912</v>
      </c>
      <c r="AO111" s="1105">
        <f t="shared" si="84"/>
        <v>1441.526570237952</v>
      </c>
      <c r="AP111" s="1105">
        <f t="shared" si="84"/>
        <v>1481.568974966784</v>
      </c>
      <c r="AQ111" s="1105">
        <f t="shared" si="84"/>
        <v>1521.6113796956158</v>
      </c>
      <c r="AR111" s="1105">
        <f t="shared" si="84"/>
        <v>1561.6537844244478</v>
      </c>
      <c r="AS111" s="1105">
        <f t="shared" si="84"/>
        <v>1601.6961891532799</v>
      </c>
      <c r="AT111" s="1105">
        <f t="shared" si="84"/>
        <v>1641.7385938821117</v>
      </c>
      <c r="AU111" s="1105">
        <f t="shared" si="84"/>
        <v>1681.7809986109439</v>
      </c>
      <c r="AV111" s="1105">
        <f t="shared" si="84"/>
        <v>1721.8234033397757</v>
      </c>
      <c r="AW111" s="1105">
        <f t="shared" si="84"/>
        <v>1761.865808068608</v>
      </c>
      <c r="AX111" s="1105">
        <f t="shared" si="84"/>
        <v>1801.9082127974398</v>
      </c>
      <c r="AY111" s="1105">
        <f t="shared" si="84"/>
        <v>1841.9506175262718</v>
      </c>
      <c r="AZ111" s="1105">
        <f t="shared" si="84"/>
        <v>1881.9930222551038</v>
      </c>
      <c r="BA111" s="1105">
        <f t="shared" si="84"/>
        <v>1922.0354269839358</v>
      </c>
      <c r="BB111" s="1105">
        <f t="shared" si="84"/>
        <v>1962.0778317127681</v>
      </c>
      <c r="BC111" s="1105">
        <f t="shared" si="84"/>
        <v>2002.1202364415999</v>
      </c>
      <c r="BD111" s="1105">
        <f t="shared" si="84"/>
        <v>2042.1626411704317</v>
      </c>
      <c r="BE111" s="1105">
        <f t="shared" si="84"/>
        <v>2082.205045899264</v>
      </c>
      <c r="BF111" s="1105">
        <f t="shared" si="84"/>
        <v>2122.247450628096</v>
      </c>
    </row>
    <row r="112" spans="1:58">
      <c r="A112" s="2098"/>
      <c r="B112" s="2180" t="s">
        <v>269</v>
      </c>
      <c r="C112" s="2181"/>
      <c r="D112" s="464" t="s">
        <v>226</v>
      </c>
      <c r="E112" s="507">
        <v>90</v>
      </c>
      <c r="F112" s="507">
        <v>160</v>
      </c>
      <c r="G112" s="464" t="s">
        <v>227</v>
      </c>
      <c r="H112" s="1106">
        <f t="shared" ref="H112:AM112" si="85">((H$71-$H$4)/1000)*$K$26*(($C$8/70)^$W$26)</f>
        <v>53.667000000000002</v>
      </c>
      <c r="I112" s="1107">
        <f t="shared" si="85"/>
        <v>71.556000000000012</v>
      </c>
      <c r="J112" s="1107">
        <f t="shared" si="85"/>
        <v>89.445000000000007</v>
      </c>
      <c r="K112" s="1107">
        <f t="shared" si="85"/>
        <v>107.334</v>
      </c>
      <c r="L112" s="1107">
        <f t="shared" si="85"/>
        <v>125.223</v>
      </c>
      <c r="M112" s="1107">
        <f t="shared" si="85"/>
        <v>143.11200000000002</v>
      </c>
      <c r="N112" s="1107">
        <f t="shared" si="85"/>
        <v>161.001</v>
      </c>
      <c r="O112" s="1107">
        <f t="shared" si="85"/>
        <v>178.89000000000001</v>
      </c>
      <c r="P112" s="1107">
        <f t="shared" si="85"/>
        <v>196.77900000000002</v>
      </c>
      <c r="Q112" s="1107">
        <f t="shared" si="85"/>
        <v>214.66800000000001</v>
      </c>
      <c r="R112" s="1107">
        <f t="shared" si="85"/>
        <v>232.55700000000002</v>
      </c>
      <c r="S112" s="1107">
        <f t="shared" si="85"/>
        <v>250.446</v>
      </c>
      <c r="T112" s="1107">
        <f t="shared" si="85"/>
        <v>268.33500000000004</v>
      </c>
      <c r="U112" s="1107">
        <f t="shared" si="85"/>
        <v>286.22400000000005</v>
      </c>
      <c r="V112" s="1107">
        <f t="shared" si="85"/>
        <v>304.113</v>
      </c>
      <c r="W112" s="1107">
        <f t="shared" si="85"/>
        <v>322.00200000000001</v>
      </c>
      <c r="X112" s="1107">
        <f t="shared" si="85"/>
        <v>339.89100000000002</v>
      </c>
      <c r="Y112" s="1107">
        <f t="shared" si="85"/>
        <v>357.78000000000003</v>
      </c>
      <c r="Z112" s="1107">
        <f t="shared" si="85"/>
        <v>375.66900000000004</v>
      </c>
      <c r="AA112" s="1107">
        <f t="shared" si="85"/>
        <v>393.55800000000005</v>
      </c>
      <c r="AB112" s="1107">
        <f t="shared" si="85"/>
        <v>411.447</v>
      </c>
      <c r="AC112" s="1107">
        <f t="shared" si="85"/>
        <v>429.33600000000001</v>
      </c>
      <c r="AD112" s="1107">
        <f t="shared" si="85"/>
        <v>447.22500000000002</v>
      </c>
      <c r="AE112" s="1107">
        <f t="shared" si="85"/>
        <v>465.11400000000003</v>
      </c>
      <c r="AF112" s="1107">
        <f t="shared" si="85"/>
        <v>483.0030000000001</v>
      </c>
      <c r="AG112" s="1107">
        <f t="shared" si="85"/>
        <v>500.892</v>
      </c>
      <c r="AH112" s="1107">
        <f t="shared" si="85"/>
        <v>518.78100000000006</v>
      </c>
      <c r="AI112" s="1107">
        <f t="shared" si="85"/>
        <v>536.67000000000007</v>
      </c>
      <c r="AJ112" s="1107">
        <f t="shared" si="85"/>
        <v>554.55900000000008</v>
      </c>
      <c r="AK112" s="1107">
        <f t="shared" si="85"/>
        <v>572.44800000000009</v>
      </c>
      <c r="AL112" s="1107">
        <f t="shared" si="85"/>
        <v>590.33699999999999</v>
      </c>
      <c r="AM112" s="1107">
        <f t="shared" si="85"/>
        <v>608.226</v>
      </c>
      <c r="AN112" s="1107">
        <f t="shared" ref="AN112:BF112" si="86">((AN$71-$H$4)/1000)*$K$26*(($C$8/70)^$W$26)</f>
        <v>626.11500000000001</v>
      </c>
      <c r="AO112" s="1107">
        <f t="shared" si="86"/>
        <v>644.00400000000002</v>
      </c>
      <c r="AP112" s="1107">
        <f t="shared" si="86"/>
        <v>661.89300000000014</v>
      </c>
      <c r="AQ112" s="1107">
        <f t="shared" si="86"/>
        <v>679.78200000000004</v>
      </c>
      <c r="AR112" s="1107">
        <f t="shared" si="86"/>
        <v>697.67100000000005</v>
      </c>
      <c r="AS112" s="1107">
        <f t="shared" si="86"/>
        <v>715.56000000000006</v>
      </c>
      <c r="AT112" s="1107">
        <f t="shared" si="86"/>
        <v>733.44899999999996</v>
      </c>
      <c r="AU112" s="1107">
        <f t="shared" si="86"/>
        <v>751.33800000000008</v>
      </c>
      <c r="AV112" s="1107">
        <f t="shared" si="86"/>
        <v>769.22699999999998</v>
      </c>
      <c r="AW112" s="1107">
        <f t="shared" si="86"/>
        <v>787.1160000000001</v>
      </c>
      <c r="AX112" s="1107">
        <f t="shared" si="86"/>
        <v>805.00500000000011</v>
      </c>
      <c r="AY112" s="1107">
        <f t="shared" si="86"/>
        <v>822.89400000000001</v>
      </c>
      <c r="AZ112" s="1107">
        <f t="shared" si="86"/>
        <v>840.78300000000013</v>
      </c>
      <c r="BA112" s="1107">
        <f t="shared" si="86"/>
        <v>858.67200000000003</v>
      </c>
      <c r="BB112" s="1107">
        <f t="shared" si="86"/>
        <v>876.56100000000015</v>
      </c>
      <c r="BC112" s="1107">
        <f t="shared" si="86"/>
        <v>894.45</v>
      </c>
      <c r="BD112" s="1107">
        <f t="shared" si="86"/>
        <v>912.33900000000006</v>
      </c>
      <c r="BE112" s="1107">
        <f t="shared" si="86"/>
        <v>930.22800000000007</v>
      </c>
      <c r="BF112" s="1108">
        <f t="shared" si="86"/>
        <v>948.11700000000008</v>
      </c>
    </row>
    <row r="113" spans="1:58">
      <c r="A113" s="2098"/>
      <c r="B113" s="2182" t="s">
        <v>270</v>
      </c>
      <c r="C113" s="2183"/>
      <c r="D113" s="465" t="s">
        <v>226</v>
      </c>
      <c r="E113" s="508">
        <v>90</v>
      </c>
      <c r="F113" s="508">
        <v>200</v>
      </c>
      <c r="G113" s="465" t="s">
        <v>227</v>
      </c>
      <c r="H113" s="659">
        <f t="shared" ref="H113:AM113" si="87">((H$71-$H$4)/1000)*$L$26*(($C$8/70)^$X$26)</f>
        <v>60.3</v>
      </c>
      <c r="I113" s="1109">
        <f t="shared" si="87"/>
        <v>80.400000000000006</v>
      </c>
      <c r="J113" s="1109">
        <f t="shared" si="87"/>
        <v>100.5</v>
      </c>
      <c r="K113" s="1109">
        <f t="shared" si="87"/>
        <v>120.6</v>
      </c>
      <c r="L113" s="1109">
        <f t="shared" si="87"/>
        <v>140.69999999999999</v>
      </c>
      <c r="M113" s="1109">
        <f t="shared" si="87"/>
        <v>160.80000000000001</v>
      </c>
      <c r="N113" s="1109">
        <f t="shared" si="87"/>
        <v>180.9</v>
      </c>
      <c r="O113" s="1109">
        <f t="shared" si="87"/>
        <v>201</v>
      </c>
      <c r="P113" s="1109">
        <f t="shared" si="87"/>
        <v>221.10000000000002</v>
      </c>
      <c r="Q113" s="1109">
        <f t="shared" si="87"/>
        <v>241.2</v>
      </c>
      <c r="R113" s="1109">
        <f t="shared" si="87"/>
        <v>261.3</v>
      </c>
      <c r="S113" s="1109">
        <f t="shared" si="87"/>
        <v>281.39999999999998</v>
      </c>
      <c r="T113" s="1109">
        <f t="shared" si="87"/>
        <v>301.5</v>
      </c>
      <c r="U113" s="1109">
        <f t="shared" si="87"/>
        <v>321.60000000000002</v>
      </c>
      <c r="V113" s="1109">
        <f t="shared" si="87"/>
        <v>341.7</v>
      </c>
      <c r="W113" s="1109">
        <f t="shared" si="87"/>
        <v>361.8</v>
      </c>
      <c r="X113" s="1109">
        <f t="shared" si="87"/>
        <v>381.9</v>
      </c>
      <c r="Y113" s="1109">
        <f t="shared" si="87"/>
        <v>402</v>
      </c>
      <c r="Z113" s="1109">
        <f t="shared" si="87"/>
        <v>422.1</v>
      </c>
      <c r="AA113" s="1109">
        <f t="shared" si="87"/>
        <v>442.20000000000005</v>
      </c>
      <c r="AB113" s="1109">
        <f t="shared" si="87"/>
        <v>462.29999999999995</v>
      </c>
      <c r="AC113" s="1109">
        <f t="shared" si="87"/>
        <v>482.4</v>
      </c>
      <c r="AD113" s="1109">
        <f t="shared" si="87"/>
        <v>502.5</v>
      </c>
      <c r="AE113" s="1109">
        <f t="shared" si="87"/>
        <v>522.6</v>
      </c>
      <c r="AF113" s="1109">
        <f t="shared" si="87"/>
        <v>542.70000000000005</v>
      </c>
      <c r="AG113" s="1109">
        <f t="shared" si="87"/>
        <v>562.79999999999995</v>
      </c>
      <c r="AH113" s="1109">
        <f t="shared" si="87"/>
        <v>582.9</v>
      </c>
      <c r="AI113" s="1109">
        <f t="shared" si="87"/>
        <v>603</v>
      </c>
      <c r="AJ113" s="1109">
        <f t="shared" si="87"/>
        <v>623.1</v>
      </c>
      <c r="AK113" s="1109">
        <f t="shared" si="87"/>
        <v>643.20000000000005</v>
      </c>
      <c r="AL113" s="1109">
        <f t="shared" si="87"/>
        <v>663.3</v>
      </c>
      <c r="AM113" s="1109">
        <f t="shared" si="87"/>
        <v>683.4</v>
      </c>
      <c r="AN113" s="1109">
        <f t="shared" ref="AN113:BF113" si="88">((AN$71-$H$4)/1000)*$L$26*(($C$8/70)^$X$26)</f>
        <v>703.5</v>
      </c>
      <c r="AO113" s="1109">
        <f t="shared" si="88"/>
        <v>723.6</v>
      </c>
      <c r="AP113" s="1109">
        <f t="shared" si="88"/>
        <v>743.7</v>
      </c>
      <c r="AQ113" s="1109">
        <f t="shared" si="88"/>
        <v>763.8</v>
      </c>
      <c r="AR113" s="1109">
        <f t="shared" si="88"/>
        <v>783.9</v>
      </c>
      <c r="AS113" s="1109">
        <f t="shared" si="88"/>
        <v>804</v>
      </c>
      <c r="AT113" s="1109">
        <f t="shared" si="88"/>
        <v>824.09999999999991</v>
      </c>
      <c r="AU113" s="1109">
        <f t="shared" si="88"/>
        <v>844.2</v>
      </c>
      <c r="AV113" s="1109">
        <f t="shared" si="88"/>
        <v>864.3</v>
      </c>
      <c r="AW113" s="1109">
        <f t="shared" si="88"/>
        <v>884.40000000000009</v>
      </c>
      <c r="AX113" s="1109">
        <f t="shared" si="88"/>
        <v>904.5</v>
      </c>
      <c r="AY113" s="1109">
        <f t="shared" si="88"/>
        <v>924.59999999999991</v>
      </c>
      <c r="AZ113" s="1109">
        <f t="shared" si="88"/>
        <v>944.7</v>
      </c>
      <c r="BA113" s="1109">
        <f t="shared" si="88"/>
        <v>964.8</v>
      </c>
      <c r="BB113" s="1109">
        <f t="shared" si="88"/>
        <v>984.90000000000009</v>
      </c>
      <c r="BC113" s="1109">
        <f t="shared" si="88"/>
        <v>1005</v>
      </c>
      <c r="BD113" s="1109">
        <f t="shared" si="88"/>
        <v>1025.0999999999999</v>
      </c>
      <c r="BE113" s="1109">
        <f t="shared" si="88"/>
        <v>1045.2</v>
      </c>
      <c r="BF113" s="1110">
        <f t="shared" si="88"/>
        <v>1065.3</v>
      </c>
    </row>
    <row r="114" spans="1:58">
      <c r="A114" s="2098"/>
      <c r="B114" s="2182" t="s">
        <v>271</v>
      </c>
      <c r="C114" s="2183"/>
      <c r="D114" s="465" t="s">
        <v>226</v>
      </c>
      <c r="E114" s="508">
        <v>90</v>
      </c>
      <c r="F114" s="508">
        <v>260</v>
      </c>
      <c r="G114" s="465" t="s">
        <v>227</v>
      </c>
      <c r="H114" s="659">
        <f t="shared" ref="H114:AM114" si="89">((H$71-$H$4)/1000)*$M$26*(($C$8/70)^$Y$26)</f>
        <v>79.919999999999987</v>
      </c>
      <c r="I114" s="1109">
        <f t="shared" si="89"/>
        <v>106.56</v>
      </c>
      <c r="J114" s="1109">
        <f t="shared" si="89"/>
        <v>133.19999999999999</v>
      </c>
      <c r="K114" s="1109">
        <f t="shared" si="89"/>
        <v>159.83999999999997</v>
      </c>
      <c r="L114" s="1109">
        <f t="shared" si="89"/>
        <v>186.47999999999996</v>
      </c>
      <c r="M114" s="1109">
        <f t="shared" si="89"/>
        <v>213.12</v>
      </c>
      <c r="N114" s="1109">
        <f t="shared" si="89"/>
        <v>239.76</v>
      </c>
      <c r="O114" s="1109">
        <f t="shared" si="89"/>
        <v>266.39999999999998</v>
      </c>
      <c r="P114" s="1109">
        <f t="shared" si="89"/>
        <v>293.04000000000002</v>
      </c>
      <c r="Q114" s="1109">
        <f t="shared" si="89"/>
        <v>319.67999999999995</v>
      </c>
      <c r="R114" s="1109">
        <f t="shared" si="89"/>
        <v>346.32</v>
      </c>
      <c r="S114" s="1109">
        <f t="shared" si="89"/>
        <v>372.95999999999992</v>
      </c>
      <c r="T114" s="1109">
        <f t="shared" si="89"/>
        <v>399.59999999999997</v>
      </c>
      <c r="U114" s="1109">
        <f t="shared" si="89"/>
        <v>426.24</v>
      </c>
      <c r="V114" s="1109">
        <f t="shared" si="89"/>
        <v>452.87999999999994</v>
      </c>
      <c r="W114" s="1109">
        <f t="shared" si="89"/>
        <v>479.52</v>
      </c>
      <c r="X114" s="1109">
        <f t="shared" si="89"/>
        <v>506.15999999999991</v>
      </c>
      <c r="Y114" s="1109">
        <f t="shared" si="89"/>
        <v>532.79999999999995</v>
      </c>
      <c r="Z114" s="1109">
        <f t="shared" si="89"/>
        <v>559.43999999999994</v>
      </c>
      <c r="AA114" s="1109">
        <f t="shared" si="89"/>
        <v>586.08000000000004</v>
      </c>
      <c r="AB114" s="1109">
        <f t="shared" si="89"/>
        <v>612.71999999999991</v>
      </c>
      <c r="AC114" s="1109">
        <f t="shared" si="89"/>
        <v>639.3599999999999</v>
      </c>
      <c r="AD114" s="1109">
        <f t="shared" si="89"/>
        <v>666</v>
      </c>
      <c r="AE114" s="1109">
        <f t="shared" si="89"/>
        <v>692.64</v>
      </c>
      <c r="AF114" s="1109">
        <f t="shared" si="89"/>
        <v>719.28</v>
      </c>
      <c r="AG114" s="1109">
        <f t="shared" si="89"/>
        <v>745.91999999999985</v>
      </c>
      <c r="AH114" s="1109">
        <f t="shared" si="89"/>
        <v>772.56</v>
      </c>
      <c r="AI114" s="1109">
        <f t="shared" si="89"/>
        <v>799.19999999999993</v>
      </c>
      <c r="AJ114" s="1109">
        <f t="shared" si="89"/>
        <v>825.83999999999992</v>
      </c>
      <c r="AK114" s="1109">
        <f t="shared" si="89"/>
        <v>852.48</v>
      </c>
      <c r="AL114" s="1109">
        <f t="shared" si="89"/>
        <v>879.11999999999989</v>
      </c>
      <c r="AM114" s="1109">
        <f t="shared" si="89"/>
        <v>905.75999999999988</v>
      </c>
      <c r="AN114" s="1109">
        <f t="shared" ref="AN114:BF114" si="90">((AN$71-$H$4)/1000)*$M$26*(($C$8/70)^$Y$26)</f>
        <v>932.39999999999986</v>
      </c>
      <c r="AO114" s="1109">
        <f t="shared" si="90"/>
        <v>959.04</v>
      </c>
      <c r="AP114" s="1109">
        <f t="shared" si="90"/>
        <v>985.68</v>
      </c>
      <c r="AQ114" s="1109">
        <f t="shared" si="90"/>
        <v>1012.3199999999998</v>
      </c>
      <c r="AR114" s="1109">
        <f t="shared" si="90"/>
        <v>1038.9599999999998</v>
      </c>
      <c r="AS114" s="1109">
        <f t="shared" si="90"/>
        <v>1065.5999999999999</v>
      </c>
      <c r="AT114" s="1109">
        <f t="shared" si="90"/>
        <v>1092.2399999999998</v>
      </c>
      <c r="AU114" s="1109">
        <f t="shared" si="90"/>
        <v>1118.8799999999999</v>
      </c>
      <c r="AV114" s="1109">
        <f t="shared" si="90"/>
        <v>1145.5199999999998</v>
      </c>
      <c r="AW114" s="1109">
        <f t="shared" si="90"/>
        <v>1172.1600000000001</v>
      </c>
      <c r="AX114" s="1109">
        <f t="shared" si="90"/>
        <v>1198.8</v>
      </c>
      <c r="AY114" s="1109">
        <f t="shared" si="90"/>
        <v>1225.4399999999998</v>
      </c>
      <c r="AZ114" s="1109">
        <f t="shared" si="90"/>
        <v>1252.08</v>
      </c>
      <c r="BA114" s="1109">
        <f t="shared" si="90"/>
        <v>1278.7199999999998</v>
      </c>
      <c r="BB114" s="1109">
        <f t="shared" si="90"/>
        <v>1305.3599999999999</v>
      </c>
      <c r="BC114" s="1109">
        <f t="shared" si="90"/>
        <v>1332</v>
      </c>
      <c r="BD114" s="1109">
        <f t="shared" si="90"/>
        <v>1358.6399999999999</v>
      </c>
      <c r="BE114" s="1109">
        <f t="shared" si="90"/>
        <v>1385.28</v>
      </c>
      <c r="BF114" s="1110">
        <f t="shared" si="90"/>
        <v>1411.9199999999998</v>
      </c>
    </row>
    <row r="115" spans="1:58">
      <c r="A115" s="2098"/>
      <c r="B115" s="2182" t="s">
        <v>272</v>
      </c>
      <c r="C115" s="2183"/>
      <c r="D115" s="465" t="s">
        <v>226</v>
      </c>
      <c r="E115" s="508">
        <v>90</v>
      </c>
      <c r="F115" s="508">
        <v>300</v>
      </c>
      <c r="G115" s="465" t="s">
        <v>227</v>
      </c>
      <c r="H115" s="659">
        <f t="shared" ref="H115:AM115" si="91">((H$71-$H$4)/1000)*$N$26*(($C$8/70)^$Z$26)</f>
        <v>89.767549792800011</v>
      </c>
      <c r="I115" s="1109">
        <f t="shared" si="91"/>
        <v>119.69006639040002</v>
      </c>
      <c r="J115" s="1109">
        <f t="shared" si="91"/>
        <v>149.61258298800001</v>
      </c>
      <c r="K115" s="1109">
        <f t="shared" si="91"/>
        <v>179.53509958560002</v>
      </c>
      <c r="L115" s="1109">
        <f t="shared" si="91"/>
        <v>209.4576161832</v>
      </c>
      <c r="M115" s="1109">
        <f t="shared" si="91"/>
        <v>239.38013278080004</v>
      </c>
      <c r="N115" s="1109">
        <f t="shared" si="91"/>
        <v>269.30264937840002</v>
      </c>
      <c r="O115" s="1109">
        <f t="shared" si="91"/>
        <v>299.22516597600003</v>
      </c>
      <c r="P115" s="1109">
        <f t="shared" si="91"/>
        <v>329.14768257360004</v>
      </c>
      <c r="Q115" s="1109">
        <f t="shared" si="91"/>
        <v>359.07019917120004</v>
      </c>
      <c r="R115" s="1109">
        <f t="shared" si="91"/>
        <v>388.99271576880005</v>
      </c>
      <c r="S115" s="1109">
        <f t="shared" si="91"/>
        <v>418.91523236640001</v>
      </c>
      <c r="T115" s="1109">
        <f t="shared" si="91"/>
        <v>448.83774896400007</v>
      </c>
      <c r="U115" s="1109">
        <f t="shared" si="91"/>
        <v>478.76026556160008</v>
      </c>
      <c r="V115" s="1109">
        <f t="shared" si="91"/>
        <v>508.68278215920003</v>
      </c>
      <c r="W115" s="1109">
        <f t="shared" si="91"/>
        <v>538.60529875680004</v>
      </c>
      <c r="X115" s="1109">
        <f t="shared" si="91"/>
        <v>568.52781535439999</v>
      </c>
      <c r="Y115" s="1109">
        <f t="shared" si="91"/>
        <v>598.45033195200006</v>
      </c>
      <c r="Z115" s="1109">
        <f t="shared" si="91"/>
        <v>628.37284854960012</v>
      </c>
      <c r="AA115" s="1109">
        <f t="shared" si="91"/>
        <v>658.29536514720007</v>
      </c>
      <c r="AB115" s="1109">
        <f t="shared" si="91"/>
        <v>688.21788174480002</v>
      </c>
      <c r="AC115" s="1109">
        <f t="shared" si="91"/>
        <v>718.14039834240009</v>
      </c>
      <c r="AD115" s="1109">
        <f t="shared" si="91"/>
        <v>748.06291494000004</v>
      </c>
      <c r="AE115" s="1109">
        <f t="shared" si="91"/>
        <v>777.98543153760011</v>
      </c>
      <c r="AF115" s="1109">
        <f t="shared" si="91"/>
        <v>807.90794813520017</v>
      </c>
      <c r="AG115" s="1109">
        <f t="shared" si="91"/>
        <v>837.83046473280001</v>
      </c>
      <c r="AH115" s="1109">
        <f t="shared" si="91"/>
        <v>867.75298133040008</v>
      </c>
      <c r="AI115" s="1109">
        <f t="shared" si="91"/>
        <v>897.67549792800014</v>
      </c>
      <c r="AJ115" s="1109">
        <f t="shared" si="91"/>
        <v>927.59801452560009</v>
      </c>
      <c r="AK115" s="1109">
        <f t="shared" si="91"/>
        <v>957.52053112320016</v>
      </c>
      <c r="AL115" s="1109">
        <f t="shared" si="91"/>
        <v>987.4430477208</v>
      </c>
      <c r="AM115" s="1109">
        <f t="shared" si="91"/>
        <v>1017.3655643184001</v>
      </c>
      <c r="AN115" s="1109">
        <f t="shared" ref="AN115:BF115" si="92">((AN$71-$H$4)/1000)*$N$26*(($C$8/70)^$Z$26)</f>
        <v>1047.2880809160001</v>
      </c>
      <c r="AO115" s="1109">
        <f t="shared" si="92"/>
        <v>1077.2105975136001</v>
      </c>
      <c r="AP115" s="1109">
        <f t="shared" si="92"/>
        <v>1107.1331141112003</v>
      </c>
      <c r="AQ115" s="1109">
        <f t="shared" si="92"/>
        <v>1137.0556307088</v>
      </c>
      <c r="AR115" s="1109">
        <f t="shared" si="92"/>
        <v>1166.9781473064002</v>
      </c>
      <c r="AS115" s="1109">
        <f t="shared" si="92"/>
        <v>1196.9006639040001</v>
      </c>
      <c r="AT115" s="1109">
        <f t="shared" si="92"/>
        <v>1226.8231805016001</v>
      </c>
      <c r="AU115" s="1109">
        <f t="shared" si="92"/>
        <v>1256.7456970992002</v>
      </c>
      <c r="AV115" s="1109">
        <f t="shared" si="92"/>
        <v>1286.6682136968</v>
      </c>
      <c r="AW115" s="1109">
        <f t="shared" si="92"/>
        <v>1316.5907302944001</v>
      </c>
      <c r="AX115" s="1109">
        <f t="shared" si="92"/>
        <v>1346.5132468920001</v>
      </c>
      <c r="AY115" s="1109">
        <f t="shared" si="92"/>
        <v>1376.4357634896</v>
      </c>
      <c r="AZ115" s="1109">
        <f t="shared" si="92"/>
        <v>1406.3582800872002</v>
      </c>
      <c r="BA115" s="1109">
        <f t="shared" si="92"/>
        <v>1436.2807966848002</v>
      </c>
      <c r="BB115" s="1109">
        <f t="shared" si="92"/>
        <v>1466.2033132824001</v>
      </c>
      <c r="BC115" s="1109">
        <f t="shared" si="92"/>
        <v>1496.1258298800001</v>
      </c>
      <c r="BD115" s="1109">
        <f t="shared" si="92"/>
        <v>1526.0483464776</v>
      </c>
      <c r="BE115" s="1109">
        <f t="shared" si="92"/>
        <v>1555.9708630752002</v>
      </c>
      <c r="BF115" s="1110">
        <f t="shared" si="92"/>
        <v>1585.8933796728002</v>
      </c>
    </row>
    <row r="116" spans="1:58">
      <c r="A116" s="2098"/>
      <c r="B116" s="2182" t="s">
        <v>273</v>
      </c>
      <c r="C116" s="2183"/>
      <c r="D116" s="465" t="s">
        <v>226</v>
      </c>
      <c r="E116" s="508">
        <v>90</v>
      </c>
      <c r="F116" s="508">
        <v>300</v>
      </c>
      <c r="G116" s="465" t="s">
        <v>232</v>
      </c>
      <c r="H116" s="659">
        <f>((H$71-$H$4)/1000)*$O$26*(($C$8/70)^$AA$26)</f>
        <v>104.39999999999999</v>
      </c>
      <c r="I116" s="1109">
        <f t="shared" ref="I116:AN116" si="93">((I$71-$H$4)/1000)*$O$26*(($C$8/70)^$AA26)</f>
        <v>139.20000000000002</v>
      </c>
      <c r="J116" s="1109">
        <f t="shared" si="93"/>
        <v>174</v>
      </c>
      <c r="K116" s="1109">
        <f t="shared" si="93"/>
        <v>208.79999999999998</v>
      </c>
      <c r="L116" s="1109">
        <f t="shared" si="93"/>
        <v>243.6</v>
      </c>
      <c r="M116" s="1109">
        <f t="shared" si="93"/>
        <v>278.40000000000003</v>
      </c>
      <c r="N116" s="1109">
        <f t="shared" si="93"/>
        <v>313.2</v>
      </c>
      <c r="O116" s="1109">
        <f t="shared" si="93"/>
        <v>348</v>
      </c>
      <c r="P116" s="1109">
        <f t="shared" si="93"/>
        <v>382.8</v>
      </c>
      <c r="Q116" s="1109">
        <f t="shared" si="93"/>
        <v>417.59999999999997</v>
      </c>
      <c r="R116" s="1109">
        <f t="shared" si="93"/>
        <v>452.40000000000003</v>
      </c>
      <c r="S116" s="1109">
        <f t="shared" si="93"/>
        <v>487.2</v>
      </c>
      <c r="T116" s="1109">
        <f t="shared" si="93"/>
        <v>522</v>
      </c>
      <c r="U116" s="1109">
        <f t="shared" si="93"/>
        <v>556.80000000000007</v>
      </c>
      <c r="V116" s="1109">
        <f t="shared" si="93"/>
        <v>591.6</v>
      </c>
      <c r="W116" s="1109">
        <f t="shared" si="93"/>
        <v>626.4</v>
      </c>
      <c r="X116" s="1109">
        <f t="shared" si="93"/>
        <v>661.19999999999993</v>
      </c>
      <c r="Y116" s="1109">
        <f t="shared" si="93"/>
        <v>696</v>
      </c>
      <c r="Z116" s="1109">
        <f t="shared" si="93"/>
        <v>730.80000000000007</v>
      </c>
      <c r="AA116" s="1109">
        <f t="shared" si="93"/>
        <v>765.6</v>
      </c>
      <c r="AB116" s="1109">
        <f t="shared" si="93"/>
        <v>800.4</v>
      </c>
      <c r="AC116" s="1109">
        <f t="shared" si="93"/>
        <v>835.19999999999993</v>
      </c>
      <c r="AD116" s="1109">
        <f t="shared" si="93"/>
        <v>870</v>
      </c>
      <c r="AE116" s="1109">
        <f t="shared" si="93"/>
        <v>904.80000000000007</v>
      </c>
      <c r="AF116" s="1109">
        <f t="shared" si="93"/>
        <v>939.6</v>
      </c>
      <c r="AG116" s="1109">
        <f t="shared" si="93"/>
        <v>974.4</v>
      </c>
      <c r="AH116" s="1109">
        <f t="shared" si="93"/>
        <v>1009.1999999999999</v>
      </c>
      <c r="AI116" s="1109">
        <f t="shared" si="93"/>
        <v>1044</v>
      </c>
      <c r="AJ116" s="1109">
        <f t="shared" si="93"/>
        <v>1078.8</v>
      </c>
      <c r="AK116" s="1109">
        <f t="shared" si="93"/>
        <v>1113.6000000000001</v>
      </c>
      <c r="AL116" s="1109">
        <f t="shared" si="93"/>
        <v>1148.3999999999999</v>
      </c>
      <c r="AM116" s="1109">
        <f t="shared" si="93"/>
        <v>1183.2</v>
      </c>
      <c r="AN116" s="1109">
        <f t="shared" si="93"/>
        <v>1218</v>
      </c>
      <c r="AO116" s="1109">
        <f t="shared" ref="AO116:BF116" si="94">((AO$71-$H$4)/1000)*$O$26*(($C$8/70)^$AA26)</f>
        <v>1252.8</v>
      </c>
      <c r="AP116" s="1109">
        <f t="shared" si="94"/>
        <v>1287.6000000000001</v>
      </c>
      <c r="AQ116" s="1109">
        <f t="shared" si="94"/>
        <v>1322.3999999999999</v>
      </c>
      <c r="AR116" s="1109">
        <f t="shared" si="94"/>
        <v>1357.2</v>
      </c>
      <c r="AS116" s="1109">
        <f t="shared" si="94"/>
        <v>1392</v>
      </c>
      <c r="AT116" s="1109">
        <f t="shared" si="94"/>
        <v>1426.8</v>
      </c>
      <c r="AU116" s="1109">
        <f t="shared" si="94"/>
        <v>1461.6000000000001</v>
      </c>
      <c r="AV116" s="1109">
        <f t="shared" si="94"/>
        <v>1496.3999999999999</v>
      </c>
      <c r="AW116" s="1109">
        <f t="shared" si="94"/>
        <v>1531.2</v>
      </c>
      <c r="AX116" s="1109">
        <f t="shared" si="94"/>
        <v>1566</v>
      </c>
      <c r="AY116" s="1109">
        <f t="shared" si="94"/>
        <v>1600.8</v>
      </c>
      <c r="AZ116" s="1109">
        <f t="shared" si="94"/>
        <v>1635.6000000000001</v>
      </c>
      <c r="BA116" s="1109">
        <f t="shared" si="94"/>
        <v>1670.3999999999999</v>
      </c>
      <c r="BB116" s="1109">
        <f t="shared" si="94"/>
        <v>1705.2</v>
      </c>
      <c r="BC116" s="1109">
        <f t="shared" si="94"/>
        <v>1740</v>
      </c>
      <c r="BD116" s="1109">
        <f t="shared" si="94"/>
        <v>1774.8</v>
      </c>
      <c r="BE116" s="1109">
        <f t="shared" si="94"/>
        <v>1809.6000000000001</v>
      </c>
      <c r="BF116" s="1110">
        <f t="shared" si="94"/>
        <v>1844.3999999999999</v>
      </c>
    </row>
    <row r="117" spans="1:58">
      <c r="A117" s="2098"/>
      <c r="B117" s="2182" t="s">
        <v>274</v>
      </c>
      <c r="C117" s="2183"/>
      <c r="D117" s="465" t="s">
        <v>226</v>
      </c>
      <c r="E117" s="508">
        <v>90</v>
      </c>
      <c r="F117" s="508">
        <v>360</v>
      </c>
      <c r="G117" s="465" t="s">
        <v>232</v>
      </c>
      <c r="H117" s="659">
        <f t="shared" ref="H117:AM117" si="95">((H$71-$H$4)/1000)*$Q$26*(($C$8/70)^$AC$26)</f>
        <v>115.17299999999999</v>
      </c>
      <c r="I117" s="1109">
        <f t="shared" si="95"/>
        <v>153.56399999999999</v>
      </c>
      <c r="J117" s="1109">
        <f t="shared" si="95"/>
        <v>191.95499999999998</v>
      </c>
      <c r="K117" s="1109">
        <f t="shared" si="95"/>
        <v>230.34599999999998</v>
      </c>
      <c r="L117" s="1109">
        <f t="shared" si="95"/>
        <v>268.73699999999997</v>
      </c>
      <c r="M117" s="1109">
        <f t="shared" si="95"/>
        <v>307.12799999999999</v>
      </c>
      <c r="N117" s="1109">
        <f t="shared" si="95"/>
        <v>345.51900000000001</v>
      </c>
      <c r="O117" s="1109">
        <f t="shared" si="95"/>
        <v>383.90999999999997</v>
      </c>
      <c r="P117" s="1109">
        <f t="shared" si="95"/>
        <v>422.30099999999999</v>
      </c>
      <c r="Q117" s="1109">
        <f t="shared" si="95"/>
        <v>460.69199999999995</v>
      </c>
      <c r="R117" s="1109">
        <f t="shared" si="95"/>
        <v>499.08299999999997</v>
      </c>
      <c r="S117" s="1109">
        <f t="shared" si="95"/>
        <v>537.47399999999993</v>
      </c>
      <c r="T117" s="1109">
        <f t="shared" si="95"/>
        <v>575.86500000000001</v>
      </c>
      <c r="U117" s="1109">
        <f t="shared" si="95"/>
        <v>614.25599999999997</v>
      </c>
      <c r="V117" s="1109">
        <f t="shared" si="95"/>
        <v>652.64699999999993</v>
      </c>
      <c r="W117" s="1109">
        <f t="shared" si="95"/>
        <v>691.03800000000001</v>
      </c>
      <c r="X117" s="1109">
        <f t="shared" si="95"/>
        <v>729.42899999999986</v>
      </c>
      <c r="Y117" s="1109">
        <f t="shared" si="95"/>
        <v>767.81999999999994</v>
      </c>
      <c r="Z117" s="1109">
        <f t="shared" si="95"/>
        <v>806.21100000000001</v>
      </c>
      <c r="AA117" s="1109">
        <f t="shared" si="95"/>
        <v>844.60199999999998</v>
      </c>
      <c r="AB117" s="1109">
        <f t="shared" si="95"/>
        <v>882.99299999999982</v>
      </c>
      <c r="AC117" s="1109">
        <f t="shared" si="95"/>
        <v>921.3839999999999</v>
      </c>
      <c r="AD117" s="1109">
        <f t="shared" si="95"/>
        <v>959.77499999999986</v>
      </c>
      <c r="AE117" s="1109">
        <f t="shared" si="95"/>
        <v>998.16599999999994</v>
      </c>
      <c r="AF117" s="1109">
        <f t="shared" si="95"/>
        <v>1036.557</v>
      </c>
      <c r="AG117" s="1109">
        <f t="shared" si="95"/>
        <v>1074.9479999999999</v>
      </c>
      <c r="AH117" s="1109">
        <f t="shared" si="95"/>
        <v>1113.3389999999999</v>
      </c>
      <c r="AI117" s="1109">
        <f t="shared" si="95"/>
        <v>1151.73</v>
      </c>
      <c r="AJ117" s="1109">
        <f t="shared" si="95"/>
        <v>1190.1209999999999</v>
      </c>
      <c r="AK117" s="1109">
        <f t="shared" si="95"/>
        <v>1228.5119999999999</v>
      </c>
      <c r="AL117" s="1109">
        <f t="shared" si="95"/>
        <v>1266.9029999999998</v>
      </c>
      <c r="AM117" s="1109">
        <f t="shared" si="95"/>
        <v>1305.2939999999999</v>
      </c>
      <c r="AN117" s="1109">
        <f t="shared" ref="AN117:BF117" si="96">((AN$71-$H$4)/1000)*$Q$26*(($C$8/70)^$AC$26)</f>
        <v>1343.6849999999999</v>
      </c>
      <c r="AO117" s="1109">
        <f t="shared" si="96"/>
        <v>1382.076</v>
      </c>
      <c r="AP117" s="1109">
        <f t="shared" si="96"/>
        <v>1420.4669999999999</v>
      </c>
      <c r="AQ117" s="1109">
        <f t="shared" si="96"/>
        <v>1458.8579999999997</v>
      </c>
      <c r="AR117" s="1109">
        <f t="shared" si="96"/>
        <v>1497.2489999999998</v>
      </c>
      <c r="AS117" s="1109">
        <f t="shared" si="96"/>
        <v>1535.6399999999999</v>
      </c>
      <c r="AT117" s="1109">
        <f t="shared" si="96"/>
        <v>1574.0309999999997</v>
      </c>
      <c r="AU117" s="1109">
        <f t="shared" si="96"/>
        <v>1612.422</v>
      </c>
      <c r="AV117" s="1109">
        <f t="shared" si="96"/>
        <v>1650.8129999999999</v>
      </c>
      <c r="AW117" s="1109">
        <f t="shared" si="96"/>
        <v>1689.204</v>
      </c>
      <c r="AX117" s="1109">
        <f t="shared" si="96"/>
        <v>1727.5949999999998</v>
      </c>
      <c r="AY117" s="1109">
        <f t="shared" si="96"/>
        <v>1765.9859999999996</v>
      </c>
      <c r="AZ117" s="1109">
        <f t="shared" si="96"/>
        <v>1804.377</v>
      </c>
      <c r="BA117" s="1109">
        <f t="shared" si="96"/>
        <v>1842.7679999999998</v>
      </c>
      <c r="BB117" s="1109">
        <f t="shared" si="96"/>
        <v>1881.1589999999999</v>
      </c>
      <c r="BC117" s="1109">
        <f t="shared" si="96"/>
        <v>1919.5499999999997</v>
      </c>
      <c r="BD117" s="1109">
        <f t="shared" si="96"/>
        <v>1957.9409999999998</v>
      </c>
      <c r="BE117" s="1109">
        <f t="shared" si="96"/>
        <v>1996.3319999999999</v>
      </c>
      <c r="BF117" s="1110">
        <f t="shared" si="96"/>
        <v>2034.7229999999997</v>
      </c>
    </row>
    <row r="118" spans="1:58">
      <c r="A118" s="2098"/>
      <c r="B118" s="2182" t="s">
        <v>275</v>
      </c>
      <c r="C118" s="2183"/>
      <c r="D118" s="465" t="s">
        <v>226</v>
      </c>
      <c r="E118" s="508">
        <v>90</v>
      </c>
      <c r="F118" s="508">
        <v>400</v>
      </c>
      <c r="G118" s="465" t="s">
        <v>232</v>
      </c>
      <c r="H118" s="659">
        <f t="shared" ref="H118:AM118" si="97">((H$71-$H$4)/1000)*$R$26*(($C$8/70)^$AD$26)</f>
        <v>121.94978052599998</v>
      </c>
      <c r="I118" s="1109">
        <f t="shared" si="97"/>
        <v>162.599707368</v>
      </c>
      <c r="J118" s="1109">
        <f t="shared" si="97"/>
        <v>203.24963420999998</v>
      </c>
      <c r="K118" s="1109">
        <f t="shared" si="97"/>
        <v>243.89956105199997</v>
      </c>
      <c r="L118" s="1109">
        <f t="shared" si="97"/>
        <v>284.54948789399998</v>
      </c>
      <c r="M118" s="1109">
        <f t="shared" si="97"/>
        <v>325.19941473599999</v>
      </c>
      <c r="N118" s="1109">
        <f t="shared" si="97"/>
        <v>365.84934157799995</v>
      </c>
      <c r="O118" s="1109">
        <f t="shared" si="97"/>
        <v>406.49926841999996</v>
      </c>
      <c r="P118" s="1109">
        <f t="shared" si="97"/>
        <v>447.14919526199998</v>
      </c>
      <c r="Q118" s="1109">
        <f t="shared" si="97"/>
        <v>487.79912210399993</v>
      </c>
      <c r="R118" s="1109">
        <f t="shared" si="97"/>
        <v>528.44904894599995</v>
      </c>
      <c r="S118" s="1109">
        <f t="shared" si="97"/>
        <v>569.09897578799996</v>
      </c>
      <c r="T118" s="1109">
        <f t="shared" si="97"/>
        <v>609.74890262999998</v>
      </c>
      <c r="U118" s="1109">
        <f t="shared" si="97"/>
        <v>650.39882947199999</v>
      </c>
      <c r="V118" s="1109">
        <f t="shared" si="97"/>
        <v>691.04875631399989</v>
      </c>
      <c r="W118" s="1109">
        <f t="shared" si="97"/>
        <v>731.6986831559999</v>
      </c>
      <c r="X118" s="1109">
        <f t="shared" si="97"/>
        <v>772.34860999799992</v>
      </c>
      <c r="Y118" s="1109">
        <f t="shared" si="97"/>
        <v>812.99853683999993</v>
      </c>
      <c r="Z118" s="1109">
        <f t="shared" si="97"/>
        <v>853.64846368199994</v>
      </c>
      <c r="AA118" s="1109">
        <f t="shared" si="97"/>
        <v>894.29839052399996</v>
      </c>
      <c r="AB118" s="1109">
        <f t="shared" si="97"/>
        <v>934.94831736599986</v>
      </c>
      <c r="AC118" s="1109">
        <f t="shared" si="97"/>
        <v>975.59824420799987</v>
      </c>
      <c r="AD118" s="1109">
        <f t="shared" si="97"/>
        <v>1016.2481710499999</v>
      </c>
      <c r="AE118" s="1109">
        <f t="shared" si="97"/>
        <v>1056.8980978919999</v>
      </c>
      <c r="AF118" s="1109">
        <f t="shared" si="97"/>
        <v>1097.5480247339999</v>
      </c>
      <c r="AG118" s="1109">
        <f t="shared" si="97"/>
        <v>1138.1979515759999</v>
      </c>
      <c r="AH118" s="1109">
        <f t="shared" si="97"/>
        <v>1178.8478784179999</v>
      </c>
      <c r="AI118" s="1109">
        <f t="shared" si="97"/>
        <v>1219.49780526</v>
      </c>
      <c r="AJ118" s="1109">
        <f t="shared" si="97"/>
        <v>1260.147732102</v>
      </c>
      <c r="AK118" s="1109">
        <f t="shared" si="97"/>
        <v>1300.797658944</v>
      </c>
      <c r="AL118" s="1109">
        <f t="shared" si="97"/>
        <v>1341.4475857859998</v>
      </c>
      <c r="AM118" s="1109">
        <f t="shared" si="97"/>
        <v>1382.0975126279998</v>
      </c>
      <c r="AN118" s="1109">
        <f t="shared" ref="AN118:BF118" si="98">((AN$71-$H$4)/1000)*$R$26*(($C$8/70)^$AD$26)</f>
        <v>1422.7474394699998</v>
      </c>
      <c r="AO118" s="1109">
        <f t="shared" si="98"/>
        <v>1463.3973663119998</v>
      </c>
      <c r="AP118" s="1109">
        <f t="shared" si="98"/>
        <v>1504.047293154</v>
      </c>
      <c r="AQ118" s="1109">
        <f t="shared" si="98"/>
        <v>1544.6972199959998</v>
      </c>
      <c r="AR118" s="1109">
        <f t="shared" si="98"/>
        <v>1585.3471468379998</v>
      </c>
      <c r="AS118" s="1109">
        <f t="shared" si="98"/>
        <v>1625.9970736799999</v>
      </c>
      <c r="AT118" s="1109">
        <f t="shared" si="98"/>
        <v>1666.6470005219996</v>
      </c>
      <c r="AU118" s="1109">
        <f t="shared" si="98"/>
        <v>1707.2969273639999</v>
      </c>
      <c r="AV118" s="1109">
        <f t="shared" si="98"/>
        <v>1747.9468542059997</v>
      </c>
      <c r="AW118" s="1109">
        <f t="shared" si="98"/>
        <v>1788.5967810479999</v>
      </c>
      <c r="AX118" s="1109">
        <f t="shared" si="98"/>
        <v>1829.2467078899999</v>
      </c>
      <c r="AY118" s="1109">
        <f t="shared" si="98"/>
        <v>1869.8966347319997</v>
      </c>
      <c r="AZ118" s="1109">
        <f t="shared" si="98"/>
        <v>1910.546561574</v>
      </c>
      <c r="BA118" s="1109">
        <f t="shared" si="98"/>
        <v>1951.1964884159997</v>
      </c>
      <c r="BB118" s="1109">
        <f t="shared" si="98"/>
        <v>1991.846415258</v>
      </c>
      <c r="BC118" s="1109">
        <f t="shared" si="98"/>
        <v>2032.4963420999998</v>
      </c>
      <c r="BD118" s="1109">
        <f t="shared" si="98"/>
        <v>2073.1462689419996</v>
      </c>
      <c r="BE118" s="1109">
        <f t="shared" si="98"/>
        <v>2113.7961957839998</v>
      </c>
      <c r="BF118" s="1110">
        <f t="shared" si="98"/>
        <v>2154.4461226259996</v>
      </c>
    </row>
    <row r="119" spans="1:58" ht="15.75" thickBot="1">
      <c r="A119" s="2098"/>
      <c r="B119" s="2192" t="s">
        <v>276</v>
      </c>
      <c r="C119" s="2193"/>
      <c r="D119" s="466" t="s">
        <v>226</v>
      </c>
      <c r="E119" s="509">
        <v>90</v>
      </c>
      <c r="F119" s="509">
        <v>400</v>
      </c>
      <c r="G119" s="466" t="s">
        <v>252</v>
      </c>
      <c r="H119" s="1111">
        <f t="shared" ref="H119:AM119" si="99">((H$71-$H$4)/1000)*$S$26*(($C$8/70)^$AE$26)</f>
        <v>150.47999999999999</v>
      </c>
      <c r="I119" s="1112">
        <f t="shared" si="99"/>
        <v>200.64</v>
      </c>
      <c r="J119" s="1112">
        <f t="shared" si="99"/>
        <v>250.79999999999998</v>
      </c>
      <c r="K119" s="1112">
        <f t="shared" si="99"/>
        <v>300.95999999999998</v>
      </c>
      <c r="L119" s="1112">
        <f t="shared" si="99"/>
        <v>351.11999999999995</v>
      </c>
      <c r="M119" s="1112">
        <f t="shared" si="99"/>
        <v>401.28</v>
      </c>
      <c r="N119" s="1112">
        <f t="shared" si="99"/>
        <v>451.44</v>
      </c>
      <c r="O119" s="1112">
        <f t="shared" si="99"/>
        <v>501.59999999999997</v>
      </c>
      <c r="P119" s="1112">
        <f t="shared" si="99"/>
        <v>551.76</v>
      </c>
      <c r="Q119" s="1112">
        <f t="shared" si="99"/>
        <v>601.91999999999996</v>
      </c>
      <c r="R119" s="1112">
        <f t="shared" si="99"/>
        <v>652.07999999999993</v>
      </c>
      <c r="S119" s="1112">
        <f t="shared" si="99"/>
        <v>702.2399999999999</v>
      </c>
      <c r="T119" s="1112">
        <f t="shared" si="99"/>
        <v>752.4</v>
      </c>
      <c r="U119" s="1112">
        <f t="shared" si="99"/>
        <v>802.56</v>
      </c>
      <c r="V119" s="1112">
        <f t="shared" si="99"/>
        <v>852.71999999999991</v>
      </c>
      <c r="W119" s="1112">
        <f t="shared" si="99"/>
        <v>902.88</v>
      </c>
      <c r="X119" s="1112">
        <f t="shared" si="99"/>
        <v>953.03999999999985</v>
      </c>
      <c r="Y119" s="1112">
        <f t="shared" si="99"/>
        <v>1003.1999999999999</v>
      </c>
      <c r="Z119" s="1112">
        <f t="shared" si="99"/>
        <v>1053.3599999999999</v>
      </c>
      <c r="AA119" s="1112">
        <f t="shared" si="99"/>
        <v>1103.52</v>
      </c>
      <c r="AB119" s="1112">
        <f t="shared" si="99"/>
        <v>1153.6799999999998</v>
      </c>
      <c r="AC119" s="1112">
        <f t="shared" si="99"/>
        <v>1203.8399999999999</v>
      </c>
      <c r="AD119" s="1112">
        <f t="shared" si="99"/>
        <v>1254</v>
      </c>
      <c r="AE119" s="1112">
        <f t="shared" si="99"/>
        <v>1304.1599999999999</v>
      </c>
      <c r="AF119" s="1112">
        <f t="shared" si="99"/>
        <v>1354.32</v>
      </c>
      <c r="AG119" s="1112">
        <f t="shared" si="99"/>
        <v>1404.4799999999998</v>
      </c>
      <c r="AH119" s="1112">
        <f t="shared" si="99"/>
        <v>1454.6399999999999</v>
      </c>
      <c r="AI119" s="1112">
        <f t="shared" si="99"/>
        <v>1504.8</v>
      </c>
      <c r="AJ119" s="1112">
        <f t="shared" si="99"/>
        <v>1554.96</v>
      </c>
      <c r="AK119" s="1112">
        <f t="shared" si="99"/>
        <v>1605.12</v>
      </c>
      <c r="AL119" s="1112">
        <f t="shared" si="99"/>
        <v>1655.2799999999997</v>
      </c>
      <c r="AM119" s="1112">
        <f t="shared" si="99"/>
        <v>1705.4399999999998</v>
      </c>
      <c r="AN119" s="1112">
        <f t="shared" ref="AN119:BF119" si="100">((AN$71-$H$4)/1000)*$S$26*(($C$8/70)^$AE$26)</f>
        <v>1755.6</v>
      </c>
      <c r="AO119" s="1112">
        <f t="shared" si="100"/>
        <v>1805.76</v>
      </c>
      <c r="AP119" s="1112">
        <f t="shared" si="100"/>
        <v>1855.92</v>
      </c>
      <c r="AQ119" s="1112">
        <f t="shared" si="100"/>
        <v>1906.0799999999997</v>
      </c>
      <c r="AR119" s="1112">
        <f t="shared" si="100"/>
        <v>1956.2399999999998</v>
      </c>
      <c r="AS119" s="1112">
        <f t="shared" si="100"/>
        <v>2006.3999999999999</v>
      </c>
      <c r="AT119" s="1112">
        <f t="shared" si="100"/>
        <v>2056.5599999999995</v>
      </c>
      <c r="AU119" s="1112">
        <f t="shared" si="100"/>
        <v>2106.7199999999998</v>
      </c>
      <c r="AV119" s="1112">
        <f t="shared" si="100"/>
        <v>2156.8799999999997</v>
      </c>
      <c r="AW119" s="1112">
        <f t="shared" si="100"/>
        <v>2207.04</v>
      </c>
      <c r="AX119" s="1112">
        <f t="shared" si="100"/>
        <v>2257.1999999999998</v>
      </c>
      <c r="AY119" s="1112">
        <f t="shared" si="100"/>
        <v>2307.3599999999997</v>
      </c>
      <c r="AZ119" s="1112">
        <f t="shared" si="100"/>
        <v>2357.52</v>
      </c>
      <c r="BA119" s="1112">
        <f t="shared" si="100"/>
        <v>2407.6799999999998</v>
      </c>
      <c r="BB119" s="1112">
        <f t="shared" si="100"/>
        <v>2457.84</v>
      </c>
      <c r="BC119" s="1112">
        <f t="shared" si="100"/>
        <v>2508</v>
      </c>
      <c r="BD119" s="1112">
        <f t="shared" si="100"/>
        <v>2558.16</v>
      </c>
      <c r="BE119" s="1112">
        <f t="shared" si="100"/>
        <v>2608.3199999999997</v>
      </c>
      <c r="BF119" s="1113">
        <f t="shared" si="100"/>
        <v>2658.4799999999996</v>
      </c>
    </row>
    <row r="120" spans="1:58">
      <c r="A120" s="2098"/>
      <c r="B120" s="2188" t="s">
        <v>277</v>
      </c>
      <c r="C120" s="2189"/>
      <c r="D120" s="467" t="s">
        <v>226</v>
      </c>
      <c r="E120" s="510">
        <v>110</v>
      </c>
      <c r="F120" s="510">
        <v>160</v>
      </c>
      <c r="G120" s="467" t="s">
        <v>227</v>
      </c>
      <c r="H120" s="1114">
        <f t="shared" ref="H120:AM120" si="101">((H$71-$H$4)/1000)*$K$27*(($C$8/70)^$W$27)</f>
        <v>66.546923509439992</v>
      </c>
      <c r="I120" s="1114">
        <f t="shared" si="101"/>
        <v>88.729231345919999</v>
      </c>
      <c r="J120" s="1114">
        <f t="shared" si="101"/>
        <v>110.91153918239999</v>
      </c>
      <c r="K120" s="1114">
        <f t="shared" si="101"/>
        <v>133.09384701887998</v>
      </c>
      <c r="L120" s="1114">
        <f t="shared" si="101"/>
        <v>155.27615485535998</v>
      </c>
      <c r="M120" s="1114">
        <f t="shared" si="101"/>
        <v>177.45846269184</v>
      </c>
      <c r="N120" s="1114">
        <f t="shared" si="101"/>
        <v>199.64077052831999</v>
      </c>
      <c r="O120" s="1114">
        <f t="shared" si="101"/>
        <v>221.82307836479998</v>
      </c>
      <c r="P120" s="1114">
        <f t="shared" si="101"/>
        <v>244.00538620128</v>
      </c>
      <c r="Q120" s="1114">
        <f t="shared" si="101"/>
        <v>266.18769403775997</v>
      </c>
      <c r="R120" s="1114">
        <f t="shared" si="101"/>
        <v>288.37000187423996</v>
      </c>
      <c r="S120" s="1114">
        <f t="shared" si="101"/>
        <v>310.55230971071995</v>
      </c>
      <c r="T120" s="1114">
        <f t="shared" si="101"/>
        <v>332.73461754719995</v>
      </c>
      <c r="U120" s="1114">
        <f t="shared" si="101"/>
        <v>354.91692538368</v>
      </c>
      <c r="V120" s="1114">
        <f t="shared" si="101"/>
        <v>377.09923322015999</v>
      </c>
      <c r="W120" s="1114">
        <f t="shared" si="101"/>
        <v>399.28154105663998</v>
      </c>
      <c r="X120" s="1114">
        <f t="shared" si="101"/>
        <v>421.46384889311997</v>
      </c>
      <c r="Y120" s="1114">
        <f t="shared" si="101"/>
        <v>443.64615672959997</v>
      </c>
      <c r="Z120" s="1114">
        <f t="shared" si="101"/>
        <v>465.82846456607996</v>
      </c>
      <c r="AA120" s="1114">
        <f t="shared" si="101"/>
        <v>488.01077240256001</v>
      </c>
      <c r="AB120" s="1114">
        <f t="shared" si="101"/>
        <v>510.19308023903994</v>
      </c>
      <c r="AC120" s="1114">
        <f t="shared" si="101"/>
        <v>532.37538807551994</v>
      </c>
      <c r="AD120" s="1114">
        <f t="shared" si="101"/>
        <v>554.55769591199999</v>
      </c>
      <c r="AE120" s="1114">
        <f t="shared" si="101"/>
        <v>576.74000374847992</v>
      </c>
      <c r="AF120" s="1114">
        <f t="shared" si="101"/>
        <v>598.92231158495997</v>
      </c>
      <c r="AG120" s="1114">
        <f t="shared" si="101"/>
        <v>621.10461942143991</v>
      </c>
      <c r="AH120" s="1114">
        <f t="shared" si="101"/>
        <v>643.28692725791996</v>
      </c>
      <c r="AI120" s="1114">
        <f t="shared" si="101"/>
        <v>665.46923509439989</v>
      </c>
      <c r="AJ120" s="1114">
        <f t="shared" si="101"/>
        <v>687.65154293087994</v>
      </c>
      <c r="AK120" s="1114">
        <f t="shared" si="101"/>
        <v>709.83385076735999</v>
      </c>
      <c r="AL120" s="1114">
        <f t="shared" si="101"/>
        <v>732.01615860383993</v>
      </c>
      <c r="AM120" s="1114">
        <f t="shared" si="101"/>
        <v>754.19846644031998</v>
      </c>
      <c r="AN120" s="1114">
        <f t="shared" ref="AN120:BF120" si="102">((AN$71-$H$4)/1000)*$K$27*(($C$8/70)^$W$27)</f>
        <v>776.38077427679991</v>
      </c>
      <c r="AO120" s="1114">
        <f t="shared" si="102"/>
        <v>798.56308211327996</v>
      </c>
      <c r="AP120" s="1114">
        <f t="shared" si="102"/>
        <v>820.74538994976001</v>
      </c>
      <c r="AQ120" s="1114">
        <f t="shared" si="102"/>
        <v>842.92769778623995</v>
      </c>
      <c r="AR120" s="1114">
        <f t="shared" si="102"/>
        <v>865.11000562271988</v>
      </c>
      <c r="AS120" s="1114">
        <f t="shared" si="102"/>
        <v>887.29231345919993</v>
      </c>
      <c r="AT120" s="1114">
        <f t="shared" si="102"/>
        <v>909.47462129567987</v>
      </c>
      <c r="AU120" s="1114">
        <f t="shared" si="102"/>
        <v>931.65692913215992</v>
      </c>
      <c r="AV120" s="1114">
        <f t="shared" si="102"/>
        <v>953.83923696863985</v>
      </c>
      <c r="AW120" s="1114">
        <f t="shared" si="102"/>
        <v>976.02154480512002</v>
      </c>
      <c r="AX120" s="1114">
        <f t="shared" si="102"/>
        <v>998.20385264159995</v>
      </c>
      <c r="AY120" s="1114">
        <f t="shared" si="102"/>
        <v>1020.3861604780799</v>
      </c>
      <c r="AZ120" s="1114">
        <f t="shared" si="102"/>
        <v>1042.5684683145601</v>
      </c>
      <c r="BA120" s="1114">
        <f t="shared" si="102"/>
        <v>1064.7507761510399</v>
      </c>
      <c r="BB120" s="1114">
        <f t="shared" si="102"/>
        <v>1086.9330839875199</v>
      </c>
      <c r="BC120" s="1114">
        <f t="shared" si="102"/>
        <v>1109.115391824</v>
      </c>
      <c r="BD120" s="1114">
        <f t="shared" si="102"/>
        <v>1131.2976996604798</v>
      </c>
      <c r="BE120" s="1114">
        <f t="shared" si="102"/>
        <v>1153.4800074969598</v>
      </c>
      <c r="BF120" s="1115">
        <f t="shared" si="102"/>
        <v>1175.6623153334399</v>
      </c>
    </row>
    <row r="121" spans="1:58">
      <c r="A121" s="2098"/>
      <c r="B121" s="2190" t="s">
        <v>278</v>
      </c>
      <c r="C121" s="2191"/>
      <c r="D121" s="468" t="s">
        <v>226</v>
      </c>
      <c r="E121" s="511">
        <v>110</v>
      </c>
      <c r="F121" s="511">
        <v>200</v>
      </c>
      <c r="G121" s="468" t="s">
        <v>227</v>
      </c>
      <c r="H121" s="1116">
        <f t="shared" ref="H121:AM121" si="103">((H$71-$H$4)/1000)*$L$27*(($C$8/70)^$X$27)</f>
        <v>75.621503987999986</v>
      </c>
      <c r="I121" s="1116">
        <f t="shared" si="103"/>
        <v>100.828671984</v>
      </c>
      <c r="J121" s="1116">
        <f t="shared" si="103"/>
        <v>126.03583997999999</v>
      </c>
      <c r="K121" s="1116">
        <f t="shared" si="103"/>
        <v>151.24300797599997</v>
      </c>
      <c r="L121" s="1116">
        <f t="shared" si="103"/>
        <v>176.45017597199998</v>
      </c>
      <c r="M121" s="1116">
        <f t="shared" si="103"/>
        <v>201.65734396799999</v>
      </c>
      <c r="N121" s="1116">
        <f t="shared" si="103"/>
        <v>226.864511964</v>
      </c>
      <c r="O121" s="1116">
        <f t="shared" si="103"/>
        <v>252.07167995999998</v>
      </c>
      <c r="P121" s="1116">
        <f t="shared" si="103"/>
        <v>277.27884795599999</v>
      </c>
      <c r="Q121" s="1116">
        <f t="shared" si="103"/>
        <v>302.48601595199995</v>
      </c>
      <c r="R121" s="1116">
        <f t="shared" si="103"/>
        <v>327.69318394800001</v>
      </c>
      <c r="S121" s="1116">
        <f t="shared" si="103"/>
        <v>352.90035194399996</v>
      </c>
      <c r="T121" s="1116">
        <f t="shared" si="103"/>
        <v>378.10751993999997</v>
      </c>
      <c r="U121" s="1116">
        <f t="shared" si="103"/>
        <v>403.31468793599998</v>
      </c>
      <c r="V121" s="1116">
        <f t="shared" si="103"/>
        <v>428.52185593199994</v>
      </c>
      <c r="W121" s="1116">
        <f t="shared" si="103"/>
        <v>453.729023928</v>
      </c>
      <c r="X121" s="1116">
        <f t="shared" si="103"/>
        <v>478.93619192399996</v>
      </c>
      <c r="Y121" s="1116">
        <f t="shared" si="103"/>
        <v>504.14335991999997</v>
      </c>
      <c r="Z121" s="1116">
        <f t="shared" si="103"/>
        <v>529.35052791600003</v>
      </c>
      <c r="AA121" s="1116">
        <f t="shared" si="103"/>
        <v>554.55769591199999</v>
      </c>
      <c r="AB121" s="1116">
        <f t="shared" si="103"/>
        <v>579.76486390799994</v>
      </c>
      <c r="AC121" s="1116">
        <f t="shared" si="103"/>
        <v>604.97203190399989</v>
      </c>
      <c r="AD121" s="1116">
        <f t="shared" si="103"/>
        <v>630.17919989999996</v>
      </c>
      <c r="AE121" s="1116">
        <f t="shared" si="103"/>
        <v>655.38636789600002</v>
      </c>
      <c r="AF121" s="1116">
        <f t="shared" si="103"/>
        <v>680.59353589199998</v>
      </c>
      <c r="AG121" s="1116">
        <f t="shared" si="103"/>
        <v>705.80070388799993</v>
      </c>
      <c r="AH121" s="1116">
        <f t="shared" si="103"/>
        <v>731.00787188399988</v>
      </c>
      <c r="AI121" s="1116">
        <f t="shared" si="103"/>
        <v>756.21503987999995</v>
      </c>
      <c r="AJ121" s="1116">
        <f t="shared" si="103"/>
        <v>781.42220787600002</v>
      </c>
      <c r="AK121" s="1116">
        <f t="shared" si="103"/>
        <v>806.62937587199997</v>
      </c>
      <c r="AL121" s="1116">
        <f t="shared" si="103"/>
        <v>831.83654386799992</v>
      </c>
      <c r="AM121" s="1116">
        <f t="shared" si="103"/>
        <v>857.04371186399987</v>
      </c>
      <c r="AN121" s="1116">
        <f t="shared" ref="AN121:BF121" si="104">((AN$71-$H$4)/1000)*$L$27*(($C$8/70)^$X$27)</f>
        <v>882.25087985999994</v>
      </c>
      <c r="AO121" s="1116">
        <f t="shared" si="104"/>
        <v>907.45804785600001</v>
      </c>
      <c r="AP121" s="1116">
        <f t="shared" si="104"/>
        <v>932.66521585199996</v>
      </c>
      <c r="AQ121" s="1116">
        <f t="shared" si="104"/>
        <v>957.87238384799991</v>
      </c>
      <c r="AR121" s="1116">
        <f t="shared" si="104"/>
        <v>983.07955184399987</v>
      </c>
      <c r="AS121" s="1116">
        <f t="shared" si="104"/>
        <v>1008.2867198399999</v>
      </c>
      <c r="AT121" s="1116">
        <f t="shared" si="104"/>
        <v>1033.4938878359999</v>
      </c>
      <c r="AU121" s="1116">
        <f t="shared" si="104"/>
        <v>1058.7010558320001</v>
      </c>
      <c r="AV121" s="1116">
        <f t="shared" si="104"/>
        <v>1083.9082238279998</v>
      </c>
      <c r="AW121" s="1116">
        <f t="shared" si="104"/>
        <v>1109.115391824</v>
      </c>
      <c r="AX121" s="1116">
        <f t="shared" si="104"/>
        <v>1134.3225598199999</v>
      </c>
      <c r="AY121" s="1116">
        <f t="shared" si="104"/>
        <v>1159.5297278159999</v>
      </c>
      <c r="AZ121" s="1116">
        <f t="shared" si="104"/>
        <v>1184.7368958120001</v>
      </c>
      <c r="BA121" s="1116">
        <f t="shared" si="104"/>
        <v>1209.9440638079998</v>
      </c>
      <c r="BB121" s="1116">
        <f t="shared" si="104"/>
        <v>1235.151231804</v>
      </c>
      <c r="BC121" s="1116">
        <f t="shared" si="104"/>
        <v>1260.3583997999999</v>
      </c>
      <c r="BD121" s="1116">
        <f t="shared" si="104"/>
        <v>1285.5655677959999</v>
      </c>
      <c r="BE121" s="1116">
        <f t="shared" si="104"/>
        <v>1310.772735792</v>
      </c>
      <c r="BF121" s="1117">
        <f t="shared" si="104"/>
        <v>1335.9799037879998</v>
      </c>
    </row>
    <row r="122" spans="1:58">
      <c r="A122" s="2098"/>
      <c r="B122" s="2190" t="s">
        <v>279</v>
      </c>
      <c r="C122" s="2191"/>
      <c r="D122" s="468" t="s">
        <v>226</v>
      </c>
      <c r="E122" s="511">
        <v>110</v>
      </c>
      <c r="F122" s="511">
        <v>260</v>
      </c>
      <c r="G122" s="468" t="s">
        <v>227</v>
      </c>
      <c r="H122" s="1116">
        <f t="shared" ref="H122:AM122" si="105">((H$71-$H$4)/1000)*$M$27*(($C$8/70)^$Y$27)</f>
        <v>95.549747034952233</v>
      </c>
      <c r="I122" s="1116">
        <f t="shared" si="105"/>
        <v>127.39966271326965</v>
      </c>
      <c r="J122" s="1116">
        <f t="shared" si="105"/>
        <v>159.24957839158705</v>
      </c>
      <c r="K122" s="1116">
        <f t="shared" si="105"/>
        <v>191.09949406990447</v>
      </c>
      <c r="L122" s="1116">
        <f t="shared" si="105"/>
        <v>222.94940974822185</v>
      </c>
      <c r="M122" s="1116">
        <f t="shared" si="105"/>
        <v>254.7993254265393</v>
      </c>
      <c r="N122" s="1116">
        <f t="shared" si="105"/>
        <v>286.64924110485669</v>
      </c>
      <c r="O122" s="1116">
        <f t="shared" si="105"/>
        <v>318.4991567831741</v>
      </c>
      <c r="P122" s="1116">
        <f t="shared" si="105"/>
        <v>350.34907246149152</v>
      </c>
      <c r="Q122" s="1116">
        <f t="shared" si="105"/>
        <v>382.19898813980893</v>
      </c>
      <c r="R122" s="1116">
        <f t="shared" si="105"/>
        <v>414.04890381812635</v>
      </c>
      <c r="S122" s="1116">
        <f t="shared" si="105"/>
        <v>445.89881949644371</v>
      </c>
      <c r="T122" s="1116">
        <f t="shared" si="105"/>
        <v>477.74873517476112</v>
      </c>
      <c r="U122" s="1116">
        <f t="shared" si="105"/>
        <v>509.5986508530786</v>
      </c>
      <c r="V122" s="1116">
        <f t="shared" si="105"/>
        <v>541.44856653139595</v>
      </c>
      <c r="W122" s="1116">
        <f t="shared" si="105"/>
        <v>573.29848220971337</v>
      </c>
      <c r="X122" s="1116">
        <f t="shared" si="105"/>
        <v>605.14839788803079</v>
      </c>
      <c r="Y122" s="1116">
        <f t="shared" si="105"/>
        <v>636.9983135663482</v>
      </c>
      <c r="Z122" s="1116">
        <f t="shared" si="105"/>
        <v>668.84822924466562</v>
      </c>
      <c r="AA122" s="1116">
        <f t="shared" si="105"/>
        <v>700.69814492298303</v>
      </c>
      <c r="AB122" s="1116">
        <f t="shared" si="105"/>
        <v>732.54806060130034</v>
      </c>
      <c r="AC122" s="1116">
        <f t="shared" si="105"/>
        <v>764.39797627961786</v>
      </c>
      <c r="AD122" s="1116">
        <f t="shared" si="105"/>
        <v>796.24789195793528</v>
      </c>
      <c r="AE122" s="1116">
        <f t="shared" si="105"/>
        <v>828.0978076362527</v>
      </c>
      <c r="AF122" s="1116">
        <f t="shared" si="105"/>
        <v>859.94772331457011</v>
      </c>
      <c r="AG122" s="1116">
        <f t="shared" si="105"/>
        <v>891.79763899288741</v>
      </c>
      <c r="AH122" s="1116">
        <f t="shared" si="105"/>
        <v>923.64755467120483</v>
      </c>
      <c r="AI122" s="1116">
        <f t="shared" si="105"/>
        <v>955.49747034952225</v>
      </c>
      <c r="AJ122" s="1116">
        <f t="shared" si="105"/>
        <v>987.34738602783978</v>
      </c>
      <c r="AK122" s="1116">
        <f t="shared" si="105"/>
        <v>1019.1973017061572</v>
      </c>
      <c r="AL122" s="1116">
        <f t="shared" si="105"/>
        <v>1051.0472173844744</v>
      </c>
      <c r="AM122" s="1116">
        <f t="shared" si="105"/>
        <v>1082.8971330627919</v>
      </c>
      <c r="AN122" s="1116">
        <f t="shared" ref="AN122:BF122" si="106">((AN$71-$H$4)/1000)*$M$27*(($C$8/70)^$Y$27)</f>
        <v>1114.7470487411094</v>
      </c>
      <c r="AO122" s="1116">
        <f t="shared" si="106"/>
        <v>1146.5969644194267</v>
      </c>
      <c r="AP122" s="1116">
        <f t="shared" si="106"/>
        <v>1178.4468800977443</v>
      </c>
      <c r="AQ122" s="1116">
        <f t="shared" si="106"/>
        <v>1210.2967957760616</v>
      </c>
      <c r="AR122" s="1116">
        <f t="shared" si="106"/>
        <v>1242.1467114543789</v>
      </c>
      <c r="AS122" s="1116">
        <f t="shared" si="106"/>
        <v>1273.9966271326964</v>
      </c>
      <c r="AT122" s="1116">
        <f t="shared" si="106"/>
        <v>1305.8465428110137</v>
      </c>
      <c r="AU122" s="1116">
        <f t="shared" si="106"/>
        <v>1337.6964584893312</v>
      </c>
      <c r="AV122" s="1116">
        <f t="shared" si="106"/>
        <v>1369.5463741676485</v>
      </c>
      <c r="AW122" s="1116">
        <f t="shared" si="106"/>
        <v>1401.3962898459661</v>
      </c>
      <c r="AX122" s="1116">
        <f t="shared" si="106"/>
        <v>1433.2462055242834</v>
      </c>
      <c r="AY122" s="1116">
        <f t="shared" si="106"/>
        <v>1465.0961212026007</v>
      </c>
      <c r="AZ122" s="1116">
        <f t="shared" si="106"/>
        <v>1496.9460368809184</v>
      </c>
      <c r="BA122" s="1116">
        <f t="shared" si="106"/>
        <v>1528.7959525592357</v>
      </c>
      <c r="BB122" s="1116">
        <f t="shared" si="106"/>
        <v>1560.6458682375533</v>
      </c>
      <c r="BC122" s="1116">
        <f t="shared" si="106"/>
        <v>1592.4957839158706</v>
      </c>
      <c r="BD122" s="1116">
        <f t="shared" si="106"/>
        <v>1624.3456995941879</v>
      </c>
      <c r="BE122" s="1116">
        <f t="shared" si="106"/>
        <v>1656.1956152725054</v>
      </c>
      <c r="BF122" s="1117">
        <f t="shared" si="106"/>
        <v>1688.0455309508227</v>
      </c>
    </row>
    <row r="123" spans="1:58">
      <c r="A123" s="2098"/>
      <c r="B123" s="2190" t="s">
        <v>280</v>
      </c>
      <c r="C123" s="2191"/>
      <c r="D123" s="468" t="s">
        <v>226</v>
      </c>
      <c r="E123" s="511">
        <v>110</v>
      </c>
      <c r="F123" s="511">
        <v>300</v>
      </c>
      <c r="G123" s="468" t="s">
        <v>227</v>
      </c>
      <c r="H123" s="1116">
        <f t="shared" ref="H123:AM123" si="107">((H$71-$H$4)/1000)*$N$27*(($C$8/70)^$Z$27)</f>
        <v>102.34681301542689</v>
      </c>
      <c r="I123" s="1116">
        <f t="shared" si="107"/>
        <v>136.46241735390251</v>
      </c>
      <c r="J123" s="1116">
        <f t="shared" si="107"/>
        <v>170.57802169237814</v>
      </c>
      <c r="K123" s="1116">
        <f t="shared" si="107"/>
        <v>204.69362603085378</v>
      </c>
      <c r="L123" s="1116">
        <f t="shared" si="107"/>
        <v>238.80923036932938</v>
      </c>
      <c r="M123" s="1116">
        <f t="shared" si="107"/>
        <v>272.92483470780502</v>
      </c>
      <c r="N123" s="1116">
        <f t="shared" si="107"/>
        <v>307.04043904628065</v>
      </c>
      <c r="O123" s="1116">
        <f t="shared" si="107"/>
        <v>341.15604338475629</v>
      </c>
      <c r="P123" s="1116">
        <f t="shared" si="107"/>
        <v>375.27164772323192</v>
      </c>
      <c r="Q123" s="1116">
        <f t="shared" si="107"/>
        <v>409.38725206170756</v>
      </c>
      <c r="R123" s="1116">
        <f t="shared" si="107"/>
        <v>443.50285640018319</v>
      </c>
      <c r="S123" s="1116">
        <f t="shared" si="107"/>
        <v>477.61846073865877</v>
      </c>
      <c r="T123" s="1116">
        <f t="shared" si="107"/>
        <v>511.73406507713446</v>
      </c>
      <c r="U123" s="1116">
        <f t="shared" si="107"/>
        <v>545.84966941561004</v>
      </c>
      <c r="V123" s="1116">
        <f t="shared" si="107"/>
        <v>579.96527375408573</v>
      </c>
      <c r="W123" s="1116">
        <f t="shared" si="107"/>
        <v>614.08087809256131</v>
      </c>
      <c r="X123" s="1116">
        <f t="shared" si="107"/>
        <v>648.19648243103688</v>
      </c>
      <c r="Y123" s="1116">
        <f t="shared" si="107"/>
        <v>682.31208676951258</v>
      </c>
      <c r="Z123" s="1116">
        <f t="shared" si="107"/>
        <v>716.42769110798827</v>
      </c>
      <c r="AA123" s="1116">
        <f t="shared" si="107"/>
        <v>750.54329544646384</v>
      </c>
      <c r="AB123" s="1116">
        <f t="shared" si="107"/>
        <v>784.65889978493942</v>
      </c>
      <c r="AC123" s="1116">
        <f t="shared" si="107"/>
        <v>818.77450412341511</v>
      </c>
      <c r="AD123" s="1116">
        <f t="shared" si="107"/>
        <v>852.89010846189069</v>
      </c>
      <c r="AE123" s="1116">
        <f t="shared" si="107"/>
        <v>887.00571280036638</v>
      </c>
      <c r="AF123" s="1116">
        <f t="shared" si="107"/>
        <v>921.12131713884207</v>
      </c>
      <c r="AG123" s="1116">
        <f t="shared" si="107"/>
        <v>955.23692147731754</v>
      </c>
      <c r="AH123" s="1116">
        <f t="shared" si="107"/>
        <v>989.35252581579323</v>
      </c>
      <c r="AI123" s="1116">
        <f t="shared" si="107"/>
        <v>1023.4681301542689</v>
      </c>
      <c r="AJ123" s="1116">
        <f t="shared" si="107"/>
        <v>1057.5837344927445</v>
      </c>
      <c r="AK123" s="1116">
        <f t="shared" si="107"/>
        <v>1091.6993388312201</v>
      </c>
      <c r="AL123" s="1116">
        <f t="shared" si="107"/>
        <v>1125.8149431696957</v>
      </c>
      <c r="AM123" s="1116">
        <f t="shared" si="107"/>
        <v>1159.9305475081715</v>
      </c>
      <c r="AN123" s="1116">
        <f t="shared" ref="AN123:BF123" si="108">((AN$71-$H$4)/1000)*$N$27*(($C$8/70)^$Z$27)</f>
        <v>1194.046151846647</v>
      </c>
      <c r="AO123" s="1116">
        <f t="shared" si="108"/>
        <v>1228.1617561851226</v>
      </c>
      <c r="AP123" s="1116">
        <f t="shared" si="108"/>
        <v>1262.2773605235984</v>
      </c>
      <c r="AQ123" s="1116">
        <f t="shared" si="108"/>
        <v>1296.3929648620738</v>
      </c>
      <c r="AR123" s="1116">
        <f t="shared" si="108"/>
        <v>1330.5085692005496</v>
      </c>
      <c r="AS123" s="1116">
        <f t="shared" si="108"/>
        <v>1364.6241735390252</v>
      </c>
      <c r="AT123" s="1116">
        <f t="shared" si="108"/>
        <v>1398.7397778775007</v>
      </c>
      <c r="AU123" s="1116">
        <f t="shared" si="108"/>
        <v>1432.8553822159765</v>
      </c>
      <c r="AV123" s="1116">
        <f t="shared" si="108"/>
        <v>1466.9709865544519</v>
      </c>
      <c r="AW123" s="1116">
        <f t="shared" si="108"/>
        <v>1501.0865908929277</v>
      </c>
      <c r="AX123" s="1116">
        <f t="shared" si="108"/>
        <v>1535.2021952314033</v>
      </c>
      <c r="AY123" s="1116">
        <f t="shared" si="108"/>
        <v>1569.3177995698788</v>
      </c>
      <c r="AZ123" s="1116">
        <f t="shared" si="108"/>
        <v>1603.4334039083546</v>
      </c>
      <c r="BA123" s="1116">
        <f t="shared" si="108"/>
        <v>1637.5490082468302</v>
      </c>
      <c r="BB123" s="1116">
        <f t="shared" si="108"/>
        <v>1671.664612585306</v>
      </c>
      <c r="BC123" s="1116">
        <f t="shared" si="108"/>
        <v>1705.7802169237814</v>
      </c>
      <c r="BD123" s="1116">
        <f t="shared" si="108"/>
        <v>1739.895821262257</v>
      </c>
      <c r="BE123" s="1116">
        <f t="shared" si="108"/>
        <v>1774.0114256007328</v>
      </c>
      <c r="BF123" s="1117">
        <f t="shared" si="108"/>
        <v>1808.1270299392083</v>
      </c>
    </row>
    <row r="124" spans="1:58">
      <c r="A124" s="2098"/>
      <c r="B124" s="2190" t="s">
        <v>281</v>
      </c>
      <c r="C124" s="2191"/>
      <c r="D124" s="468" t="s">
        <v>226</v>
      </c>
      <c r="E124" s="511">
        <v>110</v>
      </c>
      <c r="F124" s="511">
        <v>300</v>
      </c>
      <c r="G124" s="468" t="s">
        <v>232</v>
      </c>
      <c r="H124" s="1116">
        <f>((H$71-$H$4)/1000)*$O$27*(($C$8/70)^$AA$27)</f>
        <v>130.18180341600001</v>
      </c>
      <c r="I124" s="1116">
        <f t="shared" ref="I124:AN124" si="109">((I$71-$H$4)/1000)*$O$27*(($C$8/70)^$AA27)</f>
        <v>173.57573788800002</v>
      </c>
      <c r="J124" s="1116">
        <f t="shared" si="109"/>
        <v>216.96967236</v>
      </c>
      <c r="K124" s="1116">
        <f t="shared" si="109"/>
        <v>260.36360683200002</v>
      </c>
      <c r="L124" s="1116">
        <f t="shared" si="109"/>
        <v>303.75754130399997</v>
      </c>
      <c r="M124" s="1116">
        <f t="shared" si="109"/>
        <v>347.15147577600004</v>
      </c>
      <c r="N124" s="1116">
        <f t="shared" si="109"/>
        <v>390.545410248</v>
      </c>
      <c r="O124" s="1116">
        <f t="shared" si="109"/>
        <v>433.93934472000001</v>
      </c>
      <c r="P124" s="1116">
        <f t="shared" si="109"/>
        <v>477.33327919200002</v>
      </c>
      <c r="Q124" s="1116">
        <f t="shared" si="109"/>
        <v>520.72721366400003</v>
      </c>
      <c r="R124" s="1116">
        <f t="shared" si="109"/>
        <v>564.12114813599999</v>
      </c>
      <c r="S124" s="1116">
        <f t="shared" si="109"/>
        <v>607.51508260799994</v>
      </c>
      <c r="T124" s="1116">
        <f t="shared" si="109"/>
        <v>650.90901708000001</v>
      </c>
      <c r="U124" s="1116">
        <f t="shared" si="109"/>
        <v>694.30295155200008</v>
      </c>
      <c r="V124" s="1116">
        <f t="shared" si="109"/>
        <v>737.69688602400004</v>
      </c>
      <c r="W124" s="1116">
        <f t="shared" si="109"/>
        <v>781.09082049599999</v>
      </c>
      <c r="X124" s="1116">
        <f t="shared" si="109"/>
        <v>824.48475496799995</v>
      </c>
      <c r="Y124" s="1116">
        <f t="shared" si="109"/>
        <v>867.87868944000002</v>
      </c>
      <c r="Z124" s="1116">
        <f t="shared" si="109"/>
        <v>911.27262391200009</v>
      </c>
      <c r="AA124" s="1116">
        <f t="shared" si="109"/>
        <v>954.66655838400004</v>
      </c>
      <c r="AB124" s="1116">
        <f t="shared" si="109"/>
        <v>998.060492856</v>
      </c>
      <c r="AC124" s="1116">
        <f t="shared" si="109"/>
        <v>1041.4544273280001</v>
      </c>
      <c r="AD124" s="1116">
        <f t="shared" si="109"/>
        <v>1084.8483618</v>
      </c>
      <c r="AE124" s="1116">
        <f t="shared" si="109"/>
        <v>1128.242296272</v>
      </c>
      <c r="AF124" s="1116">
        <f t="shared" si="109"/>
        <v>1171.6362307440002</v>
      </c>
      <c r="AG124" s="1116">
        <f t="shared" si="109"/>
        <v>1215.0301652159999</v>
      </c>
      <c r="AH124" s="1116">
        <f t="shared" si="109"/>
        <v>1258.4240996880001</v>
      </c>
      <c r="AI124" s="1116">
        <f t="shared" si="109"/>
        <v>1301.81803416</v>
      </c>
      <c r="AJ124" s="1116">
        <f t="shared" si="109"/>
        <v>1345.211968632</v>
      </c>
      <c r="AK124" s="1116">
        <f t="shared" si="109"/>
        <v>1388.6059031040002</v>
      </c>
      <c r="AL124" s="1116">
        <f t="shared" si="109"/>
        <v>1431.9998375759999</v>
      </c>
      <c r="AM124" s="1116">
        <f t="shared" si="109"/>
        <v>1475.3937720480001</v>
      </c>
      <c r="AN124" s="1116">
        <f t="shared" si="109"/>
        <v>1518.78770652</v>
      </c>
      <c r="AO124" s="1116">
        <f t="shared" ref="AO124:BF124" si="110">((AO$71-$H$4)/1000)*$O$27*(($C$8/70)^$AA27)</f>
        <v>1562.181640992</v>
      </c>
      <c r="AP124" s="1116">
        <f t="shared" si="110"/>
        <v>1605.5755754640002</v>
      </c>
      <c r="AQ124" s="1116">
        <f t="shared" si="110"/>
        <v>1648.9695099359999</v>
      </c>
      <c r="AR124" s="1116">
        <f t="shared" si="110"/>
        <v>1692.3634444080001</v>
      </c>
      <c r="AS124" s="1116">
        <f t="shared" si="110"/>
        <v>1735.75737888</v>
      </c>
      <c r="AT124" s="1116">
        <f t="shared" si="110"/>
        <v>1779.151313352</v>
      </c>
      <c r="AU124" s="1116">
        <f t="shared" si="110"/>
        <v>1822.5452478240002</v>
      </c>
      <c r="AV124" s="1116">
        <f t="shared" si="110"/>
        <v>1865.9391822959999</v>
      </c>
      <c r="AW124" s="1116">
        <f t="shared" si="110"/>
        <v>1909.3331167680001</v>
      </c>
      <c r="AX124" s="1116">
        <f t="shared" si="110"/>
        <v>1952.72705124</v>
      </c>
      <c r="AY124" s="1116">
        <f t="shared" si="110"/>
        <v>1996.120985712</v>
      </c>
      <c r="AZ124" s="1116">
        <f t="shared" si="110"/>
        <v>2039.5149201840002</v>
      </c>
      <c r="BA124" s="1116">
        <f t="shared" si="110"/>
        <v>2082.9088546560001</v>
      </c>
      <c r="BB124" s="1116">
        <f t="shared" si="110"/>
        <v>2126.3027891280003</v>
      </c>
      <c r="BC124" s="1116">
        <f t="shared" si="110"/>
        <v>2169.6967236</v>
      </c>
      <c r="BD124" s="1116">
        <f t="shared" si="110"/>
        <v>2213.0906580719998</v>
      </c>
      <c r="BE124" s="1116">
        <f t="shared" si="110"/>
        <v>2256.484592544</v>
      </c>
      <c r="BF124" s="1117">
        <f t="shared" si="110"/>
        <v>2299.8785270160001</v>
      </c>
    </row>
    <row r="125" spans="1:58">
      <c r="A125" s="2098"/>
      <c r="B125" s="2190" t="s">
        <v>282</v>
      </c>
      <c r="C125" s="2191"/>
      <c r="D125" s="468" t="s">
        <v>226</v>
      </c>
      <c r="E125" s="511">
        <v>110</v>
      </c>
      <c r="F125" s="511">
        <v>360</v>
      </c>
      <c r="G125" s="468" t="s">
        <v>232</v>
      </c>
      <c r="H125" s="1116">
        <f t="shared" ref="H125:AM125" si="111">((H$71-$H$4)/1000)*$Q$27*(($C$8/70)^$AC$27)</f>
        <v>141.41221245755997</v>
      </c>
      <c r="I125" s="1116">
        <f t="shared" si="111"/>
        <v>188.54961661007999</v>
      </c>
      <c r="J125" s="1116">
        <f t="shared" si="111"/>
        <v>235.68702076259999</v>
      </c>
      <c r="K125" s="1116">
        <f t="shared" si="111"/>
        <v>282.82442491511995</v>
      </c>
      <c r="L125" s="1116">
        <f t="shared" si="111"/>
        <v>329.96182906763994</v>
      </c>
      <c r="M125" s="1116">
        <f t="shared" si="111"/>
        <v>377.09923322015999</v>
      </c>
      <c r="N125" s="1116">
        <f t="shared" si="111"/>
        <v>424.23663737267998</v>
      </c>
      <c r="O125" s="1116">
        <f t="shared" si="111"/>
        <v>471.37404152519997</v>
      </c>
      <c r="P125" s="1116">
        <f t="shared" si="111"/>
        <v>518.51144567771996</v>
      </c>
      <c r="Q125" s="1116">
        <f t="shared" si="111"/>
        <v>565.6488498302399</v>
      </c>
      <c r="R125" s="1116">
        <f t="shared" si="111"/>
        <v>612.78625398275994</v>
      </c>
      <c r="S125" s="1116">
        <f t="shared" si="111"/>
        <v>659.92365813527988</v>
      </c>
      <c r="T125" s="1116">
        <f t="shared" si="111"/>
        <v>707.06106228779993</v>
      </c>
      <c r="U125" s="1116">
        <f t="shared" si="111"/>
        <v>754.19846644031998</v>
      </c>
      <c r="V125" s="1116">
        <f t="shared" si="111"/>
        <v>801.33587059283991</v>
      </c>
      <c r="W125" s="1116">
        <f t="shared" si="111"/>
        <v>848.47327474535996</v>
      </c>
      <c r="X125" s="1116">
        <f t="shared" si="111"/>
        <v>895.61067889787989</v>
      </c>
      <c r="Y125" s="1116">
        <f t="shared" si="111"/>
        <v>942.74808305039994</v>
      </c>
      <c r="Z125" s="1116">
        <f t="shared" si="111"/>
        <v>989.88548720291999</v>
      </c>
      <c r="AA125" s="1116">
        <f t="shared" si="111"/>
        <v>1037.0228913554399</v>
      </c>
      <c r="AB125" s="1116">
        <f t="shared" si="111"/>
        <v>1084.1602955079597</v>
      </c>
      <c r="AC125" s="1116">
        <f t="shared" si="111"/>
        <v>1131.2976996604798</v>
      </c>
      <c r="AD125" s="1116">
        <f t="shared" si="111"/>
        <v>1178.4351038129998</v>
      </c>
      <c r="AE125" s="1116">
        <f t="shared" si="111"/>
        <v>1225.5725079655199</v>
      </c>
      <c r="AF125" s="1116">
        <f t="shared" si="111"/>
        <v>1272.7099121180399</v>
      </c>
      <c r="AG125" s="1116">
        <f t="shared" si="111"/>
        <v>1319.8473162705598</v>
      </c>
      <c r="AH125" s="1116">
        <f t="shared" si="111"/>
        <v>1366.9847204230798</v>
      </c>
      <c r="AI125" s="1116">
        <f t="shared" si="111"/>
        <v>1414.1221245755999</v>
      </c>
      <c r="AJ125" s="1116">
        <f t="shared" si="111"/>
        <v>1461.2595287281199</v>
      </c>
      <c r="AK125" s="1116">
        <f t="shared" si="111"/>
        <v>1508.39693288064</v>
      </c>
      <c r="AL125" s="1116">
        <f t="shared" si="111"/>
        <v>1555.5343370331598</v>
      </c>
      <c r="AM125" s="1116">
        <f t="shared" si="111"/>
        <v>1602.6717411856798</v>
      </c>
      <c r="AN125" s="1116">
        <f t="shared" ref="AN125:BF125" si="112">((AN$71-$H$4)/1000)*$Q$27*(($C$8/70)^$AC$27)</f>
        <v>1649.8091453381999</v>
      </c>
      <c r="AO125" s="1116">
        <f t="shared" si="112"/>
        <v>1696.9465494907199</v>
      </c>
      <c r="AP125" s="1116">
        <f t="shared" si="112"/>
        <v>1744.08395364324</v>
      </c>
      <c r="AQ125" s="1116">
        <f t="shared" si="112"/>
        <v>1791.2213577957598</v>
      </c>
      <c r="AR125" s="1116">
        <f t="shared" si="112"/>
        <v>1838.3587619482798</v>
      </c>
      <c r="AS125" s="1116">
        <f t="shared" si="112"/>
        <v>1885.4961661007999</v>
      </c>
      <c r="AT125" s="1116">
        <f t="shared" si="112"/>
        <v>1932.6335702533197</v>
      </c>
      <c r="AU125" s="1116">
        <f t="shared" si="112"/>
        <v>1979.77097440584</v>
      </c>
      <c r="AV125" s="1116">
        <f t="shared" si="112"/>
        <v>2026.9083785583598</v>
      </c>
      <c r="AW125" s="1116">
        <f t="shared" si="112"/>
        <v>2074.0457827108798</v>
      </c>
      <c r="AX125" s="1116">
        <f t="shared" si="112"/>
        <v>2121.1831868633999</v>
      </c>
      <c r="AY125" s="1116">
        <f t="shared" si="112"/>
        <v>2168.3205910159195</v>
      </c>
      <c r="AZ125" s="1116">
        <f t="shared" si="112"/>
        <v>2215.45799516844</v>
      </c>
      <c r="BA125" s="1116">
        <f t="shared" si="112"/>
        <v>2262.5953993209596</v>
      </c>
      <c r="BB125" s="1116">
        <f t="shared" si="112"/>
        <v>2309.7328034734801</v>
      </c>
      <c r="BC125" s="1116">
        <f t="shared" si="112"/>
        <v>2356.8702076259997</v>
      </c>
      <c r="BD125" s="1116">
        <f t="shared" si="112"/>
        <v>2404.0076117785197</v>
      </c>
      <c r="BE125" s="1116">
        <f t="shared" si="112"/>
        <v>2451.1450159310398</v>
      </c>
      <c r="BF125" s="1117">
        <f t="shared" si="112"/>
        <v>2498.2824200835598</v>
      </c>
    </row>
    <row r="126" spans="1:58">
      <c r="A126" s="2098"/>
      <c r="B126" s="2190" t="s">
        <v>283</v>
      </c>
      <c r="C126" s="2191"/>
      <c r="D126" s="468" t="s">
        <v>226</v>
      </c>
      <c r="E126" s="511">
        <v>110</v>
      </c>
      <c r="F126" s="511">
        <v>400</v>
      </c>
      <c r="G126" s="468" t="s">
        <v>232</v>
      </c>
      <c r="H126" s="1116">
        <f t="shared" ref="H126:AM126" si="113">((H$71-$H$4)/1000)*$R$27*(($C$8/70)^$AD$27)</f>
        <v>147.87207432184434</v>
      </c>
      <c r="I126" s="1116">
        <f t="shared" si="113"/>
        <v>197.16276576245912</v>
      </c>
      <c r="J126" s="1116">
        <f t="shared" si="113"/>
        <v>246.4534572030739</v>
      </c>
      <c r="K126" s="1116">
        <f t="shared" si="113"/>
        <v>295.74414864368867</v>
      </c>
      <c r="L126" s="1116">
        <f t="shared" si="113"/>
        <v>345.03484008430343</v>
      </c>
      <c r="M126" s="1116">
        <f t="shared" si="113"/>
        <v>394.32553152491823</v>
      </c>
      <c r="N126" s="1116">
        <f t="shared" si="113"/>
        <v>443.61622296553304</v>
      </c>
      <c r="O126" s="1116">
        <f t="shared" si="113"/>
        <v>492.90691440614779</v>
      </c>
      <c r="P126" s="1116">
        <f t="shared" si="113"/>
        <v>542.1976058467626</v>
      </c>
      <c r="Q126" s="1116">
        <f t="shared" si="113"/>
        <v>591.48829728737735</v>
      </c>
      <c r="R126" s="1116">
        <f t="shared" si="113"/>
        <v>640.7789887279921</v>
      </c>
      <c r="S126" s="1116">
        <f t="shared" si="113"/>
        <v>690.06968016860685</v>
      </c>
      <c r="T126" s="1116">
        <f t="shared" si="113"/>
        <v>739.36037160922172</v>
      </c>
      <c r="U126" s="1116">
        <f t="shared" si="113"/>
        <v>788.65106304983647</v>
      </c>
      <c r="V126" s="1116">
        <f t="shared" si="113"/>
        <v>837.94175449045122</v>
      </c>
      <c r="W126" s="1116">
        <f t="shared" si="113"/>
        <v>887.23244593106608</v>
      </c>
      <c r="X126" s="1116">
        <f t="shared" si="113"/>
        <v>936.52313737168072</v>
      </c>
      <c r="Y126" s="1116">
        <f t="shared" si="113"/>
        <v>985.81382881229558</v>
      </c>
      <c r="Z126" s="1116">
        <f t="shared" si="113"/>
        <v>1035.1045202529103</v>
      </c>
      <c r="AA126" s="1116">
        <f t="shared" si="113"/>
        <v>1084.3952116935252</v>
      </c>
      <c r="AB126" s="1116">
        <f t="shared" si="113"/>
        <v>1133.6859031341398</v>
      </c>
      <c r="AC126" s="1116">
        <f t="shared" si="113"/>
        <v>1182.9765945747547</v>
      </c>
      <c r="AD126" s="1116">
        <f t="shared" si="113"/>
        <v>1232.2672860153696</v>
      </c>
      <c r="AE126" s="1116">
        <f t="shared" si="113"/>
        <v>1281.5579774559842</v>
      </c>
      <c r="AF126" s="1116">
        <f t="shared" si="113"/>
        <v>1330.8486688965991</v>
      </c>
      <c r="AG126" s="1116">
        <f t="shared" si="113"/>
        <v>1380.1393603372137</v>
      </c>
      <c r="AH126" s="1116">
        <f t="shared" si="113"/>
        <v>1429.4300517778286</v>
      </c>
      <c r="AI126" s="1116">
        <f t="shared" si="113"/>
        <v>1478.7207432184434</v>
      </c>
      <c r="AJ126" s="1116">
        <f t="shared" si="113"/>
        <v>1528.0114346590583</v>
      </c>
      <c r="AK126" s="1116">
        <f t="shared" si="113"/>
        <v>1577.3021260996729</v>
      </c>
      <c r="AL126" s="1116">
        <f t="shared" si="113"/>
        <v>1626.5928175402876</v>
      </c>
      <c r="AM126" s="1116">
        <f t="shared" si="113"/>
        <v>1675.8835089809024</v>
      </c>
      <c r="AN126" s="1116">
        <f t="shared" ref="AN126:BF126" si="114">((AN$71-$H$4)/1000)*$R$27*(($C$8/70)^$AD$27)</f>
        <v>1725.1742004215173</v>
      </c>
      <c r="AO126" s="1116">
        <f t="shared" si="114"/>
        <v>1774.4648918621322</v>
      </c>
      <c r="AP126" s="1116">
        <f t="shared" si="114"/>
        <v>1823.755583302747</v>
      </c>
      <c r="AQ126" s="1116">
        <f t="shared" si="114"/>
        <v>1873.0462747433614</v>
      </c>
      <c r="AR126" s="1116">
        <f t="shared" si="114"/>
        <v>1922.3369661839763</v>
      </c>
      <c r="AS126" s="1116">
        <f t="shared" si="114"/>
        <v>1971.6276576245912</v>
      </c>
      <c r="AT126" s="1116">
        <f t="shared" si="114"/>
        <v>2020.9183490652058</v>
      </c>
      <c r="AU126" s="1116">
        <f t="shared" si="114"/>
        <v>2070.2090405058207</v>
      </c>
      <c r="AV126" s="1116">
        <f t="shared" si="114"/>
        <v>2119.4997319464355</v>
      </c>
      <c r="AW126" s="1116">
        <f t="shared" si="114"/>
        <v>2168.7904233870504</v>
      </c>
      <c r="AX126" s="1116">
        <f t="shared" si="114"/>
        <v>2218.0811148276653</v>
      </c>
      <c r="AY126" s="1116">
        <f t="shared" si="114"/>
        <v>2267.3718062682797</v>
      </c>
      <c r="AZ126" s="1116">
        <f t="shared" si="114"/>
        <v>2316.6624977088945</v>
      </c>
      <c r="BA126" s="1116">
        <f t="shared" si="114"/>
        <v>2365.9531891495094</v>
      </c>
      <c r="BB126" s="1116">
        <f t="shared" si="114"/>
        <v>2415.2438805901243</v>
      </c>
      <c r="BC126" s="1116">
        <f t="shared" si="114"/>
        <v>2464.5345720307391</v>
      </c>
      <c r="BD126" s="1116">
        <f t="shared" si="114"/>
        <v>2513.8252634713535</v>
      </c>
      <c r="BE126" s="1116">
        <f t="shared" si="114"/>
        <v>2563.1159549119684</v>
      </c>
      <c r="BF126" s="1117">
        <f t="shared" si="114"/>
        <v>2612.4066463525833</v>
      </c>
    </row>
    <row r="127" spans="1:58" ht="15.75" thickBot="1">
      <c r="A127" s="2098"/>
      <c r="B127" s="2198" t="s">
        <v>284</v>
      </c>
      <c r="C127" s="2199"/>
      <c r="D127" s="469" t="s">
        <v>226</v>
      </c>
      <c r="E127" s="511">
        <v>110</v>
      </c>
      <c r="F127" s="512">
        <v>400</v>
      </c>
      <c r="G127" s="469" t="s">
        <v>252</v>
      </c>
      <c r="H127" s="1118">
        <f t="shared" ref="H127:AM127" si="115">((H$71-$H$4)/1000)*$S$27*(($C$8/70)^$AE$27)</f>
        <v>169.19325941759999</v>
      </c>
      <c r="I127" s="1118">
        <f t="shared" si="115"/>
        <v>225.5910125568</v>
      </c>
      <c r="J127" s="1118">
        <f t="shared" si="115"/>
        <v>281.98876569599997</v>
      </c>
      <c r="K127" s="1118">
        <f t="shared" si="115"/>
        <v>338.38651883519998</v>
      </c>
      <c r="L127" s="1118">
        <f t="shared" si="115"/>
        <v>394.78427197439993</v>
      </c>
      <c r="M127" s="1118">
        <f t="shared" si="115"/>
        <v>451.18202511359999</v>
      </c>
      <c r="N127" s="1118">
        <f t="shared" si="115"/>
        <v>507.57977825279994</v>
      </c>
      <c r="O127" s="1118">
        <f t="shared" si="115"/>
        <v>563.97753139199995</v>
      </c>
      <c r="P127" s="1118">
        <f t="shared" si="115"/>
        <v>620.37528453120001</v>
      </c>
      <c r="Q127" s="1118">
        <f t="shared" si="115"/>
        <v>676.77303767039996</v>
      </c>
      <c r="R127" s="1118">
        <f t="shared" si="115"/>
        <v>733.17079080959991</v>
      </c>
      <c r="S127" s="1118">
        <f t="shared" si="115"/>
        <v>789.56854394879986</v>
      </c>
      <c r="T127" s="1118">
        <f t="shared" si="115"/>
        <v>845.96629708799992</v>
      </c>
      <c r="U127" s="1118">
        <f t="shared" si="115"/>
        <v>902.36405022719998</v>
      </c>
      <c r="V127" s="1118">
        <f t="shared" si="115"/>
        <v>958.76180336639993</v>
      </c>
      <c r="W127" s="1118">
        <f t="shared" si="115"/>
        <v>1015.1595565055999</v>
      </c>
      <c r="X127" s="1118">
        <f t="shared" si="115"/>
        <v>1071.5573096447999</v>
      </c>
      <c r="Y127" s="1118">
        <f t="shared" si="115"/>
        <v>1127.9550627839999</v>
      </c>
      <c r="Z127" s="1118">
        <f t="shared" si="115"/>
        <v>1184.3528159231998</v>
      </c>
      <c r="AA127" s="1118">
        <f t="shared" si="115"/>
        <v>1240.7505690624</v>
      </c>
      <c r="AB127" s="1118">
        <f t="shared" si="115"/>
        <v>1297.1483222015997</v>
      </c>
      <c r="AC127" s="1118">
        <f t="shared" si="115"/>
        <v>1353.5460753407999</v>
      </c>
      <c r="AD127" s="1118">
        <f t="shared" si="115"/>
        <v>1409.9438284799999</v>
      </c>
      <c r="AE127" s="1118">
        <f t="shared" si="115"/>
        <v>1466.3415816191998</v>
      </c>
      <c r="AF127" s="1118">
        <f t="shared" si="115"/>
        <v>1522.7393347584</v>
      </c>
      <c r="AG127" s="1118">
        <f t="shared" si="115"/>
        <v>1579.1370878975997</v>
      </c>
      <c r="AH127" s="1118">
        <f t="shared" si="115"/>
        <v>1635.5348410367999</v>
      </c>
      <c r="AI127" s="1118">
        <f t="shared" si="115"/>
        <v>1691.9325941759998</v>
      </c>
      <c r="AJ127" s="1118">
        <f t="shared" si="115"/>
        <v>1748.3303473151998</v>
      </c>
      <c r="AK127" s="1118">
        <f t="shared" si="115"/>
        <v>1804.7281004544</v>
      </c>
      <c r="AL127" s="1118">
        <f t="shared" si="115"/>
        <v>1861.1258535935997</v>
      </c>
      <c r="AM127" s="1118">
        <f t="shared" si="115"/>
        <v>1917.5236067327999</v>
      </c>
      <c r="AN127" s="1118">
        <f t="shared" ref="AN127:BF127" si="116">((AN$71-$H$4)/1000)*$S$27*(($C$8/70)^$AE$27)</f>
        <v>1973.9213598719998</v>
      </c>
      <c r="AO127" s="1118">
        <f t="shared" si="116"/>
        <v>2030.3191130111998</v>
      </c>
      <c r="AP127" s="1118">
        <f t="shared" si="116"/>
        <v>2086.7168661503997</v>
      </c>
      <c r="AQ127" s="1118">
        <f t="shared" si="116"/>
        <v>2143.1146192895999</v>
      </c>
      <c r="AR127" s="1118">
        <f t="shared" si="116"/>
        <v>2199.5123724287996</v>
      </c>
      <c r="AS127" s="1118">
        <f t="shared" si="116"/>
        <v>2255.9101255679998</v>
      </c>
      <c r="AT127" s="1118">
        <f t="shared" si="116"/>
        <v>2312.3078787071995</v>
      </c>
      <c r="AU127" s="1118">
        <f t="shared" si="116"/>
        <v>2368.7056318463997</v>
      </c>
      <c r="AV127" s="1118">
        <f t="shared" si="116"/>
        <v>2425.1033849855999</v>
      </c>
      <c r="AW127" s="1118">
        <f t="shared" si="116"/>
        <v>2481.5011381248</v>
      </c>
      <c r="AX127" s="1118">
        <f t="shared" si="116"/>
        <v>2537.8988912639998</v>
      </c>
      <c r="AY127" s="1118">
        <f t="shared" si="116"/>
        <v>2594.2966444031995</v>
      </c>
      <c r="AZ127" s="1118">
        <f t="shared" si="116"/>
        <v>2650.6943975423997</v>
      </c>
      <c r="BA127" s="1118">
        <f t="shared" si="116"/>
        <v>2707.0921506815998</v>
      </c>
      <c r="BB127" s="1118">
        <f t="shared" si="116"/>
        <v>2763.4899038208</v>
      </c>
      <c r="BC127" s="1118">
        <f t="shared" si="116"/>
        <v>2819.8876569599997</v>
      </c>
      <c r="BD127" s="1118">
        <f t="shared" si="116"/>
        <v>2876.2854100991995</v>
      </c>
      <c r="BE127" s="1118">
        <f t="shared" si="116"/>
        <v>2932.6831632383996</v>
      </c>
      <c r="BF127" s="1119">
        <f t="shared" si="116"/>
        <v>2989.0809163775998</v>
      </c>
    </row>
    <row r="128" spans="1:58">
      <c r="A128" s="2098"/>
      <c r="B128" s="2201" t="s">
        <v>416</v>
      </c>
      <c r="C128" s="2201"/>
      <c r="D128" s="488" t="s">
        <v>226</v>
      </c>
      <c r="E128" s="530">
        <v>140</v>
      </c>
      <c r="F128" s="530">
        <v>160</v>
      </c>
      <c r="G128" s="488" t="s">
        <v>286</v>
      </c>
      <c r="H128" s="1120">
        <f t="shared" ref="H128:AM128" si="117">((H$71-$H$4)/1000)*$K$28*(($C$8/70)^$W$28)</f>
        <v>97.77399299999999</v>
      </c>
      <c r="I128" s="1120">
        <f t="shared" si="117"/>
        <v>130.36532399999999</v>
      </c>
      <c r="J128" s="1120">
        <f t="shared" si="117"/>
        <v>162.95665499999998</v>
      </c>
      <c r="K128" s="1120">
        <f t="shared" si="117"/>
        <v>195.54798599999998</v>
      </c>
      <c r="L128" s="1120">
        <f t="shared" si="117"/>
        <v>228.13931699999995</v>
      </c>
      <c r="M128" s="1120">
        <f t="shared" si="117"/>
        <v>260.73064799999997</v>
      </c>
      <c r="N128" s="1120">
        <f t="shared" si="117"/>
        <v>293.321979</v>
      </c>
      <c r="O128" s="1120">
        <f t="shared" si="117"/>
        <v>325.91330999999997</v>
      </c>
      <c r="P128" s="1120">
        <f t="shared" si="117"/>
        <v>358.50464099999999</v>
      </c>
      <c r="Q128" s="1120">
        <f t="shared" si="117"/>
        <v>391.09597199999996</v>
      </c>
      <c r="R128" s="1120">
        <f t="shared" si="117"/>
        <v>423.68730299999999</v>
      </c>
      <c r="S128" s="1120">
        <f t="shared" si="117"/>
        <v>456.2786339999999</v>
      </c>
      <c r="T128" s="1120">
        <f t="shared" si="117"/>
        <v>488.86996499999998</v>
      </c>
      <c r="U128" s="1120">
        <f t="shared" si="117"/>
        <v>521.46129599999995</v>
      </c>
      <c r="V128" s="1120">
        <f t="shared" si="117"/>
        <v>554.05262699999992</v>
      </c>
      <c r="W128" s="1120">
        <f t="shared" si="117"/>
        <v>586.643958</v>
      </c>
      <c r="X128" s="1120">
        <f t="shared" si="117"/>
        <v>619.23528899999985</v>
      </c>
      <c r="Y128" s="1120">
        <f t="shared" si="117"/>
        <v>651.82661999999993</v>
      </c>
      <c r="Z128" s="1120">
        <f t="shared" si="117"/>
        <v>684.41795100000002</v>
      </c>
      <c r="AA128" s="1120">
        <f t="shared" si="117"/>
        <v>717.00928199999998</v>
      </c>
      <c r="AB128" s="1120">
        <f t="shared" si="117"/>
        <v>749.60061299999984</v>
      </c>
      <c r="AC128" s="1120">
        <f t="shared" si="117"/>
        <v>782.19194399999992</v>
      </c>
      <c r="AD128" s="1120">
        <f t="shared" si="117"/>
        <v>814.78327499999989</v>
      </c>
      <c r="AE128" s="1120">
        <f t="shared" si="117"/>
        <v>847.37460599999997</v>
      </c>
      <c r="AF128" s="1120">
        <f t="shared" si="117"/>
        <v>879.96593699999994</v>
      </c>
      <c r="AG128" s="1120">
        <f t="shared" si="117"/>
        <v>912.55726799999979</v>
      </c>
      <c r="AH128" s="1120">
        <f t="shared" si="117"/>
        <v>945.14859899999988</v>
      </c>
      <c r="AI128" s="1120">
        <f t="shared" si="117"/>
        <v>977.73992999999996</v>
      </c>
      <c r="AJ128" s="1120">
        <f t="shared" si="117"/>
        <v>1010.3312609999999</v>
      </c>
      <c r="AK128" s="1120">
        <f t="shared" si="117"/>
        <v>1042.9225919999999</v>
      </c>
      <c r="AL128" s="1120">
        <f t="shared" si="117"/>
        <v>1075.5139229999997</v>
      </c>
      <c r="AM128" s="1120">
        <f t="shared" si="117"/>
        <v>1108.1052539999998</v>
      </c>
      <c r="AN128" s="1120">
        <f t="shared" ref="AN128:BF128" si="118">((AN$71-$H$4)/1000)*$K$28*(($C$8/70)^$W$28)</f>
        <v>1140.6965849999999</v>
      </c>
      <c r="AO128" s="1120">
        <f t="shared" si="118"/>
        <v>1173.287916</v>
      </c>
      <c r="AP128" s="1120">
        <f t="shared" si="118"/>
        <v>1205.8792469999999</v>
      </c>
      <c r="AQ128" s="1120">
        <f t="shared" si="118"/>
        <v>1238.4705779999997</v>
      </c>
      <c r="AR128" s="1120">
        <f t="shared" si="118"/>
        <v>1271.0619089999998</v>
      </c>
      <c r="AS128" s="1120">
        <f t="shared" si="118"/>
        <v>1303.6532399999999</v>
      </c>
      <c r="AT128" s="1120">
        <f t="shared" si="118"/>
        <v>1336.2445709999997</v>
      </c>
      <c r="AU128" s="1120">
        <f t="shared" si="118"/>
        <v>1368.835902</v>
      </c>
      <c r="AV128" s="1120">
        <f t="shared" si="118"/>
        <v>1401.4272329999999</v>
      </c>
      <c r="AW128" s="1120">
        <f t="shared" si="118"/>
        <v>1434.018564</v>
      </c>
      <c r="AX128" s="1120">
        <f t="shared" si="118"/>
        <v>1466.6098949999998</v>
      </c>
      <c r="AY128" s="1120">
        <f t="shared" si="118"/>
        <v>1499.2012259999997</v>
      </c>
      <c r="AZ128" s="1120">
        <f t="shared" si="118"/>
        <v>1531.792557</v>
      </c>
      <c r="BA128" s="1120">
        <f t="shared" si="118"/>
        <v>1564.3838879999998</v>
      </c>
      <c r="BB128" s="1120">
        <f t="shared" si="118"/>
        <v>1596.9752189999999</v>
      </c>
      <c r="BC128" s="1120">
        <f t="shared" si="118"/>
        <v>1629.5665499999998</v>
      </c>
      <c r="BD128" s="1120">
        <f t="shared" si="118"/>
        <v>1662.1578809999996</v>
      </c>
      <c r="BE128" s="1120">
        <f t="shared" si="118"/>
        <v>1694.7492119999999</v>
      </c>
      <c r="BF128" s="1120">
        <f t="shared" si="118"/>
        <v>1727.3405429999998</v>
      </c>
    </row>
    <row r="129" spans="1:58">
      <c r="A129" s="2098"/>
      <c r="B129" s="2202" t="s">
        <v>417</v>
      </c>
      <c r="C129" s="2202"/>
      <c r="D129" s="489" t="s">
        <v>226</v>
      </c>
      <c r="E129" s="531">
        <v>140</v>
      </c>
      <c r="F129" s="531">
        <v>200</v>
      </c>
      <c r="G129" s="489" t="s">
        <v>286</v>
      </c>
      <c r="H129" s="1121">
        <f t="shared" ref="H129:AM129" si="119">((H$71-$H$4)/1000)*$L$28*(($C$8/70)^$X$28)</f>
        <v>112.3839</v>
      </c>
      <c r="I129" s="1121">
        <f t="shared" si="119"/>
        <v>149.84520000000001</v>
      </c>
      <c r="J129" s="1121">
        <f t="shared" si="119"/>
        <v>187.3065</v>
      </c>
      <c r="K129" s="1121">
        <f t="shared" si="119"/>
        <v>224.76779999999999</v>
      </c>
      <c r="L129" s="1121">
        <f t="shared" si="119"/>
        <v>262.22909999999996</v>
      </c>
      <c r="M129" s="1121">
        <f t="shared" si="119"/>
        <v>299.69040000000001</v>
      </c>
      <c r="N129" s="1121">
        <f t="shared" si="119"/>
        <v>337.15170000000001</v>
      </c>
      <c r="O129" s="1121">
        <f t="shared" si="119"/>
        <v>374.613</v>
      </c>
      <c r="P129" s="1121">
        <f t="shared" si="119"/>
        <v>412.07430000000005</v>
      </c>
      <c r="Q129" s="1121">
        <f t="shared" si="119"/>
        <v>449.53559999999999</v>
      </c>
      <c r="R129" s="1121">
        <f t="shared" si="119"/>
        <v>486.99690000000004</v>
      </c>
      <c r="S129" s="1121">
        <f t="shared" si="119"/>
        <v>524.45819999999992</v>
      </c>
      <c r="T129" s="1121">
        <f t="shared" si="119"/>
        <v>561.91949999999997</v>
      </c>
      <c r="U129" s="1121">
        <f t="shared" si="119"/>
        <v>599.38080000000002</v>
      </c>
      <c r="V129" s="1121">
        <f t="shared" si="119"/>
        <v>636.84209999999996</v>
      </c>
      <c r="W129" s="1121">
        <f t="shared" si="119"/>
        <v>674.30340000000001</v>
      </c>
      <c r="X129" s="1121">
        <f t="shared" si="119"/>
        <v>711.76469999999995</v>
      </c>
      <c r="Y129" s="1121">
        <f t="shared" si="119"/>
        <v>749.226</v>
      </c>
      <c r="Z129" s="1121">
        <f t="shared" si="119"/>
        <v>786.68730000000005</v>
      </c>
      <c r="AA129" s="1121">
        <f t="shared" si="119"/>
        <v>824.1486000000001</v>
      </c>
      <c r="AB129" s="1121">
        <f t="shared" si="119"/>
        <v>861.60989999999993</v>
      </c>
      <c r="AC129" s="1121">
        <f t="shared" si="119"/>
        <v>899.07119999999998</v>
      </c>
      <c r="AD129" s="1121">
        <f t="shared" si="119"/>
        <v>936.53250000000003</v>
      </c>
      <c r="AE129" s="1121">
        <f t="shared" si="119"/>
        <v>973.99380000000008</v>
      </c>
      <c r="AF129" s="1121">
        <f t="shared" si="119"/>
        <v>1011.4551</v>
      </c>
      <c r="AG129" s="1121">
        <f t="shared" si="119"/>
        <v>1048.9163999999998</v>
      </c>
      <c r="AH129" s="1121">
        <f t="shared" si="119"/>
        <v>1086.3777</v>
      </c>
      <c r="AI129" s="1121">
        <f t="shared" si="119"/>
        <v>1123.8389999999999</v>
      </c>
      <c r="AJ129" s="1121">
        <f t="shared" si="119"/>
        <v>1161.3003000000001</v>
      </c>
      <c r="AK129" s="1121">
        <f t="shared" si="119"/>
        <v>1198.7616</v>
      </c>
      <c r="AL129" s="1121">
        <f t="shared" si="119"/>
        <v>1236.2229</v>
      </c>
      <c r="AM129" s="1121">
        <f t="shared" si="119"/>
        <v>1273.6841999999999</v>
      </c>
      <c r="AN129" s="1121">
        <f t="shared" ref="AN129:BF129" si="120">((AN$71-$H$4)/1000)*$L$28*(($C$8/70)^$X$28)</f>
        <v>1311.1455000000001</v>
      </c>
      <c r="AO129" s="1121">
        <f t="shared" si="120"/>
        <v>1348.6068</v>
      </c>
      <c r="AP129" s="1121">
        <f t="shared" si="120"/>
        <v>1386.0681</v>
      </c>
      <c r="AQ129" s="1121">
        <f t="shared" si="120"/>
        <v>1423.5293999999999</v>
      </c>
      <c r="AR129" s="1121">
        <f t="shared" si="120"/>
        <v>1460.9907000000001</v>
      </c>
      <c r="AS129" s="1121">
        <f t="shared" si="120"/>
        <v>1498.452</v>
      </c>
      <c r="AT129" s="1121">
        <f t="shared" si="120"/>
        <v>1535.9132999999999</v>
      </c>
      <c r="AU129" s="1121">
        <f t="shared" si="120"/>
        <v>1573.3746000000001</v>
      </c>
      <c r="AV129" s="1121">
        <f t="shared" si="120"/>
        <v>1610.8359</v>
      </c>
      <c r="AW129" s="1121">
        <f t="shared" si="120"/>
        <v>1648.2972000000002</v>
      </c>
      <c r="AX129" s="1121">
        <f t="shared" si="120"/>
        <v>1685.7584999999999</v>
      </c>
      <c r="AY129" s="1121">
        <f t="shared" si="120"/>
        <v>1723.2197999999999</v>
      </c>
      <c r="AZ129" s="1121">
        <f t="shared" si="120"/>
        <v>1760.6811</v>
      </c>
      <c r="BA129" s="1121">
        <f t="shared" si="120"/>
        <v>1798.1424</v>
      </c>
      <c r="BB129" s="1121">
        <f t="shared" si="120"/>
        <v>1835.6037000000001</v>
      </c>
      <c r="BC129" s="1121">
        <f t="shared" si="120"/>
        <v>1873.0650000000001</v>
      </c>
      <c r="BD129" s="1121">
        <f t="shared" si="120"/>
        <v>1910.5262999999998</v>
      </c>
      <c r="BE129" s="1121">
        <f t="shared" si="120"/>
        <v>1947.9876000000002</v>
      </c>
      <c r="BF129" s="1121">
        <f t="shared" si="120"/>
        <v>1985.4488999999999</v>
      </c>
    </row>
    <row r="130" spans="1:58">
      <c r="A130" s="2098"/>
      <c r="B130" s="2202" t="s">
        <v>418</v>
      </c>
      <c r="C130" s="2202"/>
      <c r="D130" s="489" t="s">
        <v>226</v>
      </c>
      <c r="E130" s="531">
        <v>140</v>
      </c>
      <c r="F130" s="531">
        <v>260</v>
      </c>
      <c r="G130" s="489" t="s">
        <v>286</v>
      </c>
      <c r="H130" s="1121">
        <f t="shared" ref="H130:AM130" si="121">((H$71-$H$4)/1000)*$M$28*(($C$8/70)^$Y$28)</f>
        <v>145.71045771218996</v>
      </c>
      <c r="I130" s="1121">
        <f t="shared" si="121"/>
        <v>194.28061028291998</v>
      </c>
      <c r="J130" s="1121">
        <f t="shared" si="121"/>
        <v>242.85076285364997</v>
      </c>
      <c r="K130" s="1121">
        <f t="shared" si="121"/>
        <v>291.42091542437993</v>
      </c>
      <c r="L130" s="1121">
        <f t="shared" si="121"/>
        <v>339.99106799510992</v>
      </c>
      <c r="M130" s="1121">
        <f t="shared" si="121"/>
        <v>388.56122056583996</v>
      </c>
      <c r="N130" s="1121">
        <f t="shared" si="121"/>
        <v>437.13137313656995</v>
      </c>
      <c r="O130" s="1121">
        <f t="shared" si="121"/>
        <v>485.70152570729994</v>
      </c>
      <c r="P130" s="1121">
        <f t="shared" si="121"/>
        <v>534.27167827802998</v>
      </c>
      <c r="Q130" s="1121">
        <f t="shared" si="121"/>
        <v>582.84183084875986</v>
      </c>
      <c r="R130" s="1121">
        <f t="shared" si="121"/>
        <v>631.41198341948996</v>
      </c>
      <c r="S130" s="1121">
        <f t="shared" si="121"/>
        <v>679.98213599021983</v>
      </c>
      <c r="T130" s="1121">
        <f t="shared" si="121"/>
        <v>728.55228856094993</v>
      </c>
      <c r="U130" s="1121">
        <f t="shared" si="121"/>
        <v>777.12244113167992</v>
      </c>
      <c r="V130" s="1121">
        <f t="shared" si="121"/>
        <v>825.69259370240991</v>
      </c>
      <c r="W130" s="1121">
        <f t="shared" si="121"/>
        <v>874.2627462731399</v>
      </c>
      <c r="X130" s="1121">
        <f t="shared" si="121"/>
        <v>922.83289884386988</v>
      </c>
      <c r="Y130" s="1121">
        <f t="shared" si="121"/>
        <v>971.40305141459987</v>
      </c>
      <c r="Z130" s="1121">
        <f t="shared" si="121"/>
        <v>1019.9732039853299</v>
      </c>
      <c r="AA130" s="1121">
        <f t="shared" si="121"/>
        <v>1068.54335655606</v>
      </c>
      <c r="AB130" s="1121">
        <f t="shared" si="121"/>
        <v>1117.1135091267897</v>
      </c>
      <c r="AC130" s="1121">
        <f t="shared" si="121"/>
        <v>1165.6836616975197</v>
      </c>
      <c r="AD130" s="1121">
        <f t="shared" si="121"/>
        <v>1214.2538142682499</v>
      </c>
      <c r="AE130" s="1121">
        <f t="shared" si="121"/>
        <v>1262.8239668389799</v>
      </c>
      <c r="AF130" s="1121">
        <f t="shared" si="121"/>
        <v>1311.3941194097099</v>
      </c>
      <c r="AG130" s="1121">
        <f t="shared" si="121"/>
        <v>1359.9642719804397</v>
      </c>
      <c r="AH130" s="1121">
        <f t="shared" si="121"/>
        <v>1408.5344245511699</v>
      </c>
      <c r="AI130" s="1121">
        <f t="shared" si="121"/>
        <v>1457.1045771218999</v>
      </c>
      <c r="AJ130" s="1121">
        <f t="shared" si="121"/>
        <v>1505.6747296926299</v>
      </c>
      <c r="AK130" s="1121">
        <f t="shared" si="121"/>
        <v>1554.2448822633598</v>
      </c>
      <c r="AL130" s="1121">
        <f t="shared" si="121"/>
        <v>1602.8150348340896</v>
      </c>
      <c r="AM130" s="1121">
        <f t="shared" si="121"/>
        <v>1651.3851874048198</v>
      </c>
      <c r="AN130" s="1121">
        <f t="shared" ref="AN130:BF130" si="122">((AN$71-$H$4)/1000)*$M$28*(($C$8/70)^$Y$28)</f>
        <v>1699.9553399755498</v>
      </c>
      <c r="AO130" s="1121">
        <f t="shared" si="122"/>
        <v>1748.5254925462798</v>
      </c>
      <c r="AP130" s="1121">
        <f t="shared" si="122"/>
        <v>1797.0956451170098</v>
      </c>
      <c r="AQ130" s="1121">
        <f t="shared" si="122"/>
        <v>1845.6657976877398</v>
      </c>
      <c r="AR130" s="1121">
        <f t="shared" si="122"/>
        <v>1894.2359502584698</v>
      </c>
      <c r="AS130" s="1121">
        <f t="shared" si="122"/>
        <v>1942.8061028291997</v>
      </c>
      <c r="AT130" s="1121">
        <f t="shared" si="122"/>
        <v>1991.3762553999295</v>
      </c>
      <c r="AU130" s="1121">
        <f t="shared" si="122"/>
        <v>2039.9464079706597</v>
      </c>
      <c r="AV130" s="1121">
        <f t="shared" si="122"/>
        <v>2088.5165605413895</v>
      </c>
      <c r="AW130" s="1121">
        <f t="shared" si="122"/>
        <v>2137.0867131121199</v>
      </c>
      <c r="AX130" s="1121">
        <f t="shared" si="122"/>
        <v>2185.6568656828499</v>
      </c>
      <c r="AY130" s="1121">
        <f t="shared" si="122"/>
        <v>2234.2270182535794</v>
      </c>
      <c r="AZ130" s="1121">
        <f t="shared" si="122"/>
        <v>2282.7971708243099</v>
      </c>
      <c r="BA130" s="1121">
        <f t="shared" si="122"/>
        <v>2331.3673233950394</v>
      </c>
      <c r="BB130" s="1121">
        <f t="shared" si="122"/>
        <v>2379.9374759657699</v>
      </c>
      <c r="BC130" s="1121">
        <f t="shared" si="122"/>
        <v>2428.5076285364999</v>
      </c>
      <c r="BD130" s="1121">
        <f t="shared" si="122"/>
        <v>2477.0777811072294</v>
      </c>
      <c r="BE130" s="1121">
        <f t="shared" si="122"/>
        <v>2525.6479336779598</v>
      </c>
      <c r="BF130" s="1121">
        <f t="shared" si="122"/>
        <v>2574.2180862486894</v>
      </c>
    </row>
    <row r="131" spans="1:58">
      <c r="A131" s="2098"/>
      <c r="B131" s="2202" t="s">
        <v>419</v>
      </c>
      <c r="C131" s="2202"/>
      <c r="D131" s="489" t="s">
        <v>226</v>
      </c>
      <c r="E131" s="531">
        <v>140</v>
      </c>
      <c r="F131" s="531">
        <v>300</v>
      </c>
      <c r="G131" s="489" t="s">
        <v>290</v>
      </c>
      <c r="H131" s="1121">
        <f t="shared" ref="H131:AM131" si="123">((H$71-$H$4)/1000)*$N$28*(($C$8/70)^$Z$28)</f>
        <v>160.28341199999997</v>
      </c>
      <c r="I131" s="1121">
        <f t="shared" si="123"/>
        <v>213.71121599999998</v>
      </c>
      <c r="J131" s="1121">
        <f t="shared" si="123"/>
        <v>267.13901999999996</v>
      </c>
      <c r="K131" s="1121">
        <f t="shared" si="123"/>
        <v>320.56682399999994</v>
      </c>
      <c r="L131" s="1121">
        <f t="shared" si="123"/>
        <v>373.99462799999992</v>
      </c>
      <c r="M131" s="1121">
        <f t="shared" si="123"/>
        <v>427.42243199999996</v>
      </c>
      <c r="N131" s="1121">
        <f t="shared" si="123"/>
        <v>480.85023599999994</v>
      </c>
      <c r="O131" s="1121">
        <f t="shared" si="123"/>
        <v>534.27803999999992</v>
      </c>
      <c r="P131" s="1121">
        <f t="shared" si="123"/>
        <v>587.70584399999996</v>
      </c>
      <c r="Q131" s="1121">
        <f t="shared" si="123"/>
        <v>641.13364799999988</v>
      </c>
      <c r="R131" s="1121">
        <f t="shared" si="123"/>
        <v>694.56145199999992</v>
      </c>
      <c r="S131" s="1121">
        <f t="shared" si="123"/>
        <v>747.98925599999984</v>
      </c>
      <c r="T131" s="1121">
        <f t="shared" si="123"/>
        <v>801.41705999999988</v>
      </c>
      <c r="U131" s="1121">
        <f t="shared" si="123"/>
        <v>854.84486399999992</v>
      </c>
      <c r="V131" s="1121">
        <f t="shared" si="123"/>
        <v>908.27266799999984</v>
      </c>
      <c r="W131" s="1121">
        <f t="shared" si="123"/>
        <v>961.70047199999988</v>
      </c>
      <c r="X131" s="1121">
        <f t="shared" si="123"/>
        <v>1015.1282759999998</v>
      </c>
      <c r="Y131" s="1121">
        <f t="shared" si="123"/>
        <v>1068.5560799999998</v>
      </c>
      <c r="Z131" s="1121">
        <f t="shared" si="123"/>
        <v>1121.983884</v>
      </c>
      <c r="AA131" s="1121">
        <f t="shared" si="123"/>
        <v>1175.4116879999999</v>
      </c>
      <c r="AB131" s="1121">
        <f t="shared" si="123"/>
        <v>1228.8394919999996</v>
      </c>
      <c r="AC131" s="1121">
        <f t="shared" si="123"/>
        <v>1282.2672959999998</v>
      </c>
      <c r="AD131" s="1121">
        <f t="shared" si="123"/>
        <v>1335.6950999999999</v>
      </c>
      <c r="AE131" s="1121">
        <f t="shared" si="123"/>
        <v>1389.1229039999998</v>
      </c>
      <c r="AF131" s="1121">
        <f t="shared" si="123"/>
        <v>1442.550708</v>
      </c>
      <c r="AG131" s="1121">
        <f t="shared" si="123"/>
        <v>1495.9785119999997</v>
      </c>
      <c r="AH131" s="1121">
        <f t="shared" si="123"/>
        <v>1549.4063159999996</v>
      </c>
      <c r="AI131" s="1121">
        <f t="shared" si="123"/>
        <v>1602.8341199999998</v>
      </c>
      <c r="AJ131" s="1121">
        <f t="shared" si="123"/>
        <v>1656.2619239999999</v>
      </c>
      <c r="AK131" s="1121">
        <f t="shared" si="123"/>
        <v>1709.6897279999998</v>
      </c>
      <c r="AL131" s="1121">
        <f t="shared" si="123"/>
        <v>1763.1175319999995</v>
      </c>
      <c r="AM131" s="1121">
        <f t="shared" si="123"/>
        <v>1816.5453359999997</v>
      </c>
      <c r="AN131" s="1121">
        <f t="shared" ref="AN131:BF131" si="124">((AN$71-$H$4)/1000)*$N$28*(($C$8/70)^$Z$28)</f>
        <v>1869.9731399999996</v>
      </c>
      <c r="AO131" s="1121">
        <f t="shared" si="124"/>
        <v>1923.4009439999998</v>
      </c>
      <c r="AP131" s="1121">
        <f t="shared" si="124"/>
        <v>1976.8287479999999</v>
      </c>
      <c r="AQ131" s="1121">
        <f t="shared" si="124"/>
        <v>2030.2565519999996</v>
      </c>
      <c r="AR131" s="1121">
        <f t="shared" si="124"/>
        <v>2083.6843559999998</v>
      </c>
      <c r="AS131" s="1121">
        <f t="shared" si="124"/>
        <v>2137.1121599999997</v>
      </c>
      <c r="AT131" s="1121">
        <f t="shared" si="124"/>
        <v>2190.5399639999996</v>
      </c>
      <c r="AU131" s="1121">
        <f t="shared" si="124"/>
        <v>2243.967768</v>
      </c>
      <c r="AV131" s="1121">
        <f t="shared" si="124"/>
        <v>2297.3955719999994</v>
      </c>
      <c r="AW131" s="1121">
        <f t="shared" si="124"/>
        <v>2350.8233759999998</v>
      </c>
      <c r="AX131" s="1121">
        <f t="shared" si="124"/>
        <v>2404.2511799999997</v>
      </c>
      <c r="AY131" s="1121">
        <f t="shared" si="124"/>
        <v>2457.6789839999992</v>
      </c>
      <c r="AZ131" s="1121">
        <f t="shared" si="124"/>
        <v>2511.1067879999996</v>
      </c>
      <c r="BA131" s="1121">
        <f t="shared" si="124"/>
        <v>2564.5345919999995</v>
      </c>
      <c r="BB131" s="1121">
        <f t="shared" si="124"/>
        <v>2617.9623959999999</v>
      </c>
      <c r="BC131" s="1121">
        <f t="shared" si="124"/>
        <v>2671.3901999999998</v>
      </c>
      <c r="BD131" s="1121">
        <f t="shared" si="124"/>
        <v>2724.8180039999993</v>
      </c>
      <c r="BE131" s="1121">
        <f t="shared" si="124"/>
        <v>2778.2458079999997</v>
      </c>
      <c r="BF131" s="1121">
        <f t="shared" si="124"/>
        <v>2831.6736119999996</v>
      </c>
    </row>
    <row r="132" spans="1:58">
      <c r="A132" s="2098"/>
      <c r="B132" s="2202" t="s">
        <v>420</v>
      </c>
      <c r="C132" s="2202"/>
      <c r="D132" s="489" t="s">
        <v>226</v>
      </c>
      <c r="E132" s="531">
        <v>140</v>
      </c>
      <c r="F132" s="531">
        <v>300</v>
      </c>
      <c r="G132" s="489" t="s">
        <v>292</v>
      </c>
      <c r="H132" s="1121">
        <f t="shared" ref="H132:AM132" si="125">((H$71-$H$4)/1000)*$O$28*(($C$8/70)^$AA$28)</f>
        <v>174.22109999999998</v>
      </c>
      <c r="I132" s="1121">
        <f t="shared" si="125"/>
        <v>232.29480000000001</v>
      </c>
      <c r="J132" s="1121">
        <f t="shared" si="125"/>
        <v>290.36849999999998</v>
      </c>
      <c r="K132" s="1121">
        <f t="shared" si="125"/>
        <v>348.44219999999996</v>
      </c>
      <c r="L132" s="1121">
        <f t="shared" si="125"/>
        <v>406.51589999999993</v>
      </c>
      <c r="M132" s="1121">
        <f t="shared" si="125"/>
        <v>464.58960000000002</v>
      </c>
      <c r="N132" s="1121">
        <f t="shared" si="125"/>
        <v>522.66329999999994</v>
      </c>
      <c r="O132" s="1121">
        <f t="shared" si="125"/>
        <v>580.73699999999997</v>
      </c>
      <c r="P132" s="1121">
        <f t="shared" si="125"/>
        <v>638.8107</v>
      </c>
      <c r="Q132" s="1121">
        <f t="shared" si="125"/>
        <v>696.88439999999991</v>
      </c>
      <c r="R132" s="1121">
        <f t="shared" si="125"/>
        <v>754.95809999999994</v>
      </c>
      <c r="S132" s="1121">
        <f t="shared" si="125"/>
        <v>813.03179999999986</v>
      </c>
      <c r="T132" s="1121">
        <f t="shared" si="125"/>
        <v>871.10549999999989</v>
      </c>
      <c r="U132" s="1121">
        <f t="shared" si="125"/>
        <v>929.17920000000004</v>
      </c>
      <c r="V132" s="1121">
        <f t="shared" si="125"/>
        <v>987.25289999999995</v>
      </c>
      <c r="W132" s="1121">
        <f t="shared" si="125"/>
        <v>1045.3265999999999</v>
      </c>
      <c r="X132" s="1121">
        <f t="shared" si="125"/>
        <v>1103.4002999999998</v>
      </c>
      <c r="Y132" s="1121">
        <f t="shared" si="125"/>
        <v>1161.4739999999999</v>
      </c>
      <c r="Z132" s="1121">
        <f t="shared" si="125"/>
        <v>1219.5477000000001</v>
      </c>
      <c r="AA132" s="1121">
        <f t="shared" si="125"/>
        <v>1277.6214</v>
      </c>
      <c r="AB132" s="1121">
        <f t="shared" si="125"/>
        <v>1335.6950999999999</v>
      </c>
      <c r="AC132" s="1121">
        <f t="shared" si="125"/>
        <v>1393.7687999999998</v>
      </c>
      <c r="AD132" s="1121">
        <f t="shared" si="125"/>
        <v>1451.8425</v>
      </c>
      <c r="AE132" s="1121">
        <f t="shared" si="125"/>
        <v>1509.9161999999999</v>
      </c>
      <c r="AF132" s="1121">
        <f t="shared" si="125"/>
        <v>1567.9899</v>
      </c>
      <c r="AG132" s="1121">
        <f t="shared" si="125"/>
        <v>1626.0635999999997</v>
      </c>
      <c r="AH132" s="1121">
        <f t="shared" si="125"/>
        <v>1684.1372999999999</v>
      </c>
      <c r="AI132" s="1121">
        <f t="shared" si="125"/>
        <v>1742.2109999999998</v>
      </c>
      <c r="AJ132" s="1121">
        <f t="shared" si="125"/>
        <v>1800.2846999999999</v>
      </c>
      <c r="AK132" s="1121">
        <f t="shared" si="125"/>
        <v>1858.3584000000001</v>
      </c>
      <c r="AL132" s="1121">
        <f t="shared" si="125"/>
        <v>1916.4320999999998</v>
      </c>
      <c r="AM132" s="1121">
        <f t="shared" si="125"/>
        <v>1974.5057999999999</v>
      </c>
      <c r="AN132" s="1121">
        <f t="shared" ref="AN132:BF132" si="126">((AN$71-$H$4)/1000)*$O$28*(($C$8/70)^$AA$28)</f>
        <v>2032.5794999999998</v>
      </c>
      <c r="AO132" s="1121">
        <f t="shared" si="126"/>
        <v>2090.6531999999997</v>
      </c>
      <c r="AP132" s="1121">
        <f t="shared" si="126"/>
        <v>2148.7269000000001</v>
      </c>
      <c r="AQ132" s="1121">
        <f t="shared" si="126"/>
        <v>2206.8005999999996</v>
      </c>
      <c r="AR132" s="1121">
        <f t="shared" si="126"/>
        <v>2264.8742999999999</v>
      </c>
      <c r="AS132" s="1121">
        <f t="shared" si="126"/>
        <v>2322.9479999999999</v>
      </c>
      <c r="AT132" s="1121">
        <f t="shared" si="126"/>
        <v>2381.0216999999998</v>
      </c>
      <c r="AU132" s="1121">
        <f t="shared" si="126"/>
        <v>2439.0954000000002</v>
      </c>
      <c r="AV132" s="1121">
        <f t="shared" si="126"/>
        <v>2497.1690999999996</v>
      </c>
      <c r="AW132" s="1121">
        <f t="shared" si="126"/>
        <v>2555.2428</v>
      </c>
      <c r="AX132" s="1121">
        <f t="shared" si="126"/>
        <v>2613.3164999999999</v>
      </c>
      <c r="AY132" s="1121">
        <f t="shared" si="126"/>
        <v>2671.3901999999998</v>
      </c>
      <c r="AZ132" s="1121">
        <f t="shared" si="126"/>
        <v>2729.4638999999997</v>
      </c>
      <c r="BA132" s="1121">
        <f t="shared" si="126"/>
        <v>2787.5375999999997</v>
      </c>
      <c r="BB132" s="1121">
        <f t="shared" si="126"/>
        <v>2845.6113</v>
      </c>
      <c r="BC132" s="1121">
        <f t="shared" si="126"/>
        <v>2903.6849999999999</v>
      </c>
      <c r="BD132" s="1121">
        <f t="shared" si="126"/>
        <v>2961.7586999999994</v>
      </c>
      <c r="BE132" s="1121">
        <f t="shared" si="126"/>
        <v>3019.8323999999998</v>
      </c>
      <c r="BF132" s="1121">
        <f t="shared" si="126"/>
        <v>3077.9060999999997</v>
      </c>
    </row>
    <row r="133" spans="1:58">
      <c r="A133" s="2098"/>
      <c r="B133" s="2202" t="s">
        <v>421</v>
      </c>
      <c r="C133" s="2202"/>
      <c r="D133" s="489" t="s">
        <v>226</v>
      </c>
      <c r="E133" s="531">
        <v>140</v>
      </c>
      <c r="F133" s="531">
        <v>360</v>
      </c>
      <c r="G133" s="489" t="s">
        <v>290</v>
      </c>
      <c r="H133" s="1121">
        <f t="shared" ref="H133:AM133" si="127">((H$71-$H$4)/1000)*$P$28*(($C$8/70)^$AB$28)</f>
        <v>167.05242037379256</v>
      </c>
      <c r="I133" s="1121">
        <f t="shared" si="127"/>
        <v>222.73656049839011</v>
      </c>
      <c r="J133" s="1121">
        <f t="shared" si="127"/>
        <v>278.42070062298762</v>
      </c>
      <c r="K133" s="1121">
        <f t="shared" si="127"/>
        <v>334.10484074758511</v>
      </c>
      <c r="L133" s="1121">
        <f t="shared" si="127"/>
        <v>389.78898087218266</v>
      </c>
      <c r="M133" s="1121">
        <f t="shared" si="127"/>
        <v>445.47312099678021</v>
      </c>
      <c r="N133" s="1121">
        <f t="shared" si="127"/>
        <v>501.15726112137776</v>
      </c>
      <c r="O133" s="1121">
        <f t="shared" si="127"/>
        <v>556.84140124597525</v>
      </c>
      <c r="P133" s="1121">
        <f t="shared" si="127"/>
        <v>612.5255413705728</v>
      </c>
      <c r="Q133" s="1121">
        <f t="shared" si="127"/>
        <v>668.20968149517023</v>
      </c>
      <c r="R133" s="1121">
        <f t="shared" si="127"/>
        <v>723.89382161976789</v>
      </c>
      <c r="S133" s="1121">
        <f t="shared" si="127"/>
        <v>779.57796174436533</v>
      </c>
      <c r="T133" s="1121">
        <f t="shared" si="127"/>
        <v>835.26210186896287</v>
      </c>
      <c r="U133" s="1121">
        <f t="shared" si="127"/>
        <v>890.94624199356042</v>
      </c>
      <c r="V133" s="1121">
        <f t="shared" si="127"/>
        <v>946.63038211815785</v>
      </c>
      <c r="W133" s="1121">
        <f t="shared" si="127"/>
        <v>1002.3145222427555</v>
      </c>
      <c r="X133" s="1121">
        <f t="shared" si="127"/>
        <v>1057.9986623673528</v>
      </c>
      <c r="Y133" s="1121">
        <f t="shared" si="127"/>
        <v>1113.6828024919505</v>
      </c>
      <c r="Z133" s="1121">
        <f t="shared" si="127"/>
        <v>1169.3669426165482</v>
      </c>
      <c r="AA133" s="1121">
        <f t="shared" si="127"/>
        <v>1225.0510827411456</v>
      </c>
      <c r="AB133" s="1121">
        <f t="shared" si="127"/>
        <v>1280.735222865743</v>
      </c>
      <c r="AC133" s="1121">
        <f t="shared" si="127"/>
        <v>1336.4193629903405</v>
      </c>
      <c r="AD133" s="1121">
        <f t="shared" si="127"/>
        <v>1392.1035031149381</v>
      </c>
      <c r="AE133" s="1121">
        <f t="shared" si="127"/>
        <v>1447.7876432395358</v>
      </c>
      <c r="AF133" s="1121">
        <f t="shared" si="127"/>
        <v>1503.4717833641332</v>
      </c>
      <c r="AG133" s="1121">
        <f t="shared" si="127"/>
        <v>1559.1559234887307</v>
      </c>
      <c r="AH133" s="1121">
        <f t="shared" si="127"/>
        <v>1614.8400636133281</v>
      </c>
      <c r="AI133" s="1121">
        <f t="shared" si="127"/>
        <v>1670.5242037379257</v>
      </c>
      <c r="AJ133" s="1121">
        <f t="shared" si="127"/>
        <v>1726.2083438625234</v>
      </c>
      <c r="AK133" s="1121">
        <f t="shared" si="127"/>
        <v>1781.8924839871208</v>
      </c>
      <c r="AL133" s="1121">
        <f t="shared" si="127"/>
        <v>1837.5766241117183</v>
      </c>
      <c r="AM133" s="1121">
        <f t="shared" si="127"/>
        <v>1893.2607642363157</v>
      </c>
      <c r="AN133" s="1121">
        <f t="shared" ref="AN133:BF133" si="128">((AN$71-$H$4)/1000)*$P$28*(($C$8/70)^$AB$28)</f>
        <v>1948.9449043609134</v>
      </c>
      <c r="AO133" s="1121">
        <f t="shared" si="128"/>
        <v>2004.629044485511</v>
      </c>
      <c r="AP133" s="1121">
        <f t="shared" si="128"/>
        <v>2060.3131846101087</v>
      </c>
      <c r="AQ133" s="1121">
        <f t="shared" si="128"/>
        <v>2115.9973247347057</v>
      </c>
      <c r="AR133" s="1121">
        <f t="shared" si="128"/>
        <v>2171.6814648593036</v>
      </c>
      <c r="AS133" s="1121">
        <f t="shared" si="128"/>
        <v>2227.365604983901</v>
      </c>
      <c r="AT133" s="1121">
        <f t="shared" si="128"/>
        <v>2283.0497451084984</v>
      </c>
      <c r="AU133" s="1121">
        <f t="shared" si="128"/>
        <v>2338.7338852330963</v>
      </c>
      <c r="AV133" s="1121">
        <f t="shared" si="128"/>
        <v>2394.4180253576933</v>
      </c>
      <c r="AW133" s="1121">
        <f t="shared" si="128"/>
        <v>2450.1021654822912</v>
      </c>
      <c r="AX133" s="1121">
        <f t="shared" si="128"/>
        <v>2505.7863056068886</v>
      </c>
      <c r="AY133" s="1121">
        <f t="shared" si="128"/>
        <v>2561.4704457314861</v>
      </c>
      <c r="AZ133" s="1121">
        <f t="shared" si="128"/>
        <v>2617.1545858560839</v>
      </c>
      <c r="BA133" s="1121">
        <f t="shared" si="128"/>
        <v>2672.8387259806809</v>
      </c>
      <c r="BB133" s="1121">
        <f t="shared" si="128"/>
        <v>2728.5228661052788</v>
      </c>
      <c r="BC133" s="1121">
        <f t="shared" si="128"/>
        <v>2784.2070062298762</v>
      </c>
      <c r="BD133" s="1121">
        <f t="shared" si="128"/>
        <v>2839.8911463544737</v>
      </c>
      <c r="BE133" s="1121">
        <f t="shared" si="128"/>
        <v>2895.5752864790716</v>
      </c>
      <c r="BF133" s="1121">
        <f t="shared" si="128"/>
        <v>2951.2594266036685</v>
      </c>
    </row>
    <row r="134" spans="1:58">
      <c r="A134" s="2098"/>
      <c r="B134" s="2202" t="s">
        <v>422</v>
      </c>
      <c r="C134" s="2202"/>
      <c r="D134" s="489" t="s">
        <v>226</v>
      </c>
      <c r="E134" s="531">
        <v>140</v>
      </c>
      <c r="F134" s="531">
        <v>360</v>
      </c>
      <c r="G134" s="489" t="s">
        <v>292</v>
      </c>
      <c r="H134" s="1121">
        <f t="shared" ref="H134:AM134" si="129">((H$71-$H$4)/1000)*$Q$28*(($C$8/70)^$AC$28)</f>
        <v>183.57408832284898</v>
      </c>
      <c r="I134" s="1121">
        <f t="shared" si="129"/>
        <v>244.76545109713197</v>
      </c>
      <c r="J134" s="1121">
        <f t="shared" si="129"/>
        <v>305.95681387141497</v>
      </c>
      <c r="K134" s="1121">
        <f t="shared" si="129"/>
        <v>367.14817664569796</v>
      </c>
      <c r="L134" s="1121">
        <f t="shared" si="129"/>
        <v>428.33953941998095</v>
      </c>
      <c r="M134" s="1121">
        <f t="shared" si="129"/>
        <v>489.53090219426394</v>
      </c>
      <c r="N134" s="1121">
        <f t="shared" si="129"/>
        <v>550.72226496854694</v>
      </c>
      <c r="O134" s="1121">
        <f t="shared" si="129"/>
        <v>611.91362774282993</v>
      </c>
      <c r="P134" s="1121">
        <f t="shared" si="129"/>
        <v>673.10499051711292</v>
      </c>
      <c r="Q134" s="1121">
        <f t="shared" si="129"/>
        <v>734.29635329139592</v>
      </c>
      <c r="R134" s="1121">
        <f t="shared" si="129"/>
        <v>795.48771606567891</v>
      </c>
      <c r="S134" s="1121">
        <f t="shared" si="129"/>
        <v>856.6790788399619</v>
      </c>
      <c r="T134" s="1121">
        <f t="shared" si="129"/>
        <v>917.8704416142449</v>
      </c>
      <c r="U134" s="1121">
        <f t="shared" si="129"/>
        <v>979.06180438852789</v>
      </c>
      <c r="V134" s="1121">
        <f t="shared" si="129"/>
        <v>1040.2531671628108</v>
      </c>
      <c r="W134" s="1121">
        <f t="shared" si="129"/>
        <v>1101.4445299370939</v>
      </c>
      <c r="X134" s="1121">
        <f t="shared" si="129"/>
        <v>1162.6358927113768</v>
      </c>
      <c r="Y134" s="1121">
        <f t="shared" si="129"/>
        <v>1223.8272554856599</v>
      </c>
      <c r="Z134" s="1121">
        <f t="shared" si="129"/>
        <v>1285.018618259943</v>
      </c>
      <c r="AA134" s="1121">
        <f t="shared" si="129"/>
        <v>1346.2099810342258</v>
      </c>
      <c r="AB134" s="1121">
        <f t="shared" si="129"/>
        <v>1407.4013438085087</v>
      </c>
      <c r="AC134" s="1121">
        <f t="shared" si="129"/>
        <v>1468.5927065827918</v>
      </c>
      <c r="AD134" s="1121">
        <f t="shared" si="129"/>
        <v>1529.7840693570747</v>
      </c>
      <c r="AE134" s="1121">
        <f t="shared" si="129"/>
        <v>1590.9754321313578</v>
      </c>
      <c r="AF134" s="1121">
        <f t="shared" si="129"/>
        <v>1652.1667949056409</v>
      </c>
      <c r="AG134" s="1121">
        <f t="shared" si="129"/>
        <v>1713.3581576799238</v>
      </c>
      <c r="AH134" s="1121">
        <f t="shared" si="129"/>
        <v>1774.5495204542067</v>
      </c>
      <c r="AI134" s="1121">
        <f t="shared" si="129"/>
        <v>1835.7408832284898</v>
      </c>
      <c r="AJ134" s="1121">
        <f t="shared" si="129"/>
        <v>1896.9322460027729</v>
      </c>
      <c r="AK134" s="1121">
        <f t="shared" si="129"/>
        <v>1958.1236087770558</v>
      </c>
      <c r="AL134" s="1121">
        <f t="shared" si="129"/>
        <v>2019.3149715513387</v>
      </c>
      <c r="AM134" s="1121">
        <f t="shared" si="129"/>
        <v>2080.5063343256215</v>
      </c>
      <c r="AN134" s="1121">
        <f t="shared" ref="AN134:BF134" si="130">((AN$71-$H$4)/1000)*$Q$28*(($C$8/70)^$AC$28)</f>
        <v>2141.6976970999049</v>
      </c>
      <c r="AO134" s="1121">
        <f t="shared" si="130"/>
        <v>2202.8890598741878</v>
      </c>
      <c r="AP134" s="1121">
        <f t="shared" si="130"/>
        <v>2264.0804226484706</v>
      </c>
      <c r="AQ134" s="1121">
        <f t="shared" si="130"/>
        <v>2325.2717854227535</v>
      </c>
      <c r="AR134" s="1121">
        <f t="shared" si="130"/>
        <v>2386.4631481970368</v>
      </c>
      <c r="AS134" s="1121">
        <f t="shared" si="130"/>
        <v>2447.6545109713197</v>
      </c>
      <c r="AT134" s="1121">
        <f t="shared" si="130"/>
        <v>2508.8458737456026</v>
      </c>
      <c r="AU134" s="1121">
        <f t="shared" si="130"/>
        <v>2570.0372365198859</v>
      </c>
      <c r="AV134" s="1121">
        <f t="shared" si="130"/>
        <v>2631.2285992941688</v>
      </c>
      <c r="AW134" s="1121">
        <f t="shared" si="130"/>
        <v>2692.4199620684517</v>
      </c>
      <c r="AX134" s="1121">
        <f t="shared" si="130"/>
        <v>2753.6113248427346</v>
      </c>
      <c r="AY134" s="1121">
        <f t="shared" si="130"/>
        <v>2814.8026876170175</v>
      </c>
      <c r="AZ134" s="1121">
        <f t="shared" si="130"/>
        <v>2875.9940503913008</v>
      </c>
      <c r="BA134" s="1121">
        <f t="shared" si="130"/>
        <v>2937.1854131655837</v>
      </c>
      <c r="BB134" s="1121">
        <f t="shared" si="130"/>
        <v>2998.376775939867</v>
      </c>
      <c r="BC134" s="1121">
        <f t="shared" si="130"/>
        <v>3059.5681387141494</v>
      </c>
      <c r="BD134" s="1121">
        <f t="shared" si="130"/>
        <v>3120.7595014884323</v>
      </c>
      <c r="BE134" s="1121">
        <f t="shared" si="130"/>
        <v>3181.9508642627156</v>
      </c>
      <c r="BF134" s="1121">
        <f t="shared" si="130"/>
        <v>3243.1422270369985</v>
      </c>
    </row>
    <row r="135" spans="1:58">
      <c r="A135" s="2098"/>
      <c r="B135" s="2202" t="s">
        <v>423</v>
      </c>
      <c r="C135" s="2202"/>
      <c r="D135" s="489" t="s">
        <v>226</v>
      </c>
      <c r="E135" s="531">
        <v>140</v>
      </c>
      <c r="F135" s="531">
        <v>400</v>
      </c>
      <c r="G135" s="489" t="s">
        <v>290</v>
      </c>
      <c r="H135" s="1121">
        <f t="shared" ref="H135:AM135" si="131">((H$71-$H$4)/1000)*$R$28*(($C$8/70)^$AE$28)</f>
        <v>177.90353999999999</v>
      </c>
      <c r="I135" s="1121">
        <f t="shared" si="131"/>
        <v>237.20472000000001</v>
      </c>
      <c r="J135" s="1121">
        <f t="shared" si="131"/>
        <v>296.5059</v>
      </c>
      <c r="K135" s="1121">
        <f t="shared" si="131"/>
        <v>355.80707999999998</v>
      </c>
      <c r="L135" s="1121">
        <f t="shared" si="131"/>
        <v>415.10825999999997</v>
      </c>
      <c r="M135" s="1121">
        <f t="shared" si="131"/>
        <v>474.40944000000002</v>
      </c>
      <c r="N135" s="1121">
        <f t="shared" si="131"/>
        <v>533.71062000000006</v>
      </c>
      <c r="O135" s="1121">
        <f t="shared" si="131"/>
        <v>593.01179999999999</v>
      </c>
      <c r="P135" s="1121">
        <f t="shared" si="131"/>
        <v>652.31298000000004</v>
      </c>
      <c r="Q135" s="1121">
        <f t="shared" si="131"/>
        <v>711.61415999999997</v>
      </c>
      <c r="R135" s="1121">
        <f t="shared" si="131"/>
        <v>770.91534000000001</v>
      </c>
      <c r="S135" s="1121">
        <f t="shared" si="131"/>
        <v>830.21651999999995</v>
      </c>
      <c r="T135" s="1121">
        <f t="shared" si="131"/>
        <v>889.51769999999999</v>
      </c>
      <c r="U135" s="1121">
        <f t="shared" si="131"/>
        <v>948.81888000000004</v>
      </c>
      <c r="V135" s="1121">
        <f t="shared" si="131"/>
        <v>1008.12006</v>
      </c>
      <c r="W135" s="1121">
        <f t="shared" si="131"/>
        <v>1067.4212400000001</v>
      </c>
      <c r="X135" s="1121">
        <f t="shared" si="131"/>
        <v>1126.7224199999998</v>
      </c>
      <c r="Y135" s="1121">
        <f t="shared" si="131"/>
        <v>1186.0236</v>
      </c>
      <c r="Z135" s="1121">
        <f t="shared" si="131"/>
        <v>1245.3247800000001</v>
      </c>
      <c r="AA135" s="1121">
        <f t="shared" si="131"/>
        <v>1304.6259600000001</v>
      </c>
      <c r="AB135" s="1121">
        <f t="shared" si="131"/>
        <v>1363.9271399999998</v>
      </c>
      <c r="AC135" s="1121">
        <f t="shared" si="131"/>
        <v>1423.2283199999999</v>
      </c>
      <c r="AD135" s="1121">
        <f t="shared" si="131"/>
        <v>1482.5295000000001</v>
      </c>
      <c r="AE135" s="1121">
        <f t="shared" si="131"/>
        <v>1541.83068</v>
      </c>
      <c r="AF135" s="1121">
        <f t="shared" si="131"/>
        <v>1601.1318600000002</v>
      </c>
      <c r="AG135" s="1121">
        <f t="shared" si="131"/>
        <v>1660.4330399999999</v>
      </c>
      <c r="AH135" s="1121">
        <f t="shared" si="131"/>
        <v>1719.7342199999998</v>
      </c>
      <c r="AI135" s="1121">
        <f t="shared" si="131"/>
        <v>1779.0354</v>
      </c>
      <c r="AJ135" s="1121">
        <f t="shared" si="131"/>
        <v>1838.3365800000001</v>
      </c>
      <c r="AK135" s="1121">
        <f t="shared" si="131"/>
        <v>1897.6377600000001</v>
      </c>
      <c r="AL135" s="1121">
        <f t="shared" si="131"/>
        <v>1956.9389399999998</v>
      </c>
      <c r="AM135" s="1121">
        <f t="shared" si="131"/>
        <v>2016.2401199999999</v>
      </c>
      <c r="AN135" s="1121">
        <f t="shared" ref="AN135:BF135" si="132">((AN$71-$H$4)/1000)*$R$28*(($C$8/70)^$AE$28)</f>
        <v>2075.5412999999999</v>
      </c>
      <c r="AO135" s="1121">
        <f t="shared" si="132"/>
        <v>2134.8424800000003</v>
      </c>
      <c r="AP135" s="1121">
        <f t="shared" si="132"/>
        <v>2194.1436600000002</v>
      </c>
      <c r="AQ135" s="1121">
        <f t="shared" si="132"/>
        <v>2253.4448399999997</v>
      </c>
      <c r="AR135" s="1121">
        <f t="shared" si="132"/>
        <v>2312.74602</v>
      </c>
      <c r="AS135" s="1121">
        <f t="shared" si="132"/>
        <v>2372.0472</v>
      </c>
      <c r="AT135" s="1121">
        <f t="shared" si="132"/>
        <v>2431.3483799999999</v>
      </c>
      <c r="AU135" s="1121">
        <f t="shared" si="132"/>
        <v>2490.6495600000003</v>
      </c>
      <c r="AV135" s="1121">
        <f t="shared" si="132"/>
        <v>2549.9507399999998</v>
      </c>
      <c r="AW135" s="1121">
        <f t="shared" si="132"/>
        <v>2609.2519200000002</v>
      </c>
      <c r="AX135" s="1121">
        <f t="shared" si="132"/>
        <v>2668.5531000000001</v>
      </c>
      <c r="AY135" s="1121">
        <f t="shared" si="132"/>
        <v>2727.8542799999996</v>
      </c>
      <c r="AZ135" s="1121">
        <f t="shared" si="132"/>
        <v>2787.1554599999999</v>
      </c>
      <c r="BA135" s="1121">
        <f t="shared" si="132"/>
        <v>2846.4566399999999</v>
      </c>
      <c r="BB135" s="1121">
        <f t="shared" si="132"/>
        <v>2905.7578200000003</v>
      </c>
      <c r="BC135" s="1121">
        <f t="shared" si="132"/>
        <v>2965.0590000000002</v>
      </c>
      <c r="BD135" s="1121">
        <f t="shared" si="132"/>
        <v>3024.3601799999997</v>
      </c>
      <c r="BE135" s="1121">
        <f t="shared" si="132"/>
        <v>3083.6613600000001</v>
      </c>
      <c r="BF135" s="1121">
        <f t="shared" si="132"/>
        <v>3142.96254</v>
      </c>
    </row>
    <row r="136" spans="1:58" ht="15.75" thickBot="1">
      <c r="A136" s="2098"/>
      <c r="B136" s="2203" t="s">
        <v>424</v>
      </c>
      <c r="C136" s="2203"/>
      <c r="D136" s="489" t="s">
        <v>226</v>
      </c>
      <c r="E136" s="531">
        <v>140</v>
      </c>
      <c r="F136" s="531">
        <v>400</v>
      </c>
      <c r="G136" s="490" t="s">
        <v>292</v>
      </c>
      <c r="H136" s="1122">
        <f t="shared" ref="H136:AM136" si="133">((H$71-$H$4)/1000)*$S$28*(($C$8/70)^$AE$28)</f>
        <v>197.67059999999998</v>
      </c>
      <c r="I136" s="1122">
        <f t="shared" si="133"/>
        <v>263.56079999999997</v>
      </c>
      <c r="J136" s="1122">
        <f t="shared" si="133"/>
        <v>329.45099999999996</v>
      </c>
      <c r="K136" s="1122">
        <f t="shared" si="133"/>
        <v>395.34119999999996</v>
      </c>
      <c r="L136" s="1122">
        <f t="shared" si="133"/>
        <v>461.23139999999989</v>
      </c>
      <c r="M136" s="1122">
        <f t="shared" si="133"/>
        <v>527.12159999999994</v>
      </c>
      <c r="N136" s="1122">
        <f t="shared" si="133"/>
        <v>593.01179999999999</v>
      </c>
      <c r="O136" s="1122">
        <f t="shared" si="133"/>
        <v>658.90199999999993</v>
      </c>
      <c r="P136" s="1122">
        <f t="shared" si="133"/>
        <v>724.79219999999998</v>
      </c>
      <c r="Q136" s="1122">
        <f t="shared" si="133"/>
        <v>790.68239999999992</v>
      </c>
      <c r="R136" s="1122">
        <f t="shared" si="133"/>
        <v>856.57259999999997</v>
      </c>
      <c r="S136" s="1122">
        <f t="shared" si="133"/>
        <v>922.46279999999979</v>
      </c>
      <c r="T136" s="1122">
        <f t="shared" si="133"/>
        <v>988.35299999999984</v>
      </c>
      <c r="U136" s="1122">
        <f t="shared" si="133"/>
        <v>1054.2431999999999</v>
      </c>
      <c r="V136" s="1122">
        <f t="shared" si="133"/>
        <v>1120.1333999999999</v>
      </c>
      <c r="W136" s="1122">
        <f t="shared" si="133"/>
        <v>1186.0236</v>
      </c>
      <c r="X136" s="1122">
        <f t="shared" si="133"/>
        <v>1251.9137999999998</v>
      </c>
      <c r="Y136" s="1122">
        <f t="shared" si="133"/>
        <v>1317.8039999999999</v>
      </c>
      <c r="Z136" s="1122">
        <f t="shared" si="133"/>
        <v>1383.6941999999999</v>
      </c>
      <c r="AA136" s="1122">
        <f t="shared" si="133"/>
        <v>1449.5844</v>
      </c>
      <c r="AB136" s="1122">
        <f t="shared" si="133"/>
        <v>1515.4745999999998</v>
      </c>
      <c r="AC136" s="1122">
        <f t="shared" si="133"/>
        <v>1581.3647999999998</v>
      </c>
      <c r="AD136" s="1122">
        <f t="shared" si="133"/>
        <v>1647.2549999999999</v>
      </c>
      <c r="AE136" s="1122">
        <f t="shared" si="133"/>
        <v>1713.1451999999999</v>
      </c>
      <c r="AF136" s="1122">
        <f t="shared" si="133"/>
        <v>1779.0354</v>
      </c>
      <c r="AG136" s="1122">
        <f t="shared" si="133"/>
        <v>1844.9255999999996</v>
      </c>
      <c r="AH136" s="1122">
        <f t="shared" si="133"/>
        <v>1910.8157999999996</v>
      </c>
      <c r="AI136" s="1122">
        <f t="shared" si="133"/>
        <v>1976.7059999999997</v>
      </c>
      <c r="AJ136" s="1122">
        <f t="shared" si="133"/>
        <v>2042.5962</v>
      </c>
      <c r="AK136" s="1122">
        <f t="shared" si="133"/>
        <v>2108.4863999999998</v>
      </c>
      <c r="AL136" s="1122">
        <f t="shared" si="133"/>
        <v>2174.3765999999996</v>
      </c>
      <c r="AM136" s="1122">
        <f t="shared" si="133"/>
        <v>2240.2667999999999</v>
      </c>
      <c r="AN136" s="1122">
        <f t="shared" ref="AN136:BF136" si="134">((AN$71-$H$4)/1000)*$S$28*(($C$8/70)^$AE$28)</f>
        <v>2306.1569999999997</v>
      </c>
      <c r="AO136" s="1122">
        <f t="shared" si="134"/>
        <v>2372.0472</v>
      </c>
      <c r="AP136" s="1122">
        <f t="shared" si="134"/>
        <v>2437.9373999999998</v>
      </c>
      <c r="AQ136" s="1122">
        <f t="shared" si="134"/>
        <v>2503.8275999999996</v>
      </c>
      <c r="AR136" s="1122">
        <f t="shared" si="134"/>
        <v>2569.7177999999994</v>
      </c>
      <c r="AS136" s="1122">
        <f t="shared" si="134"/>
        <v>2635.6079999999997</v>
      </c>
      <c r="AT136" s="1122">
        <f t="shared" si="134"/>
        <v>2701.4981999999995</v>
      </c>
      <c r="AU136" s="1122">
        <f t="shared" si="134"/>
        <v>2767.3883999999998</v>
      </c>
      <c r="AV136" s="1122">
        <f t="shared" si="134"/>
        <v>2833.2785999999996</v>
      </c>
      <c r="AW136" s="1122">
        <f t="shared" si="134"/>
        <v>2899.1687999999999</v>
      </c>
      <c r="AX136" s="1122">
        <f t="shared" si="134"/>
        <v>2965.0589999999997</v>
      </c>
      <c r="AY136" s="1122">
        <f t="shared" si="134"/>
        <v>3030.9491999999996</v>
      </c>
      <c r="AZ136" s="1122">
        <f t="shared" si="134"/>
        <v>3096.8393999999998</v>
      </c>
      <c r="BA136" s="1122">
        <f t="shared" si="134"/>
        <v>3162.7295999999997</v>
      </c>
      <c r="BB136" s="1122">
        <f t="shared" si="134"/>
        <v>3228.6197999999999</v>
      </c>
      <c r="BC136" s="1122">
        <f t="shared" si="134"/>
        <v>3294.5099999999998</v>
      </c>
      <c r="BD136" s="1122">
        <f t="shared" si="134"/>
        <v>3360.4001999999996</v>
      </c>
      <c r="BE136" s="1122">
        <f t="shared" si="134"/>
        <v>3426.2903999999999</v>
      </c>
      <c r="BF136" s="1122">
        <f t="shared" si="134"/>
        <v>3492.1805999999997</v>
      </c>
    </row>
    <row r="137" spans="1:58">
      <c r="A137" s="2098"/>
      <c r="B137" s="2200" t="s">
        <v>285</v>
      </c>
      <c r="C137" s="2200"/>
      <c r="D137" s="470" t="s">
        <v>226</v>
      </c>
      <c r="E137" s="513">
        <v>150</v>
      </c>
      <c r="F137" s="513">
        <v>160</v>
      </c>
      <c r="G137" s="470" t="s">
        <v>286</v>
      </c>
      <c r="H137" s="991">
        <f t="shared" ref="H137:AM137" si="135">((H$71-$H$4)/1000)*$K$29*(($C$8/70)^$W$29)</f>
        <v>101.32019999999999</v>
      </c>
      <c r="I137" s="991">
        <f t="shared" si="135"/>
        <v>135.09360000000001</v>
      </c>
      <c r="J137" s="991">
        <f t="shared" si="135"/>
        <v>168.86699999999999</v>
      </c>
      <c r="K137" s="991">
        <f t="shared" si="135"/>
        <v>202.64039999999997</v>
      </c>
      <c r="L137" s="991">
        <f t="shared" si="135"/>
        <v>236.41379999999998</v>
      </c>
      <c r="M137" s="991">
        <f t="shared" si="135"/>
        <v>270.18720000000002</v>
      </c>
      <c r="N137" s="991">
        <f t="shared" si="135"/>
        <v>303.9606</v>
      </c>
      <c r="O137" s="991">
        <f t="shared" si="135"/>
        <v>337.73399999999998</v>
      </c>
      <c r="P137" s="991">
        <f t="shared" si="135"/>
        <v>371.50740000000002</v>
      </c>
      <c r="Q137" s="991">
        <f t="shared" si="135"/>
        <v>405.28079999999994</v>
      </c>
      <c r="R137" s="991">
        <f t="shared" si="135"/>
        <v>439.05419999999998</v>
      </c>
      <c r="S137" s="991">
        <f t="shared" si="135"/>
        <v>472.82759999999996</v>
      </c>
      <c r="T137" s="991">
        <f t="shared" si="135"/>
        <v>506.601</v>
      </c>
      <c r="U137" s="991">
        <f t="shared" si="135"/>
        <v>540.37440000000004</v>
      </c>
      <c r="V137" s="991">
        <f t="shared" si="135"/>
        <v>574.14779999999996</v>
      </c>
      <c r="W137" s="991">
        <f t="shared" si="135"/>
        <v>607.9212</v>
      </c>
      <c r="X137" s="991">
        <f t="shared" si="135"/>
        <v>641.69459999999992</v>
      </c>
      <c r="Y137" s="991">
        <f t="shared" si="135"/>
        <v>675.46799999999996</v>
      </c>
      <c r="Z137" s="991">
        <f t="shared" si="135"/>
        <v>709.2414</v>
      </c>
      <c r="AA137" s="991">
        <f t="shared" si="135"/>
        <v>743.01480000000004</v>
      </c>
      <c r="AB137" s="991">
        <f t="shared" si="135"/>
        <v>776.78819999999985</v>
      </c>
      <c r="AC137" s="991">
        <f t="shared" si="135"/>
        <v>810.56159999999988</v>
      </c>
      <c r="AD137" s="991">
        <f t="shared" si="135"/>
        <v>844.33499999999992</v>
      </c>
      <c r="AE137" s="991">
        <f t="shared" si="135"/>
        <v>878.10839999999996</v>
      </c>
      <c r="AF137" s="991">
        <f t="shared" si="135"/>
        <v>911.8818</v>
      </c>
      <c r="AG137" s="991">
        <f t="shared" si="135"/>
        <v>945.65519999999992</v>
      </c>
      <c r="AH137" s="991">
        <f t="shared" si="135"/>
        <v>979.42859999999996</v>
      </c>
      <c r="AI137" s="991">
        <f t="shared" si="135"/>
        <v>1013.202</v>
      </c>
      <c r="AJ137" s="991">
        <f t="shared" si="135"/>
        <v>1046.9754</v>
      </c>
      <c r="AK137" s="991">
        <f t="shared" si="135"/>
        <v>1080.7488000000001</v>
      </c>
      <c r="AL137" s="991">
        <f t="shared" si="135"/>
        <v>1114.5221999999999</v>
      </c>
      <c r="AM137" s="991">
        <f t="shared" si="135"/>
        <v>1148.2955999999999</v>
      </c>
      <c r="AN137" s="991">
        <f t="shared" ref="AN137:BF137" si="136">((AN$71-$H$4)/1000)*$K$29*(($C$8/70)^$W$29)</f>
        <v>1182.069</v>
      </c>
      <c r="AO137" s="991">
        <f t="shared" si="136"/>
        <v>1215.8424</v>
      </c>
      <c r="AP137" s="991">
        <f t="shared" si="136"/>
        <v>1249.6158</v>
      </c>
      <c r="AQ137" s="991">
        <f t="shared" si="136"/>
        <v>1283.3891999999998</v>
      </c>
      <c r="AR137" s="991">
        <f t="shared" si="136"/>
        <v>1317.1625999999999</v>
      </c>
      <c r="AS137" s="991">
        <f t="shared" si="136"/>
        <v>1350.9359999999999</v>
      </c>
      <c r="AT137" s="991">
        <f t="shared" si="136"/>
        <v>1384.7093999999997</v>
      </c>
      <c r="AU137" s="991">
        <f t="shared" si="136"/>
        <v>1418.4828</v>
      </c>
      <c r="AV137" s="991">
        <f t="shared" si="136"/>
        <v>1452.2561999999998</v>
      </c>
      <c r="AW137" s="991">
        <f t="shared" si="136"/>
        <v>1486.0296000000001</v>
      </c>
      <c r="AX137" s="991">
        <f t="shared" si="136"/>
        <v>1519.8029999999999</v>
      </c>
      <c r="AY137" s="991">
        <f t="shared" si="136"/>
        <v>1553.5763999999997</v>
      </c>
      <c r="AZ137" s="991">
        <f t="shared" si="136"/>
        <v>1587.3498</v>
      </c>
      <c r="BA137" s="991">
        <f t="shared" si="136"/>
        <v>1621.1231999999998</v>
      </c>
      <c r="BB137" s="991">
        <f t="shared" si="136"/>
        <v>1654.8966</v>
      </c>
      <c r="BC137" s="991">
        <f t="shared" si="136"/>
        <v>1688.6699999999998</v>
      </c>
      <c r="BD137" s="991">
        <f t="shared" si="136"/>
        <v>1722.4433999999999</v>
      </c>
      <c r="BE137" s="991">
        <f t="shared" si="136"/>
        <v>1756.2167999999999</v>
      </c>
      <c r="BF137" s="991">
        <f t="shared" si="136"/>
        <v>1789.9901999999997</v>
      </c>
    </row>
    <row r="138" spans="1:58">
      <c r="A138" s="2098"/>
      <c r="B138" s="2194" t="s">
        <v>287</v>
      </c>
      <c r="C138" s="2194"/>
      <c r="D138" s="471" t="s">
        <v>226</v>
      </c>
      <c r="E138" s="514">
        <v>150</v>
      </c>
      <c r="F138" s="514">
        <v>200</v>
      </c>
      <c r="G138" s="471" t="s">
        <v>286</v>
      </c>
      <c r="H138" s="1123">
        <f t="shared" ref="H138:AM138" si="137">((H$71-$H$4)/1000)*$L$29*(($C$8/70)^$X$29)</f>
        <v>116.46</v>
      </c>
      <c r="I138" s="1123">
        <f t="shared" si="137"/>
        <v>155.28</v>
      </c>
      <c r="J138" s="1123">
        <f t="shared" si="137"/>
        <v>194.1</v>
      </c>
      <c r="K138" s="1123">
        <f t="shared" si="137"/>
        <v>232.92</v>
      </c>
      <c r="L138" s="1123">
        <f t="shared" si="137"/>
        <v>271.73999999999995</v>
      </c>
      <c r="M138" s="1123">
        <f t="shared" si="137"/>
        <v>310.56</v>
      </c>
      <c r="N138" s="1123">
        <f t="shared" si="137"/>
        <v>349.38</v>
      </c>
      <c r="O138" s="1123">
        <f t="shared" si="137"/>
        <v>388.2</v>
      </c>
      <c r="P138" s="1123">
        <f t="shared" si="137"/>
        <v>427.02000000000004</v>
      </c>
      <c r="Q138" s="1123">
        <f t="shared" si="137"/>
        <v>465.84</v>
      </c>
      <c r="R138" s="1123">
        <f t="shared" si="137"/>
        <v>504.66</v>
      </c>
      <c r="S138" s="1123">
        <f t="shared" si="137"/>
        <v>543.4799999999999</v>
      </c>
      <c r="T138" s="1123">
        <f t="shared" si="137"/>
        <v>582.29999999999995</v>
      </c>
      <c r="U138" s="1123">
        <f t="shared" si="137"/>
        <v>621.12</v>
      </c>
      <c r="V138" s="1123">
        <f t="shared" si="137"/>
        <v>659.93999999999994</v>
      </c>
      <c r="W138" s="1123">
        <f t="shared" si="137"/>
        <v>698.76</v>
      </c>
      <c r="X138" s="1123">
        <f t="shared" si="137"/>
        <v>737.57999999999993</v>
      </c>
      <c r="Y138" s="1123">
        <f t="shared" si="137"/>
        <v>776.4</v>
      </c>
      <c r="Z138" s="1123">
        <f t="shared" si="137"/>
        <v>815.22</v>
      </c>
      <c r="AA138" s="1123">
        <f t="shared" si="137"/>
        <v>854.04000000000008</v>
      </c>
      <c r="AB138" s="1123">
        <f t="shared" si="137"/>
        <v>892.8599999999999</v>
      </c>
      <c r="AC138" s="1123">
        <f t="shared" si="137"/>
        <v>931.68</v>
      </c>
      <c r="AD138" s="1123">
        <f t="shared" si="137"/>
        <v>970.5</v>
      </c>
      <c r="AE138" s="1123">
        <f t="shared" si="137"/>
        <v>1009.32</v>
      </c>
      <c r="AF138" s="1123">
        <f t="shared" si="137"/>
        <v>1048.1400000000001</v>
      </c>
      <c r="AG138" s="1123">
        <f t="shared" si="137"/>
        <v>1086.9599999999998</v>
      </c>
      <c r="AH138" s="1123">
        <f t="shared" si="137"/>
        <v>1125.78</v>
      </c>
      <c r="AI138" s="1123">
        <f t="shared" si="137"/>
        <v>1164.5999999999999</v>
      </c>
      <c r="AJ138" s="1123">
        <f t="shared" si="137"/>
        <v>1203.42</v>
      </c>
      <c r="AK138" s="1123">
        <f t="shared" si="137"/>
        <v>1242.24</v>
      </c>
      <c r="AL138" s="1123">
        <f t="shared" si="137"/>
        <v>1281.06</v>
      </c>
      <c r="AM138" s="1123">
        <f t="shared" si="137"/>
        <v>1319.8799999999999</v>
      </c>
      <c r="AN138" s="1123">
        <f t="shared" ref="AN138:BF138" si="138">((AN$71-$H$4)/1000)*$L$29*(($C$8/70)^$X$29)</f>
        <v>1358.7</v>
      </c>
      <c r="AO138" s="1123">
        <f t="shared" si="138"/>
        <v>1397.52</v>
      </c>
      <c r="AP138" s="1123">
        <f t="shared" si="138"/>
        <v>1436.34</v>
      </c>
      <c r="AQ138" s="1123">
        <f t="shared" si="138"/>
        <v>1475.1599999999999</v>
      </c>
      <c r="AR138" s="1123">
        <f t="shared" si="138"/>
        <v>1513.98</v>
      </c>
      <c r="AS138" s="1123">
        <f t="shared" si="138"/>
        <v>1552.8</v>
      </c>
      <c r="AT138" s="1123">
        <f t="shared" si="138"/>
        <v>1591.62</v>
      </c>
      <c r="AU138" s="1123">
        <f t="shared" si="138"/>
        <v>1630.44</v>
      </c>
      <c r="AV138" s="1123">
        <f t="shared" si="138"/>
        <v>1669.26</v>
      </c>
      <c r="AW138" s="1123">
        <f t="shared" si="138"/>
        <v>1708.0800000000002</v>
      </c>
      <c r="AX138" s="1123">
        <f t="shared" si="138"/>
        <v>1746.8999999999999</v>
      </c>
      <c r="AY138" s="1123">
        <f t="shared" si="138"/>
        <v>1785.7199999999998</v>
      </c>
      <c r="AZ138" s="1123">
        <f t="shared" si="138"/>
        <v>1824.54</v>
      </c>
      <c r="BA138" s="1123">
        <f t="shared" si="138"/>
        <v>1863.36</v>
      </c>
      <c r="BB138" s="1123">
        <f t="shared" si="138"/>
        <v>1902.18</v>
      </c>
      <c r="BC138" s="1123">
        <f t="shared" si="138"/>
        <v>1941</v>
      </c>
      <c r="BD138" s="1123">
        <f t="shared" si="138"/>
        <v>1979.8199999999997</v>
      </c>
      <c r="BE138" s="1123">
        <f t="shared" si="138"/>
        <v>2018.64</v>
      </c>
      <c r="BF138" s="1123">
        <f t="shared" si="138"/>
        <v>2057.46</v>
      </c>
    </row>
    <row r="139" spans="1:58">
      <c r="A139" s="2098"/>
      <c r="B139" s="2194" t="s">
        <v>288</v>
      </c>
      <c r="C139" s="2194"/>
      <c r="D139" s="471" t="s">
        <v>226</v>
      </c>
      <c r="E139" s="514">
        <v>150</v>
      </c>
      <c r="F139" s="514">
        <v>260</v>
      </c>
      <c r="G139" s="471" t="s">
        <v>286</v>
      </c>
      <c r="H139" s="1123">
        <f t="shared" ref="H139:AM139" si="139">((H$71-$H$4)/1000)*$M$29*(($C$8/70)^$Y$29)</f>
        <v>150.99529296599999</v>
      </c>
      <c r="I139" s="1123">
        <f t="shared" si="139"/>
        <v>201.32705728799999</v>
      </c>
      <c r="J139" s="1123">
        <f t="shared" si="139"/>
        <v>251.65882160999999</v>
      </c>
      <c r="K139" s="1123">
        <f t="shared" si="139"/>
        <v>301.99058593199999</v>
      </c>
      <c r="L139" s="1123">
        <f t="shared" si="139"/>
        <v>352.32235025399996</v>
      </c>
      <c r="M139" s="1123">
        <f t="shared" si="139"/>
        <v>402.65411457599998</v>
      </c>
      <c r="N139" s="1123">
        <f t="shared" si="139"/>
        <v>452.98587889800001</v>
      </c>
      <c r="O139" s="1123">
        <f t="shared" si="139"/>
        <v>503.31764321999998</v>
      </c>
      <c r="P139" s="1123">
        <f t="shared" si="139"/>
        <v>553.64940754200006</v>
      </c>
      <c r="Q139" s="1123">
        <f t="shared" si="139"/>
        <v>603.98117186399998</v>
      </c>
      <c r="R139" s="1123">
        <f t="shared" si="139"/>
        <v>654.312936186</v>
      </c>
      <c r="S139" s="1123">
        <f t="shared" si="139"/>
        <v>704.64470050799991</v>
      </c>
      <c r="T139" s="1123">
        <f t="shared" si="139"/>
        <v>754.97646482999994</v>
      </c>
      <c r="U139" s="1123">
        <f t="shared" si="139"/>
        <v>805.30822915199997</v>
      </c>
      <c r="V139" s="1123">
        <f t="shared" si="139"/>
        <v>855.63999347399999</v>
      </c>
      <c r="W139" s="1123">
        <f t="shared" si="139"/>
        <v>905.97175779600002</v>
      </c>
      <c r="X139" s="1123">
        <f t="shared" si="139"/>
        <v>956.30352211799993</v>
      </c>
      <c r="Y139" s="1123">
        <f t="shared" si="139"/>
        <v>1006.63528644</v>
      </c>
      <c r="Z139" s="1123">
        <f t="shared" si="139"/>
        <v>1056.9670507620001</v>
      </c>
      <c r="AA139" s="1123">
        <f t="shared" si="139"/>
        <v>1107.2988150840001</v>
      </c>
      <c r="AB139" s="1123">
        <f t="shared" si="139"/>
        <v>1157.6305794059999</v>
      </c>
      <c r="AC139" s="1123">
        <f t="shared" si="139"/>
        <v>1207.962343728</v>
      </c>
      <c r="AD139" s="1123">
        <f t="shared" si="139"/>
        <v>1258.29410805</v>
      </c>
      <c r="AE139" s="1123">
        <f t="shared" si="139"/>
        <v>1308.625872372</v>
      </c>
      <c r="AF139" s="1123">
        <f t="shared" si="139"/>
        <v>1358.957636694</v>
      </c>
      <c r="AG139" s="1123">
        <f t="shared" si="139"/>
        <v>1409.2894010159998</v>
      </c>
      <c r="AH139" s="1123">
        <f t="shared" si="139"/>
        <v>1459.6211653379999</v>
      </c>
      <c r="AI139" s="1123">
        <f t="shared" si="139"/>
        <v>1509.9529296599999</v>
      </c>
      <c r="AJ139" s="1123">
        <f t="shared" si="139"/>
        <v>1560.2846939819999</v>
      </c>
      <c r="AK139" s="1123">
        <f t="shared" si="139"/>
        <v>1610.6164583039999</v>
      </c>
      <c r="AL139" s="1123">
        <f t="shared" si="139"/>
        <v>1660.9482226259997</v>
      </c>
      <c r="AM139" s="1123">
        <f t="shared" si="139"/>
        <v>1711.279986948</v>
      </c>
      <c r="AN139" s="1123">
        <f t="shared" ref="AN139:BF139" si="140">((AN$71-$H$4)/1000)*$M$29*(($C$8/70)^$Y$29)</f>
        <v>1761.61175127</v>
      </c>
      <c r="AO139" s="1123">
        <f t="shared" si="140"/>
        <v>1811.943515592</v>
      </c>
      <c r="AP139" s="1123">
        <f t="shared" si="140"/>
        <v>1862.2752799140001</v>
      </c>
      <c r="AQ139" s="1123">
        <f t="shared" si="140"/>
        <v>1912.6070442359999</v>
      </c>
      <c r="AR139" s="1123">
        <f t="shared" si="140"/>
        <v>1962.9388085579999</v>
      </c>
      <c r="AS139" s="1123">
        <f t="shared" si="140"/>
        <v>2013.2705728799999</v>
      </c>
      <c r="AT139" s="1123">
        <f t="shared" si="140"/>
        <v>2063.6023372019999</v>
      </c>
      <c r="AU139" s="1123">
        <f t="shared" si="140"/>
        <v>2113.9341015240002</v>
      </c>
      <c r="AV139" s="1123">
        <f t="shared" si="140"/>
        <v>2164.265865846</v>
      </c>
      <c r="AW139" s="1123">
        <f t="shared" si="140"/>
        <v>2214.5976301680003</v>
      </c>
      <c r="AX139" s="1123">
        <f t="shared" si="140"/>
        <v>2264.92939449</v>
      </c>
      <c r="AY139" s="1123">
        <f t="shared" si="140"/>
        <v>2315.2611588119998</v>
      </c>
      <c r="AZ139" s="1123">
        <f t="shared" si="140"/>
        <v>2365.5929231340001</v>
      </c>
      <c r="BA139" s="1123">
        <f t="shared" si="140"/>
        <v>2415.9246874559999</v>
      </c>
      <c r="BB139" s="1123">
        <f t="shared" si="140"/>
        <v>2466.2564517780002</v>
      </c>
      <c r="BC139" s="1123">
        <f t="shared" si="140"/>
        <v>2516.5882161</v>
      </c>
      <c r="BD139" s="1123">
        <f t="shared" si="140"/>
        <v>2566.9199804219998</v>
      </c>
      <c r="BE139" s="1123">
        <f t="shared" si="140"/>
        <v>2617.251744744</v>
      </c>
      <c r="BF139" s="1123">
        <f t="shared" si="140"/>
        <v>2667.5835090659998</v>
      </c>
    </row>
    <row r="140" spans="1:58">
      <c r="A140" s="2098"/>
      <c r="B140" s="2194" t="s">
        <v>289</v>
      </c>
      <c r="C140" s="2194"/>
      <c r="D140" s="471" t="s">
        <v>226</v>
      </c>
      <c r="E140" s="514">
        <v>150</v>
      </c>
      <c r="F140" s="514">
        <v>300</v>
      </c>
      <c r="G140" s="471" t="s">
        <v>290</v>
      </c>
      <c r="H140" s="1123">
        <f>((H$71-$H$4)/1000)*$O$29*(($C$8/70)^$AA$29)</f>
        <v>180.54</v>
      </c>
      <c r="I140" s="1123">
        <f>((I$71-$H$4)/1000)*$O$29*(($C$8/70)^$AA$29)</f>
        <v>240.72</v>
      </c>
      <c r="J140" s="1123">
        <f t="shared" ref="J140:AO140" si="141">((J$71-$H$4)/1000)*$N$29*(($C$8/70)^$AA$29)</f>
        <v>276.82799999999997</v>
      </c>
      <c r="K140" s="1123">
        <f t="shared" si="141"/>
        <v>332.19359999999995</v>
      </c>
      <c r="L140" s="1123">
        <f t="shared" si="141"/>
        <v>387.55919999999992</v>
      </c>
      <c r="M140" s="1123">
        <f t="shared" si="141"/>
        <v>442.9248</v>
      </c>
      <c r="N140" s="1123">
        <f t="shared" si="141"/>
        <v>498.29039999999998</v>
      </c>
      <c r="O140" s="1123">
        <f t="shared" si="141"/>
        <v>553.65599999999995</v>
      </c>
      <c r="P140" s="1123">
        <f t="shared" si="141"/>
        <v>609.02160000000003</v>
      </c>
      <c r="Q140" s="1123">
        <f t="shared" si="141"/>
        <v>664.38719999999989</v>
      </c>
      <c r="R140" s="1123">
        <f t="shared" si="141"/>
        <v>719.75279999999998</v>
      </c>
      <c r="S140" s="1123">
        <f t="shared" si="141"/>
        <v>775.11839999999984</v>
      </c>
      <c r="T140" s="1123">
        <f t="shared" si="141"/>
        <v>830.48399999999992</v>
      </c>
      <c r="U140" s="1123">
        <f t="shared" si="141"/>
        <v>885.84960000000001</v>
      </c>
      <c r="V140" s="1123">
        <f t="shared" si="141"/>
        <v>941.21519999999987</v>
      </c>
      <c r="W140" s="1123">
        <f t="shared" si="141"/>
        <v>996.58079999999995</v>
      </c>
      <c r="X140" s="1123">
        <f t="shared" si="141"/>
        <v>1051.9463999999998</v>
      </c>
      <c r="Y140" s="1123">
        <f t="shared" si="141"/>
        <v>1107.3119999999999</v>
      </c>
      <c r="Z140" s="1123">
        <f t="shared" si="141"/>
        <v>1162.6776</v>
      </c>
      <c r="AA140" s="1123">
        <f t="shared" si="141"/>
        <v>1218.0432000000001</v>
      </c>
      <c r="AB140" s="1123">
        <f t="shared" si="141"/>
        <v>1273.4087999999997</v>
      </c>
      <c r="AC140" s="1123">
        <f t="shared" si="141"/>
        <v>1328.7743999999998</v>
      </c>
      <c r="AD140" s="1123">
        <f t="shared" si="141"/>
        <v>1384.1399999999999</v>
      </c>
      <c r="AE140" s="1123">
        <f t="shared" si="141"/>
        <v>1439.5056</v>
      </c>
      <c r="AF140" s="1123">
        <f t="shared" si="141"/>
        <v>1494.8712</v>
      </c>
      <c r="AG140" s="1123">
        <f t="shared" si="141"/>
        <v>1550.2367999999997</v>
      </c>
      <c r="AH140" s="1123">
        <f t="shared" si="141"/>
        <v>1605.6023999999998</v>
      </c>
      <c r="AI140" s="1123">
        <f t="shared" si="141"/>
        <v>1660.9679999999998</v>
      </c>
      <c r="AJ140" s="1123">
        <f t="shared" si="141"/>
        <v>1716.3335999999999</v>
      </c>
      <c r="AK140" s="1123">
        <f t="shared" si="141"/>
        <v>1771.6992</v>
      </c>
      <c r="AL140" s="1123">
        <f t="shared" si="141"/>
        <v>1827.0647999999997</v>
      </c>
      <c r="AM140" s="1123">
        <f t="shared" si="141"/>
        <v>1882.4303999999997</v>
      </c>
      <c r="AN140" s="1123">
        <f t="shared" si="141"/>
        <v>1937.7959999999998</v>
      </c>
      <c r="AO140" s="1123">
        <f t="shared" si="141"/>
        <v>1993.1615999999999</v>
      </c>
      <c r="AP140" s="1123">
        <f t="shared" ref="AP140:BF140" si="142">((AP$71-$H$4)/1000)*$N$29*(($C$8/70)^$AA$29)</f>
        <v>2048.5272</v>
      </c>
      <c r="AQ140" s="1123">
        <f t="shared" si="142"/>
        <v>2103.8927999999996</v>
      </c>
      <c r="AR140" s="1123">
        <f t="shared" si="142"/>
        <v>2159.2583999999997</v>
      </c>
      <c r="AS140" s="1123">
        <f t="shared" si="142"/>
        <v>2214.6239999999998</v>
      </c>
      <c r="AT140" s="1123">
        <f t="shared" si="142"/>
        <v>2269.9895999999994</v>
      </c>
      <c r="AU140" s="1123">
        <f t="shared" si="142"/>
        <v>2325.3552</v>
      </c>
      <c r="AV140" s="1123">
        <f t="shared" si="142"/>
        <v>2380.7207999999996</v>
      </c>
      <c r="AW140" s="1123">
        <f t="shared" si="142"/>
        <v>2436.0864000000001</v>
      </c>
      <c r="AX140" s="1123">
        <f t="shared" si="142"/>
        <v>2491.4519999999998</v>
      </c>
      <c r="AY140" s="1123">
        <f t="shared" si="142"/>
        <v>2546.8175999999994</v>
      </c>
      <c r="AZ140" s="1123">
        <f t="shared" si="142"/>
        <v>2602.1831999999999</v>
      </c>
      <c r="BA140" s="1123">
        <f t="shared" si="142"/>
        <v>2657.5487999999996</v>
      </c>
      <c r="BB140" s="1123">
        <f t="shared" si="142"/>
        <v>2712.9144000000001</v>
      </c>
      <c r="BC140" s="1123">
        <f t="shared" si="142"/>
        <v>2768.2799999999997</v>
      </c>
      <c r="BD140" s="1123">
        <f t="shared" si="142"/>
        <v>2823.6455999999994</v>
      </c>
      <c r="BE140" s="1123">
        <f t="shared" si="142"/>
        <v>2879.0111999999999</v>
      </c>
      <c r="BF140" s="1123">
        <f t="shared" si="142"/>
        <v>2934.3767999999995</v>
      </c>
    </row>
    <row r="141" spans="1:58">
      <c r="A141" s="2098"/>
      <c r="B141" s="2194" t="s">
        <v>291</v>
      </c>
      <c r="C141" s="2194"/>
      <c r="D141" s="471" t="s">
        <v>226</v>
      </c>
      <c r="E141" s="514">
        <v>150</v>
      </c>
      <c r="F141" s="514">
        <v>300</v>
      </c>
      <c r="G141" s="471" t="s">
        <v>292</v>
      </c>
      <c r="H141" s="1123">
        <f>((H$71-$H$4)/1000)*$O$29*(($C$8/70)^$AA$29)</f>
        <v>180.54</v>
      </c>
      <c r="I141" s="1123">
        <f>((I$71-$H$4)/1000)*$O$29*(($C$8/70)^$AA$29)</f>
        <v>240.72</v>
      </c>
      <c r="J141" s="1123">
        <f t="shared" ref="J141:AO141" si="143">((J$71-$H$4)/1000)*$O$29*(($C$8/70)^$AA$29)</f>
        <v>300.89999999999998</v>
      </c>
      <c r="K141" s="1123">
        <f t="shared" si="143"/>
        <v>361.08</v>
      </c>
      <c r="L141" s="1123">
        <f t="shared" si="143"/>
        <v>421.25999999999993</v>
      </c>
      <c r="M141" s="1123">
        <f t="shared" si="143"/>
        <v>481.44</v>
      </c>
      <c r="N141" s="1123">
        <f t="shared" si="143"/>
        <v>541.62</v>
      </c>
      <c r="O141" s="1123">
        <f t="shared" si="143"/>
        <v>601.79999999999995</v>
      </c>
      <c r="P141" s="1123">
        <f t="shared" si="143"/>
        <v>661.98</v>
      </c>
      <c r="Q141" s="1123">
        <f t="shared" si="143"/>
        <v>722.16</v>
      </c>
      <c r="R141" s="1123">
        <f t="shared" si="143"/>
        <v>782.33999999999992</v>
      </c>
      <c r="S141" s="1123">
        <f t="shared" si="143"/>
        <v>842.51999999999987</v>
      </c>
      <c r="T141" s="1123">
        <f t="shared" si="143"/>
        <v>902.69999999999993</v>
      </c>
      <c r="U141" s="1123">
        <f t="shared" si="143"/>
        <v>962.88</v>
      </c>
      <c r="V141" s="1123">
        <f t="shared" si="143"/>
        <v>1023.06</v>
      </c>
      <c r="W141" s="1123">
        <f t="shared" si="143"/>
        <v>1083.24</v>
      </c>
      <c r="X141" s="1123">
        <f t="shared" si="143"/>
        <v>1143.4199999999998</v>
      </c>
      <c r="Y141" s="1123">
        <f t="shared" si="143"/>
        <v>1203.5999999999999</v>
      </c>
      <c r="Z141" s="1123">
        <f t="shared" si="143"/>
        <v>1263.78</v>
      </c>
      <c r="AA141" s="1123">
        <f t="shared" si="143"/>
        <v>1323.96</v>
      </c>
      <c r="AB141" s="1123">
        <f t="shared" si="143"/>
        <v>1384.1399999999999</v>
      </c>
      <c r="AC141" s="1123">
        <f t="shared" si="143"/>
        <v>1444.32</v>
      </c>
      <c r="AD141" s="1123">
        <f t="shared" si="143"/>
        <v>1504.5</v>
      </c>
      <c r="AE141" s="1123">
        <f t="shared" si="143"/>
        <v>1564.6799999999998</v>
      </c>
      <c r="AF141" s="1123">
        <f t="shared" si="143"/>
        <v>1624.86</v>
      </c>
      <c r="AG141" s="1123">
        <f t="shared" si="143"/>
        <v>1685.0399999999997</v>
      </c>
      <c r="AH141" s="1123">
        <f t="shared" si="143"/>
        <v>1745.2199999999998</v>
      </c>
      <c r="AI141" s="1123">
        <f t="shared" si="143"/>
        <v>1805.3999999999999</v>
      </c>
      <c r="AJ141" s="1123">
        <f t="shared" si="143"/>
        <v>1865.58</v>
      </c>
      <c r="AK141" s="1123">
        <f t="shared" si="143"/>
        <v>1925.76</v>
      </c>
      <c r="AL141" s="1123">
        <f t="shared" si="143"/>
        <v>1985.9399999999998</v>
      </c>
      <c r="AM141" s="1123">
        <f t="shared" si="143"/>
        <v>2046.12</v>
      </c>
      <c r="AN141" s="1123">
        <f t="shared" si="143"/>
        <v>2106.2999999999997</v>
      </c>
      <c r="AO141" s="1123">
        <f t="shared" si="143"/>
        <v>2166.48</v>
      </c>
      <c r="AP141" s="1123">
        <f t="shared" ref="AP141:BF141" si="144">((AP$71-$H$4)/1000)*$O$29*(($C$8/70)^$AA$29)</f>
        <v>2226.66</v>
      </c>
      <c r="AQ141" s="1123">
        <f t="shared" si="144"/>
        <v>2286.8399999999997</v>
      </c>
      <c r="AR141" s="1123">
        <f t="shared" si="144"/>
        <v>2347.02</v>
      </c>
      <c r="AS141" s="1123">
        <f t="shared" si="144"/>
        <v>2407.1999999999998</v>
      </c>
      <c r="AT141" s="1123">
        <f t="shared" si="144"/>
        <v>2467.3799999999997</v>
      </c>
      <c r="AU141" s="1123">
        <f t="shared" si="144"/>
        <v>2527.56</v>
      </c>
      <c r="AV141" s="1123">
        <f t="shared" si="144"/>
        <v>2587.7399999999998</v>
      </c>
      <c r="AW141" s="1123">
        <f t="shared" si="144"/>
        <v>2647.92</v>
      </c>
      <c r="AX141" s="1123">
        <f t="shared" si="144"/>
        <v>2708.1</v>
      </c>
      <c r="AY141" s="1123">
        <f t="shared" si="144"/>
        <v>2768.2799999999997</v>
      </c>
      <c r="AZ141" s="1123">
        <f t="shared" si="144"/>
        <v>2828.46</v>
      </c>
      <c r="BA141" s="1123">
        <f t="shared" si="144"/>
        <v>2888.64</v>
      </c>
      <c r="BB141" s="1123">
        <f t="shared" si="144"/>
        <v>2948.82</v>
      </c>
      <c r="BC141" s="1123">
        <f t="shared" si="144"/>
        <v>3009</v>
      </c>
      <c r="BD141" s="1123">
        <f t="shared" si="144"/>
        <v>3069.1799999999994</v>
      </c>
      <c r="BE141" s="1123">
        <f t="shared" si="144"/>
        <v>3129.3599999999997</v>
      </c>
      <c r="BF141" s="1123">
        <f t="shared" si="144"/>
        <v>3189.5399999999995</v>
      </c>
    </row>
    <row r="142" spans="1:58">
      <c r="A142" s="2098"/>
      <c r="B142" s="2194" t="s">
        <v>293</v>
      </c>
      <c r="C142" s="2194"/>
      <c r="D142" s="471" t="s">
        <v>226</v>
      </c>
      <c r="E142" s="514">
        <v>150</v>
      </c>
      <c r="F142" s="514">
        <v>360</v>
      </c>
      <c r="G142" s="471" t="s">
        <v>290</v>
      </c>
      <c r="H142" s="1123">
        <f>((H$71-$H$4)/1000)*$Q$29*(($C$8/70)^$AC$29)</f>
        <v>190.23221587859999</v>
      </c>
      <c r="I142" s="1123">
        <f>((I$71-$H$4)/1000)*$Q$29*(($C$8/70)^$AC27)</f>
        <v>253.6429545048</v>
      </c>
      <c r="J142" s="1123">
        <f t="shared" ref="J142:AO142" si="145">((J$71-$H$4)/1000)*$P$29*(($C$8/70)^$AC27)</f>
        <v>288.51886074920998</v>
      </c>
      <c r="K142" s="1123">
        <f t="shared" si="145"/>
        <v>346.22263289905197</v>
      </c>
      <c r="L142" s="1123">
        <f t="shared" si="145"/>
        <v>403.92640504889397</v>
      </c>
      <c r="M142" s="1123">
        <f t="shared" si="145"/>
        <v>461.63017719873596</v>
      </c>
      <c r="N142" s="1123">
        <f t="shared" si="145"/>
        <v>519.33394934857802</v>
      </c>
      <c r="O142" s="1123">
        <f t="shared" si="145"/>
        <v>577.03772149841996</v>
      </c>
      <c r="P142" s="1123">
        <f t="shared" si="145"/>
        <v>634.74149364826201</v>
      </c>
      <c r="Q142" s="1123">
        <f t="shared" si="145"/>
        <v>692.44526579810395</v>
      </c>
      <c r="R142" s="1123">
        <f t="shared" si="145"/>
        <v>750.149037947946</v>
      </c>
      <c r="S142" s="1123">
        <f t="shared" si="145"/>
        <v>807.85281009778794</v>
      </c>
      <c r="T142" s="1123">
        <f t="shared" si="145"/>
        <v>865.55658224762988</v>
      </c>
      <c r="U142" s="1123">
        <f t="shared" si="145"/>
        <v>923.26035439747193</v>
      </c>
      <c r="V142" s="1123">
        <f t="shared" si="145"/>
        <v>980.96412654731387</v>
      </c>
      <c r="W142" s="1123">
        <f t="shared" si="145"/>
        <v>1038.667898697156</v>
      </c>
      <c r="X142" s="1123">
        <f t="shared" si="145"/>
        <v>1096.3716708469979</v>
      </c>
      <c r="Y142" s="1123">
        <f t="shared" si="145"/>
        <v>1154.0754429968399</v>
      </c>
      <c r="Z142" s="1123">
        <f t="shared" si="145"/>
        <v>1211.779215146682</v>
      </c>
      <c r="AA142" s="1123">
        <f t="shared" si="145"/>
        <v>1269.482987296524</v>
      </c>
      <c r="AB142" s="1123">
        <f t="shared" si="145"/>
        <v>1327.1867594463658</v>
      </c>
      <c r="AC142" s="1123">
        <f t="shared" si="145"/>
        <v>1384.8905315962079</v>
      </c>
      <c r="AD142" s="1123">
        <f t="shared" si="145"/>
        <v>1442.5943037460499</v>
      </c>
      <c r="AE142" s="1123">
        <f t="shared" si="145"/>
        <v>1500.298075895892</v>
      </c>
      <c r="AF142" s="1123">
        <f t="shared" si="145"/>
        <v>1558.0018480457341</v>
      </c>
      <c r="AG142" s="1123">
        <f t="shared" si="145"/>
        <v>1615.7056201955759</v>
      </c>
      <c r="AH142" s="1123">
        <f t="shared" si="145"/>
        <v>1673.4093923454179</v>
      </c>
      <c r="AI142" s="1123">
        <f t="shared" si="145"/>
        <v>1731.1131644952598</v>
      </c>
      <c r="AJ142" s="1123">
        <f t="shared" si="145"/>
        <v>1788.8169366451018</v>
      </c>
      <c r="AK142" s="1123">
        <f t="shared" si="145"/>
        <v>1846.5207087949439</v>
      </c>
      <c r="AL142" s="1123">
        <f t="shared" si="145"/>
        <v>1904.2244809447857</v>
      </c>
      <c r="AM142" s="1123">
        <f t="shared" si="145"/>
        <v>1961.9282530946277</v>
      </c>
      <c r="AN142" s="1123">
        <f t="shared" si="145"/>
        <v>2019.6320252444698</v>
      </c>
      <c r="AO142" s="1123">
        <f t="shared" si="145"/>
        <v>2077.3357973943121</v>
      </c>
      <c r="AP142" s="1123">
        <f t="shared" ref="AP142:BF142" si="146">((AP$71-$H$4)/1000)*$P$29*(($C$8/70)^$AC27)</f>
        <v>2135.0395695441539</v>
      </c>
      <c r="AQ142" s="1123">
        <f t="shared" si="146"/>
        <v>2192.7433416939957</v>
      </c>
      <c r="AR142" s="1123">
        <f t="shared" si="146"/>
        <v>2250.447113843838</v>
      </c>
      <c r="AS142" s="1123">
        <f t="shared" si="146"/>
        <v>2308.1508859936798</v>
      </c>
      <c r="AT142" s="1123">
        <f t="shared" si="146"/>
        <v>2365.8546581435216</v>
      </c>
      <c r="AU142" s="1123">
        <f t="shared" si="146"/>
        <v>2423.5584302933639</v>
      </c>
      <c r="AV142" s="1123">
        <f t="shared" si="146"/>
        <v>2481.2622024432058</v>
      </c>
      <c r="AW142" s="1123">
        <f t="shared" si="146"/>
        <v>2538.965974593048</v>
      </c>
      <c r="AX142" s="1123">
        <f t="shared" si="146"/>
        <v>2596.6697467428899</v>
      </c>
      <c r="AY142" s="1123">
        <f t="shared" si="146"/>
        <v>2654.3735188927317</v>
      </c>
      <c r="AZ142" s="1123">
        <f t="shared" si="146"/>
        <v>2712.077291042574</v>
      </c>
      <c r="BA142" s="1123">
        <f t="shared" si="146"/>
        <v>2769.7810631924158</v>
      </c>
      <c r="BB142" s="1123">
        <f t="shared" si="146"/>
        <v>2827.4848353422581</v>
      </c>
      <c r="BC142" s="1123">
        <f t="shared" si="146"/>
        <v>2885.1886074920999</v>
      </c>
      <c r="BD142" s="1123">
        <f t="shared" si="146"/>
        <v>2942.8923796419417</v>
      </c>
      <c r="BE142" s="1123">
        <f t="shared" si="146"/>
        <v>3000.596151791784</v>
      </c>
      <c r="BF142" s="1123">
        <f t="shared" si="146"/>
        <v>3058.2999239416258</v>
      </c>
    </row>
    <row r="143" spans="1:58">
      <c r="A143" s="2098"/>
      <c r="B143" s="2194" t="s">
        <v>294</v>
      </c>
      <c r="C143" s="2194"/>
      <c r="D143" s="471" t="s">
        <v>226</v>
      </c>
      <c r="E143" s="514">
        <v>150</v>
      </c>
      <c r="F143" s="514">
        <v>360</v>
      </c>
      <c r="G143" s="471" t="s">
        <v>292</v>
      </c>
      <c r="H143" s="1123">
        <f>((H$71-$H$4)/1000)*$Q$29*(($C$8/70)^$AC$29)</f>
        <v>190.23221587859999</v>
      </c>
      <c r="I143" s="1123">
        <f t="shared" ref="I143:AN143" si="147">((I$71-$H$4)/1000)*$Q$29*(($C$8/70)^$AC29)</f>
        <v>253.6429545048</v>
      </c>
      <c r="J143" s="1123">
        <f t="shared" si="147"/>
        <v>317.05369313099999</v>
      </c>
      <c r="K143" s="1123">
        <f t="shared" si="147"/>
        <v>380.46443175719997</v>
      </c>
      <c r="L143" s="1123">
        <f t="shared" si="147"/>
        <v>443.87517038339996</v>
      </c>
      <c r="M143" s="1123">
        <f t="shared" si="147"/>
        <v>507.2859090096</v>
      </c>
      <c r="N143" s="1123">
        <f t="shared" si="147"/>
        <v>570.69664763579999</v>
      </c>
      <c r="O143" s="1123">
        <f t="shared" si="147"/>
        <v>634.10738626199998</v>
      </c>
      <c r="P143" s="1123">
        <f t="shared" si="147"/>
        <v>697.51812488820008</v>
      </c>
      <c r="Q143" s="1123">
        <f t="shared" si="147"/>
        <v>760.92886351439995</v>
      </c>
      <c r="R143" s="1123">
        <f t="shared" si="147"/>
        <v>824.33960214060005</v>
      </c>
      <c r="S143" s="1123">
        <f t="shared" si="147"/>
        <v>887.75034076679992</v>
      </c>
      <c r="T143" s="1123">
        <f t="shared" si="147"/>
        <v>951.16107939299991</v>
      </c>
      <c r="U143" s="1123">
        <f t="shared" si="147"/>
        <v>1014.5718180192</v>
      </c>
      <c r="V143" s="1123">
        <f t="shared" si="147"/>
        <v>1077.9825566453999</v>
      </c>
      <c r="W143" s="1123">
        <f t="shared" si="147"/>
        <v>1141.3932952716</v>
      </c>
      <c r="X143" s="1123">
        <f t="shared" si="147"/>
        <v>1204.8040338977999</v>
      </c>
      <c r="Y143" s="1123">
        <f t="shared" si="147"/>
        <v>1268.214772524</v>
      </c>
      <c r="Z143" s="1123">
        <f t="shared" si="147"/>
        <v>1331.6255111502001</v>
      </c>
      <c r="AA143" s="1123">
        <f t="shared" si="147"/>
        <v>1395.0362497764002</v>
      </c>
      <c r="AB143" s="1123">
        <f t="shared" si="147"/>
        <v>1458.4469884025998</v>
      </c>
      <c r="AC143" s="1123">
        <f t="shared" si="147"/>
        <v>1521.8577270287999</v>
      </c>
      <c r="AD143" s="1123">
        <f t="shared" si="147"/>
        <v>1585.268465655</v>
      </c>
      <c r="AE143" s="1123">
        <f t="shared" si="147"/>
        <v>1648.6792042812001</v>
      </c>
      <c r="AF143" s="1123">
        <f t="shared" si="147"/>
        <v>1712.0899429074</v>
      </c>
      <c r="AG143" s="1123">
        <f t="shared" si="147"/>
        <v>1775.5006815335998</v>
      </c>
      <c r="AH143" s="1123">
        <f t="shared" si="147"/>
        <v>1838.9114201597999</v>
      </c>
      <c r="AI143" s="1123">
        <f t="shared" si="147"/>
        <v>1902.3221587859998</v>
      </c>
      <c r="AJ143" s="1123">
        <f t="shared" si="147"/>
        <v>1965.7328974121999</v>
      </c>
      <c r="AK143" s="1123">
        <f t="shared" si="147"/>
        <v>2029.1436360384</v>
      </c>
      <c r="AL143" s="1123">
        <f t="shared" si="147"/>
        <v>2092.5543746645999</v>
      </c>
      <c r="AM143" s="1123">
        <f t="shared" si="147"/>
        <v>2155.9651132907998</v>
      </c>
      <c r="AN143" s="1123">
        <f t="shared" si="147"/>
        <v>2219.3758519170001</v>
      </c>
      <c r="AO143" s="1123">
        <f t="shared" ref="AO143:BF143" si="148">((AO$71-$H$4)/1000)*$Q$29*(($C$8/70)^$AC29)</f>
        <v>2282.7865905432</v>
      </c>
      <c r="AP143" s="1123">
        <f t="shared" si="148"/>
        <v>2346.1973291693998</v>
      </c>
      <c r="AQ143" s="1123">
        <f t="shared" si="148"/>
        <v>2409.6080677955997</v>
      </c>
      <c r="AR143" s="1123">
        <f t="shared" si="148"/>
        <v>2473.0188064218</v>
      </c>
      <c r="AS143" s="1123">
        <f t="shared" si="148"/>
        <v>2536.4295450479999</v>
      </c>
      <c r="AT143" s="1123">
        <f t="shared" si="148"/>
        <v>2599.8402836741998</v>
      </c>
      <c r="AU143" s="1123">
        <f t="shared" si="148"/>
        <v>2663.2510223004001</v>
      </c>
      <c r="AV143" s="1123">
        <f t="shared" si="148"/>
        <v>2726.6617609266</v>
      </c>
      <c r="AW143" s="1123">
        <f t="shared" si="148"/>
        <v>2790.0724995528003</v>
      </c>
      <c r="AX143" s="1123">
        <f t="shared" si="148"/>
        <v>2853.4832381789997</v>
      </c>
      <c r="AY143" s="1123">
        <f t="shared" si="148"/>
        <v>2916.8939768051996</v>
      </c>
      <c r="AZ143" s="1123">
        <f t="shared" si="148"/>
        <v>2980.3047154313999</v>
      </c>
      <c r="BA143" s="1123">
        <f t="shared" si="148"/>
        <v>3043.7154540575998</v>
      </c>
      <c r="BB143" s="1123">
        <f t="shared" si="148"/>
        <v>3107.1261926838001</v>
      </c>
      <c r="BC143" s="1123">
        <f t="shared" si="148"/>
        <v>3170.53693131</v>
      </c>
      <c r="BD143" s="1123">
        <f t="shared" si="148"/>
        <v>3233.9476699361999</v>
      </c>
      <c r="BE143" s="1123">
        <f t="shared" si="148"/>
        <v>3297.3584085624002</v>
      </c>
      <c r="BF143" s="1123">
        <f t="shared" si="148"/>
        <v>3360.7691471885996</v>
      </c>
    </row>
    <row r="144" spans="1:58">
      <c r="A144" s="2098"/>
      <c r="B144" s="2194" t="s">
        <v>295</v>
      </c>
      <c r="C144" s="2194"/>
      <c r="D144" s="471" t="s">
        <v>226</v>
      </c>
      <c r="E144" s="514">
        <v>150</v>
      </c>
      <c r="F144" s="514">
        <v>400</v>
      </c>
      <c r="G144" s="471" t="s">
        <v>290</v>
      </c>
      <c r="H144" s="1123">
        <f t="shared" ref="H144:AM144" si="149">((H$71-$H$4)/1000)*$R$29*(($C$8/70)^$AE$29)</f>
        <v>184.35599999999999</v>
      </c>
      <c r="I144" s="1123">
        <f t="shared" si="149"/>
        <v>245.80799999999999</v>
      </c>
      <c r="J144" s="1123">
        <f t="shared" si="149"/>
        <v>307.26</v>
      </c>
      <c r="K144" s="1123">
        <f t="shared" si="149"/>
        <v>368.71199999999999</v>
      </c>
      <c r="L144" s="1123">
        <f t="shared" si="149"/>
        <v>430.16399999999999</v>
      </c>
      <c r="M144" s="1123">
        <f t="shared" si="149"/>
        <v>491.61599999999999</v>
      </c>
      <c r="N144" s="1123">
        <f t="shared" si="149"/>
        <v>553.06799999999998</v>
      </c>
      <c r="O144" s="1123">
        <f t="shared" si="149"/>
        <v>614.52</v>
      </c>
      <c r="P144" s="1123">
        <f t="shared" si="149"/>
        <v>675.97199999999998</v>
      </c>
      <c r="Q144" s="1123">
        <f t="shared" si="149"/>
        <v>737.42399999999998</v>
      </c>
      <c r="R144" s="1123">
        <f t="shared" si="149"/>
        <v>798.87599999999998</v>
      </c>
      <c r="S144" s="1123">
        <f t="shared" si="149"/>
        <v>860.32799999999997</v>
      </c>
      <c r="T144" s="1123">
        <f t="shared" si="149"/>
        <v>921.78</v>
      </c>
      <c r="U144" s="1123">
        <f t="shared" si="149"/>
        <v>983.23199999999997</v>
      </c>
      <c r="V144" s="1123">
        <f t="shared" si="149"/>
        <v>1044.684</v>
      </c>
      <c r="W144" s="1123">
        <f t="shared" si="149"/>
        <v>1106.136</v>
      </c>
      <c r="X144" s="1123">
        <f t="shared" si="149"/>
        <v>1167.588</v>
      </c>
      <c r="Y144" s="1123">
        <f t="shared" si="149"/>
        <v>1229.04</v>
      </c>
      <c r="Z144" s="1123">
        <f t="shared" si="149"/>
        <v>1290.492</v>
      </c>
      <c r="AA144" s="1123">
        <f t="shared" si="149"/>
        <v>1351.944</v>
      </c>
      <c r="AB144" s="1123">
        <f t="shared" si="149"/>
        <v>1413.396</v>
      </c>
      <c r="AC144" s="1123">
        <f t="shared" si="149"/>
        <v>1474.848</v>
      </c>
      <c r="AD144" s="1123">
        <f t="shared" si="149"/>
        <v>1536.3</v>
      </c>
      <c r="AE144" s="1123">
        <f t="shared" si="149"/>
        <v>1597.752</v>
      </c>
      <c r="AF144" s="1123">
        <f t="shared" si="149"/>
        <v>1659.204</v>
      </c>
      <c r="AG144" s="1123">
        <f t="shared" si="149"/>
        <v>1720.6559999999999</v>
      </c>
      <c r="AH144" s="1123">
        <f t="shared" si="149"/>
        <v>1782.1079999999999</v>
      </c>
      <c r="AI144" s="1123">
        <f t="shared" si="149"/>
        <v>1843.56</v>
      </c>
      <c r="AJ144" s="1123">
        <f t="shared" si="149"/>
        <v>1905.0119999999999</v>
      </c>
      <c r="AK144" s="1123">
        <f t="shared" si="149"/>
        <v>1966.4639999999999</v>
      </c>
      <c r="AL144" s="1123">
        <f t="shared" si="149"/>
        <v>2027.9159999999999</v>
      </c>
      <c r="AM144" s="1123">
        <f t="shared" si="149"/>
        <v>2089.3679999999999</v>
      </c>
      <c r="AN144" s="1123">
        <f t="shared" ref="AN144:BF144" si="150">((AN$71-$H$4)/1000)*$R$29*(($C$8/70)^$AE$29)</f>
        <v>2150.8199999999997</v>
      </c>
      <c r="AO144" s="1123">
        <f t="shared" si="150"/>
        <v>2212.2719999999999</v>
      </c>
      <c r="AP144" s="1123">
        <f t="shared" si="150"/>
        <v>2273.7240000000002</v>
      </c>
      <c r="AQ144" s="1123">
        <f t="shared" si="150"/>
        <v>2335.1759999999999</v>
      </c>
      <c r="AR144" s="1123">
        <f t="shared" si="150"/>
        <v>2396.6279999999997</v>
      </c>
      <c r="AS144" s="1123">
        <f t="shared" si="150"/>
        <v>2458.08</v>
      </c>
      <c r="AT144" s="1123">
        <f t="shared" si="150"/>
        <v>2519.5319999999997</v>
      </c>
      <c r="AU144" s="1123">
        <f t="shared" si="150"/>
        <v>2580.9839999999999</v>
      </c>
      <c r="AV144" s="1123">
        <f t="shared" si="150"/>
        <v>2642.4359999999997</v>
      </c>
      <c r="AW144" s="1123">
        <f t="shared" si="150"/>
        <v>2703.8879999999999</v>
      </c>
      <c r="AX144" s="1123">
        <f t="shared" si="150"/>
        <v>2765.34</v>
      </c>
      <c r="AY144" s="1123">
        <f t="shared" si="150"/>
        <v>2826.7919999999999</v>
      </c>
      <c r="AZ144" s="1123">
        <f t="shared" si="150"/>
        <v>2888.2440000000001</v>
      </c>
      <c r="BA144" s="1123">
        <f t="shared" si="150"/>
        <v>2949.6959999999999</v>
      </c>
      <c r="BB144" s="1123">
        <f t="shared" si="150"/>
        <v>3011.1480000000001</v>
      </c>
      <c r="BC144" s="1123">
        <f t="shared" si="150"/>
        <v>3072.6</v>
      </c>
      <c r="BD144" s="1123">
        <f t="shared" si="150"/>
        <v>3134.0519999999997</v>
      </c>
      <c r="BE144" s="1123">
        <f t="shared" si="150"/>
        <v>3195.5039999999999</v>
      </c>
      <c r="BF144" s="1123">
        <f t="shared" si="150"/>
        <v>3256.9559999999997</v>
      </c>
    </row>
    <row r="145" spans="1:58" ht="15.75" thickBot="1">
      <c r="A145" s="2098"/>
      <c r="B145" s="2195" t="s">
        <v>296</v>
      </c>
      <c r="C145" s="2195"/>
      <c r="D145" s="471" t="s">
        <v>226</v>
      </c>
      <c r="E145" s="514">
        <v>150</v>
      </c>
      <c r="F145" s="514">
        <v>400</v>
      </c>
      <c r="G145" s="472" t="s">
        <v>292</v>
      </c>
      <c r="H145" s="1124">
        <f t="shared" ref="H145:AM145" si="151">((H$71-$H$4)/1000)*$S$29*(($C$8/70)^$AE$29)</f>
        <v>204.83999999999997</v>
      </c>
      <c r="I145" s="1124">
        <f t="shared" si="151"/>
        <v>273.12</v>
      </c>
      <c r="J145" s="1124">
        <f t="shared" si="151"/>
        <v>341.4</v>
      </c>
      <c r="K145" s="1124">
        <f t="shared" si="151"/>
        <v>409.67999999999995</v>
      </c>
      <c r="L145" s="1124">
        <f t="shared" si="151"/>
        <v>477.95999999999992</v>
      </c>
      <c r="M145" s="1124">
        <f t="shared" si="151"/>
        <v>546.24</v>
      </c>
      <c r="N145" s="1124">
        <f t="shared" si="151"/>
        <v>614.52</v>
      </c>
      <c r="O145" s="1124">
        <f t="shared" si="151"/>
        <v>682.8</v>
      </c>
      <c r="P145" s="1124">
        <f t="shared" si="151"/>
        <v>751.08</v>
      </c>
      <c r="Q145" s="1124">
        <f t="shared" si="151"/>
        <v>819.3599999999999</v>
      </c>
      <c r="R145" s="1124">
        <f t="shared" si="151"/>
        <v>887.64</v>
      </c>
      <c r="S145" s="1124">
        <f t="shared" si="151"/>
        <v>955.91999999999985</v>
      </c>
      <c r="T145" s="1124">
        <f t="shared" si="151"/>
        <v>1024.1999999999998</v>
      </c>
      <c r="U145" s="1124">
        <f t="shared" si="151"/>
        <v>1092.48</v>
      </c>
      <c r="V145" s="1124">
        <f t="shared" si="151"/>
        <v>1160.76</v>
      </c>
      <c r="W145" s="1124">
        <f t="shared" si="151"/>
        <v>1229.04</v>
      </c>
      <c r="X145" s="1124">
        <f t="shared" si="151"/>
        <v>1297.32</v>
      </c>
      <c r="Y145" s="1124">
        <f t="shared" si="151"/>
        <v>1365.6</v>
      </c>
      <c r="Z145" s="1124">
        <f t="shared" si="151"/>
        <v>1433.8799999999999</v>
      </c>
      <c r="AA145" s="1124">
        <f t="shared" si="151"/>
        <v>1502.16</v>
      </c>
      <c r="AB145" s="1124">
        <f t="shared" si="151"/>
        <v>1570.4399999999998</v>
      </c>
      <c r="AC145" s="1124">
        <f t="shared" si="151"/>
        <v>1638.7199999999998</v>
      </c>
      <c r="AD145" s="1124">
        <f t="shared" si="151"/>
        <v>1707</v>
      </c>
      <c r="AE145" s="1124">
        <f t="shared" si="151"/>
        <v>1775.28</v>
      </c>
      <c r="AF145" s="1124">
        <f t="shared" si="151"/>
        <v>1843.56</v>
      </c>
      <c r="AG145" s="1124">
        <f t="shared" si="151"/>
        <v>1911.8399999999997</v>
      </c>
      <c r="AH145" s="1124">
        <f t="shared" si="151"/>
        <v>1980.12</v>
      </c>
      <c r="AI145" s="1124">
        <f t="shared" si="151"/>
        <v>2048.3999999999996</v>
      </c>
      <c r="AJ145" s="1124">
        <f t="shared" si="151"/>
        <v>2116.6799999999998</v>
      </c>
      <c r="AK145" s="1124">
        <f t="shared" si="151"/>
        <v>2184.96</v>
      </c>
      <c r="AL145" s="1124">
        <f t="shared" si="151"/>
        <v>2253.2399999999998</v>
      </c>
      <c r="AM145" s="1124">
        <f t="shared" si="151"/>
        <v>2321.52</v>
      </c>
      <c r="AN145" s="1124">
        <f t="shared" ref="AN145:BF145" si="152">((AN$71-$H$4)/1000)*$S$29*(($C$8/70)^$AE$29)</f>
        <v>2389.7999999999997</v>
      </c>
      <c r="AO145" s="1124">
        <f t="shared" si="152"/>
        <v>2458.08</v>
      </c>
      <c r="AP145" s="1124">
        <f t="shared" si="152"/>
        <v>2526.36</v>
      </c>
      <c r="AQ145" s="1124">
        <f t="shared" si="152"/>
        <v>2594.64</v>
      </c>
      <c r="AR145" s="1124">
        <f t="shared" si="152"/>
        <v>2662.9199999999996</v>
      </c>
      <c r="AS145" s="1124">
        <f t="shared" si="152"/>
        <v>2731.2</v>
      </c>
      <c r="AT145" s="1124">
        <f t="shared" si="152"/>
        <v>2799.4799999999996</v>
      </c>
      <c r="AU145" s="1124">
        <f t="shared" si="152"/>
        <v>2867.7599999999998</v>
      </c>
      <c r="AV145" s="1124">
        <f t="shared" si="152"/>
        <v>2936.0399999999995</v>
      </c>
      <c r="AW145" s="1124">
        <f t="shared" si="152"/>
        <v>3004.32</v>
      </c>
      <c r="AX145" s="1124">
        <f t="shared" si="152"/>
        <v>3072.6</v>
      </c>
      <c r="AY145" s="1124">
        <f t="shared" si="152"/>
        <v>3140.8799999999997</v>
      </c>
      <c r="AZ145" s="1124">
        <f t="shared" si="152"/>
        <v>3209.16</v>
      </c>
      <c r="BA145" s="1124">
        <f t="shared" si="152"/>
        <v>3277.4399999999996</v>
      </c>
      <c r="BB145" s="1124">
        <f t="shared" si="152"/>
        <v>3345.72</v>
      </c>
      <c r="BC145" s="1124">
        <f t="shared" si="152"/>
        <v>3414</v>
      </c>
      <c r="BD145" s="1124">
        <f t="shared" si="152"/>
        <v>3482.2799999999997</v>
      </c>
      <c r="BE145" s="1124">
        <f t="shared" si="152"/>
        <v>3550.56</v>
      </c>
      <c r="BF145" s="1124">
        <f t="shared" si="152"/>
        <v>3618.8399999999997</v>
      </c>
    </row>
    <row r="146" spans="1:58" s="1297" customFormat="1">
      <c r="A146" s="2098"/>
      <c r="B146" s="2204" t="s">
        <v>613</v>
      </c>
      <c r="C146" s="2205"/>
      <c r="D146" s="473" t="s">
        <v>226</v>
      </c>
      <c r="E146" s="515">
        <v>200</v>
      </c>
      <c r="F146" s="515">
        <v>200</v>
      </c>
      <c r="G146" s="473" t="s">
        <v>286</v>
      </c>
      <c r="H146" s="1125">
        <f>((H$71-$H$4)/1000)*$L$30*(($C$8/70)^$X$30)</f>
        <v>133.92899999999997</v>
      </c>
      <c r="I146" s="1125">
        <f t="shared" ref="I146:BF146" si="153">((I$71-$H$4)/1000)*$L$30*(($C$8/70)^$X$30)</f>
        <v>178.572</v>
      </c>
      <c r="J146" s="1125">
        <f t="shared" si="153"/>
        <v>223.21499999999997</v>
      </c>
      <c r="K146" s="1125">
        <f t="shared" si="153"/>
        <v>267.85799999999995</v>
      </c>
      <c r="L146" s="1125">
        <f t="shared" si="153"/>
        <v>312.50099999999992</v>
      </c>
      <c r="M146" s="1125">
        <f t="shared" si="153"/>
        <v>357.14400000000001</v>
      </c>
      <c r="N146" s="1125">
        <f t="shared" si="153"/>
        <v>401.78699999999998</v>
      </c>
      <c r="O146" s="1125">
        <f t="shared" si="153"/>
        <v>446.42999999999995</v>
      </c>
      <c r="P146" s="1125">
        <f t="shared" si="153"/>
        <v>491.07299999999998</v>
      </c>
      <c r="Q146" s="1125">
        <f t="shared" si="153"/>
        <v>535.71599999999989</v>
      </c>
      <c r="R146" s="1125">
        <f t="shared" si="153"/>
        <v>580.35899999999992</v>
      </c>
      <c r="S146" s="1125">
        <f t="shared" si="153"/>
        <v>625.00199999999984</v>
      </c>
      <c r="T146" s="1125">
        <f t="shared" si="153"/>
        <v>669.64499999999998</v>
      </c>
      <c r="U146" s="1125">
        <f t="shared" si="153"/>
        <v>714.28800000000001</v>
      </c>
      <c r="V146" s="1125">
        <f t="shared" si="153"/>
        <v>758.93099999999993</v>
      </c>
      <c r="W146" s="1125">
        <f t="shared" si="153"/>
        <v>803.57399999999996</v>
      </c>
      <c r="X146" s="1125">
        <f t="shared" si="153"/>
        <v>848.21699999999987</v>
      </c>
      <c r="Y146" s="1125">
        <f t="shared" si="153"/>
        <v>892.8599999999999</v>
      </c>
      <c r="Z146" s="1125">
        <f t="shared" si="153"/>
        <v>937.50299999999993</v>
      </c>
      <c r="AA146" s="1125">
        <f t="shared" si="153"/>
        <v>982.14599999999996</v>
      </c>
      <c r="AB146" s="1125">
        <f t="shared" si="153"/>
        <v>1026.7889999999998</v>
      </c>
      <c r="AC146" s="1125">
        <f t="shared" si="153"/>
        <v>1071.4319999999998</v>
      </c>
      <c r="AD146" s="1125">
        <f t="shared" si="153"/>
        <v>1116.0749999999998</v>
      </c>
      <c r="AE146" s="1125">
        <f t="shared" si="153"/>
        <v>1160.7179999999998</v>
      </c>
      <c r="AF146" s="1125">
        <f t="shared" si="153"/>
        <v>1205.3609999999999</v>
      </c>
      <c r="AG146" s="1125">
        <f t="shared" si="153"/>
        <v>1250.0039999999997</v>
      </c>
      <c r="AH146" s="1125">
        <f t="shared" si="153"/>
        <v>1294.6469999999997</v>
      </c>
      <c r="AI146" s="1125">
        <f t="shared" si="153"/>
        <v>1339.29</v>
      </c>
      <c r="AJ146" s="1125">
        <f t="shared" si="153"/>
        <v>1383.933</v>
      </c>
      <c r="AK146" s="1125">
        <f t="shared" si="153"/>
        <v>1428.576</v>
      </c>
      <c r="AL146" s="1125">
        <f t="shared" si="153"/>
        <v>1473.2189999999998</v>
      </c>
      <c r="AM146" s="1125">
        <f t="shared" si="153"/>
        <v>1517.8619999999999</v>
      </c>
      <c r="AN146" s="1125">
        <f t="shared" si="153"/>
        <v>1562.5049999999999</v>
      </c>
      <c r="AO146" s="1125">
        <f t="shared" si="153"/>
        <v>1607.1479999999999</v>
      </c>
      <c r="AP146" s="1125">
        <f t="shared" si="153"/>
        <v>1651.7909999999999</v>
      </c>
      <c r="AQ146" s="1125">
        <f t="shared" si="153"/>
        <v>1696.4339999999997</v>
      </c>
      <c r="AR146" s="1125">
        <f t="shared" si="153"/>
        <v>1741.0769999999998</v>
      </c>
      <c r="AS146" s="1125">
        <f t="shared" si="153"/>
        <v>1785.7199999999998</v>
      </c>
      <c r="AT146" s="1125">
        <f t="shared" si="153"/>
        <v>1830.3629999999996</v>
      </c>
      <c r="AU146" s="1125">
        <f t="shared" si="153"/>
        <v>1875.0059999999999</v>
      </c>
      <c r="AV146" s="1125">
        <f t="shared" si="153"/>
        <v>1919.6489999999997</v>
      </c>
      <c r="AW146" s="1125">
        <f t="shared" si="153"/>
        <v>1964.2919999999999</v>
      </c>
      <c r="AX146" s="1125">
        <f t="shared" si="153"/>
        <v>2008.9349999999997</v>
      </c>
      <c r="AY146" s="1125">
        <f t="shared" si="153"/>
        <v>2053.5779999999995</v>
      </c>
      <c r="AZ146" s="1125">
        <f t="shared" si="153"/>
        <v>2098.221</v>
      </c>
      <c r="BA146" s="1125">
        <f t="shared" si="153"/>
        <v>2142.8639999999996</v>
      </c>
      <c r="BB146" s="1125">
        <f t="shared" si="153"/>
        <v>2187.5070000000001</v>
      </c>
      <c r="BC146" s="1125">
        <f t="shared" si="153"/>
        <v>2232.1499999999996</v>
      </c>
      <c r="BD146" s="1125">
        <f t="shared" si="153"/>
        <v>2276.7929999999997</v>
      </c>
      <c r="BE146" s="1125">
        <f t="shared" si="153"/>
        <v>2321.4359999999997</v>
      </c>
      <c r="BF146" s="1125">
        <f t="shared" si="153"/>
        <v>2366.0789999999997</v>
      </c>
    </row>
    <row r="147" spans="1:58">
      <c r="A147" s="2098"/>
      <c r="B147" s="2196" t="s">
        <v>297</v>
      </c>
      <c r="C147" s="2197"/>
      <c r="D147" s="474" t="s">
        <v>226</v>
      </c>
      <c r="E147" s="516">
        <v>200</v>
      </c>
      <c r="F147" s="516">
        <v>260</v>
      </c>
      <c r="G147" s="474" t="s">
        <v>286</v>
      </c>
      <c r="H147" s="1126">
        <f t="shared" ref="H147:AM147" si="154">((H$71-$H$4)/1000)*$M$30*(($C$8/70)^$Y$30)</f>
        <v>155.82714234091199</v>
      </c>
      <c r="I147" s="1126">
        <f t="shared" si="154"/>
        <v>207.769523121216</v>
      </c>
      <c r="J147" s="1126">
        <f t="shared" si="154"/>
        <v>259.71190390151997</v>
      </c>
      <c r="K147" s="1126">
        <f t="shared" si="154"/>
        <v>311.65428468182398</v>
      </c>
      <c r="L147" s="1126">
        <f t="shared" si="154"/>
        <v>363.59666546212793</v>
      </c>
      <c r="M147" s="1126">
        <f t="shared" si="154"/>
        <v>415.53904624243199</v>
      </c>
      <c r="N147" s="1126">
        <f t="shared" si="154"/>
        <v>467.48142702273594</v>
      </c>
      <c r="O147" s="1126">
        <f t="shared" si="154"/>
        <v>519.42380780303995</v>
      </c>
      <c r="P147" s="1126">
        <f t="shared" si="154"/>
        <v>571.36618858334396</v>
      </c>
      <c r="Q147" s="1126">
        <f t="shared" si="154"/>
        <v>623.30856936364796</v>
      </c>
      <c r="R147" s="1126">
        <f t="shared" si="154"/>
        <v>675.25095014395197</v>
      </c>
      <c r="S147" s="1126">
        <f t="shared" si="154"/>
        <v>727.19333092425586</v>
      </c>
      <c r="T147" s="1126">
        <f t="shared" si="154"/>
        <v>779.13571170455998</v>
      </c>
      <c r="U147" s="1126">
        <f t="shared" si="154"/>
        <v>831.07809248486399</v>
      </c>
      <c r="V147" s="1126">
        <f t="shared" si="154"/>
        <v>883.02047326516788</v>
      </c>
      <c r="W147" s="1126">
        <f t="shared" si="154"/>
        <v>934.96285404547189</v>
      </c>
      <c r="X147" s="1126">
        <f t="shared" si="154"/>
        <v>986.90523482577589</v>
      </c>
      <c r="Y147" s="1126">
        <f t="shared" si="154"/>
        <v>1038.8476156060799</v>
      </c>
      <c r="Z147" s="1126">
        <f t="shared" si="154"/>
        <v>1090.789996386384</v>
      </c>
      <c r="AA147" s="1126">
        <f t="shared" si="154"/>
        <v>1142.7323771666879</v>
      </c>
      <c r="AB147" s="1126">
        <f t="shared" si="154"/>
        <v>1194.6747579469918</v>
      </c>
      <c r="AC147" s="1126">
        <f t="shared" si="154"/>
        <v>1246.6171387272959</v>
      </c>
      <c r="AD147" s="1126">
        <f t="shared" si="154"/>
        <v>1298.5595195075998</v>
      </c>
      <c r="AE147" s="1126">
        <f t="shared" si="154"/>
        <v>1350.5019002879039</v>
      </c>
      <c r="AF147" s="1126">
        <f t="shared" si="154"/>
        <v>1402.4442810682081</v>
      </c>
      <c r="AG147" s="1126">
        <f t="shared" si="154"/>
        <v>1454.3866618485117</v>
      </c>
      <c r="AH147" s="1126">
        <f t="shared" si="154"/>
        <v>1506.3290426288158</v>
      </c>
      <c r="AI147" s="1126">
        <f t="shared" si="154"/>
        <v>1558.27142340912</v>
      </c>
      <c r="AJ147" s="1126">
        <f t="shared" si="154"/>
        <v>1610.2138041894239</v>
      </c>
      <c r="AK147" s="1126">
        <f t="shared" si="154"/>
        <v>1662.156184969728</v>
      </c>
      <c r="AL147" s="1126">
        <f t="shared" si="154"/>
        <v>1714.0985657500316</v>
      </c>
      <c r="AM147" s="1126">
        <f t="shared" si="154"/>
        <v>1766.0409465303358</v>
      </c>
      <c r="AN147" s="1126">
        <f t="shared" ref="AN147:BF147" si="155">((AN$71-$H$4)/1000)*$M$30*(($C$8/70)^$Y$30)</f>
        <v>1817.9833273106399</v>
      </c>
      <c r="AO147" s="1126">
        <f t="shared" si="155"/>
        <v>1869.9257080909438</v>
      </c>
      <c r="AP147" s="1126">
        <f t="shared" si="155"/>
        <v>1921.8680888712479</v>
      </c>
      <c r="AQ147" s="1126">
        <f t="shared" si="155"/>
        <v>1973.8104696515518</v>
      </c>
      <c r="AR147" s="1126">
        <f t="shared" si="155"/>
        <v>2025.7528504318557</v>
      </c>
      <c r="AS147" s="1126">
        <f t="shared" si="155"/>
        <v>2077.6952312121598</v>
      </c>
      <c r="AT147" s="1126">
        <f t="shared" si="155"/>
        <v>2129.6376119924635</v>
      </c>
      <c r="AU147" s="1126">
        <f t="shared" si="155"/>
        <v>2181.579992772768</v>
      </c>
      <c r="AV147" s="1126">
        <f t="shared" si="155"/>
        <v>2233.5223735530717</v>
      </c>
      <c r="AW147" s="1126">
        <f t="shared" si="155"/>
        <v>2285.4647543333758</v>
      </c>
      <c r="AX147" s="1126">
        <f t="shared" si="155"/>
        <v>2337.4071351136799</v>
      </c>
      <c r="AY147" s="1126">
        <f t="shared" si="155"/>
        <v>2389.3495158939836</v>
      </c>
      <c r="AZ147" s="1126">
        <f t="shared" si="155"/>
        <v>2441.2918966742877</v>
      </c>
      <c r="BA147" s="1126">
        <f t="shared" si="155"/>
        <v>2493.2342774545918</v>
      </c>
      <c r="BB147" s="1126">
        <f t="shared" si="155"/>
        <v>2545.176658234896</v>
      </c>
      <c r="BC147" s="1126">
        <f t="shared" si="155"/>
        <v>2597.1190390151996</v>
      </c>
      <c r="BD147" s="1126">
        <f t="shared" si="155"/>
        <v>2649.0614197955038</v>
      </c>
      <c r="BE147" s="1126">
        <f t="shared" si="155"/>
        <v>2701.0038005758079</v>
      </c>
      <c r="BF147" s="1127">
        <f t="shared" si="155"/>
        <v>2752.9461813561115</v>
      </c>
    </row>
    <row r="148" spans="1:58">
      <c r="A148" s="2098"/>
      <c r="B148" s="2196" t="s">
        <v>298</v>
      </c>
      <c r="C148" s="2197"/>
      <c r="D148" s="474" t="s">
        <v>226</v>
      </c>
      <c r="E148" s="516">
        <v>200</v>
      </c>
      <c r="F148" s="516">
        <v>300</v>
      </c>
      <c r="G148" s="474" t="s">
        <v>286</v>
      </c>
      <c r="H148" s="1126">
        <f t="shared" ref="H148:AM148" si="156">((H$71-$H$4)/1000)*$N$30*(($C$8/70)^$Z$30)</f>
        <v>166.91212582760343</v>
      </c>
      <c r="I148" s="1126">
        <f t="shared" si="156"/>
        <v>222.54950110347127</v>
      </c>
      <c r="J148" s="1126">
        <f t="shared" si="156"/>
        <v>278.18687637933908</v>
      </c>
      <c r="K148" s="1126">
        <f t="shared" si="156"/>
        <v>333.82425165520687</v>
      </c>
      <c r="L148" s="1126">
        <f t="shared" si="156"/>
        <v>389.4616269310747</v>
      </c>
      <c r="M148" s="1126">
        <f t="shared" si="156"/>
        <v>445.09900220694254</v>
      </c>
      <c r="N148" s="1126">
        <f t="shared" si="156"/>
        <v>500.73637748281038</v>
      </c>
      <c r="O148" s="1126">
        <f t="shared" si="156"/>
        <v>556.37375275867817</v>
      </c>
      <c r="P148" s="1126">
        <f t="shared" si="156"/>
        <v>612.011128034546</v>
      </c>
      <c r="Q148" s="1126">
        <f t="shared" si="156"/>
        <v>667.64850331041373</v>
      </c>
      <c r="R148" s="1126">
        <f t="shared" si="156"/>
        <v>723.28587858628168</v>
      </c>
      <c r="S148" s="1126">
        <f t="shared" si="156"/>
        <v>778.92325386214941</v>
      </c>
      <c r="T148" s="1126">
        <f t="shared" si="156"/>
        <v>834.56062913801725</v>
      </c>
      <c r="U148" s="1126">
        <f t="shared" si="156"/>
        <v>890.19800441388509</v>
      </c>
      <c r="V148" s="1126">
        <f t="shared" si="156"/>
        <v>945.83537968975281</v>
      </c>
      <c r="W148" s="1126">
        <f t="shared" si="156"/>
        <v>1001.4727549656208</v>
      </c>
      <c r="X148" s="1126">
        <f t="shared" si="156"/>
        <v>1057.1101302414884</v>
      </c>
      <c r="Y148" s="1126">
        <f t="shared" si="156"/>
        <v>1112.7475055173563</v>
      </c>
      <c r="Z148" s="1126">
        <f t="shared" si="156"/>
        <v>1168.3848807932243</v>
      </c>
      <c r="AA148" s="1126">
        <f t="shared" si="156"/>
        <v>1224.022256069092</v>
      </c>
      <c r="AB148" s="1126">
        <f t="shared" si="156"/>
        <v>1279.6596313449597</v>
      </c>
      <c r="AC148" s="1126">
        <f t="shared" si="156"/>
        <v>1335.2970066208275</v>
      </c>
      <c r="AD148" s="1126">
        <f t="shared" si="156"/>
        <v>1390.9343818966954</v>
      </c>
      <c r="AE148" s="1126">
        <f t="shared" si="156"/>
        <v>1446.5717571725634</v>
      </c>
      <c r="AF148" s="1126">
        <f t="shared" si="156"/>
        <v>1502.2091324484311</v>
      </c>
      <c r="AG148" s="1126">
        <f t="shared" si="156"/>
        <v>1557.8465077242988</v>
      </c>
      <c r="AH148" s="1126">
        <f t="shared" si="156"/>
        <v>1613.4838830001665</v>
      </c>
      <c r="AI148" s="1126">
        <f t="shared" si="156"/>
        <v>1669.1212582760345</v>
      </c>
      <c r="AJ148" s="1126">
        <f t="shared" si="156"/>
        <v>1724.7586335519024</v>
      </c>
      <c r="AK148" s="1126">
        <f t="shared" si="156"/>
        <v>1780.3960088277702</v>
      </c>
      <c r="AL148" s="1126">
        <f t="shared" si="156"/>
        <v>1836.0333841036379</v>
      </c>
      <c r="AM148" s="1126">
        <f t="shared" si="156"/>
        <v>1891.6707593795056</v>
      </c>
      <c r="AN148" s="1126">
        <f t="shared" ref="AN148:BF148" si="157">((AN$71-$H$4)/1000)*$N$30*(($C$8/70)^$Z$30)</f>
        <v>1947.3081346553736</v>
      </c>
      <c r="AO148" s="1126">
        <f t="shared" si="157"/>
        <v>2002.9455099312415</v>
      </c>
      <c r="AP148" s="1126">
        <f t="shared" si="157"/>
        <v>2058.5828852071095</v>
      </c>
      <c r="AQ148" s="1126">
        <f t="shared" si="157"/>
        <v>2114.2202604829768</v>
      </c>
      <c r="AR148" s="1126">
        <f t="shared" si="157"/>
        <v>2169.8576357588449</v>
      </c>
      <c r="AS148" s="1126">
        <f t="shared" si="157"/>
        <v>2225.4950110347127</v>
      </c>
      <c r="AT148" s="1126">
        <f t="shared" si="157"/>
        <v>2281.1323863105804</v>
      </c>
      <c r="AU148" s="1126">
        <f t="shared" si="157"/>
        <v>2336.7697615864486</v>
      </c>
      <c r="AV148" s="1126">
        <f t="shared" si="157"/>
        <v>2392.4071368623158</v>
      </c>
      <c r="AW148" s="1126">
        <f t="shared" si="157"/>
        <v>2448.044512138184</v>
      </c>
      <c r="AX148" s="1126">
        <f t="shared" si="157"/>
        <v>2503.6818874140517</v>
      </c>
      <c r="AY148" s="1126">
        <f t="shared" si="157"/>
        <v>2559.3192626899195</v>
      </c>
      <c r="AZ148" s="1126">
        <f t="shared" si="157"/>
        <v>2614.9566379657876</v>
      </c>
      <c r="BA148" s="1126">
        <f t="shared" si="157"/>
        <v>2670.5940132416549</v>
      </c>
      <c r="BB148" s="1126">
        <f t="shared" si="157"/>
        <v>2726.2313885175231</v>
      </c>
      <c r="BC148" s="1126">
        <f t="shared" si="157"/>
        <v>2781.8687637933908</v>
      </c>
      <c r="BD148" s="1126">
        <f t="shared" si="157"/>
        <v>2837.5061390692586</v>
      </c>
      <c r="BE148" s="1126">
        <f t="shared" si="157"/>
        <v>2893.1435143451267</v>
      </c>
      <c r="BF148" s="1127">
        <f t="shared" si="157"/>
        <v>2948.780889620994</v>
      </c>
    </row>
    <row r="149" spans="1:58" ht="15.75" thickBot="1">
      <c r="A149" s="2098"/>
      <c r="B149" s="2251" t="s">
        <v>299</v>
      </c>
      <c r="C149" s="2252"/>
      <c r="D149" s="475" t="s">
        <v>226</v>
      </c>
      <c r="E149" s="517">
        <v>200</v>
      </c>
      <c r="F149" s="517">
        <v>360</v>
      </c>
      <c r="G149" s="475" t="s">
        <v>292</v>
      </c>
      <c r="H149" s="1128">
        <f t="shared" ref="H149:AM149" si="158">((H$71-$H$4)/1000)*$Q$30*(($C$8/70)^$AC$30)</f>
        <v>281.14761242625895</v>
      </c>
      <c r="I149" s="1128">
        <f t="shared" si="158"/>
        <v>374.86348323501198</v>
      </c>
      <c r="J149" s="1128">
        <f t="shared" si="158"/>
        <v>468.57935404376497</v>
      </c>
      <c r="K149" s="1128">
        <f t="shared" si="158"/>
        <v>562.29522485251789</v>
      </c>
      <c r="L149" s="1128">
        <f t="shared" si="158"/>
        <v>656.01109566127093</v>
      </c>
      <c r="M149" s="1128">
        <f t="shared" si="158"/>
        <v>749.72696647002397</v>
      </c>
      <c r="N149" s="1128">
        <f t="shared" si="158"/>
        <v>843.44283727877701</v>
      </c>
      <c r="O149" s="1128">
        <f t="shared" si="158"/>
        <v>937.15870808752993</v>
      </c>
      <c r="P149" s="1128">
        <f t="shared" si="158"/>
        <v>1030.8745788962831</v>
      </c>
      <c r="Q149" s="1128">
        <f t="shared" si="158"/>
        <v>1124.5904497050358</v>
      </c>
      <c r="R149" s="1128">
        <f t="shared" si="158"/>
        <v>1218.3063205137889</v>
      </c>
      <c r="S149" s="1128">
        <f t="shared" si="158"/>
        <v>1312.0221913225419</v>
      </c>
      <c r="T149" s="1128">
        <f t="shared" si="158"/>
        <v>1405.738062131295</v>
      </c>
      <c r="U149" s="1128">
        <f t="shared" si="158"/>
        <v>1499.4539329400479</v>
      </c>
      <c r="V149" s="1128">
        <f t="shared" si="158"/>
        <v>1593.1698037488009</v>
      </c>
      <c r="W149" s="1128">
        <f t="shared" si="158"/>
        <v>1686.885674557554</v>
      </c>
      <c r="X149" s="1128">
        <f t="shared" si="158"/>
        <v>1780.6015453663067</v>
      </c>
      <c r="Y149" s="1128">
        <f t="shared" si="158"/>
        <v>1874.3174161750599</v>
      </c>
      <c r="Z149" s="1128">
        <f t="shared" si="158"/>
        <v>1968.033286983813</v>
      </c>
      <c r="AA149" s="1128">
        <f t="shared" si="158"/>
        <v>2061.7491577925662</v>
      </c>
      <c r="AB149" s="1128">
        <f t="shared" si="158"/>
        <v>2155.4650286013189</v>
      </c>
      <c r="AC149" s="1128">
        <f t="shared" si="158"/>
        <v>2249.1808994100716</v>
      </c>
      <c r="AD149" s="1128">
        <f t="shared" si="158"/>
        <v>2342.8967702188247</v>
      </c>
      <c r="AE149" s="1128">
        <f t="shared" si="158"/>
        <v>2436.6126410275779</v>
      </c>
      <c r="AF149" s="1128">
        <f t="shared" si="158"/>
        <v>2530.328511836331</v>
      </c>
      <c r="AG149" s="1128">
        <f t="shared" si="158"/>
        <v>2624.0443826450837</v>
      </c>
      <c r="AH149" s="1128">
        <f t="shared" si="158"/>
        <v>2717.7602534538369</v>
      </c>
      <c r="AI149" s="1128">
        <f t="shared" si="158"/>
        <v>2811.47612426259</v>
      </c>
      <c r="AJ149" s="1128">
        <f t="shared" si="158"/>
        <v>2905.1919950713427</v>
      </c>
      <c r="AK149" s="1128">
        <f t="shared" si="158"/>
        <v>2998.9078658800959</v>
      </c>
      <c r="AL149" s="1128">
        <f t="shared" si="158"/>
        <v>3092.6237366888486</v>
      </c>
      <c r="AM149" s="1128">
        <f t="shared" si="158"/>
        <v>3186.3396074976017</v>
      </c>
      <c r="AN149" s="1128">
        <f t="shared" ref="AN149:BF149" si="159">((AN$71-$H$4)/1000)*$Q$30*(($C$8/70)^$AC$30)</f>
        <v>3280.0554783063549</v>
      </c>
      <c r="AO149" s="1128">
        <f t="shared" si="159"/>
        <v>3373.771349115108</v>
      </c>
      <c r="AP149" s="1128">
        <f t="shared" si="159"/>
        <v>3467.4872199238607</v>
      </c>
      <c r="AQ149" s="1128">
        <f t="shared" si="159"/>
        <v>3561.2030907326134</v>
      </c>
      <c r="AR149" s="1128">
        <f t="shared" si="159"/>
        <v>3654.9189615413666</v>
      </c>
      <c r="AS149" s="1128">
        <f t="shared" si="159"/>
        <v>3748.6348323501197</v>
      </c>
      <c r="AT149" s="1128">
        <f t="shared" si="159"/>
        <v>3842.3507031588724</v>
      </c>
      <c r="AU149" s="1128">
        <f t="shared" si="159"/>
        <v>3936.066573967626</v>
      </c>
      <c r="AV149" s="1128">
        <f t="shared" si="159"/>
        <v>4029.7824447763787</v>
      </c>
      <c r="AW149" s="1128">
        <f t="shared" si="159"/>
        <v>4123.4983155851323</v>
      </c>
      <c r="AX149" s="1128">
        <f t="shared" si="159"/>
        <v>4217.214186393885</v>
      </c>
      <c r="AY149" s="1128">
        <f t="shared" si="159"/>
        <v>4310.9300572026377</v>
      </c>
      <c r="AZ149" s="1128">
        <f t="shared" si="159"/>
        <v>4404.6459280113904</v>
      </c>
      <c r="BA149" s="1128">
        <f t="shared" si="159"/>
        <v>4498.3617988201431</v>
      </c>
      <c r="BB149" s="1128">
        <f t="shared" si="159"/>
        <v>4592.0776696288967</v>
      </c>
      <c r="BC149" s="1128">
        <f t="shared" si="159"/>
        <v>4685.7935404376494</v>
      </c>
      <c r="BD149" s="1128">
        <f t="shared" si="159"/>
        <v>4779.5094112464021</v>
      </c>
      <c r="BE149" s="1128">
        <f t="shared" si="159"/>
        <v>4873.2252820551557</v>
      </c>
      <c r="BF149" s="1129">
        <f t="shared" si="159"/>
        <v>4966.9411528639084</v>
      </c>
    </row>
    <row r="150" spans="1:58">
      <c r="A150" s="2098"/>
      <c r="B150" s="2253" t="s">
        <v>300</v>
      </c>
      <c r="C150" s="2254"/>
      <c r="D150" s="476" t="s">
        <v>226</v>
      </c>
      <c r="E150" s="518">
        <v>300</v>
      </c>
      <c r="F150" s="518">
        <v>260</v>
      </c>
      <c r="G150" s="476" t="s">
        <v>286</v>
      </c>
      <c r="H150" s="1130">
        <f t="shared" ref="H150:AM150" si="160">((H$71-$H$4)/1000)*$M$31*(($C$8/70)^$Y$31)</f>
        <v>179.07373239176988</v>
      </c>
      <c r="I150" s="1130">
        <f t="shared" si="160"/>
        <v>238.76497652235986</v>
      </c>
      <c r="J150" s="1130">
        <f t="shared" si="160"/>
        <v>298.45622065294981</v>
      </c>
      <c r="K150" s="1130">
        <f t="shared" si="160"/>
        <v>358.14746478353976</v>
      </c>
      <c r="L150" s="1130">
        <f t="shared" si="160"/>
        <v>417.83870891412971</v>
      </c>
      <c r="M150" s="1130">
        <f t="shared" si="160"/>
        <v>477.52995304471972</v>
      </c>
      <c r="N150" s="1130">
        <f t="shared" si="160"/>
        <v>537.22119717530973</v>
      </c>
      <c r="O150" s="1130">
        <f t="shared" si="160"/>
        <v>596.91244130589962</v>
      </c>
      <c r="P150" s="1130">
        <f t="shared" si="160"/>
        <v>656.60368543648963</v>
      </c>
      <c r="Q150" s="1130">
        <f t="shared" si="160"/>
        <v>716.29492956707952</v>
      </c>
      <c r="R150" s="1130">
        <f t="shared" si="160"/>
        <v>775.98617369766953</v>
      </c>
      <c r="S150" s="1130">
        <f t="shared" si="160"/>
        <v>835.67741782825942</v>
      </c>
      <c r="T150" s="1130">
        <f t="shared" si="160"/>
        <v>895.36866195884943</v>
      </c>
      <c r="U150" s="1130">
        <f t="shared" si="160"/>
        <v>955.05990608943944</v>
      </c>
      <c r="V150" s="1130">
        <f t="shared" si="160"/>
        <v>1014.7511502200293</v>
      </c>
      <c r="W150" s="1130">
        <f t="shared" si="160"/>
        <v>1074.4423943506195</v>
      </c>
      <c r="X150" s="1130">
        <f t="shared" si="160"/>
        <v>1134.1336384812091</v>
      </c>
      <c r="Y150" s="1130">
        <f t="shared" si="160"/>
        <v>1193.8248826117992</v>
      </c>
      <c r="Z150" s="1130">
        <f t="shared" si="160"/>
        <v>1253.5161267423894</v>
      </c>
      <c r="AA150" s="1130">
        <f t="shared" si="160"/>
        <v>1313.2073708729793</v>
      </c>
      <c r="AB150" s="1130">
        <f t="shared" si="160"/>
        <v>1372.8986150035689</v>
      </c>
      <c r="AC150" s="1130">
        <f t="shared" si="160"/>
        <v>1432.589859134159</v>
      </c>
      <c r="AD150" s="1130">
        <f t="shared" si="160"/>
        <v>1492.2811032647492</v>
      </c>
      <c r="AE150" s="1130">
        <f t="shared" si="160"/>
        <v>1551.9723473953391</v>
      </c>
      <c r="AF150" s="1130">
        <f t="shared" si="160"/>
        <v>1611.6635915259292</v>
      </c>
      <c r="AG150" s="1130">
        <f t="shared" si="160"/>
        <v>1671.3548356565188</v>
      </c>
      <c r="AH150" s="1130">
        <f t="shared" si="160"/>
        <v>1731.0460797871087</v>
      </c>
      <c r="AI150" s="1130">
        <f t="shared" si="160"/>
        <v>1790.7373239176989</v>
      </c>
      <c r="AJ150" s="1130">
        <f t="shared" si="160"/>
        <v>1850.428568048289</v>
      </c>
      <c r="AK150" s="1130">
        <f t="shared" si="160"/>
        <v>1910.1198121788789</v>
      </c>
      <c r="AL150" s="1130">
        <f t="shared" si="160"/>
        <v>1969.8110563094685</v>
      </c>
      <c r="AM150" s="1130">
        <f t="shared" si="160"/>
        <v>2029.5023004400587</v>
      </c>
      <c r="AN150" s="1130">
        <f t="shared" ref="AN150:BF150" si="161">((AN$71-$H$4)/1000)*$M$31*(($C$8/70)^$Y$31)</f>
        <v>2089.1935445706486</v>
      </c>
      <c r="AO150" s="1130">
        <f t="shared" si="161"/>
        <v>2148.8847887012389</v>
      </c>
      <c r="AP150" s="1130">
        <f t="shared" si="161"/>
        <v>2208.5760328318288</v>
      </c>
      <c r="AQ150" s="1130">
        <f t="shared" si="161"/>
        <v>2268.2672769624182</v>
      </c>
      <c r="AR150" s="1130">
        <f t="shared" si="161"/>
        <v>2327.9585210930086</v>
      </c>
      <c r="AS150" s="1130">
        <f t="shared" si="161"/>
        <v>2387.6497652235985</v>
      </c>
      <c r="AT150" s="1130">
        <f t="shared" si="161"/>
        <v>2447.3410093541884</v>
      </c>
      <c r="AU150" s="1130">
        <f t="shared" si="161"/>
        <v>2507.0322534847787</v>
      </c>
      <c r="AV150" s="1130">
        <f t="shared" si="161"/>
        <v>2566.7234976153682</v>
      </c>
      <c r="AW150" s="1130">
        <f t="shared" si="161"/>
        <v>2626.4147417459585</v>
      </c>
      <c r="AX150" s="1130">
        <f t="shared" si="161"/>
        <v>2686.1059858765484</v>
      </c>
      <c r="AY150" s="1130">
        <f t="shared" si="161"/>
        <v>2745.7972300071378</v>
      </c>
      <c r="AZ150" s="1130">
        <f t="shared" si="161"/>
        <v>2805.4884741377282</v>
      </c>
      <c r="BA150" s="1130">
        <f t="shared" si="161"/>
        <v>2865.1797182683181</v>
      </c>
      <c r="BB150" s="1130">
        <f t="shared" si="161"/>
        <v>2924.8709623989084</v>
      </c>
      <c r="BC150" s="1130">
        <f t="shared" si="161"/>
        <v>2984.5622065294983</v>
      </c>
      <c r="BD150" s="1130">
        <f t="shared" si="161"/>
        <v>3044.2534506600878</v>
      </c>
      <c r="BE150" s="1130">
        <f t="shared" si="161"/>
        <v>3103.9446947906781</v>
      </c>
      <c r="BF150" s="1131">
        <f t="shared" si="161"/>
        <v>3163.635938921268</v>
      </c>
    </row>
    <row r="151" spans="1:58">
      <c r="A151" s="2098"/>
      <c r="B151" s="2255" t="s">
        <v>301</v>
      </c>
      <c r="C151" s="2256"/>
      <c r="D151" s="477" t="s">
        <v>226</v>
      </c>
      <c r="E151" s="519">
        <v>300</v>
      </c>
      <c r="F151" s="519">
        <v>300</v>
      </c>
      <c r="G151" s="477" t="s">
        <v>286</v>
      </c>
      <c r="H151" s="1132">
        <f t="shared" ref="H151:AM151" si="162">((H$71-$H$4)/1000)*$N$31*(($C$8/70)^$Z$31)</f>
        <v>191.81239483942113</v>
      </c>
      <c r="I151" s="1132">
        <f t="shared" si="162"/>
        <v>255.74985978589484</v>
      </c>
      <c r="J151" s="1132">
        <f t="shared" si="162"/>
        <v>319.68732473236855</v>
      </c>
      <c r="K151" s="1132">
        <f t="shared" si="162"/>
        <v>383.62478967884226</v>
      </c>
      <c r="L151" s="1132">
        <f t="shared" si="162"/>
        <v>447.56225462531597</v>
      </c>
      <c r="M151" s="1132">
        <f t="shared" si="162"/>
        <v>511.49971957178968</v>
      </c>
      <c r="N151" s="1132">
        <f t="shared" si="162"/>
        <v>575.43718451826339</v>
      </c>
      <c r="O151" s="1132">
        <f t="shared" si="162"/>
        <v>639.3746494647371</v>
      </c>
      <c r="P151" s="1132">
        <f t="shared" si="162"/>
        <v>703.31211441121081</v>
      </c>
      <c r="Q151" s="1132">
        <f t="shared" si="162"/>
        <v>767.24957935768452</v>
      </c>
      <c r="R151" s="1132">
        <f t="shared" si="162"/>
        <v>831.18704430415823</v>
      </c>
      <c r="S151" s="1132">
        <f t="shared" si="162"/>
        <v>895.12450925063195</v>
      </c>
      <c r="T151" s="1132">
        <f t="shared" si="162"/>
        <v>959.06197419710566</v>
      </c>
      <c r="U151" s="1132">
        <f t="shared" si="162"/>
        <v>1022.9994391435794</v>
      </c>
      <c r="V151" s="1132">
        <f t="shared" si="162"/>
        <v>1086.9369040900531</v>
      </c>
      <c r="W151" s="1132">
        <f t="shared" si="162"/>
        <v>1150.8743690365268</v>
      </c>
      <c r="X151" s="1132">
        <f t="shared" si="162"/>
        <v>1214.8118339830005</v>
      </c>
      <c r="Y151" s="1132">
        <f t="shared" si="162"/>
        <v>1278.7492989294742</v>
      </c>
      <c r="Z151" s="1132">
        <f t="shared" si="162"/>
        <v>1342.6867638759479</v>
      </c>
      <c r="AA151" s="1132">
        <f t="shared" si="162"/>
        <v>1406.6242288224216</v>
      </c>
      <c r="AB151" s="1132">
        <f t="shared" si="162"/>
        <v>1470.5616937688953</v>
      </c>
      <c r="AC151" s="1132">
        <f t="shared" si="162"/>
        <v>1534.499158715369</v>
      </c>
      <c r="AD151" s="1132">
        <f t="shared" si="162"/>
        <v>1598.4366236618428</v>
      </c>
      <c r="AE151" s="1132">
        <f t="shared" si="162"/>
        <v>1662.3740886083165</v>
      </c>
      <c r="AF151" s="1132">
        <f t="shared" si="162"/>
        <v>1726.3115535547902</v>
      </c>
      <c r="AG151" s="1132">
        <f t="shared" si="162"/>
        <v>1790.2490185012639</v>
      </c>
      <c r="AH151" s="1132">
        <f t="shared" si="162"/>
        <v>1854.1864834477376</v>
      </c>
      <c r="AI151" s="1132">
        <f t="shared" si="162"/>
        <v>1918.1239483942113</v>
      </c>
      <c r="AJ151" s="1132">
        <f t="shared" si="162"/>
        <v>1982.061413340685</v>
      </c>
      <c r="AK151" s="1132">
        <f t="shared" si="162"/>
        <v>2045.9988782871587</v>
      </c>
      <c r="AL151" s="1132">
        <f t="shared" si="162"/>
        <v>2109.9363432336322</v>
      </c>
      <c r="AM151" s="1132">
        <f t="shared" si="162"/>
        <v>2173.8738081801062</v>
      </c>
      <c r="AN151" s="1132">
        <f t="shared" ref="AN151:BF151" si="163">((AN$71-$H$4)/1000)*$N$31*(($C$8/70)^$Z$31)</f>
        <v>2237.8112731265801</v>
      </c>
      <c r="AO151" s="1132">
        <f t="shared" si="163"/>
        <v>2301.7487380730536</v>
      </c>
      <c r="AP151" s="1132">
        <f t="shared" si="163"/>
        <v>2365.6862030195275</v>
      </c>
      <c r="AQ151" s="1132">
        <f t="shared" si="163"/>
        <v>2429.623667966001</v>
      </c>
      <c r="AR151" s="1132">
        <f t="shared" si="163"/>
        <v>2493.5611329124745</v>
      </c>
      <c r="AS151" s="1132">
        <f t="shared" si="163"/>
        <v>2557.4985978589484</v>
      </c>
      <c r="AT151" s="1132">
        <f t="shared" si="163"/>
        <v>2621.4360628054219</v>
      </c>
      <c r="AU151" s="1132">
        <f t="shared" si="163"/>
        <v>2685.3735277518958</v>
      </c>
      <c r="AV151" s="1132">
        <f t="shared" si="163"/>
        <v>2749.3109926983693</v>
      </c>
      <c r="AW151" s="1132">
        <f t="shared" si="163"/>
        <v>2813.2484576448433</v>
      </c>
      <c r="AX151" s="1132">
        <f t="shared" si="163"/>
        <v>2877.1859225913167</v>
      </c>
      <c r="AY151" s="1132">
        <f t="shared" si="163"/>
        <v>2941.1233875377907</v>
      </c>
      <c r="AZ151" s="1132">
        <f t="shared" si="163"/>
        <v>3005.0608524842646</v>
      </c>
      <c r="BA151" s="1132">
        <f t="shared" si="163"/>
        <v>3068.9983174307381</v>
      </c>
      <c r="BB151" s="1132">
        <f t="shared" si="163"/>
        <v>3132.935782377212</v>
      </c>
      <c r="BC151" s="1132">
        <f t="shared" si="163"/>
        <v>3196.8732473236855</v>
      </c>
      <c r="BD151" s="1132">
        <f t="shared" si="163"/>
        <v>3260.810712270159</v>
      </c>
      <c r="BE151" s="1132">
        <f t="shared" si="163"/>
        <v>3324.7481772166329</v>
      </c>
      <c r="BF151" s="1133">
        <f t="shared" si="163"/>
        <v>3388.6856421631064</v>
      </c>
    </row>
    <row r="152" spans="1:58" ht="15.75" thickBot="1">
      <c r="A152" s="2098"/>
      <c r="B152" s="2257" t="s">
        <v>302</v>
      </c>
      <c r="C152" s="2258"/>
      <c r="D152" s="478" t="s">
        <v>226</v>
      </c>
      <c r="E152" s="520">
        <v>300</v>
      </c>
      <c r="F152" s="520">
        <v>360</v>
      </c>
      <c r="G152" s="478" t="s">
        <v>292</v>
      </c>
      <c r="H152" s="1134">
        <f t="shared" ref="H152:AM152" si="164">((H$71-$H$4)/1000)*$Q$31*(($C$8/70)^$AC$31)</f>
        <v>322.25457390160312</v>
      </c>
      <c r="I152" s="1134">
        <f t="shared" si="164"/>
        <v>429.67276520213755</v>
      </c>
      <c r="J152" s="1134">
        <f t="shared" si="164"/>
        <v>537.09095650267193</v>
      </c>
      <c r="K152" s="1134">
        <f t="shared" si="164"/>
        <v>644.50914780320625</v>
      </c>
      <c r="L152" s="1134">
        <f t="shared" si="164"/>
        <v>751.92733910374068</v>
      </c>
      <c r="M152" s="1134">
        <f t="shared" si="164"/>
        <v>859.34553040427511</v>
      </c>
      <c r="N152" s="1134">
        <f t="shared" si="164"/>
        <v>966.76372170480954</v>
      </c>
      <c r="O152" s="1134">
        <f t="shared" si="164"/>
        <v>1074.1819130053439</v>
      </c>
      <c r="P152" s="1134">
        <f t="shared" si="164"/>
        <v>1181.6001043058784</v>
      </c>
      <c r="Q152" s="1134">
        <f t="shared" si="164"/>
        <v>1289.0182956064125</v>
      </c>
      <c r="R152" s="1134">
        <f t="shared" si="164"/>
        <v>1396.436486906947</v>
      </c>
      <c r="S152" s="1134">
        <f t="shared" si="164"/>
        <v>1503.8546782074814</v>
      </c>
      <c r="T152" s="1134">
        <f t="shared" si="164"/>
        <v>1611.2728695080159</v>
      </c>
      <c r="U152" s="1134">
        <f t="shared" si="164"/>
        <v>1718.6910608085502</v>
      </c>
      <c r="V152" s="1134">
        <f t="shared" si="164"/>
        <v>1826.1092521090845</v>
      </c>
      <c r="W152" s="1134">
        <f t="shared" si="164"/>
        <v>1933.5274434096191</v>
      </c>
      <c r="X152" s="1134">
        <f t="shared" si="164"/>
        <v>2040.9456347101532</v>
      </c>
      <c r="Y152" s="1134">
        <f t="shared" si="164"/>
        <v>2148.3638260106877</v>
      </c>
      <c r="Z152" s="1134">
        <f t="shared" si="164"/>
        <v>2255.7820173112223</v>
      </c>
      <c r="AA152" s="1134">
        <f t="shared" si="164"/>
        <v>2363.2002086117568</v>
      </c>
      <c r="AB152" s="1134">
        <f t="shared" si="164"/>
        <v>2470.6183999122909</v>
      </c>
      <c r="AC152" s="1134">
        <f t="shared" si="164"/>
        <v>2578.036591212825</v>
      </c>
      <c r="AD152" s="1134">
        <f t="shared" si="164"/>
        <v>2685.4547825133595</v>
      </c>
      <c r="AE152" s="1134">
        <f t="shared" si="164"/>
        <v>2792.8729738138941</v>
      </c>
      <c r="AF152" s="1134">
        <f t="shared" si="164"/>
        <v>2900.2911651144286</v>
      </c>
      <c r="AG152" s="1134">
        <f t="shared" si="164"/>
        <v>3007.7093564149627</v>
      </c>
      <c r="AH152" s="1134">
        <f t="shared" si="164"/>
        <v>3115.1275477154973</v>
      </c>
      <c r="AI152" s="1134">
        <f t="shared" si="164"/>
        <v>3222.5457390160318</v>
      </c>
      <c r="AJ152" s="1134">
        <f t="shared" si="164"/>
        <v>3329.9639303165659</v>
      </c>
      <c r="AK152" s="1134">
        <f t="shared" si="164"/>
        <v>3437.3821216171004</v>
      </c>
      <c r="AL152" s="1134">
        <f t="shared" si="164"/>
        <v>3544.8003129176345</v>
      </c>
      <c r="AM152" s="1134">
        <f t="shared" si="164"/>
        <v>3652.2185042181691</v>
      </c>
      <c r="AN152" s="1134">
        <f t="shared" ref="AN152:BF152" si="165">((AN$71-$H$4)/1000)*$Q$31*(($C$8/70)^$AC$31)</f>
        <v>3759.6366955187036</v>
      </c>
      <c r="AO152" s="1134">
        <f t="shared" si="165"/>
        <v>3867.0548868192382</v>
      </c>
      <c r="AP152" s="1134">
        <f t="shared" si="165"/>
        <v>3974.4730781197723</v>
      </c>
      <c r="AQ152" s="1134">
        <f t="shared" si="165"/>
        <v>4081.8912694203063</v>
      </c>
      <c r="AR152" s="1134">
        <f t="shared" si="165"/>
        <v>4189.3094607208413</v>
      </c>
      <c r="AS152" s="1134">
        <f t="shared" si="165"/>
        <v>4296.7276520213754</v>
      </c>
      <c r="AT152" s="1134">
        <f t="shared" si="165"/>
        <v>4404.1458433219095</v>
      </c>
      <c r="AU152" s="1134">
        <f t="shared" si="165"/>
        <v>4511.5640346224445</v>
      </c>
      <c r="AV152" s="1134">
        <f t="shared" si="165"/>
        <v>4618.9822259229786</v>
      </c>
      <c r="AW152" s="1134">
        <f t="shared" si="165"/>
        <v>4726.4004172235136</v>
      </c>
      <c r="AX152" s="1134">
        <f t="shared" si="165"/>
        <v>4833.8186085240477</v>
      </c>
      <c r="AY152" s="1134">
        <f t="shared" si="165"/>
        <v>4941.2367998245818</v>
      </c>
      <c r="AZ152" s="1134">
        <f t="shared" si="165"/>
        <v>5048.6549911251159</v>
      </c>
      <c r="BA152" s="1134">
        <f t="shared" si="165"/>
        <v>5156.07318242565</v>
      </c>
      <c r="BB152" s="1134">
        <f t="shared" si="165"/>
        <v>5263.491373726185</v>
      </c>
      <c r="BC152" s="1134">
        <f t="shared" si="165"/>
        <v>5370.9095650267191</v>
      </c>
      <c r="BD152" s="1134">
        <f t="shared" si="165"/>
        <v>5478.3277563272532</v>
      </c>
      <c r="BE152" s="1134">
        <f t="shared" si="165"/>
        <v>5585.7459476277882</v>
      </c>
      <c r="BF152" s="1135">
        <f t="shared" si="165"/>
        <v>5693.1641389283222</v>
      </c>
    </row>
    <row r="153" spans="1:58">
      <c r="A153" s="2098"/>
      <c r="B153" s="2259" t="s">
        <v>303</v>
      </c>
      <c r="C153" s="2260"/>
      <c r="D153" s="479" t="s">
        <v>226</v>
      </c>
      <c r="E153" s="521">
        <v>400</v>
      </c>
      <c r="F153" s="521">
        <v>260</v>
      </c>
      <c r="G153" s="479" t="s">
        <v>286</v>
      </c>
      <c r="H153" s="1136">
        <f t="shared" ref="H153:AM153" si="166">((H$71-$H$4)/1000)*$M$32*(($C$8/70)^$Y$32)</f>
        <v>209.36928845804923</v>
      </c>
      <c r="I153" s="1136">
        <f t="shared" si="166"/>
        <v>279.15905127739899</v>
      </c>
      <c r="J153" s="1136">
        <f t="shared" si="166"/>
        <v>348.94881409674872</v>
      </c>
      <c r="K153" s="1136">
        <f t="shared" si="166"/>
        <v>418.73857691609845</v>
      </c>
      <c r="L153" s="1136">
        <f t="shared" si="166"/>
        <v>488.52833973544818</v>
      </c>
      <c r="M153" s="1136">
        <f t="shared" si="166"/>
        <v>558.31810255479797</v>
      </c>
      <c r="N153" s="1136">
        <f t="shared" si="166"/>
        <v>628.10786537414776</v>
      </c>
      <c r="O153" s="1136">
        <f t="shared" si="166"/>
        <v>697.89762819349744</v>
      </c>
      <c r="P153" s="1136">
        <f t="shared" si="166"/>
        <v>767.68739101284723</v>
      </c>
      <c r="Q153" s="1136">
        <f t="shared" si="166"/>
        <v>837.4771538321969</v>
      </c>
      <c r="R153" s="1136">
        <f t="shared" si="166"/>
        <v>907.26691665154669</v>
      </c>
      <c r="S153" s="1136">
        <f t="shared" si="166"/>
        <v>977.05667947089637</v>
      </c>
      <c r="T153" s="1136">
        <f t="shared" si="166"/>
        <v>1046.8464422902462</v>
      </c>
      <c r="U153" s="1136">
        <f t="shared" si="166"/>
        <v>1116.6362051095959</v>
      </c>
      <c r="V153" s="1136">
        <f t="shared" si="166"/>
        <v>1186.4259679289455</v>
      </c>
      <c r="W153" s="1136">
        <f t="shared" si="166"/>
        <v>1256.2157307482955</v>
      </c>
      <c r="X153" s="1136">
        <f t="shared" si="166"/>
        <v>1326.0054935676451</v>
      </c>
      <c r="Y153" s="1136">
        <f t="shared" si="166"/>
        <v>1395.7952563869949</v>
      </c>
      <c r="Z153" s="1136">
        <f t="shared" si="166"/>
        <v>1465.5850192063447</v>
      </c>
      <c r="AA153" s="1136">
        <f t="shared" si="166"/>
        <v>1535.3747820256945</v>
      </c>
      <c r="AB153" s="1136">
        <f t="shared" si="166"/>
        <v>1605.164544845044</v>
      </c>
      <c r="AC153" s="1136">
        <f t="shared" si="166"/>
        <v>1674.9543076643938</v>
      </c>
      <c r="AD153" s="1136">
        <f t="shared" si="166"/>
        <v>1744.7440704837436</v>
      </c>
      <c r="AE153" s="1136">
        <f t="shared" si="166"/>
        <v>1814.5338333030934</v>
      </c>
      <c r="AF153" s="1136">
        <f t="shared" si="166"/>
        <v>1884.3235961224432</v>
      </c>
      <c r="AG153" s="1136">
        <f t="shared" si="166"/>
        <v>1954.1133589417927</v>
      </c>
      <c r="AH153" s="1136">
        <f t="shared" si="166"/>
        <v>2023.9031217611425</v>
      </c>
      <c r="AI153" s="1136">
        <f t="shared" si="166"/>
        <v>2093.6928845804923</v>
      </c>
      <c r="AJ153" s="1136">
        <f t="shared" si="166"/>
        <v>2163.4826473998423</v>
      </c>
      <c r="AK153" s="1136">
        <f t="shared" si="166"/>
        <v>2233.2724102191919</v>
      </c>
      <c r="AL153" s="1136">
        <f t="shared" si="166"/>
        <v>2303.0621730385415</v>
      </c>
      <c r="AM153" s="1136">
        <f t="shared" si="166"/>
        <v>2372.851935857891</v>
      </c>
      <c r="AN153" s="1136">
        <f t="shared" ref="AN153:BF153" si="167">((AN$71-$H$4)/1000)*$M$32*(($C$8/70)^$Y$32)</f>
        <v>2442.641698677241</v>
      </c>
      <c r="AO153" s="1136">
        <f t="shared" si="167"/>
        <v>2512.4314614965911</v>
      </c>
      <c r="AP153" s="1136">
        <f t="shared" si="167"/>
        <v>2582.2212243159406</v>
      </c>
      <c r="AQ153" s="1136">
        <f t="shared" si="167"/>
        <v>2652.0109871352902</v>
      </c>
      <c r="AR153" s="1136">
        <f t="shared" si="167"/>
        <v>2721.8007499546397</v>
      </c>
      <c r="AS153" s="1136">
        <f t="shared" si="167"/>
        <v>2791.5905127739898</v>
      </c>
      <c r="AT153" s="1136">
        <f t="shared" si="167"/>
        <v>2861.3802755933393</v>
      </c>
      <c r="AU153" s="1136">
        <f t="shared" si="167"/>
        <v>2931.1700384126893</v>
      </c>
      <c r="AV153" s="1136">
        <f t="shared" si="167"/>
        <v>3000.9598012320389</v>
      </c>
      <c r="AW153" s="1136">
        <f t="shared" si="167"/>
        <v>3070.7495640513889</v>
      </c>
      <c r="AX153" s="1136">
        <f t="shared" si="167"/>
        <v>3140.5393268707385</v>
      </c>
      <c r="AY153" s="1136">
        <f t="shared" si="167"/>
        <v>3210.329089690088</v>
      </c>
      <c r="AZ153" s="1136">
        <f t="shared" si="167"/>
        <v>3280.1188525094381</v>
      </c>
      <c r="BA153" s="1136">
        <f t="shared" si="167"/>
        <v>3349.9086153287876</v>
      </c>
      <c r="BB153" s="1136">
        <f t="shared" si="167"/>
        <v>3419.6983781481376</v>
      </c>
      <c r="BC153" s="1136">
        <f t="shared" si="167"/>
        <v>3489.4881409674872</v>
      </c>
      <c r="BD153" s="1136">
        <f t="shared" si="167"/>
        <v>3559.2779037868368</v>
      </c>
      <c r="BE153" s="1136">
        <f t="shared" si="167"/>
        <v>3629.0676666061868</v>
      </c>
      <c r="BF153" s="1137">
        <f t="shared" si="167"/>
        <v>3698.8574294255363</v>
      </c>
    </row>
    <row r="154" spans="1:58">
      <c r="A154" s="2098"/>
      <c r="B154" s="2216" t="s">
        <v>304</v>
      </c>
      <c r="C154" s="2217"/>
      <c r="D154" s="480" t="s">
        <v>226</v>
      </c>
      <c r="E154" s="522">
        <v>400</v>
      </c>
      <c r="F154" s="522">
        <v>300</v>
      </c>
      <c r="G154" s="480" t="s">
        <v>286</v>
      </c>
      <c r="H154" s="1138">
        <f t="shared" ref="H154:AM154" si="168">((H$71-$H$4)/1000)*$N$32*(($C$8/70)^$Z$32)</f>
        <v>224.2630680032093</v>
      </c>
      <c r="I154" s="1138">
        <f t="shared" si="168"/>
        <v>299.01742400427906</v>
      </c>
      <c r="J154" s="1138">
        <f t="shared" si="168"/>
        <v>373.77178000534883</v>
      </c>
      <c r="K154" s="1138">
        <f t="shared" si="168"/>
        <v>448.5261360064186</v>
      </c>
      <c r="L154" s="1138">
        <f t="shared" si="168"/>
        <v>523.28049200748831</v>
      </c>
      <c r="M154" s="1138">
        <f t="shared" si="168"/>
        <v>598.03484800855813</v>
      </c>
      <c r="N154" s="1138">
        <f t="shared" si="168"/>
        <v>672.78920400962795</v>
      </c>
      <c r="O154" s="1138">
        <f t="shared" si="168"/>
        <v>747.54356001069766</v>
      </c>
      <c r="P154" s="1138">
        <f t="shared" si="168"/>
        <v>822.29791601176748</v>
      </c>
      <c r="Q154" s="1138">
        <f t="shared" si="168"/>
        <v>897.05227201283719</v>
      </c>
      <c r="R154" s="1138">
        <f t="shared" si="168"/>
        <v>971.80662801390702</v>
      </c>
      <c r="S154" s="1138">
        <f t="shared" si="168"/>
        <v>1046.5609840149766</v>
      </c>
      <c r="T154" s="1138">
        <f t="shared" si="168"/>
        <v>1121.3153400160465</v>
      </c>
      <c r="U154" s="1138">
        <f t="shared" si="168"/>
        <v>1196.0696960171163</v>
      </c>
      <c r="V154" s="1138">
        <f t="shared" si="168"/>
        <v>1270.824052018186</v>
      </c>
      <c r="W154" s="1138">
        <f t="shared" si="168"/>
        <v>1345.5784080192559</v>
      </c>
      <c r="X154" s="1138">
        <f t="shared" si="168"/>
        <v>1420.3327640203254</v>
      </c>
      <c r="Y154" s="1138">
        <f t="shared" si="168"/>
        <v>1495.0871200213953</v>
      </c>
      <c r="Z154" s="1138">
        <f t="shared" si="168"/>
        <v>1569.8414760224653</v>
      </c>
      <c r="AA154" s="1138">
        <f t="shared" si="168"/>
        <v>1644.595832023535</v>
      </c>
      <c r="AB154" s="1138">
        <f t="shared" si="168"/>
        <v>1719.3501880246044</v>
      </c>
      <c r="AC154" s="1138">
        <f t="shared" si="168"/>
        <v>1794.1045440256744</v>
      </c>
      <c r="AD154" s="1138">
        <f t="shared" si="168"/>
        <v>1868.8589000267441</v>
      </c>
      <c r="AE154" s="1138">
        <f t="shared" si="168"/>
        <v>1943.613256027814</v>
      </c>
      <c r="AF154" s="1138">
        <f t="shared" si="168"/>
        <v>2018.3676120288837</v>
      </c>
      <c r="AG154" s="1138">
        <f t="shared" si="168"/>
        <v>2093.1219680299532</v>
      </c>
      <c r="AH154" s="1138">
        <f t="shared" si="168"/>
        <v>2167.8763240310232</v>
      </c>
      <c r="AI154" s="1138">
        <f t="shared" si="168"/>
        <v>2242.6306800320931</v>
      </c>
      <c r="AJ154" s="1138">
        <f t="shared" si="168"/>
        <v>2317.385036033163</v>
      </c>
      <c r="AK154" s="1138">
        <f t="shared" si="168"/>
        <v>2392.1393920342325</v>
      </c>
      <c r="AL154" s="1138">
        <f t="shared" si="168"/>
        <v>2466.893748035302</v>
      </c>
      <c r="AM154" s="1138">
        <f t="shared" si="168"/>
        <v>2541.6481040363719</v>
      </c>
      <c r="AN154" s="1138">
        <f t="shared" ref="AN154:BF154" si="169">((AN$71-$H$4)/1000)*$N$32*(($C$8/70)^$Z$32)</f>
        <v>2616.4024600374419</v>
      </c>
      <c r="AO154" s="1138">
        <f t="shared" si="169"/>
        <v>2691.1568160385118</v>
      </c>
      <c r="AP154" s="1138">
        <f t="shared" si="169"/>
        <v>2765.9111720395813</v>
      </c>
      <c r="AQ154" s="1138">
        <f t="shared" si="169"/>
        <v>2840.6655280406508</v>
      </c>
      <c r="AR154" s="1138">
        <f t="shared" si="169"/>
        <v>2915.4198840417207</v>
      </c>
      <c r="AS154" s="1138">
        <f t="shared" si="169"/>
        <v>2990.1742400427906</v>
      </c>
      <c r="AT154" s="1138">
        <f t="shared" si="169"/>
        <v>3064.9285960438601</v>
      </c>
      <c r="AU154" s="1138">
        <f t="shared" si="169"/>
        <v>3139.6829520449305</v>
      </c>
      <c r="AV154" s="1138">
        <f t="shared" si="169"/>
        <v>3214.437308046</v>
      </c>
      <c r="AW154" s="1138">
        <f t="shared" si="169"/>
        <v>3289.1916640470699</v>
      </c>
      <c r="AX154" s="1138">
        <f t="shared" si="169"/>
        <v>3363.9460200481394</v>
      </c>
      <c r="AY154" s="1138">
        <f t="shared" si="169"/>
        <v>3438.7003760492089</v>
      </c>
      <c r="AZ154" s="1138">
        <f t="shared" si="169"/>
        <v>3513.4547320502793</v>
      </c>
      <c r="BA154" s="1138">
        <f t="shared" si="169"/>
        <v>3588.2090880513488</v>
      </c>
      <c r="BB154" s="1138">
        <f t="shared" si="169"/>
        <v>3662.9634440524187</v>
      </c>
      <c r="BC154" s="1138">
        <f t="shared" si="169"/>
        <v>3737.7178000534882</v>
      </c>
      <c r="BD154" s="1138">
        <f t="shared" si="169"/>
        <v>3812.4721560545577</v>
      </c>
      <c r="BE154" s="1138">
        <f t="shared" si="169"/>
        <v>3887.2265120556281</v>
      </c>
      <c r="BF154" s="1139">
        <f t="shared" si="169"/>
        <v>3961.9808680566975</v>
      </c>
    </row>
    <row r="155" spans="1:58" ht="15.75" thickBot="1">
      <c r="A155" s="2098"/>
      <c r="B155" s="2218" t="s">
        <v>305</v>
      </c>
      <c r="C155" s="2219"/>
      <c r="D155" s="481" t="s">
        <v>226</v>
      </c>
      <c r="E155" s="523">
        <v>400</v>
      </c>
      <c r="F155" s="523">
        <v>360</v>
      </c>
      <c r="G155" s="481" t="s">
        <v>292</v>
      </c>
      <c r="H155" s="1140">
        <f t="shared" ref="H155:AM155" si="170">((H$71-$H$4)/1000)*$Q$32*(($C$8/70)^$AC$32)</f>
        <v>377.46392362031355</v>
      </c>
      <c r="I155" s="1140">
        <f t="shared" si="170"/>
        <v>503.28523149375144</v>
      </c>
      <c r="J155" s="1140">
        <f t="shared" si="170"/>
        <v>629.10653936718927</v>
      </c>
      <c r="K155" s="1140">
        <f t="shared" si="170"/>
        <v>754.9278472406271</v>
      </c>
      <c r="L155" s="1140">
        <f t="shared" si="170"/>
        <v>880.74915511406493</v>
      </c>
      <c r="M155" s="1140">
        <f t="shared" si="170"/>
        <v>1006.5704629875029</v>
      </c>
      <c r="N155" s="1140">
        <f t="shared" si="170"/>
        <v>1132.3917708609408</v>
      </c>
      <c r="O155" s="1140">
        <f t="shared" si="170"/>
        <v>1258.2130787343785</v>
      </c>
      <c r="P155" s="1140">
        <f t="shared" si="170"/>
        <v>1384.0343866078165</v>
      </c>
      <c r="Q155" s="1140">
        <f t="shared" si="170"/>
        <v>1509.8556944812542</v>
      </c>
      <c r="R155" s="1140">
        <f t="shared" si="170"/>
        <v>1635.6770023546921</v>
      </c>
      <c r="S155" s="1140">
        <f t="shared" si="170"/>
        <v>1761.4983102281299</v>
      </c>
      <c r="T155" s="1140">
        <f t="shared" si="170"/>
        <v>1887.3196181015678</v>
      </c>
      <c r="U155" s="1140">
        <f t="shared" si="170"/>
        <v>2013.1409259750058</v>
      </c>
      <c r="V155" s="1140">
        <f t="shared" si="170"/>
        <v>2138.9622338484432</v>
      </c>
      <c r="W155" s="1140">
        <f t="shared" si="170"/>
        <v>2264.7835417218816</v>
      </c>
      <c r="X155" s="1140">
        <f t="shared" si="170"/>
        <v>2390.6048495953191</v>
      </c>
      <c r="Y155" s="1140">
        <f t="shared" si="170"/>
        <v>2516.4261574687571</v>
      </c>
      <c r="Z155" s="1140">
        <f t="shared" si="170"/>
        <v>2642.247465342195</v>
      </c>
      <c r="AA155" s="1140">
        <f t="shared" si="170"/>
        <v>2768.068773215633</v>
      </c>
      <c r="AB155" s="1140">
        <f t="shared" si="170"/>
        <v>2893.8900810890705</v>
      </c>
      <c r="AC155" s="1140">
        <f t="shared" si="170"/>
        <v>3019.7113889625084</v>
      </c>
      <c r="AD155" s="1140">
        <f t="shared" si="170"/>
        <v>3145.5326968359464</v>
      </c>
      <c r="AE155" s="1140">
        <f t="shared" si="170"/>
        <v>3271.3540047093843</v>
      </c>
      <c r="AF155" s="1140">
        <f t="shared" si="170"/>
        <v>3397.1753125828222</v>
      </c>
      <c r="AG155" s="1140">
        <f t="shared" si="170"/>
        <v>3522.9966204562597</v>
      </c>
      <c r="AH155" s="1140">
        <f t="shared" si="170"/>
        <v>3648.8179283296977</v>
      </c>
      <c r="AI155" s="1140">
        <f t="shared" si="170"/>
        <v>3774.6392362031356</v>
      </c>
      <c r="AJ155" s="1140">
        <f t="shared" si="170"/>
        <v>3900.4605440765736</v>
      </c>
      <c r="AK155" s="1140">
        <f t="shared" si="170"/>
        <v>4026.2818519500115</v>
      </c>
      <c r="AL155" s="1140">
        <f t="shared" si="170"/>
        <v>4152.1031598234486</v>
      </c>
      <c r="AM155" s="1140">
        <f t="shared" si="170"/>
        <v>4277.9244676968865</v>
      </c>
      <c r="AN155" s="1140">
        <f t="shared" ref="AN155:BF155" si="171">((AN$71-$H$4)/1000)*$Q$32*(($C$8/70)^$AC$32)</f>
        <v>4403.7457755703253</v>
      </c>
      <c r="AO155" s="1140">
        <f t="shared" si="171"/>
        <v>4529.5670834437633</v>
      </c>
      <c r="AP155" s="1140">
        <f t="shared" si="171"/>
        <v>4655.3883913172012</v>
      </c>
      <c r="AQ155" s="1140">
        <f t="shared" si="171"/>
        <v>4781.2096991906383</v>
      </c>
      <c r="AR155" s="1140">
        <f t="shared" si="171"/>
        <v>4907.0310070640762</v>
      </c>
      <c r="AS155" s="1140">
        <f t="shared" si="171"/>
        <v>5032.8523149375142</v>
      </c>
      <c r="AT155" s="1140">
        <f t="shared" si="171"/>
        <v>5158.6736228109512</v>
      </c>
      <c r="AU155" s="1140">
        <f t="shared" si="171"/>
        <v>5284.4949306843901</v>
      </c>
      <c r="AV155" s="1140">
        <f t="shared" si="171"/>
        <v>5410.3162385578271</v>
      </c>
      <c r="AW155" s="1140">
        <f t="shared" si="171"/>
        <v>5536.1375464312659</v>
      </c>
      <c r="AX155" s="1140">
        <f t="shared" si="171"/>
        <v>5661.958854304703</v>
      </c>
      <c r="AY155" s="1140">
        <f t="shared" si="171"/>
        <v>5787.7801621781409</v>
      </c>
      <c r="AZ155" s="1140">
        <f t="shared" si="171"/>
        <v>5913.6014700515798</v>
      </c>
      <c r="BA155" s="1140">
        <f t="shared" si="171"/>
        <v>6039.4227779250168</v>
      </c>
      <c r="BB155" s="1140">
        <f t="shared" si="171"/>
        <v>6165.2440857984557</v>
      </c>
      <c r="BC155" s="1140">
        <f t="shared" si="171"/>
        <v>6291.0653936718927</v>
      </c>
      <c r="BD155" s="1140">
        <f t="shared" si="171"/>
        <v>6416.8867015453297</v>
      </c>
      <c r="BE155" s="1140">
        <f t="shared" si="171"/>
        <v>6542.7080094187686</v>
      </c>
      <c r="BF155" s="1141">
        <f t="shared" si="171"/>
        <v>6668.5293172922056</v>
      </c>
    </row>
    <row r="156" spans="1:58">
      <c r="A156" s="2098"/>
      <c r="B156" s="2220" t="s">
        <v>306</v>
      </c>
      <c r="C156" s="2221"/>
      <c r="D156" s="482" t="s">
        <v>226</v>
      </c>
      <c r="E156" s="524">
        <v>500</v>
      </c>
      <c r="F156" s="524">
        <v>260</v>
      </c>
      <c r="G156" s="482" t="s">
        <v>286</v>
      </c>
      <c r="H156" s="1142">
        <f t="shared" ref="H156:AM156" si="172">((H$71-$H$4)/1000)*$M$33*(($C$8/70)^$Y$33)</f>
        <v>240.86466852695347</v>
      </c>
      <c r="I156" s="1142">
        <f t="shared" si="172"/>
        <v>321.15289136927134</v>
      </c>
      <c r="J156" s="1142">
        <f t="shared" si="172"/>
        <v>401.44111421158914</v>
      </c>
      <c r="K156" s="1142">
        <f t="shared" si="172"/>
        <v>481.72933705390693</v>
      </c>
      <c r="L156" s="1142">
        <f t="shared" si="172"/>
        <v>562.01755989622472</v>
      </c>
      <c r="M156" s="1142">
        <f t="shared" si="172"/>
        <v>642.30578273854269</v>
      </c>
      <c r="N156" s="1142">
        <f t="shared" si="172"/>
        <v>722.59400558086043</v>
      </c>
      <c r="O156" s="1142">
        <f t="shared" si="172"/>
        <v>802.88222842317828</v>
      </c>
      <c r="P156" s="1142">
        <f t="shared" si="172"/>
        <v>883.17045126549613</v>
      </c>
      <c r="Q156" s="1142">
        <f t="shared" si="172"/>
        <v>963.45867410781386</v>
      </c>
      <c r="R156" s="1142">
        <f t="shared" si="172"/>
        <v>1043.7468969501317</v>
      </c>
      <c r="S156" s="1142">
        <f t="shared" si="172"/>
        <v>1124.0351197924494</v>
      </c>
      <c r="T156" s="1142">
        <f t="shared" si="172"/>
        <v>1204.3233426347674</v>
      </c>
      <c r="U156" s="1142">
        <f t="shared" si="172"/>
        <v>1284.6115654770854</v>
      </c>
      <c r="V156" s="1142">
        <f t="shared" si="172"/>
        <v>1364.8997883194031</v>
      </c>
      <c r="W156" s="1142">
        <f t="shared" si="172"/>
        <v>1445.1880111617209</v>
      </c>
      <c r="X156" s="1142">
        <f t="shared" si="172"/>
        <v>1525.4762340040386</v>
      </c>
      <c r="Y156" s="1142">
        <f t="shared" si="172"/>
        <v>1605.7644568463566</v>
      </c>
      <c r="Z156" s="1142">
        <f t="shared" si="172"/>
        <v>1686.0526796886745</v>
      </c>
      <c r="AA156" s="1142">
        <f t="shared" si="172"/>
        <v>1766.3409025309923</v>
      </c>
      <c r="AB156" s="1142">
        <f t="shared" si="172"/>
        <v>1846.62912537331</v>
      </c>
      <c r="AC156" s="1142">
        <f t="shared" si="172"/>
        <v>1926.9173482156277</v>
      </c>
      <c r="AD156" s="1142">
        <f t="shared" si="172"/>
        <v>2007.2055710579457</v>
      </c>
      <c r="AE156" s="1142">
        <f t="shared" si="172"/>
        <v>2087.4937939002634</v>
      </c>
      <c r="AF156" s="1142">
        <f t="shared" si="172"/>
        <v>2167.7820167425816</v>
      </c>
      <c r="AG156" s="1142">
        <f t="shared" si="172"/>
        <v>2248.0702395848989</v>
      </c>
      <c r="AH156" s="1142">
        <f t="shared" si="172"/>
        <v>2328.3584624272171</v>
      </c>
      <c r="AI156" s="1142">
        <f t="shared" si="172"/>
        <v>2408.6466852695348</v>
      </c>
      <c r="AJ156" s="1142">
        <f t="shared" si="172"/>
        <v>2488.9349081118526</v>
      </c>
      <c r="AK156" s="1142">
        <f t="shared" si="172"/>
        <v>2569.2231309541708</v>
      </c>
      <c r="AL156" s="1142">
        <f t="shared" si="172"/>
        <v>2649.511353796488</v>
      </c>
      <c r="AM156" s="1142">
        <f t="shared" si="172"/>
        <v>2729.7995766388062</v>
      </c>
      <c r="AN156" s="1142">
        <f t="shared" ref="AN156:BF156" si="173">((AN$71-$H$4)/1000)*$M$33*(($C$8/70)^$Y$33)</f>
        <v>2810.087799481124</v>
      </c>
      <c r="AO156" s="1142">
        <f t="shared" si="173"/>
        <v>2890.3760223234417</v>
      </c>
      <c r="AP156" s="1142">
        <f t="shared" si="173"/>
        <v>2970.6642451657599</v>
      </c>
      <c r="AQ156" s="1142">
        <f t="shared" si="173"/>
        <v>3050.9524680080772</v>
      </c>
      <c r="AR156" s="1142">
        <f t="shared" si="173"/>
        <v>3131.2406908503954</v>
      </c>
      <c r="AS156" s="1142">
        <f t="shared" si="173"/>
        <v>3211.5289136927131</v>
      </c>
      <c r="AT156" s="1142">
        <f t="shared" si="173"/>
        <v>3291.8171365350308</v>
      </c>
      <c r="AU156" s="1142">
        <f t="shared" si="173"/>
        <v>3372.105359377349</v>
      </c>
      <c r="AV156" s="1142">
        <f t="shared" si="173"/>
        <v>3452.3935822196663</v>
      </c>
      <c r="AW156" s="1142">
        <f t="shared" si="173"/>
        <v>3532.6818050619845</v>
      </c>
      <c r="AX156" s="1142">
        <f t="shared" si="173"/>
        <v>3612.9700279043022</v>
      </c>
      <c r="AY156" s="1142">
        <f t="shared" si="173"/>
        <v>3693.25825074662</v>
      </c>
      <c r="AZ156" s="1142">
        <f t="shared" si="173"/>
        <v>3773.5464735889382</v>
      </c>
      <c r="BA156" s="1142">
        <f t="shared" si="173"/>
        <v>3853.8346964312555</v>
      </c>
      <c r="BB156" s="1142">
        <f t="shared" si="173"/>
        <v>3934.1229192735736</v>
      </c>
      <c r="BC156" s="1142">
        <f t="shared" si="173"/>
        <v>4014.4111421158914</v>
      </c>
      <c r="BD156" s="1142">
        <f t="shared" si="173"/>
        <v>4094.6993649582091</v>
      </c>
      <c r="BE156" s="1142">
        <f t="shared" si="173"/>
        <v>4174.9875878005269</v>
      </c>
      <c r="BF156" s="1143">
        <f t="shared" si="173"/>
        <v>4255.2758106428446</v>
      </c>
    </row>
    <row r="157" spans="1:58">
      <c r="A157" s="2098"/>
      <c r="B157" s="2222" t="s">
        <v>307</v>
      </c>
      <c r="C157" s="2223"/>
      <c r="D157" s="483" t="s">
        <v>226</v>
      </c>
      <c r="E157" s="525">
        <v>500</v>
      </c>
      <c r="F157" s="525">
        <v>300</v>
      </c>
      <c r="G157" s="483" t="s">
        <v>286</v>
      </c>
      <c r="H157" s="1144">
        <f t="shared" ref="H157:AM157" si="174">((H$71-$H$4)/1000)*$N$33*(($C$8/70)^$Z$33)</f>
        <v>257.99891634180096</v>
      </c>
      <c r="I157" s="1144">
        <f t="shared" si="174"/>
        <v>343.99855512240129</v>
      </c>
      <c r="J157" s="1144">
        <f t="shared" si="174"/>
        <v>429.99819390300161</v>
      </c>
      <c r="K157" s="1144">
        <f t="shared" si="174"/>
        <v>515.99783268360193</v>
      </c>
      <c r="L157" s="1144">
        <f t="shared" si="174"/>
        <v>601.99747146420225</v>
      </c>
      <c r="M157" s="1144">
        <f t="shared" si="174"/>
        <v>687.99711024480257</v>
      </c>
      <c r="N157" s="1144">
        <f t="shared" si="174"/>
        <v>773.99674902540289</v>
      </c>
      <c r="O157" s="1144">
        <f t="shared" si="174"/>
        <v>859.99638780600321</v>
      </c>
      <c r="P157" s="1144">
        <f t="shared" si="174"/>
        <v>945.99602658660365</v>
      </c>
      <c r="Q157" s="1144">
        <f t="shared" si="174"/>
        <v>1031.9956653672039</v>
      </c>
      <c r="R157" s="1144">
        <f t="shared" si="174"/>
        <v>1117.9953041478043</v>
      </c>
      <c r="S157" s="1144">
        <f t="shared" si="174"/>
        <v>1203.9949429284045</v>
      </c>
      <c r="T157" s="1144">
        <f t="shared" si="174"/>
        <v>1289.9945817090047</v>
      </c>
      <c r="U157" s="1144">
        <f t="shared" si="174"/>
        <v>1375.9942204896051</v>
      </c>
      <c r="V157" s="1144">
        <f t="shared" si="174"/>
        <v>1461.9938592702053</v>
      </c>
      <c r="W157" s="1144">
        <f t="shared" si="174"/>
        <v>1547.9934980508058</v>
      </c>
      <c r="X157" s="1144">
        <f t="shared" si="174"/>
        <v>1633.993136831406</v>
      </c>
      <c r="Y157" s="1144">
        <f t="shared" si="174"/>
        <v>1719.9927756120064</v>
      </c>
      <c r="Z157" s="1144">
        <f t="shared" si="174"/>
        <v>1805.9924143926069</v>
      </c>
      <c r="AA157" s="1144">
        <f t="shared" si="174"/>
        <v>1891.9920531732073</v>
      </c>
      <c r="AB157" s="1144">
        <f t="shared" si="174"/>
        <v>1977.9916919538073</v>
      </c>
      <c r="AC157" s="1144">
        <f t="shared" si="174"/>
        <v>2063.9913307344077</v>
      </c>
      <c r="AD157" s="1144">
        <f t="shared" si="174"/>
        <v>2149.9909695150081</v>
      </c>
      <c r="AE157" s="1144">
        <f t="shared" si="174"/>
        <v>2235.9906082956086</v>
      </c>
      <c r="AF157" s="1144">
        <f t="shared" si="174"/>
        <v>2321.990247076209</v>
      </c>
      <c r="AG157" s="1144">
        <f t="shared" si="174"/>
        <v>2407.989885856809</v>
      </c>
      <c r="AH157" s="1144">
        <f t="shared" si="174"/>
        <v>2493.9895246374094</v>
      </c>
      <c r="AI157" s="1144">
        <f t="shared" si="174"/>
        <v>2579.9891634180094</v>
      </c>
      <c r="AJ157" s="1144">
        <f t="shared" si="174"/>
        <v>2665.9888021986098</v>
      </c>
      <c r="AK157" s="1144">
        <f t="shared" si="174"/>
        <v>2751.9884409792103</v>
      </c>
      <c r="AL157" s="1144">
        <f t="shared" si="174"/>
        <v>2837.9880797598103</v>
      </c>
      <c r="AM157" s="1144">
        <f t="shared" si="174"/>
        <v>2923.9877185404107</v>
      </c>
      <c r="AN157" s="1144">
        <f t="shared" ref="AN157:BF157" si="175">((AN$71-$H$4)/1000)*$N$33*(($C$8/70)^$Z$33)</f>
        <v>3009.9873573210111</v>
      </c>
      <c r="AO157" s="1144">
        <f t="shared" si="175"/>
        <v>3095.9869961016116</v>
      </c>
      <c r="AP157" s="1144">
        <f t="shared" si="175"/>
        <v>3181.986634882212</v>
      </c>
      <c r="AQ157" s="1144">
        <f t="shared" si="175"/>
        <v>3267.986273662812</v>
      </c>
      <c r="AR157" s="1144">
        <f t="shared" si="175"/>
        <v>3353.9859124434124</v>
      </c>
      <c r="AS157" s="1144">
        <f t="shared" si="175"/>
        <v>3439.9855512240129</v>
      </c>
      <c r="AT157" s="1144">
        <f t="shared" si="175"/>
        <v>3525.9851900046128</v>
      </c>
      <c r="AU157" s="1144">
        <f t="shared" si="175"/>
        <v>3611.9848287852137</v>
      </c>
      <c r="AV157" s="1144">
        <f t="shared" si="175"/>
        <v>3697.9844675658137</v>
      </c>
      <c r="AW157" s="1144">
        <f t="shared" si="175"/>
        <v>3783.9841063464146</v>
      </c>
      <c r="AX157" s="1144">
        <f t="shared" si="175"/>
        <v>3869.9837451270146</v>
      </c>
      <c r="AY157" s="1144">
        <f t="shared" si="175"/>
        <v>3955.9833839076146</v>
      </c>
      <c r="AZ157" s="1144">
        <f t="shared" si="175"/>
        <v>4041.9830226882154</v>
      </c>
      <c r="BA157" s="1144">
        <f t="shared" si="175"/>
        <v>4127.9826614688154</v>
      </c>
      <c r="BB157" s="1144">
        <f t="shared" si="175"/>
        <v>4213.9823002494159</v>
      </c>
      <c r="BC157" s="1144">
        <f t="shared" si="175"/>
        <v>4299.9819390300163</v>
      </c>
      <c r="BD157" s="1144">
        <f t="shared" si="175"/>
        <v>4385.9815778106158</v>
      </c>
      <c r="BE157" s="1144">
        <f t="shared" si="175"/>
        <v>4471.9812165912172</v>
      </c>
      <c r="BF157" s="1145">
        <f t="shared" si="175"/>
        <v>4557.9808553718167</v>
      </c>
    </row>
    <row r="158" spans="1:58" ht="15.75" thickBot="1">
      <c r="A158" s="2098"/>
      <c r="B158" s="2224" t="s">
        <v>308</v>
      </c>
      <c r="C158" s="2225"/>
      <c r="D158" s="484" t="s">
        <v>226</v>
      </c>
      <c r="E158" s="526">
        <v>500</v>
      </c>
      <c r="F158" s="526">
        <v>360</v>
      </c>
      <c r="G158" s="484" t="s">
        <v>292</v>
      </c>
      <c r="H158" s="1146">
        <f t="shared" ref="H158:AM158" si="176">((H$71-$H$4)/1000)*$Q$33*(($C$8/70)^$AC$33)</f>
        <v>433.72345118693426</v>
      </c>
      <c r="I158" s="1146">
        <f t="shared" si="176"/>
        <v>578.29793491591238</v>
      </c>
      <c r="J158" s="1146">
        <f t="shared" si="176"/>
        <v>722.87241864489044</v>
      </c>
      <c r="K158" s="1146">
        <f t="shared" si="176"/>
        <v>867.44690237386851</v>
      </c>
      <c r="L158" s="1146">
        <f t="shared" si="176"/>
        <v>1012.0213861028466</v>
      </c>
      <c r="M158" s="1146">
        <f t="shared" si="176"/>
        <v>1156.5958698318248</v>
      </c>
      <c r="N158" s="1146">
        <f t="shared" si="176"/>
        <v>1301.1703535608028</v>
      </c>
      <c r="O158" s="1146">
        <f t="shared" si="176"/>
        <v>1445.7448372897809</v>
      </c>
      <c r="P158" s="1146">
        <f t="shared" si="176"/>
        <v>1590.3193210187592</v>
      </c>
      <c r="Q158" s="1146">
        <f t="shared" si="176"/>
        <v>1734.893804747737</v>
      </c>
      <c r="R158" s="1146">
        <f t="shared" si="176"/>
        <v>1879.4682884767153</v>
      </c>
      <c r="S158" s="1146">
        <f t="shared" si="176"/>
        <v>2024.0427722056932</v>
      </c>
      <c r="T158" s="1146">
        <f t="shared" si="176"/>
        <v>2168.6172559346714</v>
      </c>
      <c r="U158" s="1146">
        <f t="shared" si="176"/>
        <v>2313.1917396636495</v>
      </c>
      <c r="V158" s="1146">
        <f t="shared" si="176"/>
        <v>2457.7662233926276</v>
      </c>
      <c r="W158" s="1146">
        <f t="shared" si="176"/>
        <v>2602.3407071216056</v>
      </c>
      <c r="X158" s="1146">
        <f t="shared" si="176"/>
        <v>2746.9151908505837</v>
      </c>
      <c r="Y158" s="1146">
        <f t="shared" si="176"/>
        <v>2891.4896745795618</v>
      </c>
      <c r="Z158" s="1146">
        <f t="shared" si="176"/>
        <v>3036.0641583085398</v>
      </c>
      <c r="AA158" s="1146">
        <f t="shared" si="176"/>
        <v>3180.6386420375184</v>
      </c>
      <c r="AB158" s="1146">
        <f t="shared" si="176"/>
        <v>3325.213125766496</v>
      </c>
      <c r="AC158" s="1146">
        <f t="shared" si="176"/>
        <v>3469.787609495474</v>
      </c>
      <c r="AD158" s="1146">
        <f t="shared" si="176"/>
        <v>3614.3620932244521</v>
      </c>
      <c r="AE158" s="1146">
        <f t="shared" si="176"/>
        <v>3758.9365769534306</v>
      </c>
      <c r="AF158" s="1146">
        <f t="shared" si="176"/>
        <v>3903.5110606824087</v>
      </c>
      <c r="AG158" s="1146">
        <f t="shared" si="176"/>
        <v>4048.0855444113863</v>
      </c>
      <c r="AH158" s="1146">
        <f t="shared" si="176"/>
        <v>4192.6600281403644</v>
      </c>
      <c r="AI158" s="1146">
        <f t="shared" si="176"/>
        <v>4337.2345118693429</v>
      </c>
      <c r="AJ158" s="1146">
        <f t="shared" si="176"/>
        <v>4481.8089955983205</v>
      </c>
      <c r="AK158" s="1146">
        <f t="shared" si="176"/>
        <v>4626.383479327299</v>
      </c>
      <c r="AL158" s="1146">
        <f t="shared" si="176"/>
        <v>4770.9579630562766</v>
      </c>
      <c r="AM158" s="1146">
        <f t="shared" si="176"/>
        <v>4915.5324467852552</v>
      </c>
      <c r="AN158" s="1146">
        <f t="shared" ref="AN158:BF158" si="177">((AN$71-$H$4)/1000)*$Q$33*(($C$8/70)^$AC$33)</f>
        <v>5060.1069305142328</v>
      </c>
      <c r="AO158" s="1146">
        <f t="shared" si="177"/>
        <v>5204.6814142432113</v>
      </c>
      <c r="AP158" s="1146">
        <f t="shared" si="177"/>
        <v>5349.2558979721898</v>
      </c>
      <c r="AQ158" s="1146">
        <f t="shared" si="177"/>
        <v>5493.8303817011674</v>
      </c>
      <c r="AR158" s="1146">
        <f t="shared" si="177"/>
        <v>5638.404865430145</v>
      </c>
      <c r="AS158" s="1146">
        <f t="shared" si="177"/>
        <v>5782.9793491591236</v>
      </c>
      <c r="AT158" s="1146">
        <f t="shared" si="177"/>
        <v>5927.5538328881012</v>
      </c>
      <c r="AU158" s="1146">
        <f t="shared" si="177"/>
        <v>6072.1283166170797</v>
      </c>
      <c r="AV158" s="1146">
        <f t="shared" si="177"/>
        <v>6216.7028003460573</v>
      </c>
      <c r="AW158" s="1146">
        <f t="shared" si="177"/>
        <v>6361.2772840750367</v>
      </c>
      <c r="AX158" s="1146">
        <f t="shared" si="177"/>
        <v>6505.8517678040143</v>
      </c>
      <c r="AY158" s="1146">
        <f t="shared" si="177"/>
        <v>6650.426251532992</v>
      </c>
      <c r="AZ158" s="1146">
        <f t="shared" si="177"/>
        <v>6795.0007352619705</v>
      </c>
      <c r="BA158" s="1146">
        <f t="shared" si="177"/>
        <v>6939.5752189909481</v>
      </c>
      <c r="BB158" s="1146">
        <f t="shared" si="177"/>
        <v>7084.1497027199266</v>
      </c>
      <c r="BC158" s="1146">
        <f t="shared" si="177"/>
        <v>7228.7241864489042</v>
      </c>
      <c r="BD158" s="1146">
        <f t="shared" si="177"/>
        <v>7373.2986701778818</v>
      </c>
      <c r="BE158" s="1146">
        <f t="shared" si="177"/>
        <v>7517.8731539068613</v>
      </c>
      <c r="BF158" s="1147">
        <f t="shared" si="177"/>
        <v>7662.4476376358389</v>
      </c>
    </row>
    <row r="159" spans="1:58">
      <c r="A159" s="2098"/>
      <c r="B159" s="2226" t="s">
        <v>309</v>
      </c>
      <c r="C159" s="2227"/>
      <c r="D159" s="485" t="s">
        <v>226</v>
      </c>
      <c r="E159" s="527">
        <v>600</v>
      </c>
      <c r="F159" s="527">
        <v>260</v>
      </c>
      <c r="G159" s="485" t="s">
        <v>286</v>
      </c>
      <c r="H159" s="1148">
        <f t="shared" ref="H159:AM159" si="178">((H$71-$H$4)/1000)*$M$34*(($C$8/70)^$Y$34)</f>
        <v>272.06009259520152</v>
      </c>
      <c r="I159" s="1148">
        <f t="shared" si="178"/>
        <v>362.74679012693537</v>
      </c>
      <c r="J159" s="1148">
        <f t="shared" si="178"/>
        <v>453.43348765866921</v>
      </c>
      <c r="K159" s="1148">
        <f t="shared" si="178"/>
        <v>544.12018519040305</v>
      </c>
      <c r="L159" s="1148">
        <f t="shared" si="178"/>
        <v>634.80688272213683</v>
      </c>
      <c r="M159" s="1148">
        <f t="shared" si="178"/>
        <v>725.49358025387073</v>
      </c>
      <c r="N159" s="1148">
        <f t="shared" si="178"/>
        <v>816.18027778560463</v>
      </c>
      <c r="O159" s="1148">
        <f t="shared" si="178"/>
        <v>906.86697531733842</v>
      </c>
      <c r="P159" s="1148">
        <f t="shared" si="178"/>
        <v>997.55367284907231</v>
      </c>
      <c r="Q159" s="1148">
        <f t="shared" si="178"/>
        <v>1088.2403703808061</v>
      </c>
      <c r="R159" s="1148">
        <f t="shared" si="178"/>
        <v>1178.92706791254</v>
      </c>
      <c r="S159" s="1148">
        <f t="shared" si="178"/>
        <v>1269.6137654442737</v>
      </c>
      <c r="T159" s="1148">
        <f t="shared" si="178"/>
        <v>1360.3004629760076</v>
      </c>
      <c r="U159" s="1148">
        <f t="shared" si="178"/>
        <v>1450.9871605077415</v>
      </c>
      <c r="V159" s="1148">
        <f t="shared" si="178"/>
        <v>1541.6738580394754</v>
      </c>
      <c r="W159" s="1148">
        <f t="shared" si="178"/>
        <v>1632.3605555712093</v>
      </c>
      <c r="X159" s="1148">
        <f t="shared" si="178"/>
        <v>1723.0472531029429</v>
      </c>
      <c r="Y159" s="1148">
        <f t="shared" si="178"/>
        <v>1813.7339506346768</v>
      </c>
      <c r="Z159" s="1148">
        <f t="shared" si="178"/>
        <v>1904.4206481664107</v>
      </c>
      <c r="AA159" s="1148">
        <f t="shared" si="178"/>
        <v>1995.1073456981446</v>
      </c>
      <c r="AB159" s="1148">
        <f t="shared" si="178"/>
        <v>2085.7940432298783</v>
      </c>
      <c r="AC159" s="1148">
        <f t="shared" si="178"/>
        <v>2176.4807407616122</v>
      </c>
      <c r="AD159" s="1148">
        <f t="shared" si="178"/>
        <v>2267.1674382933461</v>
      </c>
      <c r="AE159" s="1148">
        <f t="shared" si="178"/>
        <v>2357.85413582508</v>
      </c>
      <c r="AF159" s="1148">
        <f t="shared" si="178"/>
        <v>2448.5408333568139</v>
      </c>
      <c r="AG159" s="1148">
        <f t="shared" si="178"/>
        <v>2539.2275308885473</v>
      </c>
      <c r="AH159" s="1148">
        <f t="shared" si="178"/>
        <v>2629.9142284202812</v>
      </c>
      <c r="AI159" s="1148">
        <f t="shared" si="178"/>
        <v>2720.6009259520151</v>
      </c>
      <c r="AJ159" s="1148">
        <f t="shared" si="178"/>
        <v>2811.287623483749</v>
      </c>
      <c r="AK159" s="1148">
        <f t="shared" si="178"/>
        <v>2901.9743210154829</v>
      </c>
      <c r="AL159" s="1148">
        <f t="shared" si="178"/>
        <v>2992.6610185472168</v>
      </c>
      <c r="AM159" s="1148">
        <f t="shared" si="178"/>
        <v>3083.3477160789507</v>
      </c>
      <c r="AN159" s="1148">
        <f t="shared" ref="AN159:BF159" si="179">((AN$71-$H$4)/1000)*$M$34*(($C$8/70)^$Y$34)</f>
        <v>3174.0344136106846</v>
      </c>
      <c r="AO159" s="1148">
        <f t="shared" si="179"/>
        <v>3264.7211111424185</v>
      </c>
      <c r="AP159" s="1148">
        <f t="shared" si="179"/>
        <v>3355.4078086741524</v>
      </c>
      <c r="AQ159" s="1148">
        <f t="shared" si="179"/>
        <v>3446.0945062058859</v>
      </c>
      <c r="AR159" s="1148">
        <f t="shared" si="179"/>
        <v>3536.7812037376198</v>
      </c>
      <c r="AS159" s="1148">
        <f t="shared" si="179"/>
        <v>3627.4679012693537</v>
      </c>
      <c r="AT159" s="1148">
        <f t="shared" si="179"/>
        <v>3718.1545988010871</v>
      </c>
      <c r="AU159" s="1148">
        <f t="shared" si="179"/>
        <v>3808.8412963328215</v>
      </c>
      <c r="AV159" s="1148">
        <f t="shared" si="179"/>
        <v>3899.5279938645549</v>
      </c>
      <c r="AW159" s="1148">
        <f t="shared" si="179"/>
        <v>3990.2146913962893</v>
      </c>
      <c r="AX159" s="1148">
        <f t="shared" si="179"/>
        <v>4080.9013889280227</v>
      </c>
      <c r="AY159" s="1148">
        <f t="shared" si="179"/>
        <v>4171.5880864597566</v>
      </c>
      <c r="AZ159" s="1148">
        <f t="shared" si="179"/>
        <v>4262.2747839914909</v>
      </c>
      <c r="BA159" s="1148">
        <f t="shared" si="179"/>
        <v>4352.9614815232244</v>
      </c>
      <c r="BB159" s="1148">
        <f t="shared" si="179"/>
        <v>4443.6481790549587</v>
      </c>
      <c r="BC159" s="1148">
        <f t="shared" si="179"/>
        <v>4534.3348765866922</v>
      </c>
      <c r="BD159" s="1148">
        <f t="shared" si="179"/>
        <v>4625.0215741184256</v>
      </c>
      <c r="BE159" s="1148">
        <f t="shared" si="179"/>
        <v>4715.70827165016</v>
      </c>
      <c r="BF159" s="1149">
        <f t="shared" si="179"/>
        <v>4806.3949691818934</v>
      </c>
    </row>
    <row r="160" spans="1:58">
      <c r="A160" s="2098"/>
      <c r="B160" s="2245" t="s">
        <v>310</v>
      </c>
      <c r="C160" s="2246"/>
      <c r="D160" s="486" t="s">
        <v>226</v>
      </c>
      <c r="E160" s="528">
        <v>600</v>
      </c>
      <c r="F160" s="528">
        <v>300</v>
      </c>
      <c r="G160" s="486" t="s">
        <v>286</v>
      </c>
      <c r="H160" s="1150">
        <f t="shared" ref="H160:AM160" si="180">((H$71-$H$4)/1000)*$N$34*(($C$8/70)^$Z$34)</f>
        <v>291.41347088669175</v>
      </c>
      <c r="I160" s="1150">
        <f t="shared" si="180"/>
        <v>388.55129451558901</v>
      </c>
      <c r="J160" s="1150">
        <f t="shared" si="180"/>
        <v>485.68911814448626</v>
      </c>
      <c r="K160" s="1150">
        <f t="shared" si="180"/>
        <v>582.82694177338351</v>
      </c>
      <c r="L160" s="1150">
        <f t="shared" si="180"/>
        <v>679.9647654022807</v>
      </c>
      <c r="M160" s="1150">
        <f t="shared" si="180"/>
        <v>777.10258903117801</v>
      </c>
      <c r="N160" s="1150">
        <f t="shared" si="180"/>
        <v>874.24041266007532</v>
      </c>
      <c r="O160" s="1150">
        <f t="shared" si="180"/>
        <v>971.37823628897252</v>
      </c>
      <c r="P160" s="1150">
        <f t="shared" si="180"/>
        <v>1068.5160599178698</v>
      </c>
      <c r="Q160" s="1150">
        <f t="shared" si="180"/>
        <v>1165.653883546767</v>
      </c>
      <c r="R160" s="1150">
        <f t="shared" si="180"/>
        <v>1262.7917071756642</v>
      </c>
      <c r="S160" s="1150">
        <f t="shared" si="180"/>
        <v>1359.9295308045614</v>
      </c>
      <c r="T160" s="1150">
        <f t="shared" si="180"/>
        <v>1457.0673544334588</v>
      </c>
      <c r="U160" s="1150">
        <f t="shared" si="180"/>
        <v>1554.205178062356</v>
      </c>
      <c r="V160" s="1150">
        <f t="shared" si="180"/>
        <v>1651.3430016912532</v>
      </c>
      <c r="W160" s="1150">
        <f t="shared" si="180"/>
        <v>1748.4808253201506</v>
      </c>
      <c r="X160" s="1150">
        <f t="shared" si="180"/>
        <v>1845.6186489490476</v>
      </c>
      <c r="Y160" s="1150">
        <f t="shared" si="180"/>
        <v>1942.756472577945</v>
      </c>
      <c r="Z160" s="1150">
        <f t="shared" si="180"/>
        <v>2039.8942962068425</v>
      </c>
      <c r="AA160" s="1150">
        <f t="shared" si="180"/>
        <v>2137.0321198357396</v>
      </c>
      <c r="AB160" s="1150">
        <f t="shared" si="180"/>
        <v>2234.1699434646366</v>
      </c>
      <c r="AC160" s="1150">
        <f t="shared" si="180"/>
        <v>2331.307767093534</v>
      </c>
      <c r="AD160" s="1150">
        <f t="shared" si="180"/>
        <v>2428.4455907224315</v>
      </c>
      <c r="AE160" s="1150">
        <f t="shared" si="180"/>
        <v>2525.5834143513284</v>
      </c>
      <c r="AF160" s="1150">
        <f t="shared" si="180"/>
        <v>2622.7212379802259</v>
      </c>
      <c r="AG160" s="1150">
        <f t="shared" si="180"/>
        <v>2719.8590616091228</v>
      </c>
      <c r="AH160" s="1150">
        <f t="shared" si="180"/>
        <v>2816.9968852380202</v>
      </c>
      <c r="AI160" s="1150">
        <f t="shared" si="180"/>
        <v>2914.1347088669177</v>
      </c>
      <c r="AJ160" s="1150">
        <f t="shared" si="180"/>
        <v>3011.2725324958151</v>
      </c>
      <c r="AK160" s="1150">
        <f t="shared" si="180"/>
        <v>3108.4103561247121</v>
      </c>
      <c r="AL160" s="1150">
        <f t="shared" si="180"/>
        <v>3205.548179753609</v>
      </c>
      <c r="AM160" s="1150">
        <f t="shared" si="180"/>
        <v>3302.6860033825064</v>
      </c>
      <c r="AN160" s="1150">
        <f t="shared" ref="AN160:BF160" si="181">((AN$71-$H$4)/1000)*$N$34*(($C$8/70)^$Z$34)</f>
        <v>3399.8238270114039</v>
      </c>
      <c r="AO160" s="1150">
        <f t="shared" si="181"/>
        <v>3496.9616506403013</v>
      </c>
      <c r="AP160" s="1150">
        <f t="shared" si="181"/>
        <v>3594.0994742691987</v>
      </c>
      <c r="AQ160" s="1150">
        <f t="shared" si="181"/>
        <v>3691.2372978980952</v>
      </c>
      <c r="AR160" s="1150">
        <f t="shared" si="181"/>
        <v>3788.3751215269926</v>
      </c>
      <c r="AS160" s="1150">
        <f t="shared" si="181"/>
        <v>3885.5129451558901</v>
      </c>
      <c r="AT160" s="1150">
        <f t="shared" si="181"/>
        <v>3982.650768784787</v>
      </c>
      <c r="AU160" s="1150">
        <f t="shared" si="181"/>
        <v>4079.7885924136849</v>
      </c>
      <c r="AV160" s="1150">
        <f t="shared" si="181"/>
        <v>4176.9264160425819</v>
      </c>
      <c r="AW160" s="1150">
        <f t="shared" si="181"/>
        <v>4274.0642396714793</v>
      </c>
      <c r="AX160" s="1150">
        <f t="shared" si="181"/>
        <v>4371.2020633003767</v>
      </c>
      <c r="AY160" s="1150">
        <f t="shared" si="181"/>
        <v>4468.3398869292732</v>
      </c>
      <c r="AZ160" s="1150">
        <f t="shared" si="181"/>
        <v>4565.4777105581707</v>
      </c>
      <c r="BA160" s="1150">
        <f t="shared" si="181"/>
        <v>4662.6155341870681</v>
      </c>
      <c r="BB160" s="1150">
        <f t="shared" si="181"/>
        <v>4759.7533578159655</v>
      </c>
      <c r="BC160" s="1150">
        <f t="shared" si="181"/>
        <v>4856.8911814448629</v>
      </c>
      <c r="BD160" s="1150">
        <f t="shared" si="181"/>
        <v>4954.0290050737594</v>
      </c>
      <c r="BE160" s="1150">
        <f t="shared" si="181"/>
        <v>5051.1668287026569</v>
      </c>
      <c r="BF160" s="1151">
        <f t="shared" si="181"/>
        <v>5148.3046523315543</v>
      </c>
    </row>
    <row r="161" spans="1:64" ht="15.75" thickBot="1">
      <c r="A161" s="2098"/>
      <c r="B161" s="2247" t="s">
        <v>311</v>
      </c>
      <c r="C161" s="2248"/>
      <c r="D161" s="487" t="s">
        <v>226</v>
      </c>
      <c r="E161" s="529">
        <v>600</v>
      </c>
      <c r="F161" s="529">
        <v>360</v>
      </c>
      <c r="G161" s="487" t="s">
        <v>292</v>
      </c>
      <c r="H161" s="1152">
        <f t="shared" ref="H161:AM161" si="182">((H$71-$H$4)/1000)*$Q$34*(($C$8/70)^$AC$34)</f>
        <v>494.4</v>
      </c>
      <c r="I161" s="1152">
        <f t="shared" si="182"/>
        <v>659.2</v>
      </c>
      <c r="J161" s="1152">
        <f t="shared" si="182"/>
        <v>824</v>
      </c>
      <c r="K161" s="1152">
        <f t="shared" si="182"/>
        <v>988.8</v>
      </c>
      <c r="L161" s="1152">
        <f t="shared" si="182"/>
        <v>1153.5999999999999</v>
      </c>
      <c r="M161" s="1152">
        <f t="shared" si="182"/>
        <v>1318.4</v>
      </c>
      <c r="N161" s="1152">
        <f t="shared" si="182"/>
        <v>1483.2</v>
      </c>
      <c r="O161" s="1152">
        <f t="shared" si="182"/>
        <v>1648</v>
      </c>
      <c r="P161" s="1152">
        <f t="shared" si="182"/>
        <v>1812.8000000000002</v>
      </c>
      <c r="Q161" s="1152">
        <f t="shared" si="182"/>
        <v>1977.6</v>
      </c>
      <c r="R161" s="1152">
        <f t="shared" si="182"/>
        <v>2142.4</v>
      </c>
      <c r="S161" s="1152">
        <f t="shared" si="182"/>
        <v>2307.1999999999998</v>
      </c>
      <c r="T161" s="1152">
        <f t="shared" si="182"/>
        <v>2472</v>
      </c>
      <c r="U161" s="1152">
        <f t="shared" si="182"/>
        <v>2636.8</v>
      </c>
      <c r="V161" s="1152">
        <f t="shared" si="182"/>
        <v>2801.6</v>
      </c>
      <c r="W161" s="1152">
        <f t="shared" si="182"/>
        <v>2966.4</v>
      </c>
      <c r="X161" s="1152">
        <f t="shared" si="182"/>
        <v>3131.2</v>
      </c>
      <c r="Y161" s="1152">
        <f t="shared" si="182"/>
        <v>3296</v>
      </c>
      <c r="Z161" s="1152">
        <f t="shared" si="182"/>
        <v>3460.8</v>
      </c>
      <c r="AA161" s="1152">
        <f t="shared" si="182"/>
        <v>3625.6000000000004</v>
      </c>
      <c r="AB161" s="1152">
        <f t="shared" si="182"/>
        <v>3790.3999999999996</v>
      </c>
      <c r="AC161" s="1152">
        <f t="shared" si="182"/>
        <v>3955.2</v>
      </c>
      <c r="AD161" s="1152">
        <f t="shared" si="182"/>
        <v>4120</v>
      </c>
      <c r="AE161" s="1152">
        <f t="shared" si="182"/>
        <v>4284.8</v>
      </c>
      <c r="AF161" s="1152">
        <f t="shared" si="182"/>
        <v>4449.6000000000004</v>
      </c>
      <c r="AG161" s="1152">
        <f t="shared" si="182"/>
        <v>4614.3999999999996</v>
      </c>
      <c r="AH161" s="1152">
        <f t="shared" si="182"/>
        <v>4779.2</v>
      </c>
      <c r="AI161" s="1152">
        <f t="shared" si="182"/>
        <v>4944</v>
      </c>
      <c r="AJ161" s="1152">
        <f t="shared" si="182"/>
        <v>5108.8</v>
      </c>
      <c r="AK161" s="1152">
        <f t="shared" si="182"/>
        <v>5273.6</v>
      </c>
      <c r="AL161" s="1152">
        <f t="shared" si="182"/>
        <v>5438.4</v>
      </c>
      <c r="AM161" s="1152">
        <f t="shared" si="182"/>
        <v>5603.2</v>
      </c>
      <c r="AN161" s="1152">
        <f t="shared" ref="AN161:BF161" si="183">((AN$71-$H$4)/1000)*$Q$34*(($C$8/70)^$AC$34)</f>
        <v>5768</v>
      </c>
      <c r="AO161" s="1152">
        <f t="shared" si="183"/>
        <v>5932.8</v>
      </c>
      <c r="AP161" s="1152">
        <f t="shared" si="183"/>
        <v>6097.6</v>
      </c>
      <c r="AQ161" s="1152">
        <f t="shared" si="183"/>
        <v>6262.4</v>
      </c>
      <c r="AR161" s="1152">
        <f t="shared" si="183"/>
        <v>6427.2</v>
      </c>
      <c r="AS161" s="1152">
        <f t="shared" si="183"/>
        <v>6592</v>
      </c>
      <c r="AT161" s="1152">
        <f t="shared" si="183"/>
        <v>6756.7999999999993</v>
      </c>
      <c r="AU161" s="1152">
        <f t="shared" si="183"/>
        <v>6921.6</v>
      </c>
      <c r="AV161" s="1152">
        <f t="shared" si="183"/>
        <v>7086.4</v>
      </c>
      <c r="AW161" s="1152">
        <f t="shared" si="183"/>
        <v>7251.2000000000007</v>
      </c>
      <c r="AX161" s="1152">
        <f t="shared" si="183"/>
        <v>7416</v>
      </c>
      <c r="AY161" s="1152">
        <f t="shared" si="183"/>
        <v>7580.7999999999993</v>
      </c>
      <c r="AZ161" s="1152">
        <f t="shared" si="183"/>
        <v>7745.6</v>
      </c>
      <c r="BA161" s="1152">
        <f t="shared" si="183"/>
        <v>7910.4</v>
      </c>
      <c r="BB161" s="1152">
        <f t="shared" si="183"/>
        <v>8075.2000000000007</v>
      </c>
      <c r="BC161" s="1152">
        <f t="shared" si="183"/>
        <v>8240</v>
      </c>
      <c r="BD161" s="1152">
        <f t="shared" si="183"/>
        <v>8404.7999999999993</v>
      </c>
      <c r="BE161" s="1152">
        <f t="shared" si="183"/>
        <v>8569.6</v>
      </c>
      <c r="BF161" s="1153">
        <f t="shared" si="183"/>
        <v>8734.4</v>
      </c>
    </row>
    <row r="162" spans="1:64" s="1307" customFormat="1" ht="15.75" thickBot="1">
      <c r="B162" s="81"/>
      <c r="C162" s="81"/>
      <c r="H162" s="632"/>
      <c r="I162" s="632"/>
      <c r="J162" s="632"/>
      <c r="K162" s="632"/>
      <c r="L162" s="632"/>
      <c r="M162" s="632"/>
      <c r="N162" s="632"/>
      <c r="O162" s="632"/>
      <c r="P162" s="632"/>
      <c r="Q162" s="632"/>
      <c r="R162" s="632"/>
      <c r="S162" s="632"/>
      <c r="T162" s="632"/>
      <c r="U162" s="632"/>
      <c r="V162" s="632"/>
      <c r="W162" s="632"/>
      <c r="X162" s="632"/>
      <c r="Y162" s="632"/>
      <c r="Z162" s="632"/>
      <c r="AA162" s="632"/>
      <c r="AB162" s="632"/>
      <c r="AC162" s="632"/>
      <c r="AD162" s="632"/>
      <c r="AE162" s="632"/>
      <c r="AF162" s="632"/>
      <c r="AG162" s="632"/>
      <c r="AH162" s="632"/>
      <c r="AI162" s="632"/>
      <c r="AJ162" s="632"/>
      <c r="AK162" s="632"/>
      <c r="AL162" s="632"/>
      <c r="AM162" s="632"/>
      <c r="AN162" s="632"/>
      <c r="AO162" s="632"/>
      <c r="AP162" s="632"/>
      <c r="AQ162" s="632"/>
      <c r="AR162" s="632"/>
      <c r="AS162" s="632"/>
      <c r="AT162" s="632"/>
      <c r="AU162" s="632"/>
      <c r="AV162" s="632"/>
      <c r="AW162" s="632"/>
      <c r="AX162" s="632"/>
      <c r="AY162" s="632"/>
      <c r="AZ162" s="632"/>
      <c r="BA162" s="632"/>
      <c r="BB162" s="632"/>
      <c r="BC162" s="632"/>
      <c r="BD162" s="632"/>
      <c r="BE162" s="632"/>
      <c r="BF162" s="632"/>
    </row>
    <row r="163" spans="1:64" s="1307" customFormat="1" ht="29.25" customHeight="1" thickBot="1">
      <c r="B163" s="2228" t="s">
        <v>375</v>
      </c>
      <c r="C163" s="2229"/>
      <c r="D163" s="2140" t="s">
        <v>224</v>
      </c>
      <c r="E163" s="2142" t="s">
        <v>0</v>
      </c>
      <c r="F163" s="2142" t="s">
        <v>1</v>
      </c>
      <c r="G163" s="2144" t="s">
        <v>185</v>
      </c>
      <c r="H163" s="2266" t="s">
        <v>18</v>
      </c>
      <c r="I163" s="2266"/>
      <c r="J163" s="2266"/>
      <c r="K163" s="2266"/>
      <c r="L163" s="2266"/>
      <c r="M163" s="2266"/>
      <c r="N163" s="2266"/>
      <c r="O163" s="2266"/>
      <c r="P163" s="2266"/>
      <c r="Q163" s="2266"/>
      <c r="R163" s="2266"/>
      <c r="S163" s="2266"/>
      <c r="T163" s="2266"/>
      <c r="U163" s="2266"/>
      <c r="V163" s="2266"/>
      <c r="W163" s="2266"/>
      <c r="X163" s="2266"/>
      <c r="Y163" s="2266"/>
      <c r="Z163" s="2266"/>
      <c r="AA163" s="2266"/>
      <c r="AB163" s="2266"/>
      <c r="AC163" s="2266"/>
      <c r="AD163" s="2266"/>
      <c r="AE163" s="2266"/>
      <c r="AF163" s="2266"/>
      <c r="AG163" s="2266"/>
      <c r="AH163" s="2266"/>
      <c r="AI163" s="2266"/>
      <c r="AJ163" s="2266"/>
      <c r="AK163" s="2266"/>
      <c r="AL163" s="2266"/>
      <c r="AM163" s="2266"/>
      <c r="AN163" s="2266"/>
      <c r="AO163" s="2266"/>
      <c r="AP163" s="2266"/>
      <c r="AQ163" s="2266"/>
      <c r="AR163" s="2266"/>
      <c r="AS163" s="2266"/>
      <c r="AT163" s="2266"/>
      <c r="AU163" s="2266"/>
      <c r="AV163" s="2266"/>
      <c r="AW163" s="2266"/>
      <c r="AX163" s="2266"/>
      <c r="AY163" s="2266"/>
      <c r="AZ163" s="2266"/>
      <c r="BA163" s="2266"/>
      <c r="BB163" s="2266"/>
      <c r="BC163" s="2266"/>
      <c r="BD163" s="2266"/>
      <c r="BE163" s="2266"/>
      <c r="BF163" s="2267"/>
      <c r="BL163" s="1307" t="str">
        <f t="shared" ref="BL163:BL187" si="184">IF($C$10&gt;BF163,"",INDEX(E163:E163&amp;"."&amp;F163:F163&amp;"."&amp;$J$71:$BF$71&amp;"."&amp;G163:G163,MATCH($C$10,$J163:$BF163,1)))</f>
        <v/>
      </c>
    </row>
    <row r="164" spans="1:64" s="1307" customFormat="1" ht="18" customHeight="1" thickBot="1">
      <c r="B164" s="2230"/>
      <c r="C164" s="2231"/>
      <c r="D164" s="2141"/>
      <c r="E164" s="2143"/>
      <c r="F164" s="2143"/>
      <c r="G164" s="2145"/>
      <c r="H164" s="1343">
        <v>500</v>
      </c>
      <c r="I164" s="997">
        <v>550</v>
      </c>
      <c r="J164" s="1154">
        <v>600</v>
      </c>
      <c r="K164" s="1155">
        <v>650</v>
      </c>
      <c r="L164" s="1155">
        <v>700</v>
      </c>
      <c r="M164" s="1155">
        <v>750</v>
      </c>
      <c r="N164" s="1155">
        <v>800</v>
      </c>
      <c r="O164" s="1155">
        <v>850</v>
      </c>
      <c r="P164" s="1155">
        <v>900</v>
      </c>
      <c r="Q164" s="1155">
        <v>950</v>
      </c>
      <c r="R164" s="1155">
        <v>1000</v>
      </c>
      <c r="S164" s="1155">
        <v>1050</v>
      </c>
      <c r="T164" s="1155">
        <v>1100</v>
      </c>
      <c r="U164" s="1155">
        <v>1150</v>
      </c>
      <c r="V164" s="1155">
        <v>1200</v>
      </c>
      <c r="W164" s="1155">
        <v>1250</v>
      </c>
      <c r="X164" s="1155">
        <v>1300</v>
      </c>
      <c r="Y164" s="1155">
        <v>1350</v>
      </c>
      <c r="Z164" s="1155">
        <v>1400</v>
      </c>
      <c r="AA164" s="1155">
        <v>1450</v>
      </c>
      <c r="AB164" s="1155">
        <v>1500</v>
      </c>
      <c r="AC164" s="1155">
        <v>1550</v>
      </c>
      <c r="AD164" s="1155">
        <v>1600</v>
      </c>
      <c r="AE164" s="1155">
        <v>1650</v>
      </c>
      <c r="AF164" s="1155">
        <v>1700</v>
      </c>
      <c r="AG164" s="1155">
        <v>1750</v>
      </c>
      <c r="AH164" s="1155">
        <v>1800</v>
      </c>
      <c r="AI164" s="1155">
        <v>1850</v>
      </c>
      <c r="AJ164" s="1155">
        <v>1900</v>
      </c>
      <c r="AK164" s="1155">
        <v>1950</v>
      </c>
      <c r="AL164" s="1155">
        <v>2000</v>
      </c>
      <c r="AM164" s="1155">
        <v>2050</v>
      </c>
      <c r="AN164" s="1155">
        <v>2100</v>
      </c>
      <c r="AO164" s="1155">
        <v>2150</v>
      </c>
      <c r="AP164" s="1155">
        <v>2200</v>
      </c>
      <c r="AQ164" s="1155">
        <v>2250</v>
      </c>
      <c r="AR164" s="1155">
        <v>2300</v>
      </c>
      <c r="AS164" s="1155">
        <v>2350</v>
      </c>
      <c r="AT164" s="1155">
        <v>2400</v>
      </c>
      <c r="AU164" s="1155">
        <v>2450</v>
      </c>
      <c r="AV164" s="1155">
        <v>2500</v>
      </c>
      <c r="AW164" s="1155">
        <v>2550</v>
      </c>
      <c r="AX164" s="1155">
        <v>2600</v>
      </c>
      <c r="AY164" s="1155">
        <v>2650</v>
      </c>
      <c r="AZ164" s="1155">
        <v>2700</v>
      </c>
      <c r="BA164" s="1155">
        <v>2750</v>
      </c>
      <c r="BB164" s="1155">
        <v>2800</v>
      </c>
      <c r="BC164" s="1155">
        <v>2850</v>
      </c>
      <c r="BD164" s="1155">
        <v>2900</v>
      </c>
      <c r="BE164" s="1155">
        <v>2950</v>
      </c>
      <c r="BF164" s="1156">
        <v>3000</v>
      </c>
      <c r="BL164" s="1307" t="str">
        <f t="shared" si="184"/>
        <v>..1000.</v>
      </c>
    </row>
    <row r="165" spans="1:64" s="1307" customFormat="1">
      <c r="A165" s="2278" t="s">
        <v>4588</v>
      </c>
      <c r="B165" s="2279" t="s">
        <v>5724</v>
      </c>
      <c r="C165" s="2280"/>
      <c r="D165" s="488" t="s">
        <v>4588</v>
      </c>
      <c r="E165" s="530">
        <v>90</v>
      </c>
      <c r="F165" s="530">
        <v>200</v>
      </c>
      <c r="G165" s="488" t="s">
        <v>227</v>
      </c>
      <c r="H165" s="1344">
        <f t="array" ref="H165">((H$71-$H$4)/1000)*$L$44*(($C$8/70)^$X$44)</f>
        <v>72.36</v>
      </c>
      <c r="I165" s="1345">
        <f t="array" ref="I165">((I$71-$H$4)/1000)*$L$44*(($C$8/70)^$X$44)</f>
        <v>96.48</v>
      </c>
      <c r="J165" s="1344">
        <f t="array" ref="J165">((J$71-$H$4)/1000)*$L$44*(($C$8/70)^$X$44)</f>
        <v>120.6</v>
      </c>
      <c r="K165" s="1344">
        <f t="array" ref="K165">((K$71-$H$4)/1000)*$L$44*(($C$8/70)^$X$44)</f>
        <v>144.72</v>
      </c>
      <c r="L165" s="1344">
        <f t="array" ref="L165">((L$71-$H$4)/1000)*$L$44*(($C$8/70)^$X$44)</f>
        <v>168.83999999999997</v>
      </c>
      <c r="M165" s="1344">
        <f t="array" ref="M165">((M$71-$H$4)/1000)*$L$44*(($C$8/70)^$X$44)</f>
        <v>192.96</v>
      </c>
      <c r="N165" s="1344">
        <f t="array" ref="N165">((N$71-$H$4)/1000)*$L$44*(($C$8/70)^$X$44)</f>
        <v>217.07999999999998</v>
      </c>
      <c r="O165" s="1344">
        <f t="array" ref="O165">((O$71-$H$4)/1000)*$L$44*(($C$8/70)^$X$44)</f>
        <v>241.2</v>
      </c>
      <c r="P165" s="1344">
        <f t="array" ref="P165">((P$71-$H$4)/1000)*$L$44*(($C$8/70)^$X$44)</f>
        <v>265.32</v>
      </c>
      <c r="Q165" s="1344">
        <f t="array" ref="Q165">((Q$71-$H$4)/1000)*$L$44*(($C$8/70)^$X$44)</f>
        <v>289.44</v>
      </c>
      <c r="R165" s="1344">
        <f t="array" ref="R165">((R$71-$H$4)/1000)*$L$44*(($C$8/70)^$X$44)</f>
        <v>313.56</v>
      </c>
      <c r="S165" s="1344">
        <f t="array" ref="S165">((S$71-$H$4)/1000)*$L$44*(($C$8/70)^$X$44)</f>
        <v>337.67999999999995</v>
      </c>
      <c r="T165" s="1344">
        <f t="array" ref="T165">((T$71-$H$4)/1000)*$L$44*(($C$8/70)^$X$44)</f>
        <v>361.79999999999995</v>
      </c>
      <c r="U165" s="1344">
        <f t="array" ref="U165">((U$71-$H$4)/1000)*$L$44*(($C$8/70)^$X$44)</f>
        <v>385.92</v>
      </c>
      <c r="V165" s="1344">
        <f t="array" ref="V165">((V$71-$H$4)/1000)*$L$44*(($C$8/70)^$X$44)</f>
        <v>410.03999999999996</v>
      </c>
      <c r="W165" s="1344">
        <f t="array" ref="W165">((W$71-$H$4)/1000)*$L$44*(($C$8/70)^$X$44)</f>
        <v>434.15999999999997</v>
      </c>
      <c r="X165" s="1344">
        <f t="array" ref="X165">((X$71-$H$4)/1000)*$L$44*(($C$8/70)^$X$44)</f>
        <v>458.28</v>
      </c>
      <c r="Y165" s="1344">
        <f t="array" ref="Y165">((Y$71-$H$4)/1000)*$L$44*(($C$8/70)^$X$44)</f>
        <v>482.4</v>
      </c>
      <c r="Z165" s="1344">
        <f t="array" ref="Z165">((Z$71-$H$4)/1000)*$L$44*(($C$8/70)^$X$44)</f>
        <v>506.52</v>
      </c>
      <c r="AA165" s="1344">
        <f t="array" ref="AA165">((AA$71-$H$4)/1000)*$L$44*(($C$8/70)^$X$44)</f>
        <v>530.64</v>
      </c>
      <c r="AB165" s="1344">
        <f t="array" ref="AB165">((AB$71-$H$4)/1000)*$L$44*(($C$8/70)^$X$44)</f>
        <v>554.75999999999988</v>
      </c>
      <c r="AC165" s="1344">
        <f t="array" ref="AC165">((AC$71-$H$4)/1000)*$L$44*(($C$8/70)^$X$44)</f>
        <v>578.88</v>
      </c>
      <c r="AD165" s="1344">
        <f t="array" ref="AD165">((AD$71-$H$4)/1000)*$L$44*(($C$8/70)^$X$44)</f>
        <v>603</v>
      </c>
      <c r="AE165" s="1344">
        <f t="array" ref="AE165">((AE$71-$H$4)/1000)*$L$44*(($C$8/70)^$X$44)</f>
        <v>627.12</v>
      </c>
      <c r="AF165" s="1344">
        <f t="array" ref="AF165">((AF$71-$H$4)/1000)*$L$44*(($C$8/70)^$X$44)</f>
        <v>651.24</v>
      </c>
      <c r="AG165" s="1344">
        <f t="array" ref="AG165">((AG$71-$H$4)/1000)*$L$44*(($C$8/70)^$X$44)</f>
        <v>675.3599999999999</v>
      </c>
      <c r="AH165" s="1344">
        <f t="array" ref="AH165">((AH$71-$H$4)/1000)*$L$44*(($C$8/70)^$X$44)</f>
        <v>699.4799999999999</v>
      </c>
      <c r="AI165" s="1344">
        <f t="array" ref="AI165">((AI$71-$H$4)/1000)*$L$44*(($C$8/70)^$X$44)</f>
        <v>723.59999999999991</v>
      </c>
      <c r="AJ165" s="1344">
        <f t="array" ref="AJ165">((AJ$71-$H$4)/1000)*$L$44*(($C$8/70)^$X$44)</f>
        <v>747.72</v>
      </c>
      <c r="AK165" s="1344">
        <f t="array" ref="AK165">((AK$71-$H$4)/1000)*$L$44*(($C$8/70)^$X$44)</f>
        <v>771.84</v>
      </c>
      <c r="AL165" s="1344">
        <f t="array" ref="AL165">((AL$71-$H$4)/1000)*$L$44*(($C$8/70)^$X$44)</f>
        <v>795.95999999999992</v>
      </c>
      <c r="AM165" s="1344">
        <f t="array" ref="AM165">((AM$71-$H$4)/1000)*$L$44*(($C$8/70)^$X$44)</f>
        <v>820.07999999999993</v>
      </c>
      <c r="AN165" s="1344">
        <f t="array" ref="AN165">((AN$71-$H$4)/1000)*$L$44*(($C$8/70)^$X$44)</f>
        <v>844.19999999999993</v>
      </c>
      <c r="AO165" s="1344">
        <f t="array" ref="AO165">((AO$71-$H$4)/1000)*$L$44*(($C$8/70)^$X$44)</f>
        <v>868.31999999999994</v>
      </c>
      <c r="AP165" s="1344">
        <f t="array" ref="AP165">((AP$71-$H$4)/1000)*$L$44*(($C$8/70)^$X$44)</f>
        <v>892.44</v>
      </c>
      <c r="AQ165" s="1344">
        <f t="array" ref="AQ165">((AQ$71-$H$4)/1000)*$L$44*(($C$8/70)^$X$44)</f>
        <v>916.56</v>
      </c>
      <c r="AR165" s="1344">
        <f t="array" ref="AR165">((AR$71-$H$4)/1000)*$L$44*(($C$8/70)^$X$44)</f>
        <v>940.68</v>
      </c>
      <c r="AS165" s="1344">
        <f t="array" ref="AS165">((AS$71-$H$4)/1000)*$L$44*(($C$8/70)^$X$44)</f>
        <v>964.8</v>
      </c>
      <c r="AT165" s="1344">
        <f t="array" ref="AT165">((AT$71-$H$4)/1000)*$L$44*(($C$8/70)^$X$44)</f>
        <v>988.91999999999985</v>
      </c>
      <c r="AU165" s="1344">
        <f t="array" ref="AU165">((AU$71-$H$4)/1000)*$L$44*(($C$8/70)^$X$44)</f>
        <v>1013.04</v>
      </c>
      <c r="AV165" s="1344">
        <f t="array" ref="AV165">((AV$71-$H$4)/1000)*$L$44*(($C$8/70)^$X$44)</f>
        <v>1037.1599999999999</v>
      </c>
      <c r="AW165" s="1344">
        <f t="array" ref="AW165">((AW$71-$H$4)/1000)*$L$44*(($C$8/70)^$X$44)</f>
        <v>1061.28</v>
      </c>
      <c r="AX165" s="1344">
        <f t="array" ref="AX165">((AX$71-$H$4)/1000)*$L$44*(($C$8/70)^$X$44)</f>
        <v>1085.3999999999999</v>
      </c>
      <c r="AY165" s="1344">
        <f t="array" ref="AY165">((AY$71-$H$4)/1000)*$L$44*(($C$8/70)^$X$44)</f>
        <v>1109.5199999999998</v>
      </c>
      <c r="AZ165" s="1344">
        <f t="array" ref="AZ165">((AZ$71-$H$4)/1000)*$L$44*(($C$8/70)^$X$44)</f>
        <v>1133.6400000000001</v>
      </c>
      <c r="BA165" s="1344">
        <f t="array" ref="BA165">((BA$71-$H$4)/1000)*$L$44*(($C$8/70)^$X$44)</f>
        <v>1157.76</v>
      </c>
      <c r="BB165" s="1344">
        <f t="array" ref="BB165">((BB$71-$H$4)/1000)*$L$44*(($C$8/70)^$X$44)</f>
        <v>1181.8800000000001</v>
      </c>
      <c r="BC165" s="1344">
        <f t="array" ref="BC165">((BC$71-$H$4)/1000)*$L$44*(($C$8/70)^$X$44)</f>
        <v>1206</v>
      </c>
      <c r="BD165" s="1344">
        <f t="array" ref="BD165">((BD$71-$H$4)/1000)*$L$44*(($C$8/70)^$X$44)</f>
        <v>1230.1199999999999</v>
      </c>
      <c r="BE165" s="1344">
        <f t="array" ref="BE165">((BE$71-$H$4)/1000)*$L$44*(($C$8/70)^$X$44)</f>
        <v>1254.24</v>
      </c>
      <c r="BF165" s="1120">
        <f t="array" ref="BF165">((BF$71-$H$4)/1000)*$L$44*(($C$8/70)^$X$44)</f>
        <v>1278.3599999999999</v>
      </c>
      <c r="BG165" s="1307" t="str">
        <f t="array" ref="BG165">INDEX(E165:E165&amp;"."&amp;F165:F165&amp;"."&amp;$J$71:$BF$71&amp;"."&amp;G165:G165,IFERROR(MATCH($C$10,$J165:$BF165),0))</f>
        <v>90.200.2400.2ТГ</v>
      </c>
      <c r="BL165" s="1307" t="str">
        <f t="shared" si="184"/>
        <v>90.200.2400.2ТГ</v>
      </c>
    </row>
    <row r="166" spans="1:64" s="1307" customFormat="1">
      <c r="A166" s="2278"/>
      <c r="B166" s="2281" t="s">
        <v>5725</v>
      </c>
      <c r="C166" s="2282"/>
      <c r="D166" s="489" t="s">
        <v>4588</v>
      </c>
      <c r="E166" s="531">
        <v>90</v>
      </c>
      <c r="F166" s="531">
        <v>260</v>
      </c>
      <c r="G166" s="489" t="s">
        <v>227</v>
      </c>
      <c r="H166" s="1346">
        <f t="shared" ref="H166:BF166" si="185">((H$71-$H$4)/1000)*$M$44*(($C$8/70)^$Y$44)</f>
        <v>95.903999999999982</v>
      </c>
      <c r="I166" s="1347">
        <f t="shared" si="185"/>
        <v>127.87199999999999</v>
      </c>
      <c r="J166" s="1346">
        <f t="shared" si="185"/>
        <v>159.83999999999997</v>
      </c>
      <c r="K166" s="1346">
        <f t="shared" si="185"/>
        <v>191.80799999999996</v>
      </c>
      <c r="L166" s="1346">
        <f t="shared" si="185"/>
        <v>223.77599999999995</v>
      </c>
      <c r="M166" s="1346">
        <f t="shared" si="185"/>
        <v>255.74399999999997</v>
      </c>
      <c r="N166" s="1346">
        <f t="shared" si="185"/>
        <v>287.71199999999999</v>
      </c>
      <c r="O166" s="1346">
        <f t="shared" si="185"/>
        <v>319.67999999999995</v>
      </c>
      <c r="P166" s="1346">
        <f t="shared" si="185"/>
        <v>351.64799999999997</v>
      </c>
      <c r="Q166" s="1346">
        <f t="shared" si="185"/>
        <v>383.61599999999993</v>
      </c>
      <c r="R166" s="1346">
        <f t="shared" si="185"/>
        <v>415.58399999999995</v>
      </c>
      <c r="S166" s="1346">
        <f t="shared" si="185"/>
        <v>447.55199999999991</v>
      </c>
      <c r="T166" s="1346">
        <f t="shared" si="185"/>
        <v>479.51999999999992</v>
      </c>
      <c r="U166" s="1346">
        <f t="shared" si="185"/>
        <v>511.48799999999994</v>
      </c>
      <c r="V166" s="1346">
        <f t="shared" si="185"/>
        <v>543.4559999999999</v>
      </c>
      <c r="W166" s="1346">
        <f t="shared" si="185"/>
        <v>575.42399999999998</v>
      </c>
      <c r="X166" s="1346">
        <f t="shared" si="185"/>
        <v>607.39199999999983</v>
      </c>
      <c r="Y166" s="1346">
        <f t="shared" si="185"/>
        <v>639.3599999999999</v>
      </c>
      <c r="Z166" s="1346">
        <f t="shared" si="185"/>
        <v>671.32799999999997</v>
      </c>
      <c r="AA166" s="1346">
        <f t="shared" si="185"/>
        <v>703.29599999999994</v>
      </c>
      <c r="AB166" s="1346">
        <f t="shared" si="185"/>
        <v>735.26399999999978</v>
      </c>
      <c r="AC166" s="1346">
        <f t="shared" si="185"/>
        <v>767.23199999999986</v>
      </c>
      <c r="AD166" s="1346">
        <f t="shared" si="185"/>
        <v>799.19999999999982</v>
      </c>
      <c r="AE166" s="1346">
        <f t="shared" si="185"/>
        <v>831.16799999999989</v>
      </c>
      <c r="AF166" s="1346">
        <f t="shared" si="185"/>
        <v>863.13599999999997</v>
      </c>
      <c r="AG166" s="1346">
        <f t="shared" si="185"/>
        <v>895.10399999999981</v>
      </c>
      <c r="AH166" s="1346">
        <f t="shared" si="185"/>
        <v>927.07199999999978</v>
      </c>
      <c r="AI166" s="1346">
        <f t="shared" si="185"/>
        <v>959.03999999999985</v>
      </c>
      <c r="AJ166" s="1346">
        <f t="shared" si="185"/>
        <v>991.00799999999992</v>
      </c>
      <c r="AK166" s="1346">
        <f t="shared" si="185"/>
        <v>1022.9759999999999</v>
      </c>
      <c r="AL166" s="1346">
        <f t="shared" si="185"/>
        <v>1054.9439999999997</v>
      </c>
      <c r="AM166" s="1346">
        <f t="shared" si="185"/>
        <v>1086.9119999999998</v>
      </c>
      <c r="AN166" s="1346">
        <f t="shared" si="185"/>
        <v>1118.8799999999999</v>
      </c>
      <c r="AO166" s="1346">
        <f t="shared" si="185"/>
        <v>1150.848</v>
      </c>
      <c r="AP166" s="1346">
        <f t="shared" si="185"/>
        <v>1182.8159999999998</v>
      </c>
      <c r="AQ166" s="1346">
        <f t="shared" si="185"/>
        <v>1214.7839999999997</v>
      </c>
      <c r="AR166" s="1346">
        <f t="shared" si="185"/>
        <v>1246.7519999999997</v>
      </c>
      <c r="AS166" s="1346">
        <f t="shared" si="185"/>
        <v>1278.7199999999998</v>
      </c>
      <c r="AT166" s="1346">
        <f t="shared" si="185"/>
        <v>1310.6879999999996</v>
      </c>
      <c r="AU166" s="1346">
        <f t="shared" si="185"/>
        <v>1342.6559999999999</v>
      </c>
      <c r="AV166" s="1346">
        <f t="shared" si="185"/>
        <v>1374.6239999999998</v>
      </c>
      <c r="AW166" s="1346">
        <f t="shared" si="185"/>
        <v>1406.5919999999999</v>
      </c>
      <c r="AX166" s="1346">
        <f t="shared" si="185"/>
        <v>1438.5599999999997</v>
      </c>
      <c r="AY166" s="1346">
        <f t="shared" si="185"/>
        <v>1470.5279999999996</v>
      </c>
      <c r="AZ166" s="1346">
        <f t="shared" si="185"/>
        <v>1502.4959999999999</v>
      </c>
      <c r="BA166" s="1346">
        <f t="shared" si="185"/>
        <v>1534.4639999999997</v>
      </c>
      <c r="BB166" s="1346">
        <f t="shared" si="185"/>
        <v>1566.4319999999998</v>
      </c>
      <c r="BC166" s="1346">
        <f t="shared" si="185"/>
        <v>1598.3999999999996</v>
      </c>
      <c r="BD166" s="1346">
        <f t="shared" si="185"/>
        <v>1630.3679999999997</v>
      </c>
      <c r="BE166" s="1346">
        <f t="shared" si="185"/>
        <v>1662.3359999999998</v>
      </c>
      <c r="BF166" s="1121">
        <f t="shared" si="185"/>
        <v>1694.3039999999996</v>
      </c>
      <c r="BG166" s="1307" t="str">
        <f t="array" ref="BG166">INDEX(E166:E166&amp;"."&amp;F166:F166&amp;"."&amp;$J$71:$BF$71&amp;"."&amp;G166:G166,IFERROR(MATCH($C$10,$J166:$BF166),0))</f>
        <v>90.260.1900.2ТГ</v>
      </c>
      <c r="BL166" s="1307" t="str">
        <f t="shared" si="184"/>
        <v>90.260.1900.2ТГ</v>
      </c>
    </row>
    <row r="167" spans="1:64" s="1307" customFormat="1">
      <c r="A167" s="2278"/>
      <c r="B167" s="2281" t="s">
        <v>5726</v>
      </c>
      <c r="C167" s="2282"/>
      <c r="D167" s="489" t="s">
        <v>4588</v>
      </c>
      <c r="E167" s="531">
        <v>90</v>
      </c>
      <c r="F167" s="531">
        <v>300</v>
      </c>
      <c r="G167" s="489" t="s">
        <v>227</v>
      </c>
      <c r="H167" s="1346">
        <f t="shared" ref="H167:BF167" si="186">((H$71-$H$4)/1000)*$N$44*(($C$8/70)^$Z$44)</f>
        <v>107.72105975135999</v>
      </c>
      <c r="I167" s="1347">
        <f t="shared" si="186"/>
        <v>143.62807966848001</v>
      </c>
      <c r="J167" s="1346">
        <f t="shared" si="186"/>
        <v>179.53509958559999</v>
      </c>
      <c r="K167" s="1346">
        <f t="shared" si="186"/>
        <v>215.44211950271998</v>
      </c>
      <c r="L167" s="1346">
        <f t="shared" si="186"/>
        <v>251.34913941983999</v>
      </c>
      <c r="M167" s="1346">
        <f t="shared" si="186"/>
        <v>287.25615933696002</v>
      </c>
      <c r="N167" s="1346">
        <f t="shared" si="186"/>
        <v>323.16317925407998</v>
      </c>
      <c r="O167" s="1346">
        <f t="shared" si="186"/>
        <v>359.07019917119999</v>
      </c>
      <c r="P167" s="1346">
        <f t="shared" si="186"/>
        <v>394.97721908832</v>
      </c>
      <c r="Q167" s="1346">
        <f t="shared" si="186"/>
        <v>430.88423900543995</v>
      </c>
      <c r="R167" s="1346">
        <f t="shared" si="186"/>
        <v>466.79125892256002</v>
      </c>
      <c r="S167" s="1346">
        <f t="shared" si="186"/>
        <v>502.69827883967997</v>
      </c>
      <c r="T167" s="1346">
        <f t="shared" si="186"/>
        <v>538.60529875680004</v>
      </c>
      <c r="U167" s="1346">
        <f t="shared" si="186"/>
        <v>574.51231867392005</v>
      </c>
      <c r="V167" s="1346">
        <f t="shared" si="186"/>
        <v>610.41933859103995</v>
      </c>
      <c r="W167" s="1346">
        <f t="shared" si="186"/>
        <v>646.32635850815996</v>
      </c>
      <c r="X167" s="1346">
        <f t="shared" si="186"/>
        <v>682.23337842527997</v>
      </c>
      <c r="Y167" s="1346">
        <f t="shared" si="186"/>
        <v>718.14039834239998</v>
      </c>
      <c r="Z167" s="1346">
        <f t="shared" si="186"/>
        <v>754.04741825951999</v>
      </c>
      <c r="AA167" s="1346">
        <f t="shared" si="186"/>
        <v>789.95443817664</v>
      </c>
      <c r="AB167" s="1346">
        <f t="shared" si="186"/>
        <v>825.86145809375989</v>
      </c>
      <c r="AC167" s="1346">
        <f t="shared" si="186"/>
        <v>861.7684780108799</v>
      </c>
      <c r="AD167" s="1346">
        <f t="shared" si="186"/>
        <v>897.67549792799991</v>
      </c>
      <c r="AE167" s="1346">
        <f t="shared" si="186"/>
        <v>933.58251784512004</v>
      </c>
      <c r="AF167" s="1346">
        <f t="shared" si="186"/>
        <v>969.48953776224005</v>
      </c>
      <c r="AG167" s="1346">
        <f t="shared" si="186"/>
        <v>1005.3965576793599</v>
      </c>
      <c r="AH167" s="1346">
        <f t="shared" si="186"/>
        <v>1041.30357759648</v>
      </c>
      <c r="AI167" s="1346">
        <f t="shared" si="186"/>
        <v>1077.2105975136001</v>
      </c>
      <c r="AJ167" s="1346">
        <f t="shared" si="186"/>
        <v>1113.11761743072</v>
      </c>
      <c r="AK167" s="1346">
        <f t="shared" si="186"/>
        <v>1149.0246373478401</v>
      </c>
      <c r="AL167" s="1346">
        <f t="shared" si="186"/>
        <v>1184.93165726496</v>
      </c>
      <c r="AM167" s="1346">
        <f t="shared" si="186"/>
        <v>1220.8386771820799</v>
      </c>
      <c r="AN167" s="1346">
        <f t="shared" si="186"/>
        <v>1256.7456970992</v>
      </c>
      <c r="AO167" s="1346">
        <f t="shared" si="186"/>
        <v>1292.6527170163199</v>
      </c>
      <c r="AP167" s="1346">
        <f t="shared" si="186"/>
        <v>1328.55973693344</v>
      </c>
      <c r="AQ167" s="1346">
        <f t="shared" si="186"/>
        <v>1364.4667568505599</v>
      </c>
      <c r="AR167" s="1346">
        <f t="shared" si="186"/>
        <v>1400.3737767676798</v>
      </c>
      <c r="AS167" s="1346">
        <f t="shared" si="186"/>
        <v>1436.2807966848</v>
      </c>
      <c r="AT167" s="1346">
        <f t="shared" si="186"/>
        <v>1472.1878166019198</v>
      </c>
      <c r="AU167" s="1346">
        <f t="shared" si="186"/>
        <v>1508.09483651904</v>
      </c>
      <c r="AV167" s="1346">
        <f t="shared" si="186"/>
        <v>1544.0018564361599</v>
      </c>
      <c r="AW167" s="1346">
        <f t="shared" si="186"/>
        <v>1579.90887635328</v>
      </c>
      <c r="AX167" s="1346">
        <f t="shared" si="186"/>
        <v>1615.8158962703999</v>
      </c>
      <c r="AY167" s="1346">
        <f t="shared" si="186"/>
        <v>1651.7229161875198</v>
      </c>
      <c r="AZ167" s="1346">
        <f t="shared" si="186"/>
        <v>1687.6299361046399</v>
      </c>
      <c r="BA167" s="1346">
        <f t="shared" si="186"/>
        <v>1723.5369560217598</v>
      </c>
      <c r="BB167" s="1346">
        <f t="shared" si="186"/>
        <v>1759.4439759388802</v>
      </c>
      <c r="BC167" s="1346">
        <f t="shared" si="186"/>
        <v>1795.3509958559998</v>
      </c>
      <c r="BD167" s="1346">
        <f t="shared" si="186"/>
        <v>1831.2580157731197</v>
      </c>
      <c r="BE167" s="1346">
        <f t="shared" si="186"/>
        <v>1867.1650356902401</v>
      </c>
      <c r="BF167" s="1121">
        <f t="shared" si="186"/>
        <v>1903.07205560736</v>
      </c>
      <c r="BG167" s="1307" t="str">
        <f t="array" ref="BG167">INDEX(E167:E167&amp;"."&amp;F167:F167&amp;"."&amp;$J$71:$BF$71&amp;"."&amp;G167:G167,IFERROR(MATCH($C$10,$J167:$BF167),0))</f>
        <v>90.300.1700.2ТГ</v>
      </c>
      <c r="BL167" s="1307" t="str">
        <f t="shared" si="184"/>
        <v>90.300.1700.2ТГ</v>
      </c>
    </row>
    <row r="168" spans="1:64" s="1307" customFormat="1">
      <c r="A168" s="2278"/>
      <c r="B168" s="2281" t="s">
        <v>5727</v>
      </c>
      <c r="C168" s="2282"/>
      <c r="D168" s="489" t="s">
        <v>4588</v>
      </c>
      <c r="E168" s="531">
        <v>90</v>
      </c>
      <c r="F168" s="531">
        <v>360</v>
      </c>
      <c r="G168" s="489" t="s">
        <v>227</v>
      </c>
      <c r="H168" s="1346">
        <f t="shared" ref="H168:BF168" si="187">((H$71-$H$4)/1000)*$P$44*(($C$8/70)^$AB$44)</f>
        <v>125.76891599999999</v>
      </c>
      <c r="I168" s="1347">
        <f t="shared" si="187"/>
        <v>167.69188800000001</v>
      </c>
      <c r="J168" s="1346">
        <f t="shared" si="187"/>
        <v>209.61485999999999</v>
      </c>
      <c r="K168" s="1346">
        <f t="shared" si="187"/>
        <v>251.53783199999998</v>
      </c>
      <c r="L168" s="1346">
        <f t="shared" si="187"/>
        <v>293.460804</v>
      </c>
      <c r="M168" s="1346">
        <f t="shared" si="187"/>
        <v>335.38377600000001</v>
      </c>
      <c r="N168" s="1346">
        <f t="shared" si="187"/>
        <v>377.30674799999997</v>
      </c>
      <c r="O168" s="1346">
        <f t="shared" si="187"/>
        <v>419.22971999999999</v>
      </c>
      <c r="P168" s="1346">
        <f t="shared" si="187"/>
        <v>461.152692</v>
      </c>
      <c r="Q168" s="1346">
        <f t="shared" si="187"/>
        <v>503.07566399999996</v>
      </c>
      <c r="R168" s="1346">
        <f t="shared" si="187"/>
        <v>544.99863600000003</v>
      </c>
      <c r="S168" s="1346">
        <f t="shared" si="187"/>
        <v>586.92160799999999</v>
      </c>
      <c r="T168" s="1346">
        <f t="shared" si="187"/>
        <v>628.84457999999995</v>
      </c>
      <c r="U168" s="1346">
        <f t="shared" si="187"/>
        <v>670.76755200000002</v>
      </c>
      <c r="V168" s="1346">
        <f t="shared" si="187"/>
        <v>712.69052399999998</v>
      </c>
      <c r="W168" s="1346">
        <f t="shared" si="187"/>
        <v>754.61349599999994</v>
      </c>
      <c r="X168" s="1346">
        <f t="shared" si="187"/>
        <v>796.5364679999999</v>
      </c>
      <c r="Y168" s="1346">
        <f t="shared" si="187"/>
        <v>838.45943999999997</v>
      </c>
      <c r="Z168" s="1346">
        <f t="shared" si="187"/>
        <v>880.38241200000004</v>
      </c>
      <c r="AA168" s="1346">
        <f t="shared" si="187"/>
        <v>922.305384</v>
      </c>
      <c r="AB168" s="1346">
        <f t="shared" si="187"/>
        <v>964.22835599999985</v>
      </c>
      <c r="AC168" s="1346">
        <f t="shared" si="187"/>
        <v>1006.1513279999999</v>
      </c>
      <c r="AD168" s="1346">
        <f t="shared" si="187"/>
        <v>1048.0743</v>
      </c>
      <c r="AE168" s="1346">
        <f t="shared" si="187"/>
        <v>1089.9972720000001</v>
      </c>
      <c r="AF168" s="1346">
        <f t="shared" si="187"/>
        <v>1131.9202440000001</v>
      </c>
      <c r="AG168" s="1346">
        <f t="shared" si="187"/>
        <v>1173.843216</v>
      </c>
      <c r="AH168" s="1346">
        <f t="shared" si="187"/>
        <v>1215.7661879999998</v>
      </c>
      <c r="AI168" s="1346">
        <f t="shared" si="187"/>
        <v>1257.6891599999999</v>
      </c>
      <c r="AJ168" s="1346">
        <f t="shared" si="187"/>
        <v>1299.612132</v>
      </c>
      <c r="AK168" s="1346">
        <f t="shared" si="187"/>
        <v>1341.535104</v>
      </c>
      <c r="AL168" s="1346">
        <f t="shared" si="187"/>
        <v>1383.4580759999999</v>
      </c>
      <c r="AM168" s="1346">
        <f t="shared" si="187"/>
        <v>1425.381048</v>
      </c>
      <c r="AN168" s="1346">
        <f t="shared" si="187"/>
        <v>1467.30402</v>
      </c>
      <c r="AO168" s="1346">
        <f t="shared" si="187"/>
        <v>1509.2269919999999</v>
      </c>
      <c r="AP168" s="1346">
        <f t="shared" si="187"/>
        <v>1551.149964</v>
      </c>
      <c r="AQ168" s="1346">
        <f t="shared" si="187"/>
        <v>1593.0729359999998</v>
      </c>
      <c r="AR168" s="1346">
        <f t="shared" si="187"/>
        <v>1634.9959079999999</v>
      </c>
      <c r="AS168" s="1346">
        <f t="shared" si="187"/>
        <v>1676.9188799999999</v>
      </c>
      <c r="AT168" s="1346">
        <f t="shared" si="187"/>
        <v>1718.8418519999998</v>
      </c>
      <c r="AU168" s="1346">
        <f t="shared" si="187"/>
        <v>1760.7648240000001</v>
      </c>
      <c r="AV168" s="1346">
        <f t="shared" si="187"/>
        <v>1802.6877959999999</v>
      </c>
      <c r="AW168" s="1346">
        <f t="shared" si="187"/>
        <v>1844.610768</v>
      </c>
      <c r="AX168" s="1346">
        <f t="shared" si="187"/>
        <v>1886.5337399999999</v>
      </c>
      <c r="AY168" s="1346">
        <f t="shared" si="187"/>
        <v>1928.4567119999997</v>
      </c>
      <c r="AZ168" s="1346">
        <f t="shared" si="187"/>
        <v>1970.379684</v>
      </c>
      <c r="BA168" s="1346">
        <f t="shared" si="187"/>
        <v>2012.3026559999998</v>
      </c>
      <c r="BB168" s="1346">
        <f t="shared" si="187"/>
        <v>2054.2256280000001</v>
      </c>
      <c r="BC168" s="1346">
        <f t="shared" si="187"/>
        <v>2096.1486</v>
      </c>
      <c r="BD168" s="1346">
        <f t="shared" si="187"/>
        <v>2138.0715719999998</v>
      </c>
      <c r="BE168" s="1346">
        <f t="shared" si="187"/>
        <v>2179.9945440000001</v>
      </c>
      <c r="BF168" s="1121">
        <f t="shared" si="187"/>
        <v>2221.917516</v>
      </c>
      <c r="BG168" s="1307" t="str">
        <f t="array" ref="BG168">INDEX(E168:E168&amp;"."&amp;F168:F168&amp;"."&amp;$J$71:$BF$71&amp;"."&amp;G168:G168,IFERROR(MATCH($C$10,$J168:$BF168),0))</f>
        <v>90.360.1500.2ТГ</v>
      </c>
      <c r="BL168" s="1307" t="str">
        <f t="shared" si="184"/>
        <v>90.360.1500.2ТГ</v>
      </c>
    </row>
    <row r="169" spans="1:64" s="1307" customFormat="1">
      <c r="A169" s="2278"/>
      <c r="B169" s="2281" t="s">
        <v>5728</v>
      </c>
      <c r="C169" s="2282"/>
      <c r="D169" s="489" t="s">
        <v>4588</v>
      </c>
      <c r="E169" s="531">
        <v>90</v>
      </c>
      <c r="F169" s="531">
        <v>360</v>
      </c>
      <c r="G169" s="489" t="s">
        <v>232</v>
      </c>
      <c r="H169" s="1346">
        <f t="shared" ref="H169:BF169" si="188">((H$71-$H$4)/1000)*$Q$44*(($C$8/70)^$AC$44)</f>
        <v>138.20759999999999</v>
      </c>
      <c r="I169" s="1347">
        <f t="shared" si="188"/>
        <v>184.27679999999998</v>
      </c>
      <c r="J169" s="1346">
        <f t="shared" si="188"/>
        <v>230.34599999999998</v>
      </c>
      <c r="K169" s="1346">
        <f t="shared" si="188"/>
        <v>276.41519999999997</v>
      </c>
      <c r="L169" s="1346">
        <f t="shared" si="188"/>
        <v>322.48439999999994</v>
      </c>
      <c r="M169" s="1346">
        <f t="shared" si="188"/>
        <v>368.55359999999996</v>
      </c>
      <c r="N169" s="1346">
        <f t="shared" si="188"/>
        <v>414.62279999999998</v>
      </c>
      <c r="O169" s="1346">
        <f t="shared" si="188"/>
        <v>460.69199999999995</v>
      </c>
      <c r="P169" s="1346">
        <f t="shared" si="188"/>
        <v>506.76119999999997</v>
      </c>
      <c r="Q169" s="1346">
        <f t="shared" si="188"/>
        <v>552.83039999999994</v>
      </c>
      <c r="R169" s="1346">
        <f t="shared" si="188"/>
        <v>598.89959999999996</v>
      </c>
      <c r="S169" s="1346">
        <f t="shared" si="188"/>
        <v>644.96879999999987</v>
      </c>
      <c r="T169" s="1346">
        <f t="shared" si="188"/>
        <v>691.0379999999999</v>
      </c>
      <c r="U169" s="1346">
        <f t="shared" si="188"/>
        <v>737.10719999999992</v>
      </c>
      <c r="V169" s="1346">
        <f t="shared" si="188"/>
        <v>783.17639999999994</v>
      </c>
      <c r="W169" s="1346">
        <f t="shared" si="188"/>
        <v>829.24559999999997</v>
      </c>
      <c r="X169" s="1346">
        <f t="shared" si="188"/>
        <v>875.31479999999988</v>
      </c>
      <c r="Y169" s="1346">
        <f t="shared" si="188"/>
        <v>921.3839999999999</v>
      </c>
      <c r="Z169" s="1346">
        <f t="shared" si="188"/>
        <v>967.45319999999992</v>
      </c>
      <c r="AA169" s="1346">
        <f t="shared" si="188"/>
        <v>1013.5223999999999</v>
      </c>
      <c r="AB169" s="1346">
        <f t="shared" si="188"/>
        <v>1059.5915999999997</v>
      </c>
      <c r="AC169" s="1346">
        <f t="shared" si="188"/>
        <v>1105.6607999999999</v>
      </c>
      <c r="AD169" s="1346">
        <f t="shared" si="188"/>
        <v>1151.7299999999998</v>
      </c>
      <c r="AE169" s="1346">
        <f t="shared" si="188"/>
        <v>1197.7991999999999</v>
      </c>
      <c r="AF169" s="1346">
        <f t="shared" si="188"/>
        <v>1243.8683999999998</v>
      </c>
      <c r="AG169" s="1346">
        <f t="shared" si="188"/>
        <v>1289.9375999999997</v>
      </c>
      <c r="AH169" s="1346">
        <f t="shared" si="188"/>
        <v>1336.0067999999999</v>
      </c>
      <c r="AI169" s="1346">
        <f t="shared" si="188"/>
        <v>1382.0759999999998</v>
      </c>
      <c r="AJ169" s="1346">
        <f t="shared" si="188"/>
        <v>1428.1451999999999</v>
      </c>
      <c r="AK169" s="1346">
        <f t="shared" si="188"/>
        <v>1474.2143999999998</v>
      </c>
      <c r="AL169" s="1346">
        <f t="shared" si="188"/>
        <v>1520.2835999999998</v>
      </c>
      <c r="AM169" s="1346">
        <f t="shared" si="188"/>
        <v>1566.3527999999999</v>
      </c>
      <c r="AN169" s="1346">
        <f t="shared" si="188"/>
        <v>1612.4219999999998</v>
      </c>
      <c r="AO169" s="1346">
        <f t="shared" si="188"/>
        <v>1658.4911999999999</v>
      </c>
      <c r="AP169" s="1346">
        <f t="shared" si="188"/>
        <v>1704.5603999999998</v>
      </c>
      <c r="AQ169" s="1346">
        <f t="shared" si="188"/>
        <v>1750.6295999999998</v>
      </c>
      <c r="AR169" s="1346">
        <f t="shared" si="188"/>
        <v>1796.6987999999997</v>
      </c>
      <c r="AS169" s="1346">
        <f t="shared" si="188"/>
        <v>1842.7679999999998</v>
      </c>
      <c r="AT169" s="1346">
        <f t="shared" si="188"/>
        <v>1888.8371999999997</v>
      </c>
      <c r="AU169" s="1346">
        <f t="shared" si="188"/>
        <v>1934.9063999999998</v>
      </c>
      <c r="AV169" s="1346">
        <f t="shared" si="188"/>
        <v>1980.9755999999998</v>
      </c>
      <c r="AW169" s="1346">
        <f t="shared" si="188"/>
        <v>2027.0447999999999</v>
      </c>
      <c r="AX169" s="1346">
        <f t="shared" si="188"/>
        <v>2073.1139999999996</v>
      </c>
      <c r="AY169" s="1346">
        <f t="shared" si="188"/>
        <v>2119.1831999999995</v>
      </c>
      <c r="AZ169" s="1346">
        <f t="shared" si="188"/>
        <v>2165.2523999999999</v>
      </c>
      <c r="BA169" s="1346">
        <f t="shared" si="188"/>
        <v>2211.3215999999998</v>
      </c>
      <c r="BB169" s="1346">
        <f t="shared" si="188"/>
        <v>2257.3908000000001</v>
      </c>
      <c r="BC169" s="1346">
        <f t="shared" si="188"/>
        <v>2303.4599999999996</v>
      </c>
      <c r="BD169" s="1346">
        <f t="shared" si="188"/>
        <v>2349.5291999999995</v>
      </c>
      <c r="BE169" s="1346">
        <f t="shared" si="188"/>
        <v>2395.5983999999999</v>
      </c>
      <c r="BF169" s="1121">
        <f t="shared" si="188"/>
        <v>2441.6675999999998</v>
      </c>
      <c r="BG169" s="1307" t="str">
        <f t="array" ref="BG169">INDEX(E169:E169&amp;"."&amp;F169:F169&amp;"."&amp;$J$71:$BF$71&amp;"."&amp;G169:G169,IFERROR(MATCH($C$10,$J169:$BF169),0))</f>
        <v>90.360.1400.4ТГ</v>
      </c>
      <c r="BL169" s="1307" t="str">
        <f t="shared" si="184"/>
        <v>90.360.1400.4ТГ</v>
      </c>
    </row>
    <row r="170" spans="1:64" s="1307" customFormat="1" ht="15.75" thickBot="1">
      <c r="A170" s="2278"/>
      <c r="B170" s="2283" t="s">
        <v>5729</v>
      </c>
      <c r="C170" s="2284"/>
      <c r="D170" s="490" t="s">
        <v>4588</v>
      </c>
      <c r="E170" s="532">
        <v>90</v>
      </c>
      <c r="F170" s="532">
        <v>400</v>
      </c>
      <c r="G170" s="490" t="s">
        <v>232</v>
      </c>
      <c r="H170" s="1348">
        <f t="array" ref="H170">((H$71-$H$4)/1000)*$R$44*(($C$8/70)^$AD$44)</f>
        <v>146.33973663119997</v>
      </c>
      <c r="I170" s="1349">
        <f t="array" ref="I170">((I$71-$H$4)/1000)*$R$44*(($C$8/70)^$AD$44)</f>
        <v>195.1196488416</v>
      </c>
      <c r="J170" s="1348">
        <f t="array" ref="J170">((J$71-$H$4)/1000)*$R$44*(($C$8/70)^$AD$44)</f>
        <v>243.89956105199997</v>
      </c>
      <c r="K170" s="1348">
        <f t="array" ref="K170">((K$71-$H$4)/1000)*$R$44*(($C$8/70)^$AD$44)</f>
        <v>292.67947326239994</v>
      </c>
      <c r="L170" s="1348">
        <f t="array" ref="L170">((L$71-$H$4)/1000)*$R$44*(($C$8/70)^$AD$44)</f>
        <v>341.45938547279991</v>
      </c>
      <c r="M170" s="1348">
        <f t="array" ref="M170">((M$71-$H$4)/1000)*$R$44*(($C$8/70)^$AD$44)</f>
        <v>390.23929768319999</v>
      </c>
      <c r="N170" s="1348">
        <f t="array" ref="N170">((N$71-$H$4)/1000)*$R$44*(($C$8/70)^$AD$44)</f>
        <v>439.01920989359996</v>
      </c>
      <c r="O170" s="1348">
        <f t="array" ref="O170">((O$71-$H$4)/1000)*$R$44*(($C$8/70)^$AD$44)</f>
        <v>487.79912210399993</v>
      </c>
      <c r="P170" s="1348">
        <f t="array" ref="P170">((P$71-$H$4)/1000)*$R$44*(($C$8/70)^$AD$44)</f>
        <v>536.57903431440002</v>
      </c>
      <c r="Q170" s="1348">
        <f t="array" ref="Q170">((Q$71-$H$4)/1000)*$R$44*(($C$8/70)^$AD$44)</f>
        <v>585.35894652479988</v>
      </c>
      <c r="R170" s="1348">
        <f t="array" ref="R170">((R$71-$H$4)/1000)*$R$44*(($C$8/70)^$AD$44)</f>
        <v>634.13885873519996</v>
      </c>
      <c r="S170" s="1348">
        <f t="array" ref="S170">((S$71-$H$4)/1000)*$R$44*(($C$8/70)^$AD$44)</f>
        <v>682.91877094559982</v>
      </c>
      <c r="T170" s="1348">
        <f t="array" ref="T170">((T$71-$H$4)/1000)*$R$44*(($C$8/70)^$AD$44)</f>
        <v>731.6986831559999</v>
      </c>
      <c r="U170" s="1348">
        <f t="array" ref="U170">((U$71-$H$4)/1000)*$R$44*(($C$8/70)^$AD$44)</f>
        <v>780.47859536639999</v>
      </c>
      <c r="V170" s="1348">
        <f t="array" ref="V170">((V$71-$H$4)/1000)*$R$44*(($C$8/70)^$AD$44)</f>
        <v>829.25850757679984</v>
      </c>
      <c r="W170" s="1348">
        <f t="array" ref="W170">((W$71-$H$4)/1000)*$R$44*(($C$8/70)^$AD$44)</f>
        <v>878.03841978719993</v>
      </c>
      <c r="X170" s="1348">
        <f t="array" ref="X170">((X$71-$H$4)/1000)*$R$44*(($C$8/70)^$AD$44)</f>
        <v>926.81833199759978</v>
      </c>
      <c r="Y170" s="1348">
        <f t="array" ref="Y170">((Y$71-$H$4)/1000)*$R$44*(($C$8/70)^$AD$44)</f>
        <v>975.59824420799987</v>
      </c>
      <c r="Z170" s="1348">
        <f t="array" ref="Z170">((Z$71-$H$4)/1000)*$R$44*(($C$8/70)^$AD$44)</f>
        <v>1024.3781564183998</v>
      </c>
      <c r="AA170" s="1348">
        <f t="array" ref="AA170">((AA$71-$H$4)/1000)*$R$44*(($C$8/70)^$AD$44)</f>
        <v>1073.1580686288</v>
      </c>
      <c r="AB170" s="1348">
        <f t="array" ref="AB170">((AB$71-$H$4)/1000)*$R$44*(($C$8/70)^$AD$44)</f>
        <v>1121.9379808391998</v>
      </c>
      <c r="AC170" s="1348">
        <f t="array" ref="AC170">((AC$71-$H$4)/1000)*$R$44*(($C$8/70)^$AD$44)</f>
        <v>1170.7178930495998</v>
      </c>
      <c r="AD170" s="1348">
        <f t="array" ref="AD170">((AD$71-$H$4)/1000)*$R$44*(($C$8/70)^$AD$44)</f>
        <v>1219.49780526</v>
      </c>
      <c r="AE170" s="1348">
        <f t="array" ref="AE170">((AE$71-$H$4)/1000)*$R$44*(($C$8/70)^$AD$44)</f>
        <v>1268.2777174703999</v>
      </c>
      <c r="AF170" s="1348">
        <f t="array" ref="AF170">((AF$71-$H$4)/1000)*$R$44*(($C$8/70)^$AD$44)</f>
        <v>1317.0576296807999</v>
      </c>
      <c r="AG170" s="1348">
        <f t="array" ref="AG170">((AG$71-$H$4)/1000)*$R$44*(($C$8/70)^$AD$44)</f>
        <v>1365.8375418911996</v>
      </c>
      <c r="AH170" s="1348">
        <f t="array" ref="AH170">((AH$71-$H$4)/1000)*$R$44*(($C$8/70)^$AD$44)</f>
        <v>1414.6174541015998</v>
      </c>
      <c r="AI170" s="1348">
        <f t="array" ref="AI170">((AI$71-$H$4)/1000)*$R$44*(($C$8/70)^$AD$44)</f>
        <v>1463.3973663119998</v>
      </c>
      <c r="AJ170" s="1348">
        <f t="array" ref="AJ170">((AJ$71-$H$4)/1000)*$R$44*(($C$8/70)^$AD$44)</f>
        <v>1512.1772785223998</v>
      </c>
      <c r="AK170" s="1348">
        <f t="array" ref="AK170">((AK$71-$H$4)/1000)*$R$44*(($C$8/70)^$AD$44)</f>
        <v>1560.9571907328</v>
      </c>
      <c r="AL170" s="1348">
        <f t="array" ref="AL170">((AL$71-$H$4)/1000)*$R$44*(($C$8/70)^$AD$44)</f>
        <v>1609.7371029431997</v>
      </c>
      <c r="AM170" s="1348">
        <f t="array" ref="AM170">((AM$71-$H$4)/1000)*$R$44*(($C$8/70)^$AD$44)</f>
        <v>1658.5170151535997</v>
      </c>
      <c r="AN170" s="1348">
        <f t="array" ref="AN170">((AN$71-$H$4)/1000)*$R$44*(($C$8/70)^$AD$44)</f>
        <v>1707.2969273639997</v>
      </c>
      <c r="AO170" s="1348">
        <f t="array" ref="AO170">((AO$71-$H$4)/1000)*$R$44*(($C$8/70)^$AD$44)</f>
        <v>1756.0768395743999</v>
      </c>
      <c r="AP170" s="1348">
        <f t="array" ref="AP170">((AP$71-$H$4)/1000)*$R$44*(($C$8/70)^$AD$44)</f>
        <v>1804.8567517847998</v>
      </c>
      <c r="AQ170" s="1348">
        <f t="array" ref="AQ170">((AQ$71-$H$4)/1000)*$R$44*(($C$8/70)^$AD$44)</f>
        <v>1853.6366639951996</v>
      </c>
      <c r="AR170" s="1348">
        <f t="array" ref="AR170">((AR$71-$H$4)/1000)*$R$44*(($C$8/70)^$AD$44)</f>
        <v>1902.4165762055998</v>
      </c>
      <c r="AS170" s="1348">
        <f t="array" ref="AS170">((AS$71-$H$4)/1000)*$R$44*(($C$8/70)^$AD$44)</f>
        <v>1951.1964884159997</v>
      </c>
      <c r="AT170" s="1348">
        <f t="array" ref="AT170">((AT$71-$H$4)/1000)*$R$44*(($C$8/70)^$AD$44)</f>
        <v>1999.9764006263995</v>
      </c>
      <c r="AU170" s="1348">
        <f t="array" ref="AU170">((AU$71-$H$4)/1000)*$R$44*(($C$8/70)^$AD$44)</f>
        <v>2048.7563128367997</v>
      </c>
      <c r="AV170" s="1348">
        <f t="array" ref="AV170">((AV$71-$H$4)/1000)*$R$44*(($C$8/70)^$AD$44)</f>
        <v>2097.5362250471994</v>
      </c>
      <c r="AW170" s="1348">
        <f t="array" ref="AW170">((AW$71-$H$4)/1000)*$R$44*(($C$8/70)^$AD$44)</f>
        <v>2146.3161372576001</v>
      </c>
      <c r="AX170" s="1348">
        <f t="array" ref="AX170">((AX$71-$H$4)/1000)*$R$44*(($C$8/70)^$AD$44)</f>
        <v>2195.0960494679998</v>
      </c>
      <c r="AY170" s="1348">
        <f t="array" ref="AY170">((AY$71-$H$4)/1000)*$R$44*(($C$8/70)^$AD$44)</f>
        <v>2243.8759616783996</v>
      </c>
      <c r="AZ170" s="1348">
        <f t="array" ref="AZ170">((AZ$71-$H$4)/1000)*$R$44*(($C$8/70)^$AD$44)</f>
        <v>2292.6558738887998</v>
      </c>
      <c r="BA170" s="1348">
        <f t="array" ref="BA170">((BA$71-$H$4)/1000)*$R$44*(($C$8/70)^$AD$44)</f>
        <v>2341.4357860991995</v>
      </c>
      <c r="BB170" s="1348">
        <f t="array" ref="BB170">((BB$71-$H$4)/1000)*$R$44*(($C$8/70)^$AD$44)</f>
        <v>2390.2156983095997</v>
      </c>
      <c r="BC170" s="1348">
        <f t="array" ref="BC170">((BC$71-$H$4)/1000)*$R$44*(($C$8/70)^$AD$44)</f>
        <v>2438.9956105199999</v>
      </c>
      <c r="BD170" s="1348">
        <f t="array" ref="BD170">((BD$71-$H$4)/1000)*$R$44*(($C$8/70)^$AD$44)</f>
        <v>2487.7755227303996</v>
      </c>
      <c r="BE170" s="1348">
        <f t="array" ref="BE170">((BE$71-$H$4)/1000)*$R$44*(($C$8/70)^$AD$44)</f>
        <v>2536.5554349407998</v>
      </c>
      <c r="BF170" s="1122">
        <f t="array" ref="BF170">((BF$71-$H$4)/1000)*$R$44*(($C$8/70)^$AD$44)</f>
        <v>2585.3353471511996</v>
      </c>
      <c r="BG170" s="1307" t="str">
        <f t="array" ref="BG170">INDEX(E170:E170&amp;"."&amp;F170:F170&amp;"."&amp;$J$71:$BF$71&amp;"."&amp;G170:G170,IFERROR(MATCH($C$10,$J170:$BF170),0))</f>
        <v>90.400.1350.4ТГ</v>
      </c>
      <c r="BL170" s="1307" t="str">
        <f t="shared" si="184"/>
        <v>90.400.1350.4ТГ</v>
      </c>
    </row>
    <row r="171" spans="1:64" s="1307" customFormat="1">
      <c r="A171" s="2278"/>
      <c r="B171" s="2285" t="s">
        <v>5730</v>
      </c>
      <c r="C171" s="2286"/>
      <c r="D171" s="1350" t="s">
        <v>4588</v>
      </c>
      <c r="E171" s="1351">
        <v>110</v>
      </c>
      <c r="F171" s="1351">
        <v>200</v>
      </c>
      <c r="G171" s="1350" t="s">
        <v>227</v>
      </c>
      <c r="H171" s="1352">
        <f t="shared" ref="H171:BF171" si="189">((H$71-$H$4)/1000)*$L$45*(($C$8/70)^$X$45)</f>
        <v>90.745804785599987</v>
      </c>
      <c r="I171" s="1353">
        <f t="shared" si="189"/>
        <v>120.99440638079999</v>
      </c>
      <c r="J171" s="1352">
        <f t="shared" si="189"/>
        <v>151.24300797599997</v>
      </c>
      <c r="K171" s="1352">
        <f t="shared" si="189"/>
        <v>181.49160957119997</v>
      </c>
      <c r="L171" s="1352">
        <f t="shared" si="189"/>
        <v>211.74021116639994</v>
      </c>
      <c r="M171" s="1352">
        <f t="shared" si="189"/>
        <v>241.98881276159997</v>
      </c>
      <c r="N171" s="1352">
        <f t="shared" si="189"/>
        <v>272.23741435679995</v>
      </c>
      <c r="O171" s="1352">
        <f t="shared" si="189"/>
        <v>302.48601595199995</v>
      </c>
      <c r="P171" s="1352">
        <f t="shared" si="189"/>
        <v>332.73461754719995</v>
      </c>
      <c r="Q171" s="1352">
        <f t="shared" si="189"/>
        <v>362.98321914239995</v>
      </c>
      <c r="R171" s="1352">
        <f t="shared" si="189"/>
        <v>393.23182073759995</v>
      </c>
      <c r="S171" s="1352">
        <f t="shared" si="189"/>
        <v>423.48042233279989</v>
      </c>
      <c r="T171" s="1352">
        <f t="shared" si="189"/>
        <v>453.72902392799995</v>
      </c>
      <c r="U171" s="1352">
        <f t="shared" si="189"/>
        <v>483.97762552319995</v>
      </c>
      <c r="V171" s="1352">
        <f t="shared" si="189"/>
        <v>514.22622711839995</v>
      </c>
      <c r="W171" s="1352">
        <f t="shared" si="189"/>
        <v>544.47482871359989</v>
      </c>
      <c r="X171" s="1352">
        <f t="shared" si="189"/>
        <v>574.72343030879983</v>
      </c>
      <c r="Y171" s="1352">
        <f t="shared" si="189"/>
        <v>604.97203190399989</v>
      </c>
      <c r="Z171" s="1352">
        <f t="shared" si="189"/>
        <v>635.22063349919995</v>
      </c>
      <c r="AA171" s="1352">
        <f t="shared" si="189"/>
        <v>665.46923509439989</v>
      </c>
      <c r="AB171" s="1352">
        <f t="shared" si="189"/>
        <v>695.71783668959984</v>
      </c>
      <c r="AC171" s="1352">
        <f t="shared" si="189"/>
        <v>725.96643828479989</v>
      </c>
      <c r="AD171" s="1352">
        <f t="shared" si="189"/>
        <v>756.21503987999984</v>
      </c>
      <c r="AE171" s="1352">
        <f t="shared" si="189"/>
        <v>786.46364147519989</v>
      </c>
      <c r="AF171" s="1352">
        <f t="shared" si="189"/>
        <v>816.71224307039995</v>
      </c>
      <c r="AG171" s="1352">
        <f t="shared" si="189"/>
        <v>846.96084466559978</v>
      </c>
      <c r="AH171" s="1352">
        <f t="shared" si="189"/>
        <v>877.20944626079984</v>
      </c>
      <c r="AI171" s="1352">
        <f t="shared" si="189"/>
        <v>907.45804785599989</v>
      </c>
      <c r="AJ171" s="1352">
        <f t="shared" si="189"/>
        <v>937.70664945119984</v>
      </c>
      <c r="AK171" s="1352">
        <f t="shared" si="189"/>
        <v>967.95525104639989</v>
      </c>
      <c r="AL171" s="1352">
        <f t="shared" si="189"/>
        <v>998.20385264159972</v>
      </c>
      <c r="AM171" s="1352">
        <f t="shared" si="189"/>
        <v>1028.4524542367999</v>
      </c>
      <c r="AN171" s="1352">
        <f t="shared" si="189"/>
        <v>1058.7010558319998</v>
      </c>
      <c r="AO171" s="1352">
        <f t="shared" si="189"/>
        <v>1088.9496574271998</v>
      </c>
      <c r="AP171" s="1352">
        <f t="shared" si="189"/>
        <v>1119.1982590224</v>
      </c>
      <c r="AQ171" s="1352">
        <f t="shared" si="189"/>
        <v>1149.4468606175997</v>
      </c>
      <c r="AR171" s="1352">
        <f t="shared" si="189"/>
        <v>1179.6954622127998</v>
      </c>
      <c r="AS171" s="1352">
        <f t="shared" si="189"/>
        <v>1209.9440638079998</v>
      </c>
      <c r="AT171" s="1352">
        <f t="shared" si="189"/>
        <v>1240.1926654031997</v>
      </c>
      <c r="AU171" s="1352">
        <f t="shared" si="189"/>
        <v>1270.4412669983999</v>
      </c>
      <c r="AV171" s="1352">
        <f t="shared" si="189"/>
        <v>1300.6898685935996</v>
      </c>
      <c r="AW171" s="1352">
        <f t="shared" si="189"/>
        <v>1330.9384701887998</v>
      </c>
      <c r="AX171" s="1352">
        <f t="shared" si="189"/>
        <v>1361.1870717839997</v>
      </c>
      <c r="AY171" s="1352">
        <f t="shared" si="189"/>
        <v>1391.4356733791997</v>
      </c>
      <c r="AZ171" s="1352">
        <f t="shared" si="189"/>
        <v>1421.6842749743998</v>
      </c>
      <c r="BA171" s="1352">
        <f t="shared" si="189"/>
        <v>1451.9328765695998</v>
      </c>
      <c r="BB171" s="1352">
        <f t="shared" si="189"/>
        <v>1482.1814781647997</v>
      </c>
      <c r="BC171" s="1352">
        <f t="shared" si="189"/>
        <v>1512.4300797599997</v>
      </c>
      <c r="BD171" s="1352">
        <f t="shared" si="189"/>
        <v>1542.6786813551996</v>
      </c>
      <c r="BE171" s="1352">
        <f t="shared" si="189"/>
        <v>1572.9272829503998</v>
      </c>
      <c r="BF171" s="1354">
        <f t="shared" si="189"/>
        <v>1603.1758845455997</v>
      </c>
      <c r="BG171" s="1307" t="str">
        <f t="array" ref="BG171">INDEX(E171:E171&amp;"."&amp;F171:F171&amp;"."&amp;$J$71:$BF$71&amp;"."&amp;G171:G171,IFERROR(MATCH($C$10,$J171:$BF171),0))</f>
        <v>110.200.2000.2ТГ</v>
      </c>
      <c r="BL171" s="1307" t="str">
        <f t="shared" si="184"/>
        <v>110.200.2000.2ТГ</v>
      </c>
    </row>
    <row r="172" spans="1:64" s="1307" customFormat="1">
      <c r="A172" s="2278"/>
      <c r="B172" s="2287" t="s">
        <v>5731</v>
      </c>
      <c r="C172" s="2288"/>
      <c r="D172" s="1355" t="s">
        <v>4588</v>
      </c>
      <c r="E172" s="1356">
        <v>110</v>
      </c>
      <c r="F172" s="1356">
        <v>260</v>
      </c>
      <c r="G172" s="1355" t="s">
        <v>227</v>
      </c>
      <c r="H172" s="1357">
        <f t="shared" ref="H172:BF172" si="190">((H$71-$H$4)/1000)*$M$45*(($C$8/70)^$Y$45)</f>
        <v>114.65969644194267</v>
      </c>
      <c r="I172" s="1358">
        <f t="shared" si="190"/>
        <v>152.87959525592359</v>
      </c>
      <c r="J172" s="1357">
        <f t="shared" si="190"/>
        <v>191.09949406990447</v>
      </c>
      <c r="K172" s="1357">
        <f t="shared" si="190"/>
        <v>229.31939288388534</v>
      </c>
      <c r="L172" s="1357">
        <f t="shared" si="190"/>
        <v>267.53929169786625</v>
      </c>
      <c r="M172" s="1357">
        <f t="shared" si="190"/>
        <v>305.75919051184718</v>
      </c>
      <c r="N172" s="1357">
        <f t="shared" si="190"/>
        <v>343.97908932582806</v>
      </c>
      <c r="O172" s="1357">
        <f t="shared" si="190"/>
        <v>382.19898813980893</v>
      </c>
      <c r="P172" s="1357">
        <f t="shared" si="190"/>
        <v>420.41888695378987</v>
      </c>
      <c r="Q172" s="1357">
        <f t="shared" si="190"/>
        <v>458.63878576777068</v>
      </c>
      <c r="R172" s="1357">
        <f t="shared" si="190"/>
        <v>496.85868458175162</v>
      </c>
      <c r="S172" s="1357">
        <f t="shared" si="190"/>
        <v>535.07858339573249</v>
      </c>
      <c r="T172" s="1357">
        <f t="shared" si="190"/>
        <v>573.29848220971337</v>
      </c>
      <c r="U172" s="1357">
        <f t="shared" si="190"/>
        <v>611.51838102369436</v>
      </c>
      <c r="V172" s="1357">
        <f t="shared" si="190"/>
        <v>649.73827983767512</v>
      </c>
      <c r="W172" s="1357">
        <f t="shared" si="190"/>
        <v>687.95817865165611</v>
      </c>
      <c r="X172" s="1357">
        <f t="shared" si="190"/>
        <v>726.17807746563699</v>
      </c>
      <c r="Y172" s="1357">
        <f t="shared" si="190"/>
        <v>764.39797627961786</v>
      </c>
      <c r="Z172" s="1357">
        <f t="shared" si="190"/>
        <v>802.61787509359874</v>
      </c>
      <c r="AA172" s="1357">
        <f t="shared" si="190"/>
        <v>840.83777390757973</v>
      </c>
      <c r="AB172" s="1357">
        <f t="shared" si="190"/>
        <v>879.05767272156049</v>
      </c>
      <c r="AC172" s="1357">
        <f t="shared" si="190"/>
        <v>917.27757153554137</v>
      </c>
      <c r="AD172" s="1357">
        <f t="shared" si="190"/>
        <v>955.49747034952236</v>
      </c>
      <c r="AE172" s="1357">
        <f t="shared" si="190"/>
        <v>993.71736916350324</v>
      </c>
      <c r="AF172" s="1357">
        <f t="shared" si="190"/>
        <v>1031.9372679774842</v>
      </c>
      <c r="AG172" s="1357">
        <f t="shared" si="190"/>
        <v>1070.157166791465</v>
      </c>
      <c r="AH172" s="1357">
        <f t="shared" si="190"/>
        <v>1108.377065605446</v>
      </c>
      <c r="AI172" s="1357">
        <f t="shared" si="190"/>
        <v>1146.5969644194267</v>
      </c>
      <c r="AJ172" s="1357">
        <f t="shared" si="190"/>
        <v>1184.8168632334077</v>
      </c>
      <c r="AK172" s="1357">
        <f t="shared" si="190"/>
        <v>1223.0367620473887</v>
      </c>
      <c r="AL172" s="1357">
        <f t="shared" si="190"/>
        <v>1261.2566608613695</v>
      </c>
      <c r="AM172" s="1357">
        <f t="shared" si="190"/>
        <v>1299.4765596753502</v>
      </c>
      <c r="AN172" s="1357">
        <f t="shared" si="190"/>
        <v>1337.6964584893312</v>
      </c>
      <c r="AO172" s="1357">
        <f t="shared" si="190"/>
        <v>1375.9163573033122</v>
      </c>
      <c r="AP172" s="1357">
        <f t="shared" si="190"/>
        <v>1414.1362561172932</v>
      </c>
      <c r="AQ172" s="1357">
        <f t="shared" si="190"/>
        <v>1452.356154931274</v>
      </c>
      <c r="AR172" s="1357">
        <f t="shared" si="190"/>
        <v>1490.5760537452547</v>
      </c>
      <c r="AS172" s="1357">
        <f t="shared" si="190"/>
        <v>1528.7959525592357</v>
      </c>
      <c r="AT172" s="1357">
        <f t="shared" si="190"/>
        <v>1567.0158513732165</v>
      </c>
      <c r="AU172" s="1357">
        <f t="shared" si="190"/>
        <v>1605.2357501871975</v>
      </c>
      <c r="AV172" s="1357">
        <f t="shared" si="190"/>
        <v>1643.4556490011782</v>
      </c>
      <c r="AW172" s="1357">
        <f t="shared" si="190"/>
        <v>1681.6755478151595</v>
      </c>
      <c r="AX172" s="1357">
        <f t="shared" si="190"/>
        <v>1719.8954466291402</v>
      </c>
      <c r="AY172" s="1357">
        <f t="shared" si="190"/>
        <v>1758.115345443121</v>
      </c>
      <c r="AZ172" s="1357">
        <f t="shared" si="190"/>
        <v>1796.335244257102</v>
      </c>
      <c r="BA172" s="1357">
        <f t="shared" si="190"/>
        <v>1834.5551430710827</v>
      </c>
      <c r="BB172" s="1357">
        <f t="shared" si="190"/>
        <v>1872.775041885064</v>
      </c>
      <c r="BC172" s="1357">
        <f t="shared" si="190"/>
        <v>1910.9949406990447</v>
      </c>
      <c r="BD172" s="1357">
        <f t="shared" si="190"/>
        <v>1949.2148395130255</v>
      </c>
      <c r="BE172" s="1357">
        <f t="shared" si="190"/>
        <v>1987.4347383270065</v>
      </c>
      <c r="BF172" s="1359">
        <f t="shared" si="190"/>
        <v>2025.6546371409872</v>
      </c>
      <c r="BG172" s="1307" t="str">
        <f t="array" ref="BG172">INDEX(E172:E172&amp;"."&amp;F172:F172&amp;"."&amp;$J$71:$BF$71&amp;"."&amp;G172:G172,IFERROR(MATCH($C$10,$J172:$BF172),0))</f>
        <v>110.260.1650.2ТГ</v>
      </c>
      <c r="BL172" s="1307" t="str">
        <f t="shared" si="184"/>
        <v>110.260.1650.2ТГ</v>
      </c>
    </row>
    <row r="173" spans="1:64" s="1307" customFormat="1">
      <c r="A173" s="2278"/>
      <c r="B173" s="2287" t="s">
        <v>5732</v>
      </c>
      <c r="C173" s="2288"/>
      <c r="D173" s="1355" t="s">
        <v>4588</v>
      </c>
      <c r="E173" s="1356">
        <v>110</v>
      </c>
      <c r="F173" s="1356">
        <v>300</v>
      </c>
      <c r="G173" s="1355" t="s">
        <v>227</v>
      </c>
      <c r="H173" s="1357">
        <f t="shared" ref="H173:BF173" si="191">((H$71-$H$4)/1000)*$N$45*(($C$8/70)^$Z$45)</f>
        <v>122.81617561851226</v>
      </c>
      <c r="I173" s="1358">
        <f t="shared" si="191"/>
        <v>163.75490082468303</v>
      </c>
      <c r="J173" s="1357">
        <f t="shared" si="191"/>
        <v>204.69362603085378</v>
      </c>
      <c r="K173" s="1357">
        <f t="shared" si="191"/>
        <v>245.63235123702452</v>
      </c>
      <c r="L173" s="1357">
        <f t="shared" si="191"/>
        <v>286.5710764431953</v>
      </c>
      <c r="M173" s="1357">
        <f t="shared" si="191"/>
        <v>327.50980164936607</v>
      </c>
      <c r="N173" s="1357">
        <f t="shared" si="191"/>
        <v>368.44852685553678</v>
      </c>
      <c r="O173" s="1357">
        <f t="shared" si="191"/>
        <v>409.38725206170756</v>
      </c>
      <c r="P173" s="1357">
        <f t="shared" si="191"/>
        <v>450.32597726787833</v>
      </c>
      <c r="Q173" s="1357">
        <f t="shared" si="191"/>
        <v>491.26470247404905</v>
      </c>
      <c r="R173" s="1357">
        <f t="shared" si="191"/>
        <v>532.20342768021987</v>
      </c>
      <c r="S173" s="1357">
        <f t="shared" si="191"/>
        <v>573.14215288639059</v>
      </c>
      <c r="T173" s="1357">
        <f t="shared" si="191"/>
        <v>614.08087809256131</v>
      </c>
      <c r="U173" s="1357">
        <f t="shared" si="191"/>
        <v>655.01960329873214</v>
      </c>
      <c r="V173" s="1357">
        <f t="shared" si="191"/>
        <v>695.95832850490285</v>
      </c>
      <c r="W173" s="1357">
        <f t="shared" si="191"/>
        <v>736.89705371107357</v>
      </c>
      <c r="X173" s="1357">
        <f t="shared" si="191"/>
        <v>777.83577891724428</v>
      </c>
      <c r="Y173" s="1357">
        <f t="shared" si="191"/>
        <v>818.77450412341511</v>
      </c>
      <c r="Z173" s="1357">
        <f t="shared" si="191"/>
        <v>859.71322932958594</v>
      </c>
      <c r="AA173" s="1357">
        <f t="shared" si="191"/>
        <v>900.65195453575666</v>
      </c>
      <c r="AB173" s="1357">
        <f t="shared" si="191"/>
        <v>941.59067974192726</v>
      </c>
      <c r="AC173" s="1357">
        <f t="shared" si="191"/>
        <v>982.52940494809809</v>
      </c>
      <c r="AD173" s="1357">
        <f t="shared" si="191"/>
        <v>1023.4681301542689</v>
      </c>
      <c r="AE173" s="1357">
        <f t="shared" si="191"/>
        <v>1064.4068553604397</v>
      </c>
      <c r="AF173" s="1357">
        <f t="shared" si="191"/>
        <v>1105.3455805666106</v>
      </c>
      <c r="AG173" s="1357">
        <f t="shared" si="191"/>
        <v>1146.2843057727812</v>
      </c>
      <c r="AH173" s="1357">
        <f t="shared" si="191"/>
        <v>1187.2230309789518</v>
      </c>
      <c r="AI173" s="1357">
        <f t="shared" si="191"/>
        <v>1228.1617561851226</v>
      </c>
      <c r="AJ173" s="1357">
        <f t="shared" si="191"/>
        <v>1269.1004813912934</v>
      </c>
      <c r="AK173" s="1357">
        <f t="shared" si="191"/>
        <v>1310.0392065974643</v>
      </c>
      <c r="AL173" s="1357">
        <f t="shared" si="191"/>
        <v>1350.9779318036349</v>
      </c>
      <c r="AM173" s="1357">
        <f t="shared" si="191"/>
        <v>1391.9166570098057</v>
      </c>
      <c r="AN173" s="1357">
        <f t="shared" si="191"/>
        <v>1432.8553822159765</v>
      </c>
      <c r="AO173" s="1357">
        <f t="shared" si="191"/>
        <v>1473.7941074221471</v>
      </c>
      <c r="AP173" s="1357">
        <f t="shared" si="191"/>
        <v>1514.732832628318</v>
      </c>
      <c r="AQ173" s="1357">
        <f t="shared" si="191"/>
        <v>1555.6715578344886</v>
      </c>
      <c r="AR173" s="1357">
        <f t="shared" si="191"/>
        <v>1596.6102830406594</v>
      </c>
      <c r="AS173" s="1357">
        <f t="shared" si="191"/>
        <v>1637.5490082468302</v>
      </c>
      <c r="AT173" s="1357">
        <f t="shared" si="191"/>
        <v>1678.4877334530008</v>
      </c>
      <c r="AU173" s="1357">
        <f t="shared" si="191"/>
        <v>1719.4264586591719</v>
      </c>
      <c r="AV173" s="1357">
        <f t="shared" si="191"/>
        <v>1760.3651838653425</v>
      </c>
      <c r="AW173" s="1357">
        <f t="shared" si="191"/>
        <v>1801.3039090715133</v>
      </c>
      <c r="AX173" s="1357">
        <f t="shared" si="191"/>
        <v>1842.2426342776839</v>
      </c>
      <c r="AY173" s="1357">
        <f t="shared" si="191"/>
        <v>1883.1813594838545</v>
      </c>
      <c r="AZ173" s="1357">
        <f t="shared" si="191"/>
        <v>1924.1200846900256</v>
      </c>
      <c r="BA173" s="1357">
        <f t="shared" si="191"/>
        <v>1965.0588098961962</v>
      </c>
      <c r="BB173" s="1357">
        <f t="shared" si="191"/>
        <v>2005.9975351023672</v>
      </c>
      <c r="BC173" s="1357">
        <f t="shared" si="191"/>
        <v>2046.9362603085378</v>
      </c>
      <c r="BD173" s="1357">
        <f t="shared" si="191"/>
        <v>2087.8749855147084</v>
      </c>
      <c r="BE173" s="1357">
        <f t="shared" si="191"/>
        <v>2128.8137107208795</v>
      </c>
      <c r="BF173" s="1359">
        <f t="shared" si="191"/>
        <v>2169.7524359270501</v>
      </c>
      <c r="BG173" s="1307" t="str">
        <f t="array" ref="BG173">INDEX(E173:E173&amp;"."&amp;F173:F173&amp;"."&amp;$J$71:$BF$71&amp;"."&amp;G173:G173,IFERROR(MATCH($C$10,$J173:$BF173),0))</f>
        <v>110.300.1550.2ТГ</v>
      </c>
      <c r="BL173" s="1307" t="str">
        <f t="shared" si="184"/>
        <v>110.300.1550.2ТГ</v>
      </c>
    </row>
    <row r="174" spans="1:64" s="1307" customFormat="1">
      <c r="A174" s="2278"/>
      <c r="B174" s="2287" t="s">
        <v>5733</v>
      </c>
      <c r="C174" s="2288"/>
      <c r="D174" s="1355" t="s">
        <v>4588</v>
      </c>
      <c r="E174" s="1356">
        <v>110</v>
      </c>
      <c r="F174" s="1356">
        <v>360</v>
      </c>
      <c r="G174" s="1355" t="s">
        <v>227</v>
      </c>
      <c r="H174" s="1357">
        <f t="shared" ref="H174:BF174" si="192">((H$71-$H$4)/1000)*$P$45*(($C$8/70)^$AB$45)</f>
        <v>154.42213600365548</v>
      </c>
      <c r="I174" s="1358">
        <f t="shared" si="192"/>
        <v>205.89618133820733</v>
      </c>
      <c r="J174" s="1357">
        <f t="shared" si="192"/>
        <v>257.37022667275915</v>
      </c>
      <c r="K174" s="1357">
        <f t="shared" si="192"/>
        <v>308.84427200731096</v>
      </c>
      <c r="L174" s="1357">
        <f t="shared" si="192"/>
        <v>360.31831734186278</v>
      </c>
      <c r="M174" s="1357">
        <f t="shared" si="192"/>
        <v>411.79236267641465</v>
      </c>
      <c r="N174" s="1357">
        <f t="shared" si="192"/>
        <v>463.26640801096647</v>
      </c>
      <c r="O174" s="1357">
        <f t="shared" si="192"/>
        <v>514.74045334551829</v>
      </c>
      <c r="P174" s="1357">
        <f t="shared" si="192"/>
        <v>566.21449868007016</v>
      </c>
      <c r="Q174" s="1357">
        <f t="shared" si="192"/>
        <v>617.68854401462193</v>
      </c>
      <c r="R174" s="1357">
        <f t="shared" si="192"/>
        <v>669.1625893491738</v>
      </c>
      <c r="S174" s="1357">
        <f t="shared" si="192"/>
        <v>720.63663468372556</v>
      </c>
      <c r="T174" s="1357">
        <f t="shared" si="192"/>
        <v>772.11068001827744</v>
      </c>
      <c r="U174" s="1357">
        <f t="shared" si="192"/>
        <v>823.58472535282931</v>
      </c>
      <c r="V174" s="1357">
        <f t="shared" si="192"/>
        <v>875.05877068738107</v>
      </c>
      <c r="W174" s="1357">
        <f t="shared" si="192"/>
        <v>926.53281602193294</v>
      </c>
      <c r="X174" s="1357">
        <f t="shared" si="192"/>
        <v>978.00686135648471</v>
      </c>
      <c r="Y174" s="1357">
        <f t="shared" si="192"/>
        <v>1029.4809066910366</v>
      </c>
      <c r="Z174" s="1357">
        <f t="shared" si="192"/>
        <v>1080.9549520255885</v>
      </c>
      <c r="AA174" s="1357">
        <f t="shared" si="192"/>
        <v>1132.4289973601403</v>
      </c>
      <c r="AB174" s="1357">
        <f t="shared" si="192"/>
        <v>1183.903042694692</v>
      </c>
      <c r="AC174" s="1357">
        <f t="shared" si="192"/>
        <v>1235.3770880292439</v>
      </c>
      <c r="AD174" s="1357">
        <f t="shared" si="192"/>
        <v>1286.8511333637957</v>
      </c>
      <c r="AE174" s="1357">
        <f t="shared" si="192"/>
        <v>1338.3251786983476</v>
      </c>
      <c r="AF174" s="1357">
        <f t="shared" si="192"/>
        <v>1389.7992240328995</v>
      </c>
      <c r="AG174" s="1357">
        <f t="shared" si="192"/>
        <v>1441.2732693674511</v>
      </c>
      <c r="AH174" s="1357">
        <f t="shared" si="192"/>
        <v>1492.747314702003</v>
      </c>
      <c r="AI174" s="1357">
        <f t="shared" si="192"/>
        <v>1544.2213600365549</v>
      </c>
      <c r="AJ174" s="1357">
        <f t="shared" si="192"/>
        <v>1595.6954053711067</v>
      </c>
      <c r="AK174" s="1357">
        <f t="shared" si="192"/>
        <v>1647.1694507056586</v>
      </c>
      <c r="AL174" s="1357">
        <f t="shared" si="192"/>
        <v>1698.6434960402103</v>
      </c>
      <c r="AM174" s="1357">
        <f t="shared" si="192"/>
        <v>1750.1175413747621</v>
      </c>
      <c r="AN174" s="1357">
        <f t="shared" si="192"/>
        <v>1801.591586709314</v>
      </c>
      <c r="AO174" s="1357">
        <f t="shared" si="192"/>
        <v>1853.0656320438659</v>
      </c>
      <c r="AP174" s="1357">
        <f t="shared" si="192"/>
        <v>1904.5396773784178</v>
      </c>
      <c r="AQ174" s="1357">
        <f t="shared" si="192"/>
        <v>1956.0137227129694</v>
      </c>
      <c r="AR174" s="1357">
        <f t="shared" si="192"/>
        <v>2007.4877680475213</v>
      </c>
      <c r="AS174" s="1357">
        <f t="shared" si="192"/>
        <v>2058.9618133820732</v>
      </c>
      <c r="AT174" s="1357">
        <f t="shared" si="192"/>
        <v>2110.4358587166248</v>
      </c>
      <c r="AU174" s="1357">
        <f t="shared" si="192"/>
        <v>2161.9099040511769</v>
      </c>
      <c r="AV174" s="1357">
        <f t="shared" si="192"/>
        <v>2213.3839493857286</v>
      </c>
      <c r="AW174" s="1357">
        <f t="shared" si="192"/>
        <v>2264.8579947202807</v>
      </c>
      <c r="AX174" s="1357">
        <f t="shared" si="192"/>
        <v>2316.3320400548323</v>
      </c>
      <c r="AY174" s="1357">
        <f t="shared" si="192"/>
        <v>2367.806085389384</v>
      </c>
      <c r="AZ174" s="1357">
        <f t="shared" si="192"/>
        <v>2419.2801307239361</v>
      </c>
      <c r="BA174" s="1357">
        <f t="shared" si="192"/>
        <v>2470.7541760584877</v>
      </c>
      <c r="BB174" s="1357">
        <f t="shared" si="192"/>
        <v>2522.2282213930398</v>
      </c>
      <c r="BC174" s="1357">
        <f t="shared" si="192"/>
        <v>2573.7022667275915</v>
      </c>
      <c r="BD174" s="1357">
        <f t="shared" si="192"/>
        <v>2625.1763120621431</v>
      </c>
      <c r="BE174" s="1357">
        <f t="shared" si="192"/>
        <v>2676.6503573966952</v>
      </c>
      <c r="BF174" s="1359">
        <f t="shared" si="192"/>
        <v>2728.1244027312468</v>
      </c>
      <c r="BG174" s="1307" t="str">
        <f t="array" ref="BG174">INDEX(E174:E174&amp;"."&amp;F174:F174&amp;"."&amp;$J$71:$BF$71&amp;"."&amp;G174:G174,IFERROR(MATCH($C$10,$J174:$BF174),0))</f>
        <v>110.360.1300.2ТГ</v>
      </c>
      <c r="BL174" s="1307" t="str">
        <f t="shared" si="184"/>
        <v>110.360.1300.2ТГ</v>
      </c>
    </row>
    <row r="175" spans="1:64" s="1307" customFormat="1">
      <c r="A175" s="2278"/>
      <c r="B175" s="2287" t="s">
        <v>5734</v>
      </c>
      <c r="C175" s="2288"/>
      <c r="D175" s="1355" t="s">
        <v>4588</v>
      </c>
      <c r="E175" s="1356">
        <v>110</v>
      </c>
      <c r="F175" s="1356">
        <v>360</v>
      </c>
      <c r="G175" s="1355" t="s">
        <v>232</v>
      </c>
      <c r="H175" s="1357">
        <f t="shared" ref="H175:BF175" si="193">((H$71-$H$4)/1000)*$Q$45*(($C$8/70)^$AC$45)</f>
        <v>169.69465494907197</v>
      </c>
      <c r="I175" s="1358">
        <f t="shared" si="193"/>
        <v>226.25953993209598</v>
      </c>
      <c r="J175" s="1357">
        <f t="shared" si="193"/>
        <v>282.82442491511995</v>
      </c>
      <c r="K175" s="1357">
        <f t="shared" si="193"/>
        <v>339.38930989814395</v>
      </c>
      <c r="L175" s="1357">
        <f t="shared" si="193"/>
        <v>395.95419488116789</v>
      </c>
      <c r="M175" s="1357">
        <f t="shared" si="193"/>
        <v>452.51907986419195</v>
      </c>
      <c r="N175" s="1357">
        <f t="shared" si="193"/>
        <v>509.0839648472159</v>
      </c>
      <c r="O175" s="1357">
        <f t="shared" si="193"/>
        <v>565.6488498302399</v>
      </c>
      <c r="P175" s="1357">
        <f t="shared" si="193"/>
        <v>622.21373481326395</v>
      </c>
      <c r="Q175" s="1357">
        <f t="shared" si="193"/>
        <v>678.7786197962879</v>
      </c>
      <c r="R175" s="1357">
        <f t="shared" si="193"/>
        <v>735.34350477931184</v>
      </c>
      <c r="S175" s="1357">
        <f t="shared" si="193"/>
        <v>791.90838976233579</v>
      </c>
      <c r="T175" s="1357">
        <f t="shared" si="193"/>
        <v>848.47327474535984</v>
      </c>
      <c r="U175" s="1357">
        <f t="shared" si="193"/>
        <v>905.0381597283839</v>
      </c>
      <c r="V175" s="1357">
        <f t="shared" si="193"/>
        <v>961.60304471140785</v>
      </c>
      <c r="W175" s="1357">
        <f t="shared" si="193"/>
        <v>1018.1679296944318</v>
      </c>
      <c r="X175" s="1357">
        <f t="shared" si="193"/>
        <v>1074.7328146774557</v>
      </c>
      <c r="Y175" s="1357">
        <f t="shared" si="193"/>
        <v>1131.2976996604798</v>
      </c>
      <c r="Z175" s="1357">
        <f t="shared" si="193"/>
        <v>1187.8625846435039</v>
      </c>
      <c r="AA175" s="1357">
        <f t="shared" si="193"/>
        <v>1244.4274696265279</v>
      </c>
      <c r="AB175" s="1357">
        <f t="shared" si="193"/>
        <v>1300.9923546095517</v>
      </c>
      <c r="AC175" s="1357">
        <f t="shared" si="193"/>
        <v>1357.5572395925758</v>
      </c>
      <c r="AD175" s="1357">
        <f t="shared" si="193"/>
        <v>1414.1221245755996</v>
      </c>
      <c r="AE175" s="1357">
        <f t="shared" si="193"/>
        <v>1470.6870095586237</v>
      </c>
      <c r="AF175" s="1357">
        <f t="shared" si="193"/>
        <v>1527.2518945416477</v>
      </c>
      <c r="AG175" s="1357">
        <f t="shared" si="193"/>
        <v>1583.8167795246716</v>
      </c>
      <c r="AH175" s="1357">
        <f t="shared" si="193"/>
        <v>1640.3816645076956</v>
      </c>
      <c r="AI175" s="1357">
        <f t="shared" si="193"/>
        <v>1696.9465494907197</v>
      </c>
      <c r="AJ175" s="1357">
        <f t="shared" si="193"/>
        <v>1753.5114344737437</v>
      </c>
      <c r="AK175" s="1357">
        <f t="shared" si="193"/>
        <v>1810.0763194567678</v>
      </c>
      <c r="AL175" s="1357">
        <f t="shared" si="193"/>
        <v>1866.6412044397916</v>
      </c>
      <c r="AM175" s="1357">
        <f t="shared" si="193"/>
        <v>1923.2060894228157</v>
      </c>
      <c r="AN175" s="1357">
        <f t="shared" si="193"/>
        <v>1979.7709744058398</v>
      </c>
      <c r="AO175" s="1357">
        <f t="shared" si="193"/>
        <v>2036.3358593888636</v>
      </c>
      <c r="AP175" s="1357">
        <f t="shared" si="193"/>
        <v>2092.9007443718879</v>
      </c>
      <c r="AQ175" s="1357">
        <f t="shared" si="193"/>
        <v>2149.4656293549115</v>
      </c>
      <c r="AR175" s="1357">
        <f t="shared" si="193"/>
        <v>2206.0305143379355</v>
      </c>
      <c r="AS175" s="1357">
        <f t="shared" si="193"/>
        <v>2262.5953993209596</v>
      </c>
      <c r="AT175" s="1357">
        <f t="shared" si="193"/>
        <v>2319.1602843039832</v>
      </c>
      <c r="AU175" s="1357">
        <f t="shared" si="193"/>
        <v>2375.7251692870077</v>
      </c>
      <c r="AV175" s="1357">
        <f t="shared" si="193"/>
        <v>2432.2900542700313</v>
      </c>
      <c r="AW175" s="1357">
        <f t="shared" si="193"/>
        <v>2488.8549392530558</v>
      </c>
      <c r="AX175" s="1357">
        <f t="shared" si="193"/>
        <v>2545.4198242360794</v>
      </c>
      <c r="AY175" s="1357">
        <f t="shared" si="193"/>
        <v>2601.9847092191035</v>
      </c>
      <c r="AZ175" s="1357">
        <f t="shared" si="193"/>
        <v>2658.5495942021275</v>
      </c>
      <c r="BA175" s="1357">
        <f t="shared" si="193"/>
        <v>2715.1144791851516</v>
      </c>
      <c r="BB175" s="1357">
        <f t="shared" si="193"/>
        <v>2771.6793641681757</v>
      </c>
      <c r="BC175" s="1357">
        <f t="shared" si="193"/>
        <v>2828.2442491511993</v>
      </c>
      <c r="BD175" s="1357">
        <f t="shared" si="193"/>
        <v>2884.8091341342233</v>
      </c>
      <c r="BE175" s="1357">
        <f t="shared" si="193"/>
        <v>2941.3740191172474</v>
      </c>
      <c r="BF175" s="1359">
        <f t="shared" si="193"/>
        <v>2997.9389041002714</v>
      </c>
      <c r="BG175" s="1307" t="str">
        <f t="array" ref="BG175">INDEX(E175:E175&amp;"."&amp;F175:F175&amp;"."&amp;$J$71:$BF$71&amp;"."&amp;G175:G175,IFERROR(MATCH($C$10,$J175:$BF175),0))</f>
        <v>110.360.1200.4ТГ</v>
      </c>
      <c r="BL175" s="1307" t="str">
        <f t="shared" si="184"/>
        <v>110.360.1200.4ТГ</v>
      </c>
    </row>
    <row r="176" spans="1:64" s="1307" customFormat="1" ht="15.75" thickBot="1">
      <c r="A176" s="2278"/>
      <c r="B176" s="2289" t="s">
        <v>5735</v>
      </c>
      <c r="C176" s="2290"/>
      <c r="D176" s="1360" t="s">
        <v>4588</v>
      </c>
      <c r="E176" s="1361">
        <v>110</v>
      </c>
      <c r="F176" s="1361">
        <v>400</v>
      </c>
      <c r="G176" s="1360" t="s">
        <v>232</v>
      </c>
      <c r="H176" s="1362">
        <f t="shared" ref="H176:BF176" si="194">((H$71-$H$4)/1000)*$R$45*(($C$8/70)^$AD$45)</f>
        <v>177.4464891862132</v>
      </c>
      <c r="I176" s="1363">
        <f t="shared" si="194"/>
        <v>236.59531891495095</v>
      </c>
      <c r="J176" s="1362">
        <f t="shared" si="194"/>
        <v>295.74414864368867</v>
      </c>
      <c r="K176" s="1362">
        <f t="shared" si="194"/>
        <v>354.8929783724264</v>
      </c>
      <c r="L176" s="1362">
        <f t="shared" si="194"/>
        <v>414.04180810116412</v>
      </c>
      <c r="M176" s="1362">
        <f t="shared" si="194"/>
        <v>473.1906378299019</v>
      </c>
      <c r="N176" s="1362">
        <f t="shared" si="194"/>
        <v>532.33946755863963</v>
      </c>
      <c r="O176" s="1362">
        <f t="shared" si="194"/>
        <v>591.48829728737735</v>
      </c>
      <c r="P176" s="1362">
        <f t="shared" si="194"/>
        <v>650.63712701611519</v>
      </c>
      <c r="Q176" s="1362">
        <f t="shared" si="194"/>
        <v>709.7859567448528</v>
      </c>
      <c r="R176" s="1362">
        <f t="shared" si="194"/>
        <v>768.93478647359063</v>
      </c>
      <c r="S176" s="1362">
        <f t="shared" si="194"/>
        <v>828.08361620232824</v>
      </c>
      <c r="T176" s="1362">
        <f t="shared" si="194"/>
        <v>887.23244593106597</v>
      </c>
      <c r="U176" s="1362">
        <f t="shared" si="194"/>
        <v>946.3812756598038</v>
      </c>
      <c r="V176" s="1362">
        <f t="shared" si="194"/>
        <v>1005.5301053885414</v>
      </c>
      <c r="W176" s="1362">
        <f t="shared" si="194"/>
        <v>1064.6789351172793</v>
      </c>
      <c r="X176" s="1362">
        <f t="shared" si="194"/>
        <v>1123.8277648460169</v>
      </c>
      <c r="Y176" s="1362">
        <f t="shared" si="194"/>
        <v>1182.9765945747547</v>
      </c>
      <c r="Z176" s="1362">
        <f t="shared" si="194"/>
        <v>1242.1254243034925</v>
      </c>
      <c r="AA176" s="1362">
        <f t="shared" si="194"/>
        <v>1301.2742540322304</v>
      </c>
      <c r="AB176" s="1362">
        <f t="shared" si="194"/>
        <v>1360.4230837609678</v>
      </c>
      <c r="AC176" s="1362">
        <f t="shared" si="194"/>
        <v>1419.5719134897056</v>
      </c>
      <c r="AD176" s="1362">
        <f t="shared" si="194"/>
        <v>1478.7207432184434</v>
      </c>
      <c r="AE176" s="1362">
        <f t="shared" si="194"/>
        <v>1537.8695729471813</v>
      </c>
      <c r="AF176" s="1362">
        <f t="shared" si="194"/>
        <v>1597.0184026759189</v>
      </c>
      <c r="AG176" s="1362">
        <f t="shared" si="194"/>
        <v>1656.1672324046565</v>
      </c>
      <c r="AH176" s="1362">
        <f t="shared" si="194"/>
        <v>1715.3160621333943</v>
      </c>
      <c r="AI176" s="1362">
        <f t="shared" si="194"/>
        <v>1774.4648918621319</v>
      </c>
      <c r="AJ176" s="1362">
        <f t="shared" si="194"/>
        <v>1833.6137215908698</v>
      </c>
      <c r="AK176" s="1362">
        <f t="shared" si="194"/>
        <v>1892.7625513196076</v>
      </c>
      <c r="AL176" s="1362">
        <f t="shared" si="194"/>
        <v>1951.9113810483452</v>
      </c>
      <c r="AM176" s="1362">
        <f t="shared" si="194"/>
        <v>2011.0602107770828</v>
      </c>
      <c r="AN176" s="1362">
        <f t="shared" si="194"/>
        <v>2070.2090405058207</v>
      </c>
      <c r="AO176" s="1362">
        <f t="shared" si="194"/>
        <v>2129.3578702345585</v>
      </c>
      <c r="AP176" s="1362">
        <f t="shared" si="194"/>
        <v>2188.5066999632963</v>
      </c>
      <c r="AQ176" s="1362">
        <f t="shared" si="194"/>
        <v>2247.6555296920337</v>
      </c>
      <c r="AR176" s="1362">
        <f t="shared" si="194"/>
        <v>2306.8043594207716</v>
      </c>
      <c r="AS176" s="1362">
        <f t="shared" si="194"/>
        <v>2365.9531891495094</v>
      </c>
      <c r="AT176" s="1362">
        <f t="shared" si="194"/>
        <v>2425.1020188782468</v>
      </c>
      <c r="AU176" s="1362">
        <f t="shared" si="194"/>
        <v>2484.2508486069851</v>
      </c>
      <c r="AV176" s="1362">
        <f t="shared" si="194"/>
        <v>2543.3996783357225</v>
      </c>
      <c r="AW176" s="1362">
        <f t="shared" si="194"/>
        <v>2602.5485080644607</v>
      </c>
      <c r="AX176" s="1362">
        <f t="shared" si="194"/>
        <v>2661.6973377931981</v>
      </c>
      <c r="AY176" s="1362">
        <f t="shared" si="194"/>
        <v>2720.8461675219355</v>
      </c>
      <c r="AZ176" s="1362">
        <f t="shared" si="194"/>
        <v>2779.9949972506738</v>
      </c>
      <c r="BA176" s="1362">
        <f t="shared" si="194"/>
        <v>2839.1438269794112</v>
      </c>
      <c r="BB176" s="1362">
        <f t="shared" si="194"/>
        <v>2898.292656708149</v>
      </c>
      <c r="BC176" s="1362">
        <f t="shared" si="194"/>
        <v>2957.4414864368869</v>
      </c>
      <c r="BD176" s="1362">
        <f t="shared" si="194"/>
        <v>3016.5903161656242</v>
      </c>
      <c r="BE176" s="1362">
        <f t="shared" si="194"/>
        <v>3075.7391458943625</v>
      </c>
      <c r="BF176" s="1364">
        <f t="shared" si="194"/>
        <v>3134.8879756230999</v>
      </c>
      <c r="BG176" s="1307" t="str">
        <f t="array" ref="BG176">INDEX(E176:E176&amp;"."&amp;F176:F176&amp;"."&amp;$J$71:$BF$71&amp;"."&amp;G176:G176,IFERROR(MATCH($C$10,$J176:$BF176),0))</f>
        <v>110.400.1150.4ТГ</v>
      </c>
      <c r="BL176" s="1307" t="str">
        <f t="shared" si="184"/>
        <v>110.400.1150.4ТГ</v>
      </c>
    </row>
    <row r="177" spans="1:64" s="1307" customFormat="1">
      <c r="A177" s="2278"/>
      <c r="B177" s="2291" t="s">
        <v>5736</v>
      </c>
      <c r="C177" s="2291"/>
      <c r="D177" s="1365" t="s">
        <v>4588</v>
      </c>
      <c r="E177" s="1366">
        <v>150</v>
      </c>
      <c r="F177" s="1366">
        <v>200</v>
      </c>
      <c r="G177" s="1365" t="s">
        <v>227</v>
      </c>
      <c r="H177" s="1367">
        <f t="shared" ref="H177:BF177" si="195">((H$71-$H$4)/1000)*$L$46*(($C$8/70)^$X$46)</f>
        <v>116.46</v>
      </c>
      <c r="I177" s="1368">
        <f t="shared" si="195"/>
        <v>155.28</v>
      </c>
      <c r="J177" s="1367">
        <f t="shared" si="195"/>
        <v>194.1</v>
      </c>
      <c r="K177" s="1367">
        <f t="shared" si="195"/>
        <v>232.92</v>
      </c>
      <c r="L177" s="1367">
        <f t="shared" si="195"/>
        <v>271.73999999999995</v>
      </c>
      <c r="M177" s="1367">
        <f t="shared" si="195"/>
        <v>310.56</v>
      </c>
      <c r="N177" s="1367">
        <f t="shared" si="195"/>
        <v>349.38</v>
      </c>
      <c r="O177" s="1367">
        <f t="shared" si="195"/>
        <v>388.2</v>
      </c>
      <c r="P177" s="1367">
        <f t="shared" si="195"/>
        <v>427.02000000000004</v>
      </c>
      <c r="Q177" s="1367">
        <f t="shared" si="195"/>
        <v>465.84</v>
      </c>
      <c r="R177" s="1367">
        <f t="shared" si="195"/>
        <v>504.66</v>
      </c>
      <c r="S177" s="1367">
        <f t="shared" si="195"/>
        <v>543.4799999999999</v>
      </c>
      <c r="T177" s="1367">
        <f t="shared" si="195"/>
        <v>582.29999999999995</v>
      </c>
      <c r="U177" s="1367">
        <f t="shared" si="195"/>
        <v>621.12</v>
      </c>
      <c r="V177" s="1367">
        <f t="shared" si="195"/>
        <v>659.93999999999994</v>
      </c>
      <c r="W177" s="1367">
        <f t="shared" si="195"/>
        <v>698.76</v>
      </c>
      <c r="X177" s="1367">
        <f t="shared" si="195"/>
        <v>737.57999999999993</v>
      </c>
      <c r="Y177" s="1367">
        <f t="shared" si="195"/>
        <v>776.4</v>
      </c>
      <c r="Z177" s="1367">
        <f t="shared" si="195"/>
        <v>815.22</v>
      </c>
      <c r="AA177" s="1367">
        <f t="shared" si="195"/>
        <v>854.04000000000008</v>
      </c>
      <c r="AB177" s="1367">
        <f t="shared" si="195"/>
        <v>892.8599999999999</v>
      </c>
      <c r="AC177" s="1367">
        <f t="shared" si="195"/>
        <v>931.68</v>
      </c>
      <c r="AD177" s="1367">
        <f t="shared" si="195"/>
        <v>970.5</v>
      </c>
      <c r="AE177" s="1367">
        <f t="shared" si="195"/>
        <v>1009.32</v>
      </c>
      <c r="AF177" s="1367">
        <f t="shared" si="195"/>
        <v>1048.1400000000001</v>
      </c>
      <c r="AG177" s="1367">
        <f t="shared" si="195"/>
        <v>1086.9599999999998</v>
      </c>
      <c r="AH177" s="1367">
        <f t="shared" si="195"/>
        <v>1125.78</v>
      </c>
      <c r="AI177" s="1367">
        <f t="shared" si="195"/>
        <v>1164.5999999999999</v>
      </c>
      <c r="AJ177" s="1367">
        <f t="shared" si="195"/>
        <v>1203.42</v>
      </c>
      <c r="AK177" s="1367">
        <f t="shared" si="195"/>
        <v>1242.24</v>
      </c>
      <c r="AL177" s="1367">
        <f t="shared" si="195"/>
        <v>1281.06</v>
      </c>
      <c r="AM177" s="1367">
        <f t="shared" si="195"/>
        <v>1319.8799999999999</v>
      </c>
      <c r="AN177" s="1367">
        <f t="shared" si="195"/>
        <v>1358.7</v>
      </c>
      <c r="AO177" s="1367">
        <f t="shared" si="195"/>
        <v>1397.52</v>
      </c>
      <c r="AP177" s="1367">
        <f t="shared" si="195"/>
        <v>1436.34</v>
      </c>
      <c r="AQ177" s="1367">
        <f t="shared" si="195"/>
        <v>1475.1599999999999</v>
      </c>
      <c r="AR177" s="1367">
        <f t="shared" si="195"/>
        <v>1513.98</v>
      </c>
      <c r="AS177" s="1367">
        <f t="shared" si="195"/>
        <v>1552.8</v>
      </c>
      <c r="AT177" s="1367">
        <f t="shared" si="195"/>
        <v>1591.62</v>
      </c>
      <c r="AU177" s="1367">
        <f t="shared" si="195"/>
        <v>1630.44</v>
      </c>
      <c r="AV177" s="1367">
        <f t="shared" si="195"/>
        <v>1669.26</v>
      </c>
      <c r="AW177" s="1367">
        <f t="shared" si="195"/>
        <v>1708.0800000000002</v>
      </c>
      <c r="AX177" s="1367">
        <f t="shared" si="195"/>
        <v>1746.8999999999999</v>
      </c>
      <c r="AY177" s="1367">
        <f t="shared" si="195"/>
        <v>1785.7199999999998</v>
      </c>
      <c r="AZ177" s="1367">
        <f t="shared" si="195"/>
        <v>1824.54</v>
      </c>
      <c r="BA177" s="1367">
        <f t="shared" si="195"/>
        <v>1863.36</v>
      </c>
      <c r="BB177" s="1367">
        <f t="shared" si="195"/>
        <v>1902.18</v>
      </c>
      <c r="BC177" s="1367">
        <f t="shared" si="195"/>
        <v>1941</v>
      </c>
      <c r="BD177" s="1367">
        <f t="shared" si="195"/>
        <v>1979.8199999999997</v>
      </c>
      <c r="BE177" s="1367">
        <f t="shared" si="195"/>
        <v>2018.64</v>
      </c>
      <c r="BF177" s="1367">
        <f t="shared" si="195"/>
        <v>2057.46</v>
      </c>
      <c r="BG177" s="1307" t="str">
        <f t="array" ref="BG177">INDEX(E177:E177&amp;"."&amp;F177:F177&amp;"."&amp;$J$71:$BF$71&amp;"."&amp;G177:G177,IFERROR(MATCH($C$10,$J177:$BF177),0))</f>
        <v>150.200.1600.2ТГ</v>
      </c>
      <c r="BL177" s="1307" t="str">
        <f t="shared" si="184"/>
        <v>150.200.1600.2ТГ</v>
      </c>
    </row>
    <row r="178" spans="1:64" s="1307" customFormat="1">
      <c r="A178" s="2278"/>
      <c r="B178" s="2292" t="s">
        <v>5737</v>
      </c>
      <c r="C178" s="2292"/>
      <c r="D178" s="1369" t="s">
        <v>4588</v>
      </c>
      <c r="E178" s="1370">
        <v>150</v>
      </c>
      <c r="F178" s="1370">
        <v>260</v>
      </c>
      <c r="G178" s="1369" t="s">
        <v>227</v>
      </c>
      <c r="H178" s="1371">
        <f t="shared" ref="H178:BF178" si="196">((H$71-$H$4)/1000)*$M$46*(($C$8/70)^$Y$46)</f>
        <v>150.99529296599999</v>
      </c>
      <c r="I178" s="1372">
        <f t="shared" si="196"/>
        <v>201.32705728799999</v>
      </c>
      <c r="J178" s="1371">
        <f t="shared" si="196"/>
        <v>251.65882160999999</v>
      </c>
      <c r="K178" s="1371">
        <f t="shared" si="196"/>
        <v>301.99058593199999</v>
      </c>
      <c r="L178" s="1371">
        <f t="shared" si="196"/>
        <v>352.32235025399996</v>
      </c>
      <c r="M178" s="1371">
        <f t="shared" si="196"/>
        <v>402.65411457599998</v>
      </c>
      <c r="N178" s="1371">
        <f t="shared" si="196"/>
        <v>452.98587889800001</v>
      </c>
      <c r="O178" s="1371">
        <f t="shared" si="196"/>
        <v>503.31764321999998</v>
      </c>
      <c r="P178" s="1371">
        <f t="shared" si="196"/>
        <v>553.64940754200006</v>
      </c>
      <c r="Q178" s="1371">
        <f t="shared" si="196"/>
        <v>603.98117186399998</v>
      </c>
      <c r="R178" s="1371">
        <f t="shared" si="196"/>
        <v>654.312936186</v>
      </c>
      <c r="S178" s="1371">
        <f t="shared" si="196"/>
        <v>704.64470050799991</v>
      </c>
      <c r="T178" s="1371">
        <f t="shared" si="196"/>
        <v>754.97646482999994</v>
      </c>
      <c r="U178" s="1371">
        <f t="shared" si="196"/>
        <v>805.30822915199997</v>
      </c>
      <c r="V178" s="1371">
        <f t="shared" si="196"/>
        <v>855.63999347399999</v>
      </c>
      <c r="W178" s="1371">
        <f t="shared" si="196"/>
        <v>905.97175779600002</v>
      </c>
      <c r="X178" s="1371">
        <f t="shared" si="196"/>
        <v>956.30352211799993</v>
      </c>
      <c r="Y178" s="1371">
        <f t="shared" si="196"/>
        <v>1006.63528644</v>
      </c>
      <c r="Z178" s="1371">
        <f t="shared" si="196"/>
        <v>1056.9670507620001</v>
      </c>
      <c r="AA178" s="1371">
        <f t="shared" si="196"/>
        <v>1107.2988150840001</v>
      </c>
      <c r="AB178" s="1371">
        <f t="shared" si="196"/>
        <v>1157.6305794059999</v>
      </c>
      <c r="AC178" s="1371">
        <f t="shared" si="196"/>
        <v>1207.962343728</v>
      </c>
      <c r="AD178" s="1371">
        <f t="shared" si="196"/>
        <v>1258.29410805</v>
      </c>
      <c r="AE178" s="1371">
        <f t="shared" si="196"/>
        <v>1308.625872372</v>
      </c>
      <c r="AF178" s="1371">
        <f t="shared" si="196"/>
        <v>1358.957636694</v>
      </c>
      <c r="AG178" s="1371">
        <f t="shared" si="196"/>
        <v>1409.2894010159998</v>
      </c>
      <c r="AH178" s="1371">
        <f t="shared" si="196"/>
        <v>1459.6211653379999</v>
      </c>
      <c r="AI178" s="1371">
        <f t="shared" si="196"/>
        <v>1509.9529296599999</v>
      </c>
      <c r="AJ178" s="1371">
        <f t="shared" si="196"/>
        <v>1560.2846939819999</v>
      </c>
      <c r="AK178" s="1371">
        <f t="shared" si="196"/>
        <v>1610.6164583039999</v>
      </c>
      <c r="AL178" s="1371">
        <f t="shared" si="196"/>
        <v>1660.9482226259997</v>
      </c>
      <c r="AM178" s="1371">
        <f t="shared" si="196"/>
        <v>1711.279986948</v>
      </c>
      <c r="AN178" s="1371">
        <f t="shared" si="196"/>
        <v>1761.61175127</v>
      </c>
      <c r="AO178" s="1371">
        <f t="shared" si="196"/>
        <v>1811.943515592</v>
      </c>
      <c r="AP178" s="1371">
        <f t="shared" si="196"/>
        <v>1862.2752799140001</v>
      </c>
      <c r="AQ178" s="1371">
        <f t="shared" si="196"/>
        <v>1912.6070442359999</v>
      </c>
      <c r="AR178" s="1371">
        <f t="shared" si="196"/>
        <v>1962.9388085579999</v>
      </c>
      <c r="AS178" s="1371">
        <f t="shared" si="196"/>
        <v>2013.2705728799999</v>
      </c>
      <c r="AT178" s="1371">
        <f t="shared" si="196"/>
        <v>2063.6023372019999</v>
      </c>
      <c r="AU178" s="1371">
        <f t="shared" si="196"/>
        <v>2113.9341015240002</v>
      </c>
      <c r="AV178" s="1371">
        <f t="shared" si="196"/>
        <v>2164.265865846</v>
      </c>
      <c r="AW178" s="1371">
        <f t="shared" si="196"/>
        <v>2214.5976301680003</v>
      </c>
      <c r="AX178" s="1371">
        <f t="shared" si="196"/>
        <v>2264.92939449</v>
      </c>
      <c r="AY178" s="1371">
        <f t="shared" si="196"/>
        <v>2315.2611588119998</v>
      </c>
      <c r="AZ178" s="1371">
        <f t="shared" si="196"/>
        <v>2365.5929231340001</v>
      </c>
      <c r="BA178" s="1371">
        <f t="shared" si="196"/>
        <v>2415.9246874559999</v>
      </c>
      <c r="BB178" s="1371">
        <f t="shared" si="196"/>
        <v>2466.2564517780002</v>
      </c>
      <c r="BC178" s="1371">
        <f t="shared" si="196"/>
        <v>2516.5882161</v>
      </c>
      <c r="BD178" s="1371">
        <f t="shared" si="196"/>
        <v>2566.9199804219998</v>
      </c>
      <c r="BE178" s="1371">
        <f t="shared" si="196"/>
        <v>2617.251744744</v>
      </c>
      <c r="BF178" s="1371">
        <f t="shared" si="196"/>
        <v>2667.5835090659998</v>
      </c>
      <c r="BG178" s="1307" t="str">
        <f t="array" ref="BG178">INDEX(E178:E178&amp;"."&amp;F178:F178&amp;"."&amp;$J$71:$BF$71&amp;"."&amp;G178:G178,IFERROR(MATCH($C$10,$J178:$BF178),0))</f>
        <v>150.260.1300.2ТГ</v>
      </c>
      <c r="BL178" s="1307" t="str">
        <f t="shared" si="184"/>
        <v>150.260.1300.2ТГ</v>
      </c>
    </row>
    <row r="179" spans="1:64" s="1307" customFormat="1">
      <c r="A179" s="2278"/>
      <c r="B179" s="2292" t="s">
        <v>5738</v>
      </c>
      <c r="C179" s="2292"/>
      <c r="D179" s="1369" t="s">
        <v>4588</v>
      </c>
      <c r="E179" s="1370">
        <v>150</v>
      </c>
      <c r="F179" s="1370">
        <v>300</v>
      </c>
      <c r="G179" s="1369" t="s">
        <v>227</v>
      </c>
      <c r="H179" s="1371">
        <f t="shared" ref="H179:BF179" si="197">((H$71-$H$4)/1000)*$N$46*(($C$8/70)^$Z$46)</f>
        <v>166.09679999999997</v>
      </c>
      <c r="I179" s="1372">
        <f t="shared" si="197"/>
        <v>221.4624</v>
      </c>
      <c r="J179" s="1371">
        <f t="shared" si="197"/>
        <v>276.82799999999997</v>
      </c>
      <c r="K179" s="1371">
        <f t="shared" si="197"/>
        <v>332.19359999999995</v>
      </c>
      <c r="L179" s="1371">
        <f t="shared" si="197"/>
        <v>387.55919999999992</v>
      </c>
      <c r="M179" s="1371">
        <f t="shared" si="197"/>
        <v>442.9248</v>
      </c>
      <c r="N179" s="1371">
        <f t="shared" si="197"/>
        <v>498.29039999999998</v>
      </c>
      <c r="O179" s="1371">
        <f t="shared" si="197"/>
        <v>553.65599999999995</v>
      </c>
      <c r="P179" s="1371">
        <f t="shared" si="197"/>
        <v>609.02160000000003</v>
      </c>
      <c r="Q179" s="1371">
        <f t="shared" si="197"/>
        <v>664.38719999999989</v>
      </c>
      <c r="R179" s="1371">
        <f t="shared" si="197"/>
        <v>719.75279999999998</v>
      </c>
      <c r="S179" s="1371">
        <f t="shared" si="197"/>
        <v>775.11839999999984</v>
      </c>
      <c r="T179" s="1371">
        <f t="shared" si="197"/>
        <v>830.48399999999992</v>
      </c>
      <c r="U179" s="1371">
        <f t="shared" si="197"/>
        <v>885.84960000000001</v>
      </c>
      <c r="V179" s="1371">
        <f t="shared" si="197"/>
        <v>941.21519999999987</v>
      </c>
      <c r="W179" s="1371">
        <f t="shared" si="197"/>
        <v>996.58079999999995</v>
      </c>
      <c r="X179" s="1371">
        <f t="shared" si="197"/>
        <v>1051.9463999999998</v>
      </c>
      <c r="Y179" s="1371">
        <f t="shared" si="197"/>
        <v>1107.3119999999999</v>
      </c>
      <c r="Z179" s="1371">
        <f t="shared" si="197"/>
        <v>1162.6776</v>
      </c>
      <c r="AA179" s="1371">
        <f t="shared" si="197"/>
        <v>1218.0432000000001</v>
      </c>
      <c r="AB179" s="1371">
        <f t="shared" si="197"/>
        <v>1273.4087999999997</v>
      </c>
      <c r="AC179" s="1371">
        <f t="shared" si="197"/>
        <v>1328.7743999999998</v>
      </c>
      <c r="AD179" s="1371">
        <f t="shared" si="197"/>
        <v>1384.1399999999999</v>
      </c>
      <c r="AE179" s="1371">
        <f t="shared" si="197"/>
        <v>1439.5056</v>
      </c>
      <c r="AF179" s="1371">
        <f t="shared" si="197"/>
        <v>1494.8712</v>
      </c>
      <c r="AG179" s="1371">
        <f t="shared" si="197"/>
        <v>1550.2367999999997</v>
      </c>
      <c r="AH179" s="1371">
        <f t="shared" si="197"/>
        <v>1605.6023999999998</v>
      </c>
      <c r="AI179" s="1371">
        <f t="shared" si="197"/>
        <v>1660.9679999999998</v>
      </c>
      <c r="AJ179" s="1371">
        <f t="shared" si="197"/>
        <v>1716.3335999999999</v>
      </c>
      <c r="AK179" s="1371">
        <f t="shared" si="197"/>
        <v>1771.6992</v>
      </c>
      <c r="AL179" s="1371">
        <f t="shared" si="197"/>
        <v>1827.0647999999997</v>
      </c>
      <c r="AM179" s="1371">
        <f t="shared" si="197"/>
        <v>1882.4303999999997</v>
      </c>
      <c r="AN179" s="1371">
        <f t="shared" si="197"/>
        <v>1937.7959999999998</v>
      </c>
      <c r="AO179" s="1371">
        <f t="shared" si="197"/>
        <v>1993.1615999999999</v>
      </c>
      <c r="AP179" s="1371">
        <f t="shared" si="197"/>
        <v>2048.5272</v>
      </c>
      <c r="AQ179" s="1371">
        <f t="shared" si="197"/>
        <v>2103.8927999999996</v>
      </c>
      <c r="AR179" s="1371">
        <f t="shared" si="197"/>
        <v>2159.2583999999997</v>
      </c>
      <c r="AS179" s="1371">
        <f t="shared" si="197"/>
        <v>2214.6239999999998</v>
      </c>
      <c r="AT179" s="1371">
        <f t="shared" si="197"/>
        <v>2269.9895999999994</v>
      </c>
      <c r="AU179" s="1371">
        <f t="shared" si="197"/>
        <v>2325.3552</v>
      </c>
      <c r="AV179" s="1371">
        <f t="shared" si="197"/>
        <v>2380.7207999999996</v>
      </c>
      <c r="AW179" s="1371">
        <f t="shared" si="197"/>
        <v>2436.0864000000001</v>
      </c>
      <c r="AX179" s="1371">
        <f t="shared" si="197"/>
        <v>2491.4519999999998</v>
      </c>
      <c r="AY179" s="1371">
        <f t="shared" si="197"/>
        <v>2546.8175999999994</v>
      </c>
      <c r="AZ179" s="1371">
        <f t="shared" si="197"/>
        <v>2602.1831999999999</v>
      </c>
      <c r="BA179" s="1371">
        <f t="shared" si="197"/>
        <v>2657.5487999999996</v>
      </c>
      <c r="BB179" s="1371">
        <f t="shared" si="197"/>
        <v>2712.9144000000001</v>
      </c>
      <c r="BC179" s="1371">
        <f t="shared" si="197"/>
        <v>2768.2799999999997</v>
      </c>
      <c r="BD179" s="1371">
        <f t="shared" si="197"/>
        <v>2823.6455999999994</v>
      </c>
      <c r="BE179" s="1371">
        <f t="shared" si="197"/>
        <v>2879.0111999999999</v>
      </c>
      <c r="BF179" s="1371">
        <f t="shared" si="197"/>
        <v>2934.3767999999995</v>
      </c>
      <c r="BG179" s="1307" t="str">
        <f t="array" ref="BG179">INDEX(E179:E179&amp;"."&amp;F179:F179&amp;"."&amp;$J$71:$BF$71&amp;"."&amp;G179:G179,IFERROR(MATCH($C$10,$J179:$BF179),0))</f>
        <v>150.300.1250.2ТГ</v>
      </c>
      <c r="BL179" s="1307" t="str">
        <f t="shared" si="184"/>
        <v>150.300.1250.2ТГ</v>
      </c>
    </row>
    <row r="180" spans="1:64" s="1307" customFormat="1">
      <c r="A180" s="2278"/>
      <c r="B180" s="2292" t="s">
        <v>5739</v>
      </c>
      <c r="C180" s="2292"/>
      <c r="D180" s="1369" t="s">
        <v>4588</v>
      </c>
      <c r="E180" s="1370">
        <v>150</v>
      </c>
      <c r="F180" s="1370">
        <v>360</v>
      </c>
      <c r="G180" s="1369" t="s">
        <v>227</v>
      </c>
      <c r="H180" s="1371">
        <f t="shared" ref="H180:BF180" si="198">((H$71-$H$4)/1000)*$P$46*(($C$8/70)^$AB$46)</f>
        <v>173.11131644952599</v>
      </c>
      <c r="I180" s="1372">
        <f t="shared" si="198"/>
        <v>230.81508859936798</v>
      </c>
      <c r="J180" s="1371">
        <f t="shared" si="198"/>
        <v>288.51886074920998</v>
      </c>
      <c r="K180" s="1371">
        <f t="shared" si="198"/>
        <v>346.22263289905197</v>
      </c>
      <c r="L180" s="1371">
        <f t="shared" si="198"/>
        <v>403.92640504889397</v>
      </c>
      <c r="M180" s="1371">
        <f t="shared" si="198"/>
        <v>461.63017719873596</v>
      </c>
      <c r="N180" s="1371">
        <f t="shared" si="198"/>
        <v>519.33394934857802</v>
      </c>
      <c r="O180" s="1371">
        <f t="shared" si="198"/>
        <v>577.03772149841996</v>
      </c>
      <c r="P180" s="1371">
        <f t="shared" si="198"/>
        <v>634.74149364826201</v>
      </c>
      <c r="Q180" s="1371">
        <f t="shared" si="198"/>
        <v>692.44526579810395</v>
      </c>
      <c r="R180" s="1371">
        <f t="shared" si="198"/>
        <v>750.149037947946</v>
      </c>
      <c r="S180" s="1371">
        <f t="shared" si="198"/>
        <v>807.85281009778794</v>
      </c>
      <c r="T180" s="1371">
        <f t="shared" si="198"/>
        <v>865.55658224762988</v>
      </c>
      <c r="U180" s="1371">
        <f t="shared" si="198"/>
        <v>923.26035439747193</v>
      </c>
      <c r="V180" s="1371">
        <f t="shared" si="198"/>
        <v>980.96412654731387</v>
      </c>
      <c r="W180" s="1371">
        <f t="shared" si="198"/>
        <v>1038.667898697156</v>
      </c>
      <c r="X180" s="1371">
        <f t="shared" si="198"/>
        <v>1096.3716708469979</v>
      </c>
      <c r="Y180" s="1371">
        <f t="shared" si="198"/>
        <v>1154.0754429968399</v>
      </c>
      <c r="Z180" s="1371">
        <f t="shared" si="198"/>
        <v>1211.779215146682</v>
      </c>
      <c r="AA180" s="1371">
        <f t="shared" si="198"/>
        <v>1269.482987296524</v>
      </c>
      <c r="AB180" s="1371">
        <f t="shared" si="198"/>
        <v>1327.1867594463658</v>
      </c>
      <c r="AC180" s="1371">
        <f t="shared" si="198"/>
        <v>1384.8905315962079</v>
      </c>
      <c r="AD180" s="1371">
        <f t="shared" si="198"/>
        <v>1442.5943037460499</v>
      </c>
      <c r="AE180" s="1371">
        <f t="shared" si="198"/>
        <v>1500.298075895892</v>
      </c>
      <c r="AF180" s="1371">
        <f t="shared" si="198"/>
        <v>1558.0018480457341</v>
      </c>
      <c r="AG180" s="1371">
        <f t="shared" si="198"/>
        <v>1615.7056201955759</v>
      </c>
      <c r="AH180" s="1371">
        <f t="shared" si="198"/>
        <v>1673.4093923454179</v>
      </c>
      <c r="AI180" s="1371">
        <f t="shared" si="198"/>
        <v>1731.1131644952598</v>
      </c>
      <c r="AJ180" s="1371">
        <f t="shared" si="198"/>
        <v>1788.8169366451018</v>
      </c>
      <c r="AK180" s="1371">
        <f t="shared" si="198"/>
        <v>1846.5207087949439</v>
      </c>
      <c r="AL180" s="1371">
        <f t="shared" si="198"/>
        <v>1904.2244809447857</v>
      </c>
      <c r="AM180" s="1371">
        <f t="shared" si="198"/>
        <v>1961.9282530946277</v>
      </c>
      <c r="AN180" s="1371">
        <f t="shared" si="198"/>
        <v>2019.6320252444698</v>
      </c>
      <c r="AO180" s="1371">
        <f t="shared" si="198"/>
        <v>2077.3357973943121</v>
      </c>
      <c r="AP180" s="1371">
        <f t="shared" si="198"/>
        <v>2135.0395695441539</v>
      </c>
      <c r="AQ180" s="1371">
        <f t="shared" si="198"/>
        <v>2192.7433416939957</v>
      </c>
      <c r="AR180" s="1371">
        <f t="shared" si="198"/>
        <v>2250.447113843838</v>
      </c>
      <c r="AS180" s="1371">
        <f t="shared" si="198"/>
        <v>2308.1508859936798</v>
      </c>
      <c r="AT180" s="1371">
        <f t="shared" si="198"/>
        <v>2365.8546581435216</v>
      </c>
      <c r="AU180" s="1371">
        <f t="shared" si="198"/>
        <v>2423.5584302933639</v>
      </c>
      <c r="AV180" s="1371">
        <f t="shared" si="198"/>
        <v>2481.2622024432058</v>
      </c>
      <c r="AW180" s="1371">
        <f t="shared" si="198"/>
        <v>2538.965974593048</v>
      </c>
      <c r="AX180" s="1371">
        <f t="shared" si="198"/>
        <v>2596.6697467428899</v>
      </c>
      <c r="AY180" s="1371">
        <f t="shared" si="198"/>
        <v>2654.3735188927317</v>
      </c>
      <c r="AZ180" s="1371">
        <f t="shared" si="198"/>
        <v>2712.077291042574</v>
      </c>
      <c r="BA180" s="1371">
        <f t="shared" si="198"/>
        <v>2769.7810631924158</v>
      </c>
      <c r="BB180" s="1371">
        <f t="shared" si="198"/>
        <v>2827.4848353422581</v>
      </c>
      <c r="BC180" s="1371">
        <f t="shared" si="198"/>
        <v>2885.1886074920999</v>
      </c>
      <c r="BD180" s="1371">
        <f t="shared" si="198"/>
        <v>2942.8923796419417</v>
      </c>
      <c r="BE180" s="1371">
        <f t="shared" si="198"/>
        <v>3000.596151791784</v>
      </c>
      <c r="BF180" s="1371">
        <f t="shared" si="198"/>
        <v>3058.2999239416258</v>
      </c>
      <c r="BG180" s="1307" t="str">
        <f t="array" ref="BG180">INDEX(E180:E180&amp;"."&amp;F180:F180&amp;"."&amp;$J$71:$BF$71&amp;"."&amp;G180:G180,IFERROR(MATCH($C$10,$J180:$BF180),0))</f>
        <v>150.360.1200.2ТГ</v>
      </c>
      <c r="BL180" s="1307" t="str">
        <f t="shared" si="184"/>
        <v>150.360.1200.2ТГ</v>
      </c>
    </row>
    <row r="181" spans="1:64" s="1307" customFormat="1">
      <c r="A181" s="2278"/>
      <c r="B181" s="2292" t="s">
        <v>5740</v>
      </c>
      <c r="C181" s="2292"/>
      <c r="D181" s="1369" t="s">
        <v>4588</v>
      </c>
      <c r="E181" s="1370">
        <v>150</v>
      </c>
      <c r="F181" s="1370">
        <v>360</v>
      </c>
      <c r="G181" s="1369" t="s">
        <v>232</v>
      </c>
      <c r="H181" s="1371">
        <f t="shared" ref="H181:BF181" si="199">((H$71-$H$4)/1000)*$Q$46*(($C$8/70)^$AC46)</f>
        <v>190.23221587859999</v>
      </c>
      <c r="I181" s="1372">
        <f t="shared" si="199"/>
        <v>253.6429545048</v>
      </c>
      <c r="J181" s="1371">
        <f t="shared" si="199"/>
        <v>317.05369313099999</v>
      </c>
      <c r="K181" s="1371">
        <f t="shared" si="199"/>
        <v>380.46443175719997</v>
      </c>
      <c r="L181" s="1371">
        <f t="shared" si="199"/>
        <v>443.87517038339996</v>
      </c>
      <c r="M181" s="1371">
        <f t="shared" si="199"/>
        <v>507.2859090096</v>
      </c>
      <c r="N181" s="1371">
        <f t="shared" si="199"/>
        <v>570.69664763579999</v>
      </c>
      <c r="O181" s="1371">
        <f t="shared" si="199"/>
        <v>634.10738626199998</v>
      </c>
      <c r="P181" s="1371">
        <f t="shared" si="199"/>
        <v>697.51812488820008</v>
      </c>
      <c r="Q181" s="1371">
        <f t="shared" si="199"/>
        <v>760.92886351439995</v>
      </c>
      <c r="R181" s="1371">
        <f t="shared" si="199"/>
        <v>824.33960214060005</v>
      </c>
      <c r="S181" s="1371">
        <f t="shared" si="199"/>
        <v>887.75034076679992</v>
      </c>
      <c r="T181" s="1371">
        <f t="shared" si="199"/>
        <v>951.16107939299991</v>
      </c>
      <c r="U181" s="1371">
        <f t="shared" si="199"/>
        <v>1014.5718180192</v>
      </c>
      <c r="V181" s="1371">
        <f t="shared" si="199"/>
        <v>1077.9825566453999</v>
      </c>
      <c r="W181" s="1371">
        <f t="shared" si="199"/>
        <v>1141.3932952716</v>
      </c>
      <c r="X181" s="1371">
        <f t="shared" si="199"/>
        <v>1204.8040338977999</v>
      </c>
      <c r="Y181" s="1371">
        <f t="shared" si="199"/>
        <v>1268.214772524</v>
      </c>
      <c r="Z181" s="1371">
        <f t="shared" si="199"/>
        <v>1331.6255111502001</v>
      </c>
      <c r="AA181" s="1371">
        <f t="shared" si="199"/>
        <v>1395.0362497764002</v>
      </c>
      <c r="AB181" s="1371">
        <f t="shared" si="199"/>
        <v>1458.4469884025998</v>
      </c>
      <c r="AC181" s="1371">
        <f t="shared" si="199"/>
        <v>1521.8577270287999</v>
      </c>
      <c r="AD181" s="1371">
        <f t="shared" si="199"/>
        <v>1585.268465655</v>
      </c>
      <c r="AE181" s="1371">
        <f t="shared" si="199"/>
        <v>1648.6792042812001</v>
      </c>
      <c r="AF181" s="1371">
        <f t="shared" si="199"/>
        <v>1712.0899429074</v>
      </c>
      <c r="AG181" s="1371">
        <f t="shared" si="199"/>
        <v>1775.5006815335998</v>
      </c>
      <c r="AH181" s="1371">
        <f t="shared" si="199"/>
        <v>1838.9114201597999</v>
      </c>
      <c r="AI181" s="1371">
        <f t="shared" si="199"/>
        <v>1902.3221587859998</v>
      </c>
      <c r="AJ181" s="1371">
        <f t="shared" si="199"/>
        <v>1965.7328974121999</v>
      </c>
      <c r="AK181" s="1371">
        <f t="shared" si="199"/>
        <v>2029.1436360384</v>
      </c>
      <c r="AL181" s="1371">
        <f t="shared" si="199"/>
        <v>2092.5543746645999</v>
      </c>
      <c r="AM181" s="1371">
        <f t="shared" si="199"/>
        <v>2155.9651132907998</v>
      </c>
      <c r="AN181" s="1371">
        <f t="shared" si="199"/>
        <v>2219.3758519170001</v>
      </c>
      <c r="AO181" s="1371">
        <f t="shared" si="199"/>
        <v>2282.7865905432</v>
      </c>
      <c r="AP181" s="1371">
        <f t="shared" si="199"/>
        <v>2346.1973291693998</v>
      </c>
      <c r="AQ181" s="1371">
        <f t="shared" si="199"/>
        <v>2409.6080677955997</v>
      </c>
      <c r="AR181" s="1371">
        <f t="shared" si="199"/>
        <v>2473.0188064218</v>
      </c>
      <c r="AS181" s="1371">
        <f t="shared" si="199"/>
        <v>2536.4295450479999</v>
      </c>
      <c r="AT181" s="1371">
        <f t="shared" si="199"/>
        <v>2599.8402836741998</v>
      </c>
      <c r="AU181" s="1371">
        <f t="shared" si="199"/>
        <v>2663.2510223004001</v>
      </c>
      <c r="AV181" s="1371">
        <f t="shared" si="199"/>
        <v>2726.6617609266</v>
      </c>
      <c r="AW181" s="1371">
        <f t="shared" si="199"/>
        <v>2790.0724995528003</v>
      </c>
      <c r="AX181" s="1371">
        <f t="shared" si="199"/>
        <v>2853.4832381789997</v>
      </c>
      <c r="AY181" s="1371">
        <f t="shared" si="199"/>
        <v>2916.8939768051996</v>
      </c>
      <c r="AZ181" s="1371">
        <f t="shared" si="199"/>
        <v>2980.3047154313999</v>
      </c>
      <c r="BA181" s="1371">
        <f t="shared" si="199"/>
        <v>3043.7154540575998</v>
      </c>
      <c r="BB181" s="1371">
        <f t="shared" si="199"/>
        <v>3107.1261926838001</v>
      </c>
      <c r="BC181" s="1371">
        <f t="shared" si="199"/>
        <v>3170.53693131</v>
      </c>
      <c r="BD181" s="1371">
        <f t="shared" si="199"/>
        <v>3233.9476699361999</v>
      </c>
      <c r="BE181" s="1371">
        <f t="shared" si="199"/>
        <v>3297.3584085624002</v>
      </c>
      <c r="BF181" s="1371">
        <f t="shared" si="199"/>
        <v>3360.7691471885996</v>
      </c>
      <c r="BG181" s="1307" t="str">
        <f t="array" ref="BG181">INDEX(E181:E181&amp;"."&amp;F181:F181&amp;"."&amp;$J$71:$BF$71&amp;"."&amp;G181:G181,IFERROR(MATCH($C$10,$J181:$BF181),0))</f>
        <v>150.360.1100.4ТГ</v>
      </c>
      <c r="BL181" s="1307" t="str">
        <f t="shared" si="184"/>
        <v>150.360.1100.4ТГ</v>
      </c>
    </row>
    <row r="182" spans="1:64" s="1307" customFormat="1" ht="15.75" thickBot="1">
      <c r="A182" s="2278"/>
      <c r="B182" s="2293" t="s">
        <v>5741</v>
      </c>
      <c r="C182" s="2293"/>
      <c r="D182" s="1373" t="s">
        <v>4588</v>
      </c>
      <c r="E182" s="1374">
        <v>150</v>
      </c>
      <c r="F182" s="1374">
        <v>400</v>
      </c>
      <c r="G182" s="1373" t="s">
        <v>232</v>
      </c>
      <c r="H182" s="1375">
        <f t="shared" ref="H182:BF182" si="200">((H$71-$H$4)/1000)*$S$46*(($C$8/70)^$AE$46)</f>
        <v>204.83999999999997</v>
      </c>
      <c r="I182" s="1376">
        <f t="shared" si="200"/>
        <v>273.12</v>
      </c>
      <c r="J182" s="1375">
        <f t="shared" si="200"/>
        <v>341.4</v>
      </c>
      <c r="K182" s="1375">
        <f t="shared" si="200"/>
        <v>409.67999999999995</v>
      </c>
      <c r="L182" s="1375">
        <f t="shared" si="200"/>
        <v>477.95999999999992</v>
      </c>
      <c r="M182" s="1375">
        <f t="shared" si="200"/>
        <v>546.24</v>
      </c>
      <c r="N182" s="1375">
        <f t="shared" si="200"/>
        <v>614.52</v>
      </c>
      <c r="O182" s="1375">
        <f t="shared" si="200"/>
        <v>682.8</v>
      </c>
      <c r="P182" s="1375">
        <f t="shared" si="200"/>
        <v>751.08</v>
      </c>
      <c r="Q182" s="1375">
        <f t="shared" si="200"/>
        <v>819.3599999999999</v>
      </c>
      <c r="R182" s="1375">
        <f t="shared" si="200"/>
        <v>887.64</v>
      </c>
      <c r="S182" s="1375">
        <f t="shared" si="200"/>
        <v>955.91999999999985</v>
      </c>
      <c r="T182" s="1375">
        <f t="shared" si="200"/>
        <v>1024.1999999999998</v>
      </c>
      <c r="U182" s="1375">
        <f t="shared" si="200"/>
        <v>1092.48</v>
      </c>
      <c r="V182" s="1375">
        <f t="shared" si="200"/>
        <v>1160.76</v>
      </c>
      <c r="W182" s="1375">
        <f t="shared" si="200"/>
        <v>1229.04</v>
      </c>
      <c r="X182" s="1375">
        <f t="shared" si="200"/>
        <v>1297.32</v>
      </c>
      <c r="Y182" s="1375">
        <f t="shared" si="200"/>
        <v>1365.6</v>
      </c>
      <c r="Z182" s="1375">
        <f t="shared" si="200"/>
        <v>1433.8799999999999</v>
      </c>
      <c r="AA182" s="1375">
        <f t="shared" si="200"/>
        <v>1502.16</v>
      </c>
      <c r="AB182" s="1375">
        <f t="shared" si="200"/>
        <v>1570.4399999999998</v>
      </c>
      <c r="AC182" s="1375">
        <f t="shared" si="200"/>
        <v>1638.7199999999998</v>
      </c>
      <c r="AD182" s="1375">
        <f t="shared" si="200"/>
        <v>1707</v>
      </c>
      <c r="AE182" s="1375">
        <f t="shared" si="200"/>
        <v>1775.28</v>
      </c>
      <c r="AF182" s="1375">
        <f t="shared" si="200"/>
        <v>1843.56</v>
      </c>
      <c r="AG182" s="1375">
        <f t="shared" si="200"/>
        <v>1911.8399999999997</v>
      </c>
      <c r="AH182" s="1375">
        <f t="shared" si="200"/>
        <v>1980.12</v>
      </c>
      <c r="AI182" s="1375">
        <f t="shared" si="200"/>
        <v>2048.3999999999996</v>
      </c>
      <c r="AJ182" s="1375">
        <f t="shared" si="200"/>
        <v>2116.6799999999998</v>
      </c>
      <c r="AK182" s="1375">
        <f t="shared" si="200"/>
        <v>2184.96</v>
      </c>
      <c r="AL182" s="1375">
        <f t="shared" si="200"/>
        <v>2253.2399999999998</v>
      </c>
      <c r="AM182" s="1375">
        <f t="shared" si="200"/>
        <v>2321.52</v>
      </c>
      <c r="AN182" s="1375">
        <f t="shared" si="200"/>
        <v>2389.7999999999997</v>
      </c>
      <c r="AO182" s="1375">
        <f t="shared" si="200"/>
        <v>2458.08</v>
      </c>
      <c r="AP182" s="1375">
        <f t="shared" si="200"/>
        <v>2526.36</v>
      </c>
      <c r="AQ182" s="1375">
        <f t="shared" si="200"/>
        <v>2594.64</v>
      </c>
      <c r="AR182" s="1375">
        <f t="shared" si="200"/>
        <v>2662.9199999999996</v>
      </c>
      <c r="AS182" s="1375">
        <f t="shared" si="200"/>
        <v>2731.2</v>
      </c>
      <c r="AT182" s="1375">
        <f t="shared" si="200"/>
        <v>2799.4799999999996</v>
      </c>
      <c r="AU182" s="1375">
        <f t="shared" si="200"/>
        <v>2867.7599999999998</v>
      </c>
      <c r="AV182" s="1375">
        <f t="shared" si="200"/>
        <v>2936.0399999999995</v>
      </c>
      <c r="AW182" s="1375">
        <f t="shared" si="200"/>
        <v>3004.32</v>
      </c>
      <c r="AX182" s="1375">
        <f t="shared" si="200"/>
        <v>3072.6</v>
      </c>
      <c r="AY182" s="1375">
        <f t="shared" si="200"/>
        <v>3140.8799999999997</v>
      </c>
      <c r="AZ182" s="1375">
        <f t="shared" si="200"/>
        <v>3209.16</v>
      </c>
      <c r="BA182" s="1375">
        <f t="shared" si="200"/>
        <v>3277.4399999999996</v>
      </c>
      <c r="BB182" s="1375">
        <f t="shared" si="200"/>
        <v>3345.72</v>
      </c>
      <c r="BC182" s="1375">
        <f t="shared" si="200"/>
        <v>3414</v>
      </c>
      <c r="BD182" s="1375">
        <f t="shared" si="200"/>
        <v>3482.2799999999997</v>
      </c>
      <c r="BE182" s="1375">
        <f t="shared" si="200"/>
        <v>3550.56</v>
      </c>
      <c r="BF182" s="1375">
        <f t="shared" si="200"/>
        <v>3618.8399999999997</v>
      </c>
      <c r="BG182" s="1307" t="str">
        <f t="array" ref="BG182">INDEX(E182:E182&amp;"."&amp;F182:F182&amp;"."&amp;$J$71:$BF$71&amp;"."&amp;G182:G182,IFERROR(MATCH($C$10,$J182:$BF182),0))</f>
        <v>150.400.1050.4ТГ</v>
      </c>
      <c r="BL182" s="1307" t="str">
        <f t="shared" si="184"/>
        <v>150.400.1050.4ТГ</v>
      </c>
    </row>
    <row r="183" spans="1:64" s="1307" customFormat="1" ht="15" hidden="1" customHeight="1">
      <c r="A183" s="2278"/>
      <c r="B183" s="2232" t="s">
        <v>5742</v>
      </c>
      <c r="C183" s="2232"/>
      <c r="D183" s="1377" t="s">
        <v>4588</v>
      </c>
      <c r="E183" s="1378">
        <v>200</v>
      </c>
      <c r="F183" s="1378">
        <v>160</v>
      </c>
      <c r="G183" s="1377" t="s">
        <v>5743</v>
      </c>
      <c r="H183" s="1379">
        <f t="shared" ref="H183:BF183" si="201">((H$71-$H$4)/1000)*$K$47*(($C$8/70)^$W$47)</f>
        <v>104.5624464</v>
      </c>
      <c r="I183" s="1380">
        <f t="shared" si="201"/>
        <v>139.41659520000002</v>
      </c>
      <c r="J183" s="1379">
        <f t="shared" si="201"/>
        <v>174.27074400000001</v>
      </c>
      <c r="K183" s="1379">
        <f t="shared" si="201"/>
        <v>209.1248928</v>
      </c>
      <c r="L183" s="1379">
        <f t="shared" si="201"/>
        <v>243.97904159999999</v>
      </c>
      <c r="M183" s="1379">
        <f t="shared" si="201"/>
        <v>278.83319040000003</v>
      </c>
      <c r="N183" s="1379">
        <f t="shared" si="201"/>
        <v>313.6873392</v>
      </c>
      <c r="O183" s="1379">
        <f t="shared" si="201"/>
        <v>348.54148800000002</v>
      </c>
      <c r="P183" s="1379">
        <f t="shared" si="201"/>
        <v>383.39563680000003</v>
      </c>
      <c r="Q183" s="1379">
        <f t="shared" si="201"/>
        <v>418.2497856</v>
      </c>
      <c r="R183" s="1379">
        <f t="shared" si="201"/>
        <v>453.10393440000001</v>
      </c>
      <c r="S183" s="1379">
        <f t="shared" si="201"/>
        <v>487.95808319999998</v>
      </c>
      <c r="T183" s="1379">
        <f t="shared" si="201"/>
        <v>522.81223199999999</v>
      </c>
      <c r="U183" s="1379">
        <f t="shared" si="201"/>
        <v>557.66638080000007</v>
      </c>
      <c r="V183" s="1379">
        <f t="shared" si="201"/>
        <v>592.52052960000003</v>
      </c>
      <c r="W183" s="1379">
        <f t="shared" si="201"/>
        <v>627.37467839999999</v>
      </c>
      <c r="X183" s="1379">
        <f t="shared" si="201"/>
        <v>662.22882719999996</v>
      </c>
      <c r="Y183" s="1379">
        <f t="shared" si="201"/>
        <v>697.08297600000003</v>
      </c>
      <c r="Z183" s="1379">
        <f t="shared" si="201"/>
        <v>731.93712480000011</v>
      </c>
      <c r="AA183" s="1379">
        <f t="shared" si="201"/>
        <v>766.79127360000007</v>
      </c>
      <c r="AB183" s="1379">
        <f t="shared" si="201"/>
        <v>801.64542240000003</v>
      </c>
      <c r="AC183" s="1379">
        <f t="shared" si="201"/>
        <v>836.49957119999999</v>
      </c>
      <c r="AD183" s="1379">
        <f t="shared" si="201"/>
        <v>871.35372000000007</v>
      </c>
      <c r="AE183" s="1379">
        <f t="shared" si="201"/>
        <v>906.20786880000003</v>
      </c>
      <c r="AF183" s="1379">
        <f t="shared" si="201"/>
        <v>941.0620176000001</v>
      </c>
      <c r="AG183" s="1379">
        <f t="shared" si="201"/>
        <v>975.91616639999995</v>
      </c>
      <c r="AH183" s="1379">
        <f t="shared" si="201"/>
        <v>1010.7703152</v>
      </c>
      <c r="AI183" s="1379">
        <f t="shared" si="201"/>
        <v>1045.624464</v>
      </c>
      <c r="AJ183" s="1379">
        <f t="shared" si="201"/>
        <v>1080.4786128000001</v>
      </c>
      <c r="AK183" s="1379">
        <f t="shared" si="201"/>
        <v>1115.3327616000001</v>
      </c>
      <c r="AL183" s="1379">
        <f t="shared" si="201"/>
        <v>1150.1869104</v>
      </c>
      <c r="AM183" s="1379">
        <f t="shared" si="201"/>
        <v>1185.0410592000001</v>
      </c>
      <c r="AN183" s="1379">
        <f t="shared" si="201"/>
        <v>1219.8952080000001</v>
      </c>
      <c r="AO183" s="1379">
        <f t="shared" si="201"/>
        <v>1254.7493568</v>
      </c>
      <c r="AP183" s="1379">
        <f t="shared" si="201"/>
        <v>1289.6035056000001</v>
      </c>
      <c r="AQ183" s="1379">
        <f t="shared" si="201"/>
        <v>1324.4576543999999</v>
      </c>
      <c r="AR183" s="1379">
        <f t="shared" si="201"/>
        <v>1359.3118032</v>
      </c>
      <c r="AS183" s="1379">
        <f t="shared" si="201"/>
        <v>1394.1659520000001</v>
      </c>
      <c r="AT183" s="1379">
        <f t="shared" si="201"/>
        <v>1429.0201007999999</v>
      </c>
      <c r="AU183" s="1379">
        <f t="shared" si="201"/>
        <v>1463.8742496000002</v>
      </c>
      <c r="AV183" s="1379">
        <f t="shared" si="201"/>
        <v>1498.7283984000001</v>
      </c>
      <c r="AW183" s="1379">
        <f t="shared" si="201"/>
        <v>1533.5825472000001</v>
      </c>
      <c r="AX183" s="1379">
        <f t="shared" si="201"/>
        <v>1568.436696</v>
      </c>
      <c r="AY183" s="1379">
        <f t="shared" si="201"/>
        <v>1603.2908448000001</v>
      </c>
      <c r="AZ183" s="1379">
        <f t="shared" si="201"/>
        <v>1638.1449936000001</v>
      </c>
      <c r="BA183" s="1379">
        <f t="shared" si="201"/>
        <v>1672.9991424</v>
      </c>
      <c r="BB183" s="1379">
        <f t="shared" si="201"/>
        <v>1707.8532912000003</v>
      </c>
      <c r="BC183" s="1379">
        <f t="shared" si="201"/>
        <v>1742.7074400000001</v>
      </c>
      <c r="BD183" s="1379">
        <f t="shared" si="201"/>
        <v>1777.5615888</v>
      </c>
      <c r="BE183" s="1379">
        <f t="shared" si="201"/>
        <v>1812.4157376000001</v>
      </c>
      <c r="BF183" s="1379">
        <f t="shared" si="201"/>
        <v>1847.2698864000001</v>
      </c>
      <c r="BG183" s="1307" t="str">
        <f t="array" ref="BG183">INDEX(E183:E183&amp;"."&amp;F183:F183&amp;"."&amp;$J$71:$BF$71&amp;"."&amp;G183:G183,IFERROR(MATCH($C$10,$J183:$BF183),0))</f>
        <v>200.160.1750.2ТВ</v>
      </c>
      <c r="BL183" s="1307" t="str">
        <f t="shared" si="184"/>
        <v>200.160.1750.2ТВ</v>
      </c>
    </row>
    <row r="184" spans="1:64" s="1307" customFormat="1">
      <c r="A184" s="2278"/>
      <c r="B184" s="2233" t="s">
        <v>5744</v>
      </c>
      <c r="C184" s="2233"/>
      <c r="D184" s="1381" t="s">
        <v>4588</v>
      </c>
      <c r="E184" s="1382">
        <v>200</v>
      </c>
      <c r="F184" s="1382">
        <v>200</v>
      </c>
      <c r="G184" s="1381" t="s">
        <v>286</v>
      </c>
      <c r="H184" s="1383">
        <f t="shared" ref="H184:BF184" si="202">((H$71-$H$4)/1000)*$L$47*(($C$8/70)^$X$47)</f>
        <v>207.53755243454583</v>
      </c>
      <c r="I184" s="1384">
        <f t="shared" si="202"/>
        <v>276.71673657939448</v>
      </c>
      <c r="J184" s="1383">
        <f t="shared" si="202"/>
        <v>345.89592072424307</v>
      </c>
      <c r="K184" s="1383">
        <f t="shared" si="202"/>
        <v>415.07510486909166</v>
      </c>
      <c r="L184" s="1383">
        <f t="shared" si="202"/>
        <v>484.25428901394025</v>
      </c>
      <c r="M184" s="1383">
        <f t="shared" si="202"/>
        <v>553.43347315878896</v>
      </c>
      <c r="N184" s="1383">
        <f t="shared" si="202"/>
        <v>622.61265730363755</v>
      </c>
      <c r="O184" s="1383">
        <f t="shared" si="202"/>
        <v>691.79184144848614</v>
      </c>
      <c r="P184" s="1383">
        <f t="shared" si="202"/>
        <v>760.97102559333484</v>
      </c>
      <c r="Q184" s="1383">
        <f t="shared" si="202"/>
        <v>830.15020973818332</v>
      </c>
      <c r="R184" s="1383">
        <f t="shared" si="202"/>
        <v>899.32939388303203</v>
      </c>
      <c r="S184" s="1383">
        <f t="shared" si="202"/>
        <v>968.5085780278805</v>
      </c>
      <c r="T184" s="1383">
        <f t="shared" si="202"/>
        <v>1037.6877621727292</v>
      </c>
      <c r="U184" s="1383">
        <f t="shared" si="202"/>
        <v>1106.8669463175779</v>
      </c>
      <c r="V184" s="1383">
        <f t="shared" si="202"/>
        <v>1176.0461304624264</v>
      </c>
      <c r="W184" s="1383">
        <f t="shared" si="202"/>
        <v>1245.2253146072751</v>
      </c>
      <c r="X184" s="1383">
        <f t="shared" si="202"/>
        <v>1314.4044987521236</v>
      </c>
      <c r="Y184" s="1383">
        <f t="shared" si="202"/>
        <v>1383.5836828969723</v>
      </c>
      <c r="Z184" s="1383">
        <f t="shared" si="202"/>
        <v>1452.762867041821</v>
      </c>
      <c r="AA184" s="1383">
        <f t="shared" si="202"/>
        <v>1521.9420511866697</v>
      </c>
      <c r="AB184" s="1383">
        <f t="shared" si="202"/>
        <v>1591.1212353315179</v>
      </c>
      <c r="AC184" s="1383">
        <f t="shared" si="202"/>
        <v>1660.3004194763666</v>
      </c>
      <c r="AD184" s="1383">
        <f t="shared" si="202"/>
        <v>1729.4796036212153</v>
      </c>
      <c r="AE184" s="1383">
        <f t="shared" si="202"/>
        <v>1798.6587877660641</v>
      </c>
      <c r="AF184" s="1383">
        <f t="shared" si="202"/>
        <v>1867.8379719109128</v>
      </c>
      <c r="AG184" s="1383">
        <f t="shared" si="202"/>
        <v>1937.017156055761</v>
      </c>
      <c r="AH184" s="1383">
        <f t="shared" si="202"/>
        <v>2006.1963402006097</v>
      </c>
      <c r="AI184" s="1383">
        <f t="shared" si="202"/>
        <v>2075.3755243454584</v>
      </c>
      <c r="AJ184" s="1383">
        <f t="shared" si="202"/>
        <v>2144.5547084903069</v>
      </c>
      <c r="AK184" s="1383">
        <f t="shared" si="202"/>
        <v>2213.7338926351558</v>
      </c>
      <c r="AL184" s="1383">
        <f t="shared" si="202"/>
        <v>2282.9130767800043</v>
      </c>
      <c r="AM184" s="1383">
        <f t="shared" si="202"/>
        <v>2352.0922609248528</v>
      </c>
      <c r="AN184" s="1383">
        <f t="shared" si="202"/>
        <v>2421.2714450697013</v>
      </c>
      <c r="AO184" s="1383">
        <f t="shared" si="202"/>
        <v>2490.4506292145502</v>
      </c>
      <c r="AP184" s="1383">
        <f t="shared" si="202"/>
        <v>2559.6298133593987</v>
      </c>
      <c r="AQ184" s="1383">
        <f t="shared" si="202"/>
        <v>2628.8089975042471</v>
      </c>
      <c r="AR184" s="1383">
        <f t="shared" si="202"/>
        <v>2697.9881816490961</v>
      </c>
      <c r="AS184" s="1383">
        <f t="shared" si="202"/>
        <v>2767.1673657939446</v>
      </c>
      <c r="AT184" s="1383">
        <f t="shared" si="202"/>
        <v>2836.346549938793</v>
      </c>
      <c r="AU184" s="1383">
        <f t="shared" si="202"/>
        <v>2905.525734083642</v>
      </c>
      <c r="AV184" s="1383">
        <f t="shared" si="202"/>
        <v>2974.7049182284904</v>
      </c>
      <c r="AW184" s="1383">
        <f t="shared" si="202"/>
        <v>3043.8841023733394</v>
      </c>
      <c r="AX184" s="1383">
        <f t="shared" si="202"/>
        <v>3113.0632865181879</v>
      </c>
      <c r="AY184" s="1383">
        <f t="shared" si="202"/>
        <v>3182.2424706630359</v>
      </c>
      <c r="AZ184" s="1383">
        <f t="shared" si="202"/>
        <v>3251.4216548078848</v>
      </c>
      <c r="BA184" s="1383">
        <f t="shared" si="202"/>
        <v>3320.6008389527333</v>
      </c>
      <c r="BB184" s="1383">
        <f t="shared" si="202"/>
        <v>3389.7800230975822</v>
      </c>
      <c r="BC184" s="1383">
        <f t="shared" si="202"/>
        <v>3458.9592072424307</v>
      </c>
      <c r="BD184" s="1383">
        <f t="shared" si="202"/>
        <v>3528.1383913872792</v>
      </c>
      <c r="BE184" s="1383">
        <f t="shared" si="202"/>
        <v>3597.3175755321281</v>
      </c>
      <c r="BF184" s="1383">
        <f t="shared" si="202"/>
        <v>3666.4967596769766</v>
      </c>
      <c r="BG184" s="1307" t="str">
        <f t="array" ref="BG184">INDEX(E184:E184&amp;"."&amp;F184:F184&amp;"."&amp;$J$71:$BF$71&amp;"."&amp;G184:G184,IFERROR(MATCH($C$10,$J184:$BF184),0))</f>
        <v>200.200.1050.4ТК</v>
      </c>
      <c r="BL184" s="1307" t="str">
        <f t="shared" si="184"/>
        <v>200.200.1050.4ТК</v>
      </c>
    </row>
    <row r="185" spans="1:64" s="1307" customFormat="1">
      <c r="A185" s="2278"/>
      <c r="B185" s="2233" t="s">
        <v>5745</v>
      </c>
      <c r="C185" s="2233"/>
      <c r="D185" s="1381" t="s">
        <v>4588</v>
      </c>
      <c r="E185" s="1382">
        <v>200</v>
      </c>
      <c r="F185" s="1382">
        <v>260</v>
      </c>
      <c r="G185" s="1381" t="s">
        <v>286</v>
      </c>
      <c r="H185" s="1383">
        <f t="shared" ref="H185:BF185" si="203">((H$71-$H$4)/1000)*$M$47*(($C$8/70)^$Y$47)</f>
        <v>223.1586585317697</v>
      </c>
      <c r="I185" s="1383">
        <f t="shared" si="203"/>
        <v>297.54487804235958</v>
      </c>
      <c r="J185" s="1383">
        <f t="shared" si="203"/>
        <v>371.9310975529495</v>
      </c>
      <c r="K185" s="1383">
        <f t="shared" si="203"/>
        <v>446.31731706353941</v>
      </c>
      <c r="L185" s="1383">
        <f t="shared" si="203"/>
        <v>520.70353657412932</v>
      </c>
      <c r="M185" s="1383">
        <f t="shared" si="203"/>
        <v>595.08975608471917</v>
      </c>
      <c r="N185" s="1383">
        <f t="shared" si="203"/>
        <v>669.47597559530914</v>
      </c>
      <c r="O185" s="1383">
        <f t="shared" si="203"/>
        <v>743.86219510589899</v>
      </c>
      <c r="P185" s="1383">
        <f t="shared" si="203"/>
        <v>818.24841461648896</v>
      </c>
      <c r="Q185" s="1383">
        <f t="shared" si="203"/>
        <v>892.63463412707881</v>
      </c>
      <c r="R185" s="1383">
        <f t="shared" si="203"/>
        <v>967.02085363766867</v>
      </c>
      <c r="S185" s="1383">
        <f t="shared" si="203"/>
        <v>1041.4070731482586</v>
      </c>
      <c r="T185" s="1383">
        <f t="shared" si="203"/>
        <v>1115.7932926588485</v>
      </c>
      <c r="U185" s="1383">
        <f t="shared" si="203"/>
        <v>1190.1795121694383</v>
      </c>
      <c r="V185" s="1383">
        <f t="shared" si="203"/>
        <v>1264.5657316800282</v>
      </c>
      <c r="W185" s="1383">
        <f t="shared" si="203"/>
        <v>1338.9519511906183</v>
      </c>
      <c r="X185" s="1383">
        <f t="shared" si="203"/>
        <v>1413.3381707012081</v>
      </c>
      <c r="Y185" s="1383">
        <f t="shared" si="203"/>
        <v>1487.724390211798</v>
      </c>
      <c r="Z185" s="1383">
        <f t="shared" si="203"/>
        <v>1562.1106097223878</v>
      </c>
      <c r="AA185" s="1383">
        <f t="shared" si="203"/>
        <v>1636.4968292329779</v>
      </c>
      <c r="AB185" s="1383">
        <f t="shared" si="203"/>
        <v>1710.8830487435675</v>
      </c>
      <c r="AC185" s="1383">
        <f t="shared" si="203"/>
        <v>1785.2692682541576</v>
      </c>
      <c r="AD185" s="1383">
        <f t="shared" si="203"/>
        <v>1859.6554877647475</v>
      </c>
      <c r="AE185" s="1383">
        <f t="shared" si="203"/>
        <v>1934.0417072753373</v>
      </c>
      <c r="AF185" s="1383">
        <f t="shared" si="203"/>
        <v>2008.4279267859274</v>
      </c>
      <c r="AG185" s="1383">
        <f t="shared" si="203"/>
        <v>2082.8141462965173</v>
      </c>
      <c r="AH185" s="1383">
        <f t="shared" si="203"/>
        <v>2157.2003658071071</v>
      </c>
      <c r="AI185" s="1383">
        <f t="shared" si="203"/>
        <v>2231.586585317697</v>
      </c>
      <c r="AJ185" s="1383">
        <f t="shared" si="203"/>
        <v>2305.9728048282868</v>
      </c>
      <c r="AK185" s="1383">
        <f t="shared" si="203"/>
        <v>2380.3590243388767</v>
      </c>
      <c r="AL185" s="1383">
        <f t="shared" si="203"/>
        <v>2454.7452438494665</v>
      </c>
      <c r="AM185" s="1383">
        <f t="shared" si="203"/>
        <v>2529.1314633600564</v>
      </c>
      <c r="AN185" s="1383">
        <f t="shared" si="203"/>
        <v>2603.5176828706462</v>
      </c>
      <c r="AO185" s="1383">
        <f t="shared" si="203"/>
        <v>2677.9039023812365</v>
      </c>
      <c r="AP185" s="1383">
        <f t="shared" si="203"/>
        <v>2752.2901218918264</v>
      </c>
      <c r="AQ185" s="1383">
        <f t="shared" si="203"/>
        <v>2826.6763414024163</v>
      </c>
      <c r="AR185" s="1383">
        <f t="shared" si="203"/>
        <v>2901.0625609130061</v>
      </c>
      <c r="AS185" s="1383">
        <f t="shared" si="203"/>
        <v>2975.448780423596</v>
      </c>
      <c r="AT185" s="1383">
        <f t="shared" si="203"/>
        <v>3049.8349999341858</v>
      </c>
      <c r="AU185" s="1383">
        <f t="shared" si="203"/>
        <v>3124.2212194447757</v>
      </c>
      <c r="AV185" s="1383">
        <f t="shared" si="203"/>
        <v>3198.6074389553655</v>
      </c>
      <c r="AW185" s="1383">
        <f t="shared" si="203"/>
        <v>3272.9936584659558</v>
      </c>
      <c r="AX185" s="1383">
        <f t="shared" si="203"/>
        <v>3347.3798779765457</v>
      </c>
      <c r="AY185" s="1383">
        <f t="shared" si="203"/>
        <v>3421.7660974871351</v>
      </c>
      <c r="AZ185" s="1383">
        <f t="shared" si="203"/>
        <v>3496.1523169977254</v>
      </c>
      <c r="BA185" s="1383">
        <f t="shared" si="203"/>
        <v>3570.5385365083152</v>
      </c>
      <c r="BB185" s="1383">
        <f t="shared" si="203"/>
        <v>3644.9247560189051</v>
      </c>
      <c r="BC185" s="1383">
        <f t="shared" si="203"/>
        <v>3719.310975529495</v>
      </c>
      <c r="BD185" s="1383">
        <f t="shared" si="203"/>
        <v>3793.6971950400848</v>
      </c>
      <c r="BE185" s="1383">
        <f t="shared" si="203"/>
        <v>3868.0834145506747</v>
      </c>
      <c r="BF185" s="1383">
        <f t="shared" si="203"/>
        <v>3942.4696340612645</v>
      </c>
      <c r="BG185" s="1307" t="str">
        <f t="array" ref="BG185">INDEX(E185:E185&amp;"."&amp;F185:F185&amp;"."&amp;$J$71:$BF$71&amp;"."&amp;G185:G185,IFERROR(MATCH($C$10,$J185:$BF185),0))</f>
        <v>200.260.1000.4ТК</v>
      </c>
      <c r="BL185" s="1307" t="str">
        <f t="shared" si="184"/>
        <v>200.260.1000.4ТК</v>
      </c>
    </row>
    <row r="186" spans="1:64" s="1307" customFormat="1">
      <c r="A186" s="2278"/>
      <c r="B186" s="2233" t="s">
        <v>5746</v>
      </c>
      <c r="C186" s="2233"/>
      <c r="D186" s="1381" t="s">
        <v>4588</v>
      </c>
      <c r="E186" s="1382">
        <v>200</v>
      </c>
      <c r="F186" s="1382">
        <v>300</v>
      </c>
      <c r="G186" s="1381" t="s">
        <v>286</v>
      </c>
      <c r="H186" s="1383">
        <f t="shared" ref="H186:BF186" si="204">((H$71-$H$4)/1000)*$N$47*(($C$8/70)^$Z$47)</f>
        <v>239.03336436013566</v>
      </c>
      <c r="I186" s="1383">
        <f t="shared" si="204"/>
        <v>318.71115248018094</v>
      </c>
      <c r="J186" s="1383">
        <f t="shared" si="204"/>
        <v>398.38894060022614</v>
      </c>
      <c r="K186" s="1383">
        <f t="shared" si="204"/>
        <v>478.06672872027133</v>
      </c>
      <c r="L186" s="1383">
        <f t="shared" si="204"/>
        <v>557.74451684031658</v>
      </c>
      <c r="M186" s="1383">
        <f t="shared" si="204"/>
        <v>637.42230496036188</v>
      </c>
      <c r="N186" s="1383">
        <f t="shared" si="204"/>
        <v>717.10009308040708</v>
      </c>
      <c r="O186" s="1383">
        <f t="shared" si="204"/>
        <v>796.77788120045227</v>
      </c>
      <c r="P186" s="1383">
        <f t="shared" si="204"/>
        <v>876.45566932049758</v>
      </c>
      <c r="Q186" s="1383">
        <f t="shared" si="204"/>
        <v>956.13345744054266</v>
      </c>
      <c r="R186" s="1383">
        <f t="shared" si="204"/>
        <v>1035.8112455605881</v>
      </c>
      <c r="S186" s="1383">
        <f t="shared" si="204"/>
        <v>1115.4890336806332</v>
      </c>
      <c r="T186" s="1383">
        <f t="shared" si="204"/>
        <v>1195.1668218006785</v>
      </c>
      <c r="U186" s="1383">
        <f t="shared" si="204"/>
        <v>1274.8446099207238</v>
      </c>
      <c r="V186" s="1383">
        <f t="shared" si="204"/>
        <v>1354.5223980407688</v>
      </c>
      <c r="W186" s="1383">
        <f t="shared" si="204"/>
        <v>1434.2001861608142</v>
      </c>
      <c r="X186" s="1383">
        <f t="shared" si="204"/>
        <v>1513.8779742808592</v>
      </c>
      <c r="Y186" s="1383">
        <f t="shared" si="204"/>
        <v>1593.5557624009045</v>
      </c>
      <c r="Z186" s="1383">
        <f t="shared" si="204"/>
        <v>1673.2335505209498</v>
      </c>
      <c r="AA186" s="1383">
        <f t="shared" si="204"/>
        <v>1752.9113386409952</v>
      </c>
      <c r="AB186" s="1383">
        <f t="shared" si="204"/>
        <v>1832.58912676104</v>
      </c>
      <c r="AC186" s="1383">
        <f t="shared" si="204"/>
        <v>1912.2669148810853</v>
      </c>
      <c r="AD186" s="1383">
        <f t="shared" si="204"/>
        <v>1991.9447030011306</v>
      </c>
      <c r="AE186" s="1383">
        <f t="shared" si="204"/>
        <v>2071.6224911211762</v>
      </c>
      <c r="AF186" s="1383">
        <f t="shared" si="204"/>
        <v>2151.3002792412212</v>
      </c>
      <c r="AG186" s="1383">
        <f t="shared" si="204"/>
        <v>2230.9780673612663</v>
      </c>
      <c r="AH186" s="1383">
        <f t="shared" si="204"/>
        <v>2310.6558554813114</v>
      </c>
      <c r="AI186" s="1383">
        <f t="shared" si="204"/>
        <v>2390.3336436013569</v>
      </c>
      <c r="AJ186" s="1383">
        <f t="shared" si="204"/>
        <v>2470.011431721402</v>
      </c>
      <c r="AK186" s="1383">
        <f t="shared" si="204"/>
        <v>2549.6892198414475</v>
      </c>
      <c r="AL186" s="1383">
        <f t="shared" si="204"/>
        <v>2629.3670079614922</v>
      </c>
      <c r="AM186" s="1383">
        <f t="shared" si="204"/>
        <v>2709.0447960815377</v>
      </c>
      <c r="AN186" s="1383">
        <f t="shared" si="204"/>
        <v>2788.7225842015828</v>
      </c>
      <c r="AO186" s="1383">
        <f t="shared" si="204"/>
        <v>2868.4003723216283</v>
      </c>
      <c r="AP186" s="1383">
        <f t="shared" si="204"/>
        <v>2948.0781604416734</v>
      </c>
      <c r="AQ186" s="1383">
        <f t="shared" si="204"/>
        <v>3027.7559485617185</v>
      </c>
      <c r="AR186" s="1383">
        <f t="shared" si="204"/>
        <v>3107.433736681764</v>
      </c>
      <c r="AS186" s="1383">
        <f t="shared" si="204"/>
        <v>3187.1115248018091</v>
      </c>
      <c r="AT186" s="1383">
        <f t="shared" si="204"/>
        <v>3266.7893129218542</v>
      </c>
      <c r="AU186" s="1383">
        <f t="shared" si="204"/>
        <v>3346.4671010418997</v>
      </c>
      <c r="AV186" s="1383">
        <f t="shared" si="204"/>
        <v>3426.1448891619448</v>
      </c>
      <c r="AW186" s="1383">
        <f t="shared" si="204"/>
        <v>3505.8226772819903</v>
      </c>
      <c r="AX186" s="1383">
        <f t="shared" si="204"/>
        <v>3585.5004654020354</v>
      </c>
      <c r="AY186" s="1383">
        <f t="shared" si="204"/>
        <v>3665.17825352208</v>
      </c>
      <c r="AZ186" s="1383">
        <f t="shared" si="204"/>
        <v>3744.856041642126</v>
      </c>
      <c r="BA186" s="1383">
        <f t="shared" si="204"/>
        <v>3824.5338297621706</v>
      </c>
      <c r="BB186" s="1383">
        <f t="shared" si="204"/>
        <v>3904.2116178822166</v>
      </c>
      <c r="BC186" s="1383">
        <f t="shared" si="204"/>
        <v>3983.8894060022612</v>
      </c>
      <c r="BD186" s="1383">
        <f t="shared" si="204"/>
        <v>4063.5671941223063</v>
      </c>
      <c r="BE186" s="1383">
        <f t="shared" si="204"/>
        <v>4143.2449822423523</v>
      </c>
      <c r="BF186" s="1383">
        <f t="shared" si="204"/>
        <v>4222.9227703623965</v>
      </c>
      <c r="BG186" s="1307" t="str">
        <f t="array" ref="BG186">INDEX(E186:E186&amp;"."&amp;F186:F186&amp;"."&amp;$J$71:$BF$71&amp;"."&amp;G186:G186,IFERROR(MATCH($C$10,$J186:$BF186),0))</f>
        <v>200.300.950.4ТК</v>
      </c>
      <c r="BL186" s="1307" t="str">
        <f t="shared" si="184"/>
        <v>200.300.950.4ТК</v>
      </c>
    </row>
    <row r="187" spans="1:64" s="1307" customFormat="1">
      <c r="A187" s="2278"/>
      <c r="B187" s="2233" t="s">
        <v>5747</v>
      </c>
      <c r="C187" s="2233"/>
      <c r="D187" s="1381" t="s">
        <v>4588</v>
      </c>
      <c r="E187" s="1382">
        <v>200</v>
      </c>
      <c r="F187" s="1382">
        <v>360</v>
      </c>
      <c r="G187" s="1381" t="s">
        <v>232</v>
      </c>
      <c r="H187" s="1383">
        <f t="shared" ref="H187:BF187" si="205">((H$71-$H$4)/1000)*$P$47*(($C$8/70)^$AB$47)</f>
        <v>255.7656998653452</v>
      </c>
      <c r="I187" s="1383">
        <f t="shared" si="205"/>
        <v>341.02093315379364</v>
      </c>
      <c r="J187" s="1383">
        <f t="shared" si="205"/>
        <v>426.27616644224202</v>
      </c>
      <c r="K187" s="1383">
        <f t="shared" si="205"/>
        <v>511.5313997306904</v>
      </c>
      <c r="L187" s="1383">
        <f t="shared" si="205"/>
        <v>596.78663301913878</v>
      </c>
      <c r="M187" s="1383">
        <f t="shared" si="205"/>
        <v>682.04186630758727</v>
      </c>
      <c r="N187" s="1383">
        <f t="shared" si="205"/>
        <v>767.29709959603565</v>
      </c>
      <c r="O187" s="1383">
        <f t="shared" si="205"/>
        <v>852.55233288448403</v>
      </c>
      <c r="P187" s="1383">
        <f t="shared" si="205"/>
        <v>937.80756617293252</v>
      </c>
      <c r="Q187" s="1383">
        <f t="shared" si="205"/>
        <v>1023.0627994613808</v>
      </c>
      <c r="R187" s="1383">
        <f t="shared" si="205"/>
        <v>1108.3180327498292</v>
      </c>
      <c r="S187" s="1383">
        <f t="shared" si="205"/>
        <v>1193.5732660382776</v>
      </c>
      <c r="T187" s="1383">
        <f t="shared" si="205"/>
        <v>1278.8284993267262</v>
      </c>
      <c r="U187" s="1383">
        <f t="shared" si="205"/>
        <v>1364.0837326151745</v>
      </c>
      <c r="V187" s="1383">
        <f t="shared" si="205"/>
        <v>1449.3389659036229</v>
      </c>
      <c r="W187" s="1383">
        <f t="shared" si="205"/>
        <v>1534.5941991920713</v>
      </c>
      <c r="X187" s="1383">
        <f t="shared" si="205"/>
        <v>1619.8494324805197</v>
      </c>
      <c r="Y187" s="1383">
        <f t="shared" si="205"/>
        <v>1705.1046657689681</v>
      </c>
      <c r="Z187" s="1383">
        <f t="shared" si="205"/>
        <v>1790.3598990574164</v>
      </c>
      <c r="AA187" s="1383">
        <f t="shared" si="205"/>
        <v>1875.615132345865</v>
      </c>
      <c r="AB187" s="1383">
        <f t="shared" si="205"/>
        <v>1960.8703656343132</v>
      </c>
      <c r="AC187" s="1383">
        <f t="shared" si="205"/>
        <v>2046.1255989227616</v>
      </c>
      <c r="AD187" s="1383">
        <f t="shared" si="205"/>
        <v>2131.38083221121</v>
      </c>
      <c r="AE187" s="1383">
        <f t="shared" si="205"/>
        <v>2216.6360654996583</v>
      </c>
      <c r="AF187" s="1383">
        <f t="shared" si="205"/>
        <v>2301.8912987881072</v>
      </c>
      <c r="AG187" s="1383">
        <f t="shared" si="205"/>
        <v>2387.1465320765551</v>
      </c>
      <c r="AH187" s="1383">
        <f t="shared" si="205"/>
        <v>2472.4017653650035</v>
      </c>
      <c r="AI187" s="1383">
        <f t="shared" si="205"/>
        <v>2557.6569986534523</v>
      </c>
      <c r="AJ187" s="1383">
        <f t="shared" si="205"/>
        <v>2642.9122319419007</v>
      </c>
      <c r="AK187" s="1383">
        <f t="shared" si="205"/>
        <v>2728.1674652303491</v>
      </c>
      <c r="AL187" s="1383">
        <f t="shared" si="205"/>
        <v>2813.422698518797</v>
      </c>
      <c r="AM187" s="1383">
        <f t="shared" si="205"/>
        <v>2898.6779318072458</v>
      </c>
      <c r="AN187" s="1383">
        <f t="shared" si="205"/>
        <v>2983.9331650956942</v>
      </c>
      <c r="AO187" s="1383">
        <f t="shared" si="205"/>
        <v>3069.1883983841426</v>
      </c>
      <c r="AP187" s="1383">
        <f t="shared" si="205"/>
        <v>3154.443631672591</v>
      </c>
      <c r="AQ187" s="1383">
        <f t="shared" si="205"/>
        <v>3239.6988649610394</v>
      </c>
      <c r="AR187" s="1383">
        <f t="shared" si="205"/>
        <v>3324.9540982494877</v>
      </c>
      <c r="AS187" s="1383">
        <f t="shared" si="205"/>
        <v>3410.2093315379361</v>
      </c>
      <c r="AT187" s="1383">
        <f t="shared" si="205"/>
        <v>3495.464564826384</v>
      </c>
      <c r="AU187" s="1383">
        <f t="shared" si="205"/>
        <v>3580.7197981148329</v>
      </c>
      <c r="AV187" s="1383">
        <f t="shared" si="205"/>
        <v>3665.9750314032813</v>
      </c>
      <c r="AW187" s="1383">
        <f t="shared" si="205"/>
        <v>3751.2302646917301</v>
      </c>
      <c r="AX187" s="1383">
        <f t="shared" si="205"/>
        <v>3836.485497980178</v>
      </c>
      <c r="AY187" s="1383">
        <f t="shared" si="205"/>
        <v>3921.7407312686264</v>
      </c>
      <c r="AZ187" s="1383">
        <f t="shared" si="205"/>
        <v>4006.9959645570752</v>
      </c>
      <c r="BA187" s="1383">
        <f t="shared" si="205"/>
        <v>4092.2511978455232</v>
      </c>
      <c r="BB187" s="1383">
        <f t="shared" si="205"/>
        <v>4177.506431133972</v>
      </c>
      <c r="BC187" s="1383">
        <f t="shared" si="205"/>
        <v>4262.7616644224199</v>
      </c>
      <c r="BD187" s="1383">
        <f t="shared" si="205"/>
        <v>4348.0168977108679</v>
      </c>
      <c r="BE187" s="1383">
        <f t="shared" si="205"/>
        <v>4433.2721309993167</v>
      </c>
      <c r="BF187" s="1383">
        <f t="shared" si="205"/>
        <v>4518.5273642877655</v>
      </c>
      <c r="BG187" s="1307" t="str">
        <f t="array" ref="BG187">INDEX(E187:E187&amp;"."&amp;F187:F187&amp;"."&amp;$J$71:$BF$71&amp;"."&amp;G187:G187,IFERROR(MATCH($C$10,$J187:$BF187),0))</f>
        <v>200.360.900.4ТГ</v>
      </c>
      <c r="BL187" s="1307" t="str">
        <f t="shared" si="184"/>
        <v>200.360.900.4ТГ</v>
      </c>
    </row>
    <row r="188" spans="1:64" s="1307" customFormat="1" ht="15.75" thickBot="1">
      <c r="A188" s="1385"/>
      <c r="B188" s="2234" t="s">
        <v>5748</v>
      </c>
      <c r="C188" s="2234"/>
      <c r="D188" s="1386" t="s">
        <v>4588</v>
      </c>
      <c r="E188" s="1387">
        <v>200</v>
      </c>
      <c r="F188" s="1387">
        <v>360</v>
      </c>
      <c r="G188" s="1386" t="s">
        <v>232</v>
      </c>
      <c r="H188" s="1388">
        <f t="shared" ref="H188:BF188" si="206">((H$71-$H$4)/1000)*$R$47*(($C$8/70)^$AD$47)</f>
        <v>272.46304731861198</v>
      </c>
      <c r="I188" s="1388">
        <f t="shared" si="206"/>
        <v>363.28406309148266</v>
      </c>
      <c r="J188" s="1388">
        <f t="shared" si="206"/>
        <v>454.10507886435329</v>
      </c>
      <c r="K188" s="1388">
        <f t="shared" si="206"/>
        <v>544.92609463722397</v>
      </c>
      <c r="L188" s="1388">
        <f t="shared" si="206"/>
        <v>635.74711041009459</v>
      </c>
      <c r="M188" s="1388">
        <f t="shared" si="206"/>
        <v>726.56812618296533</v>
      </c>
      <c r="N188" s="1388">
        <f t="shared" si="206"/>
        <v>817.38914195583595</v>
      </c>
      <c r="O188" s="1388">
        <f t="shared" si="206"/>
        <v>908.21015772870658</v>
      </c>
      <c r="P188" s="1388">
        <f t="shared" si="206"/>
        <v>999.03117350157731</v>
      </c>
      <c r="Q188" s="1388">
        <f t="shared" si="206"/>
        <v>1089.8521892744479</v>
      </c>
      <c r="R188" s="1388">
        <f t="shared" si="206"/>
        <v>1180.6732050473186</v>
      </c>
      <c r="S188" s="1388">
        <f t="shared" si="206"/>
        <v>1271.4942208201892</v>
      </c>
      <c r="T188" s="1388">
        <f t="shared" si="206"/>
        <v>1362.3152365930598</v>
      </c>
      <c r="U188" s="1388">
        <f t="shared" si="206"/>
        <v>1453.1362523659307</v>
      </c>
      <c r="V188" s="1388">
        <f t="shared" si="206"/>
        <v>1543.9572681388011</v>
      </c>
      <c r="W188" s="1388">
        <f t="shared" si="206"/>
        <v>1634.7782839116719</v>
      </c>
      <c r="X188" s="1388">
        <f t="shared" si="206"/>
        <v>1725.5992996845423</v>
      </c>
      <c r="Y188" s="1388">
        <f t="shared" si="206"/>
        <v>1816.4203154574132</v>
      </c>
      <c r="Z188" s="1388">
        <f t="shared" si="206"/>
        <v>1907.241331230284</v>
      </c>
      <c r="AA188" s="1388">
        <f t="shared" si="206"/>
        <v>1998.0623470031546</v>
      </c>
      <c r="AB188" s="1388">
        <f t="shared" si="206"/>
        <v>2088.883362776025</v>
      </c>
      <c r="AC188" s="1388">
        <f t="shared" si="206"/>
        <v>2179.7043785488959</v>
      </c>
      <c r="AD188" s="1388">
        <f t="shared" si="206"/>
        <v>2270.5253943217663</v>
      </c>
      <c r="AE188" s="1388">
        <f t="shared" si="206"/>
        <v>2361.3464100946371</v>
      </c>
      <c r="AF188" s="1388">
        <f t="shared" si="206"/>
        <v>2452.167425867508</v>
      </c>
      <c r="AG188" s="1388">
        <f t="shared" si="206"/>
        <v>2542.9884416403784</v>
      </c>
      <c r="AH188" s="1388">
        <f t="shared" si="206"/>
        <v>2633.8094574132488</v>
      </c>
      <c r="AI188" s="1388">
        <f t="shared" si="206"/>
        <v>2724.6304731861196</v>
      </c>
      <c r="AJ188" s="1388">
        <f t="shared" si="206"/>
        <v>2815.4514889589905</v>
      </c>
      <c r="AK188" s="1388">
        <f t="shared" si="206"/>
        <v>2906.2725047318613</v>
      </c>
      <c r="AL188" s="1388">
        <f t="shared" si="206"/>
        <v>2997.0935205047317</v>
      </c>
      <c r="AM188" s="1388">
        <f t="shared" si="206"/>
        <v>3087.9145362776021</v>
      </c>
      <c r="AN188" s="1388">
        <f t="shared" si="206"/>
        <v>3178.735552050473</v>
      </c>
      <c r="AO188" s="1388">
        <f t="shared" si="206"/>
        <v>3269.5565678233438</v>
      </c>
      <c r="AP188" s="1388">
        <f t="shared" si="206"/>
        <v>3360.3775835962147</v>
      </c>
      <c r="AQ188" s="1388">
        <f t="shared" si="206"/>
        <v>3451.1985993690846</v>
      </c>
      <c r="AR188" s="1388">
        <f t="shared" si="206"/>
        <v>3542.0196151419555</v>
      </c>
      <c r="AS188" s="1388">
        <f t="shared" si="206"/>
        <v>3632.8406309148263</v>
      </c>
      <c r="AT188" s="1388">
        <f t="shared" si="206"/>
        <v>3723.6616466876967</v>
      </c>
      <c r="AU188" s="1388">
        <f t="shared" si="206"/>
        <v>3814.482662460568</v>
      </c>
      <c r="AV188" s="1388">
        <f t="shared" si="206"/>
        <v>3905.3036782334379</v>
      </c>
      <c r="AW188" s="1388">
        <f t="shared" si="206"/>
        <v>3996.1246940063093</v>
      </c>
      <c r="AX188" s="1388">
        <f t="shared" si="206"/>
        <v>4086.9457097791797</v>
      </c>
      <c r="AY188" s="1388">
        <f t="shared" si="206"/>
        <v>4177.76672555205</v>
      </c>
      <c r="AZ188" s="1388">
        <f t="shared" si="206"/>
        <v>4268.5877413249209</v>
      </c>
      <c r="BA188" s="1388">
        <f t="shared" si="206"/>
        <v>4359.4087570977917</v>
      </c>
      <c r="BB188" s="1388">
        <f t="shared" si="206"/>
        <v>4450.2297728706626</v>
      </c>
      <c r="BC188" s="1388">
        <f t="shared" si="206"/>
        <v>4541.0507886435325</v>
      </c>
      <c r="BD188" s="1388">
        <f t="shared" si="206"/>
        <v>4631.8718044164034</v>
      </c>
      <c r="BE188" s="1388">
        <f t="shared" si="206"/>
        <v>4722.6928201892742</v>
      </c>
      <c r="BF188" s="1388">
        <f t="shared" si="206"/>
        <v>4813.5138359621451</v>
      </c>
    </row>
    <row r="189" spans="1:64" hidden="1">
      <c r="B189" s="2241"/>
      <c r="C189" s="2242"/>
      <c r="H189" s="632"/>
      <c r="I189" s="632"/>
      <c r="J189" s="632"/>
      <c r="K189" s="632"/>
      <c r="L189" s="632"/>
      <c r="M189" s="632"/>
      <c r="N189" s="632"/>
      <c r="O189" s="632"/>
      <c r="P189" s="632"/>
      <c r="Q189" s="632"/>
      <c r="R189" s="632"/>
      <c r="S189" s="632"/>
      <c r="T189" s="632"/>
      <c r="U189" s="632"/>
      <c r="V189" s="632"/>
      <c r="W189" s="632"/>
      <c r="X189" s="632"/>
      <c r="Y189" s="632"/>
      <c r="Z189" s="632"/>
      <c r="AA189" s="632"/>
      <c r="AB189" s="632"/>
      <c r="AC189" s="632"/>
      <c r="AD189" s="632"/>
      <c r="AE189" s="632"/>
      <c r="AF189" s="632"/>
      <c r="AG189" s="632"/>
      <c r="AH189" s="632"/>
      <c r="AI189" s="632"/>
      <c r="AJ189" s="632"/>
      <c r="AK189" s="632"/>
      <c r="AL189" s="632"/>
      <c r="AM189" s="632"/>
      <c r="AN189" s="632"/>
      <c r="AO189" s="632"/>
      <c r="AP189" s="632"/>
      <c r="AQ189" s="632"/>
      <c r="AR189" s="632"/>
      <c r="AS189" s="632"/>
      <c r="AT189" s="632"/>
      <c r="AU189" s="632"/>
      <c r="AV189" s="632"/>
      <c r="AW189" s="632"/>
      <c r="AX189" s="632"/>
      <c r="AY189" s="632"/>
      <c r="AZ189" s="632"/>
      <c r="BA189" s="632"/>
      <c r="BB189" s="632"/>
      <c r="BC189" s="632"/>
      <c r="BD189" s="632"/>
      <c r="BE189" s="632"/>
      <c r="BF189" s="632"/>
    </row>
    <row r="190" spans="1:64" ht="15.75" hidden="1" thickBot="1">
      <c r="B190" s="2243"/>
      <c r="C190" s="2244"/>
      <c r="H190" s="632"/>
      <c r="I190" s="632"/>
      <c r="J190" s="632"/>
      <c r="K190" s="632"/>
      <c r="L190" s="632"/>
      <c r="M190" s="632"/>
      <c r="N190" s="632"/>
      <c r="O190" s="632"/>
      <c r="P190" s="632"/>
      <c r="Q190" s="632"/>
      <c r="R190" s="632"/>
      <c r="S190" s="632"/>
      <c r="T190" s="632"/>
      <c r="U190" s="632"/>
      <c r="V190" s="632"/>
      <c r="W190" s="632"/>
      <c r="X190" s="632"/>
      <c r="Y190" s="632"/>
      <c r="Z190" s="632"/>
      <c r="AA190" s="632"/>
      <c r="AB190" s="632"/>
      <c r="AC190" s="632"/>
      <c r="AD190" s="632"/>
      <c r="AE190" s="632"/>
      <c r="AF190" s="632"/>
      <c r="AG190" s="632"/>
      <c r="AH190" s="632"/>
      <c r="AI190" s="632"/>
      <c r="AJ190" s="632"/>
      <c r="AK190" s="632"/>
      <c r="AL190" s="632"/>
      <c r="AM190" s="632"/>
      <c r="AN190" s="632"/>
      <c r="AO190" s="632"/>
      <c r="AP190" s="632"/>
      <c r="AQ190" s="632"/>
      <c r="AR190" s="632"/>
      <c r="AS190" s="632"/>
      <c r="AT190" s="632"/>
      <c r="AU190" s="632"/>
      <c r="AV190" s="632"/>
      <c r="AW190" s="632"/>
      <c r="AX190" s="632"/>
      <c r="AY190" s="632"/>
      <c r="AZ190" s="632"/>
      <c r="BA190" s="632"/>
      <c r="BB190" s="632"/>
      <c r="BC190" s="632"/>
      <c r="BD190" s="632"/>
      <c r="BE190" s="632"/>
      <c r="BF190" s="632"/>
    </row>
    <row r="191" spans="1:64" ht="15.75" hidden="1" thickBot="1">
      <c r="B191" s="2136" t="s">
        <v>375</v>
      </c>
      <c r="C191" s="2137"/>
      <c r="D191" s="822"/>
      <c r="E191" s="822"/>
      <c r="F191" s="822"/>
      <c r="G191" s="822"/>
      <c r="H191" s="2265" t="s">
        <v>18</v>
      </c>
      <c r="I191" s="2266"/>
      <c r="J191" s="2266"/>
      <c r="K191" s="2266"/>
      <c r="L191" s="2266"/>
      <c r="M191" s="2266"/>
      <c r="N191" s="2266"/>
      <c r="O191" s="2266"/>
      <c r="P191" s="2266"/>
      <c r="Q191" s="2266"/>
      <c r="R191" s="2266"/>
      <c r="S191" s="2266"/>
      <c r="T191" s="2266"/>
      <c r="U191" s="2266"/>
      <c r="V191" s="2266"/>
      <c r="W191" s="2266"/>
      <c r="X191" s="2266"/>
      <c r="Y191" s="2266"/>
      <c r="Z191" s="2266"/>
      <c r="AA191" s="2266"/>
      <c r="AB191" s="2266"/>
      <c r="AC191" s="2266"/>
      <c r="AD191" s="2266"/>
      <c r="AE191" s="2266"/>
      <c r="AF191" s="2266"/>
      <c r="AG191" s="2266"/>
      <c r="AH191" s="2266"/>
      <c r="AI191" s="2266"/>
      <c r="AJ191" s="2266"/>
      <c r="AK191" s="2266"/>
      <c r="AL191" s="2266"/>
      <c r="AM191" s="2266"/>
      <c r="AN191" s="2266"/>
      <c r="AO191" s="2266"/>
      <c r="AP191" s="2266"/>
      <c r="AQ191" s="2266"/>
      <c r="AR191" s="2266"/>
      <c r="AS191" s="2266"/>
      <c r="AT191" s="2266"/>
      <c r="AU191" s="2266"/>
      <c r="AV191" s="2266"/>
      <c r="AW191" s="2266"/>
      <c r="AX191" s="2266"/>
      <c r="AY191" s="2266"/>
      <c r="AZ191" s="2266"/>
      <c r="BA191" s="2266"/>
      <c r="BB191" s="2266"/>
      <c r="BC191" s="2266"/>
      <c r="BD191" s="2266"/>
      <c r="BE191" s="2266"/>
      <c r="BF191" s="2267"/>
    </row>
    <row r="192" spans="1:64" ht="15.75" hidden="1" thickBot="1">
      <c r="B192" s="2138"/>
      <c r="C192" s="2139"/>
      <c r="D192" s="823"/>
      <c r="E192" s="823"/>
      <c r="F192" s="823"/>
      <c r="G192" s="823"/>
      <c r="H192" s="996">
        <v>500</v>
      </c>
      <c r="I192" s="997">
        <v>550</v>
      </c>
      <c r="J192" s="1154">
        <v>600</v>
      </c>
      <c r="K192" s="1155">
        <v>650</v>
      </c>
      <c r="L192" s="1155">
        <v>700</v>
      </c>
      <c r="M192" s="1155">
        <v>750</v>
      </c>
      <c r="N192" s="1155">
        <v>800</v>
      </c>
      <c r="O192" s="1155">
        <v>850</v>
      </c>
      <c r="P192" s="1155">
        <v>900</v>
      </c>
      <c r="Q192" s="1155">
        <v>950</v>
      </c>
      <c r="R192" s="1155">
        <v>1000</v>
      </c>
      <c r="S192" s="1155">
        <v>1050</v>
      </c>
      <c r="T192" s="1155">
        <v>1100</v>
      </c>
      <c r="U192" s="1155">
        <v>1150</v>
      </c>
      <c r="V192" s="1155">
        <v>1200</v>
      </c>
      <c r="W192" s="1155">
        <v>1250</v>
      </c>
      <c r="X192" s="1155">
        <v>1300</v>
      </c>
      <c r="Y192" s="1155">
        <v>1350</v>
      </c>
      <c r="Z192" s="1155">
        <v>1400</v>
      </c>
      <c r="AA192" s="1155">
        <v>1450</v>
      </c>
      <c r="AB192" s="1155">
        <v>1500</v>
      </c>
      <c r="AC192" s="1155">
        <v>1550</v>
      </c>
      <c r="AD192" s="1155">
        <v>1600</v>
      </c>
      <c r="AE192" s="1155">
        <v>1650</v>
      </c>
      <c r="AF192" s="1155">
        <v>1700</v>
      </c>
      <c r="AG192" s="1155">
        <v>1750</v>
      </c>
      <c r="AH192" s="1155">
        <v>1800</v>
      </c>
      <c r="AI192" s="1155">
        <v>1850</v>
      </c>
      <c r="AJ192" s="1155">
        <v>1900</v>
      </c>
      <c r="AK192" s="1155">
        <v>1950</v>
      </c>
      <c r="AL192" s="1155">
        <v>2000</v>
      </c>
      <c r="AM192" s="1155">
        <v>2050</v>
      </c>
      <c r="AN192" s="1155">
        <v>2100</v>
      </c>
      <c r="AO192" s="1155">
        <v>2150</v>
      </c>
      <c r="AP192" s="1155">
        <v>2200</v>
      </c>
      <c r="AQ192" s="1155">
        <v>2250</v>
      </c>
      <c r="AR192" s="1155">
        <v>2300</v>
      </c>
      <c r="AS192" s="1155">
        <v>2350</v>
      </c>
      <c r="AT192" s="1155">
        <v>2400</v>
      </c>
      <c r="AU192" s="1155">
        <v>2450</v>
      </c>
      <c r="AV192" s="1155">
        <v>2500</v>
      </c>
      <c r="AW192" s="1155">
        <v>2550</v>
      </c>
      <c r="AX192" s="1155">
        <v>2600</v>
      </c>
      <c r="AY192" s="1155">
        <v>2650</v>
      </c>
      <c r="AZ192" s="1155">
        <v>2700</v>
      </c>
      <c r="BA192" s="1155">
        <v>2750</v>
      </c>
      <c r="BB192" s="1155">
        <v>2800</v>
      </c>
      <c r="BC192" s="1155">
        <v>2850</v>
      </c>
      <c r="BD192" s="1155">
        <v>2900</v>
      </c>
      <c r="BE192" s="1155">
        <v>2950</v>
      </c>
      <c r="BF192" s="1156">
        <v>3000</v>
      </c>
    </row>
    <row r="193" spans="1:58" hidden="1">
      <c r="A193" s="2098" t="s">
        <v>312</v>
      </c>
      <c r="B193" s="2235" t="s">
        <v>351</v>
      </c>
      <c r="C193" s="2236"/>
      <c r="D193" s="849"/>
      <c r="E193" s="849"/>
      <c r="F193" s="849"/>
      <c r="G193" s="849"/>
      <c r="H193" s="1157">
        <f t="shared" ref="H193:AM193" si="207">((H$192-$H$4)/1000)*$K$57*(($C$8/70)^$W$57)</f>
        <v>31.595993999999994</v>
      </c>
      <c r="I193" s="1157">
        <f t="shared" si="207"/>
        <v>42.127991999999999</v>
      </c>
      <c r="J193" s="1157">
        <f t="shared" si="207"/>
        <v>52.659989999999993</v>
      </c>
      <c r="K193" s="1157">
        <f t="shared" si="207"/>
        <v>63.191987999999988</v>
      </c>
      <c r="L193" s="1157">
        <f t="shared" si="207"/>
        <v>73.723985999999982</v>
      </c>
      <c r="M193" s="1157">
        <f t="shared" si="207"/>
        <v>84.255983999999998</v>
      </c>
      <c r="N193" s="1157">
        <f t="shared" si="207"/>
        <v>94.787981999999985</v>
      </c>
      <c r="O193" s="1157">
        <f t="shared" si="207"/>
        <v>105.31997999999999</v>
      </c>
      <c r="P193" s="1157">
        <f t="shared" si="207"/>
        <v>115.85197799999999</v>
      </c>
      <c r="Q193" s="1157">
        <f t="shared" si="207"/>
        <v>126.38397599999998</v>
      </c>
      <c r="R193" s="1157">
        <f t="shared" si="207"/>
        <v>136.91597399999998</v>
      </c>
      <c r="S193" s="1157">
        <f t="shared" si="207"/>
        <v>147.44797199999996</v>
      </c>
      <c r="T193" s="1157">
        <f t="shared" si="207"/>
        <v>157.97996999999998</v>
      </c>
      <c r="U193" s="1157">
        <f t="shared" si="207"/>
        <v>168.511968</v>
      </c>
      <c r="V193" s="1157">
        <f t="shared" si="207"/>
        <v>179.04396599999998</v>
      </c>
      <c r="W193" s="1157">
        <f t="shared" si="207"/>
        <v>189.57596399999997</v>
      </c>
      <c r="X193" s="1157">
        <f t="shared" si="207"/>
        <v>200.10796199999996</v>
      </c>
      <c r="Y193" s="1157">
        <f t="shared" si="207"/>
        <v>210.63995999999997</v>
      </c>
      <c r="Z193" s="1157">
        <f t="shared" si="207"/>
        <v>221.17195799999999</v>
      </c>
      <c r="AA193" s="1157">
        <f t="shared" si="207"/>
        <v>231.70395599999998</v>
      </c>
      <c r="AB193" s="1157">
        <f t="shared" si="207"/>
        <v>242.23595399999996</v>
      </c>
      <c r="AC193" s="1157">
        <f t="shared" si="207"/>
        <v>252.76795199999995</v>
      </c>
      <c r="AD193" s="1157">
        <f t="shared" si="207"/>
        <v>263.29994999999997</v>
      </c>
      <c r="AE193" s="1157">
        <f t="shared" si="207"/>
        <v>273.83194799999995</v>
      </c>
      <c r="AF193" s="1157">
        <f t="shared" si="207"/>
        <v>284.363946</v>
      </c>
      <c r="AG193" s="1157">
        <f t="shared" si="207"/>
        <v>294.89594399999993</v>
      </c>
      <c r="AH193" s="1157">
        <f t="shared" si="207"/>
        <v>305.42794199999997</v>
      </c>
      <c r="AI193" s="1157">
        <f t="shared" si="207"/>
        <v>315.95993999999996</v>
      </c>
      <c r="AJ193" s="1157">
        <f t="shared" si="207"/>
        <v>326.49193799999995</v>
      </c>
      <c r="AK193" s="1157">
        <f t="shared" si="207"/>
        <v>337.02393599999999</v>
      </c>
      <c r="AL193" s="1157">
        <f t="shared" si="207"/>
        <v>347.55593399999992</v>
      </c>
      <c r="AM193" s="1157">
        <f t="shared" si="207"/>
        <v>358.08793199999997</v>
      </c>
      <c r="AN193" s="1157">
        <f t="shared" ref="AN193:BF193" si="208">((AN$192-$H$4)/1000)*$K$57*(($C$8/70)^$W$57)</f>
        <v>368.61992999999995</v>
      </c>
      <c r="AO193" s="1157">
        <f t="shared" si="208"/>
        <v>379.15192799999994</v>
      </c>
      <c r="AP193" s="1157">
        <f t="shared" si="208"/>
        <v>389.68392599999999</v>
      </c>
      <c r="AQ193" s="1157">
        <f t="shared" si="208"/>
        <v>400.21592399999992</v>
      </c>
      <c r="AR193" s="1157">
        <f t="shared" si="208"/>
        <v>410.74792199999996</v>
      </c>
      <c r="AS193" s="1157">
        <f t="shared" si="208"/>
        <v>421.27991999999995</v>
      </c>
      <c r="AT193" s="1157">
        <f t="shared" si="208"/>
        <v>431.81191799999993</v>
      </c>
      <c r="AU193" s="1157">
        <f t="shared" si="208"/>
        <v>442.34391599999998</v>
      </c>
      <c r="AV193" s="1157">
        <f t="shared" si="208"/>
        <v>452.87591399999991</v>
      </c>
      <c r="AW193" s="1157">
        <f t="shared" si="208"/>
        <v>463.40791199999995</v>
      </c>
      <c r="AX193" s="1157">
        <f t="shared" si="208"/>
        <v>473.93990999999994</v>
      </c>
      <c r="AY193" s="1157">
        <f t="shared" si="208"/>
        <v>484.47190799999993</v>
      </c>
      <c r="AZ193" s="1157">
        <f t="shared" si="208"/>
        <v>495.00390599999997</v>
      </c>
      <c r="BA193" s="1157">
        <f t="shared" si="208"/>
        <v>505.5359039999999</v>
      </c>
      <c r="BB193" s="1157">
        <f t="shared" si="208"/>
        <v>516.067902</v>
      </c>
      <c r="BC193" s="1157">
        <f t="shared" si="208"/>
        <v>526.59989999999993</v>
      </c>
      <c r="BD193" s="1157">
        <f t="shared" si="208"/>
        <v>537.13189799999986</v>
      </c>
      <c r="BE193" s="1157">
        <f t="shared" si="208"/>
        <v>547.66389599999991</v>
      </c>
      <c r="BF193" s="1157">
        <f t="shared" si="208"/>
        <v>558.19589399999995</v>
      </c>
    </row>
    <row r="194" spans="1:58" hidden="1">
      <c r="A194" s="2098"/>
      <c r="B194" s="2206" t="s">
        <v>352</v>
      </c>
      <c r="C194" s="2207"/>
      <c r="D194" s="850"/>
      <c r="E194" s="850"/>
      <c r="F194" s="850"/>
      <c r="G194" s="850"/>
      <c r="H194" s="1158">
        <f t="shared" ref="H194:AM194" si="209">((H$192-$H$4)/1000)*$L$57*(($C$8/70)^$X$57)</f>
        <v>35.106659999999991</v>
      </c>
      <c r="I194" s="1158">
        <f t="shared" si="209"/>
        <v>46.808879999999995</v>
      </c>
      <c r="J194" s="1158">
        <f t="shared" si="209"/>
        <v>58.511099999999992</v>
      </c>
      <c r="K194" s="1158">
        <f t="shared" si="209"/>
        <v>70.213319999999982</v>
      </c>
      <c r="L194" s="1158">
        <f t="shared" si="209"/>
        <v>81.915539999999979</v>
      </c>
      <c r="M194" s="1158">
        <f t="shared" si="209"/>
        <v>93.61775999999999</v>
      </c>
      <c r="N194" s="1158">
        <f t="shared" si="209"/>
        <v>105.31997999999999</v>
      </c>
      <c r="O194" s="1158">
        <f t="shared" si="209"/>
        <v>117.02219999999998</v>
      </c>
      <c r="P194" s="1158">
        <f t="shared" si="209"/>
        <v>128.72441999999998</v>
      </c>
      <c r="Q194" s="1158">
        <f t="shared" si="209"/>
        <v>140.42663999999996</v>
      </c>
      <c r="R194" s="1158">
        <f t="shared" si="209"/>
        <v>152.12885999999997</v>
      </c>
      <c r="S194" s="1158">
        <f t="shared" si="209"/>
        <v>163.83107999999996</v>
      </c>
      <c r="T194" s="1158">
        <f t="shared" si="209"/>
        <v>175.53329999999997</v>
      </c>
      <c r="U194" s="1158">
        <f t="shared" si="209"/>
        <v>187.23551999999998</v>
      </c>
      <c r="V194" s="1158">
        <f t="shared" si="209"/>
        <v>198.93773999999996</v>
      </c>
      <c r="W194" s="1158">
        <f t="shared" si="209"/>
        <v>210.63995999999997</v>
      </c>
      <c r="X194" s="1158">
        <f t="shared" si="209"/>
        <v>222.34217999999996</v>
      </c>
      <c r="Y194" s="1158">
        <f t="shared" si="209"/>
        <v>234.04439999999997</v>
      </c>
      <c r="Z194" s="1158">
        <f t="shared" si="209"/>
        <v>245.74661999999998</v>
      </c>
      <c r="AA194" s="1158">
        <f t="shared" si="209"/>
        <v>257.44883999999996</v>
      </c>
      <c r="AB194" s="1158">
        <f t="shared" si="209"/>
        <v>269.15105999999992</v>
      </c>
      <c r="AC194" s="1158">
        <f t="shared" si="209"/>
        <v>280.85327999999993</v>
      </c>
      <c r="AD194" s="1158">
        <f t="shared" si="209"/>
        <v>292.55549999999994</v>
      </c>
      <c r="AE194" s="1158">
        <f t="shared" si="209"/>
        <v>304.25771999999995</v>
      </c>
      <c r="AF194" s="1158">
        <f t="shared" si="209"/>
        <v>315.95993999999996</v>
      </c>
      <c r="AG194" s="1158">
        <f t="shared" si="209"/>
        <v>327.66215999999991</v>
      </c>
      <c r="AH194" s="1158">
        <f t="shared" si="209"/>
        <v>339.36437999999993</v>
      </c>
      <c r="AI194" s="1158">
        <f t="shared" si="209"/>
        <v>351.06659999999994</v>
      </c>
      <c r="AJ194" s="1158">
        <f t="shared" si="209"/>
        <v>362.76881999999995</v>
      </c>
      <c r="AK194" s="1158">
        <f t="shared" si="209"/>
        <v>374.47103999999996</v>
      </c>
      <c r="AL194" s="1158">
        <f t="shared" si="209"/>
        <v>386.17325999999991</v>
      </c>
      <c r="AM194" s="1158">
        <f t="shared" si="209"/>
        <v>397.87547999999992</v>
      </c>
      <c r="AN194" s="1158">
        <f t="shared" ref="AN194:BF194" si="210">((AN$192-$H$4)/1000)*$L$57*(($C$8/70)^$X$57)</f>
        <v>409.57769999999994</v>
      </c>
      <c r="AO194" s="1158">
        <f t="shared" si="210"/>
        <v>421.27991999999995</v>
      </c>
      <c r="AP194" s="1158">
        <f t="shared" si="210"/>
        <v>432.98213999999996</v>
      </c>
      <c r="AQ194" s="1158">
        <f t="shared" si="210"/>
        <v>444.68435999999991</v>
      </c>
      <c r="AR194" s="1158">
        <f t="shared" si="210"/>
        <v>456.38657999999992</v>
      </c>
      <c r="AS194" s="1158">
        <f t="shared" si="210"/>
        <v>468.08879999999994</v>
      </c>
      <c r="AT194" s="1158">
        <f t="shared" si="210"/>
        <v>479.79101999999989</v>
      </c>
      <c r="AU194" s="1158">
        <f t="shared" si="210"/>
        <v>491.49323999999996</v>
      </c>
      <c r="AV194" s="1158">
        <f t="shared" si="210"/>
        <v>503.19545999999991</v>
      </c>
      <c r="AW194" s="1158">
        <f t="shared" si="210"/>
        <v>514.89767999999992</v>
      </c>
      <c r="AX194" s="1158">
        <f t="shared" si="210"/>
        <v>526.59989999999993</v>
      </c>
      <c r="AY194" s="1158">
        <f t="shared" si="210"/>
        <v>538.30211999999983</v>
      </c>
      <c r="AZ194" s="1158">
        <f t="shared" si="210"/>
        <v>550.00433999999996</v>
      </c>
      <c r="BA194" s="1158">
        <f t="shared" si="210"/>
        <v>561.70655999999985</v>
      </c>
      <c r="BB194" s="1158">
        <f t="shared" si="210"/>
        <v>573.40877999999998</v>
      </c>
      <c r="BC194" s="1158">
        <f t="shared" si="210"/>
        <v>585.11099999999988</v>
      </c>
      <c r="BD194" s="1158">
        <f t="shared" si="210"/>
        <v>596.81321999999989</v>
      </c>
      <c r="BE194" s="1158">
        <f t="shared" si="210"/>
        <v>608.5154399999999</v>
      </c>
      <c r="BF194" s="1158">
        <f t="shared" si="210"/>
        <v>620.21765999999991</v>
      </c>
    </row>
    <row r="195" spans="1:58" hidden="1">
      <c r="A195" s="2098"/>
      <c r="B195" s="2206" t="s">
        <v>353</v>
      </c>
      <c r="C195" s="2207"/>
      <c r="D195" s="850"/>
      <c r="E195" s="850"/>
      <c r="F195" s="850"/>
      <c r="G195" s="850"/>
      <c r="H195" s="1158">
        <f t="shared" ref="H195:AM195" si="211">((H$192-$H$4)/1000)*$M$57*(($C$8/70)^$Y$57)</f>
        <v>45.218735999999986</v>
      </c>
      <c r="I195" s="1158">
        <f t="shared" si="211"/>
        <v>60.291647999999988</v>
      </c>
      <c r="J195" s="1158">
        <f t="shared" si="211"/>
        <v>75.364559999999983</v>
      </c>
      <c r="K195" s="1158">
        <f t="shared" si="211"/>
        <v>90.437471999999971</v>
      </c>
      <c r="L195" s="1158">
        <f t="shared" si="211"/>
        <v>105.51038399999997</v>
      </c>
      <c r="M195" s="1158">
        <f t="shared" si="211"/>
        <v>120.58329599999998</v>
      </c>
      <c r="N195" s="1158">
        <f t="shared" si="211"/>
        <v>135.65620799999996</v>
      </c>
      <c r="O195" s="1158">
        <f t="shared" si="211"/>
        <v>150.72911999999997</v>
      </c>
      <c r="P195" s="1158">
        <f t="shared" si="211"/>
        <v>165.80203199999997</v>
      </c>
      <c r="Q195" s="1158">
        <f t="shared" si="211"/>
        <v>180.87494399999994</v>
      </c>
      <c r="R195" s="1158">
        <f t="shared" si="211"/>
        <v>195.94785599999997</v>
      </c>
      <c r="S195" s="1158">
        <f t="shared" si="211"/>
        <v>211.02076799999995</v>
      </c>
      <c r="T195" s="1158">
        <f t="shared" si="211"/>
        <v>226.09367999999995</v>
      </c>
      <c r="U195" s="1158">
        <f t="shared" si="211"/>
        <v>241.16659199999995</v>
      </c>
      <c r="V195" s="1158">
        <f t="shared" si="211"/>
        <v>256.23950399999995</v>
      </c>
      <c r="W195" s="1158">
        <f t="shared" si="211"/>
        <v>271.31241599999993</v>
      </c>
      <c r="X195" s="1158">
        <f t="shared" si="211"/>
        <v>286.3853279999999</v>
      </c>
      <c r="Y195" s="1158">
        <f t="shared" si="211"/>
        <v>301.45823999999993</v>
      </c>
      <c r="Z195" s="1158">
        <f t="shared" si="211"/>
        <v>316.53115199999996</v>
      </c>
      <c r="AA195" s="1158">
        <f t="shared" si="211"/>
        <v>331.60406399999994</v>
      </c>
      <c r="AB195" s="1158">
        <f t="shared" si="211"/>
        <v>346.67697599999991</v>
      </c>
      <c r="AC195" s="1158">
        <f t="shared" si="211"/>
        <v>361.74988799999988</v>
      </c>
      <c r="AD195" s="1158">
        <f t="shared" si="211"/>
        <v>376.82279999999992</v>
      </c>
      <c r="AE195" s="1158">
        <f t="shared" si="211"/>
        <v>391.89571199999995</v>
      </c>
      <c r="AF195" s="1158">
        <f t="shared" si="211"/>
        <v>406.96862399999992</v>
      </c>
      <c r="AG195" s="1158">
        <f t="shared" si="211"/>
        <v>422.04153599999989</v>
      </c>
      <c r="AH195" s="1158">
        <f t="shared" si="211"/>
        <v>437.11444799999987</v>
      </c>
      <c r="AI195" s="1158">
        <f t="shared" si="211"/>
        <v>452.1873599999999</v>
      </c>
      <c r="AJ195" s="1158">
        <f t="shared" si="211"/>
        <v>467.26027199999993</v>
      </c>
      <c r="AK195" s="1158">
        <f t="shared" si="211"/>
        <v>482.3331839999999</v>
      </c>
      <c r="AL195" s="1158">
        <f t="shared" si="211"/>
        <v>497.40609599999988</v>
      </c>
      <c r="AM195" s="1158">
        <f t="shared" si="211"/>
        <v>512.47900799999991</v>
      </c>
      <c r="AN195" s="1158">
        <f t="shared" ref="AN195:BF195" si="212">((AN$192-$H$4)/1000)*$M$57*(($C$8/70)^$Y$57)</f>
        <v>527.55191999999988</v>
      </c>
      <c r="AO195" s="1158">
        <f t="shared" si="212"/>
        <v>542.62483199999986</v>
      </c>
      <c r="AP195" s="1158">
        <f t="shared" si="212"/>
        <v>557.69774399999994</v>
      </c>
      <c r="AQ195" s="1158">
        <f t="shared" si="212"/>
        <v>572.7706559999998</v>
      </c>
      <c r="AR195" s="1158">
        <f t="shared" si="212"/>
        <v>587.84356799999989</v>
      </c>
      <c r="AS195" s="1158">
        <f t="shared" si="212"/>
        <v>602.91647999999986</v>
      </c>
      <c r="AT195" s="1158">
        <f t="shared" si="212"/>
        <v>617.98939199999984</v>
      </c>
      <c r="AU195" s="1158">
        <f t="shared" si="212"/>
        <v>633.06230399999993</v>
      </c>
      <c r="AV195" s="1158">
        <f t="shared" si="212"/>
        <v>648.13521599999979</v>
      </c>
      <c r="AW195" s="1158">
        <f t="shared" si="212"/>
        <v>663.20812799999987</v>
      </c>
      <c r="AX195" s="1158">
        <f t="shared" si="212"/>
        <v>678.28103999999985</v>
      </c>
      <c r="AY195" s="1158">
        <f t="shared" si="212"/>
        <v>693.35395199999982</v>
      </c>
      <c r="AZ195" s="1158">
        <f t="shared" si="212"/>
        <v>708.42686399999991</v>
      </c>
      <c r="BA195" s="1158">
        <f t="shared" si="212"/>
        <v>723.49977599999977</v>
      </c>
      <c r="BB195" s="1158">
        <f t="shared" si="212"/>
        <v>738.57268799999986</v>
      </c>
      <c r="BC195" s="1158">
        <f t="shared" si="212"/>
        <v>753.64559999999983</v>
      </c>
      <c r="BD195" s="1158">
        <f t="shared" si="212"/>
        <v>768.71851199999981</v>
      </c>
      <c r="BE195" s="1158">
        <f t="shared" si="212"/>
        <v>783.79142399999989</v>
      </c>
      <c r="BF195" s="1158">
        <f t="shared" si="212"/>
        <v>798.86433599999975</v>
      </c>
    </row>
    <row r="196" spans="1:58" hidden="1">
      <c r="A196" s="2098"/>
      <c r="B196" s="2206" t="s">
        <v>354</v>
      </c>
      <c r="C196" s="2207"/>
      <c r="D196" s="850"/>
      <c r="E196" s="850"/>
      <c r="F196" s="850"/>
      <c r="G196" s="850"/>
      <c r="H196" s="1158">
        <f t="shared" ref="H196:AM196" si="213">((H$192-$H$4)/1000)*$N$57*(($C$8/70)^$Z$57)</f>
        <v>48.582197947863357</v>
      </c>
      <c r="I196" s="1158">
        <f t="shared" si="213"/>
        <v>64.77626393048449</v>
      </c>
      <c r="J196" s="1158">
        <f t="shared" si="213"/>
        <v>80.970329913105601</v>
      </c>
      <c r="K196" s="1158">
        <f t="shared" si="213"/>
        <v>97.164395895726713</v>
      </c>
      <c r="L196" s="1158">
        <f t="shared" si="213"/>
        <v>113.35846187834784</v>
      </c>
      <c r="M196" s="1158">
        <f t="shared" si="213"/>
        <v>129.55252786096898</v>
      </c>
      <c r="N196" s="1158">
        <f t="shared" si="213"/>
        <v>145.74659384359009</v>
      </c>
      <c r="O196" s="1158">
        <f t="shared" si="213"/>
        <v>161.9406598262112</v>
      </c>
      <c r="P196" s="1158">
        <f t="shared" si="213"/>
        <v>178.13472580883234</v>
      </c>
      <c r="Q196" s="1158">
        <f t="shared" si="213"/>
        <v>194.32879179145343</v>
      </c>
      <c r="R196" s="1158">
        <f t="shared" si="213"/>
        <v>210.52285777407457</v>
      </c>
      <c r="S196" s="1158">
        <f t="shared" si="213"/>
        <v>226.71692375669568</v>
      </c>
      <c r="T196" s="1158">
        <f t="shared" si="213"/>
        <v>242.91098973931679</v>
      </c>
      <c r="U196" s="1158">
        <f t="shared" si="213"/>
        <v>259.10505572193796</v>
      </c>
      <c r="V196" s="1158">
        <f t="shared" si="213"/>
        <v>275.29912170455901</v>
      </c>
      <c r="W196" s="1158">
        <f t="shared" si="213"/>
        <v>291.49318768718018</v>
      </c>
      <c r="X196" s="1158">
        <f t="shared" si="213"/>
        <v>307.68725366980129</v>
      </c>
      <c r="Y196" s="1158">
        <f t="shared" si="213"/>
        <v>323.88131965242241</v>
      </c>
      <c r="Z196" s="1158">
        <f t="shared" si="213"/>
        <v>340.07538563504352</v>
      </c>
      <c r="AA196" s="1158">
        <f t="shared" si="213"/>
        <v>356.26945161766469</v>
      </c>
      <c r="AB196" s="1158">
        <f t="shared" si="213"/>
        <v>372.46351760028574</v>
      </c>
      <c r="AC196" s="1158">
        <f t="shared" si="213"/>
        <v>388.65758358290685</v>
      </c>
      <c r="AD196" s="1158">
        <f t="shared" si="213"/>
        <v>404.85164956552802</v>
      </c>
      <c r="AE196" s="1158">
        <f t="shared" si="213"/>
        <v>421.04571554814913</v>
      </c>
      <c r="AF196" s="1158">
        <f t="shared" si="213"/>
        <v>437.2397815307703</v>
      </c>
      <c r="AG196" s="1158">
        <f t="shared" si="213"/>
        <v>453.43384751339136</v>
      </c>
      <c r="AH196" s="1158">
        <f t="shared" si="213"/>
        <v>469.62791349601247</v>
      </c>
      <c r="AI196" s="1158">
        <f t="shared" si="213"/>
        <v>485.82197947863358</v>
      </c>
      <c r="AJ196" s="1158">
        <f t="shared" si="213"/>
        <v>502.01604546125475</v>
      </c>
      <c r="AK196" s="1158">
        <f t="shared" si="213"/>
        <v>518.21011144387592</v>
      </c>
      <c r="AL196" s="1158">
        <f t="shared" si="213"/>
        <v>534.40417742649697</v>
      </c>
      <c r="AM196" s="1158">
        <f t="shared" si="213"/>
        <v>550.59824340911803</v>
      </c>
      <c r="AN196" s="1158">
        <f t="shared" ref="AN196:BF196" si="214">((AN$192-$H$4)/1000)*$N$57*(($C$8/70)^$Z$57)</f>
        <v>566.7923093917392</v>
      </c>
      <c r="AO196" s="1158">
        <f t="shared" si="214"/>
        <v>582.98637537436036</v>
      </c>
      <c r="AP196" s="1158">
        <f t="shared" si="214"/>
        <v>599.18044135698153</v>
      </c>
      <c r="AQ196" s="1158">
        <f t="shared" si="214"/>
        <v>615.37450733960259</v>
      </c>
      <c r="AR196" s="1158">
        <f t="shared" si="214"/>
        <v>631.56857332222364</v>
      </c>
      <c r="AS196" s="1158">
        <f t="shared" si="214"/>
        <v>647.76263930484481</v>
      </c>
      <c r="AT196" s="1158">
        <f t="shared" si="214"/>
        <v>663.95670528746587</v>
      </c>
      <c r="AU196" s="1158">
        <f t="shared" si="214"/>
        <v>680.15077127008703</v>
      </c>
      <c r="AV196" s="1158">
        <f t="shared" si="214"/>
        <v>696.34483725270809</v>
      </c>
      <c r="AW196" s="1158">
        <f t="shared" si="214"/>
        <v>712.53890323532937</v>
      </c>
      <c r="AX196" s="1158">
        <f t="shared" si="214"/>
        <v>728.73296921795043</v>
      </c>
      <c r="AY196" s="1158">
        <f t="shared" si="214"/>
        <v>744.92703520057148</v>
      </c>
      <c r="AZ196" s="1158">
        <f t="shared" si="214"/>
        <v>761.12110118319265</v>
      </c>
      <c r="BA196" s="1158">
        <f t="shared" si="214"/>
        <v>777.3151671658137</v>
      </c>
      <c r="BB196" s="1158">
        <f t="shared" si="214"/>
        <v>793.50923314843499</v>
      </c>
      <c r="BC196" s="1158">
        <f t="shared" si="214"/>
        <v>809.70329913105604</v>
      </c>
      <c r="BD196" s="1158">
        <f t="shared" si="214"/>
        <v>825.8973651136771</v>
      </c>
      <c r="BE196" s="1158">
        <f t="shared" si="214"/>
        <v>842.09143109629827</v>
      </c>
      <c r="BF196" s="1158">
        <f t="shared" si="214"/>
        <v>858.28549707891932</v>
      </c>
    </row>
    <row r="197" spans="1:58" ht="15.75" hidden="1" thickBot="1">
      <c r="A197" s="2098"/>
      <c r="B197" s="2208" t="s">
        <v>355</v>
      </c>
      <c r="C197" s="2209"/>
      <c r="D197" s="851"/>
      <c r="E197" s="851"/>
      <c r="F197" s="851"/>
      <c r="G197" s="851"/>
      <c r="H197" s="1158">
        <f t="shared" ref="H197:AM197" si="215">((H$192-$H$4)/1000)*$O$57*(($C$8/70)^$AA$57)</f>
        <v>65.062079999999995</v>
      </c>
      <c r="I197" s="1158">
        <f t="shared" si="215"/>
        <v>86.749439999999993</v>
      </c>
      <c r="J197" s="1158">
        <f t="shared" si="215"/>
        <v>108.43679999999999</v>
      </c>
      <c r="K197" s="1158">
        <f t="shared" si="215"/>
        <v>130.12415999999999</v>
      </c>
      <c r="L197" s="1158">
        <f t="shared" si="215"/>
        <v>151.81151999999997</v>
      </c>
      <c r="M197" s="1158">
        <f t="shared" si="215"/>
        <v>173.49887999999999</v>
      </c>
      <c r="N197" s="1158">
        <f t="shared" si="215"/>
        <v>195.18624</v>
      </c>
      <c r="O197" s="1158">
        <f t="shared" si="215"/>
        <v>216.87359999999998</v>
      </c>
      <c r="P197" s="1158">
        <f t="shared" si="215"/>
        <v>238.56095999999999</v>
      </c>
      <c r="Q197" s="1158">
        <f t="shared" si="215"/>
        <v>260.24831999999998</v>
      </c>
      <c r="R197" s="1158">
        <f t="shared" si="215"/>
        <v>281.93567999999999</v>
      </c>
      <c r="S197" s="1158">
        <f t="shared" si="215"/>
        <v>303.62303999999995</v>
      </c>
      <c r="T197" s="1158">
        <f t="shared" si="215"/>
        <v>325.31039999999996</v>
      </c>
      <c r="U197" s="1158">
        <f t="shared" si="215"/>
        <v>346.99775999999997</v>
      </c>
      <c r="V197" s="1158">
        <f t="shared" si="215"/>
        <v>368.68511999999998</v>
      </c>
      <c r="W197" s="1158">
        <f t="shared" si="215"/>
        <v>390.37248</v>
      </c>
      <c r="X197" s="1158">
        <f t="shared" si="215"/>
        <v>412.05983999999995</v>
      </c>
      <c r="Y197" s="1158">
        <f t="shared" si="215"/>
        <v>433.74719999999996</v>
      </c>
      <c r="Z197" s="1158">
        <f t="shared" si="215"/>
        <v>455.43455999999998</v>
      </c>
      <c r="AA197" s="1158">
        <f t="shared" si="215"/>
        <v>477.12191999999999</v>
      </c>
      <c r="AB197" s="1158">
        <f t="shared" si="215"/>
        <v>498.80927999999994</v>
      </c>
      <c r="AC197" s="1158">
        <f t="shared" si="215"/>
        <v>520.49663999999996</v>
      </c>
      <c r="AD197" s="1158">
        <f t="shared" si="215"/>
        <v>542.18399999999997</v>
      </c>
      <c r="AE197" s="1158">
        <f t="shared" si="215"/>
        <v>563.87135999999998</v>
      </c>
      <c r="AF197" s="1158">
        <f t="shared" si="215"/>
        <v>585.55871999999999</v>
      </c>
      <c r="AG197" s="1158">
        <f t="shared" si="215"/>
        <v>607.24607999999989</v>
      </c>
      <c r="AH197" s="1158">
        <f t="shared" si="215"/>
        <v>628.93343999999991</v>
      </c>
      <c r="AI197" s="1158">
        <f t="shared" si="215"/>
        <v>650.62079999999992</v>
      </c>
      <c r="AJ197" s="1158">
        <f t="shared" si="215"/>
        <v>672.30815999999993</v>
      </c>
      <c r="AK197" s="1158">
        <f t="shared" si="215"/>
        <v>693.99551999999994</v>
      </c>
      <c r="AL197" s="1158">
        <f t="shared" si="215"/>
        <v>715.68287999999995</v>
      </c>
      <c r="AM197" s="1158">
        <f t="shared" si="215"/>
        <v>737.37023999999997</v>
      </c>
      <c r="AN197" s="1158">
        <f t="shared" ref="AN197:BF197" si="216">((AN$192-$H$4)/1000)*$O$57*(($C$8/70)^$AA$57)</f>
        <v>759.05759999999998</v>
      </c>
      <c r="AO197" s="1158">
        <f t="shared" si="216"/>
        <v>780.74495999999999</v>
      </c>
      <c r="AP197" s="1158">
        <f t="shared" si="216"/>
        <v>802.43232</v>
      </c>
      <c r="AQ197" s="1158">
        <f t="shared" si="216"/>
        <v>824.1196799999999</v>
      </c>
      <c r="AR197" s="1158">
        <f t="shared" si="216"/>
        <v>845.80703999999992</v>
      </c>
      <c r="AS197" s="1158">
        <f t="shared" si="216"/>
        <v>867.49439999999993</v>
      </c>
      <c r="AT197" s="1158">
        <f t="shared" si="216"/>
        <v>889.18175999999983</v>
      </c>
      <c r="AU197" s="1158">
        <f t="shared" si="216"/>
        <v>910.86911999999995</v>
      </c>
      <c r="AV197" s="1158">
        <f t="shared" si="216"/>
        <v>932.55647999999985</v>
      </c>
      <c r="AW197" s="1158">
        <f t="shared" si="216"/>
        <v>954.24383999999998</v>
      </c>
      <c r="AX197" s="1158">
        <f t="shared" si="216"/>
        <v>975.93119999999988</v>
      </c>
      <c r="AY197" s="1158">
        <f t="shared" si="216"/>
        <v>997.61855999999989</v>
      </c>
      <c r="AZ197" s="1158">
        <f t="shared" si="216"/>
        <v>1019.3059199999999</v>
      </c>
      <c r="BA197" s="1158">
        <f t="shared" si="216"/>
        <v>1040.9932799999999</v>
      </c>
      <c r="BB197" s="1158">
        <f t="shared" si="216"/>
        <v>1062.68064</v>
      </c>
      <c r="BC197" s="1158">
        <f t="shared" si="216"/>
        <v>1084.3679999999999</v>
      </c>
      <c r="BD197" s="1158">
        <f t="shared" si="216"/>
        <v>1106.0553599999998</v>
      </c>
      <c r="BE197" s="1158">
        <f t="shared" si="216"/>
        <v>1127.74272</v>
      </c>
      <c r="BF197" s="1158">
        <f t="shared" si="216"/>
        <v>1149.4300799999999</v>
      </c>
    </row>
    <row r="198" spans="1:58" ht="15.75" hidden="1" customHeight="1" thickBot="1">
      <c r="A198" s="2098"/>
      <c r="B198" s="2210" t="s">
        <v>329</v>
      </c>
      <c r="C198" s="2211"/>
      <c r="D198" s="1074"/>
      <c r="E198" s="1074"/>
      <c r="F198" s="1074"/>
      <c r="G198" s="1074"/>
      <c r="H198" s="712">
        <f t="shared" ref="H198:AM198" si="217">((H$192-$H$4)/1000)*$P$57*(($C$8/70)^$AB$57)</f>
        <v>69.886976399999995</v>
      </c>
      <c r="I198" s="712">
        <f t="shared" si="217"/>
        <v>93.182635199999993</v>
      </c>
      <c r="J198" s="712">
        <f t="shared" si="217"/>
        <v>116.47829399999999</v>
      </c>
      <c r="K198" s="712">
        <f t="shared" si="217"/>
        <v>139.77395279999999</v>
      </c>
      <c r="L198" s="712">
        <f t="shared" si="217"/>
        <v>163.06961159999997</v>
      </c>
      <c r="M198" s="712">
        <f t="shared" si="217"/>
        <v>186.36527039999999</v>
      </c>
      <c r="N198" s="712">
        <f t="shared" si="217"/>
        <v>209.6609292</v>
      </c>
      <c r="O198" s="712">
        <f t="shared" si="217"/>
        <v>232.95658799999998</v>
      </c>
      <c r="P198" s="712">
        <f t="shared" si="217"/>
        <v>256.25224680000002</v>
      </c>
      <c r="Q198" s="712">
        <f t="shared" si="217"/>
        <v>279.54790559999998</v>
      </c>
      <c r="R198" s="712">
        <f t="shared" si="217"/>
        <v>302.84356439999999</v>
      </c>
      <c r="S198" s="712">
        <f t="shared" si="217"/>
        <v>326.13922319999995</v>
      </c>
      <c r="T198" s="712">
        <f t="shared" si="217"/>
        <v>349.43488199999996</v>
      </c>
      <c r="U198" s="712">
        <f t="shared" si="217"/>
        <v>372.73054079999997</v>
      </c>
      <c r="V198" s="712">
        <f t="shared" si="217"/>
        <v>396.02619959999998</v>
      </c>
      <c r="W198" s="712">
        <f t="shared" si="217"/>
        <v>419.3218584</v>
      </c>
      <c r="X198" s="712">
        <f t="shared" si="217"/>
        <v>442.61751719999995</v>
      </c>
      <c r="Y198" s="712">
        <f t="shared" si="217"/>
        <v>465.91317599999996</v>
      </c>
      <c r="Z198" s="712">
        <f t="shared" si="217"/>
        <v>489.20883479999998</v>
      </c>
      <c r="AA198" s="712">
        <f t="shared" si="217"/>
        <v>512.50449360000005</v>
      </c>
      <c r="AB198" s="712">
        <f t="shared" si="217"/>
        <v>535.80015239999989</v>
      </c>
      <c r="AC198" s="712">
        <f t="shared" si="217"/>
        <v>559.09581119999996</v>
      </c>
      <c r="AD198" s="712">
        <f t="shared" si="217"/>
        <v>582.39146999999991</v>
      </c>
      <c r="AE198" s="712">
        <f t="shared" si="217"/>
        <v>605.68712879999998</v>
      </c>
      <c r="AF198" s="712">
        <f t="shared" si="217"/>
        <v>628.98278759999994</v>
      </c>
      <c r="AG198" s="712">
        <f t="shared" si="217"/>
        <v>652.27844639999989</v>
      </c>
      <c r="AH198" s="712">
        <f t="shared" si="217"/>
        <v>675.57410519999996</v>
      </c>
      <c r="AI198" s="712">
        <f t="shared" si="217"/>
        <v>698.86976399999992</v>
      </c>
      <c r="AJ198" s="712">
        <f t="shared" si="217"/>
        <v>722.16542279999999</v>
      </c>
      <c r="AK198" s="712">
        <f t="shared" si="217"/>
        <v>745.46108159999994</v>
      </c>
      <c r="AL198" s="712">
        <f t="shared" si="217"/>
        <v>768.7567403999999</v>
      </c>
      <c r="AM198" s="712">
        <f t="shared" si="217"/>
        <v>792.05239919999997</v>
      </c>
      <c r="AN198" s="712">
        <f t="shared" ref="AN198:BF198" si="218">((AN$192-$H$4)/1000)*$P$57*(($C$8/70)^$AB$57)</f>
        <v>815.34805799999992</v>
      </c>
      <c r="AO198" s="712">
        <f t="shared" si="218"/>
        <v>838.64371679999999</v>
      </c>
      <c r="AP198" s="712">
        <f t="shared" si="218"/>
        <v>861.93937559999995</v>
      </c>
      <c r="AQ198" s="712">
        <f t="shared" si="218"/>
        <v>885.2350343999999</v>
      </c>
      <c r="AR198" s="712">
        <f t="shared" si="218"/>
        <v>908.53069319999986</v>
      </c>
      <c r="AS198" s="712">
        <f t="shared" si="218"/>
        <v>931.82635199999993</v>
      </c>
      <c r="AT198" s="712">
        <f t="shared" si="218"/>
        <v>955.12201079999988</v>
      </c>
      <c r="AU198" s="712">
        <f t="shared" si="218"/>
        <v>978.41766959999995</v>
      </c>
      <c r="AV198" s="712">
        <f t="shared" si="218"/>
        <v>1001.7133283999999</v>
      </c>
      <c r="AW198" s="712">
        <f t="shared" si="218"/>
        <v>1025.0089872000001</v>
      </c>
      <c r="AX198" s="712">
        <f t="shared" si="218"/>
        <v>1048.3046459999998</v>
      </c>
      <c r="AY198" s="712">
        <f t="shared" si="218"/>
        <v>1071.6003047999998</v>
      </c>
      <c r="AZ198" s="712">
        <f t="shared" si="218"/>
        <v>1094.8959636</v>
      </c>
      <c r="BA198" s="712">
        <f t="shared" si="218"/>
        <v>1118.1916223999999</v>
      </c>
      <c r="BB198" s="712">
        <f t="shared" si="218"/>
        <v>1141.4872812000001</v>
      </c>
      <c r="BC198" s="712">
        <f t="shared" si="218"/>
        <v>1164.7829399999998</v>
      </c>
      <c r="BD198" s="712">
        <f t="shared" si="218"/>
        <v>1188.0785987999998</v>
      </c>
      <c r="BE198" s="712">
        <f t="shared" si="218"/>
        <v>1211.3742576</v>
      </c>
      <c r="BF198" s="712">
        <f t="shared" si="218"/>
        <v>1234.6699163999999</v>
      </c>
    </row>
    <row r="199" spans="1:58" ht="15.75" hidden="1" customHeight="1" thickBot="1">
      <c r="A199" s="2098"/>
      <c r="B199" s="2212" t="s">
        <v>330</v>
      </c>
      <c r="C199" s="2213"/>
      <c r="D199" s="1072"/>
      <c r="E199" s="1072"/>
      <c r="F199" s="1072"/>
      <c r="G199" s="1072"/>
      <c r="H199" s="712">
        <f t="shared" ref="H199:AM199" si="219">((H$192-$H$4)/1000)*$Q$57*(($C$8/70)^$AC$57)</f>
        <v>71.999150422550386</v>
      </c>
      <c r="I199" s="712">
        <f t="shared" si="219"/>
        <v>95.998867230067191</v>
      </c>
      <c r="J199" s="712">
        <f t="shared" si="219"/>
        <v>119.99858403758398</v>
      </c>
      <c r="K199" s="712">
        <f t="shared" si="219"/>
        <v>143.99830084510077</v>
      </c>
      <c r="L199" s="712">
        <f t="shared" si="219"/>
        <v>167.99801765261756</v>
      </c>
      <c r="M199" s="712">
        <f t="shared" si="219"/>
        <v>191.99773446013438</v>
      </c>
      <c r="N199" s="712">
        <f t="shared" si="219"/>
        <v>215.99745126765117</v>
      </c>
      <c r="O199" s="712">
        <f t="shared" si="219"/>
        <v>239.99716807516796</v>
      </c>
      <c r="P199" s="712">
        <f t="shared" si="219"/>
        <v>263.99688488268475</v>
      </c>
      <c r="Q199" s="712">
        <f t="shared" si="219"/>
        <v>287.99660169020154</v>
      </c>
      <c r="R199" s="712">
        <f t="shared" si="219"/>
        <v>311.99631849771833</v>
      </c>
      <c r="S199" s="712">
        <f t="shared" si="219"/>
        <v>335.99603530523513</v>
      </c>
      <c r="T199" s="712">
        <f t="shared" si="219"/>
        <v>359.99575211275192</v>
      </c>
      <c r="U199" s="712">
        <f t="shared" si="219"/>
        <v>383.99546892026876</v>
      </c>
      <c r="V199" s="712">
        <f t="shared" si="219"/>
        <v>407.99518572778555</v>
      </c>
      <c r="W199" s="712">
        <f t="shared" si="219"/>
        <v>431.99490253530234</v>
      </c>
      <c r="X199" s="712">
        <f t="shared" si="219"/>
        <v>455.99461934281913</v>
      </c>
      <c r="Y199" s="712">
        <f t="shared" si="219"/>
        <v>479.99433615033593</v>
      </c>
      <c r="Z199" s="712">
        <f t="shared" si="219"/>
        <v>503.99405295785272</v>
      </c>
      <c r="AA199" s="712">
        <f t="shared" si="219"/>
        <v>527.99376976536951</v>
      </c>
      <c r="AB199" s="712">
        <f t="shared" si="219"/>
        <v>551.99348657288624</v>
      </c>
      <c r="AC199" s="712">
        <f t="shared" si="219"/>
        <v>575.99320338040309</v>
      </c>
      <c r="AD199" s="712">
        <f t="shared" si="219"/>
        <v>599.99292018791994</v>
      </c>
      <c r="AE199" s="712">
        <f t="shared" si="219"/>
        <v>623.99263699543667</v>
      </c>
      <c r="AF199" s="712">
        <f t="shared" si="219"/>
        <v>647.99235380295352</v>
      </c>
      <c r="AG199" s="712">
        <f t="shared" si="219"/>
        <v>671.99207061047025</v>
      </c>
      <c r="AH199" s="712">
        <f t="shared" si="219"/>
        <v>695.9917874179871</v>
      </c>
      <c r="AI199" s="712">
        <f t="shared" si="219"/>
        <v>719.99150422550383</v>
      </c>
      <c r="AJ199" s="712">
        <f t="shared" si="219"/>
        <v>743.99122103302068</v>
      </c>
      <c r="AK199" s="712">
        <f t="shared" si="219"/>
        <v>767.99093784053753</v>
      </c>
      <c r="AL199" s="712">
        <f t="shared" si="219"/>
        <v>791.99065464805426</v>
      </c>
      <c r="AM199" s="712">
        <f t="shared" si="219"/>
        <v>815.99037145557111</v>
      </c>
      <c r="AN199" s="712">
        <f t="shared" ref="AN199:BF199" si="220">((AN$192-$H$4)/1000)*$Q$57*(($C$8/70)^$AC$57)</f>
        <v>839.99008826308784</v>
      </c>
      <c r="AO199" s="712">
        <f t="shared" si="220"/>
        <v>863.98980507060469</v>
      </c>
      <c r="AP199" s="712">
        <f t="shared" si="220"/>
        <v>887.98952187812154</v>
      </c>
      <c r="AQ199" s="712">
        <f t="shared" si="220"/>
        <v>911.98923868563827</v>
      </c>
      <c r="AR199" s="712">
        <f t="shared" si="220"/>
        <v>935.988955493155</v>
      </c>
      <c r="AS199" s="712">
        <f t="shared" si="220"/>
        <v>959.98867230067185</v>
      </c>
      <c r="AT199" s="712">
        <f t="shared" si="220"/>
        <v>983.98838910818858</v>
      </c>
      <c r="AU199" s="712">
        <f t="shared" si="220"/>
        <v>1007.9881059157054</v>
      </c>
      <c r="AV199" s="712">
        <f t="shared" si="220"/>
        <v>1031.9878227232223</v>
      </c>
      <c r="AW199" s="712">
        <f t="shared" si="220"/>
        <v>1055.987539530739</v>
      </c>
      <c r="AX199" s="712">
        <f t="shared" si="220"/>
        <v>1079.9872563382557</v>
      </c>
      <c r="AY199" s="712">
        <f t="shared" si="220"/>
        <v>1103.9869731457725</v>
      </c>
      <c r="AZ199" s="712">
        <f t="shared" si="220"/>
        <v>1127.9866899532894</v>
      </c>
      <c r="BA199" s="712">
        <f t="shared" si="220"/>
        <v>1151.9864067608062</v>
      </c>
      <c r="BB199" s="712">
        <f t="shared" si="220"/>
        <v>1175.9861235683231</v>
      </c>
      <c r="BC199" s="712">
        <f t="shared" si="220"/>
        <v>1199.9858403758399</v>
      </c>
      <c r="BD199" s="712">
        <f t="shared" si="220"/>
        <v>1223.9855571833566</v>
      </c>
      <c r="BE199" s="712">
        <f t="shared" si="220"/>
        <v>1247.9852739908733</v>
      </c>
      <c r="BF199" s="712">
        <f t="shared" si="220"/>
        <v>1271.9849907983901</v>
      </c>
    </row>
    <row r="200" spans="1:58" ht="15.75" hidden="1" customHeight="1" thickBot="1">
      <c r="A200" s="2098"/>
      <c r="B200" s="2214" t="s">
        <v>331</v>
      </c>
      <c r="C200" s="2215"/>
      <c r="D200" s="1073"/>
      <c r="E200" s="1073"/>
      <c r="F200" s="1073"/>
      <c r="G200" s="1073"/>
      <c r="H200" s="679">
        <f t="shared" ref="H200:AM200" si="221">((H$192-$H$4)/1000)*$R$57*(($C$8/70)^$AD$57)</f>
        <v>93.77913599999998</v>
      </c>
      <c r="I200" s="679">
        <f t="shared" si="221"/>
        <v>125.03884799999999</v>
      </c>
      <c r="J200" s="679">
        <f t="shared" si="221"/>
        <v>156.29855999999998</v>
      </c>
      <c r="K200" s="679">
        <f t="shared" si="221"/>
        <v>187.55827199999996</v>
      </c>
      <c r="L200" s="679">
        <f t="shared" si="221"/>
        <v>218.81798399999997</v>
      </c>
      <c r="M200" s="679">
        <f t="shared" si="221"/>
        <v>250.07769599999997</v>
      </c>
      <c r="N200" s="679">
        <f t="shared" si="221"/>
        <v>281.33740799999998</v>
      </c>
      <c r="O200" s="679">
        <f t="shared" si="221"/>
        <v>312.59711999999996</v>
      </c>
      <c r="P200" s="679">
        <f t="shared" si="221"/>
        <v>343.856832</v>
      </c>
      <c r="Q200" s="679">
        <f t="shared" si="221"/>
        <v>375.11654399999992</v>
      </c>
      <c r="R200" s="679">
        <f t="shared" si="221"/>
        <v>406.37625599999996</v>
      </c>
      <c r="S200" s="679">
        <f t="shared" si="221"/>
        <v>437.63596799999993</v>
      </c>
      <c r="T200" s="679">
        <f t="shared" si="221"/>
        <v>468.89567999999997</v>
      </c>
      <c r="U200" s="679">
        <f t="shared" si="221"/>
        <v>500.15539199999995</v>
      </c>
      <c r="V200" s="679">
        <f t="shared" si="221"/>
        <v>531.41510399999993</v>
      </c>
      <c r="W200" s="679">
        <f t="shared" si="221"/>
        <v>562.67481599999996</v>
      </c>
      <c r="X200" s="679">
        <f t="shared" si="221"/>
        <v>593.93452799999989</v>
      </c>
      <c r="Y200" s="679">
        <f t="shared" si="221"/>
        <v>625.19423999999992</v>
      </c>
      <c r="Z200" s="679">
        <f t="shared" si="221"/>
        <v>656.45395199999996</v>
      </c>
      <c r="AA200" s="679">
        <f t="shared" si="221"/>
        <v>687.71366399999999</v>
      </c>
      <c r="AB200" s="679">
        <f t="shared" si="221"/>
        <v>718.9733759999998</v>
      </c>
      <c r="AC200" s="679">
        <f t="shared" si="221"/>
        <v>750.23308799999984</v>
      </c>
      <c r="AD200" s="679">
        <f t="shared" si="221"/>
        <v>781.49279999999987</v>
      </c>
      <c r="AE200" s="679">
        <f t="shared" si="221"/>
        <v>812.75251199999991</v>
      </c>
      <c r="AF200" s="679">
        <f t="shared" si="221"/>
        <v>844.01222399999995</v>
      </c>
      <c r="AG200" s="679">
        <f t="shared" si="221"/>
        <v>875.27193599999987</v>
      </c>
      <c r="AH200" s="679">
        <f t="shared" si="221"/>
        <v>906.5316479999999</v>
      </c>
      <c r="AI200" s="679">
        <f t="shared" si="221"/>
        <v>937.79135999999994</v>
      </c>
      <c r="AJ200" s="679">
        <f t="shared" si="221"/>
        <v>969.05107199999986</v>
      </c>
      <c r="AK200" s="679">
        <f t="shared" si="221"/>
        <v>1000.3107839999999</v>
      </c>
      <c r="AL200" s="679">
        <f t="shared" si="221"/>
        <v>1031.5704959999998</v>
      </c>
      <c r="AM200" s="679">
        <f t="shared" si="221"/>
        <v>1062.8302079999999</v>
      </c>
      <c r="AN200" s="679">
        <f t="shared" ref="AN200:BF200" si="222">((AN$192-$H$4)/1000)*$R$57*(($C$8/70)^$AD$57)</f>
        <v>1094.0899199999999</v>
      </c>
      <c r="AO200" s="679">
        <f t="shared" si="222"/>
        <v>1125.3496319999999</v>
      </c>
      <c r="AP200" s="679">
        <f t="shared" si="222"/>
        <v>1156.609344</v>
      </c>
      <c r="AQ200" s="679">
        <f t="shared" si="222"/>
        <v>1187.8690559999998</v>
      </c>
      <c r="AR200" s="679">
        <f t="shared" si="222"/>
        <v>1219.1287679999998</v>
      </c>
      <c r="AS200" s="679">
        <f t="shared" si="222"/>
        <v>1250.3884799999998</v>
      </c>
      <c r="AT200" s="679">
        <f t="shared" si="222"/>
        <v>1281.6481919999997</v>
      </c>
      <c r="AU200" s="679">
        <f t="shared" si="222"/>
        <v>1312.9079039999999</v>
      </c>
      <c r="AV200" s="679">
        <f t="shared" si="222"/>
        <v>1344.1676159999997</v>
      </c>
      <c r="AW200" s="679">
        <f t="shared" si="222"/>
        <v>1375.427328</v>
      </c>
      <c r="AX200" s="679">
        <f t="shared" si="222"/>
        <v>1406.6870399999998</v>
      </c>
      <c r="AY200" s="679">
        <f t="shared" si="222"/>
        <v>1437.9467519999996</v>
      </c>
      <c r="AZ200" s="679">
        <f t="shared" si="222"/>
        <v>1469.2064639999999</v>
      </c>
      <c r="BA200" s="679">
        <f t="shared" si="222"/>
        <v>1500.4661759999997</v>
      </c>
      <c r="BB200" s="679">
        <f t="shared" si="222"/>
        <v>1531.7258879999999</v>
      </c>
      <c r="BC200" s="679">
        <f t="shared" si="222"/>
        <v>1562.9855999999997</v>
      </c>
      <c r="BD200" s="679">
        <f t="shared" si="222"/>
        <v>1594.2453119999998</v>
      </c>
      <c r="BE200" s="679">
        <f t="shared" si="222"/>
        <v>1625.5050239999998</v>
      </c>
      <c r="BF200" s="679">
        <f t="shared" si="222"/>
        <v>1656.7647359999996</v>
      </c>
    </row>
    <row r="201" spans="1:58" hidden="1">
      <c r="A201" s="2098"/>
      <c r="B201" s="2270" t="s">
        <v>356</v>
      </c>
      <c r="C201" s="2271"/>
      <c r="D201" s="852"/>
      <c r="E201" s="852"/>
      <c r="F201" s="852"/>
      <c r="G201" s="852"/>
      <c r="H201" s="1159">
        <f t="shared" ref="H201:AM201" si="223">((H$192-$H$4)/1000)*$K$58*(($C$8/70)^$W$58)</f>
        <v>44.006939999999993</v>
      </c>
      <c r="I201" s="1159">
        <f t="shared" si="223"/>
        <v>58.675919999999998</v>
      </c>
      <c r="J201" s="1159">
        <f t="shared" si="223"/>
        <v>73.344899999999996</v>
      </c>
      <c r="K201" s="1159">
        <f t="shared" si="223"/>
        <v>88.013879999999986</v>
      </c>
      <c r="L201" s="1159">
        <f t="shared" si="223"/>
        <v>102.68285999999999</v>
      </c>
      <c r="M201" s="1159">
        <f t="shared" si="223"/>
        <v>117.35184</v>
      </c>
      <c r="N201" s="1159">
        <f t="shared" si="223"/>
        <v>132.02081999999999</v>
      </c>
      <c r="O201" s="1159">
        <f t="shared" si="223"/>
        <v>146.68979999999999</v>
      </c>
      <c r="P201" s="1159">
        <f t="shared" si="223"/>
        <v>161.35878</v>
      </c>
      <c r="Q201" s="1159">
        <f t="shared" si="223"/>
        <v>176.02775999999997</v>
      </c>
      <c r="R201" s="1159">
        <f t="shared" si="223"/>
        <v>190.69674000000001</v>
      </c>
      <c r="S201" s="1159">
        <f t="shared" si="223"/>
        <v>205.36571999999998</v>
      </c>
      <c r="T201" s="1159">
        <f t="shared" si="223"/>
        <v>220.03469999999999</v>
      </c>
      <c r="U201" s="1159">
        <f t="shared" si="223"/>
        <v>234.70367999999999</v>
      </c>
      <c r="V201" s="1159">
        <f t="shared" si="223"/>
        <v>249.37265999999997</v>
      </c>
      <c r="W201" s="1159">
        <f t="shared" si="223"/>
        <v>264.04163999999997</v>
      </c>
      <c r="X201" s="1159">
        <f t="shared" si="223"/>
        <v>278.71061999999995</v>
      </c>
      <c r="Y201" s="1159">
        <f t="shared" si="223"/>
        <v>293.37959999999998</v>
      </c>
      <c r="Z201" s="1159">
        <f t="shared" si="223"/>
        <v>308.04858000000002</v>
      </c>
      <c r="AA201" s="1159">
        <f t="shared" si="223"/>
        <v>322.71755999999999</v>
      </c>
      <c r="AB201" s="1159">
        <f t="shared" si="223"/>
        <v>337.38653999999997</v>
      </c>
      <c r="AC201" s="1159">
        <f t="shared" si="223"/>
        <v>352.05551999999994</v>
      </c>
      <c r="AD201" s="1159">
        <f t="shared" si="223"/>
        <v>366.72449999999998</v>
      </c>
      <c r="AE201" s="1159">
        <f t="shared" si="223"/>
        <v>381.39348000000001</v>
      </c>
      <c r="AF201" s="1159">
        <f t="shared" si="223"/>
        <v>396.06245999999999</v>
      </c>
      <c r="AG201" s="1159">
        <f t="shared" si="223"/>
        <v>410.73143999999996</v>
      </c>
      <c r="AH201" s="1159">
        <f t="shared" si="223"/>
        <v>425.40041999999994</v>
      </c>
      <c r="AI201" s="1159">
        <f t="shared" si="223"/>
        <v>440.06939999999997</v>
      </c>
      <c r="AJ201" s="1159">
        <f t="shared" si="223"/>
        <v>454.73838000000001</v>
      </c>
      <c r="AK201" s="1159">
        <f t="shared" si="223"/>
        <v>469.40735999999998</v>
      </c>
      <c r="AL201" s="1159">
        <f t="shared" si="223"/>
        <v>484.07633999999996</v>
      </c>
      <c r="AM201" s="1159">
        <f t="shared" si="223"/>
        <v>498.74531999999994</v>
      </c>
      <c r="AN201" s="1159">
        <f t="shared" ref="AN201:BF201" si="224">((AN$192-$H$4)/1000)*$K$58*(($C$8/70)^$W$58)</f>
        <v>513.41429999999991</v>
      </c>
      <c r="AO201" s="1159">
        <f t="shared" si="224"/>
        <v>528.08327999999995</v>
      </c>
      <c r="AP201" s="1159">
        <f t="shared" si="224"/>
        <v>542.75225999999998</v>
      </c>
      <c r="AQ201" s="1159">
        <f t="shared" si="224"/>
        <v>557.4212399999999</v>
      </c>
      <c r="AR201" s="1159">
        <f t="shared" si="224"/>
        <v>572.09021999999993</v>
      </c>
      <c r="AS201" s="1159">
        <f t="shared" si="224"/>
        <v>586.75919999999996</v>
      </c>
      <c r="AT201" s="1159">
        <f t="shared" si="224"/>
        <v>601.42817999999988</v>
      </c>
      <c r="AU201" s="1159">
        <f t="shared" si="224"/>
        <v>616.09716000000003</v>
      </c>
      <c r="AV201" s="1159">
        <f t="shared" si="224"/>
        <v>630.76613999999995</v>
      </c>
      <c r="AW201" s="1159">
        <f t="shared" si="224"/>
        <v>645.43511999999998</v>
      </c>
      <c r="AX201" s="1159">
        <f t="shared" si="224"/>
        <v>660.10410000000002</v>
      </c>
      <c r="AY201" s="1159">
        <f t="shared" si="224"/>
        <v>674.77307999999994</v>
      </c>
      <c r="AZ201" s="1159">
        <f t="shared" si="224"/>
        <v>689.44205999999997</v>
      </c>
      <c r="BA201" s="1159">
        <f t="shared" si="224"/>
        <v>704.11103999999989</v>
      </c>
      <c r="BB201" s="1159">
        <f t="shared" si="224"/>
        <v>718.78002000000004</v>
      </c>
      <c r="BC201" s="1159">
        <f t="shared" si="224"/>
        <v>733.44899999999996</v>
      </c>
      <c r="BD201" s="1159">
        <f t="shared" si="224"/>
        <v>748.11797999999987</v>
      </c>
      <c r="BE201" s="1159">
        <f t="shared" si="224"/>
        <v>762.78696000000002</v>
      </c>
      <c r="BF201" s="1159">
        <f t="shared" si="224"/>
        <v>777.45593999999994</v>
      </c>
    </row>
    <row r="202" spans="1:58" hidden="1">
      <c r="A202" s="2098"/>
      <c r="B202" s="2272" t="s">
        <v>357</v>
      </c>
      <c r="C202" s="2273"/>
      <c r="D202" s="853"/>
      <c r="E202" s="853"/>
      <c r="F202" s="853"/>
      <c r="G202" s="853"/>
      <c r="H202" s="1160">
        <f t="shared" ref="H202:AM202" si="225">((H$192-$H$4)/1000)*$L$58*(($C$8/70)^$X$58)</f>
        <v>49.445999999999998</v>
      </c>
      <c r="I202" s="1160">
        <f t="shared" si="225"/>
        <v>65.927999999999997</v>
      </c>
      <c r="J202" s="1160">
        <f t="shared" si="225"/>
        <v>82.41</v>
      </c>
      <c r="K202" s="1160">
        <f t="shared" si="225"/>
        <v>98.891999999999996</v>
      </c>
      <c r="L202" s="1160">
        <f t="shared" si="225"/>
        <v>115.37399999999998</v>
      </c>
      <c r="M202" s="1160">
        <f t="shared" si="225"/>
        <v>131.85599999999999</v>
      </c>
      <c r="N202" s="1160">
        <f t="shared" si="225"/>
        <v>148.33799999999999</v>
      </c>
      <c r="O202" s="1160">
        <f t="shared" si="225"/>
        <v>164.82</v>
      </c>
      <c r="P202" s="1160">
        <f t="shared" si="225"/>
        <v>181.30200000000002</v>
      </c>
      <c r="Q202" s="1160">
        <f t="shared" si="225"/>
        <v>197.78399999999999</v>
      </c>
      <c r="R202" s="1160">
        <f t="shared" si="225"/>
        <v>214.26599999999999</v>
      </c>
      <c r="S202" s="1160">
        <f t="shared" si="225"/>
        <v>230.74799999999996</v>
      </c>
      <c r="T202" s="1160">
        <f t="shared" si="225"/>
        <v>247.23</v>
      </c>
      <c r="U202" s="1160">
        <f t="shared" si="225"/>
        <v>263.71199999999999</v>
      </c>
      <c r="V202" s="1160">
        <f t="shared" si="225"/>
        <v>280.19399999999996</v>
      </c>
      <c r="W202" s="1160">
        <f t="shared" si="225"/>
        <v>296.67599999999999</v>
      </c>
      <c r="X202" s="1160">
        <f t="shared" si="225"/>
        <v>313.15799999999996</v>
      </c>
      <c r="Y202" s="1160">
        <f t="shared" si="225"/>
        <v>329.64</v>
      </c>
      <c r="Z202" s="1160">
        <f t="shared" si="225"/>
        <v>346.12200000000001</v>
      </c>
      <c r="AA202" s="1160">
        <f t="shared" si="225"/>
        <v>362.60400000000004</v>
      </c>
      <c r="AB202" s="1160">
        <f t="shared" si="225"/>
        <v>379.08599999999996</v>
      </c>
      <c r="AC202" s="1160">
        <f t="shared" si="225"/>
        <v>395.56799999999998</v>
      </c>
      <c r="AD202" s="1160">
        <f t="shared" si="225"/>
        <v>412.04999999999995</v>
      </c>
      <c r="AE202" s="1160">
        <f t="shared" si="225"/>
        <v>428.53199999999998</v>
      </c>
      <c r="AF202" s="1160">
        <f t="shared" si="225"/>
        <v>445.01400000000001</v>
      </c>
      <c r="AG202" s="1160">
        <f t="shared" si="225"/>
        <v>461.49599999999992</v>
      </c>
      <c r="AH202" s="1160">
        <f t="shared" si="225"/>
        <v>477.97799999999995</v>
      </c>
      <c r="AI202" s="1160">
        <f t="shared" si="225"/>
        <v>494.46</v>
      </c>
      <c r="AJ202" s="1160">
        <f t="shared" si="225"/>
        <v>510.94200000000001</v>
      </c>
      <c r="AK202" s="1160">
        <f t="shared" si="225"/>
        <v>527.42399999999998</v>
      </c>
      <c r="AL202" s="1160">
        <f t="shared" si="225"/>
        <v>543.90599999999995</v>
      </c>
      <c r="AM202" s="1160">
        <f t="shared" si="225"/>
        <v>560.38799999999992</v>
      </c>
      <c r="AN202" s="1160">
        <f t="shared" ref="AN202:BF202" si="226">((AN$192-$H$4)/1000)*$L$58*(($C$8/70)^$X$58)</f>
        <v>576.87</v>
      </c>
      <c r="AO202" s="1160">
        <f t="shared" si="226"/>
        <v>593.35199999999998</v>
      </c>
      <c r="AP202" s="1160">
        <f t="shared" si="226"/>
        <v>609.83400000000006</v>
      </c>
      <c r="AQ202" s="1160">
        <f t="shared" si="226"/>
        <v>626.31599999999992</v>
      </c>
      <c r="AR202" s="1160">
        <f t="shared" si="226"/>
        <v>642.798</v>
      </c>
      <c r="AS202" s="1160">
        <f t="shared" si="226"/>
        <v>659.28</v>
      </c>
      <c r="AT202" s="1160">
        <f t="shared" si="226"/>
        <v>675.76199999999994</v>
      </c>
      <c r="AU202" s="1160">
        <f t="shared" si="226"/>
        <v>692.24400000000003</v>
      </c>
      <c r="AV202" s="1160">
        <f t="shared" si="226"/>
        <v>708.72599999999989</v>
      </c>
      <c r="AW202" s="1160">
        <f t="shared" si="226"/>
        <v>725.20800000000008</v>
      </c>
      <c r="AX202" s="1160">
        <f t="shared" si="226"/>
        <v>741.68999999999994</v>
      </c>
      <c r="AY202" s="1160">
        <f t="shared" si="226"/>
        <v>758.17199999999991</v>
      </c>
      <c r="AZ202" s="1160">
        <f t="shared" si="226"/>
        <v>774.654</v>
      </c>
      <c r="BA202" s="1160">
        <f t="shared" si="226"/>
        <v>791.13599999999997</v>
      </c>
      <c r="BB202" s="1160">
        <f t="shared" si="226"/>
        <v>807.61800000000005</v>
      </c>
      <c r="BC202" s="1160">
        <f t="shared" si="226"/>
        <v>824.09999999999991</v>
      </c>
      <c r="BD202" s="1160">
        <f t="shared" si="226"/>
        <v>840.58199999999988</v>
      </c>
      <c r="BE202" s="1160">
        <f t="shared" si="226"/>
        <v>857.06399999999996</v>
      </c>
      <c r="BF202" s="1160">
        <f t="shared" si="226"/>
        <v>873.54599999999994</v>
      </c>
    </row>
    <row r="203" spans="1:58" hidden="1">
      <c r="A203" s="2098"/>
      <c r="B203" s="2272" t="s">
        <v>358</v>
      </c>
      <c r="C203" s="2273"/>
      <c r="D203" s="853"/>
      <c r="E203" s="853"/>
      <c r="F203" s="853"/>
      <c r="G203" s="853"/>
      <c r="H203" s="1160">
        <f t="shared" ref="H203:AM203" si="227">((H$192-$H$4)/1000)*$M$58*(($C$8/70)^$Y$58)</f>
        <v>65.534399999999991</v>
      </c>
      <c r="I203" s="1160">
        <f t="shared" si="227"/>
        <v>87.379199999999997</v>
      </c>
      <c r="J203" s="1160">
        <f t="shared" si="227"/>
        <v>109.22399999999999</v>
      </c>
      <c r="K203" s="1160">
        <f t="shared" si="227"/>
        <v>131.06879999999998</v>
      </c>
      <c r="L203" s="1160">
        <f t="shared" si="227"/>
        <v>152.91359999999997</v>
      </c>
      <c r="M203" s="1160">
        <f t="shared" si="227"/>
        <v>174.75839999999999</v>
      </c>
      <c r="N203" s="1160">
        <f t="shared" si="227"/>
        <v>196.60319999999999</v>
      </c>
      <c r="O203" s="1160">
        <f t="shared" si="227"/>
        <v>218.44799999999998</v>
      </c>
      <c r="P203" s="1160">
        <f t="shared" si="227"/>
        <v>240.2928</v>
      </c>
      <c r="Q203" s="1160">
        <f t="shared" si="227"/>
        <v>262.13759999999996</v>
      </c>
      <c r="R203" s="1160">
        <f t="shared" si="227"/>
        <v>283.98239999999998</v>
      </c>
      <c r="S203" s="1160">
        <f t="shared" si="227"/>
        <v>305.82719999999995</v>
      </c>
      <c r="T203" s="1160">
        <f t="shared" si="227"/>
        <v>327.67199999999997</v>
      </c>
      <c r="U203" s="1160">
        <f t="shared" si="227"/>
        <v>349.51679999999999</v>
      </c>
      <c r="V203" s="1160">
        <f t="shared" si="227"/>
        <v>371.36159999999995</v>
      </c>
      <c r="W203" s="1160">
        <f t="shared" si="227"/>
        <v>393.20639999999997</v>
      </c>
      <c r="X203" s="1160">
        <f t="shared" si="227"/>
        <v>415.05119999999994</v>
      </c>
      <c r="Y203" s="1160">
        <f t="shared" si="227"/>
        <v>436.89599999999996</v>
      </c>
      <c r="Z203" s="1160">
        <f t="shared" si="227"/>
        <v>458.74079999999998</v>
      </c>
      <c r="AA203" s="1160">
        <f t="shared" si="227"/>
        <v>480.5856</v>
      </c>
      <c r="AB203" s="1160">
        <f t="shared" si="227"/>
        <v>502.43039999999991</v>
      </c>
      <c r="AC203" s="1160">
        <f t="shared" si="227"/>
        <v>524.27519999999993</v>
      </c>
      <c r="AD203" s="1160">
        <f t="shared" si="227"/>
        <v>546.11999999999989</v>
      </c>
      <c r="AE203" s="1160">
        <f t="shared" si="227"/>
        <v>567.96479999999997</v>
      </c>
      <c r="AF203" s="1160">
        <f t="shared" si="227"/>
        <v>589.80959999999993</v>
      </c>
      <c r="AG203" s="1160">
        <f t="shared" si="227"/>
        <v>611.6543999999999</v>
      </c>
      <c r="AH203" s="1160">
        <f t="shared" si="227"/>
        <v>633.49919999999997</v>
      </c>
      <c r="AI203" s="1160">
        <f t="shared" si="227"/>
        <v>655.34399999999994</v>
      </c>
      <c r="AJ203" s="1160">
        <f t="shared" si="227"/>
        <v>677.1887999999999</v>
      </c>
      <c r="AK203" s="1160">
        <f t="shared" si="227"/>
        <v>699.03359999999998</v>
      </c>
      <c r="AL203" s="1160">
        <f t="shared" si="227"/>
        <v>720.87839999999994</v>
      </c>
      <c r="AM203" s="1160">
        <f t="shared" si="227"/>
        <v>742.72319999999991</v>
      </c>
      <c r="AN203" s="1160">
        <f t="shared" ref="AN203:BF203" si="228">((AN$192-$H$4)/1000)*$M$58*(($C$8/70)^$Y$58)</f>
        <v>764.56799999999998</v>
      </c>
      <c r="AO203" s="1160">
        <f t="shared" si="228"/>
        <v>786.41279999999995</v>
      </c>
      <c r="AP203" s="1160">
        <f t="shared" si="228"/>
        <v>808.25759999999991</v>
      </c>
      <c r="AQ203" s="1160">
        <f t="shared" si="228"/>
        <v>830.10239999999988</v>
      </c>
      <c r="AR203" s="1160">
        <f t="shared" si="228"/>
        <v>851.94719999999995</v>
      </c>
      <c r="AS203" s="1160">
        <f t="shared" si="228"/>
        <v>873.79199999999992</v>
      </c>
      <c r="AT203" s="1160">
        <f t="shared" si="228"/>
        <v>895.63679999999988</v>
      </c>
      <c r="AU203" s="1160">
        <f t="shared" si="228"/>
        <v>917.48159999999996</v>
      </c>
      <c r="AV203" s="1160">
        <f t="shared" si="228"/>
        <v>939.32639999999992</v>
      </c>
      <c r="AW203" s="1160">
        <f t="shared" si="228"/>
        <v>961.1712</v>
      </c>
      <c r="AX203" s="1160">
        <f t="shared" si="228"/>
        <v>983.01599999999985</v>
      </c>
      <c r="AY203" s="1160">
        <f t="shared" si="228"/>
        <v>1004.8607999999998</v>
      </c>
      <c r="AZ203" s="1160">
        <f t="shared" si="228"/>
        <v>1026.7056</v>
      </c>
      <c r="BA203" s="1160">
        <f t="shared" si="228"/>
        <v>1048.5503999999999</v>
      </c>
      <c r="BB203" s="1160">
        <f t="shared" si="228"/>
        <v>1070.3951999999999</v>
      </c>
      <c r="BC203" s="1160">
        <f t="shared" si="228"/>
        <v>1092.2399999999998</v>
      </c>
      <c r="BD203" s="1160">
        <f t="shared" si="228"/>
        <v>1114.0847999999999</v>
      </c>
      <c r="BE203" s="1160">
        <f t="shared" si="228"/>
        <v>1135.9295999999999</v>
      </c>
      <c r="BF203" s="1160">
        <f t="shared" si="228"/>
        <v>1157.7743999999998</v>
      </c>
    </row>
    <row r="204" spans="1:58" hidden="1">
      <c r="A204" s="2098"/>
      <c r="B204" s="2272" t="s">
        <v>359</v>
      </c>
      <c r="C204" s="2273"/>
      <c r="D204" s="853"/>
      <c r="E204" s="853"/>
      <c r="F204" s="853"/>
      <c r="G204" s="853"/>
      <c r="H204" s="1160">
        <f t="shared" ref="H204:AM204" si="229">((H$192-$H$4)/1000)*$N$58*(($C$8/70)^$Z$58)</f>
        <v>73.60939083009599</v>
      </c>
      <c r="I204" s="1160">
        <f t="shared" si="229"/>
        <v>98.145854440128005</v>
      </c>
      <c r="J204" s="1160">
        <f t="shared" si="229"/>
        <v>122.68231805015999</v>
      </c>
      <c r="K204" s="1160">
        <f t="shared" si="229"/>
        <v>147.21878166019198</v>
      </c>
      <c r="L204" s="1160">
        <f t="shared" si="229"/>
        <v>171.75524527022398</v>
      </c>
      <c r="M204" s="1160">
        <f t="shared" si="229"/>
        <v>196.29170888025601</v>
      </c>
      <c r="N204" s="1160">
        <f t="shared" si="229"/>
        <v>220.82817249028798</v>
      </c>
      <c r="O204" s="1160">
        <f t="shared" si="229"/>
        <v>245.36463610031998</v>
      </c>
      <c r="P204" s="1160">
        <f t="shared" si="229"/>
        <v>269.90109971035201</v>
      </c>
      <c r="Q204" s="1160">
        <f t="shared" si="229"/>
        <v>294.43756332038396</v>
      </c>
      <c r="R204" s="1160">
        <f t="shared" si="229"/>
        <v>318.97402693041602</v>
      </c>
      <c r="S204" s="1160">
        <f t="shared" si="229"/>
        <v>343.51049054044796</v>
      </c>
      <c r="T204" s="1160">
        <f t="shared" si="229"/>
        <v>368.04695415047996</v>
      </c>
      <c r="U204" s="1160">
        <f t="shared" si="229"/>
        <v>392.58341776051202</v>
      </c>
      <c r="V204" s="1160">
        <f t="shared" si="229"/>
        <v>417.11988137054396</v>
      </c>
      <c r="W204" s="1160">
        <f t="shared" si="229"/>
        <v>441.65634498057597</v>
      </c>
      <c r="X204" s="1160">
        <f t="shared" si="229"/>
        <v>466.19280859060797</v>
      </c>
      <c r="Y204" s="1160">
        <f t="shared" si="229"/>
        <v>490.72927220063997</v>
      </c>
      <c r="Z204" s="1160">
        <f t="shared" si="229"/>
        <v>515.26573581067203</v>
      </c>
      <c r="AA204" s="1160">
        <f t="shared" si="229"/>
        <v>539.80219942070403</v>
      </c>
      <c r="AB204" s="1160">
        <f t="shared" si="229"/>
        <v>564.33866303073592</v>
      </c>
      <c r="AC204" s="1160">
        <f t="shared" si="229"/>
        <v>588.87512664076792</v>
      </c>
      <c r="AD204" s="1160">
        <f t="shared" si="229"/>
        <v>613.41159025079992</v>
      </c>
      <c r="AE204" s="1160">
        <f t="shared" si="229"/>
        <v>637.94805386083203</v>
      </c>
      <c r="AF204" s="1160">
        <f t="shared" si="229"/>
        <v>662.48451747086403</v>
      </c>
      <c r="AG204" s="1160">
        <f t="shared" si="229"/>
        <v>687.02098108089592</v>
      </c>
      <c r="AH204" s="1160">
        <f t="shared" si="229"/>
        <v>711.55744469092792</v>
      </c>
      <c r="AI204" s="1160">
        <f t="shared" si="229"/>
        <v>736.09390830095992</v>
      </c>
      <c r="AJ204" s="1160">
        <f t="shared" si="229"/>
        <v>760.63037191099193</v>
      </c>
      <c r="AK204" s="1160">
        <f t="shared" si="229"/>
        <v>785.16683552102404</v>
      </c>
      <c r="AL204" s="1160">
        <f t="shared" si="229"/>
        <v>809.70329913105593</v>
      </c>
      <c r="AM204" s="1160">
        <f t="shared" si="229"/>
        <v>834.23976274108793</v>
      </c>
      <c r="AN204" s="1160">
        <f t="shared" ref="AN204:BF204" si="230">((AN$192-$H$4)/1000)*$N$58*(($C$8/70)^$Z$58)</f>
        <v>858.77622635111993</v>
      </c>
      <c r="AO204" s="1160">
        <f t="shared" si="230"/>
        <v>883.31268996115193</v>
      </c>
      <c r="AP204" s="1160">
        <f t="shared" si="230"/>
        <v>907.84915357118393</v>
      </c>
      <c r="AQ204" s="1160">
        <f t="shared" si="230"/>
        <v>932.38561718121593</v>
      </c>
      <c r="AR204" s="1160">
        <f t="shared" si="230"/>
        <v>956.92208079124794</v>
      </c>
      <c r="AS204" s="1160">
        <f t="shared" si="230"/>
        <v>981.45854440127994</v>
      </c>
      <c r="AT204" s="1160">
        <f t="shared" si="230"/>
        <v>1005.9950080113118</v>
      </c>
      <c r="AU204" s="1160">
        <f t="shared" si="230"/>
        <v>1030.5314716213441</v>
      </c>
      <c r="AV204" s="1160">
        <f t="shared" si="230"/>
        <v>1055.0679352313759</v>
      </c>
      <c r="AW204" s="1160">
        <f t="shared" si="230"/>
        <v>1079.6043988414081</v>
      </c>
      <c r="AX204" s="1160">
        <f t="shared" si="230"/>
        <v>1104.1408624514399</v>
      </c>
      <c r="AY204" s="1160">
        <f t="shared" si="230"/>
        <v>1128.6773260614718</v>
      </c>
      <c r="AZ204" s="1160">
        <f t="shared" si="230"/>
        <v>1153.2137896715039</v>
      </c>
      <c r="BA204" s="1160">
        <f t="shared" si="230"/>
        <v>1177.7502532815358</v>
      </c>
      <c r="BB204" s="1160">
        <f t="shared" si="230"/>
        <v>1202.2867168915679</v>
      </c>
      <c r="BC204" s="1160">
        <f t="shared" si="230"/>
        <v>1226.8231805015998</v>
      </c>
      <c r="BD204" s="1160">
        <f t="shared" si="230"/>
        <v>1251.3596441116317</v>
      </c>
      <c r="BE204" s="1160">
        <f t="shared" si="230"/>
        <v>1275.8961077216641</v>
      </c>
      <c r="BF204" s="1160">
        <f t="shared" si="230"/>
        <v>1300.432571331696</v>
      </c>
    </row>
    <row r="205" spans="1:58" ht="15.75" hidden="1" thickBot="1">
      <c r="A205" s="2098"/>
      <c r="B205" s="2274" t="s">
        <v>360</v>
      </c>
      <c r="C205" s="2275"/>
      <c r="D205" s="854"/>
      <c r="E205" s="854"/>
      <c r="F205" s="854"/>
      <c r="G205" s="854"/>
      <c r="H205" s="1161">
        <f t="shared" ref="H205:AM205" si="231">((H$192-$H$4)/1000)*$O$58*(($C$8/70)^$AA$58)</f>
        <v>85.60799999999999</v>
      </c>
      <c r="I205" s="1161">
        <f t="shared" si="231"/>
        <v>114.14399999999999</v>
      </c>
      <c r="J205" s="1161">
        <f t="shared" si="231"/>
        <v>142.67999999999998</v>
      </c>
      <c r="K205" s="1161">
        <f t="shared" si="231"/>
        <v>171.21599999999998</v>
      </c>
      <c r="L205" s="1161">
        <f t="shared" si="231"/>
        <v>199.75199999999995</v>
      </c>
      <c r="M205" s="1161">
        <f t="shared" si="231"/>
        <v>228.28799999999998</v>
      </c>
      <c r="N205" s="1161">
        <f t="shared" si="231"/>
        <v>256.82399999999996</v>
      </c>
      <c r="O205" s="1161">
        <f t="shared" si="231"/>
        <v>285.35999999999996</v>
      </c>
      <c r="P205" s="1161">
        <f t="shared" si="231"/>
        <v>313.89599999999996</v>
      </c>
      <c r="Q205" s="1161">
        <f t="shared" si="231"/>
        <v>342.43199999999996</v>
      </c>
      <c r="R205" s="1161">
        <f t="shared" si="231"/>
        <v>370.96799999999996</v>
      </c>
      <c r="S205" s="1161">
        <f t="shared" si="231"/>
        <v>399.50399999999991</v>
      </c>
      <c r="T205" s="1161">
        <f t="shared" si="231"/>
        <v>428.03999999999996</v>
      </c>
      <c r="U205" s="1161">
        <f t="shared" si="231"/>
        <v>456.57599999999996</v>
      </c>
      <c r="V205" s="1161">
        <f t="shared" si="231"/>
        <v>485.11199999999991</v>
      </c>
      <c r="W205" s="1161">
        <f t="shared" si="231"/>
        <v>513.64799999999991</v>
      </c>
      <c r="X205" s="1161">
        <f t="shared" si="231"/>
        <v>542.18399999999986</v>
      </c>
      <c r="Y205" s="1161">
        <f t="shared" si="231"/>
        <v>570.71999999999991</v>
      </c>
      <c r="Z205" s="1161">
        <f t="shared" si="231"/>
        <v>599.25599999999997</v>
      </c>
      <c r="AA205" s="1161">
        <f t="shared" si="231"/>
        <v>627.79199999999992</v>
      </c>
      <c r="AB205" s="1161">
        <f t="shared" si="231"/>
        <v>656.32799999999986</v>
      </c>
      <c r="AC205" s="1161">
        <f t="shared" si="231"/>
        <v>684.86399999999992</v>
      </c>
      <c r="AD205" s="1161">
        <f t="shared" si="231"/>
        <v>713.39999999999986</v>
      </c>
      <c r="AE205" s="1161">
        <f t="shared" si="231"/>
        <v>741.93599999999992</v>
      </c>
      <c r="AF205" s="1161">
        <f t="shared" si="231"/>
        <v>770.47199999999998</v>
      </c>
      <c r="AG205" s="1161">
        <f t="shared" si="231"/>
        <v>799.00799999999981</v>
      </c>
      <c r="AH205" s="1161">
        <f t="shared" si="231"/>
        <v>827.54399999999987</v>
      </c>
      <c r="AI205" s="1161">
        <f t="shared" si="231"/>
        <v>856.07999999999993</v>
      </c>
      <c r="AJ205" s="1161">
        <f t="shared" si="231"/>
        <v>884.61599999999987</v>
      </c>
      <c r="AK205" s="1161">
        <f t="shared" si="231"/>
        <v>913.15199999999993</v>
      </c>
      <c r="AL205" s="1161">
        <f t="shared" si="231"/>
        <v>941.68799999999976</v>
      </c>
      <c r="AM205" s="1161">
        <f t="shared" si="231"/>
        <v>970.22399999999982</v>
      </c>
      <c r="AN205" s="1161">
        <f t="shared" ref="AN205:BF205" si="232">((AN$192-$H$4)/1000)*$O$58*(($C$8/70)^$AA$58)</f>
        <v>998.75999999999988</v>
      </c>
      <c r="AO205" s="1161">
        <f t="shared" si="232"/>
        <v>1027.2959999999998</v>
      </c>
      <c r="AP205" s="1161">
        <f t="shared" si="232"/>
        <v>1055.8319999999999</v>
      </c>
      <c r="AQ205" s="1161">
        <f t="shared" si="232"/>
        <v>1084.3679999999997</v>
      </c>
      <c r="AR205" s="1161">
        <f t="shared" si="232"/>
        <v>1112.9039999999998</v>
      </c>
      <c r="AS205" s="1161">
        <f t="shared" si="232"/>
        <v>1141.4399999999998</v>
      </c>
      <c r="AT205" s="1161">
        <f t="shared" si="232"/>
        <v>1169.9759999999997</v>
      </c>
      <c r="AU205" s="1161">
        <f t="shared" si="232"/>
        <v>1198.5119999999999</v>
      </c>
      <c r="AV205" s="1161">
        <f t="shared" si="232"/>
        <v>1227.0479999999998</v>
      </c>
      <c r="AW205" s="1161">
        <f t="shared" si="232"/>
        <v>1255.5839999999998</v>
      </c>
      <c r="AX205" s="1161">
        <f t="shared" si="232"/>
        <v>1284.1199999999999</v>
      </c>
      <c r="AY205" s="1161">
        <f t="shared" si="232"/>
        <v>1312.6559999999997</v>
      </c>
      <c r="AZ205" s="1161">
        <f t="shared" si="232"/>
        <v>1341.1919999999998</v>
      </c>
      <c r="BA205" s="1161">
        <f t="shared" si="232"/>
        <v>1369.7279999999998</v>
      </c>
      <c r="BB205" s="1161">
        <f t="shared" si="232"/>
        <v>1398.2639999999999</v>
      </c>
      <c r="BC205" s="1161">
        <f t="shared" si="232"/>
        <v>1426.7999999999997</v>
      </c>
      <c r="BD205" s="1161">
        <f t="shared" si="232"/>
        <v>1455.3359999999998</v>
      </c>
      <c r="BE205" s="1161">
        <f t="shared" si="232"/>
        <v>1483.8719999999998</v>
      </c>
      <c r="BF205" s="1161">
        <f t="shared" si="232"/>
        <v>1512.4079999999997</v>
      </c>
    </row>
    <row r="206" spans="1:58" hidden="1">
      <c r="B206" s="2276" t="s">
        <v>332</v>
      </c>
      <c r="C206" s="2277"/>
      <c r="D206" s="827"/>
      <c r="E206" s="827"/>
      <c r="F206" s="827"/>
      <c r="G206" s="827"/>
      <c r="H206" s="821">
        <f t="shared" ref="H206:AM206" si="233">((H$192-$H$4)/1000)*$P$58*(($C$8/70)^$AB$58)</f>
        <v>94.441859999999991</v>
      </c>
      <c r="I206" s="821">
        <f t="shared" si="233"/>
        <v>125.92248000000001</v>
      </c>
      <c r="J206" s="821">
        <f t="shared" si="233"/>
        <v>157.40309999999999</v>
      </c>
      <c r="K206" s="821">
        <f t="shared" si="233"/>
        <v>188.88371999999998</v>
      </c>
      <c r="L206" s="821">
        <f t="shared" si="233"/>
        <v>220.36433999999997</v>
      </c>
      <c r="M206" s="821">
        <f t="shared" si="233"/>
        <v>251.84496000000001</v>
      </c>
      <c r="N206" s="821">
        <f t="shared" si="233"/>
        <v>283.32558</v>
      </c>
      <c r="O206" s="821">
        <f t="shared" si="233"/>
        <v>314.80619999999999</v>
      </c>
      <c r="P206" s="821">
        <f t="shared" si="233"/>
        <v>346.28682000000003</v>
      </c>
      <c r="Q206" s="821">
        <f t="shared" si="233"/>
        <v>377.76743999999997</v>
      </c>
      <c r="R206" s="821">
        <f t="shared" si="233"/>
        <v>409.24806000000001</v>
      </c>
      <c r="S206" s="821">
        <f t="shared" si="233"/>
        <v>440.72867999999994</v>
      </c>
      <c r="T206" s="821">
        <f t="shared" si="233"/>
        <v>472.20929999999998</v>
      </c>
      <c r="U206" s="821">
        <f t="shared" si="233"/>
        <v>503.68992000000003</v>
      </c>
      <c r="V206" s="821">
        <f t="shared" si="233"/>
        <v>535.17053999999996</v>
      </c>
      <c r="W206" s="821">
        <f t="shared" si="233"/>
        <v>566.65116</v>
      </c>
      <c r="X206" s="821">
        <f t="shared" si="233"/>
        <v>598.13177999999994</v>
      </c>
      <c r="Y206" s="821">
        <f t="shared" si="233"/>
        <v>629.61239999999998</v>
      </c>
      <c r="Z206" s="821">
        <f t="shared" si="233"/>
        <v>661.09302000000002</v>
      </c>
      <c r="AA206" s="821">
        <f t="shared" si="233"/>
        <v>692.57364000000007</v>
      </c>
      <c r="AB206" s="821">
        <f t="shared" si="233"/>
        <v>724.05425999999989</v>
      </c>
      <c r="AC206" s="821">
        <f t="shared" si="233"/>
        <v>755.53487999999993</v>
      </c>
      <c r="AD206" s="821">
        <f t="shared" si="233"/>
        <v>787.01549999999997</v>
      </c>
      <c r="AE206" s="821">
        <f t="shared" si="233"/>
        <v>818.49612000000002</v>
      </c>
      <c r="AF206" s="821">
        <f t="shared" si="233"/>
        <v>849.97674000000006</v>
      </c>
      <c r="AG206" s="821">
        <f t="shared" si="233"/>
        <v>881.45735999999988</v>
      </c>
      <c r="AH206" s="821">
        <f t="shared" si="233"/>
        <v>912.93797999999992</v>
      </c>
      <c r="AI206" s="821">
        <f t="shared" si="233"/>
        <v>944.41859999999997</v>
      </c>
      <c r="AJ206" s="821">
        <f t="shared" si="233"/>
        <v>975.89922000000001</v>
      </c>
      <c r="AK206" s="821">
        <f t="shared" si="233"/>
        <v>1007.3798400000001</v>
      </c>
      <c r="AL206" s="821">
        <f t="shared" si="233"/>
        <v>1038.8604599999999</v>
      </c>
      <c r="AM206" s="821">
        <f t="shared" si="233"/>
        <v>1070.3410799999999</v>
      </c>
      <c r="AN206" s="821">
        <f t="shared" ref="AN206:BF206" si="234">((AN$192-$H$4)/1000)*$P$58*(($C$8/70)^$AB$58)</f>
        <v>1101.8217</v>
      </c>
      <c r="AO206" s="821">
        <f t="shared" si="234"/>
        <v>1133.30232</v>
      </c>
      <c r="AP206" s="821">
        <f t="shared" si="234"/>
        <v>1164.7829400000001</v>
      </c>
      <c r="AQ206" s="821">
        <f t="shared" si="234"/>
        <v>1196.2635599999999</v>
      </c>
      <c r="AR206" s="821">
        <f t="shared" si="234"/>
        <v>1227.7441799999999</v>
      </c>
      <c r="AS206" s="821">
        <f t="shared" si="234"/>
        <v>1259.2248</v>
      </c>
      <c r="AT206" s="821">
        <f t="shared" si="234"/>
        <v>1290.7054199999998</v>
      </c>
      <c r="AU206" s="821">
        <f t="shared" si="234"/>
        <v>1322.18604</v>
      </c>
      <c r="AV206" s="821">
        <f t="shared" si="234"/>
        <v>1353.6666599999999</v>
      </c>
      <c r="AW206" s="821">
        <f t="shared" si="234"/>
        <v>1385.1472800000001</v>
      </c>
      <c r="AX206" s="821">
        <f t="shared" si="234"/>
        <v>1416.6279</v>
      </c>
      <c r="AY206" s="821">
        <f t="shared" si="234"/>
        <v>1448.1085199999998</v>
      </c>
      <c r="AZ206" s="821">
        <f t="shared" si="234"/>
        <v>1479.58914</v>
      </c>
      <c r="BA206" s="821">
        <f t="shared" si="234"/>
        <v>1511.0697599999999</v>
      </c>
      <c r="BB206" s="821">
        <f t="shared" si="234"/>
        <v>1542.5503800000001</v>
      </c>
      <c r="BC206" s="821">
        <f t="shared" si="234"/>
        <v>1574.0309999999999</v>
      </c>
      <c r="BD206" s="821">
        <f t="shared" si="234"/>
        <v>1605.5116199999998</v>
      </c>
      <c r="BE206" s="821">
        <f t="shared" si="234"/>
        <v>1636.99224</v>
      </c>
      <c r="BF206" s="821">
        <f t="shared" si="234"/>
        <v>1668.4728599999999</v>
      </c>
    </row>
    <row r="207" spans="1:58" hidden="1">
      <c r="B207" s="2261" t="s">
        <v>333</v>
      </c>
      <c r="C207" s="2262"/>
      <c r="D207" s="825"/>
      <c r="E207" s="825"/>
      <c r="F207" s="825"/>
      <c r="G207" s="825"/>
      <c r="H207" s="819">
        <f t="shared" ref="H207:AM207" si="235">((H$192-$H$4)/1000)*$Q$58*(($C$8/70)^$AC$58)</f>
        <v>99.99882003131998</v>
      </c>
      <c r="I207" s="819">
        <f t="shared" si="235"/>
        <v>133.33176004175999</v>
      </c>
      <c r="J207" s="819">
        <f t="shared" si="235"/>
        <v>166.66470005219998</v>
      </c>
      <c r="K207" s="819">
        <f t="shared" si="235"/>
        <v>199.99764006263996</v>
      </c>
      <c r="L207" s="819">
        <f t="shared" si="235"/>
        <v>233.33058007307994</v>
      </c>
      <c r="M207" s="819">
        <f t="shared" si="235"/>
        <v>266.66352008351998</v>
      </c>
      <c r="N207" s="819">
        <f t="shared" si="235"/>
        <v>299.99646009395997</v>
      </c>
      <c r="O207" s="819">
        <f t="shared" si="235"/>
        <v>333.32940010439995</v>
      </c>
      <c r="P207" s="819">
        <f t="shared" si="235"/>
        <v>366.66234011483999</v>
      </c>
      <c r="Q207" s="819">
        <f t="shared" si="235"/>
        <v>399.99528012527992</v>
      </c>
      <c r="R207" s="819">
        <f t="shared" si="235"/>
        <v>433.32822013571996</v>
      </c>
      <c r="S207" s="819">
        <f t="shared" si="235"/>
        <v>466.66116014615989</v>
      </c>
      <c r="T207" s="819">
        <f t="shared" si="235"/>
        <v>499.99410015659993</v>
      </c>
      <c r="U207" s="819">
        <f t="shared" si="235"/>
        <v>533.32704016703997</v>
      </c>
      <c r="V207" s="819">
        <f t="shared" si="235"/>
        <v>566.65998017747995</v>
      </c>
      <c r="W207" s="819">
        <f t="shared" si="235"/>
        <v>599.99292018791994</v>
      </c>
      <c r="X207" s="819">
        <f t="shared" si="235"/>
        <v>633.32586019835992</v>
      </c>
      <c r="Y207" s="819">
        <f t="shared" si="235"/>
        <v>666.6588002087999</v>
      </c>
      <c r="Z207" s="819">
        <f t="shared" si="235"/>
        <v>699.99174021923989</v>
      </c>
      <c r="AA207" s="819">
        <f t="shared" si="235"/>
        <v>733.32468022967998</v>
      </c>
      <c r="AB207" s="819">
        <f t="shared" si="235"/>
        <v>766.65762024011985</v>
      </c>
      <c r="AC207" s="819">
        <f t="shared" si="235"/>
        <v>799.99056025055984</v>
      </c>
      <c r="AD207" s="819">
        <f t="shared" si="235"/>
        <v>833.32350026099994</v>
      </c>
      <c r="AE207" s="819">
        <f t="shared" si="235"/>
        <v>866.65644027143992</v>
      </c>
      <c r="AF207" s="819">
        <f t="shared" si="235"/>
        <v>899.9893802818799</v>
      </c>
      <c r="AG207" s="819">
        <f t="shared" si="235"/>
        <v>933.32232029231977</v>
      </c>
      <c r="AH207" s="819">
        <f t="shared" si="235"/>
        <v>966.65526030275987</v>
      </c>
      <c r="AI207" s="819">
        <f t="shared" si="235"/>
        <v>999.98820031319985</v>
      </c>
      <c r="AJ207" s="819">
        <f t="shared" si="235"/>
        <v>1033.3211403236398</v>
      </c>
      <c r="AK207" s="819">
        <f t="shared" si="235"/>
        <v>1066.6540803340799</v>
      </c>
      <c r="AL207" s="819">
        <f t="shared" si="235"/>
        <v>1099.9870203445198</v>
      </c>
      <c r="AM207" s="819">
        <f t="shared" si="235"/>
        <v>1133.3199603549599</v>
      </c>
      <c r="AN207" s="819">
        <f t="shared" ref="AN207:BF207" si="236">((AN$192-$H$4)/1000)*$Q$58*(($C$8/70)^$AC$58)</f>
        <v>1166.6529003653998</v>
      </c>
      <c r="AO207" s="819">
        <f t="shared" si="236"/>
        <v>1199.9858403758399</v>
      </c>
      <c r="AP207" s="819">
        <f t="shared" si="236"/>
        <v>1233.31878038628</v>
      </c>
      <c r="AQ207" s="819">
        <f t="shared" si="236"/>
        <v>1266.6517203967198</v>
      </c>
      <c r="AR207" s="819">
        <f t="shared" si="236"/>
        <v>1299.9846604071597</v>
      </c>
      <c r="AS207" s="819">
        <f t="shared" si="236"/>
        <v>1333.3176004175998</v>
      </c>
      <c r="AT207" s="819">
        <f t="shared" si="236"/>
        <v>1366.6505404280397</v>
      </c>
      <c r="AU207" s="819">
        <f t="shared" si="236"/>
        <v>1399.9834804384798</v>
      </c>
      <c r="AV207" s="819">
        <f t="shared" si="236"/>
        <v>1433.3164204489196</v>
      </c>
      <c r="AW207" s="819">
        <f t="shared" si="236"/>
        <v>1466.64936045936</v>
      </c>
      <c r="AX207" s="819">
        <f t="shared" si="236"/>
        <v>1499.9823004697998</v>
      </c>
      <c r="AY207" s="819">
        <f t="shared" si="236"/>
        <v>1533.3152404802397</v>
      </c>
      <c r="AZ207" s="819">
        <f t="shared" si="236"/>
        <v>1566.6481804906798</v>
      </c>
      <c r="BA207" s="819">
        <f t="shared" si="236"/>
        <v>1599.9811205011197</v>
      </c>
      <c r="BB207" s="819">
        <f t="shared" si="236"/>
        <v>1633.3140605115598</v>
      </c>
      <c r="BC207" s="819">
        <f t="shared" si="236"/>
        <v>1666.6470005219999</v>
      </c>
      <c r="BD207" s="819">
        <f t="shared" si="236"/>
        <v>1699.9799405324397</v>
      </c>
      <c r="BE207" s="819">
        <f t="shared" si="236"/>
        <v>1733.3128805428798</v>
      </c>
      <c r="BF207" s="819">
        <f t="shared" si="236"/>
        <v>1766.6458205533197</v>
      </c>
    </row>
    <row r="208" spans="1:58" ht="15.75" hidden="1" thickBot="1">
      <c r="B208" s="2263" t="s">
        <v>334</v>
      </c>
      <c r="C208" s="2264"/>
      <c r="D208" s="826"/>
      <c r="E208" s="826"/>
      <c r="F208" s="826"/>
      <c r="G208" s="826"/>
      <c r="H208" s="820">
        <f t="shared" ref="H208:AM208" si="237">((H$192-$H$4)/1000)*$R$58*(($C$8/70)^$AD$58)</f>
        <v>123.39359999999998</v>
      </c>
      <c r="I208" s="820">
        <f t="shared" si="237"/>
        <v>164.5248</v>
      </c>
      <c r="J208" s="820">
        <f t="shared" si="237"/>
        <v>205.65599999999998</v>
      </c>
      <c r="K208" s="820">
        <f t="shared" si="237"/>
        <v>246.78719999999996</v>
      </c>
      <c r="L208" s="820">
        <f t="shared" si="237"/>
        <v>287.91839999999996</v>
      </c>
      <c r="M208" s="820">
        <f t="shared" si="237"/>
        <v>329.0496</v>
      </c>
      <c r="N208" s="820">
        <f t="shared" si="237"/>
        <v>370.18079999999998</v>
      </c>
      <c r="O208" s="820">
        <f t="shared" si="237"/>
        <v>411.31199999999995</v>
      </c>
      <c r="P208" s="820">
        <f t="shared" si="237"/>
        <v>452.44319999999999</v>
      </c>
      <c r="Q208" s="820">
        <f t="shared" si="237"/>
        <v>493.57439999999991</v>
      </c>
      <c r="R208" s="820">
        <f t="shared" si="237"/>
        <v>534.7056</v>
      </c>
      <c r="S208" s="820">
        <f t="shared" si="237"/>
        <v>575.83679999999993</v>
      </c>
      <c r="T208" s="820">
        <f t="shared" si="237"/>
        <v>616.96799999999996</v>
      </c>
      <c r="U208" s="820">
        <f t="shared" si="237"/>
        <v>658.0992</v>
      </c>
      <c r="V208" s="820">
        <f t="shared" si="237"/>
        <v>699.23039999999992</v>
      </c>
      <c r="W208" s="820">
        <f t="shared" si="237"/>
        <v>740.36159999999995</v>
      </c>
      <c r="X208" s="820">
        <f t="shared" si="237"/>
        <v>781.49279999999987</v>
      </c>
      <c r="Y208" s="820">
        <f t="shared" si="237"/>
        <v>822.62399999999991</v>
      </c>
      <c r="Z208" s="820">
        <f t="shared" si="237"/>
        <v>863.75519999999995</v>
      </c>
      <c r="AA208" s="820">
        <f t="shared" si="237"/>
        <v>904.88639999999998</v>
      </c>
      <c r="AB208" s="820">
        <f t="shared" si="237"/>
        <v>946.01759999999979</v>
      </c>
      <c r="AC208" s="820">
        <f t="shared" si="237"/>
        <v>987.14879999999982</v>
      </c>
      <c r="AD208" s="820">
        <f t="shared" si="237"/>
        <v>1028.28</v>
      </c>
      <c r="AE208" s="820">
        <f t="shared" si="237"/>
        <v>1069.4112</v>
      </c>
      <c r="AF208" s="820">
        <f t="shared" si="237"/>
        <v>1110.5424</v>
      </c>
      <c r="AG208" s="820">
        <f t="shared" si="237"/>
        <v>1151.6735999999999</v>
      </c>
      <c r="AH208" s="820">
        <f t="shared" si="237"/>
        <v>1192.8047999999999</v>
      </c>
      <c r="AI208" s="820">
        <f t="shared" si="237"/>
        <v>1233.9359999999999</v>
      </c>
      <c r="AJ208" s="820">
        <f t="shared" si="237"/>
        <v>1275.0672</v>
      </c>
      <c r="AK208" s="820">
        <f t="shared" si="237"/>
        <v>1316.1984</v>
      </c>
      <c r="AL208" s="820">
        <f t="shared" si="237"/>
        <v>1357.3295999999998</v>
      </c>
      <c r="AM208" s="820">
        <f t="shared" si="237"/>
        <v>1398.4607999999998</v>
      </c>
      <c r="AN208" s="820">
        <f t="shared" ref="AN208:BF208" si="238">((AN$192-$H$4)/1000)*$R$58*(($C$8/70)^$AD$58)</f>
        <v>1439.5919999999999</v>
      </c>
      <c r="AO208" s="820">
        <f t="shared" si="238"/>
        <v>1480.7231999999999</v>
      </c>
      <c r="AP208" s="820">
        <f t="shared" si="238"/>
        <v>1521.8543999999999</v>
      </c>
      <c r="AQ208" s="820">
        <f t="shared" si="238"/>
        <v>1562.9855999999997</v>
      </c>
      <c r="AR208" s="820">
        <f t="shared" si="238"/>
        <v>1604.1167999999998</v>
      </c>
      <c r="AS208" s="820">
        <f t="shared" si="238"/>
        <v>1645.2479999999998</v>
      </c>
      <c r="AT208" s="820">
        <f t="shared" si="238"/>
        <v>1686.3791999999996</v>
      </c>
      <c r="AU208" s="820">
        <f t="shared" si="238"/>
        <v>1727.5103999999999</v>
      </c>
      <c r="AV208" s="820">
        <f t="shared" si="238"/>
        <v>1768.6415999999997</v>
      </c>
      <c r="AW208" s="820">
        <f t="shared" si="238"/>
        <v>1809.7728</v>
      </c>
      <c r="AX208" s="820">
        <f t="shared" si="238"/>
        <v>1850.9039999999998</v>
      </c>
      <c r="AY208" s="820">
        <f t="shared" si="238"/>
        <v>1892.0351999999996</v>
      </c>
      <c r="AZ208" s="820">
        <f t="shared" si="238"/>
        <v>1933.1663999999998</v>
      </c>
      <c r="BA208" s="820">
        <f t="shared" si="238"/>
        <v>1974.2975999999996</v>
      </c>
      <c r="BB208" s="820">
        <f t="shared" si="238"/>
        <v>2015.4287999999999</v>
      </c>
      <c r="BC208" s="820">
        <f t="shared" si="238"/>
        <v>2056.56</v>
      </c>
      <c r="BD208" s="820">
        <f t="shared" si="238"/>
        <v>2097.6911999999998</v>
      </c>
      <c r="BE208" s="820">
        <f t="shared" si="238"/>
        <v>2138.8224</v>
      </c>
      <c r="BF208" s="820">
        <f t="shared" si="238"/>
        <v>2179.9535999999998</v>
      </c>
    </row>
    <row r="209" spans="2:58" hidden="1">
      <c r="B209" s="2268" t="s">
        <v>335</v>
      </c>
      <c r="C209" s="2269"/>
      <c r="D209" s="824"/>
      <c r="E209" s="824"/>
      <c r="F209" s="824"/>
      <c r="G209" s="824"/>
      <c r="H209" s="818">
        <f t="shared" ref="H209:AM209" si="239">((H$192-$H$4)/1000)*$K$59*(($C$8/70)^$W$59)</f>
        <v>54.568477277740797</v>
      </c>
      <c r="I209" s="818">
        <f t="shared" si="239"/>
        <v>72.757969703654396</v>
      </c>
      <c r="J209" s="818">
        <f t="shared" si="239"/>
        <v>90.947462129567995</v>
      </c>
      <c r="K209" s="818">
        <f t="shared" si="239"/>
        <v>109.13695455548159</v>
      </c>
      <c r="L209" s="818">
        <f t="shared" si="239"/>
        <v>127.32644698139518</v>
      </c>
      <c r="M209" s="818">
        <f t="shared" si="239"/>
        <v>145.51593940730879</v>
      </c>
      <c r="N209" s="818">
        <f t="shared" si="239"/>
        <v>163.70543183322241</v>
      </c>
      <c r="O209" s="818">
        <f t="shared" si="239"/>
        <v>181.89492425913599</v>
      </c>
      <c r="P209" s="818">
        <f t="shared" si="239"/>
        <v>200.0844166850496</v>
      </c>
      <c r="Q209" s="818">
        <f t="shared" si="239"/>
        <v>218.27390911096319</v>
      </c>
      <c r="R209" s="818">
        <f t="shared" si="239"/>
        <v>236.4634015368768</v>
      </c>
      <c r="S209" s="818">
        <f t="shared" si="239"/>
        <v>254.65289396279036</v>
      </c>
      <c r="T209" s="818">
        <f t="shared" si="239"/>
        <v>272.84238638870397</v>
      </c>
      <c r="U209" s="818">
        <f t="shared" si="239"/>
        <v>291.03187881461758</v>
      </c>
      <c r="V209" s="818">
        <f t="shared" si="239"/>
        <v>309.2213712405312</v>
      </c>
      <c r="W209" s="818">
        <f t="shared" si="239"/>
        <v>327.41086366644481</v>
      </c>
      <c r="X209" s="818">
        <f t="shared" si="239"/>
        <v>345.60035609235837</v>
      </c>
      <c r="Y209" s="818">
        <f t="shared" si="239"/>
        <v>363.78984851827198</v>
      </c>
      <c r="Z209" s="818">
        <f t="shared" si="239"/>
        <v>381.97934094418559</v>
      </c>
      <c r="AA209" s="818">
        <f t="shared" si="239"/>
        <v>400.16883337009921</v>
      </c>
      <c r="AB209" s="818">
        <f t="shared" si="239"/>
        <v>418.35832579601276</v>
      </c>
      <c r="AC209" s="818">
        <f t="shared" si="239"/>
        <v>436.54781822192638</v>
      </c>
      <c r="AD209" s="818">
        <f t="shared" si="239"/>
        <v>454.73731064783999</v>
      </c>
      <c r="AE209" s="818">
        <f t="shared" si="239"/>
        <v>472.9268030737536</v>
      </c>
      <c r="AF209" s="818">
        <f t="shared" si="239"/>
        <v>491.11629549966722</v>
      </c>
      <c r="AG209" s="818">
        <f t="shared" si="239"/>
        <v>509.30578792558072</v>
      </c>
      <c r="AH209" s="818">
        <f t="shared" si="239"/>
        <v>527.49528035149433</v>
      </c>
      <c r="AI209" s="818">
        <f t="shared" si="239"/>
        <v>545.68477277740794</v>
      </c>
      <c r="AJ209" s="818">
        <f t="shared" si="239"/>
        <v>563.87426520332156</v>
      </c>
      <c r="AK209" s="818">
        <f t="shared" si="239"/>
        <v>582.06375762923517</v>
      </c>
      <c r="AL209" s="818">
        <f t="shared" si="239"/>
        <v>600.25325005514878</v>
      </c>
      <c r="AM209" s="818">
        <f t="shared" si="239"/>
        <v>618.4427424810624</v>
      </c>
      <c r="AN209" s="818">
        <f t="shared" ref="AN209:BF209" si="240">((AN$192-$H$4)/1000)*$K$59*(($C$8/70)^$W$59)</f>
        <v>636.63223490697601</v>
      </c>
      <c r="AO209" s="818">
        <f t="shared" si="240"/>
        <v>654.82172733288962</v>
      </c>
      <c r="AP209" s="818">
        <f t="shared" si="240"/>
        <v>673.01121975880324</v>
      </c>
      <c r="AQ209" s="818">
        <f t="shared" si="240"/>
        <v>691.20071218471674</v>
      </c>
      <c r="AR209" s="818">
        <f t="shared" si="240"/>
        <v>709.39020461063035</v>
      </c>
      <c r="AS209" s="818">
        <f t="shared" si="240"/>
        <v>727.57969703654396</v>
      </c>
      <c r="AT209" s="818">
        <f t="shared" si="240"/>
        <v>745.76918946245746</v>
      </c>
      <c r="AU209" s="818">
        <f t="shared" si="240"/>
        <v>763.95868188837119</v>
      </c>
      <c r="AV209" s="818">
        <f t="shared" si="240"/>
        <v>782.14817431428469</v>
      </c>
      <c r="AW209" s="818">
        <f t="shared" si="240"/>
        <v>800.33766674019842</v>
      </c>
      <c r="AX209" s="818">
        <f t="shared" si="240"/>
        <v>818.52715916611191</v>
      </c>
      <c r="AY209" s="818">
        <f t="shared" si="240"/>
        <v>836.71665159202553</v>
      </c>
      <c r="AZ209" s="818">
        <f t="shared" si="240"/>
        <v>854.90614401793914</v>
      </c>
      <c r="BA209" s="818">
        <f t="shared" si="240"/>
        <v>873.09563644385275</v>
      </c>
      <c r="BB209" s="818">
        <f t="shared" si="240"/>
        <v>891.28512886976637</v>
      </c>
      <c r="BC209" s="818">
        <f t="shared" si="240"/>
        <v>909.47462129567998</v>
      </c>
      <c r="BD209" s="818">
        <f t="shared" si="240"/>
        <v>927.66411372159348</v>
      </c>
      <c r="BE209" s="818">
        <f t="shared" si="240"/>
        <v>945.85360614750721</v>
      </c>
      <c r="BF209" s="818">
        <f t="shared" si="240"/>
        <v>964.04309857342071</v>
      </c>
    </row>
    <row r="210" spans="2:58" hidden="1">
      <c r="B210" s="2261" t="s">
        <v>336</v>
      </c>
      <c r="C210" s="2262"/>
      <c r="D210" s="825"/>
      <c r="E210" s="825"/>
      <c r="F210" s="825"/>
      <c r="G210" s="825"/>
      <c r="H210" s="819">
        <f t="shared" ref="H210:AM210" si="241">((H$192-$H$4)/1000)*$L$59*(($C$8/70)^$X$59)</f>
        <v>62.009633270159995</v>
      </c>
      <c r="I210" s="819">
        <f t="shared" si="241"/>
        <v>82.679511026879993</v>
      </c>
      <c r="J210" s="819">
        <f t="shared" si="241"/>
        <v>103.34938878359999</v>
      </c>
      <c r="K210" s="819">
        <f t="shared" si="241"/>
        <v>124.01926654031999</v>
      </c>
      <c r="L210" s="819">
        <f t="shared" si="241"/>
        <v>144.68914429703997</v>
      </c>
      <c r="M210" s="819">
        <f t="shared" si="241"/>
        <v>165.35902205375999</v>
      </c>
      <c r="N210" s="819">
        <f t="shared" si="241"/>
        <v>186.02889981048</v>
      </c>
      <c r="O210" s="819">
        <f t="shared" si="241"/>
        <v>206.69877756719998</v>
      </c>
      <c r="P210" s="819">
        <f t="shared" si="241"/>
        <v>227.36865532392</v>
      </c>
      <c r="Q210" s="819">
        <f t="shared" si="241"/>
        <v>248.03853308063998</v>
      </c>
      <c r="R210" s="819">
        <f t="shared" si="241"/>
        <v>268.70841083735996</v>
      </c>
      <c r="S210" s="819">
        <f t="shared" si="241"/>
        <v>289.37828859407995</v>
      </c>
      <c r="T210" s="819">
        <f t="shared" si="241"/>
        <v>310.04816635079999</v>
      </c>
      <c r="U210" s="819">
        <f t="shared" si="241"/>
        <v>330.71804410751997</v>
      </c>
      <c r="V210" s="819">
        <f t="shared" si="241"/>
        <v>351.38792186423996</v>
      </c>
      <c r="W210" s="819">
        <f t="shared" si="241"/>
        <v>372.05779962096</v>
      </c>
      <c r="X210" s="819">
        <f t="shared" si="241"/>
        <v>392.72767737767992</v>
      </c>
      <c r="Y210" s="819">
        <f t="shared" si="241"/>
        <v>413.39755513439997</v>
      </c>
      <c r="Z210" s="819">
        <f t="shared" si="241"/>
        <v>434.06743289112001</v>
      </c>
      <c r="AA210" s="819">
        <f t="shared" si="241"/>
        <v>454.73731064783999</v>
      </c>
      <c r="AB210" s="819">
        <f t="shared" si="241"/>
        <v>475.40718840455992</v>
      </c>
      <c r="AC210" s="819">
        <f t="shared" si="241"/>
        <v>496.07706616127996</v>
      </c>
      <c r="AD210" s="819">
        <f t="shared" si="241"/>
        <v>516.74694391799994</v>
      </c>
      <c r="AE210" s="819">
        <f t="shared" si="241"/>
        <v>537.41682167471993</v>
      </c>
      <c r="AF210" s="819">
        <f t="shared" si="241"/>
        <v>558.08669943144002</v>
      </c>
      <c r="AG210" s="819">
        <f t="shared" si="241"/>
        <v>578.75657718815989</v>
      </c>
      <c r="AH210" s="819">
        <f t="shared" si="241"/>
        <v>599.42645494487988</v>
      </c>
      <c r="AI210" s="819">
        <f t="shared" si="241"/>
        <v>620.09633270159998</v>
      </c>
      <c r="AJ210" s="819">
        <f t="shared" si="241"/>
        <v>640.76621045831996</v>
      </c>
      <c r="AK210" s="819">
        <f t="shared" si="241"/>
        <v>661.43608821503994</v>
      </c>
      <c r="AL210" s="819">
        <f t="shared" si="241"/>
        <v>682.10596597175993</v>
      </c>
      <c r="AM210" s="819">
        <f t="shared" si="241"/>
        <v>702.77584372847991</v>
      </c>
      <c r="AN210" s="819">
        <f t="shared" ref="AN210:BF210" si="242">((AN$192-$H$4)/1000)*$L$59*(($C$8/70)^$X$59)</f>
        <v>723.4457214851999</v>
      </c>
      <c r="AO210" s="819">
        <f t="shared" si="242"/>
        <v>744.11559924191999</v>
      </c>
      <c r="AP210" s="819">
        <f t="shared" si="242"/>
        <v>764.78547699863998</v>
      </c>
      <c r="AQ210" s="819">
        <f t="shared" si="242"/>
        <v>785.45535475535985</v>
      </c>
      <c r="AR210" s="819">
        <f t="shared" si="242"/>
        <v>806.12523251207995</v>
      </c>
      <c r="AS210" s="819">
        <f t="shared" si="242"/>
        <v>826.79511026879993</v>
      </c>
      <c r="AT210" s="819">
        <f t="shared" si="242"/>
        <v>847.4649880255198</v>
      </c>
      <c r="AU210" s="819">
        <f t="shared" si="242"/>
        <v>868.13486578224001</v>
      </c>
      <c r="AV210" s="819">
        <f t="shared" si="242"/>
        <v>888.80474353895988</v>
      </c>
      <c r="AW210" s="819">
        <f t="shared" si="242"/>
        <v>909.47462129567998</v>
      </c>
      <c r="AX210" s="819">
        <f t="shared" si="242"/>
        <v>930.14449905239996</v>
      </c>
      <c r="AY210" s="819">
        <f t="shared" si="242"/>
        <v>950.81437680911984</v>
      </c>
      <c r="AZ210" s="819">
        <f t="shared" si="242"/>
        <v>971.48425456583993</v>
      </c>
      <c r="BA210" s="819">
        <f t="shared" si="242"/>
        <v>992.15413232255992</v>
      </c>
      <c r="BB210" s="819">
        <f t="shared" si="242"/>
        <v>1012.82401007928</v>
      </c>
      <c r="BC210" s="819">
        <f t="shared" si="242"/>
        <v>1033.4938878359999</v>
      </c>
      <c r="BD210" s="819">
        <f t="shared" si="242"/>
        <v>1054.1637655927198</v>
      </c>
      <c r="BE210" s="819">
        <f t="shared" si="242"/>
        <v>1074.8336433494399</v>
      </c>
      <c r="BF210" s="819">
        <f t="shared" si="242"/>
        <v>1095.50352110616</v>
      </c>
    </row>
    <row r="211" spans="2:58" hidden="1">
      <c r="B211" s="2261" t="s">
        <v>337</v>
      </c>
      <c r="C211" s="2262"/>
      <c r="D211" s="825"/>
      <c r="E211" s="825"/>
      <c r="F211" s="825"/>
      <c r="G211" s="825"/>
      <c r="H211" s="819">
        <f t="shared" ref="H211:AM211" si="243">((H$192-$H$4)/1000)*$M$59*(($C$8/70)^$Y$59)</f>
        <v>78.350792568660836</v>
      </c>
      <c r="I211" s="819">
        <f t="shared" si="243"/>
        <v>104.46772342488111</v>
      </c>
      <c r="J211" s="819">
        <f t="shared" si="243"/>
        <v>130.58465428110139</v>
      </c>
      <c r="K211" s="819">
        <f t="shared" si="243"/>
        <v>156.70158513732167</v>
      </c>
      <c r="L211" s="819">
        <f t="shared" si="243"/>
        <v>182.81851599354195</v>
      </c>
      <c r="M211" s="819">
        <f t="shared" si="243"/>
        <v>208.93544684976223</v>
      </c>
      <c r="N211" s="819">
        <f t="shared" si="243"/>
        <v>235.05237770598251</v>
      </c>
      <c r="O211" s="819">
        <f t="shared" si="243"/>
        <v>261.16930856220279</v>
      </c>
      <c r="P211" s="819">
        <f t="shared" si="243"/>
        <v>287.28623941842307</v>
      </c>
      <c r="Q211" s="819">
        <f t="shared" si="243"/>
        <v>313.40317027464334</v>
      </c>
      <c r="R211" s="819">
        <f t="shared" si="243"/>
        <v>339.52010113086362</v>
      </c>
      <c r="S211" s="819">
        <f t="shared" si="243"/>
        <v>365.6370319870839</v>
      </c>
      <c r="T211" s="819">
        <f t="shared" si="243"/>
        <v>391.75396284330418</v>
      </c>
      <c r="U211" s="819">
        <f t="shared" si="243"/>
        <v>417.87089369952446</v>
      </c>
      <c r="V211" s="819">
        <f t="shared" si="243"/>
        <v>443.98782455574474</v>
      </c>
      <c r="W211" s="819">
        <f t="shared" si="243"/>
        <v>470.10475541196502</v>
      </c>
      <c r="X211" s="819">
        <f t="shared" si="243"/>
        <v>496.22168626818529</v>
      </c>
      <c r="Y211" s="819">
        <f t="shared" si="243"/>
        <v>522.33861712440557</v>
      </c>
      <c r="Z211" s="819">
        <f t="shared" si="243"/>
        <v>548.45554798062585</v>
      </c>
      <c r="AA211" s="819">
        <f t="shared" si="243"/>
        <v>574.57247883684613</v>
      </c>
      <c r="AB211" s="819">
        <f t="shared" si="243"/>
        <v>600.68940969306641</v>
      </c>
      <c r="AC211" s="819">
        <f t="shared" si="243"/>
        <v>626.80634054928669</v>
      </c>
      <c r="AD211" s="819">
        <f t="shared" si="243"/>
        <v>652.92327140550697</v>
      </c>
      <c r="AE211" s="819">
        <f t="shared" si="243"/>
        <v>679.04020226172725</v>
      </c>
      <c r="AF211" s="819">
        <f t="shared" si="243"/>
        <v>705.15713311794752</v>
      </c>
      <c r="AG211" s="819">
        <f t="shared" si="243"/>
        <v>731.2740639741678</v>
      </c>
      <c r="AH211" s="819">
        <f t="shared" si="243"/>
        <v>757.39099483038808</v>
      </c>
      <c r="AI211" s="819">
        <f t="shared" si="243"/>
        <v>783.50792568660836</v>
      </c>
      <c r="AJ211" s="819">
        <f t="shared" si="243"/>
        <v>809.62485654282864</v>
      </c>
      <c r="AK211" s="819">
        <f t="shared" si="243"/>
        <v>835.74178739904892</v>
      </c>
      <c r="AL211" s="819">
        <f t="shared" si="243"/>
        <v>861.8587182552692</v>
      </c>
      <c r="AM211" s="819">
        <f t="shared" si="243"/>
        <v>887.97564911148947</v>
      </c>
      <c r="AN211" s="819">
        <f t="shared" ref="AN211:BF211" si="244">((AN$192-$H$4)/1000)*$M$59*(($C$8/70)^$Y$59)</f>
        <v>914.09257996770975</v>
      </c>
      <c r="AO211" s="819">
        <f t="shared" si="244"/>
        <v>940.20951082393003</v>
      </c>
      <c r="AP211" s="819">
        <f t="shared" si="244"/>
        <v>966.32644168015031</v>
      </c>
      <c r="AQ211" s="819">
        <f t="shared" si="244"/>
        <v>992.44337253637059</v>
      </c>
      <c r="AR211" s="819">
        <f t="shared" si="244"/>
        <v>1018.5603033925909</v>
      </c>
      <c r="AS211" s="819">
        <f t="shared" si="244"/>
        <v>1044.6772342488111</v>
      </c>
      <c r="AT211" s="819">
        <f t="shared" si="244"/>
        <v>1070.7941651050314</v>
      </c>
      <c r="AU211" s="819">
        <f t="shared" si="244"/>
        <v>1096.9110959612517</v>
      </c>
      <c r="AV211" s="819">
        <f t="shared" si="244"/>
        <v>1123.028026817472</v>
      </c>
      <c r="AW211" s="819">
        <f t="shared" si="244"/>
        <v>1149.1449576736923</v>
      </c>
      <c r="AX211" s="819">
        <f t="shared" si="244"/>
        <v>1175.2618885299125</v>
      </c>
      <c r="AY211" s="819">
        <f t="shared" si="244"/>
        <v>1201.3788193861328</v>
      </c>
      <c r="AZ211" s="819">
        <f t="shared" si="244"/>
        <v>1227.4957502423531</v>
      </c>
      <c r="BA211" s="819">
        <f t="shared" si="244"/>
        <v>1253.6126810985734</v>
      </c>
      <c r="BB211" s="819">
        <f t="shared" si="244"/>
        <v>1279.7296119547937</v>
      </c>
      <c r="BC211" s="819">
        <f t="shared" si="244"/>
        <v>1305.8465428110139</v>
      </c>
      <c r="BD211" s="819">
        <f t="shared" si="244"/>
        <v>1331.9634736672342</v>
      </c>
      <c r="BE211" s="819">
        <f t="shared" si="244"/>
        <v>1358.0804045234545</v>
      </c>
      <c r="BF211" s="819">
        <f t="shared" si="244"/>
        <v>1384.1973353796748</v>
      </c>
    </row>
    <row r="212" spans="2:58" hidden="1">
      <c r="B212" s="2261" t="s">
        <v>338</v>
      </c>
      <c r="C212" s="2262"/>
      <c r="D212" s="825"/>
      <c r="E212" s="825"/>
      <c r="F212" s="825"/>
      <c r="G212" s="825"/>
      <c r="H212" s="819">
        <f t="shared" ref="H212:AM212" si="245">((H$192-$H$4)/1000)*$N$59*(($C$8/70)^$Z$59)</f>
        <v>83.924386672650044</v>
      </c>
      <c r="I212" s="819">
        <f t="shared" si="245"/>
        <v>111.89918223020007</v>
      </c>
      <c r="J212" s="819">
        <f t="shared" si="245"/>
        <v>139.87397778775008</v>
      </c>
      <c r="K212" s="819">
        <f t="shared" si="245"/>
        <v>167.84877334530009</v>
      </c>
      <c r="L212" s="819">
        <f t="shared" si="245"/>
        <v>195.8235689028501</v>
      </c>
      <c r="M212" s="819">
        <f t="shared" si="245"/>
        <v>223.79836446040014</v>
      </c>
      <c r="N212" s="819">
        <f t="shared" si="245"/>
        <v>251.77316001795015</v>
      </c>
      <c r="O212" s="819">
        <f t="shared" si="245"/>
        <v>279.74795557550016</v>
      </c>
      <c r="P212" s="819">
        <f t="shared" si="245"/>
        <v>307.72275113305022</v>
      </c>
      <c r="Q212" s="819">
        <f t="shared" si="245"/>
        <v>335.69754669060018</v>
      </c>
      <c r="R212" s="819">
        <f t="shared" si="245"/>
        <v>363.67234224815024</v>
      </c>
      <c r="S212" s="819">
        <f t="shared" si="245"/>
        <v>391.6471378057002</v>
      </c>
      <c r="T212" s="819">
        <f t="shared" si="245"/>
        <v>419.62193336325026</v>
      </c>
      <c r="U212" s="819">
        <f t="shared" si="245"/>
        <v>447.59672892080027</v>
      </c>
      <c r="V212" s="819">
        <f t="shared" si="245"/>
        <v>475.57152447835023</v>
      </c>
      <c r="W212" s="819">
        <f t="shared" si="245"/>
        <v>503.54632003590029</v>
      </c>
      <c r="X212" s="819">
        <f t="shared" si="245"/>
        <v>531.5211155934503</v>
      </c>
      <c r="Y212" s="819">
        <f t="shared" si="245"/>
        <v>559.49591115100031</v>
      </c>
      <c r="Z212" s="819">
        <f t="shared" si="245"/>
        <v>587.47070670855032</v>
      </c>
      <c r="AA212" s="819">
        <f t="shared" si="245"/>
        <v>615.44550226610045</v>
      </c>
      <c r="AB212" s="819">
        <f t="shared" si="245"/>
        <v>643.42029782365034</v>
      </c>
      <c r="AC212" s="819">
        <f t="shared" si="245"/>
        <v>671.39509338120035</v>
      </c>
      <c r="AD212" s="819">
        <f t="shared" si="245"/>
        <v>699.36988893875036</v>
      </c>
      <c r="AE212" s="819">
        <f t="shared" si="245"/>
        <v>727.34468449630049</v>
      </c>
      <c r="AF212" s="819">
        <f t="shared" si="245"/>
        <v>755.3194800538505</v>
      </c>
      <c r="AG212" s="819">
        <f t="shared" si="245"/>
        <v>783.29427561140039</v>
      </c>
      <c r="AH212" s="819">
        <f t="shared" si="245"/>
        <v>811.2690711689504</v>
      </c>
      <c r="AI212" s="819">
        <f t="shared" si="245"/>
        <v>839.24386672650053</v>
      </c>
      <c r="AJ212" s="819">
        <f t="shared" si="245"/>
        <v>867.21866228405054</v>
      </c>
      <c r="AK212" s="819">
        <f t="shared" si="245"/>
        <v>895.19345784160055</v>
      </c>
      <c r="AL212" s="819">
        <f t="shared" si="245"/>
        <v>923.16825339915044</v>
      </c>
      <c r="AM212" s="819">
        <f t="shared" si="245"/>
        <v>951.14304895670045</v>
      </c>
      <c r="AN212" s="819">
        <f t="shared" ref="AN212:BF212" si="246">((AN$192-$H$4)/1000)*$N$59*(($C$8/70)^$Z$59)</f>
        <v>979.11784451425058</v>
      </c>
      <c r="AO212" s="819">
        <f t="shared" si="246"/>
        <v>1007.0926400718006</v>
      </c>
      <c r="AP212" s="819">
        <f t="shared" si="246"/>
        <v>1035.0674356293507</v>
      </c>
      <c r="AQ212" s="819">
        <f t="shared" si="246"/>
        <v>1063.0422311869006</v>
      </c>
      <c r="AR212" s="819">
        <f t="shared" si="246"/>
        <v>1091.0170267444505</v>
      </c>
      <c r="AS212" s="819">
        <f t="shared" si="246"/>
        <v>1118.9918223020006</v>
      </c>
      <c r="AT212" s="819">
        <f t="shared" si="246"/>
        <v>1146.9666178595505</v>
      </c>
      <c r="AU212" s="819">
        <f t="shared" si="246"/>
        <v>1174.9414134171006</v>
      </c>
      <c r="AV212" s="819">
        <f t="shared" si="246"/>
        <v>1202.9162089746505</v>
      </c>
      <c r="AW212" s="819">
        <f t="shared" si="246"/>
        <v>1230.8910045322009</v>
      </c>
      <c r="AX212" s="819">
        <f t="shared" si="246"/>
        <v>1258.8658000897508</v>
      </c>
      <c r="AY212" s="819">
        <f t="shared" si="246"/>
        <v>1286.8405956473007</v>
      </c>
      <c r="AZ212" s="819">
        <f t="shared" si="246"/>
        <v>1314.8153912048508</v>
      </c>
      <c r="BA212" s="819">
        <f t="shared" si="246"/>
        <v>1342.7901867624007</v>
      </c>
      <c r="BB212" s="819">
        <f t="shared" si="246"/>
        <v>1370.7649823199508</v>
      </c>
      <c r="BC212" s="819">
        <f t="shared" si="246"/>
        <v>1398.7397778775007</v>
      </c>
      <c r="BD212" s="819">
        <f t="shared" si="246"/>
        <v>1426.7145734350506</v>
      </c>
      <c r="BE212" s="819">
        <f t="shared" si="246"/>
        <v>1454.689368992601</v>
      </c>
      <c r="BF212" s="819">
        <f t="shared" si="246"/>
        <v>1482.6641645501509</v>
      </c>
    </row>
    <row r="213" spans="2:58" hidden="1">
      <c r="B213" s="2261" t="s">
        <v>339</v>
      </c>
      <c r="C213" s="2262"/>
      <c r="D213" s="825"/>
      <c r="E213" s="825"/>
      <c r="F213" s="825"/>
      <c r="G213" s="825"/>
      <c r="H213" s="819">
        <f t="shared" ref="H213:AM213" si="247">((H$192-$H$4)/1000)*$O$59*(($C$8/70)^$AA$59)</f>
        <v>106.74907880111999</v>
      </c>
      <c r="I213" s="819">
        <f t="shared" si="247"/>
        <v>142.33210506815999</v>
      </c>
      <c r="J213" s="819">
        <f t="shared" si="247"/>
        <v>177.91513133519999</v>
      </c>
      <c r="K213" s="819">
        <f t="shared" si="247"/>
        <v>213.49815760223998</v>
      </c>
      <c r="L213" s="819">
        <f t="shared" si="247"/>
        <v>249.08118386927995</v>
      </c>
      <c r="M213" s="819">
        <f t="shared" si="247"/>
        <v>284.66421013631998</v>
      </c>
      <c r="N213" s="819">
        <f t="shared" si="247"/>
        <v>320.24723640335998</v>
      </c>
      <c r="O213" s="819">
        <f t="shared" si="247"/>
        <v>355.83026267039997</v>
      </c>
      <c r="P213" s="819">
        <f t="shared" si="247"/>
        <v>391.41328893744003</v>
      </c>
      <c r="Q213" s="819">
        <f t="shared" si="247"/>
        <v>426.99631520447997</v>
      </c>
      <c r="R213" s="819">
        <f t="shared" si="247"/>
        <v>462.57934147151997</v>
      </c>
      <c r="S213" s="819">
        <f t="shared" si="247"/>
        <v>498.16236773855991</v>
      </c>
      <c r="T213" s="819">
        <f t="shared" si="247"/>
        <v>533.74539400560002</v>
      </c>
      <c r="U213" s="819">
        <f t="shared" si="247"/>
        <v>569.32842027263996</v>
      </c>
      <c r="V213" s="819">
        <f t="shared" si="247"/>
        <v>604.9114465396799</v>
      </c>
      <c r="W213" s="819">
        <f t="shared" si="247"/>
        <v>640.49447280671995</v>
      </c>
      <c r="X213" s="819">
        <f t="shared" si="247"/>
        <v>676.0774990737599</v>
      </c>
      <c r="Y213" s="819">
        <f t="shared" si="247"/>
        <v>711.66052534079995</v>
      </c>
      <c r="Z213" s="819">
        <f t="shared" si="247"/>
        <v>747.24355160784</v>
      </c>
      <c r="AA213" s="819">
        <f t="shared" si="247"/>
        <v>782.82657787488006</v>
      </c>
      <c r="AB213" s="819">
        <f t="shared" si="247"/>
        <v>818.40960414191989</v>
      </c>
      <c r="AC213" s="819">
        <f t="shared" si="247"/>
        <v>853.99263040895994</v>
      </c>
      <c r="AD213" s="819">
        <f t="shared" si="247"/>
        <v>889.57565667599988</v>
      </c>
      <c r="AE213" s="819">
        <f t="shared" si="247"/>
        <v>925.15868294303993</v>
      </c>
      <c r="AF213" s="819">
        <f t="shared" si="247"/>
        <v>960.74170921007999</v>
      </c>
      <c r="AG213" s="819">
        <f t="shared" si="247"/>
        <v>996.32473547711982</v>
      </c>
      <c r="AH213" s="819">
        <f t="shared" si="247"/>
        <v>1031.9077617441599</v>
      </c>
      <c r="AI213" s="819">
        <f t="shared" si="247"/>
        <v>1067.4907880112</v>
      </c>
      <c r="AJ213" s="819">
        <f t="shared" si="247"/>
        <v>1103.07381427824</v>
      </c>
      <c r="AK213" s="819">
        <f t="shared" si="247"/>
        <v>1138.6568405452799</v>
      </c>
      <c r="AL213" s="819">
        <f t="shared" si="247"/>
        <v>1174.2398668123199</v>
      </c>
      <c r="AM213" s="819">
        <f t="shared" si="247"/>
        <v>1209.8228930793598</v>
      </c>
      <c r="AN213" s="819">
        <f t="shared" ref="AN213:BF213" si="248">((AN$192-$H$4)/1000)*$O$59*(($C$8/70)^$AA$59)</f>
        <v>1245.4059193464</v>
      </c>
      <c r="AO213" s="819">
        <f t="shared" si="248"/>
        <v>1280.9889456134399</v>
      </c>
      <c r="AP213" s="819">
        <f t="shared" si="248"/>
        <v>1316.5719718804801</v>
      </c>
      <c r="AQ213" s="819">
        <f t="shared" si="248"/>
        <v>1352.1549981475198</v>
      </c>
      <c r="AR213" s="819">
        <f t="shared" si="248"/>
        <v>1387.73802441456</v>
      </c>
      <c r="AS213" s="819">
        <f t="shared" si="248"/>
        <v>1423.3210506815999</v>
      </c>
      <c r="AT213" s="819">
        <f t="shared" si="248"/>
        <v>1458.9040769486398</v>
      </c>
      <c r="AU213" s="819">
        <f t="shared" si="248"/>
        <v>1494.48710321568</v>
      </c>
      <c r="AV213" s="819">
        <f t="shared" si="248"/>
        <v>1530.0701294827197</v>
      </c>
      <c r="AW213" s="819">
        <f t="shared" si="248"/>
        <v>1565.6531557497601</v>
      </c>
      <c r="AX213" s="819">
        <f t="shared" si="248"/>
        <v>1601.2361820167998</v>
      </c>
      <c r="AY213" s="819">
        <f t="shared" si="248"/>
        <v>1636.8192082838398</v>
      </c>
      <c r="AZ213" s="819">
        <f t="shared" si="248"/>
        <v>1672.4022345508799</v>
      </c>
      <c r="BA213" s="819">
        <f t="shared" si="248"/>
        <v>1707.9852608179199</v>
      </c>
      <c r="BB213" s="819">
        <f t="shared" si="248"/>
        <v>1743.56828708496</v>
      </c>
      <c r="BC213" s="819">
        <f t="shared" si="248"/>
        <v>1779.1513133519998</v>
      </c>
      <c r="BD213" s="819">
        <f t="shared" si="248"/>
        <v>1814.7343396190397</v>
      </c>
      <c r="BE213" s="819">
        <f t="shared" si="248"/>
        <v>1850.3173658860799</v>
      </c>
      <c r="BF213" s="819">
        <f t="shared" si="248"/>
        <v>1885.9003921531198</v>
      </c>
    </row>
    <row r="214" spans="2:58" hidden="1">
      <c r="B214" s="2261" t="s">
        <v>340</v>
      </c>
      <c r="C214" s="2262"/>
      <c r="D214" s="825"/>
      <c r="E214" s="825"/>
      <c r="F214" s="825"/>
      <c r="G214" s="825"/>
      <c r="H214" s="819">
        <f t="shared" ref="H214:AM214" si="249">((H$192-$H$4)/1000)*$P$59*(($C$8/70)^$AB$59)</f>
        <v>115.9580142151992</v>
      </c>
      <c r="I214" s="819">
        <f t="shared" si="249"/>
        <v>154.6106856202656</v>
      </c>
      <c r="J214" s="819">
        <f t="shared" si="249"/>
        <v>193.263357025332</v>
      </c>
      <c r="K214" s="819">
        <f t="shared" si="249"/>
        <v>231.9160284303984</v>
      </c>
      <c r="L214" s="819">
        <f t="shared" si="249"/>
        <v>270.56869983546477</v>
      </c>
      <c r="M214" s="819">
        <f t="shared" si="249"/>
        <v>309.2213712405312</v>
      </c>
      <c r="N214" s="819">
        <f t="shared" si="249"/>
        <v>347.87404264559763</v>
      </c>
      <c r="O214" s="819">
        <f t="shared" si="249"/>
        <v>386.526714050664</v>
      </c>
      <c r="P214" s="819">
        <f t="shared" si="249"/>
        <v>425.17938545573043</v>
      </c>
      <c r="Q214" s="819">
        <f t="shared" si="249"/>
        <v>463.8320568607968</v>
      </c>
      <c r="R214" s="819">
        <f t="shared" si="249"/>
        <v>502.48472826586323</v>
      </c>
      <c r="S214" s="819">
        <f t="shared" si="249"/>
        <v>541.13739967092954</v>
      </c>
      <c r="T214" s="819">
        <f t="shared" si="249"/>
        <v>579.79007107599602</v>
      </c>
      <c r="U214" s="819">
        <f t="shared" si="249"/>
        <v>618.4427424810624</v>
      </c>
      <c r="V214" s="819">
        <f t="shared" si="249"/>
        <v>657.09541388612877</v>
      </c>
      <c r="W214" s="819">
        <f t="shared" si="249"/>
        <v>695.74808529119525</v>
      </c>
      <c r="X214" s="819">
        <f t="shared" si="249"/>
        <v>734.40075669626151</v>
      </c>
      <c r="Y214" s="819">
        <f t="shared" si="249"/>
        <v>773.053428101328</v>
      </c>
      <c r="Z214" s="819">
        <f t="shared" si="249"/>
        <v>811.70609950639448</v>
      </c>
      <c r="AA214" s="819">
        <f t="shared" si="249"/>
        <v>850.35877091146085</v>
      </c>
      <c r="AB214" s="819">
        <f t="shared" si="249"/>
        <v>889.01144231652711</v>
      </c>
      <c r="AC214" s="819">
        <f t="shared" si="249"/>
        <v>927.66411372159359</v>
      </c>
      <c r="AD214" s="819">
        <f t="shared" si="249"/>
        <v>966.31678512665997</v>
      </c>
      <c r="AE214" s="819">
        <f t="shared" si="249"/>
        <v>1004.9694565317265</v>
      </c>
      <c r="AF214" s="819">
        <f t="shared" si="249"/>
        <v>1043.6221279367928</v>
      </c>
      <c r="AG214" s="819">
        <f t="shared" si="249"/>
        <v>1082.2747993418591</v>
      </c>
      <c r="AH214" s="819">
        <f t="shared" si="249"/>
        <v>1120.9274707469256</v>
      </c>
      <c r="AI214" s="819">
        <f t="shared" si="249"/>
        <v>1159.580142151992</v>
      </c>
      <c r="AJ214" s="819">
        <f t="shared" si="249"/>
        <v>1198.2328135570585</v>
      </c>
      <c r="AK214" s="819">
        <f t="shared" si="249"/>
        <v>1236.8854849621248</v>
      </c>
      <c r="AL214" s="819">
        <f t="shared" si="249"/>
        <v>1275.538156367191</v>
      </c>
      <c r="AM214" s="819">
        <f t="shared" si="249"/>
        <v>1314.1908277722575</v>
      </c>
      <c r="AN214" s="819">
        <f t="shared" ref="AN214:BF214" si="250">((AN$192-$H$4)/1000)*$P$59*(($C$8/70)^$AB$59)</f>
        <v>1352.843499177324</v>
      </c>
      <c r="AO214" s="819">
        <f t="shared" si="250"/>
        <v>1391.4961705823905</v>
      </c>
      <c r="AP214" s="819">
        <f t="shared" si="250"/>
        <v>1430.1488419874568</v>
      </c>
      <c r="AQ214" s="819">
        <f t="shared" si="250"/>
        <v>1468.801513392523</v>
      </c>
      <c r="AR214" s="819">
        <f t="shared" si="250"/>
        <v>1507.4541847975895</v>
      </c>
      <c r="AS214" s="819">
        <f t="shared" si="250"/>
        <v>1546.106856202656</v>
      </c>
      <c r="AT214" s="819">
        <f t="shared" si="250"/>
        <v>1584.7595276077222</v>
      </c>
      <c r="AU214" s="819">
        <f t="shared" si="250"/>
        <v>1623.412199012789</v>
      </c>
      <c r="AV214" s="819">
        <f t="shared" si="250"/>
        <v>1662.0648704178552</v>
      </c>
      <c r="AW214" s="819">
        <f t="shared" si="250"/>
        <v>1700.7175418229217</v>
      </c>
      <c r="AX214" s="819">
        <f t="shared" si="250"/>
        <v>1739.370213227988</v>
      </c>
      <c r="AY214" s="819">
        <f t="shared" si="250"/>
        <v>1778.0228846330542</v>
      </c>
      <c r="AZ214" s="819">
        <f t="shared" si="250"/>
        <v>1816.6755560381209</v>
      </c>
      <c r="BA214" s="819">
        <f t="shared" si="250"/>
        <v>1855.3282274431872</v>
      </c>
      <c r="BB214" s="819">
        <f t="shared" si="250"/>
        <v>1893.9808988482537</v>
      </c>
      <c r="BC214" s="819">
        <f t="shared" si="250"/>
        <v>1932.6335702533199</v>
      </c>
      <c r="BD214" s="819">
        <f t="shared" si="250"/>
        <v>1971.2862416583862</v>
      </c>
      <c r="BE214" s="819">
        <f t="shared" si="250"/>
        <v>2009.9389130634529</v>
      </c>
      <c r="BF214" s="819">
        <f t="shared" si="250"/>
        <v>2048.5915844685192</v>
      </c>
    </row>
    <row r="215" spans="2:58" hidden="1">
      <c r="B215" s="2261" t="s">
        <v>341</v>
      </c>
      <c r="C215" s="2262"/>
      <c r="D215" s="825"/>
      <c r="E215" s="825"/>
      <c r="F215" s="825"/>
      <c r="G215" s="825"/>
      <c r="H215" s="819">
        <f t="shared" ref="H215:AM215" si="251">((H$192-$H$4)/1000)*$Q$59*(($C$8/70)^$AC$59)</f>
        <v>121.25510094391235</v>
      </c>
      <c r="I215" s="819">
        <f t="shared" si="251"/>
        <v>161.6734679252165</v>
      </c>
      <c r="J215" s="819">
        <f t="shared" si="251"/>
        <v>202.0918349065206</v>
      </c>
      <c r="K215" s="819">
        <f t="shared" si="251"/>
        <v>242.51020188782471</v>
      </c>
      <c r="L215" s="819">
        <f t="shared" si="251"/>
        <v>282.92856886912881</v>
      </c>
      <c r="M215" s="819">
        <f t="shared" si="251"/>
        <v>323.346935850433</v>
      </c>
      <c r="N215" s="819">
        <f t="shared" si="251"/>
        <v>363.76530283173707</v>
      </c>
      <c r="O215" s="819">
        <f t="shared" si="251"/>
        <v>404.18366981304121</v>
      </c>
      <c r="P215" s="819">
        <f t="shared" si="251"/>
        <v>444.60203679434534</v>
      </c>
      <c r="Q215" s="819">
        <f t="shared" si="251"/>
        <v>485.02040377564941</v>
      </c>
      <c r="R215" s="819">
        <f t="shared" si="251"/>
        <v>525.43877075695355</v>
      </c>
      <c r="S215" s="819">
        <f t="shared" si="251"/>
        <v>565.85713773825762</v>
      </c>
      <c r="T215" s="819">
        <f t="shared" si="251"/>
        <v>606.27550471956181</v>
      </c>
      <c r="U215" s="819">
        <f t="shared" si="251"/>
        <v>646.693871700866</v>
      </c>
      <c r="V215" s="819">
        <f t="shared" si="251"/>
        <v>687.11223868217007</v>
      </c>
      <c r="W215" s="819">
        <f t="shared" si="251"/>
        <v>727.53060566347415</v>
      </c>
      <c r="X215" s="819">
        <f t="shared" si="251"/>
        <v>767.94897264477822</v>
      </c>
      <c r="Y215" s="819">
        <f t="shared" si="251"/>
        <v>808.36733962608241</v>
      </c>
      <c r="Z215" s="819">
        <f t="shared" si="251"/>
        <v>848.7857066073866</v>
      </c>
      <c r="AA215" s="819">
        <f t="shared" si="251"/>
        <v>889.20407358869068</v>
      </c>
      <c r="AB215" s="819">
        <f t="shared" si="251"/>
        <v>929.62244056999475</v>
      </c>
      <c r="AC215" s="819">
        <f t="shared" si="251"/>
        <v>970.04080755129883</v>
      </c>
      <c r="AD215" s="819">
        <f t="shared" si="251"/>
        <v>1010.459174532603</v>
      </c>
      <c r="AE215" s="819">
        <f t="shared" si="251"/>
        <v>1050.8775415139071</v>
      </c>
      <c r="AF215" s="819">
        <f t="shared" si="251"/>
        <v>1091.2959084952113</v>
      </c>
      <c r="AG215" s="819">
        <f t="shared" si="251"/>
        <v>1131.7142754765152</v>
      </c>
      <c r="AH215" s="819">
        <f t="shared" si="251"/>
        <v>1172.1326424578194</v>
      </c>
      <c r="AI215" s="819">
        <f t="shared" si="251"/>
        <v>1212.5510094391236</v>
      </c>
      <c r="AJ215" s="819">
        <f t="shared" si="251"/>
        <v>1252.9693764204278</v>
      </c>
      <c r="AK215" s="819">
        <f t="shared" si="251"/>
        <v>1293.387743401732</v>
      </c>
      <c r="AL215" s="819">
        <f t="shared" si="251"/>
        <v>1333.806110383036</v>
      </c>
      <c r="AM215" s="819">
        <f t="shared" si="251"/>
        <v>1374.2244773643401</v>
      </c>
      <c r="AN215" s="819">
        <f t="shared" ref="AN215:BF215" si="252">((AN$192-$H$4)/1000)*$Q$59*(($C$8/70)^$AC$59)</f>
        <v>1414.6428443456443</v>
      </c>
      <c r="AO215" s="819">
        <f t="shared" si="252"/>
        <v>1455.0612113269483</v>
      </c>
      <c r="AP215" s="819">
        <f t="shared" si="252"/>
        <v>1495.4795783082525</v>
      </c>
      <c r="AQ215" s="819">
        <f t="shared" si="252"/>
        <v>1535.8979452895564</v>
      </c>
      <c r="AR215" s="819">
        <f t="shared" si="252"/>
        <v>1576.3163122708606</v>
      </c>
      <c r="AS215" s="819">
        <f t="shared" si="252"/>
        <v>1616.7346792521648</v>
      </c>
      <c r="AT215" s="819">
        <f t="shared" si="252"/>
        <v>1657.1530462334688</v>
      </c>
      <c r="AU215" s="819">
        <f t="shared" si="252"/>
        <v>1697.5714132147732</v>
      </c>
      <c r="AV215" s="819">
        <f t="shared" si="252"/>
        <v>1737.9897801960772</v>
      </c>
      <c r="AW215" s="819">
        <f t="shared" si="252"/>
        <v>1778.4081471773814</v>
      </c>
      <c r="AX215" s="819">
        <f t="shared" si="252"/>
        <v>1818.8265141586853</v>
      </c>
      <c r="AY215" s="819">
        <f t="shared" si="252"/>
        <v>1859.2448811399895</v>
      </c>
      <c r="AZ215" s="819">
        <f t="shared" si="252"/>
        <v>1899.6632481212937</v>
      </c>
      <c r="BA215" s="819">
        <f t="shared" si="252"/>
        <v>1940.0816151025977</v>
      </c>
      <c r="BB215" s="819">
        <f t="shared" si="252"/>
        <v>1980.4999820839021</v>
      </c>
      <c r="BC215" s="819">
        <f t="shared" si="252"/>
        <v>2020.918349065206</v>
      </c>
      <c r="BD215" s="819">
        <f t="shared" si="252"/>
        <v>2061.33671604651</v>
      </c>
      <c r="BE215" s="819">
        <f t="shared" si="252"/>
        <v>2101.7550830278142</v>
      </c>
      <c r="BF215" s="819">
        <f t="shared" si="252"/>
        <v>2142.1734500091184</v>
      </c>
    </row>
    <row r="216" spans="2:58" ht="15.75" hidden="1" thickBot="1">
      <c r="B216" s="2263" t="s">
        <v>342</v>
      </c>
      <c r="C216" s="2264"/>
      <c r="D216" s="826"/>
      <c r="E216" s="826"/>
      <c r="F216" s="826"/>
      <c r="G216" s="826"/>
      <c r="H216" s="820">
        <f t="shared" ref="H216:AM216" si="253">((H$192-$H$4)/1000)*$R$59*(($C$8/70)^$AD$59)</f>
        <v>138.73847272243199</v>
      </c>
      <c r="I216" s="820">
        <f t="shared" si="253"/>
        <v>184.984630296576</v>
      </c>
      <c r="J216" s="820">
        <f t="shared" si="253"/>
        <v>231.23078787071998</v>
      </c>
      <c r="K216" s="820">
        <f t="shared" si="253"/>
        <v>277.47694544486399</v>
      </c>
      <c r="L216" s="820">
        <f t="shared" si="253"/>
        <v>323.72310301900797</v>
      </c>
      <c r="M216" s="820">
        <f t="shared" si="253"/>
        <v>369.969260593152</v>
      </c>
      <c r="N216" s="820">
        <f t="shared" si="253"/>
        <v>416.21541816729598</v>
      </c>
      <c r="O216" s="820">
        <f t="shared" si="253"/>
        <v>462.46157574143996</v>
      </c>
      <c r="P216" s="820">
        <f t="shared" si="253"/>
        <v>508.70773331558399</v>
      </c>
      <c r="Q216" s="820">
        <f t="shared" si="253"/>
        <v>554.95389088972797</v>
      </c>
      <c r="R216" s="820">
        <f t="shared" si="253"/>
        <v>601.20004846387201</v>
      </c>
      <c r="S216" s="820">
        <f t="shared" si="253"/>
        <v>647.44620603801593</v>
      </c>
      <c r="T216" s="820">
        <f t="shared" si="253"/>
        <v>693.69236361215997</v>
      </c>
      <c r="U216" s="820">
        <f t="shared" si="253"/>
        <v>739.938521186304</v>
      </c>
      <c r="V216" s="820">
        <f t="shared" si="253"/>
        <v>786.18467876044792</v>
      </c>
      <c r="W216" s="820">
        <f t="shared" si="253"/>
        <v>832.43083633459196</v>
      </c>
      <c r="X216" s="820">
        <f t="shared" si="253"/>
        <v>878.67699390873588</v>
      </c>
      <c r="Y216" s="820">
        <f t="shared" si="253"/>
        <v>924.92315148287992</v>
      </c>
      <c r="Z216" s="820">
        <f t="shared" si="253"/>
        <v>971.16930905702395</v>
      </c>
      <c r="AA216" s="820">
        <f t="shared" si="253"/>
        <v>1017.415466631168</v>
      </c>
      <c r="AB216" s="820">
        <f t="shared" si="253"/>
        <v>1063.6616242053119</v>
      </c>
      <c r="AC216" s="820">
        <f t="shared" si="253"/>
        <v>1109.9077817794559</v>
      </c>
      <c r="AD216" s="820">
        <f t="shared" si="253"/>
        <v>1156.1539393536</v>
      </c>
      <c r="AE216" s="820">
        <f t="shared" si="253"/>
        <v>1202.400096927744</v>
      </c>
      <c r="AF216" s="820">
        <f t="shared" si="253"/>
        <v>1248.6462545018881</v>
      </c>
      <c r="AG216" s="820">
        <f t="shared" si="253"/>
        <v>1294.8924120760319</v>
      </c>
      <c r="AH216" s="820">
        <f t="shared" si="253"/>
        <v>1341.1385696501759</v>
      </c>
      <c r="AI216" s="820">
        <f t="shared" si="253"/>
        <v>1387.3847272243199</v>
      </c>
      <c r="AJ216" s="820">
        <f t="shared" si="253"/>
        <v>1433.630884798464</v>
      </c>
      <c r="AK216" s="820">
        <f t="shared" si="253"/>
        <v>1479.877042372608</v>
      </c>
      <c r="AL216" s="820">
        <f t="shared" si="253"/>
        <v>1526.1231999467518</v>
      </c>
      <c r="AM216" s="820">
        <f t="shared" si="253"/>
        <v>1572.3693575208958</v>
      </c>
      <c r="AN216" s="820">
        <f t="shared" ref="AN216:BF216" si="254">((AN$192-$H$4)/1000)*$R$59*(($C$8/70)^$AD$59)</f>
        <v>1618.6155150950399</v>
      </c>
      <c r="AO216" s="820">
        <f t="shared" si="254"/>
        <v>1664.8616726691839</v>
      </c>
      <c r="AP216" s="820">
        <f t="shared" si="254"/>
        <v>1711.107830243328</v>
      </c>
      <c r="AQ216" s="820">
        <f t="shared" si="254"/>
        <v>1757.3539878174718</v>
      </c>
      <c r="AR216" s="820">
        <f t="shared" si="254"/>
        <v>1803.6001453916158</v>
      </c>
      <c r="AS216" s="820">
        <f t="shared" si="254"/>
        <v>1849.8463029657598</v>
      </c>
      <c r="AT216" s="820">
        <f t="shared" si="254"/>
        <v>1896.0924605399036</v>
      </c>
      <c r="AU216" s="820">
        <f t="shared" si="254"/>
        <v>1942.3386181140479</v>
      </c>
      <c r="AV216" s="820">
        <f t="shared" si="254"/>
        <v>1988.5847756881917</v>
      </c>
      <c r="AW216" s="820">
        <f t="shared" si="254"/>
        <v>2034.830933262336</v>
      </c>
      <c r="AX216" s="820">
        <f t="shared" si="254"/>
        <v>2081.0770908364798</v>
      </c>
      <c r="AY216" s="820">
        <f t="shared" si="254"/>
        <v>2127.3232484106238</v>
      </c>
      <c r="AZ216" s="820">
        <f t="shared" si="254"/>
        <v>2173.5694059847679</v>
      </c>
      <c r="BA216" s="820">
        <f t="shared" si="254"/>
        <v>2219.8155635589119</v>
      </c>
      <c r="BB216" s="820">
        <f t="shared" si="254"/>
        <v>2266.0617211330559</v>
      </c>
      <c r="BC216" s="820">
        <f t="shared" si="254"/>
        <v>2312.3078787072</v>
      </c>
      <c r="BD216" s="820">
        <f t="shared" si="254"/>
        <v>2358.5540362813435</v>
      </c>
      <c r="BE216" s="820">
        <f t="shared" si="254"/>
        <v>2404.800193855488</v>
      </c>
      <c r="BF216" s="820">
        <f t="shared" si="254"/>
        <v>2451.0463514296316</v>
      </c>
    </row>
    <row r="217" spans="2:58" hidden="1">
      <c r="B217" s="2268" t="s">
        <v>343</v>
      </c>
      <c r="C217" s="2269"/>
      <c r="D217" s="824"/>
      <c r="E217" s="824"/>
      <c r="F217" s="824"/>
      <c r="G217" s="824"/>
      <c r="H217" s="818">
        <f t="shared" ref="H217:AM217" si="255">((H$192-$H$4)/1000)*$K$60*(($C$8/70)^$W$60)</f>
        <v>83.082563999999991</v>
      </c>
      <c r="I217" s="818">
        <f t="shared" si="255"/>
        <v>110.77675199999999</v>
      </c>
      <c r="J217" s="818">
        <f t="shared" si="255"/>
        <v>138.47093999999998</v>
      </c>
      <c r="K217" s="818">
        <f t="shared" si="255"/>
        <v>166.16512799999998</v>
      </c>
      <c r="L217" s="818">
        <f t="shared" si="255"/>
        <v>193.85931599999998</v>
      </c>
      <c r="M217" s="818">
        <f t="shared" si="255"/>
        <v>221.55350399999998</v>
      </c>
      <c r="N217" s="818">
        <f t="shared" si="255"/>
        <v>249.24769199999997</v>
      </c>
      <c r="O217" s="818">
        <f t="shared" si="255"/>
        <v>276.94187999999997</v>
      </c>
      <c r="P217" s="818">
        <f t="shared" si="255"/>
        <v>304.63606799999997</v>
      </c>
      <c r="Q217" s="818">
        <f t="shared" si="255"/>
        <v>332.33025599999996</v>
      </c>
      <c r="R217" s="818">
        <f t="shared" si="255"/>
        <v>360.02444399999996</v>
      </c>
      <c r="S217" s="818">
        <f t="shared" si="255"/>
        <v>387.71863199999996</v>
      </c>
      <c r="T217" s="818">
        <f t="shared" si="255"/>
        <v>415.41281999999995</v>
      </c>
      <c r="U217" s="818">
        <f t="shared" si="255"/>
        <v>443.10700799999995</v>
      </c>
      <c r="V217" s="818">
        <f t="shared" si="255"/>
        <v>470.80119599999995</v>
      </c>
      <c r="W217" s="818">
        <f t="shared" si="255"/>
        <v>498.49538399999994</v>
      </c>
      <c r="X217" s="818">
        <f t="shared" si="255"/>
        <v>526.18957199999988</v>
      </c>
      <c r="Y217" s="818">
        <f t="shared" si="255"/>
        <v>553.88375999999994</v>
      </c>
      <c r="Z217" s="818">
        <f t="shared" si="255"/>
        <v>581.57794799999999</v>
      </c>
      <c r="AA217" s="818">
        <f t="shared" si="255"/>
        <v>609.27213599999993</v>
      </c>
      <c r="AB217" s="818">
        <f t="shared" si="255"/>
        <v>636.96632399999987</v>
      </c>
      <c r="AC217" s="818">
        <f t="shared" si="255"/>
        <v>664.66051199999993</v>
      </c>
      <c r="AD217" s="818">
        <f t="shared" si="255"/>
        <v>692.35469999999987</v>
      </c>
      <c r="AE217" s="818">
        <f t="shared" si="255"/>
        <v>720.04888799999992</v>
      </c>
      <c r="AF217" s="818">
        <f t="shared" si="255"/>
        <v>747.74307599999997</v>
      </c>
      <c r="AG217" s="818">
        <f t="shared" si="255"/>
        <v>775.43726399999991</v>
      </c>
      <c r="AH217" s="818">
        <f t="shared" si="255"/>
        <v>803.13145199999985</v>
      </c>
      <c r="AI217" s="818">
        <f t="shared" si="255"/>
        <v>830.82563999999991</v>
      </c>
      <c r="AJ217" s="818">
        <f t="shared" si="255"/>
        <v>858.51982799999996</v>
      </c>
      <c r="AK217" s="818">
        <f t="shared" si="255"/>
        <v>886.2140159999999</v>
      </c>
      <c r="AL217" s="818">
        <f t="shared" si="255"/>
        <v>913.90820399999984</v>
      </c>
      <c r="AM217" s="818">
        <f t="shared" si="255"/>
        <v>941.6023919999999</v>
      </c>
      <c r="AN217" s="818">
        <f t="shared" ref="AN217:BF217" si="256">((AN$192-$H$4)/1000)*$K$60*(($C$8/70)^$W$60)</f>
        <v>969.29657999999995</v>
      </c>
      <c r="AO217" s="818">
        <f t="shared" si="256"/>
        <v>996.99076799999989</v>
      </c>
      <c r="AP217" s="818">
        <f t="shared" si="256"/>
        <v>1024.6849559999998</v>
      </c>
      <c r="AQ217" s="818">
        <f t="shared" si="256"/>
        <v>1052.3791439999998</v>
      </c>
      <c r="AR217" s="818">
        <f t="shared" si="256"/>
        <v>1080.0733319999999</v>
      </c>
      <c r="AS217" s="818">
        <f t="shared" si="256"/>
        <v>1107.7675199999999</v>
      </c>
      <c r="AT217" s="818">
        <f t="shared" si="256"/>
        <v>1135.4617079999998</v>
      </c>
      <c r="AU217" s="818">
        <f t="shared" si="256"/>
        <v>1163.155896</v>
      </c>
      <c r="AV217" s="818">
        <f t="shared" si="256"/>
        <v>1190.8500839999999</v>
      </c>
      <c r="AW217" s="818">
        <f t="shared" si="256"/>
        <v>1218.5442719999999</v>
      </c>
      <c r="AX217" s="818">
        <f t="shared" si="256"/>
        <v>1246.2384599999998</v>
      </c>
      <c r="AY217" s="818">
        <f t="shared" si="256"/>
        <v>1273.9326479999997</v>
      </c>
      <c r="AZ217" s="818">
        <f t="shared" si="256"/>
        <v>1301.6268359999999</v>
      </c>
      <c r="BA217" s="818">
        <f t="shared" si="256"/>
        <v>1329.3210239999999</v>
      </c>
      <c r="BB217" s="818">
        <f t="shared" si="256"/>
        <v>1357.015212</v>
      </c>
      <c r="BC217" s="818">
        <f t="shared" si="256"/>
        <v>1384.7093999999997</v>
      </c>
      <c r="BD217" s="818">
        <f t="shared" si="256"/>
        <v>1412.4035879999997</v>
      </c>
      <c r="BE217" s="818">
        <f t="shared" si="256"/>
        <v>1440.0977759999998</v>
      </c>
      <c r="BF217" s="818">
        <f t="shared" si="256"/>
        <v>1467.7919639999998</v>
      </c>
    </row>
    <row r="218" spans="2:58" hidden="1">
      <c r="B218" s="2261" t="s">
        <v>344</v>
      </c>
      <c r="C218" s="2262"/>
      <c r="D218" s="825"/>
      <c r="E218" s="825"/>
      <c r="F218" s="825"/>
      <c r="G218" s="825"/>
      <c r="H218" s="819">
        <f t="shared" ref="H218:AM218" si="257">((H$192-$H$4)/1000)*$L$60*(($C$8/70)^$X$60)</f>
        <v>95.497199999999978</v>
      </c>
      <c r="I218" s="819">
        <f t="shared" si="257"/>
        <v>127.32959999999999</v>
      </c>
      <c r="J218" s="819">
        <f t="shared" si="257"/>
        <v>159.16199999999998</v>
      </c>
      <c r="K218" s="819">
        <f t="shared" si="257"/>
        <v>190.99439999999996</v>
      </c>
      <c r="L218" s="819">
        <f t="shared" si="257"/>
        <v>222.82679999999996</v>
      </c>
      <c r="M218" s="819">
        <f t="shared" si="257"/>
        <v>254.65919999999997</v>
      </c>
      <c r="N218" s="819">
        <f t="shared" si="257"/>
        <v>286.49159999999995</v>
      </c>
      <c r="O218" s="819">
        <f t="shared" si="257"/>
        <v>318.32399999999996</v>
      </c>
      <c r="P218" s="819">
        <f t="shared" si="257"/>
        <v>350.15639999999996</v>
      </c>
      <c r="Q218" s="819">
        <f t="shared" si="257"/>
        <v>381.98879999999991</v>
      </c>
      <c r="R218" s="819">
        <f t="shared" si="257"/>
        <v>413.82119999999998</v>
      </c>
      <c r="S218" s="819">
        <f t="shared" si="257"/>
        <v>445.65359999999993</v>
      </c>
      <c r="T218" s="819">
        <f t="shared" si="257"/>
        <v>477.48599999999993</v>
      </c>
      <c r="U218" s="819">
        <f t="shared" si="257"/>
        <v>509.31839999999994</v>
      </c>
      <c r="V218" s="819">
        <f t="shared" si="257"/>
        <v>541.15079999999989</v>
      </c>
      <c r="W218" s="819">
        <f t="shared" si="257"/>
        <v>572.9831999999999</v>
      </c>
      <c r="X218" s="819">
        <f t="shared" si="257"/>
        <v>604.8155999999999</v>
      </c>
      <c r="Y218" s="819">
        <f t="shared" si="257"/>
        <v>636.64799999999991</v>
      </c>
      <c r="Z218" s="819">
        <f t="shared" si="257"/>
        <v>668.48039999999992</v>
      </c>
      <c r="AA218" s="819">
        <f t="shared" si="257"/>
        <v>700.31279999999992</v>
      </c>
      <c r="AB218" s="819">
        <f t="shared" si="257"/>
        <v>732.14519999999982</v>
      </c>
      <c r="AC218" s="819">
        <f t="shared" si="257"/>
        <v>763.97759999999982</v>
      </c>
      <c r="AD218" s="819">
        <f t="shared" si="257"/>
        <v>795.81</v>
      </c>
      <c r="AE218" s="819">
        <f t="shared" si="257"/>
        <v>827.64239999999995</v>
      </c>
      <c r="AF218" s="819">
        <f t="shared" si="257"/>
        <v>859.47479999999996</v>
      </c>
      <c r="AG218" s="819">
        <f t="shared" si="257"/>
        <v>891.30719999999985</v>
      </c>
      <c r="AH218" s="819">
        <f t="shared" si="257"/>
        <v>923.13959999999986</v>
      </c>
      <c r="AI218" s="819">
        <f t="shared" si="257"/>
        <v>954.97199999999987</v>
      </c>
      <c r="AJ218" s="819">
        <f t="shared" si="257"/>
        <v>986.80439999999987</v>
      </c>
      <c r="AK218" s="819">
        <f t="shared" si="257"/>
        <v>1018.6367999999999</v>
      </c>
      <c r="AL218" s="819">
        <f t="shared" si="257"/>
        <v>1050.4691999999998</v>
      </c>
      <c r="AM218" s="819">
        <f t="shared" si="257"/>
        <v>1082.3015999999998</v>
      </c>
      <c r="AN218" s="819">
        <f t="shared" ref="AN218:BF218" si="258">((AN$192-$H$4)/1000)*$L$60*(($C$8/70)^$X$60)</f>
        <v>1114.1339999999998</v>
      </c>
      <c r="AO218" s="819">
        <f t="shared" si="258"/>
        <v>1145.9663999999998</v>
      </c>
      <c r="AP218" s="819">
        <f t="shared" si="258"/>
        <v>1177.7987999999998</v>
      </c>
      <c r="AQ218" s="819">
        <f t="shared" si="258"/>
        <v>1209.6311999999998</v>
      </c>
      <c r="AR218" s="819">
        <f t="shared" si="258"/>
        <v>1241.4635999999998</v>
      </c>
      <c r="AS218" s="819">
        <f t="shared" si="258"/>
        <v>1273.2959999999998</v>
      </c>
      <c r="AT218" s="819">
        <f t="shared" si="258"/>
        <v>1305.1283999999996</v>
      </c>
      <c r="AU218" s="819">
        <f t="shared" si="258"/>
        <v>1336.9607999999998</v>
      </c>
      <c r="AV218" s="819">
        <f t="shared" si="258"/>
        <v>1368.7931999999998</v>
      </c>
      <c r="AW218" s="819">
        <f t="shared" si="258"/>
        <v>1400.6255999999998</v>
      </c>
      <c r="AX218" s="819">
        <f t="shared" si="258"/>
        <v>1432.4579999999999</v>
      </c>
      <c r="AY218" s="819">
        <f t="shared" si="258"/>
        <v>1464.2903999999996</v>
      </c>
      <c r="AZ218" s="819">
        <f t="shared" si="258"/>
        <v>1496.1227999999999</v>
      </c>
      <c r="BA218" s="819">
        <f t="shared" si="258"/>
        <v>1527.9551999999996</v>
      </c>
      <c r="BB218" s="819">
        <f t="shared" si="258"/>
        <v>1559.7875999999999</v>
      </c>
      <c r="BC218" s="819">
        <f t="shared" si="258"/>
        <v>1591.62</v>
      </c>
      <c r="BD218" s="819">
        <f t="shared" si="258"/>
        <v>1623.4523999999997</v>
      </c>
      <c r="BE218" s="819">
        <f t="shared" si="258"/>
        <v>1655.2847999999999</v>
      </c>
      <c r="BF218" s="819">
        <f t="shared" si="258"/>
        <v>1687.1171999999997</v>
      </c>
    </row>
    <row r="219" spans="2:58" hidden="1">
      <c r="B219" s="2261" t="s">
        <v>345</v>
      </c>
      <c r="C219" s="2262"/>
      <c r="D219" s="825"/>
      <c r="E219" s="825"/>
      <c r="F219" s="825"/>
      <c r="G219" s="825"/>
      <c r="H219" s="819">
        <f t="shared" ref="H219:AM219" si="259">((H$192-$H$4)/1000)*$M$60*(($C$8/70)^$Y$60)</f>
        <v>123.81614023211998</v>
      </c>
      <c r="I219" s="819">
        <f t="shared" si="259"/>
        <v>165.08818697615999</v>
      </c>
      <c r="J219" s="819">
        <f t="shared" si="259"/>
        <v>206.36023372019997</v>
      </c>
      <c r="K219" s="819">
        <f t="shared" si="259"/>
        <v>247.63228046423995</v>
      </c>
      <c r="L219" s="819">
        <f t="shared" si="259"/>
        <v>288.90432720827994</v>
      </c>
      <c r="M219" s="819">
        <f t="shared" si="259"/>
        <v>330.17637395231998</v>
      </c>
      <c r="N219" s="819">
        <f t="shared" si="259"/>
        <v>371.44842069635996</v>
      </c>
      <c r="O219" s="819">
        <f t="shared" si="259"/>
        <v>412.72046744039994</v>
      </c>
      <c r="P219" s="819">
        <f t="shared" si="259"/>
        <v>453.99251418443998</v>
      </c>
      <c r="Q219" s="819">
        <f t="shared" si="259"/>
        <v>495.26456092847991</v>
      </c>
      <c r="R219" s="819">
        <f t="shared" si="259"/>
        <v>536.53660767251995</v>
      </c>
      <c r="S219" s="819">
        <f t="shared" si="259"/>
        <v>577.80865441655988</v>
      </c>
      <c r="T219" s="819">
        <f t="shared" si="259"/>
        <v>619.08070116059992</v>
      </c>
      <c r="U219" s="819">
        <f t="shared" si="259"/>
        <v>660.35274790463995</v>
      </c>
      <c r="V219" s="819">
        <f t="shared" si="259"/>
        <v>701.62479464867988</v>
      </c>
      <c r="W219" s="819">
        <f t="shared" si="259"/>
        <v>742.89684139271992</v>
      </c>
      <c r="X219" s="819">
        <f t="shared" si="259"/>
        <v>784.16888813675985</v>
      </c>
      <c r="Y219" s="819">
        <f t="shared" si="259"/>
        <v>825.44093488079989</v>
      </c>
      <c r="Z219" s="819">
        <f t="shared" si="259"/>
        <v>866.71298162483993</v>
      </c>
      <c r="AA219" s="819">
        <f t="shared" si="259"/>
        <v>907.98502836887997</v>
      </c>
      <c r="AB219" s="819">
        <f t="shared" si="259"/>
        <v>949.25707511291978</v>
      </c>
      <c r="AC219" s="819">
        <f t="shared" si="259"/>
        <v>990.52912185695982</v>
      </c>
      <c r="AD219" s="819">
        <f t="shared" si="259"/>
        <v>1031.801168601</v>
      </c>
      <c r="AE219" s="819">
        <f t="shared" si="259"/>
        <v>1073.0732153450399</v>
      </c>
      <c r="AF219" s="819">
        <f t="shared" si="259"/>
        <v>1114.3452620890798</v>
      </c>
      <c r="AG219" s="819">
        <f t="shared" si="259"/>
        <v>1155.6173088331198</v>
      </c>
      <c r="AH219" s="819">
        <f t="shared" si="259"/>
        <v>1196.8893555771599</v>
      </c>
      <c r="AI219" s="819">
        <f t="shared" si="259"/>
        <v>1238.1614023211998</v>
      </c>
      <c r="AJ219" s="819">
        <f t="shared" si="259"/>
        <v>1279.4334490652398</v>
      </c>
      <c r="AK219" s="819">
        <f t="shared" si="259"/>
        <v>1320.7054958092799</v>
      </c>
      <c r="AL219" s="819">
        <f t="shared" si="259"/>
        <v>1361.9775425533198</v>
      </c>
      <c r="AM219" s="819">
        <f t="shared" si="259"/>
        <v>1403.2495892973598</v>
      </c>
      <c r="AN219" s="819">
        <f t="shared" ref="AN219:BF219" si="260">((AN$192-$H$4)/1000)*$M$60*(($C$8/70)^$Y$60)</f>
        <v>1444.5216360413997</v>
      </c>
      <c r="AO219" s="819">
        <f t="shared" si="260"/>
        <v>1485.7936827854398</v>
      </c>
      <c r="AP219" s="819">
        <f t="shared" si="260"/>
        <v>1527.0657295294798</v>
      </c>
      <c r="AQ219" s="819">
        <f t="shared" si="260"/>
        <v>1568.3377762735197</v>
      </c>
      <c r="AR219" s="819">
        <f t="shared" si="260"/>
        <v>1609.6098230175598</v>
      </c>
      <c r="AS219" s="819">
        <f t="shared" si="260"/>
        <v>1650.8818697615998</v>
      </c>
      <c r="AT219" s="819">
        <f t="shared" si="260"/>
        <v>1692.1539165056397</v>
      </c>
      <c r="AU219" s="819">
        <f t="shared" si="260"/>
        <v>1733.4259632496799</v>
      </c>
      <c r="AV219" s="819">
        <f t="shared" si="260"/>
        <v>1774.6980099937198</v>
      </c>
      <c r="AW219" s="819">
        <f t="shared" si="260"/>
        <v>1815.9700567377599</v>
      </c>
      <c r="AX219" s="819">
        <f t="shared" si="260"/>
        <v>1857.2421034817999</v>
      </c>
      <c r="AY219" s="819">
        <f t="shared" si="260"/>
        <v>1898.5141502258396</v>
      </c>
      <c r="AZ219" s="819">
        <f t="shared" si="260"/>
        <v>1939.7861969698797</v>
      </c>
      <c r="BA219" s="819">
        <f t="shared" si="260"/>
        <v>1981.0582437139196</v>
      </c>
      <c r="BB219" s="819">
        <f t="shared" si="260"/>
        <v>2022.3302904579598</v>
      </c>
      <c r="BC219" s="819">
        <f t="shared" si="260"/>
        <v>2063.6023372019999</v>
      </c>
      <c r="BD219" s="819">
        <f t="shared" si="260"/>
        <v>2104.8743839460394</v>
      </c>
      <c r="BE219" s="819">
        <f t="shared" si="260"/>
        <v>2146.1464306900798</v>
      </c>
      <c r="BF219" s="819">
        <f t="shared" si="260"/>
        <v>2187.4184774341197</v>
      </c>
    </row>
    <row r="220" spans="2:58" hidden="1">
      <c r="B220" s="2261" t="s">
        <v>346</v>
      </c>
      <c r="C220" s="2262"/>
      <c r="D220" s="825"/>
      <c r="E220" s="825"/>
      <c r="F220" s="825"/>
      <c r="G220" s="825"/>
      <c r="H220" s="819">
        <f t="shared" ref="H220:AM220" si="261">((H$192-$H$4)/1000)*$O$60*(($C$8/70)^$AA$60)</f>
        <v>148.04279999999997</v>
      </c>
      <c r="I220" s="819">
        <f t="shared" si="261"/>
        <v>197.3904</v>
      </c>
      <c r="J220" s="819">
        <f t="shared" si="261"/>
        <v>246.73799999999997</v>
      </c>
      <c r="K220" s="819">
        <f t="shared" si="261"/>
        <v>296.08559999999994</v>
      </c>
      <c r="L220" s="819">
        <f t="shared" si="261"/>
        <v>345.43319999999994</v>
      </c>
      <c r="M220" s="819">
        <f t="shared" si="261"/>
        <v>394.7808</v>
      </c>
      <c r="N220" s="819">
        <f t="shared" si="261"/>
        <v>444.12839999999994</v>
      </c>
      <c r="O220" s="819">
        <f t="shared" si="261"/>
        <v>493.47599999999994</v>
      </c>
      <c r="P220" s="819">
        <f t="shared" si="261"/>
        <v>542.82359999999994</v>
      </c>
      <c r="Q220" s="819">
        <f t="shared" si="261"/>
        <v>592.17119999999989</v>
      </c>
      <c r="R220" s="819">
        <f t="shared" si="261"/>
        <v>641.51879999999994</v>
      </c>
      <c r="S220" s="819">
        <f t="shared" si="261"/>
        <v>690.86639999999989</v>
      </c>
      <c r="T220" s="819">
        <f t="shared" si="261"/>
        <v>740.21399999999994</v>
      </c>
      <c r="U220" s="819">
        <f t="shared" si="261"/>
        <v>789.5616</v>
      </c>
      <c r="V220" s="819">
        <f t="shared" si="261"/>
        <v>838.90919999999983</v>
      </c>
      <c r="W220" s="819">
        <f t="shared" si="261"/>
        <v>888.25679999999988</v>
      </c>
      <c r="X220" s="819">
        <f t="shared" si="261"/>
        <v>937.60439999999983</v>
      </c>
      <c r="Y220" s="819">
        <f t="shared" si="261"/>
        <v>986.95199999999988</v>
      </c>
      <c r="Z220" s="819">
        <f t="shared" si="261"/>
        <v>1036.2995999999998</v>
      </c>
      <c r="AA220" s="819">
        <f t="shared" si="261"/>
        <v>1085.6471999999999</v>
      </c>
      <c r="AB220" s="819">
        <f t="shared" si="261"/>
        <v>1134.9947999999997</v>
      </c>
      <c r="AC220" s="819">
        <f t="shared" si="261"/>
        <v>1184.3423999999998</v>
      </c>
      <c r="AD220" s="819">
        <f t="shared" si="261"/>
        <v>1233.6899999999998</v>
      </c>
      <c r="AE220" s="819">
        <f t="shared" si="261"/>
        <v>1283.0375999999999</v>
      </c>
      <c r="AF220" s="819">
        <f t="shared" si="261"/>
        <v>1332.3851999999999</v>
      </c>
      <c r="AG220" s="819">
        <f t="shared" si="261"/>
        <v>1381.7327999999998</v>
      </c>
      <c r="AH220" s="819">
        <f t="shared" si="261"/>
        <v>1431.0803999999998</v>
      </c>
      <c r="AI220" s="819">
        <f t="shared" si="261"/>
        <v>1480.4279999999999</v>
      </c>
      <c r="AJ220" s="819">
        <f t="shared" si="261"/>
        <v>1529.7755999999999</v>
      </c>
      <c r="AK220" s="819">
        <f t="shared" si="261"/>
        <v>1579.1232</v>
      </c>
      <c r="AL220" s="819">
        <f t="shared" si="261"/>
        <v>1628.4707999999998</v>
      </c>
      <c r="AM220" s="819">
        <f t="shared" si="261"/>
        <v>1677.8183999999997</v>
      </c>
      <c r="AN220" s="819">
        <f t="shared" ref="AN220:BF220" si="262">((AN$192-$H$4)/1000)*$O$60*(($C$8/70)^$AA$60)</f>
        <v>1727.1659999999997</v>
      </c>
      <c r="AO220" s="819">
        <f t="shared" si="262"/>
        <v>1776.5135999999998</v>
      </c>
      <c r="AP220" s="819">
        <f t="shared" si="262"/>
        <v>1825.8611999999998</v>
      </c>
      <c r="AQ220" s="819">
        <f t="shared" si="262"/>
        <v>1875.2087999999997</v>
      </c>
      <c r="AR220" s="819">
        <f t="shared" si="262"/>
        <v>1924.5563999999997</v>
      </c>
      <c r="AS220" s="819">
        <f t="shared" si="262"/>
        <v>1973.9039999999998</v>
      </c>
      <c r="AT220" s="819">
        <f t="shared" si="262"/>
        <v>2023.2515999999996</v>
      </c>
      <c r="AU220" s="819">
        <f t="shared" si="262"/>
        <v>2072.5991999999997</v>
      </c>
      <c r="AV220" s="819">
        <f t="shared" si="262"/>
        <v>2121.9467999999997</v>
      </c>
      <c r="AW220" s="819">
        <f t="shared" si="262"/>
        <v>2171.2943999999998</v>
      </c>
      <c r="AX220" s="819">
        <f t="shared" si="262"/>
        <v>2220.6419999999998</v>
      </c>
      <c r="AY220" s="819">
        <f t="shared" si="262"/>
        <v>2269.9895999999994</v>
      </c>
      <c r="AZ220" s="819">
        <f t="shared" si="262"/>
        <v>2319.3371999999999</v>
      </c>
      <c r="BA220" s="819">
        <f t="shared" si="262"/>
        <v>2368.6847999999995</v>
      </c>
      <c r="BB220" s="819">
        <f t="shared" si="262"/>
        <v>2418.0324000000001</v>
      </c>
      <c r="BC220" s="819">
        <f t="shared" si="262"/>
        <v>2467.3799999999997</v>
      </c>
      <c r="BD220" s="819">
        <f t="shared" si="262"/>
        <v>2516.7275999999997</v>
      </c>
      <c r="BE220" s="819">
        <f t="shared" si="262"/>
        <v>2566.0751999999998</v>
      </c>
      <c r="BF220" s="819">
        <f t="shared" si="262"/>
        <v>2615.4227999999998</v>
      </c>
    </row>
    <row r="221" spans="2:58" hidden="1">
      <c r="B221" s="2261" t="s">
        <v>347</v>
      </c>
      <c r="C221" s="2262"/>
      <c r="D221" s="825"/>
      <c r="E221" s="825"/>
      <c r="F221" s="825"/>
      <c r="G221" s="825"/>
      <c r="H221" s="819">
        <f t="shared" ref="H221:AM221" si="263">((H$192-$H$4)/1000)*$P$60*(($C$8/70)^$AB$60)</f>
        <v>155.99041702045199</v>
      </c>
      <c r="I221" s="819">
        <f t="shared" si="263"/>
        <v>207.98722269393599</v>
      </c>
      <c r="J221" s="819">
        <f t="shared" si="263"/>
        <v>259.98402836741997</v>
      </c>
      <c r="K221" s="819">
        <f t="shared" si="263"/>
        <v>311.98083404090397</v>
      </c>
      <c r="L221" s="819">
        <f t="shared" si="263"/>
        <v>363.97763971438792</v>
      </c>
      <c r="M221" s="819">
        <f t="shared" si="263"/>
        <v>415.97444538787198</v>
      </c>
      <c r="N221" s="819">
        <f t="shared" si="263"/>
        <v>467.97125106135593</v>
      </c>
      <c r="O221" s="819">
        <f t="shared" si="263"/>
        <v>519.96805673483993</v>
      </c>
      <c r="P221" s="819">
        <f t="shared" si="263"/>
        <v>571.96486240832394</v>
      </c>
      <c r="Q221" s="819">
        <f t="shared" si="263"/>
        <v>623.96166808180794</v>
      </c>
      <c r="R221" s="819">
        <f t="shared" si="263"/>
        <v>675.95847375529195</v>
      </c>
      <c r="S221" s="819">
        <f t="shared" si="263"/>
        <v>727.95527942877584</v>
      </c>
      <c r="T221" s="819">
        <f t="shared" si="263"/>
        <v>779.95208510225984</v>
      </c>
      <c r="U221" s="819">
        <f t="shared" si="263"/>
        <v>831.94889077574396</v>
      </c>
      <c r="V221" s="819">
        <f t="shared" si="263"/>
        <v>883.94569644922785</v>
      </c>
      <c r="W221" s="819">
        <f t="shared" si="263"/>
        <v>935.94250212271186</v>
      </c>
      <c r="X221" s="819">
        <f t="shared" si="263"/>
        <v>987.93930779619586</v>
      </c>
      <c r="Y221" s="819">
        <f t="shared" si="263"/>
        <v>1039.9361134696799</v>
      </c>
      <c r="Z221" s="819">
        <f t="shared" si="263"/>
        <v>1091.9329191431639</v>
      </c>
      <c r="AA221" s="819">
        <f t="shared" si="263"/>
        <v>1143.9297248166479</v>
      </c>
      <c r="AB221" s="819">
        <f t="shared" si="263"/>
        <v>1195.9265304901317</v>
      </c>
      <c r="AC221" s="819">
        <f t="shared" si="263"/>
        <v>1247.9233361636159</v>
      </c>
      <c r="AD221" s="819">
        <f t="shared" si="263"/>
        <v>1299.9201418370999</v>
      </c>
      <c r="AE221" s="819">
        <f t="shared" si="263"/>
        <v>1351.9169475105839</v>
      </c>
      <c r="AF221" s="819">
        <f t="shared" si="263"/>
        <v>1403.9137531840679</v>
      </c>
      <c r="AG221" s="819">
        <f t="shared" si="263"/>
        <v>1455.9105588575517</v>
      </c>
      <c r="AH221" s="819">
        <f t="shared" si="263"/>
        <v>1507.9073645310357</v>
      </c>
      <c r="AI221" s="819">
        <f t="shared" si="263"/>
        <v>1559.9041702045197</v>
      </c>
      <c r="AJ221" s="819">
        <f t="shared" si="263"/>
        <v>1611.9009758780039</v>
      </c>
      <c r="AK221" s="819">
        <f t="shared" si="263"/>
        <v>1663.8977815514879</v>
      </c>
      <c r="AL221" s="819">
        <f t="shared" si="263"/>
        <v>1715.8945872249717</v>
      </c>
      <c r="AM221" s="819">
        <f t="shared" si="263"/>
        <v>1767.8913928984557</v>
      </c>
      <c r="AN221" s="819">
        <f t="shared" ref="AN221:BF221" si="264">((AN$192-$H$4)/1000)*$P$60*(($C$8/70)^$AB$60)</f>
        <v>1819.8881985719397</v>
      </c>
      <c r="AO221" s="819">
        <f t="shared" si="264"/>
        <v>1871.8850042454237</v>
      </c>
      <c r="AP221" s="819">
        <f t="shared" si="264"/>
        <v>1923.8818099189079</v>
      </c>
      <c r="AQ221" s="819">
        <f t="shared" si="264"/>
        <v>1975.8786155923917</v>
      </c>
      <c r="AR221" s="819">
        <f t="shared" si="264"/>
        <v>2027.8754212658757</v>
      </c>
      <c r="AS221" s="819">
        <f t="shared" si="264"/>
        <v>2079.8722269393597</v>
      </c>
      <c r="AT221" s="819">
        <f t="shared" si="264"/>
        <v>2131.8690326128435</v>
      </c>
      <c r="AU221" s="819">
        <f t="shared" si="264"/>
        <v>2183.8658382863277</v>
      </c>
      <c r="AV221" s="819">
        <f t="shared" si="264"/>
        <v>2235.8626439598115</v>
      </c>
      <c r="AW221" s="819">
        <f t="shared" si="264"/>
        <v>2287.8594496332958</v>
      </c>
      <c r="AX221" s="819">
        <f t="shared" si="264"/>
        <v>2339.8562553067795</v>
      </c>
      <c r="AY221" s="819">
        <f t="shared" si="264"/>
        <v>2391.8530609802633</v>
      </c>
      <c r="AZ221" s="819">
        <f t="shared" si="264"/>
        <v>2443.849866653748</v>
      </c>
      <c r="BA221" s="819">
        <f t="shared" si="264"/>
        <v>2495.8466723272318</v>
      </c>
      <c r="BB221" s="819">
        <f t="shared" si="264"/>
        <v>2547.843478000716</v>
      </c>
      <c r="BC221" s="819">
        <f t="shared" si="264"/>
        <v>2599.8402836741998</v>
      </c>
      <c r="BD221" s="819">
        <f t="shared" si="264"/>
        <v>2651.8370893476836</v>
      </c>
      <c r="BE221" s="819">
        <f t="shared" si="264"/>
        <v>2703.8338950211678</v>
      </c>
      <c r="BF221" s="819">
        <f t="shared" si="264"/>
        <v>2755.8307006946516</v>
      </c>
    </row>
    <row r="222" spans="2:58" ht="15.75" hidden="1" thickBot="1">
      <c r="B222" s="2263" t="s">
        <v>348</v>
      </c>
      <c r="C222" s="2264"/>
      <c r="D222" s="826"/>
      <c r="E222" s="826"/>
      <c r="F222" s="826"/>
      <c r="G222" s="826"/>
      <c r="H222" s="820">
        <f t="shared" ref="H222:AM222" si="265">((H$192-$H$4)/1000)*$R$60*(($C$8/70)^$AD$60)</f>
        <v>167.96879999999999</v>
      </c>
      <c r="I222" s="820">
        <f t="shared" si="265"/>
        <v>223.95839999999998</v>
      </c>
      <c r="J222" s="820">
        <f t="shared" si="265"/>
        <v>279.94799999999998</v>
      </c>
      <c r="K222" s="820">
        <f t="shared" si="265"/>
        <v>335.93759999999997</v>
      </c>
      <c r="L222" s="820">
        <f t="shared" si="265"/>
        <v>391.92719999999997</v>
      </c>
      <c r="M222" s="820">
        <f t="shared" si="265"/>
        <v>447.91679999999997</v>
      </c>
      <c r="N222" s="820">
        <f t="shared" si="265"/>
        <v>503.90639999999996</v>
      </c>
      <c r="O222" s="820">
        <f t="shared" si="265"/>
        <v>559.89599999999996</v>
      </c>
      <c r="P222" s="820">
        <f t="shared" si="265"/>
        <v>615.88559999999995</v>
      </c>
      <c r="Q222" s="820">
        <f t="shared" si="265"/>
        <v>671.87519999999995</v>
      </c>
      <c r="R222" s="820">
        <f t="shared" si="265"/>
        <v>727.86479999999995</v>
      </c>
      <c r="S222" s="820">
        <f t="shared" si="265"/>
        <v>783.85439999999994</v>
      </c>
      <c r="T222" s="820">
        <f t="shared" si="265"/>
        <v>839.84399999999994</v>
      </c>
      <c r="U222" s="820">
        <f t="shared" si="265"/>
        <v>895.83359999999993</v>
      </c>
      <c r="V222" s="820">
        <f t="shared" si="265"/>
        <v>951.82319999999993</v>
      </c>
      <c r="W222" s="820">
        <f t="shared" si="265"/>
        <v>1007.8127999999999</v>
      </c>
      <c r="X222" s="820">
        <f t="shared" si="265"/>
        <v>1063.8023999999998</v>
      </c>
      <c r="Y222" s="820">
        <f t="shared" si="265"/>
        <v>1119.7919999999999</v>
      </c>
      <c r="Z222" s="820">
        <f t="shared" si="265"/>
        <v>1175.7816</v>
      </c>
      <c r="AA222" s="820">
        <f t="shared" si="265"/>
        <v>1231.7711999999999</v>
      </c>
      <c r="AB222" s="820">
        <f t="shared" si="265"/>
        <v>1287.7607999999998</v>
      </c>
      <c r="AC222" s="820">
        <f t="shared" si="265"/>
        <v>1343.7503999999999</v>
      </c>
      <c r="AD222" s="820">
        <f t="shared" si="265"/>
        <v>1399.7399999999998</v>
      </c>
      <c r="AE222" s="820">
        <f t="shared" si="265"/>
        <v>1455.7295999999999</v>
      </c>
      <c r="AF222" s="820">
        <f t="shared" si="265"/>
        <v>1511.7192</v>
      </c>
      <c r="AG222" s="820">
        <f t="shared" si="265"/>
        <v>1567.7087999999999</v>
      </c>
      <c r="AH222" s="820">
        <f t="shared" si="265"/>
        <v>1623.6983999999998</v>
      </c>
      <c r="AI222" s="820">
        <f t="shared" si="265"/>
        <v>1679.6879999999999</v>
      </c>
      <c r="AJ222" s="820">
        <f t="shared" si="265"/>
        <v>1735.6776</v>
      </c>
      <c r="AK222" s="820">
        <f t="shared" si="265"/>
        <v>1791.6671999999999</v>
      </c>
      <c r="AL222" s="820">
        <f t="shared" si="265"/>
        <v>1847.6567999999997</v>
      </c>
      <c r="AM222" s="820">
        <f t="shared" si="265"/>
        <v>1903.6463999999999</v>
      </c>
      <c r="AN222" s="820">
        <f t="shared" ref="AN222:BF222" si="266">((AN$192-$H$4)/1000)*$R$60*(($C$8/70)^$AD$60)</f>
        <v>1959.636</v>
      </c>
      <c r="AO222" s="820">
        <f t="shared" si="266"/>
        <v>2015.6255999999998</v>
      </c>
      <c r="AP222" s="820">
        <f t="shared" si="266"/>
        <v>2071.6151999999997</v>
      </c>
      <c r="AQ222" s="820">
        <f t="shared" si="266"/>
        <v>2127.6047999999996</v>
      </c>
      <c r="AR222" s="820">
        <f t="shared" si="266"/>
        <v>2183.5944</v>
      </c>
      <c r="AS222" s="820">
        <f t="shared" si="266"/>
        <v>2239.5839999999998</v>
      </c>
      <c r="AT222" s="820">
        <f t="shared" si="266"/>
        <v>2295.5735999999997</v>
      </c>
      <c r="AU222" s="820">
        <f t="shared" si="266"/>
        <v>2351.5632000000001</v>
      </c>
      <c r="AV222" s="820">
        <f t="shared" si="266"/>
        <v>2407.5527999999999</v>
      </c>
      <c r="AW222" s="820">
        <f t="shared" si="266"/>
        <v>2463.5423999999998</v>
      </c>
      <c r="AX222" s="820">
        <f t="shared" si="266"/>
        <v>2519.5319999999997</v>
      </c>
      <c r="AY222" s="820">
        <f t="shared" si="266"/>
        <v>2575.5215999999996</v>
      </c>
      <c r="AZ222" s="820">
        <f t="shared" si="266"/>
        <v>2631.5111999999999</v>
      </c>
      <c r="BA222" s="820">
        <f t="shared" si="266"/>
        <v>2687.5007999999998</v>
      </c>
      <c r="BB222" s="820">
        <f t="shared" si="266"/>
        <v>2743.4904000000001</v>
      </c>
      <c r="BC222" s="820">
        <f t="shared" si="266"/>
        <v>2799.4799999999996</v>
      </c>
      <c r="BD222" s="820">
        <f t="shared" si="266"/>
        <v>2855.4695999999994</v>
      </c>
      <c r="BE222" s="820">
        <f t="shared" si="266"/>
        <v>2911.4591999999998</v>
      </c>
      <c r="BF222" s="820">
        <f t="shared" si="266"/>
        <v>2967.4487999999997</v>
      </c>
    </row>
  </sheetData>
  <sheetProtection algorithmName="SHA-512" hashValue="hxwLBVMtblmAp7wmAx8RMzqEdhIxrw3ttd/DG/iQXw8A2nCe7xbCnSs7YDbs516LCuzOlDTGG2YVnusbvOM31g==" saltValue="sfkwcxg20GUkX79rYxq6tw==" spinCount="100000" sheet="1" objects="1" scenarios="1"/>
  <mergeCells count="231">
    <mergeCell ref="D163:D164"/>
    <mergeCell ref="E163:E164"/>
    <mergeCell ref="F163:F164"/>
    <mergeCell ref="G163:G164"/>
    <mergeCell ref="H163:BF163"/>
    <mergeCell ref="A165:A187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82:C182"/>
    <mergeCell ref="B219:C219"/>
    <mergeCell ref="B220:C220"/>
    <mergeCell ref="B221:C221"/>
    <mergeCell ref="B222:C222"/>
    <mergeCell ref="H191:BF191"/>
    <mergeCell ref="B213:C213"/>
    <mergeCell ref="B214:C214"/>
    <mergeCell ref="B215:C215"/>
    <mergeCell ref="B216:C216"/>
    <mergeCell ref="B217:C217"/>
    <mergeCell ref="B218:C218"/>
    <mergeCell ref="B207:C207"/>
    <mergeCell ref="B208:C208"/>
    <mergeCell ref="B209:C209"/>
    <mergeCell ref="B210:C210"/>
    <mergeCell ref="B211:C211"/>
    <mergeCell ref="B212:C212"/>
    <mergeCell ref="B201:C201"/>
    <mergeCell ref="B202:C202"/>
    <mergeCell ref="B203:C203"/>
    <mergeCell ref="B204:C204"/>
    <mergeCell ref="B205:C205"/>
    <mergeCell ref="B206:C206"/>
    <mergeCell ref="B195:C195"/>
    <mergeCell ref="AB55:AB56"/>
    <mergeCell ref="AC55:AD55"/>
    <mergeCell ref="B191:C192"/>
    <mergeCell ref="B193:C193"/>
    <mergeCell ref="B194:C194"/>
    <mergeCell ref="P55:P56"/>
    <mergeCell ref="Q55:R55"/>
    <mergeCell ref="W55:W56"/>
    <mergeCell ref="X55:X56"/>
    <mergeCell ref="Y55:Y56"/>
    <mergeCell ref="Z55:AA55"/>
    <mergeCell ref="B189:C190"/>
    <mergeCell ref="B160:C160"/>
    <mergeCell ref="B161:C161"/>
    <mergeCell ref="K55:K56"/>
    <mergeCell ref="L55:L56"/>
    <mergeCell ref="M55:M56"/>
    <mergeCell ref="N55:O55"/>
    <mergeCell ref="B148:C148"/>
    <mergeCell ref="B149:C149"/>
    <mergeCell ref="B150:C150"/>
    <mergeCell ref="B151:C151"/>
    <mergeCell ref="B152:C152"/>
    <mergeCell ref="B153:C153"/>
    <mergeCell ref="B196:C196"/>
    <mergeCell ref="B197:C197"/>
    <mergeCell ref="B198:C198"/>
    <mergeCell ref="B199:C199"/>
    <mergeCell ref="B200:C200"/>
    <mergeCell ref="B154:C154"/>
    <mergeCell ref="B155:C155"/>
    <mergeCell ref="B156:C156"/>
    <mergeCell ref="B157:C157"/>
    <mergeCell ref="B158:C158"/>
    <mergeCell ref="B159:C159"/>
    <mergeCell ref="B163:C164"/>
    <mergeCell ref="B183:C183"/>
    <mergeCell ref="B184:C184"/>
    <mergeCell ref="B185:C185"/>
    <mergeCell ref="B186:C186"/>
    <mergeCell ref="B187:C187"/>
    <mergeCell ref="B188:C188"/>
    <mergeCell ref="B141:C141"/>
    <mergeCell ref="B142:C142"/>
    <mergeCell ref="B143:C143"/>
    <mergeCell ref="B144:C144"/>
    <mergeCell ref="B145:C145"/>
    <mergeCell ref="B147:C147"/>
    <mergeCell ref="B126:C126"/>
    <mergeCell ref="B127:C127"/>
    <mergeCell ref="B137:C137"/>
    <mergeCell ref="B138:C138"/>
    <mergeCell ref="B139:C139"/>
    <mergeCell ref="B140:C140"/>
    <mergeCell ref="B128:C128"/>
    <mergeCell ref="B129:C129"/>
    <mergeCell ref="B130:C130"/>
    <mergeCell ref="B131:C131"/>
    <mergeCell ref="B132:C132"/>
    <mergeCell ref="B133:C133"/>
    <mergeCell ref="B134:C134"/>
    <mergeCell ref="B135:C135"/>
    <mergeCell ref="B136:C136"/>
    <mergeCell ref="B146:C146"/>
    <mergeCell ref="B120:C120"/>
    <mergeCell ref="B121:C121"/>
    <mergeCell ref="B122:C122"/>
    <mergeCell ref="B123:C123"/>
    <mergeCell ref="B124:C124"/>
    <mergeCell ref="B125:C125"/>
    <mergeCell ref="B114:C114"/>
    <mergeCell ref="B115:C115"/>
    <mergeCell ref="B116:C116"/>
    <mergeCell ref="B117:C117"/>
    <mergeCell ref="B118:C118"/>
    <mergeCell ref="B119:C119"/>
    <mergeCell ref="B108:C108"/>
    <mergeCell ref="B109:C109"/>
    <mergeCell ref="B110:C110"/>
    <mergeCell ref="B111:C111"/>
    <mergeCell ref="B112:C112"/>
    <mergeCell ref="B113:C113"/>
    <mergeCell ref="B102:C102"/>
    <mergeCell ref="B103:C103"/>
    <mergeCell ref="B104:C104"/>
    <mergeCell ref="B105:C105"/>
    <mergeCell ref="B106:C106"/>
    <mergeCell ref="B107:C107"/>
    <mergeCell ref="B96:C96"/>
    <mergeCell ref="B97:C97"/>
    <mergeCell ref="B98:C98"/>
    <mergeCell ref="B99:C99"/>
    <mergeCell ref="B100:C100"/>
    <mergeCell ref="B101:C101"/>
    <mergeCell ref="B90:C90"/>
    <mergeCell ref="B91:C91"/>
    <mergeCell ref="B92:C92"/>
    <mergeCell ref="B93:C93"/>
    <mergeCell ref="B94:C94"/>
    <mergeCell ref="B95:C95"/>
    <mergeCell ref="B84:C84"/>
    <mergeCell ref="B85:C85"/>
    <mergeCell ref="B86:C86"/>
    <mergeCell ref="B87:C87"/>
    <mergeCell ref="B88:C88"/>
    <mergeCell ref="B89:C89"/>
    <mergeCell ref="B78:C78"/>
    <mergeCell ref="B79:C79"/>
    <mergeCell ref="B80:C80"/>
    <mergeCell ref="B81:C81"/>
    <mergeCell ref="B82:C82"/>
    <mergeCell ref="B83:C83"/>
    <mergeCell ref="B72:C72"/>
    <mergeCell ref="B73:C73"/>
    <mergeCell ref="B74:C74"/>
    <mergeCell ref="B75:C75"/>
    <mergeCell ref="B76:C76"/>
    <mergeCell ref="B77:C77"/>
    <mergeCell ref="AV38:AW38"/>
    <mergeCell ref="AX38:AX39"/>
    <mergeCell ref="AY38:AZ38"/>
    <mergeCell ref="B66:B69"/>
    <mergeCell ref="B70:C71"/>
    <mergeCell ref="D70:D71"/>
    <mergeCell ref="E70:E71"/>
    <mergeCell ref="F70:F71"/>
    <mergeCell ref="G70:G71"/>
    <mergeCell ref="H70:BF70"/>
    <mergeCell ref="AK38:AK39"/>
    <mergeCell ref="AL38:AM38"/>
    <mergeCell ref="AN38:AN39"/>
    <mergeCell ref="AO38:AP38"/>
    <mergeCell ref="AS38:AS39"/>
    <mergeCell ref="AU38:AU39"/>
    <mergeCell ref="X38:X39"/>
    <mergeCell ref="Y38:Y39"/>
    <mergeCell ref="AI38:AI39"/>
    <mergeCell ref="J54:R54"/>
    <mergeCell ref="V54:AD54"/>
    <mergeCell ref="J37:S37"/>
    <mergeCell ref="V37:AE37"/>
    <mergeCell ref="AH37:AP37"/>
    <mergeCell ref="K38:K39"/>
    <mergeCell ref="L38:L39"/>
    <mergeCell ref="M38:M39"/>
    <mergeCell ref="N38:O38"/>
    <mergeCell ref="P38:Q38"/>
    <mergeCell ref="R38:S38"/>
    <mergeCell ref="W38:W39"/>
    <mergeCell ref="J53:AZ53"/>
    <mergeCell ref="R20:S20"/>
    <mergeCell ref="W20:W21"/>
    <mergeCell ref="X20:X21"/>
    <mergeCell ref="Y20:Y21"/>
    <mergeCell ref="Z20:AA20"/>
    <mergeCell ref="AB20:AC20"/>
    <mergeCell ref="Z38:AA38"/>
    <mergeCell ref="AB38:AC38"/>
    <mergeCell ref="AD38:AE38"/>
    <mergeCell ref="A72:A161"/>
    <mergeCell ref="A193:A205"/>
    <mergeCell ref="J1:AE3"/>
    <mergeCell ref="J18:AZ18"/>
    <mergeCell ref="J19:S19"/>
    <mergeCell ref="V19:AE19"/>
    <mergeCell ref="AH19:AP19"/>
    <mergeCell ref="K20:K21"/>
    <mergeCell ref="L20:L21"/>
    <mergeCell ref="M20:M21"/>
    <mergeCell ref="N20:O20"/>
    <mergeCell ref="P20:Q20"/>
    <mergeCell ref="AS20:AS21"/>
    <mergeCell ref="AU20:AU21"/>
    <mergeCell ref="AV20:AW20"/>
    <mergeCell ref="AX20:AX21"/>
    <mergeCell ref="AY20:AZ20"/>
    <mergeCell ref="J36:AZ36"/>
    <mergeCell ref="AD20:AE20"/>
    <mergeCell ref="AI20:AI21"/>
    <mergeCell ref="AK20:AK21"/>
    <mergeCell ref="AL20:AM20"/>
    <mergeCell ref="AN20:AN21"/>
    <mergeCell ref="AO20:AP20"/>
  </mergeCells>
  <conditionalFormatting sqref="H96:BF103 H112:BF127 H141:BF141 H143:BF143 H145:BF145 H137:BF139">
    <cfRule type="cellIs" dxfId="99" priority="38" operator="between">
      <formula>$J$11</formula>
      <formula>$J$12</formula>
    </cfRule>
  </conditionalFormatting>
  <conditionalFormatting sqref="H147:BF149">
    <cfRule type="cellIs" dxfId="98" priority="37" operator="between">
      <formula>$J$11</formula>
      <formula>$J$12</formula>
    </cfRule>
  </conditionalFormatting>
  <conditionalFormatting sqref="H150:BF152">
    <cfRule type="cellIs" dxfId="97" priority="36" operator="between">
      <formula>$J$11</formula>
      <formula>$J$12</formula>
    </cfRule>
  </conditionalFormatting>
  <conditionalFormatting sqref="H153:BF155">
    <cfRule type="cellIs" dxfId="96" priority="35" operator="between">
      <formula>$J$11</formula>
      <formula>$J$12</formula>
    </cfRule>
  </conditionalFormatting>
  <conditionalFormatting sqref="H156:BF158">
    <cfRule type="cellIs" dxfId="95" priority="34" operator="between">
      <formula>$J$11</formula>
      <formula>$J$12</formula>
    </cfRule>
  </conditionalFormatting>
  <conditionalFormatting sqref="H159:BF161">
    <cfRule type="cellIs" dxfId="94" priority="33" operator="between">
      <formula>$J$11</formula>
      <formula>$J$12</formula>
    </cfRule>
  </conditionalFormatting>
  <conditionalFormatting sqref="H88:BF95">
    <cfRule type="cellIs" dxfId="93" priority="32" operator="between">
      <formula>$J$11</formula>
      <formula>$J$12</formula>
    </cfRule>
  </conditionalFormatting>
  <conditionalFormatting sqref="H80:BF87">
    <cfRule type="cellIs" dxfId="92" priority="31" operator="between">
      <formula>$J$11</formula>
      <formula>$J$12</formula>
    </cfRule>
  </conditionalFormatting>
  <conditionalFormatting sqref="H104:BF111">
    <cfRule type="cellIs" dxfId="91" priority="30" operator="between">
      <formula>$J$11</formula>
      <formula>$J$12</formula>
    </cfRule>
  </conditionalFormatting>
  <conditionalFormatting sqref="H72:BF79">
    <cfRule type="cellIs" dxfId="90" priority="29" operator="between">
      <formula>$J$11</formula>
      <formula>$J$12</formula>
    </cfRule>
  </conditionalFormatting>
  <conditionalFormatting sqref="H140:BF140">
    <cfRule type="cellIs" dxfId="89" priority="28" operator="between">
      <formula>$J$11</formula>
      <formula>$J$12</formula>
    </cfRule>
  </conditionalFormatting>
  <conditionalFormatting sqref="H142:BF142">
    <cfRule type="cellIs" dxfId="88" priority="27" operator="between">
      <formula>$J$11</formula>
      <formula>$J$12</formula>
    </cfRule>
  </conditionalFormatting>
  <conditionalFormatting sqref="H144:BF144">
    <cfRule type="cellIs" dxfId="87" priority="26" operator="between">
      <formula>$J$11</formula>
      <formula>$J$12</formula>
    </cfRule>
  </conditionalFormatting>
  <conditionalFormatting sqref="H193:BF216">
    <cfRule type="cellIs" dxfId="86" priority="42" operator="between">
      <formula>$J$11</formula>
      <formula>$J$12</formula>
    </cfRule>
  </conditionalFormatting>
  <conditionalFormatting sqref="H217:BF222">
    <cfRule type="cellIs" dxfId="85" priority="16" operator="between">
      <formula>$J$52</formula>
      <formula>$Q$54</formula>
    </cfRule>
  </conditionalFormatting>
  <conditionalFormatting sqref="H136:BF136 H128:BF130 H132:BF132 H134:BF134">
    <cfRule type="cellIs" dxfId="84" priority="15" operator="between">
      <formula>$J$11</formula>
      <formula>$J$12</formula>
    </cfRule>
  </conditionalFormatting>
  <conditionalFormatting sqref="H131:BF131">
    <cfRule type="cellIs" dxfId="83" priority="14" operator="between">
      <formula>$J$11</formula>
      <formula>$J$12</formula>
    </cfRule>
  </conditionalFormatting>
  <conditionalFormatting sqref="H133:BF133">
    <cfRule type="cellIs" dxfId="82" priority="13" operator="between">
      <formula>$J$11</formula>
      <formula>$J$12</formula>
    </cfRule>
  </conditionalFormatting>
  <conditionalFormatting sqref="H135:BF135">
    <cfRule type="cellIs" dxfId="81" priority="12" operator="between">
      <formula>$J$11</formula>
      <formula>$J$12</formula>
    </cfRule>
  </conditionalFormatting>
  <conditionalFormatting sqref="H146:BF146">
    <cfRule type="cellIs" dxfId="80" priority="11" operator="between">
      <formula>$J$11</formula>
      <formula>$J$12</formula>
    </cfRule>
  </conditionalFormatting>
  <conditionalFormatting sqref="H165:BF170 H180:BF180">
    <cfRule type="cellIs" dxfId="79" priority="10" operator="between">
      <formula>$J$11</formula>
      <formula>$J$12</formula>
    </cfRule>
  </conditionalFormatting>
  <conditionalFormatting sqref="H162:BF162">
    <cfRule type="cellIs" dxfId="78" priority="9" operator="between">
      <formula>$J$11</formula>
      <formula>$J$12</formula>
    </cfRule>
  </conditionalFormatting>
  <conditionalFormatting sqref="H171:BF176">
    <cfRule type="cellIs" dxfId="77" priority="8" operator="between">
      <formula>$J$11</formula>
      <formula>$J$12</formula>
    </cfRule>
  </conditionalFormatting>
  <conditionalFormatting sqref="H177:BF178">
    <cfRule type="cellIs" dxfId="76" priority="7" operator="between">
      <formula>$J$11</formula>
      <formula>$J$12</formula>
    </cfRule>
  </conditionalFormatting>
  <conditionalFormatting sqref="H179:BF179">
    <cfRule type="cellIs" dxfId="75" priority="6" operator="between">
      <formula>$J$11</formula>
      <formula>$J$12</formula>
    </cfRule>
  </conditionalFormatting>
  <conditionalFormatting sqref="H181:BF181">
    <cfRule type="cellIs" dxfId="74" priority="5" operator="between">
      <formula>$J$11</formula>
      <formula>$J$12</formula>
    </cfRule>
  </conditionalFormatting>
  <conditionalFormatting sqref="H182:BF182">
    <cfRule type="cellIs" dxfId="73" priority="4" operator="between">
      <formula>$J$11</formula>
      <formula>$J$12</formula>
    </cfRule>
  </conditionalFormatting>
  <conditionalFormatting sqref="H183:BF185">
    <cfRule type="cellIs" dxfId="72" priority="3" operator="between">
      <formula>$J$11</formula>
      <formula>$J$12</formula>
    </cfRule>
  </conditionalFormatting>
  <conditionalFormatting sqref="H186:BF186">
    <cfRule type="cellIs" dxfId="71" priority="2" operator="between">
      <formula>$J$11</formula>
      <formula>$J$12</formula>
    </cfRule>
  </conditionalFormatting>
  <conditionalFormatting sqref="H187:BF188">
    <cfRule type="cellIs" dxfId="70" priority="1" operator="between">
      <formula>$J$11</formula>
      <formula>$J$12</formula>
    </cfRule>
  </conditionalFormatting>
  <hyperlinks>
    <hyperlink ref="A1:I1" location="Главная!A1" display="Вернуться на главную страницу" xr:uid="{00000000-0004-0000-0500-000000000000}"/>
    <hyperlink ref="B72:C76" location="'55'!R1C1" display="ВК.055.160.ХХХ.2ТГ" xr:uid="{00000000-0004-0000-0500-000001000000}"/>
    <hyperlink ref="B80:C83" location="'65'!R1C1" display="ВК.065.160.ХХХ.2ТГ" xr:uid="{00000000-0004-0000-0500-000002000000}"/>
    <hyperlink ref="B89:C95" location="'70'!R1C1" display="ВК.070.200.ХХХ.2ТГ" xr:uid="{00000000-0004-0000-0500-000003000000}"/>
    <hyperlink ref="B96:C103" location="'75'!R1C1" display="ВК.075.160.ХХХ.2ТГ" xr:uid="{00000000-0004-0000-0500-000004000000}"/>
    <hyperlink ref="B104:C111" location="'80'!R1C1" display="ВК.080.160.ХХХ.2ТГ" xr:uid="{00000000-0004-0000-0500-000005000000}"/>
    <hyperlink ref="B112:C119" location="'90'!R1C1" display="ВК.090.160.ХХХ.2ТГ" xr:uid="{00000000-0004-0000-0500-000006000000}"/>
    <hyperlink ref="B120:C127" location="'110'!R1C1" display="ВК.110.160.ХХХ.2ТГ" xr:uid="{00000000-0004-0000-0500-000007000000}"/>
    <hyperlink ref="B137:C145" location="'150'!R1C1" display="ВК.150.160.ХХХ.4ТК" xr:uid="{00000000-0004-0000-0500-000008000000}"/>
    <hyperlink ref="B147:C149" location="'200'!R1C1" display="ВК.200.260.ХХХ.4ТК" xr:uid="{00000000-0004-0000-0500-000009000000}"/>
    <hyperlink ref="B150:C152" location="'300'!R1C1" display="ВК.300.260.ХХХ.4ТК" xr:uid="{00000000-0004-0000-0500-00000A000000}"/>
    <hyperlink ref="B153:C155" location="'400'!R1C1" display="ВК.400.260.ХХХ.4ТК" xr:uid="{00000000-0004-0000-0500-00000B000000}"/>
    <hyperlink ref="B156:C158" location="'500'!R1C1" display="ВК.500.260.ХХХ.4ТК" xr:uid="{00000000-0004-0000-0500-00000C000000}"/>
    <hyperlink ref="B159:C161" location="'600'!R1C1" display="ВК.600.260.ХХХ.4ТК" xr:uid="{00000000-0004-0000-0500-00000D000000}"/>
    <hyperlink ref="B193:C197" location="ВК.ЭКО.75!R1C1" display="ВК.ЭКО.075.160.ХХХ.2ТГ" xr:uid="{00000000-0004-0000-0500-00000E000000}"/>
    <hyperlink ref="B201:C205" location="ВК.ЭКО.90!R1C1" display="ВК.ЭКО.090.160.ХХХ.2ТГ" xr:uid="{00000000-0004-0000-0500-00000F000000}"/>
    <hyperlink ref="B128:C136" location="'140'!A1" display="ВК.140.160.ХХХ.4ТК" xr:uid="{00000000-0004-0000-0500-000010000000}"/>
    <hyperlink ref="B84:C84" location="'65'!R1C1" display="ВК.065.160.ХХХ.2ТГ" xr:uid="{00000000-0004-0000-0500-000011000000}"/>
    <hyperlink ref="B88:C88" location="'70'!R1C1" display="ВК.070.200.ХХХ.2ТГ" xr:uid="{00000000-0004-0000-0500-000012000000}"/>
    <hyperlink ref="B146:C146" location="'200'!R1C1" display="ВК.200.260.ХХХ.4ТК" xr:uid="{00000000-0004-0000-0500-000013000000}"/>
    <hyperlink ref="B165:C170" location="ВК.МАХ.90!R1C1" display="ВК.МАХ.090.200.ХХХ.2ТГ" xr:uid="{C50CD570-969E-4037-970D-38FA48A821AD}"/>
    <hyperlink ref="B171:C176" location="ВК.МАХ.110!R1C1" display="ВК.МАХ.110.200.ХХХ.2ТГ" xr:uid="{C93EB9A3-68BA-40B2-B80E-1FBDA1AA5F64}"/>
    <hyperlink ref="B177:C182" location="ВК.МАХ.150!R1C1" display="ВК.МАХ.150.200.ХХХ.2ТГ" xr:uid="{B8203890-A320-480E-8615-094936D0A5BC}"/>
    <hyperlink ref="B184:C187" location="ВК.МАХ.200!R1C1" display="ВК.МАХ.200.200.ХХХ.4ТК" xr:uid="{82F887B2-5039-47D7-A80F-E8E92B334AC9}"/>
    <hyperlink ref="B188:C188" location="ВК.МАХ.200!R1C1" display="ВК.МАХ.200.200.ХХХ.4ТК" xr:uid="{95F28E87-092C-480D-999C-AD9A2BDEBB81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8">
    <tabColor rgb="FF009999"/>
  </sheetPr>
  <dimension ref="A1:DF153"/>
  <sheetViews>
    <sheetView topLeftCell="R104" zoomScaleNormal="100" workbookViewId="0">
      <selection activeCell="L128" sqref="L128:BF128"/>
    </sheetView>
  </sheetViews>
  <sheetFormatPr defaultRowHeight="15"/>
  <cols>
    <col min="1" max="1" width="7.85546875" style="632" customWidth="1"/>
    <col min="2" max="2" width="29.28515625" style="632" customWidth="1"/>
    <col min="3" max="3" width="9" style="632" customWidth="1"/>
    <col min="4" max="7" width="6.140625" style="632" hidden="1" customWidth="1"/>
    <col min="8" max="9" width="6.42578125" style="632" hidden="1" customWidth="1"/>
    <col min="10" max="58" width="6.42578125" style="632" customWidth="1"/>
    <col min="59" max="110" width="0" style="632" hidden="1" customWidth="1"/>
    <col min="111" max="16384" width="9.140625" style="632"/>
  </cols>
  <sheetData>
    <row r="1" spans="1:58" s="74" customFormat="1" ht="16.5" customHeight="1">
      <c r="A1" s="354" t="s">
        <v>9</v>
      </c>
      <c r="B1" s="354"/>
      <c r="C1" s="354"/>
      <c r="D1" s="354"/>
      <c r="E1" s="354"/>
      <c r="F1" s="97"/>
      <c r="G1" s="354"/>
      <c r="H1" s="354"/>
      <c r="I1" s="354"/>
      <c r="J1" s="2099" t="s">
        <v>209</v>
      </c>
      <c r="K1" s="2100"/>
      <c r="L1" s="2100"/>
      <c r="M1" s="2100"/>
      <c r="N1" s="2100"/>
      <c r="O1" s="2100"/>
      <c r="P1" s="2100"/>
      <c r="Q1" s="2100"/>
      <c r="R1" s="2100"/>
      <c r="S1" s="2100"/>
      <c r="T1" s="2100"/>
      <c r="U1" s="2100"/>
      <c r="V1" s="2100"/>
      <c r="W1" s="2100"/>
      <c r="X1" s="2100"/>
      <c r="Y1" s="2100"/>
      <c r="Z1" s="2100"/>
      <c r="AA1" s="2100"/>
      <c r="AB1" s="2100"/>
      <c r="AC1" s="2100"/>
      <c r="AD1" s="2100"/>
      <c r="AE1" s="2100"/>
    </row>
    <row r="2" spans="1:58">
      <c r="J2" s="2099"/>
      <c r="K2" s="2100"/>
      <c r="L2" s="2100"/>
      <c r="M2" s="2100"/>
      <c r="N2" s="2100"/>
      <c r="O2" s="2100"/>
      <c r="P2" s="2100"/>
      <c r="Q2" s="2100"/>
      <c r="R2" s="2100"/>
      <c r="S2" s="2100"/>
      <c r="T2" s="2100"/>
      <c r="U2" s="2100"/>
      <c r="V2" s="2100"/>
      <c r="W2" s="2100"/>
      <c r="X2" s="2100"/>
      <c r="Y2" s="2100"/>
      <c r="Z2" s="2100"/>
      <c r="AA2" s="2100"/>
      <c r="AB2" s="2100"/>
      <c r="AC2" s="2100"/>
      <c r="AD2" s="2100"/>
      <c r="AE2" s="2100"/>
    </row>
    <row r="3" spans="1:58" ht="15.75" thickBot="1">
      <c r="B3" s="633" t="s">
        <v>210</v>
      </c>
      <c r="J3" s="2100"/>
      <c r="K3" s="2100"/>
      <c r="L3" s="2100"/>
      <c r="M3" s="2100"/>
      <c r="N3" s="2100"/>
      <c r="O3" s="2100"/>
      <c r="P3" s="2100"/>
      <c r="Q3" s="2100"/>
      <c r="R3" s="2100"/>
      <c r="S3" s="2100"/>
      <c r="T3" s="2100"/>
      <c r="U3" s="2100"/>
      <c r="V3" s="2100"/>
      <c r="W3" s="2100"/>
      <c r="X3" s="2100"/>
      <c r="Y3" s="2100"/>
      <c r="Z3" s="2100"/>
      <c r="AA3" s="2100"/>
      <c r="AB3" s="2100"/>
      <c r="AC3" s="2100"/>
      <c r="AD3" s="2100"/>
      <c r="AE3" s="2100"/>
    </row>
    <row r="4" spans="1:58" ht="26.25" customHeight="1" thickBot="1">
      <c r="C4" s="634" t="s">
        <v>211</v>
      </c>
      <c r="D4" s="702"/>
      <c r="E4" s="702"/>
      <c r="F4" s="702"/>
      <c r="G4" s="702"/>
      <c r="H4" s="993">
        <v>350</v>
      </c>
    </row>
    <row r="5" spans="1:58">
      <c r="B5" s="357" t="s">
        <v>212</v>
      </c>
      <c r="C5" s="635">
        <v>95</v>
      </c>
      <c r="D5" s="359"/>
      <c r="E5" s="359"/>
      <c r="F5" s="359"/>
      <c r="G5" s="359"/>
      <c r="I5" s="636"/>
      <c r="J5" s="637"/>
      <c r="K5" s="636"/>
      <c r="L5" s="637"/>
      <c r="M5" s="636"/>
      <c r="N5" s="636"/>
      <c r="O5" s="636"/>
      <c r="P5" s="636"/>
      <c r="Q5" s="636"/>
      <c r="R5" s="636"/>
      <c r="S5" s="636"/>
      <c r="T5" s="636"/>
      <c r="U5" s="636"/>
      <c r="V5" s="636"/>
      <c r="W5" s="636"/>
      <c r="X5" s="636"/>
      <c r="Y5" s="636"/>
      <c r="Z5" s="636"/>
      <c r="AA5" s="636"/>
      <c r="AB5" s="636"/>
      <c r="AC5" s="636"/>
      <c r="AD5" s="636"/>
      <c r="AE5" s="636"/>
      <c r="AF5" s="636"/>
      <c r="AG5" s="636"/>
      <c r="AH5" s="636"/>
      <c r="AI5" s="636"/>
      <c r="AJ5" s="636"/>
      <c r="AK5" s="636"/>
      <c r="AL5" s="636"/>
      <c r="AM5" s="636"/>
      <c r="AN5" s="636"/>
      <c r="AO5" s="636"/>
      <c r="AP5" s="636"/>
      <c r="AQ5" s="636"/>
      <c r="AR5" s="636"/>
      <c r="AS5" s="636"/>
      <c r="AT5" s="636"/>
      <c r="AU5" s="636"/>
      <c r="AV5" s="636"/>
      <c r="AW5" s="636"/>
      <c r="AX5" s="636"/>
      <c r="AY5" s="636"/>
      <c r="AZ5" s="636"/>
      <c r="BA5" s="636"/>
      <c r="BB5" s="636"/>
      <c r="BC5" s="636"/>
      <c r="BD5" s="636"/>
      <c r="BE5" s="638"/>
      <c r="BF5" s="638"/>
    </row>
    <row r="6" spans="1:58">
      <c r="B6" s="361" t="s">
        <v>213</v>
      </c>
      <c r="C6" s="639">
        <v>85</v>
      </c>
      <c r="D6" s="359"/>
      <c r="E6" s="359"/>
      <c r="F6" s="359"/>
      <c r="G6" s="359"/>
      <c r="I6" s="636"/>
      <c r="J6" s="636"/>
      <c r="K6" s="636"/>
      <c r="L6" s="637"/>
      <c r="M6" s="636"/>
      <c r="N6" s="636"/>
      <c r="O6" s="636"/>
      <c r="P6" s="636"/>
      <c r="Q6" s="636"/>
      <c r="R6" s="636"/>
      <c r="S6" s="636"/>
      <c r="T6" s="636"/>
      <c r="U6" s="636"/>
      <c r="V6" s="636"/>
      <c r="W6" s="636"/>
      <c r="X6" s="636"/>
      <c r="Y6" s="636"/>
      <c r="Z6" s="636"/>
      <c r="AA6" s="636"/>
      <c r="AB6" s="636"/>
      <c r="AC6" s="636"/>
      <c r="AD6" s="636"/>
      <c r="AE6" s="636"/>
      <c r="AF6" s="636"/>
      <c r="AG6" s="636"/>
      <c r="AH6" s="636"/>
      <c r="AI6" s="636"/>
      <c r="AJ6" s="636"/>
      <c r="AK6" s="636"/>
      <c r="AL6" s="636"/>
      <c r="AM6" s="636"/>
      <c r="AN6" s="636"/>
      <c r="AO6" s="636"/>
      <c r="AP6" s="636"/>
      <c r="AQ6" s="636"/>
      <c r="AR6" s="636"/>
      <c r="AS6" s="636"/>
      <c r="AT6" s="636"/>
      <c r="AU6" s="636"/>
      <c r="AV6" s="636"/>
      <c r="AW6" s="636"/>
      <c r="AX6" s="636"/>
      <c r="AY6" s="636"/>
      <c r="AZ6" s="636"/>
      <c r="BA6" s="636"/>
      <c r="BB6" s="636"/>
      <c r="BC6" s="636"/>
      <c r="BD6" s="636"/>
      <c r="BE6" s="638"/>
      <c r="BF6" s="638"/>
    </row>
    <row r="7" spans="1:58">
      <c r="B7" s="361" t="s">
        <v>214</v>
      </c>
      <c r="C7" s="639">
        <v>20</v>
      </c>
      <c r="D7" s="359"/>
      <c r="E7" s="359"/>
      <c r="F7" s="359"/>
      <c r="G7" s="359"/>
      <c r="I7" s="636"/>
      <c r="J7" s="636"/>
      <c r="K7" s="636"/>
      <c r="L7" s="637"/>
      <c r="M7" s="636"/>
      <c r="N7" s="636"/>
      <c r="O7" s="636"/>
      <c r="P7" s="636"/>
      <c r="Q7" s="636"/>
      <c r="R7" s="636"/>
      <c r="S7" s="636"/>
      <c r="T7" s="636"/>
      <c r="U7" s="636"/>
      <c r="V7" s="636"/>
      <c r="W7" s="636"/>
      <c r="X7" s="636"/>
      <c r="Y7" s="636"/>
      <c r="Z7" s="636"/>
      <c r="AA7" s="636"/>
      <c r="AB7" s="636"/>
      <c r="AC7" s="636"/>
      <c r="AD7" s="636"/>
      <c r="AE7" s="636"/>
      <c r="AF7" s="636"/>
      <c r="AG7" s="636"/>
      <c r="AH7" s="636"/>
      <c r="AI7" s="636"/>
      <c r="AJ7" s="636"/>
      <c r="AK7" s="636"/>
      <c r="AL7" s="636"/>
      <c r="AM7" s="636"/>
      <c r="AN7" s="636"/>
      <c r="AO7" s="636"/>
      <c r="AP7" s="636"/>
      <c r="AQ7" s="636"/>
      <c r="AR7" s="636"/>
      <c r="AS7" s="636"/>
      <c r="AT7" s="636"/>
      <c r="AU7" s="636"/>
      <c r="AV7" s="636"/>
      <c r="AW7" s="636"/>
      <c r="AX7" s="636"/>
      <c r="AY7" s="636"/>
      <c r="AZ7" s="636"/>
      <c r="BA7" s="636"/>
      <c r="BB7" s="636"/>
      <c r="BC7" s="636"/>
      <c r="BD7" s="636"/>
      <c r="BE7" s="638"/>
      <c r="BF7" s="638"/>
    </row>
    <row r="8" spans="1:58" ht="15.75" thickBot="1">
      <c r="B8" s="640" t="s">
        <v>215</v>
      </c>
      <c r="C8" s="641">
        <f>(C5+C6)/2-C7</f>
        <v>70</v>
      </c>
      <c r="D8" s="643"/>
      <c r="E8" s="643"/>
      <c r="F8" s="643"/>
      <c r="G8" s="643"/>
      <c r="I8" s="636"/>
      <c r="J8" s="636"/>
      <c r="K8" s="636"/>
      <c r="L8" s="637"/>
      <c r="M8" s="636"/>
      <c r="N8" s="636"/>
      <c r="O8" s="636"/>
      <c r="P8" s="636"/>
      <c r="Q8" s="636"/>
      <c r="R8" s="636"/>
      <c r="S8" s="636"/>
      <c r="T8" s="636"/>
      <c r="U8" s="636"/>
      <c r="V8" s="636"/>
      <c r="W8" s="636"/>
      <c r="X8" s="636"/>
      <c r="Y8" s="636"/>
      <c r="Z8" s="636"/>
      <c r="AA8" s="636"/>
      <c r="AB8" s="636"/>
      <c r="AC8" s="636"/>
      <c r="AD8" s="636"/>
      <c r="AE8" s="636"/>
      <c r="AF8" s="636"/>
      <c r="AG8" s="636"/>
      <c r="AH8" s="636"/>
      <c r="AI8" s="636"/>
      <c r="AJ8" s="636"/>
      <c r="AK8" s="636"/>
      <c r="AL8" s="636"/>
      <c r="AM8" s="636"/>
      <c r="AN8" s="636"/>
      <c r="AO8" s="636"/>
      <c r="AP8" s="636"/>
      <c r="AQ8" s="636"/>
      <c r="AR8" s="636"/>
      <c r="AS8" s="636"/>
      <c r="AT8" s="636"/>
      <c r="AU8" s="636"/>
      <c r="AV8" s="636"/>
      <c r="AW8" s="636"/>
      <c r="AX8" s="636"/>
      <c r="AY8" s="636"/>
      <c r="AZ8" s="636"/>
      <c r="BA8" s="636"/>
      <c r="BB8" s="636"/>
      <c r="BC8" s="636"/>
      <c r="BD8" s="636"/>
      <c r="BE8" s="638"/>
      <c r="BF8" s="638"/>
    </row>
    <row r="9" spans="1:58" ht="15.75" thickBot="1">
      <c r="B9" s="642"/>
      <c r="C9" s="643"/>
      <c r="D9" s="643"/>
      <c r="E9" s="643"/>
      <c r="F9" s="643"/>
      <c r="G9" s="643"/>
      <c r="I9" s="636"/>
      <c r="J9" s="636"/>
      <c r="K9" s="636"/>
      <c r="L9" s="637"/>
      <c r="M9" s="636"/>
      <c r="N9" s="636"/>
      <c r="O9" s="636"/>
      <c r="P9" s="636"/>
      <c r="Q9" s="636"/>
      <c r="R9" s="636"/>
      <c r="S9" s="636"/>
      <c r="T9" s="636"/>
      <c r="U9" s="636"/>
      <c r="V9" s="636"/>
      <c r="W9" s="636"/>
      <c r="X9" s="636"/>
      <c r="Y9" s="636"/>
      <c r="Z9" s="636"/>
      <c r="AA9" s="636"/>
      <c r="AB9" s="636"/>
      <c r="AC9" s="636"/>
      <c r="AD9" s="636"/>
      <c r="AE9" s="636"/>
      <c r="AF9" s="636"/>
      <c r="AG9" s="636"/>
      <c r="AH9" s="636"/>
      <c r="AI9" s="636"/>
      <c r="AJ9" s="636"/>
      <c r="AK9" s="636"/>
      <c r="AL9" s="636"/>
      <c r="AM9" s="636"/>
      <c r="AN9" s="636"/>
      <c r="AO9" s="636"/>
      <c r="AP9" s="636"/>
      <c r="AQ9" s="636"/>
      <c r="AR9" s="636"/>
      <c r="AS9" s="636"/>
      <c r="AT9" s="636"/>
      <c r="AU9" s="636"/>
      <c r="AV9" s="636"/>
      <c r="AW9" s="636"/>
      <c r="AX9" s="636"/>
      <c r="AY9" s="636"/>
      <c r="AZ9" s="636"/>
      <c r="BA9" s="636"/>
      <c r="BB9" s="636"/>
      <c r="BC9" s="636"/>
      <c r="BD9" s="636"/>
      <c r="BE9" s="638"/>
      <c r="BF9" s="638"/>
    </row>
    <row r="10" spans="1:58">
      <c r="B10" s="644" t="s">
        <v>314</v>
      </c>
      <c r="C10" s="358">
        <v>2000</v>
      </c>
      <c r="D10" s="359"/>
      <c r="E10" s="359"/>
      <c r="F10" s="359"/>
      <c r="G10" s="359"/>
      <c r="I10" s="637"/>
      <c r="J10" s="637"/>
      <c r="K10" s="636"/>
      <c r="L10" s="637"/>
      <c r="M10" s="636"/>
      <c r="N10" s="636"/>
      <c r="O10" s="636"/>
      <c r="P10" s="636"/>
      <c r="Q10" s="636"/>
      <c r="R10" s="636"/>
      <c r="S10" s="636"/>
      <c r="T10" s="636"/>
      <c r="U10" s="636"/>
      <c r="V10" s="636"/>
      <c r="W10" s="636"/>
      <c r="X10" s="636"/>
      <c r="Y10" s="636"/>
      <c r="Z10" s="636"/>
      <c r="AA10" s="636"/>
      <c r="AB10" s="636"/>
      <c r="AC10" s="636"/>
      <c r="AD10" s="636"/>
      <c r="AE10" s="636"/>
      <c r="AF10" s="636"/>
      <c r="AG10" s="636"/>
      <c r="AH10" s="636"/>
      <c r="AI10" s="636"/>
      <c r="AJ10" s="636"/>
      <c r="AK10" s="636"/>
      <c r="AL10" s="636"/>
      <c r="AM10" s="636"/>
      <c r="AN10" s="636"/>
      <c r="AO10" s="636"/>
      <c r="AP10" s="636"/>
      <c r="AQ10" s="636"/>
      <c r="AR10" s="636"/>
      <c r="AS10" s="636"/>
      <c r="AT10" s="636"/>
      <c r="AU10" s="636"/>
      <c r="AV10" s="636"/>
      <c r="AW10" s="636"/>
      <c r="AX10" s="636"/>
      <c r="AY10" s="636"/>
      <c r="AZ10" s="636"/>
      <c r="BA10" s="636"/>
      <c r="BB10" s="636"/>
      <c r="BC10" s="636"/>
      <c r="BD10" s="636"/>
      <c r="BE10" s="638"/>
      <c r="BF10" s="638"/>
    </row>
    <row r="11" spans="1:58" ht="14.25" customHeight="1">
      <c r="B11" s="645" t="s">
        <v>217</v>
      </c>
      <c r="C11" s="362">
        <v>5</v>
      </c>
      <c r="D11" s="359"/>
      <c r="E11" s="359"/>
      <c r="F11" s="359"/>
      <c r="G11" s="359"/>
      <c r="I11" s="637"/>
      <c r="J11" s="646">
        <f>C10*(C11/100+1)</f>
        <v>2100</v>
      </c>
      <c r="K11" s="636"/>
      <c r="L11" s="637"/>
      <c r="M11" s="636"/>
      <c r="N11" s="636"/>
      <c r="O11" s="636"/>
      <c r="P11" s="636"/>
      <c r="Q11" s="636"/>
      <c r="R11" s="636"/>
      <c r="S11" s="636"/>
      <c r="T11" s="636"/>
      <c r="U11" s="636"/>
      <c r="V11" s="636"/>
      <c r="W11" s="636"/>
      <c r="X11" s="636"/>
      <c r="Y11" s="636"/>
      <c r="Z11" s="636"/>
      <c r="AA11" s="636"/>
      <c r="AB11" s="636"/>
      <c r="AC11" s="636"/>
      <c r="AD11" s="636"/>
      <c r="AE11" s="636"/>
      <c r="AF11" s="636"/>
      <c r="AG11" s="636"/>
      <c r="AH11" s="636"/>
      <c r="AI11" s="636"/>
      <c r="AJ11" s="636"/>
      <c r="AK11" s="636"/>
      <c r="AL11" s="636"/>
      <c r="AM11" s="636"/>
      <c r="AN11" s="636"/>
      <c r="AO11" s="636"/>
      <c r="AP11" s="636"/>
      <c r="AQ11" s="636"/>
      <c r="AR11" s="636"/>
      <c r="AS11" s="636"/>
      <c r="AT11" s="636"/>
      <c r="AU11" s="636"/>
      <c r="AV11" s="636"/>
      <c r="AW11" s="636"/>
      <c r="AX11" s="636"/>
      <c r="AY11" s="636"/>
      <c r="AZ11" s="636"/>
      <c r="BA11" s="636"/>
      <c r="BB11" s="636"/>
      <c r="BC11" s="636"/>
      <c r="BD11" s="636"/>
      <c r="BE11" s="638"/>
      <c r="BF11" s="638"/>
    </row>
    <row r="12" spans="1:58" ht="14.25" customHeight="1" thickBot="1">
      <c r="B12" s="647" t="s">
        <v>218</v>
      </c>
      <c r="C12" s="370">
        <v>4</v>
      </c>
      <c r="D12" s="359"/>
      <c r="E12" s="359"/>
      <c r="F12" s="359"/>
      <c r="G12" s="359"/>
      <c r="I12" s="637"/>
      <c r="J12" s="646">
        <f>C10*ABS(C12/100-1)</f>
        <v>1920</v>
      </c>
      <c r="K12" s="636"/>
      <c r="L12" s="637"/>
      <c r="M12" s="636"/>
      <c r="N12" s="636"/>
      <c r="O12" s="636"/>
      <c r="P12" s="636"/>
      <c r="Q12" s="636"/>
      <c r="R12" s="636"/>
      <c r="S12" s="636"/>
      <c r="T12" s="636"/>
      <c r="U12" s="636"/>
      <c r="V12" s="636"/>
      <c r="W12" s="636"/>
      <c r="X12" s="636"/>
      <c r="Y12" s="636"/>
      <c r="Z12" s="636"/>
      <c r="AA12" s="636"/>
      <c r="AB12" s="636"/>
      <c r="AC12" s="636"/>
      <c r="AD12" s="636"/>
      <c r="AE12" s="636"/>
      <c r="AF12" s="636"/>
      <c r="AG12" s="636"/>
      <c r="AH12" s="636"/>
      <c r="AI12" s="636"/>
      <c r="AJ12" s="636"/>
      <c r="AK12" s="636"/>
      <c r="AL12" s="636"/>
      <c r="AM12" s="636"/>
      <c r="AN12" s="636"/>
      <c r="AO12" s="636"/>
      <c r="AP12" s="636"/>
      <c r="AQ12" s="636"/>
      <c r="AR12" s="636"/>
      <c r="AS12" s="636"/>
      <c r="AT12" s="636"/>
      <c r="AU12" s="636"/>
      <c r="AV12" s="636"/>
      <c r="AW12" s="636"/>
      <c r="AX12" s="636"/>
      <c r="AY12" s="636"/>
      <c r="AZ12" s="636"/>
      <c r="BA12" s="636"/>
      <c r="BB12" s="636"/>
      <c r="BC12" s="636"/>
      <c r="BD12" s="636"/>
      <c r="BE12" s="638"/>
      <c r="BF12" s="638"/>
    </row>
    <row r="13" spans="1:58" ht="15.75" customHeight="1" thickBot="1">
      <c r="B13" s="648" t="s">
        <v>315</v>
      </c>
      <c r="C13" s="649">
        <v>3</v>
      </c>
      <c r="D13" s="359"/>
      <c r="E13" s="359"/>
      <c r="F13" s="359"/>
      <c r="G13" s="359"/>
      <c r="I13" s="637"/>
      <c r="J13" s="646"/>
      <c r="K13" s="636"/>
      <c r="L13" s="637"/>
      <c r="M13" s="636"/>
      <c r="N13" s="636"/>
      <c r="O13" s="636"/>
      <c r="P13" s="636"/>
      <c r="Q13" s="636"/>
      <c r="R13" s="636"/>
      <c r="S13" s="636"/>
      <c r="T13" s="636"/>
      <c r="U13" s="636"/>
      <c r="V13" s="636"/>
      <c r="W13" s="636"/>
      <c r="X13" s="636"/>
      <c r="Y13" s="636"/>
      <c r="Z13" s="636"/>
      <c r="AA13" s="636"/>
      <c r="AB13" s="636"/>
      <c r="AC13" s="636"/>
      <c r="AD13" s="636"/>
      <c r="AE13" s="636"/>
      <c r="AF13" s="636"/>
      <c r="AG13" s="636"/>
      <c r="AH13" s="636"/>
      <c r="AI13" s="636"/>
      <c r="AJ13" s="636"/>
      <c r="AK13" s="636"/>
      <c r="AL13" s="636"/>
      <c r="AM13" s="636"/>
      <c r="AN13" s="636"/>
      <c r="AO13" s="636"/>
      <c r="AP13" s="636"/>
      <c r="AQ13" s="636"/>
      <c r="AR13" s="636"/>
      <c r="AS13" s="636"/>
      <c r="AT13" s="636"/>
      <c r="AU13" s="636"/>
      <c r="AV13" s="636"/>
      <c r="AW13" s="636"/>
      <c r="AX13" s="636"/>
      <c r="AY13" s="636"/>
      <c r="AZ13" s="636"/>
      <c r="BA13" s="636"/>
      <c r="BB13" s="636"/>
      <c r="BC13" s="636"/>
      <c r="BD13" s="636"/>
      <c r="BE13" s="638"/>
      <c r="BF13" s="638"/>
    </row>
    <row r="14" spans="1:58" ht="15.75" customHeight="1">
      <c r="B14" s="642"/>
      <c r="C14" s="650"/>
      <c r="D14" s="359"/>
      <c r="E14" s="359"/>
      <c r="F14" s="359"/>
      <c r="G14" s="359"/>
      <c r="I14" s="637"/>
      <c r="J14" s="646"/>
      <c r="K14" s="636"/>
      <c r="L14" s="637"/>
      <c r="M14" s="636"/>
      <c r="N14" s="636"/>
      <c r="O14" s="636"/>
      <c r="P14" s="636"/>
      <c r="Q14" s="636"/>
      <c r="R14" s="636"/>
      <c r="S14" s="636"/>
      <c r="T14" s="636"/>
      <c r="U14" s="636"/>
      <c r="V14" s="636"/>
      <c r="W14" s="636"/>
      <c r="X14" s="636"/>
      <c r="Y14" s="636"/>
      <c r="Z14" s="636"/>
      <c r="AA14" s="636"/>
      <c r="AB14" s="636"/>
      <c r="AC14" s="636"/>
      <c r="AD14" s="636"/>
      <c r="AE14" s="636"/>
      <c r="AF14" s="636"/>
      <c r="AG14" s="636"/>
      <c r="AH14" s="636"/>
      <c r="AI14" s="636"/>
      <c r="AJ14" s="636"/>
      <c r="AK14" s="636"/>
      <c r="AL14" s="636"/>
      <c r="AM14" s="636"/>
      <c r="AN14" s="636"/>
      <c r="AO14" s="636"/>
      <c r="AP14" s="636"/>
      <c r="AQ14" s="636"/>
      <c r="AR14" s="636"/>
      <c r="AS14" s="636"/>
      <c r="AT14" s="636"/>
      <c r="AU14" s="636"/>
      <c r="AV14" s="636"/>
      <c r="AW14" s="636"/>
      <c r="AX14" s="636"/>
      <c r="AY14" s="636"/>
      <c r="AZ14" s="636"/>
      <c r="BA14" s="636"/>
      <c r="BB14" s="636"/>
      <c r="BC14" s="636"/>
      <c r="BD14" s="636"/>
      <c r="BE14" s="638"/>
      <c r="BF14" s="638"/>
    </row>
    <row r="15" spans="1:58" ht="15.75" customHeight="1">
      <c r="B15" s="642"/>
      <c r="C15" s="650"/>
      <c r="D15" s="359"/>
      <c r="E15" s="359"/>
      <c r="F15" s="359"/>
      <c r="G15" s="359"/>
      <c r="I15" s="637"/>
      <c r="J15" s="646"/>
      <c r="K15" s="636"/>
      <c r="L15" s="637"/>
      <c r="M15" s="636"/>
      <c r="N15" s="636"/>
      <c r="O15" s="636"/>
      <c r="P15" s="636"/>
      <c r="Q15" s="636"/>
      <c r="R15" s="636"/>
      <c r="S15" s="636"/>
      <c r="T15" s="636"/>
      <c r="U15" s="636"/>
      <c r="V15" s="636"/>
      <c r="W15" s="636"/>
      <c r="X15" s="636"/>
      <c r="Y15" s="636"/>
      <c r="Z15" s="636"/>
      <c r="AA15" s="636"/>
      <c r="AB15" s="636"/>
      <c r="AC15" s="636"/>
      <c r="AD15" s="636"/>
      <c r="AE15" s="636"/>
      <c r="AF15" s="636"/>
      <c r="AG15" s="636"/>
      <c r="AH15" s="636"/>
      <c r="AI15" s="636"/>
      <c r="AJ15" s="636"/>
      <c r="AK15" s="636"/>
      <c r="AL15" s="636"/>
      <c r="AM15" s="636"/>
      <c r="AN15" s="636"/>
      <c r="AO15" s="636"/>
      <c r="AP15" s="636"/>
      <c r="AQ15" s="636"/>
      <c r="AR15" s="636"/>
      <c r="AS15" s="636"/>
      <c r="AT15" s="636"/>
      <c r="AU15" s="636"/>
      <c r="AV15" s="636"/>
      <c r="AW15" s="636"/>
      <c r="AX15" s="636"/>
      <c r="AY15" s="636"/>
      <c r="AZ15" s="636"/>
      <c r="BA15" s="636"/>
      <c r="BB15" s="636"/>
      <c r="BC15" s="636"/>
      <c r="BD15" s="636"/>
      <c r="BE15" s="638"/>
      <c r="BF15" s="638"/>
    </row>
    <row r="16" spans="1:58" ht="15.75" customHeight="1">
      <c r="B16" s="642"/>
      <c r="C16" s="650"/>
      <c r="D16" s="359"/>
      <c r="E16" s="359"/>
      <c r="F16" s="359"/>
      <c r="G16" s="359"/>
      <c r="I16" s="637"/>
      <c r="J16" s="646"/>
      <c r="K16" s="636"/>
      <c r="L16" s="637"/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6"/>
      <c r="X16" s="636"/>
      <c r="Y16" s="636"/>
      <c r="Z16" s="636"/>
      <c r="AA16" s="636"/>
      <c r="AB16" s="636"/>
      <c r="AC16" s="636"/>
      <c r="AD16" s="636"/>
      <c r="AE16" s="636"/>
      <c r="AF16" s="636"/>
      <c r="AG16" s="636"/>
      <c r="AH16" s="636"/>
      <c r="AI16" s="636"/>
      <c r="AJ16" s="636"/>
      <c r="AK16" s="636"/>
      <c r="AL16" s="636"/>
      <c r="AM16" s="636"/>
      <c r="AN16" s="636"/>
      <c r="AO16" s="636"/>
      <c r="AP16" s="636"/>
      <c r="AQ16" s="636"/>
      <c r="AR16" s="636"/>
      <c r="AS16" s="636"/>
      <c r="AT16" s="636"/>
      <c r="AU16" s="636"/>
      <c r="AV16" s="636"/>
      <c r="AW16" s="636"/>
      <c r="AX16" s="636"/>
      <c r="AY16" s="636"/>
      <c r="AZ16" s="636"/>
      <c r="BA16" s="636"/>
      <c r="BB16" s="636"/>
      <c r="BC16" s="636"/>
      <c r="BD16" s="636"/>
      <c r="BE16" s="638"/>
      <c r="BF16" s="638"/>
    </row>
    <row r="17" spans="2:58" ht="15.75" customHeight="1">
      <c r="B17" s="642"/>
      <c r="C17" s="650"/>
      <c r="D17" s="359"/>
      <c r="E17" s="359"/>
      <c r="F17" s="359"/>
      <c r="G17" s="359"/>
      <c r="I17" s="637"/>
      <c r="J17" s="646"/>
      <c r="K17" s="636"/>
      <c r="L17" s="637"/>
      <c r="M17" s="636"/>
      <c r="N17" s="636"/>
      <c r="O17" s="636"/>
      <c r="P17" s="636"/>
      <c r="Q17" s="636"/>
      <c r="R17" s="636"/>
      <c r="S17" s="636"/>
      <c r="T17" s="636"/>
      <c r="U17" s="636"/>
      <c r="V17" s="636"/>
      <c r="W17" s="636"/>
      <c r="X17" s="636"/>
      <c r="Y17" s="636"/>
      <c r="Z17" s="636"/>
      <c r="AA17" s="636"/>
      <c r="AB17" s="636"/>
      <c r="AC17" s="636"/>
      <c r="AD17" s="636"/>
      <c r="AE17" s="636"/>
      <c r="AF17" s="636"/>
      <c r="AG17" s="636"/>
      <c r="AH17" s="636"/>
      <c r="AI17" s="636"/>
      <c r="AJ17" s="636"/>
      <c r="AK17" s="636"/>
      <c r="AL17" s="636"/>
      <c r="AM17" s="636"/>
      <c r="AN17" s="636"/>
      <c r="AO17" s="636"/>
      <c r="AP17" s="636"/>
      <c r="AQ17" s="636"/>
      <c r="AR17" s="636"/>
      <c r="AS17" s="636"/>
      <c r="AT17" s="636"/>
      <c r="AU17" s="636"/>
      <c r="AV17" s="636"/>
      <c r="AW17" s="636"/>
      <c r="AX17" s="636"/>
      <c r="AY17" s="636"/>
      <c r="AZ17" s="636"/>
      <c r="BA17" s="636"/>
      <c r="BB17" s="636"/>
      <c r="BC17" s="636"/>
      <c r="BD17" s="636"/>
      <c r="BE17" s="638"/>
      <c r="BF17" s="638"/>
    </row>
    <row r="18" spans="2:58" ht="15.75" hidden="1" customHeight="1">
      <c r="B18" s="642"/>
      <c r="C18" s="650"/>
      <c r="D18" s="359"/>
      <c r="E18" s="359"/>
      <c r="F18" s="359"/>
      <c r="G18" s="359"/>
      <c r="I18" s="637"/>
      <c r="J18" s="646"/>
      <c r="K18" s="636"/>
      <c r="L18" s="637"/>
      <c r="M18" s="636"/>
      <c r="N18" s="636"/>
      <c r="O18" s="636"/>
      <c r="P18" s="636"/>
      <c r="Q18" s="636"/>
      <c r="R18" s="636"/>
      <c r="S18" s="636"/>
      <c r="T18" s="636"/>
      <c r="U18" s="636"/>
      <c r="V18" s="636"/>
      <c r="W18" s="636"/>
      <c r="X18" s="636"/>
      <c r="Y18" s="636"/>
      <c r="Z18" s="636"/>
      <c r="AA18" s="636"/>
      <c r="AB18" s="636"/>
      <c r="AC18" s="636"/>
      <c r="AD18" s="636"/>
      <c r="AE18" s="636"/>
      <c r="AF18" s="636"/>
      <c r="AG18" s="636"/>
      <c r="AH18" s="636"/>
      <c r="AI18" s="636"/>
      <c r="AJ18" s="636"/>
      <c r="AK18" s="636"/>
      <c r="AL18" s="636"/>
      <c r="AM18" s="636"/>
      <c r="AN18" s="636"/>
      <c r="AO18" s="636"/>
      <c r="AP18" s="636"/>
      <c r="AQ18" s="636"/>
      <c r="AR18" s="636"/>
      <c r="AS18" s="636"/>
      <c r="AT18" s="636"/>
      <c r="AU18" s="636"/>
      <c r="AV18" s="636"/>
      <c r="AW18" s="636"/>
      <c r="AX18" s="636"/>
      <c r="AY18" s="636"/>
      <c r="AZ18" s="636"/>
      <c r="BA18" s="636"/>
      <c r="BB18" s="636"/>
      <c r="BC18" s="636"/>
      <c r="BD18" s="636"/>
      <c r="BE18" s="638"/>
      <c r="BF18" s="638"/>
    </row>
    <row r="19" spans="2:58" ht="14.25" hidden="1" customHeight="1" thickBot="1">
      <c r="C19" s="650"/>
      <c r="D19" s="650"/>
      <c r="E19" s="650"/>
      <c r="F19" s="650"/>
      <c r="G19" s="650"/>
      <c r="H19" s="636"/>
      <c r="I19" s="636"/>
      <c r="J19" s="636"/>
      <c r="K19" s="636"/>
      <c r="L19" s="636"/>
      <c r="M19" s="636"/>
      <c r="N19" s="636"/>
      <c r="O19" s="636"/>
      <c r="P19" s="636"/>
      <c r="Q19" s="636"/>
      <c r="R19" s="636"/>
      <c r="S19" s="636"/>
      <c r="T19" s="636"/>
      <c r="U19" s="636"/>
      <c r="V19" s="636"/>
      <c r="W19" s="636"/>
      <c r="X19" s="636"/>
      <c r="Y19" s="636"/>
      <c r="Z19" s="636"/>
      <c r="AA19" s="636"/>
      <c r="AB19" s="636"/>
      <c r="AC19" s="636"/>
      <c r="AD19" s="636"/>
      <c r="AE19" s="636"/>
      <c r="AF19" s="636"/>
      <c r="AG19" s="636"/>
      <c r="AH19" s="636"/>
      <c r="AI19" s="636"/>
      <c r="AJ19" s="636"/>
      <c r="AK19" s="636"/>
      <c r="AL19" s="636"/>
      <c r="AM19" s="636"/>
      <c r="AN19" s="636"/>
      <c r="AO19" s="636"/>
      <c r="AP19" s="636"/>
      <c r="AQ19" s="636"/>
      <c r="AR19" s="636"/>
      <c r="AS19" s="636"/>
      <c r="AT19" s="636"/>
      <c r="AU19" s="636"/>
      <c r="AV19" s="636"/>
      <c r="AW19" s="636"/>
      <c r="AX19" s="636"/>
      <c r="AY19" s="636"/>
      <c r="AZ19" s="636"/>
      <c r="BA19" s="636"/>
      <c r="BB19" s="636"/>
      <c r="BC19" s="636"/>
      <c r="BD19" s="636"/>
      <c r="BE19" s="638"/>
      <c r="BF19" s="638"/>
    </row>
    <row r="20" spans="2:58" ht="14.25" hidden="1" customHeight="1" thickBot="1">
      <c r="J20" s="2300" t="s">
        <v>220</v>
      </c>
      <c r="K20" s="2301"/>
      <c r="L20" s="2301"/>
      <c r="M20" s="2301"/>
      <c r="N20" s="2301"/>
      <c r="O20" s="2301"/>
      <c r="P20" s="2301"/>
      <c r="Q20" s="2301"/>
      <c r="R20" s="2301"/>
      <c r="S20" s="2302"/>
      <c r="T20" s="636"/>
      <c r="U20" s="2300" t="s">
        <v>221</v>
      </c>
      <c r="V20" s="2301"/>
      <c r="W20" s="2301"/>
      <c r="X20" s="2301"/>
      <c r="Y20" s="2301"/>
      <c r="Z20" s="2301"/>
      <c r="AA20" s="2301"/>
      <c r="AB20" s="2301"/>
      <c r="AC20" s="2301"/>
      <c r="AD20" s="2302"/>
      <c r="AJ20" s="636"/>
    </row>
    <row r="21" spans="2:58" ht="14.25" hidden="1" customHeight="1" thickBot="1">
      <c r="J21" s="651" t="s">
        <v>1</v>
      </c>
      <c r="K21" s="2297">
        <v>160</v>
      </c>
      <c r="L21" s="2306">
        <v>200</v>
      </c>
      <c r="M21" s="2306">
        <v>260</v>
      </c>
      <c r="N21" s="2306">
        <v>300</v>
      </c>
      <c r="O21" s="2306"/>
      <c r="P21" s="2303">
        <v>360</v>
      </c>
      <c r="Q21" s="2304"/>
      <c r="R21" s="2306">
        <v>400</v>
      </c>
      <c r="S21" s="2308"/>
      <c r="T21" s="636"/>
      <c r="U21" s="763" t="s">
        <v>1</v>
      </c>
      <c r="V21" s="2297">
        <v>160</v>
      </c>
      <c r="W21" s="2306">
        <v>200</v>
      </c>
      <c r="X21" s="2306">
        <v>260</v>
      </c>
      <c r="Y21" s="2306">
        <v>300</v>
      </c>
      <c r="Z21" s="2306"/>
      <c r="AA21" s="2303">
        <v>360</v>
      </c>
      <c r="AB21" s="2304"/>
      <c r="AC21" s="2306">
        <v>400</v>
      </c>
      <c r="AD21" s="2308"/>
      <c r="AE21" s="636"/>
      <c r="AF21" s="2401" t="s">
        <v>316</v>
      </c>
      <c r="AG21" s="2402"/>
      <c r="AH21" s="2402"/>
      <c r="AI21" s="2403"/>
      <c r="AJ21" s="706" t="s">
        <v>0</v>
      </c>
      <c r="AK21" s="636"/>
      <c r="AL21" s="705"/>
      <c r="AM21" s="705"/>
      <c r="AN21" s="705"/>
      <c r="AO21" s="705"/>
      <c r="AP21" s="705"/>
      <c r="AQ21" s="705"/>
      <c r="AR21" s="705"/>
      <c r="AS21" s="705"/>
      <c r="AT21" s="705"/>
      <c r="AU21" s="705"/>
      <c r="AV21" s="705"/>
    </row>
    <row r="22" spans="2:58" ht="14.25" hidden="1" customHeight="1" thickBot="1">
      <c r="J22" s="652" t="s">
        <v>0</v>
      </c>
      <c r="K22" s="2305"/>
      <c r="L22" s="2307"/>
      <c r="M22" s="2307"/>
      <c r="N22" s="764">
        <v>2</v>
      </c>
      <c r="O22" s="764">
        <v>4</v>
      </c>
      <c r="P22" s="1265" t="s">
        <v>290</v>
      </c>
      <c r="Q22" s="765" t="s">
        <v>292</v>
      </c>
      <c r="R22" s="1265" t="s">
        <v>290</v>
      </c>
      <c r="S22" s="765" t="s">
        <v>292</v>
      </c>
      <c r="T22" s="636"/>
      <c r="U22" s="760" t="s">
        <v>0</v>
      </c>
      <c r="V22" s="2305"/>
      <c r="W22" s="2307"/>
      <c r="X22" s="2307"/>
      <c r="Y22" s="764">
        <v>1</v>
      </c>
      <c r="Z22" s="764">
        <v>2</v>
      </c>
      <c r="AA22" s="1265" t="s">
        <v>290</v>
      </c>
      <c r="AB22" s="765" t="s">
        <v>292</v>
      </c>
      <c r="AC22" s="1265" t="s">
        <v>290</v>
      </c>
      <c r="AD22" s="765" t="s">
        <v>292</v>
      </c>
      <c r="AE22" s="636"/>
      <c r="AF22" s="784">
        <v>0</v>
      </c>
      <c r="AG22" s="785">
        <v>1</v>
      </c>
      <c r="AH22" s="785">
        <v>2</v>
      </c>
      <c r="AI22" s="786">
        <v>3</v>
      </c>
      <c r="AJ22" s="709" t="s">
        <v>317</v>
      </c>
      <c r="AK22" s="636"/>
      <c r="AU22" s="705"/>
      <c r="AV22" s="705"/>
    </row>
    <row r="23" spans="2:58" ht="14.25" hidden="1" customHeight="1">
      <c r="J23" s="710">
        <v>65</v>
      </c>
      <c r="K23" s="752" t="s">
        <v>318</v>
      </c>
      <c r="L23" s="653" t="s">
        <v>318</v>
      </c>
      <c r="M23" s="653">
        <f>M25*0.71</f>
        <v>237.708</v>
      </c>
      <c r="N23" s="653">
        <f>N25*0.71</f>
        <v>263.26799999999997</v>
      </c>
      <c r="O23" s="653" t="s">
        <v>318</v>
      </c>
      <c r="P23" s="653"/>
      <c r="Q23" s="653">
        <f>Q25*0.71</f>
        <v>367.21199999999993</v>
      </c>
      <c r="R23" s="653">
        <f>R25*0.71</f>
        <v>394.476</v>
      </c>
      <c r="S23" s="753" t="s">
        <v>318</v>
      </c>
      <c r="T23" s="636"/>
      <c r="U23" s="710">
        <v>65</v>
      </c>
      <c r="V23" s="713" t="s">
        <v>318</v>
      </c>
      <c r="W23" s="714" t="s">
        <v>318</v>
      </c>
      <c r="X23" s="716">
        <v>1.7</v>
      </c>
      <c r="Y23" s="716">
        <v>1.65</v>
      </c>
      <c r="Z23" s="714" t="s">
        <v>318</v>
      </c>
      <c r="AA23" s="714"/>
      <c r="AB23" s="716">
        <v>1.6</v>
      </c>
      <c r="AC23" s="716">
        <v>1.55</v>
      </c>
      <c r="AD23" s="715" t="s">
        <v>318</v>
      </c>
      <c r="AE23" s="636"/>
      <c r="AF23" s="787">
        <v>1</v>
      </c>
      <c r="AG23" s="766">
        <v>5.12</v>
      </c>
      <c r="AH23" s="766">
        <v>5.66</v>
      </c>
      <c r="AI23" s="767">
        <v>6.53</v>
      </c>
      <c r="AJ23" s="710">
        <v>65</v>
      </c>
      <c r="AK23" s="636"/>
      <c r="AL23" s="705"/>
      <c r="AM23" s="705"/>
      <c r="AN23" s="705"/>
      <c r="AO23" s="705"/>
      <c r="AP23" s="705"/>
      <c r="AQ23" s="705"/>
      <c r="AR23" s="705"/>
      <c r="AS23" s="705"/>
      <c r="AT23" s="705"/>
      <c r="AU23" s="705"/>
      <c r="AV23" s="705"/>
    </row>
    <row r="24" spans="2:58" ht="14.25" hidden="1" customHeight="1">
      <c r="J24" s="711">
        <v>70</v>
      </c>
      <c r="K24" s="754" t="s">
        <v>318</v>
      </c>
      <c r="L24" s="654" t="s">
        <v>318</v>
      </c>
      <c r="M24" s="654">
        <f>M26*0.71</f>
        <v>292.17635999999999</v>
      </c>
      <c r="N24" s="654">
        <f>N26*0.71</f>
        <v>323.02727999999996</v>
      </c>
      <c r="O24" s="654" t="s">
        <v>318</v>
      </c>
      <c r="P24" s="654"/>
      <c r="Q24" s="654">
        <f>Q26*0.71</f>
        <v>432.68056460609114</v>
      </c>
      <c r="R24" s="654">
        <f>R26*0.71</f>
        <v>471.83759999999995</v>
      </c>
      <c r="S24" s="755" t="s">
        <v>318</v>
      </c>
      <c r="T24" s="636"/>
      <c r="U24" s="711">
        <v>70</v>
      </c>
      <c r="V24" s="717" t="s">
        <v>318</v>
      </c>
      <c r="W24" s="718" t="s">
        <v>318</v>
      </c>
      <c r="X24" s="720">
        <v>1.65</v>
      </c>
      <c r="Y24" s="720">
        <v>1.6</v>
      </c>
      <c r="Z24" s="718" t="s">
        <v>318</v>
      </c>
      <c r="AA24" s="718"/>
      <c r="AB24" s="720">
        <v>1.55</v>
      </c>
      <c r="AC24" s="720">
        <v>1.5</v>
      </c>
      <c r="AD24" s="719" t="s">
        <v>318</v>
      </c>
      <c r="AE24" s="636"/>
      <c r="AF24" s="788">
        <v>1</v>
      </c>
      <c r="AG24" s="768">
        <v>5.12</v>
      </c>
      <c r="AH24" s="768">
        <v>5.66</v>
      </c>
      <c r="AI24" s="769">
        <v>6.53</v>
      </c>
      <c r="AJ24" s="711">
        <v>70</v>
      </c>
      <c r="AK24" s="636"/>
      <c r="AL24" s="705"/>
      <c r="AM24" s="705"/>
      <c r="AN24" s="705"/>
      <c r="AO24" s="705"/>
      <c r="AP24" s="705"/>
      <c r="AQ24" s="705"/>
      <c r="AR24" s="705"/>
      <c r="AS24" s="705"/>
      <c r="AT24" s="705"/>
      <c r="AU24" s="705"/>
      <c r="AV24" s="705"/>
    </row>
    <row r="25" spans="2:58" ht="14.25" hidden="1" customHeight="1">
      <c r="J25" s="711">
        <v>75</v>
      </c>
      <c r="K25" s="655">
        <f>L25*0.9</f>
        <v>233.87400000000002</v>
      </c>
      <c r="L25" s="656">
        <f>L27*0.71</f>
        <v>259.86</v>
      </c>
      <c r="M25" s="656">
        <f>279*1.2</f>
        <v>334.8</v>
      </c>
      <c r="N25" s="656">
        <f>309*1.2</f>
        <v>370.8</v>
      </c>
      <c r="O25" s="656">
        <v>0</v>
      </c>
      <c r="P25" s="656"/>
      <c r="Q25" s="656">
        <f>431*1.2</f>
        <v>517.19999999999993</v>
      </c>
      <c r="R25" s="656">
        <f>463*1.2</f>
        <v>555.6</v>
      </c>
      <c r="S25" s="657">
        <v>0</v>
      </c>
      <c r="T25" s="636"/>
      <c r="U25" s="711">
        <v>75</v>
      </c>
      <c r="V25" s="721">
        <v>1.7</v>
      </c>
      <c r="W25" s="722">
        <v>1.65</v>
      </c>
      <c r="X25" s="722">
        <v>1.6</v>
      </c>
      <c r="Y25" s="722">
        <v>1.55</v>
      </c>
      <c r="Z25" s="722">
        <v>1.55</v>
      </c>
      <c r="AA25" s="722"/>
      <c r="AB25" s="722">
        <v>1.5</v>
      </c>
      <c r="AC25" s="722">
        <v>1.45</v>
      </c>
      <c r="AD25" s="723">
        <v>1.45</v>
      </c>
      <c r="AE25" s="636"/>
      <c r="AF25" s="789">
        <v>1</v>
      </c>
      <c r="AG25" s="770">
        <v>4.5999999999999996</v>
      </c>
      <c r="AH25" s="770">
        <v>5</v>
      </c>
      <c r="AI25" s="771">
        <v>6.53</v>
      </c>
      <c r="AJ25" s="711">
        <v>75</v>
      </c>
      <c r="AK25" s="636"/>
      <c r="AL25" s="705"/>
      <c r="AM25" s="705"/>
      <c r="AN25" s="705"/>
      <c r="AO25" s="705"/>
      <c r="AP25" s="705"/>
      <c r="AQ25" s="705"/>
      <c r="AR25" s="705"/>
      <c r="AS25" s="705"/>
      <c r="AT25" s="705"/>
      <c r="AU25" s="705"/>
      <c r="AV25" s="705"/>
    </row>
    <row r="26" spans="2:58" ht="14.25" hidden="1" customHeight="1">
      <c r="J26" s="711">
        <v>80</v>
      </c>
      <c r="K26" s="756" t="s">
        <v>318</v>
      </c>
      <c r="L26" s="757" t="s">
        <v>318</v>
      </c>
      <c r="M26" s="658">
        <f>M28*0.71</f>
        <v>411.51600000000002</v>
      </c>
      <c r="N26" s="658">
        <f>N28*0.71</f>
        <v>454.96799999999996</v>
      </c>
      <c r="O26" s="757" t="s">
        <v>318</v>
      </c>
      <c r="P26" s="757"/>
      <c r="Q26" s="658">
        <f>Q28*0.71</f>
        <v>609.40924592407202</v>
      </c>
      <c r="R26" s="658">
        <f>R28*0.71</f>
        <v>664.56</v>
      </c>
      <c r="S26" s="758" t="s">
        <v>318</v>
      </c>
      <c r="T26" s="636"/>
      <c r="U26" s="711">
        <v>80</v>
      </c>
      <c r="V26" s="724" t="s">
        <v>318</v>
      </c>
      <c r="W26" s="725" t="s">
        <v>318</v>
      </c>
      <c r="X26" s="727">
        <v>1.55</v>
      </c>
      <c r="Y26" s="727">
        <v>1.5</v>
      </c>
      <c r="Z26" s="725" t="s">
        <v>318</v>
      </c>
      <c r="AA26" s="725"/>
      <c r="AB26" s="727">
        <v>1.45</v>
      </c>
      <c r="AC26" s="727">
        <v>1.4</v>
      </c>
      <c r="AD26" s="726" t="s">
        <v>318</v>
      </c>
      <c r="AE26" s="636"/>
      <c r="AF26" s="790">
        <v>1</v>
      </c>
      <c r="AG26" s="772">
        <v>3.92</v>
      </c>
      <c r="AH26" s="772">
        <v>4.5</v>
      </c>
      <c r="AI26" s="773">
        <v>5.6</v>
      </c>
      <c r="AJ26" s="711">
        <v>80</v>
      </c>
      <c r="AK26" s="636"/>
      <c r="AL26" s="705"/>
      <c r="AM26" s="705"/>
      <c r="AN26" s="705"/>
      <c r="AO26" s="705"/>
      <c r="AP26" s="705"/>
      <c r="AQ26" s="705"/>
      <c r="AR26" s="705"/>
      <c r="AS26" s="705"/>
      <c r="AT26" s="705"/>
      <c r="AU26" s="705"/>
      <c r="AV26" s="705"/>
    </row>
    <row r="27" spans="2:58" ht="14.25" hidden="1" customHeight="1">
      <c r="J27" s="711">
        <v>90</v>
      </c>
      <c r="K27" s="659">
        <f>L27*0.89</f>
        <v>325.74</v>
      </c>
      <c r="L27" s="661">
        <f>305*1.2</f>
        <v>366</v>
      </c>
      <c r="M27" s="660">
        <f>404*1.2</f>
        <v>484.79999999999995</v>
      </c>
      <c r="N27" s="660">
        <f>469*1.2</f>
        <v>562.79999999999995</v>
      </c>
      <c r="O27" s="661">
        <v>0</v>
      </c>
      <c r="P27" s="661"/>
      <c r="Q27" s="660">
        <f>582*1.2</f>
        <v>698.4</v>
      </c>
      <c r="R27" s="660">
        <f>644*1.2</f>
        <v>772.8</v>
      </c>
      <c r="S27" s="759">
        <v>0</v>
      </c>
      <c r="T27" s="636"/>
      <c r="U27" s="711">
        <v>90</v>
      </c>
      <c r="V27" s="728">
        <v>1.6</v>
      </c>
      <c r="W27" s="729">
        <v>1.55</v>
      </c>
      <c r="X27" s="729">
        <v>1.5</v>
      </c>
      <c r="Y27" s="729">
        <v>1.45</v>
      </c>
      <c r="Z27" s="729">
        <v>1.45</v>
      </c>
      <c r="AA27" s="729"/>
      <c r="AB27" s="729">
        <v>1.4</v>
      </c>
      <c r="AC27" s="729">
        <v>1.3</v>
      </c>
      <c r="AD27" s="730">
        <v>1.3</v>
      </c>
      <c r="AE27" s="636"/>
      <c r="AF27" s="791">
        <v>1</v>
      </c>
      <c r="AG27" s="774">
        <v>3.51</v>
      </c>
      <c r="AH27" s="774">
        <v>3.96</v>
      </c>
      <c r="AI27" s="775">
        <v>4.93</v>
      </c>
      <c r="AJ27" s="711">
        <v>90</v>
      </c>
      <c r="AK27" s="636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</row>
    <row r="28" spans="2:58" ht="14.25" hidden="1" customHeight="1">
      <c r="J28" s="711">
        <v>110</v>
      </c>
      <c r="K28" s="662">
        <f>L28*0.88</f>
        <v>403.91665015679996</v>
      </c>
      <c r="L28" s="663">
        <f>L27*1.25408796</f>
        <v>458.99619335999995</v>
      </c>
      <c r="M28" s="663">
        <f>483*1.2</f>
        <v>579.6</v>
      </c>
      <c r="N28" s="663">
        <f>534*1.2</f>
        <v>640.79999999999995</v>
      </c>
      <c r="O28" s="663">
        <v>0</v>
      </c>
      <c r="P28" s="663"/>
      <c r="Q28" s="663">
        <f>L28*1.87</f>
        <v>858.3228815832</v>
      </c>
      <c r="R28" s="663">
        <f>780*1.2</f>
        <v>936</v>
      </c>
      <c r="S28" s="664">
        <v>0</v>
      </c>
      <c r="T28" s="636"/>
      <c r="U28" s="711">
        <v>110</v>
      </c>
      <c r="V28" s="731">
        <v>1.5</v>
      </c>
      <c r="W28" s="732">
        <v>1.3</v>
      </c>
      <c r="X28" s="732">
        <v>1.3</v>
      </c>
      <c r="Y28" s="732">
        <v>1.3</v>
      </c>
      <c r="Z28" s="732">
        <v>1.3</v>
      </c>
      <c r="AA28" s="732"/>
      <c r="AB28" s="732">
        <v>1.3</v>
      </c>
      <c r="AC28" s="732">
        <v>1.3</v>
      </c>
      <c r="AD28" s="733">
        <v>1.3</v>
      </c>
      <c r="AE28" s="636"/>
      <c r="AF28" s="792">
        <v>1</v>
      </c>
      <c r="AG28" s="776">
        <v>3.41</v>
      </c>
      <c r="AH28" s="776">
        <v>3.96</v>
      </c>
      <c r="AI28" s="777">
        <v>4.93</v>
      </c>
      <c r="AJ28" s="711">
        <v>110</v>
      </c>
      <c r="AK28" s="636"/>
      <c r="AL28" s="705"/>
      <c r="AM28" s="705"/>
      <c r="AN28" s="705"/>
      <c r="AO28" s="705"/>
      <c r="AP28" s="705"/>
      <c r="AQ28" s="705"/>
      <c r="AR28" s="705"/>
      <c r="AS28" s="705"/>
      <c r="AT28" s="705"/>
      <c r="AU28" s="705"/>
      <c r="AV28" s="705"/>
    </row>
    <row r="29" spans="2:58" ht="14.25" hidden="1" customHeight="1">
      <c r="J29" s="711">
        <v>140</v>
      </c>
      <c r="K29" s="1019">
        <f>K30*0.965</f>
        <v>422.66999999999996</v>
      </c>
      <c r="L29" s="1019">
        <f t="shared" ref="L29:Q29" si="0">L30*0.965</f>
        <v>531.52199999999993</v>
      </c>
      <c r="M29" s="1019">
        <f t="shared" si="0"/>
        <v>883.55399999999997</v>
      </c>
      <c r="N29" s="1019">
        <f t="shared" si="0"/>
        <v>0</v>
      </c>
      <c r="O29" s="1019">
        <f t="shared" si="0"/>
        <v>915.97799999999995</v>
      </c>
      <c r="P29" s="1019">
        <f>P30*0.965</f>
        <v>1058.2961999999998</v>
      </c>
      <c r="Q29" s="1019">
        <f t="shared" si="0"/>
        <v>1113.9959999999999</v>
      </c>
      <c r="R29" s="1019">
        <f>R30*0.965</f>
        <v>1095.59538</v>
      </c>
      <c r="S29" s="1019">
        <f>S30*0.965</f>
        <v>1197.3719999999998</v>
      </c>
      <c r="T29" s="636"/>
      <c r="U29" s="711">
        <v>140</v>
      </c>
      <c r="V29" s="1020">
        <v>1.4</v>
      </c>
      <c r="W29" s="1021">
        <v>1.35</v>
      </c>
      <c r="X29" s="1021">
        <v>1.32</v>
      </c>
      <c r="Y29" s="1021"/>
      <c r="Z29" s="1021">
        <v>1.3</v>
      </c>
      <c r="AA29" s="1021"/>
      <c r="AB29" s="1021">
        <v>1.28</v>
      </c>
      <c r="AC29" s="1021"/>
      <c r="AD29" s="1022">
        <v>1.25</v>
      </c>
      <c r="AE29" s="636"/>
      <c r="AF29" s="1023">
        <v>1</v>
      </c>
      <c r="AG29" s="1024">
        <v>3.41</v>
      </c>
      <c r="AH29" s="1024">
        <v>3.96</v>
      </c>
      <c r="AI29" s="1025">
        <v>4.93</v>
      </c>
      <c r="AJ29" s="711">
        <v>140</v>
      </c>
      <c r="AK29" s="636"/>
      <c r="AL29" s="705"/>
      <c r="AM29" s="705"/>
      <c r="AN29" s="705"/>
      <c r="AO29" s="705"/>
      <c r="AP29" s="705"/>
      <c r="AQ29" s="705"/>
      <c r="AR29" s="705"/>
      <c r="AS29" s="705"/>
      <c r="AT29" s="705"/>
      <c r="AU29" s="705"/>
      <c r="AV29" s="705"/>
    </row>
    <row r="30" spans="2:58" ht="14.25" hidden="1" customHeight="1">
      <c r="J30" s="711">
        <v>150</v>
      </c>
      <c r="K30" s="665">
        <f>365*1.2</f>
        <v>438</v>
      </c>
      <c r="L30" s="667">
        <f>1.2*459</f>
        <v>550.79999999999995</v>
      </c>
      <c r="M30" s="666">
        <f>763*1.2</f>
        <v>915.6</v>
      </c>
      <c r="N30" s="668">
        <v>0</v>
      </c>
      <c r="O30" s="667">
        <f>791*1.2</f>
        <v>949.19999999999993</v>
      </c>
      <c r="P30" s="668">
        <f>Q30*0.95</f>
        <v>1096.6799999999998</v>
      </c>
      <c r="Q30" s="668">
        <f>962*1.2</f>
        <v>1154.3999999999999</v>
      </c>
      <c r="R30" s="668">
        <f>S30*0.915</f>
        <v>1135.3320000000001</v>
      </c>
      <c r="S30" s="668">
        <f>1034*1.2</f>
        <v>1240.8</v>
      </c>
      <c r="T30" s="636"/>
      <c r="U30" s="711">
        <v>150</v>
      </c>
      <c r="V30" s="734">
        <v>1.4</v>
      </c>
      <c r="W30" s="735">
        <v>1.35</v>
      </c>
      <c r="X30" s="735">
        <v>1.32</v>
      </c>
      <c r="Y30" s="735"/>
      <c r="Z30" s="735">
        <v>1.3</v>
      </c>
      <c r="AA30" s="735"/>
      <c r="AB30" s="735">
        <v>1.28</v>
      </c>
      <c r="AC30" s="735"/>
      <c r="AD30" s="736">
        <v>1.25</v>
      </c>
      <c r="AE30" s="636"/>
      <c r="AF30" s="793">
        <v>1</v>
      </c>
      <c r="AG30" s="778">
        <v>3.41</v>
      </c>
      <c r="AH30" s="778">
        <v>3.96</v>
      </c>
      <c r="AI30" s="779">
        <v>4.93</v>
      </c>
      <c r="AJ30" s="711">
        <v>150</v>
      </c>
      <c r="AK30" s="636"/>
      <c r="AL30" s="705"/>
      <c r="AM30" s="705"/>
      <c r="AN30" s="705">
        <v>325.74</v>
      </c>
      <c r="AO30" s="705">
        <v>366</v>
      </c>
      <c r="AP30" s="705">
        <v>484.79999999999995</v>
      </c>
      <c r="AQ30" s="705">
        <v>562.79999999999995</v>
      </c>
      <c r="AR30" s="705">
        <v>0</v>
      </c>
      <c r="AS30" s="705">
        <v>698.4</v>
      </c>
      <c r="AT30" s="705">
        <v>772.8</v>
      </c>
      <c r="AU30" s="705">
        <v>0</v>
      </c>
      <c r="AV30" s="705"/>
    </row>
    <row r="31" spans="2:58" ht="14.25" hidden="1" customHeight="1">
      <c r="J31" s="711">
        <v>200</v>
      </c>
      <c r="K31" s="670">
        <f>L31*0.88</f>
        <v>607.86145056383987</v>
      </c>
      <c r="L31" s="671">
        <f>L30*1.25408796</f>
        <v>690.75164836799991</v>
      </c>
      <c r="M31" s="671">
        <f>L31*1.26352614</f>
        <v>872.78276396105616</v>
      </c>
      <c r="N31" s="671">
        <f>M31*1.07113641</f>
        <v>934.86939649912313</v>
      </c>
      <c r="O31" s="671">
        <f>O30*1.24695214</f>
        <v>1183.6069712880001</v>
      </c>
      <c r="P31" s="671"/>
      <c r="Q31" s="671">
        <f>L31*1.87</f>
        <v>1291.7055824481599</v>
      </c>
      <c r="R31" s="671"/>
      <c r="S31" s="671">
        <f>L31*1.95542361</f>
        <v>1350.7120818652049</v>
      </c>
      <c r="T31" s="636"/>
      <c r="U31" s="711">
        <v>200</v>
      </c>
      <c r="V31" s="737"/>
      <c r="W31" s="738"/>
      <c r="X31" s="738"/>
      <c r="Y31" s="738"/>
      <c r="Z31" s="738"/>
      <c r="AA31" s="738"/>
      <c r="AB31" s="738"/>
      <c r="AC31" s="738"/>
      <c r="AD31" s="739"/>
      <c r="AE31" s="636"/>
      <c r="AF31" s="793">
        <v>1</v>
      </c>
      <c r="AG31" s="778">
        <v>2.73</v>
      </c>
      <c r="AH31" s="778">
        <v>3.11</v>
      </c>
      <c r="AI31" s="779">
        <v>3.89</v>
      </c>
      <c r="AJ31" s="711">
        <v>150.16</v>
      </c>
      <c r="AK31" s="636"/>
      <c r="AL31" s="705"/>
      <c r="AM31" s="705"/>
      <c r="AN31" s="705">
        <v>403.91665015679996</v>
      </c>
      <c r="AO31" s="705">
        <v>458.99619335999995</v>
      </c>
      <c r="AP31" s="705">
        <v>579.6</v>
      </c>
      <c r="AQ31" s="705">
        <v>640.79999999999995</v>
      </c>
      <c r="AR31" s="705">
        <v>0</v>
      </c>
      <c r="AS31" s="705">
        <v>858.3228815832</v>
      </c>
      <c r="AT31" s="705">
        <v>936</v>
      </c>
      <c r="AU31" s="705">
        <v>0</v>
      </c>
      <c r="AV31" s="705"/>
    </row>
    <row r="32" spans="2:58" ht="14.25" hidden="1" customHeight="1">
      <c r="J32" s="711">
        <v>300</v>
      </c>
      <c r="K32" s="673">
        <f>L32*0.88</f>
        <v>762.31172650024678</v>
      </c>
      <c r="L32" s="674">
        <f>L31*1.25408796</f>
        <v>866.26332556846228</v>
      </c>
      <c r="M32" s="674">
        <f>L32*1.26352614</f>
        <v>1094.5463559790824</v>
      </c>
      <c r="N32" s="674">
        <f>M32*1.07113641</f>
        <v>1172.4084543220163</v>
      </c>
      <c r="O32" s="674">
        <f>O31*1.24695214</f>
        <v>1475.9012457664903</v>
      </c>
      <c r="P32" s="674"/>
      <c r="Q32" s="674">
        <f>L32*1.87</f>
        <v>1619.9124188130245</v>
      </c>
      <c r="R32" s="674"/>
      <c r="S32" s="674">
        <f>L32*1.95542361</f>
        <v>1693.9117592936877</v>
      </c>
      <c r="T32" s="636"/>
      <c r="U32" s="711">
        <v>300</v>
      </c>
      <c r="V32" s="740"/>
      <c r="W32" s="741"/>
      <c r="X32" s="741"/>
      <c r="Y32" s="741"/>
      <c r="Z32" s="741"/>
      <c r="AA32" s="741"/>
      <c r="AB32" s="741"/>
      <c r="AC32" s="741"/>
      <c r="AD32" s="742"/>
      <c r="AE32" s="636"/>
      <c r="AF32" s="793">
        <v>1</v>
      </c>
      <c r="AG32" s="780">
        <v>2.73</v>
      </c>
      <c r="AH32" s="780">
        <v>2.83</v>
      </c>
      <c r="AI32" s="781">
        <v>3.66</v>
      </c>
      <c r="AJ32" s="712" t="s">
        <v>319</v>
      </c>
      <c r="AK32" s="636"/>
      <c r="AL32" s="705" t="s">
        <v>320</v>
      </c>
      <c r="AM32" s="705"/>
      <c r="AN32" s="705">
        <v>438</v>
      </c>
      <c r="AO32" s="705">
        <v>550.79999999999995</v>
      </c>
      <c r="AP32" s="705">
        <v>915.6</v>
      </c>
      <c r="AQ32" s="705">
        <v>0</v>
      </c>
      <c r="AR32" s="705">
        <v>949.19999999999993</v>
      </c>
      <c r="AS32" s="705">
        <v>1154.3999999999999</v>
      </c>
      <c r="AT32" s="705">
        <v>1240.8</v>
      </c>
      <c r="AU32" s="705">
        <v>0</v>
      </c>
      <c r="AV32" s="705"/>
    </row>
    <row r="33" spans="10:48" ht="14.25" hidden="1" customHeight="1" thickBot="1">
      <c r="J33" s="711">
        <v>400</v>
      </c>
      <c r="K33" s="676">
        <f>L33*0.88</f>
        <v>956.00595797077233</v>
      </c>
      <c r="L33" s="677">
        <f>L32*1.25408796</f>
        <v>1086.3704067849685</v>
      </c>
      <c r="M33" s="677">
        <f>L33*1.26352614</f>
        <v>1372.657406695241</v>
      </c>
      <c r="N33" s="677">
        <f>M33*1.07113641</f>
        <v>1470.3033267674505</v>
      </c>
      <c r="O33" s="677">
        <f>O32*1.24695214</f>
        <v>1840.3782168371911</v>
      </c>
      <c r="P33" s="677"/>
      <c r="Q33" s="677">
        <f>L33*1.87</f>
        <v>2031.5126606878912</v>
      </c>
      <c r="R33" s="677"/>
      <c r="S33" s="677">
        <f>L33*1.95542361</f>
        <v>2124.3143426326315</v>
      </c>
      <c r="T33" s="636"/>
      <c r="U33" s="711">
        <v>400</v>
      </c>
      <c r="V33" s="743"/>
      <c r="W33" s="744"/>
      <c r="X33" s="744"/>
      <c r="Y33" s="744"/>
      <c r="Z33" s="744"/>
      <c r="AA33" s="744"/>
      <c r="AB33" s="744"/>
      <c r="AC33" s="744"/>
      <c r="AD33" s="745"/>
      <c r="AE33" s="636"/>
      <c r="AF33" s="793">
        <v>1</v>
      </c>
      <c r="AG33" s="782">
        <v>3.41</v>
      </c>
      <c r="AH33" s="782">
        <v>3.86</v>
      </c>
      <c r="AI33" s="783">
        <v>4.63</v>
      </c>
      <c r="AJ33" s="679" t="s">
        <v>321</v>
      </c>
      <c r="AK33" s="636"/>
      <c r="AL33" s="705"/>
      <c r="AM33" s="705"/>
      <c r="AN33" s="705">
        <v>607.86145056383987</v>
      </c>
      <c r="AO33" s="705">
        <v>690.75164836799991</v>
      </c>
      <c r="AP33" s="705">
        <v>872.78276396105616</v>
      </c>
      <c r="AQ33" s="705">
        <v>934.86939649912313</v>
      </c>
      <c r="AR33" s="705">
        <v>1183.6069712880001</v>
      </c>
      <c r="AS33" s="705">
        <v>1291.7055824481599</v>
      </c>
      <c r="AT33" s="705">
        <v>1350.7120818652049</v>
      </c>
      <c r="AU33" s="705">
        <v>0</v>
      </c>
      <c r="AV33" s="705"/>
    </row>
    <row r="34" spans="10:48" ht="14.25" hidden="1" customHeight="1">
      <c r="J34" s="711">
        <v>500</v>
      </c>
      <c r="K34" s="680">
        <f>L34*0.88</f>
        <v>1198.9155615794114</v>
      </c>
      <c r="L34" s="681">
        <f>L33*1.25408796</f>
        <v>1362.4040472493311</v>
      </c>
      <c r="M34" s="681">
        <f>L34*1.26352614</f>
        <v>1721.4331269413249</v>
      </c>
      <c r="N34" s="681">
        <f>M34*1.07113641</f>
        <v>1843.889699647005</v>
      </c>
      <c r="O34" s="681">
        <f>O33*1.24695214</f>
        <v>2294.8635558945198</v>
      </c>
      <c r="P34" s="681"/>
      <c r="Q34" s="681">
        <f>L34*1.87</f>
        <v>2547.6955683562492</v>
      </c>
      <c r="R34" s="681"/>
      <c r="S34" s="681">
        <f>L34*1.95542361</f>
        <v>2664.0770403508977</v>
      </c>
      <c r="T34" s="636"/>
      <c r="U34" s="711">
        <v>500</v>
      </c>
      <c r="V34" s="746"/>
      <c r="W34" s="747"/>
      <c r="X34" s="747"/>
      <c r="Y34" s="747"/>
      <c r="Z34" s="747"/>
      <c r="AA34" s="747"/>
      <c r="AB34" s="747"/>
      <c r="AC34" s="747"/>
      <c r="AD34" s="748"/>
      <c r="AE34" s="636"/>
      <c r="AF34" s="691"/>
      <c r="AG34" s="691"/>
      <c r="AH34" s="691"/>
      <c r="AI34" s="691"/>
      <c r="AJ34" s="691"/>
      <c r="AK34" s="636"/>
      <c r="AL34" s="705"/>
      <c r="AM34" s="705"/>
      <c r="AN34" s="705">
        <v>663.99145056383998</v>
      </c>
      <c r="AO34" s="705">
        <v>783.151648368</v>
      </c>
      <c r="AP34" s="705">
        <v>1088.1827639610599</v>
      </c>
      <c r="AQ34" s="705">
        <v>653.46939649912304</v>
      </c>
      <c r="AR34" s="705">
        <v>1658.206971288</v>
      </c>
      <c r="AS34" s="705">
        <v>1519.7055824481599</v>
      </c>
      <c r="AT34" s="705">
        <v>1584.7120818652099</v>
      </c>
      <c r="AU34" s="705">
        <v>0</v>
      </c>
      <c r="AV34" s="705"/>
    </row>
    <row r="35" spans="10:48" ht="14.25" hidden="1" customHeight="1">
      <c r="J35" s="1000">
        <v>600</v>
      </c>
      <c r="K35" s="998">
        <f>L35*0.88</f>
        <v>1503.5455708333784</v>
      </c>
      <c r="L35" s="999">
        <f>L34*1.25408796</f>
        <v>1708.5745123106572</v>
      </c>
      <c r="M35" s="999">
        <f>L35*1.26352614</f>
        <v>2158.828558442267</v>
      </c>
      <c r="N35" s="999">
        <f>M35*1.07113641</f>
        <v>2312.3998718953253</v>
      </c>
      <c r="O35" s="999">
        <f>O34*1.24695214</f>
        <v>2861.5850220306811</v>
      </c>
      <c r="P35" s="999"/>
      <c r="Q35" s="999">
        <f>L35*1.87</f>
        <v>3195.0343380209292</v>
      </c>
      <c r="R35" s="999"/>
      <c r="S35" s="999">
        <f>L35*1.95542361</f>
        <v>3340.9869408164946</v>
      </c>
      <c r="T35" s="636"/>
      <c r="U35" s="1000">
        <v>600</v>
      </c>
      <c r="V35" s="1001"/>
      <c r="W35" s="1002"/>
      <c r="X35" s="1002"/>
      <c r="Y35" s="1002"/>
      <c r="Z35" s="1002"/>
      <c r="AA35" s="1002"/>
      <c r="AB35" s="1002"/>
      <c r="AC35" s="1002"/>
      <c r="AD35" s="1003"/>
      <c r="AE35" s="636"/>
      <c r="AF35" s="691"/>
      <c r="AG35" s="691"/>
      <c r="AH35" s="691"/>
      <c r="AI35" s="691"/>
      <c r="AJ35" s="691"/>
      <c r="AK35" s="636"/>
      <c r="AL35" s="705"/>
      <c r="AM35" s="705"/>
      <c r="AN35" s="705">
        <v>752.03622071731195</v>
      </c>
      <c r="AO35" s="705">
        <v>889.75752354240001</v>
      </c>
      <c r="AP35" s="705">
        <v>1238.1775931493701</v>
      </c>
      <c r="AQ35" s="705">
        <v>701.01021544885998</v>
      </c>
      <c r="AR35" s="705">
        <v>2108.2090626743998</v>
      </c>
      <c r="AS35" s="705">
        <v>1727.3049690242899</v>
      </c>
      <c r="AT35" s="705">
        <v>1788.56570642477</v>
      </c>
      <c r="AU35" s="705">
        <v>0</v>
      </c>
      <c r="AV35" s="705"/>
    </row>
    <row r="36" spans="10:48" ht="34.5" hidden="1" customHeight="1" thickBot="1">
      <c r="J36" s="2298" t="s">
        <v>410</v>
      </c>
      <c r="K36" s="2299"/>
      <c r="L36" s="2299"/>
      <c r="M36" s="2299"/>
      <c r="N36" s="2299"/>
      <c r="O36" s="2299"/>
      <c r="P36" s="2299"/>
      <c r="Q36" s="2299"/>
      <c r="R36" s="2299"/>
      <c r="S36" s="2299"/>
      <c r="T36" s="2299"/>
      <c r="U36" s="2299"/>
      <c r="V36" s="2299"/>
      <c r="W36" s="2299"/>
      <c r="X36" s="2299"/>
      <c r="Y36" s="2299"/>
      <c r="Z36" s="2299"/>
      <c r="AA36" s="2299"/>
      <c r="AB36" s="2299"/>
      <c r="AC36" s="2299"/>
      <c r="AD36" s="2299"/>
      <c r="AE36" s="691"/>
      <c r="AF36" s="691"/>
      <c r="AG36" s="691"/>
      <c r="AH36" s="691"/>
      <c r="AI36" s="636"/>
      <c r="AJ36" s="705"/>
      <c r="AK36" s="705"/>
      <c r="AL36" s="705"/>
      <c r="AM36" s="705"/>
      <c r="AN36" s="705"/>
      <c r="AO36" s="705"/>
      <c r="AP36" s="705"/>
      <c r="AQ36" s="705"/>
      <c r="AR36" s="705"/>
      <c r="AS36" s="705"/>
      <c r="AT36" s="705"/>
    </row>
    <row r="37" spans="10:48" ht="14.25" hidden="1" customHeight="1" thickBot="1">
      <c r="J37" s="2300" t="s">
        <v>220</v>
      </c>
      <c r="K37" s="2301"/>
      <c r="L37" s="2301"/>
      <c r="M37" s="2301"/>
      <c r="N37" s="2301"/>
      <c r="O37" s="2301"/>
      <c r="P37" s="2301"/>
      <c r="Q37" s="2301"/>
      <c r="R37" s="2301"/>
      <c r="S37" s="2302"/>
      <c r="U37" s="2300" t="s">
        <v>221</v>
      </c>
      <c r="V37" s="2301"/>
      <c r="W37" s="2301"/>
      <c r="X37" s="2301"/>
      <c r="Y37" s="2301"/>
      <c r="Z37" s="2301"/>
      <c r="AA37" s="2301"/>
      <c r="AB37" s="2301"/>
      <c r="AC37" s="2301"/>
      <c r="AD37" s="2302"/>
      <c r="AE37" s="707"/>
      <c r="AF37" s="707"/>
      <c r="AG37" s="707"/>
      <c r="AH37" s="707"/>
      <c r="AI37" s="636"/>
      <c r="AJ37" s="705"/>
      <c r="AK37" s="705"/>
      <c r="AL37" s="705"/>
      <c r="AM37" s="705"/>
      <c r="AN37" s="705"/>
      <c r="AO37" s="705"/>
      <c r="AP37" s="705"/>
      <c r="AQ37" s="705"/>
      <c r="AR37" s="705"/>
      <c r="AS37" s="705"/>
      <c r="AT37" s="705"/>
    </row>
    <row r="38" spans="10:48" ht="14.25" hidden="1" customHeight="1" thickBot="1">
      <c r="J38" s="763" t="s">
        <v>1</v>
      </c>
      <c r="K38" s="2297">
        <v>160</v>
      </c>
      <c r="L38" s="2306">
        <v>200</v>
      </c>
      <c r="M38" s="2306">
        <v>260</v>
      </c>
      <c r="N38" s="2306">
        <v>300</v>
      </c>
      <c r="O38" s="2306"/>
      <c r="P38" s="2303">
        <v>360</v>
      </c>
      <c r="Q38" s="2304"/>
      <c r="R38" s="2306">
        <v>400</v>
      </c>
      <c r="S38" s="2308"/>
      <c r="T38" s="636"/>
      <c r="U38" s="763" t="s">
        <v>1</v>
      </c>
      <c r="V38" s="2297">
        <v>160</v>
      </c>
      <c r="W38" s="2306">
        <v>200</v>
      </c>
      <c r="X38" s="2306">
        <v>260</v>
      </c>
      <c r="Y38" s="2306">
        <v>300</v>
      </c>
      <c r="Z38" s="2306"/>
      <c r="AA38" s="2303">
        <v>360</v>
      </c>
      <c r="AB38" s="2304"/>
      <c r="AC38" s="2306">
        <v>400</v>
      </c>
      <c r="AD38" s="2308"/>
      <c r="AE38" s="636"/>
      <c r="AF38" s="2401" t="s">
        <v>316</v>
      </c>
      <c r="AG38" s="2402"/>
      <c r="AH38" s="2402"/>
      <c r="AI38" s="2403"/>
      <c r="AJ38" s="706" t="s">
        <v>0</v>
      </c>
      <c r="AK38" s="636"/>
      <c r="AL38" s="705"/>
      <c r="AM38" s="705"/>
      <c r="AN38" s="705"/>
      <c r="AO38" s="705"/>
      <c r="AP38" s="705"/>
      <c r="AQ38" s="705"/>
      <c r="AR38" s="705"/>
      <c r="AS38" s="705"/>
      <c r="AT38" s="705"/>
      <c r="AU38" s="705"/>
      <c r="AV38" s="705"/>
    </row>
    <row r="39" spans="10:48" ht="14.25" hidden="1" customHeight="1" thickBot="1">
      <c r="J39" s="760" t="s">
        <v>0</v>
      </c>
      <c r="K39" s="2305"/>
      <c r="L39" s="2307"/>
      <c r="M39" s="2307"/>
      <c r="N39" s="764">
        <v>2</v>
      </c>
      <c r="O39" s="764">
        <v>4</v>
      </c>
      <c r="P39" s="1265" t="s">
        <v>290</v>
      </c>
      <c r="Q39" s="765" t="s">
        <v>292</v>
      </c>
      <c r="R39" s="1265" t="s">
        <v>290</v>
      </c>
      <c r="S39" s="765" t="s">
        <v>292</v>
      </c>
      <c r="T39" s="636"/>
      <c r="U39" s="760" t="s">
        <v>0</v>
      </c>
      <c r="V39" s="2305"/>
      <c r="W39" s="2307"/>
      <c r="X39" s="2307"/>
      <c r="Y39" s="764">
        <v>1</v>
      </c>
      <c r="Z39" s="764">
        <v>2</v>
      </c>
      <c r="AA39" s="1265" t="s">
        <v>290</v>
      </c>
      <c r="AB39" s="765" t="s">
        <v>292</v>
      </c>
      <c r="AC39" s="1265" t="s">
        <v>290</v>
      </c>
      <c r="AD39" s="765" t="s">
        <v>292</v>
      </c>
      <c r="AE39" s="636"/>
      <c r="AF39" s="784">
        <v>0</v>
      </c>
      <c r="AG39" s="785">
        <v>1</v>
      </c>
      <c r="AH39" s="785">
        <v>2</v>
      </c>
      <c r="AI39" s="786">
        <v>3</v>
      </c>
      <c r="AJ39" s="708" t="s">
        <v>317</v>
      </c>
      <c r="AK39" s="636"/>
      <c r="AL39" s="705"/>
      <c r="AM39" s="705"/>
      <c r="AN39" s="705"/>
      <c r="AO39" s="705"/>
      <c r="AP39" s="705">
        <f>(237.708)*1.3</f>
        <v>309.0204</v>
      </c>
      <c r="AQ39" s="705">
        <f>(263.268)*1.3</f>
        <v>342.2484</v>
      </c>
      <c r="AR39" s="705">
        <f>(263.268)*1.3</f>
        <v>342.2484</v>
      </c>
      <c r="AS39" s="705">
        <f>(367.212)*1.3</f>
        <v>477.37560000000002</v>
      </c>
      <c r="AT39" s="705">
        <f>(394.476)*1.3</f>
        <v>512.81880000000001</v>
      </c>
      <c r="AU39" s="705">
        <f>(394.476)*1.3</f>
        <v>512.81880000000001</v>
      </c>
      <c r="AV39" s="705"/>
    </row>
    <row r="40" spans="10:48" ht="14.25" hidden="1" customHeight="1">
      <c r="J40" s="710">
        <v>65</v>
      </c>
      <c r="K40" s="752"/>
      <c r="L40" s="653"/>
      <c r="M40" s="653">
        <v>309.0204</v>
      </c>
      <c r="N40" s="653">
        <v>342.2484</v>
      </c>
      <c r="O40" s="653">
        <v>342.2484</v>
      </c>
      <c r="P40" s="653"/>
      <c r="Q40" s="653">
        <v>477.37560000000002</v>
      </c>
      <c r="R40" s="653">
        <v>512.81880000000001</v>
      </c>
      <c r="S40" s="753">
        <v>512.81880000000001</v>
      </c>
      <c r="T40" s="636"/>
      <c r="U40" s="710">
        <v>65</v>
      </c>
      <c r="V40" s="713" t="s">
        <v>318</v>
      </c>
      <c r="W40" s="714" t="s">
        <v>318</v>
      </c>
      <c r="X40" s="716">
        <v>1.7</v>
      </c>
      <c r="Y40" s="716">
        <v>1.65</v>
      </c>
      <c r="Z40" s="714" t="s">
        <v>318</v>
      </c>
      <c r="AA40" s="714"/>
      <c r="AB40" s="716">
        <v>1.6</v>
      </c>
      <c r="AC40" s="716">
        <v>1.55</v>
      </c>
      <c r="AD40" s="715" t="s">
        <v>318</v>
      </c>
      <c r="AE40" s="636"/>
      <c r="AF40" s="787">
        <v>1</v>
      </c>
      <c r="AG40" s="766">
        <v>5.12</v>
      </c>
      <c r="AH40" s="766">
        <v>5.66</v>
      </c>
      <c r="AI40" s="767">
        <v>6.53</v>
      </c>
      <c r="AJ40" s="710">
        <v>65</v>
      </c>
      <c r="AK40" s="636"/>
      <c r="AL40" s="705"/>
      <c r="AM40" s="705"/>
      <c r="AN40" s="705">
        <f>(394.476)*1.3</f>
        <v>512.81880000000001</v>
      </c>
      <c r="AO40" s="705">
        <f>(394.476)*1.3</f>
        <v>512.81880000000001</v>
      </c>
      <c r="AP40" s="705">
        <f>(292.17636)*1.3</f>
        <v>379.82926800000001</v>
      </c>
      <c r="AQ40" s="705">
        <f>(323.02728)*1.3</f>
        <v>419.93546400000002</v>
      </c>
      <c r="AR40" s="705">
        <f>(323.02728)*1.3</f>
        <v>419.93546400000002</v>
      </c>
      <c r="AS40" s="705">
        <f>(432.680564606091)*1.3</f>
        <v>562.48473398791839</v>
      </c>
      <c r="AT40" s="705">
        <f>(471.8376)*1.3</f>
        <v>613.38888000000009</v>
      </c>
      <c r="AU40" s="705">
        <f>(471.8376)*1.3</f>
        <v>613.38888000000009</v>
      </c>
      <c r="AV40" s="705"/>
    </row>
    <row r="41" spans="10:48" ht="14.25" hidden="1" customHeight="1">
      <c r="J41" s="711">
        <v>70</v>
      </c>
      <c r="K41" s="754">
        <v>512.81880000000001</v>
      </c>
      <c r="L41" s="654">
        <v>512.81880000000001</v>
      </c>
      <c r="M41" s="654">
        <v>379.82926800000001</v>
      </c>
      <c r="N41" s="654">
        <v>419.93546400000002</v>
      </c>
      <c r="O41" s="654">
        <v>419.93546400000002</v>
      </c>
      <c r="P41" s="654"/>
      <c r="Q41" s="654">
        <v>562.48473398791839</v>
      </c>
      <c r="R41" s="654">
        <v>613.38888000000009</v>
      </c>
      <c r="S41" s="755">
        <v>613.38888000000009</v>
      </c>
      <c r="T41" s="636"/>
      <c r="U41" s="711">
        <v>70</v>
      </c>
      <c r="V41" s="717" t="s">
        <v>318</v>
      </c>
      <c r="W41" s="718" t="s">
        <v>318</v>
      </c>
      <c r="X41" s="720">
        <v>1.65</v>
      </c>
      <c r="Y41" s="720">
        <v>1.6</v>
      </c>
      <c r="Z41" s="718" t="s">
        <v>318</v>
      </c>
      <c r="AA41" s="718"/>
      <c r="AB41" s="720">
        <v>1.55</v>
      </c>
      <c r="AC41" s="720">
        <v>1.5</v>
      </c>
      <c r="AD41" s="719" t="s">
        <v>318</v>
      </c>
      <c r="AE41" s="636"/>
      <c r="AF41" s="788">
        <v>1</v>
      </c>
      <c r="AG41" s="768">
        <v>5.12</v>
      </c>
      <c r="AH41" s="768">
        <v>5.66</v>
      </c>
      <c r="AI41" s="769">
        <v>6.53</v>
      </c>
      <c r="AJ41" s="711">
        <v>70</v>
      </c>
      <c r="AK41" s="636"/>
      <c r="AL41" s="705"/>
      <c r="AM41" s="705"/>
      <c r="AN41" s="705">
        <f>(233.874)*1.3</f>
        <v>304.03620000000001</v>
      </c>
      <c r="AO41" s="705">
        <f>(259.86)*1.3</f>
        <v>337.81800000000004</v>
      </c>
      <c r="AP41" s="705">
        <f>(334.8)*1.3</f>
        <v>435.24</v>
      </c>
      <c r="AQ41" s="705">
        <f>(370.8)*1.3</f>
        <v>482.04</v>
      </c>
      <c r="AR41" s="705">
        <f>0*1.3</f>
        <v>0</v>
      </c>
      <c r="AS41" s="705">
        <f>(517.2)*1.3</f>
        <v>672.36000000000013</v>
      </c>
      <c r="AT41" s="705">
        <f>(555.6)*1.3</f>
        <v>722.28000000000009</v>
      </c>
      <c r="AU41" s="705">
        <f>0*1.3</f>
        <v>0</v>
      </c>
      <c r="AV41" s="705"/>
    </row>
    <row r="42" spans="10:48" ht="14.25" hidden="1" customHeight="1">
      <c r="J42" s="711">
        <v>75</v>
      </c>
      <c r="K42" s="655">
        <v>304.03620000000001</v>
      </c>
      <c r="L42" s="656">
        <v>337.81800000000004</v>
      </c>
      <c r="M42" s="656">
        <v>435.24</v>
      </c>
      <c r="N42" s="656">
        <v>482.04</v>
      </c>
      <c r="O42" s="656">
        <v>0</v>
      </c>
      <c r="P42" s="656"/>
      <c r="Q42" s="656">
        <v>672.36000000000013</v>
      </c>
      <c r="R42" s="656">
        <v>722.28000000000009</v>
      </c>
      <c r="S42" s="657">
        <v>0</v>
      </c>
      <c r="T42" s="636"/>
      <c r="U42" s="711">
        <v>75</v>
      </c>
      <c r="V42" s="721">
        <v>1.7</v>
      </c>
      <c r="W42" s="722">
        <v>1.65</v>
      </c>
      <c r="X42" s="722">
        <v>1.6</v>
      </c>
      <c r="Y42" s="722">
        <v>1.55</v>
      </c>
      <c r="Z42" s="722">
        <v>1.55</v>
      </c>
      <c r="AA42" s="722"/>
      <c r="AB42" s="722">
        <v>1.5</v>
      </c>
      <c r="AC42" s="722">
        <v>1.45</v>
      </c>
      <c r="AD42" s="723">
        <v>1.45</v>
      </c>
      <c r="AE42" s="636"/>
      <c r="AF42" s="789">
        <v>1</v>
      </c>
      <c r="AG42" s="770">
        <v>4.5999999999999996</v>
      </c>
      <c r="AH42" s="770">
        <v>5</v>
      </c>
      <c r="AI42" s="771">
        <v>6.53</v>
      </c>
      <c r="AJ42" s="711">
        <v>75</v>
      </c>
      <c r="AK42" s="636"/>
      <c r="AL42" s="705"/>
      <c r="AM42" s="705"/>
      <c r="AN42" s="705">
        <f>0*1.3</f>
        <v>0</v>
      </c>
      <c r="AO42" s="705">
        <f>0*1.3</f>
        <v>0</v>
      </c>
      <c r="AP42" s="705">
        <f>(411.516)*1.3</f>
        <v>534.97080000000005</v>
      </c>
      <c r="AQ42" s="705">
        <f>(454.968)*1.3</f>
        <v>591.4584000000001</v>
      </c>
      <c r="AR42" s="705">
        <f>(454.968)*1.3</f>
        <v>591.4584000000001</v>
      </c>
      <c r="AS42" s="705">
        <f>(609.409245924072)*1.3</f>
        <v>792.23201970129367</v>
      </c>
      <c r="AT42" s="705">
        <f>(664.56)*1.3</f>
        <v>863.928</v>
      </c>
      <c r="AU42" s="705">
        <f>(664.56)*1.3</f>
        <v>863.928</v>
      </c>
      <c r="AV42" s="705"/>
    </row>
    <row r="43" spans="10:48" ht="14.25" hidden="1" customHeight="1">
      <c r="J43" s="711">
        <v>80</v>
      </c>
      <c r="K43" s="756">
        <v>0</v>
      </c>
      <c r="L43" s="757">
        <v>0</v>
      </c>
      <c r="M43" s="658">
        <v>534.97080000000005</v>
      </c>
      <c r="N43" s="658">
        <v>591.4584000000001</v>
      </c>
      <c r="O43" s="757">
        <v>591.4584000000001</v>
      </c>
      <c r="P43" s="757"/>
      <c r="Q43" s="658">
        <v>792.23201970129367</v>
      </c>
      <c r="R43" s="658">
        <v>863.928</v>
      </c>
      <c r="S43" s="758">
        <v>863.928</v>
      </c>
      <c r="T43" s="636"/>
      <c r="U43" s="711">
        <v>80</v>
      </c>
      <c r="V43" s="724" t="s">
        <v>318</v>
      </c>
      <c r="W43" s="725" t="s">
        <v>318</v>
      </c>
      <c r="X43" s="727">
        <v>1.55</v>
      </c>
      <c r="Y43" s="727">
        <v>1.5</v>
      </c>
      <c r="Z43" s="725" t="s">
        <v>318</v>
      </c>
      <c r="AA43" s="725"/>
      <c r="AB43" s="727">
        <v>1.45</v>
      </c>
      <c r="AC43" s="727">
        <v>1.4</v>
      </c>
      <c r="AD43" s="726" t="s">
        <v>318</v>
      </c>
      <c r="AE43" s="636"/>
      <c r="AF43" s="790">
        <v>1</v>
      </c>
      <c r="AG43" s="772">
        <v>3.92</v>
      </c>
      <c r="AH43" s="772">
        <v>4.5</v>
      </c>
      <c r="AI43" s="773">
        <v>5.6</v>
      </c>
      <c r="AJ43" s="711">
        <v>80</v>
      </c>
      <c r="AK43" s="636"/>
      <c r="AL43" s="705"/>
      <c r="AM43" s="705"/>
      <c r="AN43" s="705">
        <f>(325.74)*1.3</f>
        <v>423.46200000000005</v>
      </c>
      <c r="AO43" s="705">
        <f>(366)*1.3</f>
        <v>475.8</v>
      </c>
      <c r="AP43" s="705">
        <f>(484.8)*1.3</f>
        <v>630.24</v>
      </c>
      <c r="AQ43" s="705">
        <f>(562.8)*1.3</f>
        <v>731.64</v>
      </c>
      <c r="AR43" s="705">
        <f>0*1.3</f>
        <v>0</v>
      </c>
      <c r="AS43" s="705">
        <f>(698.4)*1.3</f>
        <v>907.92</v>
      </c>
      <c r="AT43" s="705">
        <f>(772.8)*1.3</f>
        <v>1004.64</v>
      </c>
      <c r="AU43" s="705">
        <f t="shared" ref="AU43:AU51" si="1">0*1.3</f>
        <v>0</v>
      </c>
      <c r="AV43" s="705"/>
    </row>
    <row r="44" spans="10:48" ht="14.25" hidden="1" customHeight="1">
      <c r="J44" s="711">
        <v>90</v>
      </c>
      <c r="K44" s="659">
        <v>423.46200000000005</v>
      </c>
      <c r="L44" s="661">
        <v>475.8</v>
      </c>
      <c r="M44" s="660">
        <v>630.24</v>
      </c>
      <c r="N44" s="660">
        <v>731.64</v>
      </c>
      <c r="O44" s="661">
        <v>0</v>
      </c>
      <c r="P44" s="661"/>
      <c r="Q44" s="660">
        <v>907.92</v>
      </c>
      <c r="R44" s="660">
        <v>1004.64</v>
      </c>
      <c r="S44" s="759">
        <v>0</v>
      </c>
      <c r="T44" s="636"/>
      <c r="U44" s="711">
        <v>90</v>
      </c>
      <c r="V44" s="728">
        <v>1.6</v>
      </c>
      <c r="W44" s="729">
        <v>1.55</v>
      </c>
      <c r="X44" s="729">
        <v>1.5</v>
      </c>
      <c r="Y44" s="729">
        <v>1.45</v>
      </c>
      <c r="Z44" s="729">
        <v>1.45</v>
      </c>
      <c r="AA44" s="729"/>
      <c r="AB44" s="729">
        <v>1.4</v>
      </c>
      <c r="AC44" s="729">
        <v>1.3</v>
      </c>
      <c r="AD44" s="730">
        <v>1.3</v>
      </c>
      <c r="AE44" s="636"/>
      <c r="AF44" s="791">
        <v>1</v>
      </c>
      <c r="AG44" s="774">
        <v>3.51</v>
      </c>
      <c r="AH44" s="774">
        <v>3.96</v>
      </c>
      <c r="AI44" s="775">
        <v>4.93</v>
      </c>
      <c r="AJ44" s="711">
        <v>90</v>
      </c>
      <c r="AK44" s="636"/>
      <c r="AL44" s="705"/>
      <c r="AM44" s="705"/>
      <c r="AN44" s="705">
        <f>(403.9166501568)*1.3</f>
        <v>525.09164520384002</v>
      </c>
      <c r="AO44" s="705">
        <f>(458.99619336)*1.3</f>
        <v>596.69505136800001</v>
      </c>
      <c r="AP44" s="705">
        <f>(579.6)*1.3</f>
        <v>753.48</v>
      </c>
      <c r="AQ44" s="705">
        <f>(640.8)*1.3</f>
        <v>833.04</v>
      </c>
      <c r="AR44" s="705">
        <f>0*1.3</f>
        <v>0</v>
      </c>
      <c r="AS44" s="705">
        <f>(858.3228815832)*1.3</f>
        <v>1115.81974605816</v>
      </c>
      <c r="AT44" s="705">
        <f>(936)*1.3</f>
        <v>1216.8</v>
      </c>
      <c r="AU44" s="705">
        <f t="shared" si="1"/>
        <v>0</v>
      </c>
      <c r="AV44" s="705"/>
    </row>
    <row r="45" spans="10:48" ht="14.25" hidden="1" customHeight="1">
      <c r="J45" s="711">
        <v>110</v>
      </c>
      <c r="K45" s="662">
        <v>525.09164520384002</v>
      </c>
      <c r="L45" s="663">
        <v>596.69505136800001</v>
      </c>
      <c r="M45" s="663">
        <v>753.48</v>
      </c>
      <c r="N45" s="663">
        <v>833.04</v>
      </c>
      <c r="O45" s="663">
        <v>0</v>
      </c>
      <c r="P45" s="663"/>
      <c r="Q45" s="663">
        <v>1115.81974605816</v>
      </c>
      <c r="R45" s="663">
        <v>1216.8</v>
      </c>
      <c r="S45" s="664">
        <v>0</v>
      </c>
      <c r="T45" s="636"/>
      <c r="U45" s="711">
        <v>110</v>
      </c>
      <c r="V45" s="731">
        <v>1.5</v>
      </c>
      <c r="W45" s="732">
        <v>1.3</v>
      </c>
      <c r="X45" s="732">
        <v>1.3</v>
      </c>
      <c r="Y45" s="732">
        <v>1.3</v>
      </c>
      <c r="Z45" s="732">
        <v>1.3</v>
      </c>
      <c r="AA45" s="732"/>
      <c r="AB45" s="732">
        <v>1.3</v>
      </c>
      <c r="AC45" s="732">
        <v>1.3</v>
      </c>
      <c r="AD45" s="733">
        <v>1.3</v>
      </c>
      <c r="AE45" s="636"/>
      <c r="AF45" s="792">
        <v>1</v>
      </c>
      <c r="AG45" s="776">
        <v>3.41</v>
      </c>
      <c r="AH45" s="776">
        <v>3.96</v>
      </c>
      <c r="AI45" s="777">
        <v>4.93</v>
      </c>
      <c r="AJ45" s="711">
        <v>110</v>
      </c>
      <c r="AK45" s="636"/>
      <c r="AL45" s="705"/>
      <c r="AM45" s="705"/>
      <c r="AN45" s="705">
        <f>(438)*1.3</f>
        <v>569.4</v>
      </c>
      <c r="AO45" s="705">
        <f>(550.8)*1.3</f>
        <v>716.04</v>
      </c>
      <c r="AP45" s="705">
        <f>(915.6)*1.3</f>
        <v>1190.28</v>
      </c>
      <c r="AQ45" s="705">
        <f>0*1.3</f>
        <v>0</v>
      </c>
      <c r="AR45" s="705">
        <f>(949.2)*1.3</f>
        <v>1233.96</v>
      </c>
      <c r="AS45" s="705">
        <f>(1154.4)*1.3</f>
        <v>1500.7200000000003</v>
      </c>
      <c r="AT45" s="705">
        <f>(1240.8)*1.3</f>
        <v>1613.04</v>
      </c>
      <c r="AU45" s="705">
        <f t="shared" si="1"/>
        <v>0</v>
      </c>
      <c r="AV45" s="705"/>
    </row>
    <row r="46" spans="10:48" ht="14.25" hidden="1" customHeight="1">
      <c r="J46" s="711">
        <v>140</v>
      </c>
      <c r="K46" s="1019">
        <f>K47*0.965</f>
        <v>549.471</v>
      </c>
      <c r="L46" s="1019">
        <f t="shared" ref="L46:Q46" si="2">L47*0.965</f>
        <v>690.97859999999991</v>
      </c>
      <c r="M46" s="1019">
        <f t="shared" si="2"/>
        <v>1148.6201999999998</v>
      </c>
      <c r="N46" s="1019">
        <f t="shared" si="2"/>
        <v>0</v>
      </c>
      <c r="O46" s="1019">
        <f t="shared" si="2"/>
        <v>1190.7714000000001</v>
      </c>
      <c r="P46" s="1266">
        <f t="shared" si="2"/>
        <v>1375.7850600000002</v>
      </c>
      <c r="Q46" s="1019">
        <f t="shared" si="2"/>
        <v>1448.1948000000002</v>
      </c>
      <c r="R46" s="1266">
        <f>R47*0.965</f>
        <v>1424.2739940000001</v>
      </c>
      <c r="S46" s="1273">
        <f>S47*0.965</f>
        <v>1556.5835999999999</v>
      </c>
      <c r="T46" s="636"/>
      <c r="U46" s="711"/>
      <c r="V46" s="1020">
        <v>1.4</v>
      </c>
      <c r="W46" s="1021">
        <v>1.35</v>
      </c>
      <c r="X46" s="1021">
        <v>1.32</v>
      </c>
      <c r="Y46" s="1021"/>
      <c r="Z46" s="1021">
        <v>1.3</v>
      </c>
      <c r="AA46" s="1268">
        <v>1.28</v>
      </c>
      <c r="AB46" s="1021">
        <v>1.28</v>
      </c>
      <c r="AC46" s="1022">
        <v>1.25</v>
      </c>
      <c r="AD46" s="1022">
        <v>1.25</v>
      </c>
      <c r="AE46" s="636"/>
      <c r="AF46" s="1023">
        <v>1</v>
      </c>
      <c r="AG46" s="1024">
        <v>3.41</v>
      </c>
      <c r="AH46" s="1024">
        <v>3.96</v>
      </c>
      <c r="AI46" s="1025">
        <v>4.93</v>
      </c>
      <c r="AJ46" s="711">
        <v>140</v>
      </c>
      <c r="AK46" s="636"/>
      <c r="AL46" s="705"/>
      <c r="AM46" s="705"/>
      <c r="AN46" s="705"/>
      <c r="AO46" s="705"/>
      <c r="AP46" s="705"/>
      <c r="AQ46" s="705"/>
      <c r="AR46" s="705"/>
      <c r="AS46" s="705"/>
      <c r="AT46" s="705"/>
      <c r="AU46" s="705"/>
      <c r="AV46" s="705"/>
    </row>
    <row r="47" spans="10:48" ht="14.25" hidden="1" customHeight="1">
      <c r="J47" s="711">
        <v>150</v>
      </c>
      <c r="K47" s="665">
        <v>569.4</v>
      </c>
      <c r="L47" s="667">
        <v>716.04</v>
      </c>
      <c r="M47" s="666">
        <v>1190.28</v>
      </c>
      <c r="N47" s="668">
        <v>0</v>
      </c>
      <c r="O47" s="667">
        <v>1233.96</v>
      </c>
      <c r="P47" s="1267">
        <f>Q47*0.95</f>
        <v>1425.6840000000002</v>
      </c>
      <c r="Q47" s="668">
        <v>1500.7200000000003</v>
      </c>
      <c r="R47" s="1267">
        <f>S47*0.915</f>
        <v>1475.9316000000001</v>
      </c>
      <c r="S47" s="1274">
        <v>1613.04</v>
      </c>
      <c r="T47" s="636"/>
      <c r="U47" s="711">
        <v>150</v>
      </c>
      <c r="V47" s="734">
        <v>1.4</v>
      </c>
      <c r="W47" s="735">
        <v>1.35</v>
      </c>
      <c r="X47" s="735">
        <v>1.32</v>
      </c>
      <c r="Y47" s="735"/>
      <c r="Z47" s="735">
        <v>1.3</v>
      </c>
      <c r="AA47" s="1269">
        <v>1.28</v>
      </c>
      <c r="AB47" s="735">
        <v>1.28</v>
      </c>
      <c r="AC47" s="736">
        <v>1.25</v>
      </c>
      <c r="AD47" s="736">
        <v>1.25</v>
      </c>
      <c r="AE47" s="636"/>
      <c r="AF47" s="793">
        <v>1</v>
      </c>
      <c r="AG47" s="778">
        <v>3.41</v>
      </c>
      <c r="AH47" s="778">
        <v>3.96</v>
      </c>
      <c r="AI47" s="779">
        <v>4.93</v>
      </c>
      <c r="AJ47" s="711">
        <v>150</v>
      </c>
      <c r="AK47" s="636"/>
      <c r="AL47" s="705"/>
      <c r="AM47" s="705"/>
      <c r="AN47" s="705">
        <f>(607.86145056384)*1.3</f>
        <v>790.219885732992</v>
      </c>
      <c r="AO47" s="705">
        <f>(690.751648368)*1.3</f>
        <v>897.97714287840006</v>
      </c>
      <c r="AP47" s="705">
        <f>(872.782763961056)*1.3</f>
        <v>1134.6175931493729</v>
      </c>
      <c r="AQ47" s="705">
        <f>(934.869396499123)*1.3</f>
        <v>1215.3302154488599</v>
      </c>
      <c r="AR47" s="705">
        <f>(1183.606971288)*1.3</f>
        <v>1538.6890626744002</v>
      </c>
      <c r="AS47" s="705">
        <f>(1291.70558244816)*1.3</f>
        <v>1679.2172571826079</v>
      </c>
      <c r="AT47" s="705">
        <f>(1350.7120818652)*1.3</f>
        <v>1755.9257064247599</v>
      </c>
      <c r="AU47" s="705">
        <f t="shared" si="1"/>
        <v>0</v>
      </c>
      <c r="AV47" s="705"/>
    </row>
    <row r="48" spans="10:48" ht="14.25" hidden="1" customHeight="1">
      <c r="J48" s="711">
        <v>200</v>
      </c>
      <c r="K48" s="670">
        <v>790.219885732992</v>
      </c>
      <c r="L48" s="671">
        <v>897.97714287840006</v>
      </c>
      <c r="M48" s="671">
        <v>1134.6175931493729</v>
      </c>
      <c r="N48" s="671">
        <v>1215.3302154488599</v>
      </c>
      <c r="O48" s="671">
        <v>1538.6890626744002</v>
      </c>
      <c r="P48" s="671"/>
      <c r="Q48" s="671">
        <v>1679.2172571826079</v>
      </c>
      <c r="R48" s="1275"/>
      <c r="S48" s="1276">
        <v>1755.9257064247599</v>
      </c>
      <c r="T48" s="636"/>
      <c r="U48" s="711">
        <v>200</v>
      </c>
      <c r="V48" s="737"/>
      <c r="W48" s="738"/>
      <c r="X48" s="738"/>
      <c r="Y48" s="738"/>
      <c r="Z48" s="738"/>
      <c r="AA48" s="738"/>
      <c r="AB48" s="738"/>
      <c r="AC48" s="738"/>
      <c r="AD48" s="739"/>
      <c r="AE48" s="636"/>
      <c r="AF48" s="793">
        <v>1</v>
      </c>
      <c r="AG48" s="778">
        <v>2.73</v>
      </c>
      <c r="AH48" s="778">
        <v>3.11</v>
      </c>
      <c r="AI48" s="779">
        <v>3.89</v>
      </c>
      <c r="AJ48" s="711">
        <v>150.16</v>
      </c>
      <c r="AK48" s="636"/>
      <c r="AL48" s="705"/>
      <c r="AM48" s="705"/>
      <c r="AN48" s="705">
        <f>(762.311726500247)*1.3</f>
        <v>991.00524445032113</v>
      </c>
      <c r="AO48" s="705">
        <f>(866.263325568462)*1.3</f>
        <v>1126.1423232390007</v>
      </c>
      <c r="AP48" s="705">
        <f>(1094.54635597908)*1.3</f>
        <v>1422.9102627728041</v>
      </c>
      <c r="AQ48" s="705">
        <f>(1172.40845432202)*1.3</f>
        <v>1524.1309906186259</v>
      </c>
      <c r="AR48" s="705">
        <f>(1475.90124576649)*1.3</f>
        <v>1918.6716194964372</v>
      </c>
      <c r="AS48" s="705">
        <f>(1619.91241881302)*1.3</f>
        <v>2105.8861444569261</v>
      </c>
      <c r="AT48" s="705">
        <f>(1693.91175929369)*1.3</f>
        <v>2202.0852870817971</v>
      </c>
      <c r="AU48" s="705">
        <f t="shared" si="1"/>
        <v>0</v>
      </c>
      <c r="AV48" s="705"/>
    </row>
    <row r="49" spans="10:61" ht="14.25" hidden="1" customHeight="1">
      <c r="J49" s="711">
        <v>300</v>
      </c>
      <c r="K49" s="673">
        <v>991.00524445032113</v>
      </c>
      <c r="L49" s="674">
        <v>1126.1423232390007</v>
      </c>
      <c r="M49" s="674">
        <v>1422.9102627728041</v>
      </c>
      <c r="N49" s="674">
        <v>1524.1309906186259</v>
      </c>
      <c r="O49" s="674">
        <v>1918.6716194964372</v>
      </c>
      <c r="P49" s="674"/>
      <c r="Q49" s="674">
        <v>2105.8861444569261</v>
      </c>
      <c r="R49" s="1277"/>
      <c r="S49" s="1278">
        <v>2202.0852870817971</v>
      </c>
      <c r="T49" s="636"/>
      <c r="U49" s="711">
        <v>300</v>
      </c>
      <c r="V49" s="740"/>
      <c r="W49" s="741"/>
      <c r="X49" s="741"/>
      <c r="Y49" s="741"/>
      <c r="Z49" s="741"/>
      <c r="AA49" s="741"/>
      <c r="AB49" s="741"/>
      <c r="AC49" s="741"/>
      <c r="AD49" s="742"/>
      <c r="AE49" s="636"/>
      <c r="AF49" s="793">
        <v>1</v>
      </c>
      <c r="AG49" s="780">
        <v>2.73</v>
      </c>
      <c r="AH49" s="780">
        <v>2.83</v>
      </c>
      <c r="AI49" s="781">
        <v>3.66</v>
      </c>
      <c r="AJ49" s="712" t="s">
        <v>319</v>
      </c>
      <c r="AK49" s="636"/>
      <c r="AL49" s="705"/>
      <c r="AM49" s="705"/>
      <c r="AN49" s="705">
        <f>(956.005957970772)*1.3</f>
        <v>1242.8077453620035</v>
      </c>
      <c r="AO49" s="705">
        <f>(1086.37040678497)*1.3</f>
        <v>1412.2815288204613</v>
      </c>
      <c r="AP49" s="705">
        <f>(1372.65740669524)*1.3</f>
        <v>1784.4546287038122</v>
      </c>
      <c r="AQ49" s="705">
        <f>(1470.30332676745)*1.3</f>
        <v>1911.3943247976852</v>
      </c>
      <c r="AR49" s="705">
        <f>(1840.37821683719)*1.3</f>
        <v>2392.4916818883471</v>
      </c>
      <c r="AS49" s="705">
        <f>(2031.51266068789)*1.3</f>
        <v>2640.9664588942574</v>
      </c>
      <c r="AT49" s="705">
        <f>(2124.31434263263)*1.3</f>
        <v>2761.6086454224192</v>
      </c>
      <c r="AU49" s="705">
        <f t="shared" si="1"/>
        <v>0</v>
      </c>
      <c r="AV49" s="705"/>
    </row>
    <row r="50" spans="10:61" ht="14.25" hidden="1" customHeight="1" thickBot="1">
      <c r="J50" s="711">
        <v>400</v>
      </c>
      <c r="K50" s="676">
        <v>1242.8077453620035</v>
      </c>
      <c r="L50" s="677">
        <v>1412.2815288204613</v>
      </c>
      <c r="M50" s="677">
        <v>1784.4546287038122</v>
      </c>
      <c r="N50" s="677">
        <v>1911.3943247976852</v>
      </c>
      <c r="O50" s="677">
        <v>2392.4916818883471</v>
      </c>
      <c r="P50" s="677"/>
      <c r="Q50" s="677">
        <v>2640.9664588942574</v>
      </c>
      <c r="R50" s="1279"/>
      <c r="S50" s="1280">
        <v>2761.6086454224192</v>
      </c>
      <c r="T50" s="636"/>
      <c r="U50" s="711">
        <v>400</v>
      </c>
      <c r="V50" s="743"/>
      <c r="W50" s="744"/>
      <c r="X50" s="744"/>
      <c r="Y50" s="744"/>
      <c r="Z50" s="744"/>
      <c r="AA50" s="744"/>
      <c r="AB50" s="744"/>
      <c r="AC50" s="744"/>
      <c r="AD50" s="745"/>
      <c r="AE50" s="636"/>
      <c r="AF50" s="793">
        <v>1</v>
      </c>
      <c r="AG50" s="782">
        <v>3.41</v>
      </c>
      <c r="AH50" s="782">
        <v>3.86</v>
      </c>
      <c r="AI50" s="783">
        <v>4.63</v>
      </c>
      <c r="AJ50" s="679" t="s">
        <v>321</v>
      </c>
      <c r="AK50" s="636"/>
      <c r="AL50" s="705"/>
      <c r="AM50" s="705"/>
      <c r="AN50" s="705">
        <f>(1198.91556157941)*1.3</f>
        <v>1558.590230053233</v>
      </c>
      <c r="AO50" s="705">
        <f>(1362.40404724933)*1.3</f>
        <v>1771.1252614241291</v>
      </c>
      <c r="AP50" s="705">
        <f>(1721.43312694132)*1.3</f>
        <v>2237.863065023716</v>
      </c>
      <c r="AQ50" s="705">
        <f>(1843.88969964701)*1.3</f>
        <v>2397.0566095411132</v>
      </c>
      <c r="AR50" s="705">
        <f>(2294.86355589452)*1.3</f>
        <v>2983.3226226628758</v>
      </c>
      <c r="AS50" s="705">
        <f>(2547.69556835625)*1.3</f>
        <v>3312.004238863125</v>
      </c>
      <c r="AT50" s="705">
        <f>(2664.0770403509)*1.3</f>
        <v>3463.3001524561701</v>
      </c>
      <c r="AU50" s="705">
        <f t="shared" si="1"/>
        <v>0</v>
      </c>
      <c r="AV50" s="705"/>
    </row>
    <row r="51" spans="10:61" ht="14.25" hidden="1" customHeight="1">
      <c r="J51" s="711">
        <v>500</v>
      </c>
      <c r="K51" s="680">
        <v>1558.590230053233</v>
      </c>
      <c r="L51" s="681">
        <v>1771.1252614241291</v>
      </c>
      <c r="M51" s="681">
        <v>2237.863065023716</v>
      </c>
      <c r="N51" s="681">
        <v>2397.0566095411132</v>
      </c>
      <c r="O51" s="681">
        <v>2983.3226226628758</v>
      </c>
      <c r="P51" s="681"/>
      <c r="Q51" s="681">
        <v>3312.004238863125</v>
      </c>
      <c r="R51" s="1281"/>
      <c r="S51" s="1282">
        <v>3463.3001524561701</v>
      </c>
      <c r="T51" s="636"/>
      <c r="U51" s="711">
        <v>500</v>
      </c>
      <c r="V51" s="746"/>
      <c r="W51" s="747"/>
      <c r="X51" s="747"/>
      <c r="Y51" s="747"/>
      <c r="Z51" s="747"/>
      <c r="AA51" s="747"/>
      <c r="AB51" s="747"/>
      <c r="AC51" s="747"/>
      <c r="AD51" s="748"/>
      <c r="AE51" s="636"/>
      <c r="AF51" s="793">
        <v>1</v>
      </c>
      <c r="AG51" s="780">
        <v>3.05</v>
      </c>
      <c r="AH51" s="780">
        <v>3.25</v>
      </c>
      <c r="AI51" s="781">
        <v>4.0999999999999996</v>
      </c>
      <c r="AJ51" s="712" t="s">
        <v>544</v>
      </c>
      <c r="AK51" s="636"/>
      <c r="AL51" s="705"/>
      <c r="AM51" s="705"/>
      <c r="AN51" s="705">
        <f>(1503.54557083338)*1.3</f>
        <v>1954.6092420833941</v>
      </c>
      <c r="AO51" s="705">
        <f>(1708.57451231066)*1.3</f>
        <v>2221.1468660038581</v>
      </c>
      <c r="AP51" s="705">
        <f>(2158.82855844227)*1.3</f>
        <v>2806.4771259749514</v>
      </c>
      <c r="AQ51" s="705">
        <f>(2312.39987189533)*1.3</f>
        <v>3006.1198334639289</v>
      </c>
      <c r="AR51" s="705">
        <f>(2861.58502203068)*1.3</f>
        <v>3720.0605286398845</v>
      </c>
      <c r="AS51" s="705">
        <f>(3195.03433802093)*1.3</f>
        <v>4153.5446394272094</v>
      </c>
      <c r="AT51" s="705">
        <f>(3340.98694081649)*1.3</f>
        <v>4343.2830230614372</v>
      </c>
      <c r="AU51" s="705">
        <f t="shared" si="1"/>
        <v>0</v>
      </c>
      <c r="AV51" s="705"/>
    </row>
    <row r="52" spans="10:61" ht="14.25" hidden="1" customHeight="1" thickBot="1">
      <c r="J52" s="760">
        <v>600</v>
      </c>
      <c r="K52" s="683">
        <v>1954.6092420833941</v>
      </c>
      <c r="L52" s="684">
        <v>2221.1468660038581</v>
      </c>
      <c r="M52" s="684">
        <v>2806.4771259749514</v>
      </c>
      <c r="N52" s="684">
        <v>3006.1198334639289</v>
      </c>
      <c r="O52" s="684">
        <v>3720.0605286398845</v>
      </c>
      <c r="P52" s="684"/>
      <c r="Q52" s="684">
        <v>4153.5446394272094</v>
      </c>
      <c r="R52" s="1283"/>
      <c r="S52" s="1284">
        <v>4343.2830230614372</v>
      </c>
      <c r="T52" s="636"/>
      <c r="U52" s="760">
        <v>600</v>
      </c>
      <c r="V52" s="749"/>
      <c r="W52" s="750"/>
      <c r="X52" s="750"/>
      <c r="Y52" s="750"/>
      <c r="Z52" s="750"/>
      <c r="AA52" s="750"/>
      <c r="AB52" s="750"/>
      <c r="AC52" s="750"/>
      <c r="AD52" s="751"/>
      <c r="AE52" s="636"/>
      <c r="AF52" s="691"/>
      <c r="AG52" s="691"/>
      <c r="AH52" s="691"/>
      <c r="AI52" s="691"/>
      <c r="AJ52" s="691"/>
      <c r="AK52" s="636"/>
      <c r="AL52" s="705"/>
      <c r="AM52" s="705"/>
      <c r="AN52" s="705"/>
      <c r="AO52" s="705"/>
      <c r="AP52" s="705"/>
      <c r="AQ52" s="705"/>
      <c r="AR52" s="705"/>
      <c r="AS52" s="705"/>
      <c r="AT52" s="705"/>
      <c r="AU52" s="705"/>
      <c r="AV52" s="705"/>
    </row>
    <row r="53" spans="10:61" ht="24.75" hidden="1" customHeight="1" thickBot="1">
      <c r="J53" s="2404" t="s">
        <v>184</v>
      </c>
      <c r="K53" s="2405"/>
      <c r="L53" s="2405"/>
      <c r="M53" s="2405"/>
      <c r="N53" s="2405"/>
      <c r="O53" s="2405"/>
      <c r="P53" s="2405"/>
      <c r="Q53" s="2405"/>
      <c r="R53" s="2405"/>
      <c r="S53" s="2405"/>
      <c r="T53" s="2405"/>
      <c r="U53" s="2405"/>
      <c r="V53" s="2405"/>
      <c r="W53" s="2405"/>
      <c r="X53" s="2405"/>
      <c r="Y53" s="2405"/>
      <c r="Z53" s="2405"/>
      <c r="AA53" s="2405"/>
      <c r="AB53" s="2406"/>
      <c r="AC53" s="636"/>
      <c r="AD53" s="636"/>
      <c r="AE53" s="636"/>
      <c r="AF53" s="636"/>
      <c r="AG53" s="636"/>
      <c r="AH53" s="636"/>
      <c r="AI53" s="636"/>
      <c r="AJ53" s="636"/>
      <c r="AK53" s="636"/>
      <c r="AL53" s="636"/>
      <c r="AM53" s="636"/>
      <c r="AN53" s="636"/>
      <c r="AO53" s="636"/>
      <c r="AP53" s="636"/>
      <c r="AQ53" s="636"/>
      <c r="AR53" s="636"/>
      <c r="AS53" s="636"/>
      <c r="AT53" s="636"/>
      <c r="AU53" s="636"/>
      <c r="AV53" s="636"/>
      <c r="AW53" s="636"/>
      <c r="AX53" s="636"/>
      <c r="AY53" s="636"/>
      <c r="AZ53" s="636"/>
      <c r="BA53" s="636"/>
      <c r="BB53" s="636"/>
      <c r="BC53" s="636"/>
      <c r="BD53" s="636"/>
      <c r="BE53" s="636"/>
      <c r="BF53" s="636"/>
      <c r="BG53" s="636"/>
      <c r="BH53" s="638"/>
      <c r="BI53" s="638"/>
    </row>
    <row r="54" spans="10:61" ht="14.25" hidden="1" customHeight="1" thickBot="1">
      <c r="J54" s="2300" t="s">
        <v>220</v>
      </c>
      <c r="K54" s="2301"/>
      <c r="L54" s="2301"/>
      <c r="M54" s="2301"/>
      <c r="N54" s="2301"/>
      <c r="O54" s="2301"/>
      <c r="P54" s="2301"/>
      <c r="Q54" s="2301"/>
      <c r="R54" s="2302"/>
      <c r="S54" s="636"/>
      <c r="T54" s="2300" t="s">
        <v>221</v>
      </c>
      <c r="U54" s="2301"/>
      <c r="V54" s="2301"/>
      <c r="W54" s="2301"/>
      <c r="X54" s="2301"/>
      <c r="Y54" s="2301"/>
      <c r="Z54" s="2301"/>
      <c r="AA54" s="2301"/>
      <c r="AB54" s="2302"/>
      <c r="AC54" s="636"/>
      <c r="AI54" s="636"/>
      <c r="AJ54" s="636"/>
      <c r="AK54" s="636"/>
      <c r="AL54" s="636"/>
      <c r="AM54" s="636"/>
      <c r="AN54" s="636"/>
      <c r="AO54" s="636"/>
      <c r="AP54" s="636"/>
      <c r="AQ54" s="636"/>
      <c r="AR54" s="636"/>
      <c r="AS54" s="636"/>
      <c r="AT54" s="636"/>
      <c r="AU54" s="636"/>
      <c r="AV54" s="636"/>
      <c r="AW54" s="636"/>
      <c r="AX54" s="636"/>
      <c r="AY54" s="636"/>
      <c r="AZ54" s="636"/>
      <c r="BA54" s="636"/>
      <c r="BB54" s="636"/>
      <c r="BC54" s="636"/>
      <c r="BD54" s="636"/>
      <c r="BE54" s="636"/>
      <c r="BF54" s="636"/>
      <c r="BG54" s="636"/>
      <c r="BH54" s="638"/>
      <c r="BI54" s="638"/>
    </row>
    <row r="55" spans="10:61" ht="14.25" hidden="1" customHeight="1" thickBot="1">
      <c r="J55" s="651" t="s">
        <v>1</v>
      </c>
      <c r="K55" s="2337">
        <v>160</v>
      </c>
      <c r="L55" s="2294">
        <v>200</v>
      </c>
      <c r="M55" s="2294">
        <v>260</v>
      </c>
      <c r="N55" s="2296">
        <v>300</v>
      </c>
      <c r="O55" s="2297"/>
      <c r="P55" s="2294">
        <v>360</v>
      </c>
      <c r="Q55" s="2296">
        <v>400</v>
      </c>
      <c r="R55" s="2353"/>
      <c r="S55" s="636"/>
      <c r="T55" s="651" t="s">
        <v>1</v>
      </c>
      <c r="U55" s="2337">
        <v>160</v>
      </c>
      <c r="V55" s="2294">
        <v>200</v>
      </c>
      <c r="W55" s="2294">
        <v>260</v>
      </c>
      <c r="X55" s="2296">
        <v>300</v>
      </c>
      <c r="Y55" s="2297"/>
      <c r="Z55" s="2294">
        <v>360</v>
      </c>
      <c r="AA55" s="2296">
        <v>400</v>
      </c>
      <c r="AB55" s="2353"/>
      <c r="AC55" s="636"/>
      <c r="AD55" s="2300" t="s">
        <v>316</v>
      </c>
      <c r="AE55" s="2301"/>
      <c r="AF55" s="2301"/>
      <c r="AG55" s="2302"/>
      <c r="AH55" s="983" t="s">
        <v>0</v>
      </c>
      <c r="AI55" s="636"/>
      <c r="AJ55" s="636"/>
      <c r="AK55" s="636"/>
      <c r="AL55" s="636"/>
      <c r="AM55" s="636"/>
      <c r="AN55" s="636"/>
      <c r="AO55" s="636"/>
      <c r="AP55" s="636"/>
      <c r="AQ55" s="636"/>
      <c r="AR55" s="636"/>
      <c r="AS55" s="636"/>
      <c r="AT55" s="636"/>
      <c r="AU55" s="636"/>
      <c r="AV55" s="636"/>
      <c r="AW55" s="636"/>
      <c r="AX55" s="636"/>
      <c r="AY55" s="636"/>
      <c r="AZ55" s="636"/>
      <c r="BA55" s="636"/>
      <c r="BB55" s="636"/>
      <c r="BC55" s="636"/>
      <c r="BD55" s="636"/>
      <c r="BE55" s="636"/>
      <c r="BF55" s="636"/>
      <c r="BG55" s="636"/>
      <c r="BH55" s="638"/>
      <c r="BI55" s="638"/>
    </row>
    <row r="56" spans="10:61" ht="14.25" hidden="1" customHeight="1" thickBot="1">
      <c r="J56" s="652" t="s">
        <v>0</v>
      </c>
      <c r="K56" s="2338"/>
      <c r="L56" s="2295"/>
      <c r="M56" s="2295"/>
      <c r="N56" s="1222">
        <v>2</v>
      </c>
      <c r="O56" s="1222">
        <v>4</v>
      </c>
      <c r="P56" s="2295"/>
      <c r="Q56" s="1222">
        <v>1</v>
      </c>
      <c r="R56" s="765">
        <v>2</v>
      </c>
      <c r="S56" s="636"/>
      <c r="T56" s="652" t="s">
        <v>0</v>
      </c>
      <c r="U56" s="2338"/>
      <c r="V56" s="2295"/>
      <c r="W56" s="2295"/>
      <c r="X56" s="1222">
        <v>1</v>
      </c>
      <c r="Y56" s="1222">
        <v>2</v>
      </c>
      <c r="Z56" s="2295"/>
      <c r="AA56" s="1222">
        <v>1</v>
      </c>
      <c r="AB56" s="765">
        <v>2</v>
      </c>
      <c r="AC56" s="636"/>
      <c r="AD56" s="784">
        <v>0</v>
      </c>
      <c r="AE56" s="785">
        <v>1</v>
      </c>
      <c r="AF56" s="785">
        <v>2</v>
      </c>
      <c r="AG56" s="786">
        <v>3</v>
      </c>
      <c r="AH56" s="709" t="s">
        <v>317</v>
      </c>
      <c r="AI56" s="636"/>
      <c r="AJ56" s="636"/>
      <c r="AK56" s="636"/>
      <c r="AL56" s="636"/>
      <c r="AM56" s="636"/>
      <c r="AN56" s="636"/>
      <c r="AO56" s="636"/>
      <c r="AP56" s="636"/>
      <c r="AQ56" s="636"/>
      <c r="AR56" s="636"/>
      <c r="AS56" s="636"/>
      <c r="AT56" s="636"/>
      <c r="AU56" s="636"/>
      <c r="AV56" s="636"/>
      <c r="AW56" s="636"/>
      <c r="AX56" s="636"/>
      <c r="AY56" s="636"/>
      <c r="AZ56" s="636"/>
      <c r="BA56" s="636"/>
      <c r="BB56" s="636"/>
      <c r="BC56" s="636"/>
      <c r="BD56" s="636"/>
      <c r="BE56" s="636"/>
      <c r="BF56" s="636"/>
      <c r="BG56" s="636"/>
      <c r="BH56" s="638"/>
      <c r="BI56" s="638"/>
    </row>
    <row r="57" spans="10:61" ht="14.25" hidden="1" customHeight="1">
      <c r="J57" s="710">
        <v>65</v>
      </c>
      <c r="K57" s="752" t="s">
        <v>318</v>
      </c>
      <c r="L57" s="653" t="s">
        <v>318</v>
      </c>
      <c r="M57" s="653">
        <f>M59*0.71</f>
        <v>237.708</v>
      </c>
      <c r="N57" s="653">
        <f>N59*0.71</f>
        <v>263.26799999999997</v>
      </c>
      <c r="O57" s="653" t="s">
        <v>318</v>
      </c>
      <c r="P57" s="653">
        <f>P59*0.71</f>
        <v>367.21199999999993</v>
      </c>
      <c r="Q57" s="653">
        <f>Q59*0.71</f>
        <v>394.476</v>
      </c>
      <c r="R57" s="753" t="s">
        <v>318</v>
      </c>
      <c r="S57" s="636"/>
      <c r="T57" s="710">
        <v>65</v>
      </c>
      <c r="U57" s="713" t="s">
        <v>318</v>
      </c>
      <c r="V57" s="714" t="s">
        <v>318</v>
      </c>
      <c r="W57" s="716">
        <v>1.7</v>
      </c>
      <c r="X57" s="716">
        <v>1.65</v>
      </c>
      <c r="Y57" s="714" t="s">
        <v>318</v>
      </c>
      <c r="Z57" s="716">
        <v>1.6</v>
      </c>
      <c r="AA57" s="716">
        <v>1.55</v>
      </c>
      <c r="AB57" s="715" t="s">
        <v>318</v>
      </c>
      <c r="AC57" s="636"/>
      <c r="AD57" s="984">
        <v>1</v>
      </c>
      <c r="AE57" s="766">
        <v>5.12</v>
      </c>
      <c r="AF57" s="766">
        <v>5.66</v>
      </c>
      <c r="AG57" s="767">
        <v>6.53</v>
      </c>
      <c r="AH57" s="710">
        <v>65</v>
      </c>
      <c r="AI57" s="636"/>
      <c r="AJ57" s="636"/>
      <c r="AK57" s="636"/>
      <c r="AL57" s="636"/>
      <c r="AM57" s="636"/>
      <c r="AN57" s="636"/>
      <c r="AO57" s="636"/>
      <c r="AP57" s="636"/>
      <c r="AQ57" s="636"/>
      <c r="AR57" s="636"/>
      <c r="AS57" s="636"/>
      <c r="AT57" s="636"/>
      <c r="AU57" s="636"/>
      <c r="AV57" s="636"/>
      <c r="AW57" s="636"/>
      <c r="AX57" s="636"/>
      <c r="AY57" s="636"/>
      <c r="AZ57" s="636"/>
      <c r="BA57" s="636"/>
      <c r="BB57" s="636"/>
      <c r="BC57" s="636"/>
      <c r="BD57" s="636"/>
      <c r="BE57" s="636"/>
      <c r="BF57" s="636"/>
      <c r="BG57" s="636"/>
      <c r="BH57" s="638"/>
      <c r="BI57" s="638"/>
    </row>
    <row r="58" spans="10:61" ht="14.25" hidden="1" customHeight="1">
      <c r="J58" s="711">
        <v>70</v>
      </c>
      <c r="K58" s="754" t="s">
        <v>318</v>
      </c>
      <c r="L58" s="654" t="s">
        <v>318</v>
      </c>
      <c r="M58" s="654">
        <f>M60*0.71</f>
        <v>292.17635999999999</v>
      </c>
      <c r="N58" s="654">
        <f>N60*0.71</f>
        <v>323.02727999999996</v>
      </c>
      <c r="O58" s="654" t="s">
        <v>318</v>
      </c>
      <c r="P58" s="654">
        <f>P60*0.71</f>
        <v>432.68056460609114</v>
      </c>
      <c r="Q58" s="654">
        <f>Q60*0.71</f>
        <v>471.83759999999995</v>
      </c>
      <c r="R58" s="755" t="s">
        <v>318</v>
      </c>
      <c r="S58" s="636"/>
      <c r="T58" s="711">
        <v>70</v>
      </c>
      <c r="U58" s="717" t="s">
        <v>318</v>
      </c>
      <c r="V58" s="718" t="s">
        <v>318</v>
      </c>
      <c r="W58" s="720">
        <v>1.65</v>
      </c>
      <c r="X58" s="720">
        <v>1.6</v>
      </c>
      <c r="Y58" s="718" t="s">
        <v>318</v>
      </c>
      <c r="Z58" s="720">
        <v>1.55</v>
      </c>
      <c r="AA58" s="720">
        <v>1.5</v>
      </c>
      <c r="AB58" s="719" t="s">
        <v>318</v>
      </c>
      <c r="AC58" s="636"/>
      <c r="AD58" s="985">
        <v>1</v>
      </c>
      <c r="AE58" s="768">
        <v>5.12</v>
      </c>
      <c r="AF58" s="768">
        <v>5.66</v>
      </c>
      <c r="AG58" s="769">
        <v>6.53</v>
      </c>
      <c r="AH58" s="711">
        <v>70</v>
      </c>
      <c r="AI58" s="636"/>
      <c r="AJ58" s="636"/>
      <c r="AK58" s="636"/>
      <c r="AL58" s="636"/>
      <c r="AM58" s="636"/>
      <c r="AN58" s="636"/>
      <c r="AO58" s="636"/>
      <c r="AP58" s="636"/>
      <c r="AQ58" s="636"/>
      <c r="AR58" s="636"/>
      <c r="AS58" s="636"/>
      <c r="AT58" s="636"/>
      <c r="AU58" s="636"/>
      <c r="AV58" s="636"/>
      <c r="AW58" s="636"/>
      <c r="AX58" s="636"/>
      <c r="AY58" s="636"/>
      <c r="AZ58" s="636"/>
      <c r="BA58" s="636"/>
      <c r="BB58" s="636"/>
      <c r="BC58" s="636"/>
      <c r="BD58" s="636"/>
      <c r="BE58" s="636"/>
      <c r="BF58" s="636"/>
      <c r="BG58" s="636"/>
      <c r="BH58" s="638"/>
      <c r="BI58" s="638"/>
    </row>
    <row r="59" spans="10:61" ht="14.25" hidden="1" customHeight="1">
      <c r="J59" s="711">
        <v>75</v>
      </c>
      <c r="K59" s="655">
        <f>L59*0.9</f>
        <v>233.87400000000002</v>
      </c>
      <c r="L59" s="656">
        <f>L61*0.71</f>
        <v>259.86</v>
      </c>
      <c r="M59" s="656">
        <f>279*1.2</f>
        <v>334.8</v>
      </c>
      <c r="N59" s="656">
        <f>309*1.2</f>
        <v>370.8</v>
      </c>
      <c r="O59" s="656">
        <v>0</v>
      </c>
      <c r="P59" s="656">
        <f>431*1.2</f>
        <v>517.19999999999993</v>
      </c>
      <c r="Q59" s="656">
        <f>463*1.2</f>
        <v>555.6</v>
      </c>
      <c r="R59" s="657">
        <v>0</v>
      </c>
      <c r="S59" s="636"/>
      <c r="T59" s="711">
        <v>75</v>
      </c>
      <c r="U59" s="721">
        <v>1.7</v>
      </c>
      <c r="V59" s="722">
        <v>1.65</v>
      </c>
      <c r="W59" s="722">
        <v>1.6</v>
      </c>
      <c r="X59" s="722">
        <v>1.55</v>
      </c>
      <c r="Y59" s="722">
        <v>1.55</v>
      </c>
      <c r="Z59" s="722">
        <v>1.5</v>
      </c>
      <c r="AA59" s="722">
        <v>1.45</v>
      </c>
      <c r="AB59" s="723">
        <v>1.45</v>
      </c>
      <c r="AC59" s="636"/>
      <c r="AD59" s="986">
        <v>1</v>
      </c>
      <c r="AE59" s="770">
        <v>4.5999999999999996</v>
      </c>
      <c r="AF59" s="770">
        <v>5</v>
      </c>
      <c r="AG59" s="771">
        <v>6.53</v>
      </c>
      <c r="AH59" s="711">
        <v>75</v>
      </c>
      <c r="AI59" s="636"/>
      <c r="AJ59" s="636"/>
      <c r="AK59" s="636"/>
      <c r="AL59" s="636"/>
      <c r="AM59" s="636"/>
      <c r="AN59" s="636"/>
      <c r="AO59" s="636"/>
      <c r="AP59" s="636"/>
      <c r="AQ59" s="636"/>
      <c r="AR59" s="636"/>
      <c r="AS59" s="636"/>
      <c r="AT59" s="636"/>
      <c r="AU59" s="636"/>
      <c r="AV59" s="636"/>
      <c r="AW59" s="636"/>
      <c r="AX59" s="636"/>
      <c r="AY59" s="636"/>
      <c r="AZ59" s="636"/>
      <c r="BA59" s="636"/>
      <c r="BB59" s="636"/>
      <c r="BC59" s="636"/>
      <c r="BD59" s="636"/>
      <c r="BE59" s="636"/>
      <c r="BF59" s="636"/>
      <c r="BG59" s="636"/>
      <c r="BH59" s="638"/>
      <c r="BI59" s="638"/>
    </row>
    <row r="60" spans="10:61" ht="14.25" hidden="1" customHeight="1">
      <c r="J60" s="711">
        <v>80</v>
      </c>
      <c r="K60" s="756" t="s">
        <v>318</v>
      </c>
      <c r="L60" s="757" t="s">
        <v>318</v>
      </c>
      <c r="M60" s="658">
        <f>M62*0.71</f>
        <v>411.51600000000002</v>
      </c>
      <c r="N60" s="658">
        <f>N62*0.71</f>
        <v>454.96799999999996</v>
      </c>
      <c r="O60" s="757" t="s">
        <v>318</v>
      </c>
      <c r="P60" s="658">
        <f>P62*0.71</f>
        <v>609.40924592407202</v>
      </c>
      <c r="Q60" s="658">
        <f>Q62*0.71</f>
        <v>664.56</v>
      </c>
      <c r="R60" s="758" t="s">
        <v>318</v>
      </c>
      <c r="S60" s="636"/>
      <c r="T60" s="711">
        <v>80</v>
      </c>
      <c r="U60" s="724" t="s">
        <v>318</v>
      </c>
      <c r="V60" s="725" t="s">
        <v>318</v>
      </c>
      <c r="W60" s="727">
        <v>1.55</v>
      </c>
      <c r="X60" s="727">
        <v>1.5</v>
      </c>
      <c r="Y60" s="725" t="s">
        <v>318</v>
      </c>
      <c r="Z60" s="727">
        <v>1.45</v>
      </c>
      <c r="AA60" s="727">
        <v>1.4</v>
      </c>
      <c r="AB60" s="726" t="s">
        <v>318</v>
      </c>
      <c r="AC60" s="636"/>
      <c r="AD60" s="987">
        <v>1</v>
      </c>
      <c r="AE60" s="772">
        <v>3.92</v>
      </c>
      <c r="AF60" s="772">
        <v>4.5</v>
      </c>
      <c r="AG60" s="773">
        <v>5.6</v>
      </c>
      <c r="AH60" s="711">
        <v>80</v>
      </c>
      <c r="AI60" s="636"/>
      <c r="AJ60" s="636"/>
      <c r="AK60" s="636"/>
      <c r="AL60" s="636"/>
      <c r="AM60" s="636"/>
      <c r="AN60" s="636"/>
      <c r="AO60" s="636"/>
      <c r="AP60" s="636"/>
      <c r="AQ60" s="636"/>
      <c r="AR60" s="636"/>
      <c r="AS60" s="636"/>
      <c r="AT60" s="636"/>
      <c r="AU60" s="636"/>
      <c r="AV60" s="636"/>
      <c r="AW60" s="636"/>
      <c r="AX60" s="636"/>
      <c r="AY60" s="636"/>
      <c r="AZ60" s="636"/>
      <c r="BA60" s="636"/>
      <c r="BB60" s="636"/>
      <c r="BC60" s="636"/>
      <c r="BD60" s="636"/>
      <c r="BE60" s="636"/>
      <c r="BF60" s="636"/>
      <c r="BG60" s="636"/>
      <c r="BH60" s="638"/>
      <c r="BI60" s="638"/>
    </row>
    <row r="61" spans="10:61" ht="14.25" hidden="1" customHeight="1">
      <c r="J61" s="711">
        <v>90</v>
      </c>
      <c r="K61" s="659">
        <f>L61*0.89</f>
        <v>325.74</v>
      </c>
      <c r="L61" s="661">
        <f>305*1.2</f>
        <v>366</v>
      </c>
      <c r="M61" s="660">
        <f>404*1.2</f>
        <v>484.79999999999995</v>
      </c>
      <c r="N61" s="660">
        <f>469*1.2</f>
        <v>562.79999999999995</v>
      </c>
      <c r="O61" s="661">
        <v>0</v>
      </c>
      <c r="P61" s="660">
        <f>582*1.2</f>
        <v>698.4</v>
      </c>
      <c r="Q61" s="660">
        <f>644*1.2</f>
        <v>772.8</v>
      </c>
      <c r="R61" s="759">
        <v>0</v>
      </c>
      <c r="S61" s="636"/>
      <c r="T61" s="711">
        <v>90</v>
      </c>
      <c r="U61" s="728">
        <v>1.6</v>
      </c>
      <c r="V61" s="729">
        <v>1.55</v>
      </c>
      <c r="W61" s="729">
        <v>1.5</v>
      </c>
      <c r="X61" s="729">
        <v>1.45</v>
      </c>
      <c r="Y61" s="729">
        <v>1.45</v>
      </c>
      <c r="Z61" s="729">
        <v>1.4</v>
      </c>
      <c r="AA61" s="729">
        <v>1.3</v>
      </c>
      <c r="AB61" s="730">
        <v>1.3</v>
      </c>
      <c r="AC61" s="636"/>
      <c r="AD61" s="988">
        <v>1</v>
      </c>
      <c r="AE61" s="774">
        <v>3.51</v>
      </c>
      <c r="AF61" s="774">
        <v>3.96</v>
      </c>
      <c r="AG61" s="775">
        <v>4.93</v>
      </c>
      <c r="AH61" s="711">
        <v>90</v>
      </c>
      <c r="AI61" s="636"/>
      <c r="AJ61" s="636"/>
      <c r="AK61" s="636"/>
      <c r="AL61" s="636"/>
      <c r="AM61" s="636"/>
      <c r="AN61" s="636"/>
      <c r="AO61" s="636"/>
      <c r="AP61" s="636"/>
      <c r="AQ61" s="636"/>
      <c r="AR61" s="636"/>
      <c r="AS61" s="636"/>
      <c r="AT61" s="636"/>
      <c r="AU61" s="636"/>
      <c r="AV61" s="636"/>
      <c r="AW61" s="636"/>
      <c r="AX61" s="636"/>
      <c r="AY61" s="636"/>
      <c r="AZ61" s="636"/>
      <c r="BA61" s="636"/>
      <c r="BB61" s="636"/>
      <c r="BC61" s="636"/>
      <c r="BD61" s="636"/>
      <c r="BE61" s="636"/>
      <c r="BF61" s="636"/>
      <c r="BG61" s="636"/>
      <c r="BH61" s="638"/>
      <c r="BI61" s="638"/>
    </row>
    <row r="62" spans="10:61" ht="14.25" hidden="1" customHeight="1">
      <c r="J62" s="711">
        <v>110</v>
      </c>
      <c r="K62" s="662">
        <f>L62*0.88</f>
        <v>403.91665015679996</v>
      </c>
      <c r="L62" s="663">
        <f>L61*1.25408796</f>
        <v>458.99619335999995</v>
      </c>
      <c r="M62" s="663">
        <f>483*1.2</f>
        <v>579.6</v>
      </c>
      <c r="N62" s="663">
        <f>534*1.2</f>
        <v>640.79999999999995</v>
      </c>
      <c r="O62" s="663">
        <v>0</v>
      </c>
      <c r="P62" s="663">
        <f>L62*1.87</f>
        <v>858.3228815832</v>
      </c>
      <c r="Q62" s="663">
        <f>780*1.2</f>
        <v>936</v>
      </c>
      <c r="R62" s="664">
        <v>0</v>
      </c>
      <c r="S62" s="636"/>
      <c r="T62" s="711">
        <v>110</v>
      </c>
      <c r="U62" s="731">
        <v>1.5</v>
      </c>
      <c r="V62" s="732">
        <v>1.3</v>
      </c>
      <c r="W62" s="732">
        <v>1.3</v>
      </c>
      <c r="X62" s="732">
        <v>1.3</v>
      </c>
      <c r="Y62" s="732">
        <v>1.3</v>
      </c>
      <c r="Z62" s="732">
        <v>1.3</v>
      </c>
      <c r="AA62" s="732">
        <v>1.3</v>
      </c>
      <c r="AB62" s="733">
        <v>1.3</v>
      </c>
      <c r="AC62" s="636"/>
      <c r="AD62" s="989">
        <v>1</v>
      </c>
      <c r="AE62" s="776">
        <v>3.41</v>
      </c>
      <c r="AF62" s="776">
        <v>3.96</v>
      </c>
      <c r="AG62" s="777">
        <v>4.93</v>
      </c>
      <c r="AH62" s="711">
        <v>110</v>
      </c>
      <c r="AI62" s="636"/>
      <c r="AJ62" s="636"/>
      <c r="AK62" s="636"/>
      <c r="AL62" s="636"/>
      <c r="AM62" s="636"/>
      <c r="AN62" s="636"/>
      <c r="AO62" s="636"/>
      <c r="AP62" s="636"/>
      <c r="AQ62" s="636"/>
      <c r="AR62" s="636"/>
      <c r="AS62" s="636"/>
      <c r="AT62" s="636"/>
      <c r="AU62" s="636"/>
      <c r="AV62" s="636"/>
      <c r="AW62" s="636"/>
      <c r="AX62" s="636"/>
      <c r="AY62" s="636"/>
      <c r="AZ62" s="636"/>
      <c r="BA62" s="636"/>
      <c r="BB62" s="636"/>
      <c r="BC62" s="636"/>
      <c r="BD62" s="636"/>
      <c r="BE62" s="636"/>
      <c r="BF62" s="636"/>
      <c r="BG62" s="636"/>
      <c r="BH62" s="638"/>
      <c r="BI62" s="638"/>
    </row>
    <row r="63" spans="10:61" ht="14.25" hidden="1" customHeight="1">
      <c r="J63" s="711">
        <v>150</v>
      </c>
      <c r="K63" s="665">
        <f>365*1.2</f>
        <v>438</v>
      </c>
      <c r="L63" s="667">
        <f>1.2*459</f>
        <v>550.79999999999995</v>
      </c>
      <c r="M63" s="666">
        <f>763*1*IF((C5-C6)&gt;=0,1,1.9)</f>
        <v>763</v>
      </c>
      <c r="N63" s="668">
        <v>0</v>
      </c>
      <c r="O63" s="667">
        <f>791*1.1*IF((C5-C6)&gt;=0,1,2.175)</f>
        <v>870.1</v>
      </c>
      <c r="P63" s="668">
        <f>962*1.2</f>
        <v>1154.3999999999999</v>
      </c>
      <c r="Q63" s="668">
        <f>1034*1.2</f>
        <v>1240.8</v>
      </c>
      <c r="R63" s="669">
        <v>0</v>
      </c>
      <c r="S63" s="636"/>
      <c r="T63" s="711">
        <v>150</v>
      </c>
      <c r="U63" s="734">
        <v>1.4</v>
      </c>
      <c r="V63" s="735">
        <v>1.35</v>
      </c>
      <c r="W63" s="735">
        <v>1.32</v>
      </c>
      <c r="X63" s="735"/>
      <c r="Y63" s="735">
        <v>1.3</v>
      </c>
      <c r="Z63" s="735">
        <v>1.28</v>
      </c>
      <c r="AA63" s="735"/>
      <c r="AB63" s="736">
        <v>1.25</v>
      </c>
      <c r="AC63" s="636"/>
      <c r="AD63" s="990">
        <v>1</v>
      </c>
      <c r="AE63" s="778">
        <v>3.41</v>
      </c>
      <c r="AF63" s="778">
        <v>3.96</v>
      </c>
      <c r="AG63" s="779">
        <v>4.93</v>
      </c>
      <c r="AH63" s="711">
        <v>150</v>
      </c>
      <c r="AI63" s="636"/>
      <c r="AJ63" s="636"/>
      <c r="AK63" s="636"/>
      <c r="AL63" s="636"/>
      <c r="AM63" s="636"/>
      <c r="AN63" s="636"/>
      <c r="AO63" s="636"/>
      <c r="AP63" s="636"/>
      <c r="AQ63" s="636"/>
      <c r="AR63" s="636"/>
      <c r="AS63" s="636"/>
      <c r="AT63" s="636"/>
      <c r="AU63" s="636"/>
      <c r="AV63" s="636"/>
      <c r="AW63" s="636"/>
      <c r="AX63" s="636"/>
      <c r="AY63" s="636"/>
      <c r="AZ63" s="636"/>
      <c r="BA63" s="636"/>
      <c r="BB63" s="636"/>
      <c r="BC63" s="636"/>
      <c r="BD63" s="636"/>
      <c r="BE63" s="636"/>
      <c r="BF63" s="636"/>
      <c r="BG63" s="636"/>
      <c r="BH63" s="638"/>
      <c r="BI63" s="638"/>
    </row>
    <row r="64" spans="10:61" ht="14.25" hidden="1" customHeight="1">
      <c r="J64" s="711">
        <v>200</v>
      </c>
      <c r="K64" s="670">
        <f>L64*0.88</f>
        <v>607.86145056383987</v>
      </c>
      <c r="L64" s="671">
        <f>L63*1.25408796</f>
        <v>690.75164836799991</v>
      </c>
      <c r="M64" s="671">
        <f>L64*1.26352614</f>
        <v>872.78276396105616</v>
      </c>
      <c r="N64" s="671">
        <f>M64*1.07113641</f>
        <v>934.86939649912313</v>
      </c>
      <c r="O64" s="671">
        <f>O63*1.24695214</f>
        <v>1084.973057014</v>
      </c>
      <c r="P64" s="671">
        <f>L64*1.87</f>
        <v>1291.7055824481599</v>
      </c>
      <c r="Q64" s="671">
        <f>L64*1.95542361</f>
        <v>1350.7120818652049</v>
      </c>
      <c r="R64" s="672">
        <f>R63*1.12435712</f>
        <v>0</v>
      </c>
      <c r="S64" s="636"/>
      <c r="T64" s="711">
        <v>200</v>
      </c>
      <c r="U64" s="737"/>
      <c r="V64" s="738"/>
      <c r="W64" s="738"/>
      <c r="X64" s="738"/>
      <c r="Y64" s="738"/>
      <c r="Z64" s="738"/>
      <c r="AA64" s="738"/>
      <c r="AB64" s="739"/>
      <c r="AC64" s="636"/>
      <c r="AD64" s="990">
        <v>1</v>
      </c>
      <c r="AE64" s="778">
        <v>2.73</v>
      </c>
      <c r="AF64" s="778">
        <v>3.11</v>
      </c>
      <c r="AG64" s="779">
        <v>3.89</v>
      </c>
      <c r="AH64" s="711">
        <v>150.16</v>
      </c>
      <c r="AI64" s="636"/>
      <c r="AJ64" s="636"/>
      <c r="AK64" s="636"/>
      <c r="AL64" s="636"/>
      <c r="AM64" s="636"/>
      <c r="AN64" s="636"/>
      <c r="AO64" s="636"/>
      <c r="AP64" s="636"/>
      <c r="AQ64" s="636"/>
      <c r="AR64" s="636"/>
      <c r="AS64" s="636"/>
      <c r="AT64" s="636"/>
      <c r="AU64" s="636"/>
      <c r="AV64" s="636"/>
      <c r="AW64" s="636"/>
      <c r="AX64" s="636"/>
      <c r="AY64" s="636"/>
      <c r="AZ64" s="636"/>
      <c r="BA64" s="636"/>
      <c r="BB64" s="636"/>
      <c r="BC64" s="636"/>
      <c r="BD64" s="636"/>
      <c r="BE64" s="636"/>
      <c r="BF64" s="636"/>
      <c r="BG64" s="636"/>
      <c r="BH64" s="638"/>
      <c r="BI64" s="638"/>
    </row>
    <row r="65" spans="10:61" ht="14.25" hidden="1" customHeight="1">
      <c r="J65" s="711">
        <v>300</v>
      </c>
      <c r="K65" s="673">
        <f>L65*0.88</f>
        <v>762.31172650024678</v>
      </c>
      <c r="L65" s="674">
        <f t="shared" ref="L65:L68" si="3">L64*1.25408796</f>
        <v>866.26332556846228</v>
      </c>
      <c r="M65" s="674">
        <f t="shared" ref="M65:M68" si="4">L65*1.26352614</f>
        <v>1094.5463559790824</v>
      </c>
      <c r="N65" s="674">
        <f t="shared" ref="N65:N68" si="5">M65*1.07113641</f>
        <v>1172.4084543220163</v>
      </c>
      <c r="O65" s="674">
        <f t="shared" ref="O65:O67" si="6">O64*1.24695214</f>
        <v>1352.9094752859494</v>
      </c>
      <c r="P65" s="674">
        <f t="shared" ref="P65:P68" si="7">L65*1.87</f>
        <v>1619.9124188130245</v>
      </c>
      <c r="Q65" s="674">
        <f t="shared" ref="Q65:Q68" si="8">L65*1.95542361</f>
        <v>1693.9117592936877</v>
      </c>
      <c r="R65" s="675">
        <f t="shared" ref="R65:R66" si="9">R64*1.12435712</f>
        <v>0</v>
      </c>
      <c r="S65" s="636"/>
      <c r="T65" s="711">
        <v>300</v>
      </c>
      <c r="U65" s="740"/>
      <c r="V65" s="741"/>
      <c r="W65" s="741"/>
      <c r="X65" s="741"/>
      <c r="Y65" s="741"/>
      <c r="Z65" s="741"/>
      <c r="AA65" s="741"/>
      <c r="AB65" s="742"/>
      <c r="AC65" s="636"/>
      <c r="AD65" s="990">
        <v>1</v>
      </c>
      <c r="AE65" s="780">
        <v>2.73</v>
      </c>
      <c r="AF65" s="780">
        <v>2.83</v>
      </c>
      <c r="AG65" s="781">
        <v>3.66</v>
      </c>
      <c r="AH65" s="712" t="s">
        <v>319</v>
      </c>
      <c r="AI65" s="636"/>
      <c r="AJ65" s="636"/>
      <c r="AK65" s="636"/>
      <c r="AL65" s="636"/>
      <c r="AM65" s="636"/>
      <c r="AN65" s="636"/>
      <c r="AO65" s="636"/>
      <c r="AP65" s="636"/>
      <c r="AQ65" s="636"/>
      <c r="AR65" s="636"/>
      <c r="AS65" s="636"/>
      <c r="AT65" s="636"/>
      <c r="AU65" s="636"/>
      <c r="AV65" s="636"/>
      <c r="AW65" s="636"/>
      <c r="AX65" s="636"/>
      <c r="AY65" s="636"/>
      <c r="AZ65" s="636"/>
      <c r="BA65" s="636"/>
      <c r="BB65" s="636"/>
      <c r="BC65" s="636"/>
      <c r="BD65" s="636"/>
      <c r="BE65" s="636"/>
      <c r="BF65" s="636"/>
      <c r="BG65" s="636"/>
      <c r="BH65" s="638"/>
      <c r="BI65" s="638"/>
    </row>
    <row r="66" spans="10:61" ht="14.25" hidden="1" customHeight="1" thickBot="1">
      <c r="J66" s="711">
        <v>400</v>
      </c>
      <c r="K66" s="676">
        <f>L66*0.88</f>
        <v>956.00595797077233</v>
      </c>
      <c r="L66" s="677">
        <f t="shared" si="3"/>
        <v>1086.3704067849685</v>
      </c>
      <c r="M66" s="677">
        <f t="shared" si="4"/>
        <v>1372.657406695241</v>
      </c>
      <c r="N66" s="677">
        <f t="shared" si="5"/>
        <v>1470.3033267674505</v>
      </c>
      <c r="O66" s="677">
        <f>O65*1.24695214</f>
        <v>1687.0133654340918</v>
      </c>
      <c r="P66" s="677">
        <f t="shared" si="7"/>
        <v>2031.5126606878912</v>
      </c>
      <c r="Q66" s="677">
        <f t="shared" si="8"/>
        <v>2124.3143426326315</v>
      </c>
      <c r="R66" s="678">
        <f t="shared" si="9"/>
        <v>0</v>
      </c>
      <c r="S66" s="636"/>
      <c r="T66" s="711">
        <v>400</v>
      </c>
      <c r="U66" s="743"/>
      <c r="V66" s="744"/>
      <c r="W66" s="744"/>
      <c r="X66" s="744"/>
      <c r="Y66" s="744"/>
      <c r="Z66" s="744"/>
      <c r="AA66" s="744"/>
      <c r="AB66" s="745"/>
      <c r="AC66" s="636"/>
      <c r="AD66" s="990">
        <v>1</v>
      </c>
      <c r="AE66" s="782">
        <v>3.41</v>
      </c>
      <c r="AF66" s="782">
        <v>3.86</v>
      </c>
      <c r="AG66" s="783">
        <v>4.63</v>
      </c>
      <c r="AH66" s="679" t="s">
        <v>321</v>
      </c>
      <c r="AI66" s="636"/>
      <c r="AJ66" s="636"/>
      <c r="AK66" s="636"/>
      <c r="AL66" s="636"/>
      <c r="AM66" s="636"/>
      <c r="AN66" s="636"/>
      <c r="AO66" s="636"/>
      <c r="AP66" s="636"/>
      <c r="AQ66" s="636"/>
      <c r="AR66" s="636"/>
      <c r="AS66" s="636"/>
      <c r="AT66" s="636"/>
      <c r="AU66" s="636"/>
      <c r="AV66" s="636"/>
      <c r="AW66" s="636"/>
      <c r="AX66" s="636"/>
      <c r="AY66" s="636"/>
      <c r="AZ66" s="636"/>
      <c r="BA66" s="636"/>
      <c r="BB66" s="636"/>
      <c r="BC66" s="636"/>
      <c r="BD66" s="636"/>
      <c r="BE66" s="636"/>
      <c r="BF66" s="636"/>
      <c r="BG66" s="636"/>
      <c r="BH66" s="638"/>
      <c r="BI66" s="638"/>
    </row>
    <row r="67" spans="10:61" ht="14.25" hidden="1" customHeight="1">
      <c r="J67" s="711">
        <v>500</v>
      </c>
      <c r="K67" s="680">
        <f>L67*0.88</f>
        <v>1198.9155615794114</v>
      </c>
      <c r="L67" s="681">
        <f t="shared" si="3"/>
        <v>1362.4040472493311</v>
      </c>
      <c r="M67" s="681">
        <f t="shared" si="4"/>
        <v>1721.4331269413249</v>
      </c>
      <c r="N67" s="681">
        <f t="shared" si="5"/>
        <v>1843.889699647005</v>
      </c>
      <c r="O67" s="681">
        <f t="shared" si="6"/>
        <v>2103.6249262366432</v>
      </c>
      <c r="P67" s="681">
        <f t="shared" si="7"/>
        <v>2547.6955683562492</v>
      </c>
      <c r="Q67" s="681">
        <f t="shared" si="8"/>
        <v>2664.0770403508977</v>
      </c>
      <c r="R67" s="682">
        <f>R66*1.12435712</f>
        <v>0</v>
      </c>
      <c r="S67" s="636"/>
      <c r="T67" s="711">
        <v>500</v>
      </c>
      <c r="U67" s="746"/>
      <c r="V67" s="747"/>
      <c r="W67" s="747"/>
      <c r="X67" s="747"/>
      <c r="Y67" s="747"/>
      <c r="Z67" s="747"/>
      <c r="AA67" s="747"/>
      <c r="AB67" s="748"/>
      <c r="AC67" s="636"/>
      <c r="AD67" s="636"/>
      <c r="AE67" s="636"/>
      <c r="AF67" s="636"/>
      <c r="AG67" s="636"/>
      <c r="AH67" s="636"/>
      <c r="AI67" s="636"/>
      <c r="AJ67" s="636"/>
      <c r="AK67" s="636"/>
      <c r="AL67" s="636"/>
      <c r="AM67" s="636"/>
      <c r="AN67" s="636"/>
      <c r="AO67" s="636"/>
      <c r="AP67" s="636"/>
      <c r="AQ67" s="636"/>
      <c r="AR67" s="636"/>
      <c r="AS67" s="636"/>
      <c r="AT67" s="636"/>
      <c r="AU67" s="636"/>
      <c r="AV67" s="636"/>
      <c r="AW67" s="636"/>
      <c r="AX67" s="636"/>
      <c r="AY67" s="636"/>
      <c r="AZ67" s="636"/>
      <c r="BA67" s="636"/>
      <c r="BB67" s="636"/>
      <c r="BC67" s="636"/>
      <c r="BD67" s="636"/>
      <c r="BE67" s="636"/>
      <c r="BF67" s="636"/>
      <c r="BG67" s="636"/>
      <c r="BH67" s="638"/>
      <c r="BI67" s="638"/>
    </row>
    <row r="68" spans="10:61" ht="14.25" hidden="1" customHeight="1" thickBot="1">
      <c r="J68" s="760">
        <v>600</v>
      </c>
      <c r="K68" s="683">
        <f>L68*0.88</f>
        <v>1503.5455708333784</v>
      </c>
      <c r="L68" s="684">
        <f t="shared" si="3"/>
        <v>1708.5745123106572</v>
      </c>
      <c r="M68" s="684">
        <f t="shared" si="4"/>
        <v>2158.828558442267</v>
      </c>
      <c r="N68" s="684">
        <f t="shared" si="5"/>
        <v>2312.3998718953253</v>
      </c>
      <c r="O68" s="684">
        <f>O67*1.24695214</f>
        <v>2623.1196035281246</v>
      </c>
      <c r="P68" s="684">
        <f t="shared" si="7"/>
        <v>3195.0343380209292</v>
      </c>
      <c r="Q68" s="684">
        <f t="shared" si="8"/>
        <v>3340.9869408164946</v>
      </c>
      <c r="R68" s="685">
        <f>R67*1.12435712</f>
        <v>0</v>
      </c>
      <c r="S68" s="636"/>
      <c r="T68" s="760">
        <v>600</v>
      </c>
      <c r="U68" s="749"/>
      <c r="V68" s="750"/>
      <c r="W68" s="750"/>
      <c r="X68" s="750"/>
      <c r="Y68" s="750"/>
      <c r="Z68" s="750"/>
      <c r="AA68" s="750"/>
      <c r="AB68" s="751"/>
      <c r="AC68" s="636"/>
      <c r="AD68" s="636"/>
      <c r="AE68" s="636"/>
      <c r="AF68" s="636"/>
      <c r="AG68" s="636"/>
      <c r="AH68" s="636"/>
      <c r="AI68" s="636"/>
      <c r="AJ68" s="636"/>
      <c r="AK68" s="636"/>
      <c r="AL68" s="636"/>
      <c r="AM68" s="636"/>
      <c r="AN68" s="636"/>
      <c r="AO68" s="636"/>
      <c r="AP68" s="636"/>
      <c r="AQ68" s="636"/>
      <c r="AR68" s="636"/>
      <c r="AS68" s="636"/>
      <c r="AT68" s="636"/>
      <c r="AU68" s="636"/>
      <c r="AV68" s="636"/>
      <c r="AW68" s="636"/>
      <c r="AX68" s="636"/>
      <c r="AY68" s="636"/>
      <c r="AZ68" s="636"/>
      <c r="BA68" s="636"/>
      <c r="BB68" s="636"/>
      <c r="BC68" s="636"/>
      <c r="BD68" s="636"/>
      <c r="BE68" s="636"/>
      <c r="BF68" s="636"/>
      <c r="BG68" s="636"/>
      <c r="BH68" s="638"/>
      <c r="BI68" s="638"/>
    </row>
    <row r="69" spans="10:61" ht="14.25" hidden="1" customHeight="1" thickBot="1">
      <c r="J69" s="705"/>
      <c r="K69" s="704"/>
      <c r="L69" s="690"/>
      <c r="M69" s="690"/>
      <c r="N69" s="690"/>
      <c r="O69" s="690"/>
      <c r="P69" s="690"/>
      <c r="Q69" s="690"/>
      <c r="R69" s="690"/>
      <c r="S69" s="636"/>
      <c r="T69" s="650"/>
      <c r="U69" s="687"/>
      <c r="V69" s="687"/>
      <c r="W69" s="687"/>
      <c r="X69" s="687"/>
      <c r="Y69" s="687"/>
      <c r="Z69" s="687"/>
      <c r="AA69" s="687"/>
      <c r="AB69" s="687"/>
      <c r="AC69" s="636"/>
      <c r="AD69" s="636"/>
      <c r="AE69" s="636"/>
      <c r="AF69" s="636"/>
      <c r="AG69" s="636"/>
      <c r="AH69" s="636"/>
      <c r="AI69" s="636"/>
      <c r="AJ69" s="636"/>
      <c r="AK69" s="636"/>
      <c r="AL69" s="636"/>
      <c r="AM69" s="636"/>
      <c r="AN69" s="636"/>
      <c r="AO69" s="636"/>
      <c r="AP69" s="636"/>
      <c r="AQ69" s="636"/>
      <c r="AR69" s="636"/>
      <c r="AS69" s="636"/>
      <c r="AT69" s="636"/>
      <c r="AU69" s="636"/>
      <c r="AV69" s="636"/>
      <c r="AW69" s="636"/>
      <c r="AX69" s="636"/>
      <c r="AY69" s="636"/>
      <c r="AZ69" s="636"/>
      <c r="BA69" s="636"/>
      <c r="BB69" s="636"/>
      <c r="BC69" s="636"/>
      <c r="BD69" s="636"/>
      <c r="BE69" s="636"/>
      <c r="BF69" s="636"/>
      <c r="BG69" s="636"/>
      <c r="BH69" s="638"/>
      <c r="BI69" s="638"/>
    </row>
    <row r="70" spans="10:61" ht="14.25" hidden="1" customHeight="1" thickBot="1">
      <c r="J70" s="2300" t="s">
        <v>220</v>
      </c>
      <c r="K70" s="2301"/>
      <c r="L70" s="2301"/>
      <c r="M70" s="2301"/>
      <c r="N70" s="2301"/>
      <c r="O70" s="2301"/>
      <c r="P70" s="2301"/>
      <c r="Q70" s="2301"/>
      <c r="R70" s="2302"/>
      <c r="S70" s="636"/>
      <c r="T70" s="2300" t="s">
        <v>221</v>
      </c>
      <c r="U70" s="2301"/>
      <c r="V70" s="2301"/>
      <c r="W70" s="2301"/>
      <c r="X70" s="2301"/>
      <c r="Y70" s="2301"/>
      <c r="Z70" s="2301"/>
      <c r="AA70" s="2301"/>
      <c r="AB70" s="2302"/>
      <c r="AC70" s="636"/>
      <c r="AD70" s="2300" t="s">
        <v>316</v>
      </c>
      <c r="AE70" s="2301"/>
      <c r="AF70" s="2301"/>
      <c r="AG70" s="2302"/>
      <c r="AH70" s="855" t="s">
        <v>0</v>
      </c>
      <c r="AI70" s="636"/>
      <c r="AJ70" s="636"/>
      <c r="AK70" s="636"/>
      <c r="AL70" s="636"/>
      <c r="AM70" s="636"/>
      <c r="AN70" s="636"/>
      <c r="AO70" s="636"/>
      <c r="AP70" s="636"/>
      <c r="AQ70" s="636"/>
      <c r="AR70" s="636"/>
      <c r="AS70" s="636"/>
      <c r="AT70" s="636"/>
      <c r="AU70" s="636"/>
      <c r="AV70" s="636"/>
      <c r="AW70" s="636"/>
      <c r="AX70" s="636"/>
      <c r="AY70" s="636"/>
      <c r="AZ70" s="636"/>
      <c r="BA70" s="636"/>
      <c r="BB70" s="636"/>
      <c r="BC70" s="636"/>
      <c r="BD70" s="636"/>
      <c r="BE70" s="636"/>
      <c r="BF70" s="636"/>
      <c r="BG70" s="636"/>
      <c r="BH70" s="638"/>
      <c r="BI70" s="638"/>
    </row>
    <row r="71" spans="10:61" ht="14.25" hidden="1" customHeight="1" thickBot="1">
      <c r="J71" s="1220" t="s">
        <v>1</v>
      </c>
      <c r="K71" s="2335">
        <v>160</v>
      </c>
      <c r="L71" s="2337">
        <v>200</v>
      </c>
      <c r="M71" s="2294">
        <v>260</v>
      </c>
      <c r="N71" s="2296">
        <v>300</v>
      </c>
      <c r="O71" s="2297"/>
      <c r="P71" s="2294">
        <v>360</v>
      </c>
      <c r="Q71" s="2296">
        <v>400</v>
      </c>
      <c r="R71" s="2353"/>
      <c r="S71" s="636"/>
      <c r="T71" s="1220" t="s">
        <v>1</v>
      </c>
      <c r="U71" s="2335">
        <v>160</v>
      </c>
      <c r="V71" s="2337">
        <v>200</v>
      </c>
      <c r="W71" s="2294">
        <v>260</v>
      </c>
      <c r="X71" s="2296">
        <v>300</v>
      </c>
      <c r="Y71" s="2297"/>
      <c r="Z71" s="2294">
        <v>360</v>
      </c>
      <c r="AA71" s="2296">
        <v>400</v>
      </c>
      <c r="AB71" s="2353"/>
      <c r="AC71" s="636"/>
      <c r="AD71" s="875">
        <v>0</v>
      </c>
      <c r="AE71" s="876">
        <v>1</v>
      </c>
      <c r="AF71" s="877">
        <v>2</v>
      </c>
      <c r="AG71" s="878">
        <v>3</v>
      </c>
      <c r="AH71" s="648" t="s">
        <v>317</v>
      </c>
      <c r="AI71" s="636"/>
      <c r="AJ71" s="636"/>
      <c r="AK71" s="636"/>
      <c r="AL71" s="636"/>
      <c r="AM71" s="636"/>
      <c r="AN71" s="636"/>
      <c r="AO71" s="636"/>
      <c r="AP71" s="636"/>
      <c r="AQ71" s="636"/>
      <c r="AR71" s="636"/>
      <c r="AS71" s="636"/>
      <c r="AT71" s="636"/>
      <c r="AU71" s="636"/>
      <c r="AV71" s="636"/>
      <c r="AW71" s="636"/>
      <c r="AX71" s="636"/>
      <c r="AY71" s="636"/>
      <c r="AZ71" s="636"/>
      <c r="BA71" s="636"/>
      <c r="BB71" s="636"/>
      <c r="BC71" s="636"/>
      <c r="BD71" s="636"/>
      <c r="BE71" s="636"/>
      <c r="BF71" s="636"/>
      <c r="BG71" s="636"/>
      <c r="BH71" s="638"/>
      <c r="BI71" s="638"/>
    </row>
    <row r="72" spans="10:61" ht="14.25" hidden="1" customHeight="1" thickBot="1">
      <c r="J72" s="856" t="s">
        <v>0</v>
      </c>
      <c r="K72" s="2336"/>
      <c r="L72" s="2338"/>
      <c r="M72" s="2295"/>
      <c r="N72" s="1221">
        <v>2</v>
      </c>
      <c r="O72" s="1221">
        <v>4</v>
      </c>
      <c r="P72" s="2295"/>
      <c r="Q72" s="1221">
        <v>1</v>
      </c>
      <c r="R72" s="874">
        <v>2</v>
      </c>
      <c r="S72" s="636"/>
      <c r="T72" s="856" t="s">
        <v>0</v>
      </c>
      <c r="U72" s="2336"/>
      <c r="V72" s="2338"/>
      <c r="W72" s="2295"/>
      <c r="X72" s="1222">
        <v>1</v>
      </c>
      <c r="Y72" s="1222">
        <v>2</v>
      </c>
      <c r="Z72" s="2295"/>
      <c r="AA72" s="1222">
        <v>1</v>
      </c>
      <c r="AB72" s="765">
        <v>2</v>
      </c>
      <c r="AC72" s="636"/>
      <c r="AD72" s="879">
        <v>1</v>
      </c>
      <c r="AE72" s="881">
        <v>4.75</v>
      </c>
      <c r="AF72" s="881">
        <v>5.66</v>
      </c>
      <c r="AG72" s="881">
        <v>6.53</v>
      </c>
      <c r="AH72" s="881">
        <v>75</v>
      </c>
      <c r="AI72" s="636"/>
      <c r="AJ72" s="636"/>
      <c r="AK72" s="636"/>
      <c r="AL72" s="636"/>
      <c r="AM72" s="636"/>
      <c r="AN72" s="636"/>
      <c r="AO72" s="636"/>
      <c r="AP72" s="636"/>
      <c r="AQ72" s="636"/>
      <c r="AR72" s="636"/>
      <c r="AS72" s="636"/>
      <c r="AT72" s="636"/>
      <c r="AU72" s="636"/>
      <c r="AV72" s="636"/>
      <c r="AW72" s="636"/>
      <c r="AX72" s="636"/>
      <c r="AY72" s="636"/>
      <c r="AZ72" s="636"/>
      <c r="BA72" s="636"/>
      <c r="BB72" s="636"/>
      <c r="BC72" s="636"/>
      <c r="BD72" s="636"/>
      <c r="BE72" s="636"/>
      <c r="BF72" s="636"/>
      <c r="BG72" s="636"/>
      <c r="BH72" s="638"/>
      <c r="BI72" s="638"/>
    </row>
    <row r="73" spans="10:61" ht="14.25" hidden="1" customHeight="1">
      <c r="J73" s="871">
        <v>75</v>
      </c>
      <c r="K73" s="865">
        <f>L73*0.9</f>
        <v>191.77668</v>
      </c>
      <c r="L73" s="857">
        <f>L74*0.71</f>
        <v>213.08519999999999</v>
      </c>
      <c r="M73" s="858">
        <f>279*0.82*1.2</f>
        <v>274.53599999999994</v>
      </c>
      <c r="N73" s="858">
        <f>309*0.82*1.2</f>
        <v>304.05599999999998</v>
      </c>
      <c r="O73" s="761">
        <v>0</v>
      </c>
      <c r="P73" s="858">
        <f>431*0.82*1.2</f>
        <v>424.10399999999993</v>
      </c>
      <c r="Q73" s="858">
        <f>463*0.82*1.2</f>
        <v>455.59199999999993</v>
      </c>
      <c r="R73" s="762">
        <v>0</v>
      </c>
      <c r="S73" s="636"/>
      <c r="T73" s="871">
        <v>75</v>
      </c>
      <c r="U73" s="883">
        <v>1.7</v>
      </c>
      <c r="V73" s="884">
        <v>1.65</v>
      </c>
      <c r="W73" s="884">
        <v>1.6</v>
      </c>
      <c r="X73" s="884">
        <v>1.55</v>
      </c>
      <c r="Y73" s="884">
        <v>1.55</v>
      </c>
      <c r="Z73" s="884">
        <v>1.5</v>
      </c>
      <c r="AA73" s="884">
        <v>1.45</v>
      </c>
      <c r="AB73" s="885">
        <v>1.45</v>
      </c>
      <c r="AC73" s="636"/>
      <c r="AD73" s="880">
        <v>1</v>
      </c>
      <c r="AE73" s="864">
        <v>3.41</v>
      </c>
      <c r="AF73" s="864">
        <v>3.96</v>
      </c>
      <c r="AG73" s="864">
        <v>4.72</v>
      </c>
      <c r="AH73" s="864">
        <v>90</v>
      </c>
      <c r="AI73" s="636"/>
      <c r="AJ73" s="636"/>
      <c r="AK73" s="636"/>
      <c r="AL73" s="636"/>
      <c r="AM73" s="636"/>
      <c r="AN73" s="636"/>
      <c r="AO73" s="636"/>
      <c r="AP73" s="636"/>
      <c r="AQ73" s="636"/>
      <c r="AR73" s="636"/>
      <c r="AS73" s="636"/>
      <c r="AT73" s="636"/>
      <c r="AU73" s="636"/>
      <c r="AV73" s="636"/>
      <c r="AW73" s="636"/>
      <c r="AX73" s="636"/>
      <c r="AY73" s="636"/>
      <c r="AZ73" s="636"/>
      <c r="BA73" s="636"/>
      <c r="BB73" s="636"/>
      <c r="BC73" s="636"/>
      <c r="BD73" s="636"/>
      <c r="BE73" s="636"/>
      <c r="BF73" s="636"/>
      <c r="BG73" s="636"/>
      <c r="BH73" s="638"/>
      <c r="BI73" s="638"/>
    </row>
    <row r="74" spans="10:61" ht="14.25" hidden="1" customHeight="1">
      <c r="J74" s="872">
        <v>90</v>
      </c>
      <c r="K74" s="712">
        <f>L74*0.89</f>
        <v>267.10680000000002</v>
      </c>
      <c r="L74" s="866">
        <f>305*0.82*1.2</f>
        <v>300.12</v>
      </c>
      <c r="M74" s="859">
        <f>404*0.82*1.2</f>
        <v>397.53599999999994</v>
      </c>
      <c r="N74" s="859">
        <f>469*0.82*1.2</f>
        <v>461.49599999999998</v>
      </c>
      <c r="O74" s="859">
        <v>0</v>
      </c>
      <c r="P74" s="859">
        <f>582*0.82*1.2</f>
        <v>572.68799999999987</v>
      </c>
      <c r="Q74" s="859">
        <f>644*0.82*1.2</f>
        <v>633.69599999999991</v>
      </c>
      <c r="R74" s="867">
        <v>0</v>
      </c>
      <c r="S74" s="636"/>
      <c r="T74" s="872">
        <v>90</v>
      </c>
      <c r="U74" s="886">
        <v>1.6</v>
      </c>
      <c r="V74" s="887">
        <v>1.55</v>
      </c>
      <c r="W74" s="887">
        <v>1.5</v>
      </c>
      <c r="X74" s="887">
        <v>1.45</v>
      </c>
      <c r="Y74" s="887">
        <v>1.45</v>
      </c>
      <c r="Z74" s="887">
        <v>1.4</v>
      </c>
      <c r="AA74" s="887">
        <v>1.3</v>
      </c>
      <c r="AB74" s="888">
        <v>1.3</v>
      </c>
      <c r="AC74" s="636"/>
      <c r="AD74" s="880">
        <v>1</v>
      </c>
      <c r="AE74" s="864">
        <v>3.41</v>
      </c>
      <c r="AF74" s="864">
        <v>3.96</v>
      </c>
      <c r="AG74" s="864">
        <v>4.93</v>
      </c>
      <c r="AH74" s="864">
        <v>110</v>
      </c>
      <c r="AI74" s="636"/>
      <c r="AJ74" s="636"/>
      <c r="AK74" s="636"/>
      <c r="AL74" s="636"/>
      <c r="AM74" s="636"/>
      <c r="AN74" s="636"/>
      <c r="AO74" s="636"/>
      <c r="AP74" s="636"/>
      <c r="AQ74" s="636"/>
      <c r="AR74" s="636"/>
      <c r="AS74" s="636"/>
      <c r="AT74" s="636"/>
      <c r="AU74" s="636"/>
      <c r="AV74" s="636"/>
      <c r="AW74" s="636"/>
      <c r="AX74" s="636"/>
      <c r="AY74" s="636"/>
      <c r="AZ74" s="636"/>
      <c r="BA74" s="636"/>
      <c r="BB74" s="636"/>
      <c r="BC74" s="636"/>
      <c r="BD74" s="636"/>
      <c r="BE74" s="636"/>
      <c r="BF74" s="636"/>
      <c r="BG74" s="636"/>
      <c r="BH74" s="638"/>
      <c r="BI74" s="638"/>
    </row>
    <row r="75" spans="10:61" ht="14.25" hidden="1" customHeight="1">
      <c r="J75" s="872">
        <v>110</v>
      </c>
      <c r="K75" s="712">
        <f>L75*0.88</f>
        <v>331.21165312857602</v>
      </c>
      <c r="L75" s="860">
        <f>L74*1.25408796</f>
        <v>376.37687855519999</v>
      </c>
      <c r="M75" s="859">
        <f>483*0.82</f>
        <v>396.06</v>
      </c>
      <c r="N75" s="859">
        <f>534*0.82</f>
        <v>437.88</v>
      </c>
      <c r="O75" s="688">
        <v>0</v>
      </c>
      <c r="P75" s="688">
        <f>L75*1.87</f>
        <v>703.82476289822398</v>
      </c>
      <c r="Q75" s="859">
        <f>780*0.82*1.2</f>
        <v>767.51999999999987</v>
      </c>
      <c r="R75" s="689">
        <v>0</v>
      </c>
      <c r="S75" s="636"/>
      <c r="T75" s="872">
        <v>110</v>
      </c>
      <c r="U75" s="886">
        <v>1.5</v>
      </c>
      <c r="V75" s="887">
        <v>1.3</v>
      </c>
      <c r="W75" s="887">
        <v>1.3</v>
      </c>
      <c r="X75" s="887">
        <v>1.3</v>
      </c>
      <c r="Y75" s="887">
        <v>1.3</v>
      </c>
      <c r="Z75" s="887">
        <v>1.3</v>
      </c>
      <c r="AA75" s="887">
        <v>1.3</v>
      </c>
      <c r="AB75" s="888">
        <v>1.3</v>
      </c>
      <c r="AC75" s="636"/>
      <c r="AD75" s="880">
        <v>1</v>
      </c>
      <c r="AE75" s="864">
        <v>3.41</v>
      </c>
      <c r="AF75" s="864">
        <v>3.96</v>
      </c>
      <c r="AG75" s="864">
        <v>4.93</v>
      </c>
      <c r="AH75" s="864">
        <v>150</v>
      </c>
      <c r="AI75" s="636"/>
      <c r="AJ75" s="636"/>
      <c r="AK75" s="636"/>
      <c r="AL75" s="636"/>
      <c r="AM75" s="636"/>
      <c r="AN75" s="636"/>
      <c r="AO75" s="636"/>
      <c r="AP75" s="636"/>
      <c r="AQ75" s="636"/>
      <c r="AR75" s="636"/>
      <c r="AS75" s="636"/>
      <c r="AT75" s="636"/>
      <c r="AU75" s="636"/>
      <c r="AV75" s="636"/>
      <c r="AW75" s="636"/>
      <c r="AX75" s="636"/>
      <c r="AY75" s="636"/>
      <c r="AZ75" s="636"/>
      <c r="BA75" s="636"/>
      <c r="BB75" s="636"/>
      <c r="BC75" s="636"/>
      <c r="BD75" s="636"/>
      <c r="BE75" s="636"/>
      <c r="BF75" s="636"/>
      <c r="BG75" s="636"/>
      <c r="BH75" s="638"/>
      <c r="BI75" s="638"/>
    </row>
    <row r="76" spans="10:61" ht="14.25" hidden="1" customHeight="1">
      <c r="J76" s="873">
        <v>150</v>
      </c>
      <c r="K76" s="868">
        <f>365*0.82*1.2</f>
        <v>359.15999999999991</v>
      </c>
      <c r="L76" s="869">
        <f>459*0.82*1.2</f>
        <v>451.65600000000001</v>
      </c>
      <c r="M76" s="861">
        <f>763*0.82*1.2</f>
        <v>750.79199999999992</v>
      </c>
      <c r="N76" s="870">
        <v>0</v>
      </c>
      <c r="O76" s="861">
        <f>791*0.82*1.2</f>
        <v>778.34399999999994</v>
      </c>
      <c r="P76" s="861">
        <f>962*0.82*1.2</f>
        <v>946.60799999999983</v>
      </c>
      <c r="Q76" s="861">
        <f>1034*0.82*1.2</f>
        <v>1017.4559999999999</v>
      </c>
      <c r="R76" s="862">
        <v>0</v>
      </c>
      <c r="S76" s="636"/>
      <c r="T76" s="873">
        <v>150</v>
      </c>
      <c r="U76" s="886">
        <v>1.4</v>
      </c>
      <c r="V76" s="887">
        <v>1.35</v>
      </c>
      <c r="W76" s="887">
        <v>1.32</v>
      </c>
      <c r="X76" s="887"/>
      <c r="Y76" s="887">
        <v>1.3</v>
      </c>
      <c r="Z76" s="887">
        <v>1.28</v>
      </c>
      <c r="AA76" s="887"/>
      <c r="AB76" s="888">
        <v>1.25</v>
      </c>
      <c r="AC76" s="636"/>
      <c r="AD76" s="880">
        <v>1</v>
      </c>
      <c r="AE76" s="864">
        <v>2.73</v>
      </c>
      <c r="AF76" s="864">
        <v>3.11</v>
      </c>
      <c r="AG76" s="864">
        <v>3.89</v>
      </c>
      <c r="AH76" s="864">
        <v>150.16</v>
      </c>
      <c r="AI76" s="636"/>
      <c r="AJ76" s="636"/>
      <c r="AK76" s="636"/>
      <c r="AL76" s="636"/>
      <c r="AM76" s="636"/>
      <c r="AN76" s="636"/>
      <c r="AO76" s="636"/>
      <c r="AP76" s="636"/>
      <c r="AQ76" s="636"/>
      <c r="AR76" s="636"/>
      <c r="AS76" s="636"/>
      <c r="AT76" s="636"/>
      <c r="AU76" s="636"/>
      <c r="AV76" s="636"/>
      <c r="AW76" s="636"/>
      <c r="AX76" s="636"/>
      <c r="AY76" s="636"/>
      <c r="AZ76" s="636"/>
      <c r="BA76" s="636"/>
      <c r="BB76" s="636"/>
      <c r="BC76" s="636"/>
      <c r="BD76" s="636"/>
      <c r="BE76" s="636"/>
      <c r="BF76" s="636"/>
      <c r="BG76" s="636"/>
      <c r="BH76" s="638"/>
      <c r="BI76" s="638"/>
    </row>
    <row r="77" spans="10:61" ht="14.25" hidden="1" customHeight="1">
      <c r="J77" s="860">
        <v>200</v>
      </c>
      <c r="K77" s="712">
        <f>L77*0.88</f>
        <v>498.44638946234869</v>
      </c>
      <c r="L77" s="860">
        <f>L76*1.25408796</f>
        <v>566.4163516617599</v>
      </c>
      <c r="M77" s="688">
        <f>L77*1.26352614</f>
        <v>715.6818664480661</v>
      </c>
      <c r="N77" s="688">
        <f>M77*1.07113641</f>
        <v>766.59290512928101</v>
      </c>
      <c r="O77" s="688">
        <f>O76*1.24695214</f>
        <v>970.55771645616005</v>
      </c>
      <c r="P77" s="688">
        <f>L77*1.87</f>
        <v>1059.1985776074912</v>
      </c>
      <c r="Q77" s="688">
        <f>L77*1.95542361</f>
        <v>1107.5839071294681</v>
      </c>
      <c r="R77" s="689">
        <f>R76*1.12435712</f>
        <v>0</v>
      </c>
      <c r="S77" s="636"/>
      <c r="T77" s="872">
        <v>200</v>
      </c>
      <c r="U77" s="886"/>
      <c r="V77" s="887"/>
      <c r="W77" s="887"/>
      <c r="X77" s="887"/>
      <c r="Y77" s="887"/>
      <c r="Z77" s="887"/>
      <c r="AA77" s="887"/>
      <c r="AB77" s="888"/>
      <c r="AC77" s="636"/>
      <c r="AD77" s="636"/>
      <c r="AE77" s="882">
        <v>2.73</v>
      </c>
      <c r="AF77" s="882">
        <v>2.83</v>
      </c>
      <c r="AG77" s="882">
        <v>3.66</v>
      </c>
      <c r="AH77" s="882" t="s">
        <v>319</v>
      </c>
      <c r="AI77" s="636"/>
      <c r="AJ77" s="636"/>
      <c r="AK77" s="636"/>
      <c r="AL77" s="636"/>
      <c r="AM77" s="636"/>
      <c r="AN77" s="636"/>
      <c r="AO77" s="636"/>
      <c r="AP77" s="636"/>
      <c r="AQ77" s="636"/>
      <c r="AR77" s="636"/>
      <c r="AS77" s="636"/>
      <c r="AT77" s="636"/>
      <c r="AU77" s="636"/>
      <c r="AV77" s="636"/>
      <c r="AW77" s="636"/>
      <c r="AX77" s="636"/>
      <c r="AY77" s="636"/>
      <c r="AZ77" s="636"/>
      <c r="BA77" s="636"/>
      <c r="BB77" s="636"/>
      <c r="BC77" s="636"/>
      <c r="BD77" s="636"/>
      <c r="BE77" s="636"/>
      <c r="BF77" s="636"/>
      <c r="BG77" s="636"/>
      <c r="BH77" s="638"/>
      <c r="BI77" s="638"/>
    </row>
    <row r="78" spans="10:61" ht="14.25" hidden="1" customHeight="1">
      <c r="J78" s="860">
        <v>300</v>
      </c>
      <c r="K78" s="712">
        <f>L78*0.88</f>
        <v>625.09561573020233</v>
      </c>
      <c r="L78" s="860">
        <f>L77*1.25408796</f>
        <v>710.33592696613903</v>
      </c>
      <c r="M78" s="688">
        <f>L78*1.26352614</f>
        <v>897.52801190284754</v>
      </c>
      <c r="N78" s="688">
        <f>M78*1.07113641</f>
        <v>961.37493254405342</v>
      </c>
      <c r="O78" s="688">
        <f>O77*1.24695214</f>
        <v>1210.239021528522</v>
      </c>
      <c r="P78" s="688">
        <f>L78*1.87</f>
        <v>1328.32818342668</v>
      </c>
      <c r="Q78" s="688">
        <f>L78*1.95542361</f>
        <v>1389.0076426208238</v>
      </c>
      <c r="R78" s="689">
        <f>R77*1.12435712</f>
        <v>0</v>
      </c>
      <c r="S78" s="636"/>
      <c r="T78" s="872">
        <v>300</v>
      </c>
      <c r="U78" s="886"/>
      <c r="V78" s="887"/>
      <c r="W78" s="887"/>
      <c r="X78" s="887"/>
      <c r="Y78" s="887"/>
      <c r="Z78" s="887"/>
      <c r="AA78" s="887"/>
      <c r="AB78" s="888"/>
      <c r="AC78" s="636"/>
      <c r="AD78" s="636"/>
      <c r="AE78" s="691">
        <v>3.41</v>
      </c>
      <c r="AF78" s="691">
        <v>3.86</v>
      </c>
      <c r="AG78" s="691">
        <v>4.63</v>
      </c>
      <c r="AH78" s="691" t="s">
        <v>321</v>
      </c>
      <c r="AI78" s="636"/>
      <c r="AJ78" s="636"/>
      <c r="AK78" s="636"/>
      <c r="AL78" s="636"/>
      <c r="AM78" s="636"/>
      <c r="AN78" s="636"/>
      <c r="AO78" s="636"/>
      <c r="AP78" s="636"/>
      <c r="AQ78" s="636"/>
      <c r="AR78" s="636"/>
      <c r="AS78" s="636"/>
      <c r="AT78" s="636"/>
      <c r="AU78" s="636"/>
      <c r="AV78" s="636"/>
      <c r="AW78" s="636"/>
      <c r="AX78" s="636"/>
      <c r="AY78" s="636"/>
      <c r="AZ78" s="636"/>
      <c r="BA78" s="636"/>
      <c r="BB78" s="636"/>
      <c r="BC78" s="636"/>
      <c r="BD78" s="636"/>
      <c r="BE78" s="636"/>
      <c r="BF78" s="636"/>
      <c r="BG78" s="636"/>
      <c r="BH78" s="638"/>
      <c r="BI78" s="638"/>
    </row>
    <row r="79" spans="10:61" ht="14.25" hidden="1" customHeight="1">
      <c r="J79" s="860">
        <v>400</v>
      </c>
      <c r="K79" s="712">
        <f>L79*0.88</f>
        <v>783.92488553603323</v>
      </c>
      <c r="L79" s="860">
        <f>L78*1.25408796</f>
        <v>890.82373356367418</v>
      </c>
      <c r="M79" s="688">
        <f>L79*1.26352614</f>
        <v>1125.5790734900977</v>
      </c>
      <c r="N79" s="688">
        <f>M79*1.07113641</f>
        <v>1205.6487279493094</v>
      </c>
      <c r="O79" s="688">
        <f>O78*1.24695214</f>
        <v>1509.1101378064968</v>
      </c>
      <c r="P79" s="688">
        <f>L79*1.87</f>
        <v>1665.8403817640708</v>
      </c>
      <c r="Q79" s="688">
        <f>L79*1.95542361</f>
        <v>1741.937760958758</v>
      </c>
      <c r="R79" s="689">
        <f>R78*1.12435712</f>
        <v>0</v>
      </c>
      <c r="S79" s="636"/>
      <c r="T79" s="872">
        <v>400</v>
      </c>
      <c r="U79" s="886"/>
      <c r="V79" s="887"/>
      <c r="W79" s="887"/>
      <c r="X79" s="887"/>
      <c r="Y79" s="887"/>
      <c r="Z79" s="887"/>
      <c r="AA79" s="887"/>
      <c r="AB79" s="888"/>
      <c r="AC79" s="636"/>
      <c r="AD79" s="636"/>
      <c r="AE79" s="636"/>
      <c r="AF79" s="636"/>
      <c r="AG79" s="636"/>
      <c r="AH79" s="636"/>
      <c r="AI79" s="636"/>
      <c r="AJ79" s="636"/>
      <c r="AK79" s="636"/>
      <c r="AL79" s="636"/>
      <c r="AM79" s="636"/>
      <c r="AN79" s="636"/>
      <c r="AO79" s="636"/>
      <c r="AP79" s="636"/>
      <c r="AQ79" s="636"/>
      <c r="AR79" s="636"/>
      <c r="AS79" s="636"/>
      <c r="AT79" s="636"/>
      <c r="AU79" s="636"/>
      <c r="AV79" s="636"/>
      <c r="AW79" s="636"/>
      <c r="AX79" s="636"/>
      <c r="AY79" s="636"/>
      <c r="AZ79" s="636"/>
      <c r="BA79" s="636"/>
      <c r="BB79" s="636"/>
      <c r="BC79" s="636"/>
      <c r="BD79" s="636"/>
      <c r="BE79" s="636"/>
      <c r="BF79" s="636"/>
      <c r="BG79" s="636"/>
      <c r="BH79" s="638"/>
      <c r="BI79" s="638"/>
    </row>
    <row r="80" spans="10:61" ht="14.25" hidden="1" customHeight="1">
      <c r="J80" s="860">
        <v>500</v>
      </c>
      <c r="K80" s="712">
        <f>L80*0.88</f>
        <v>983.11076049511735</v>
      </c>
      <c r="L80" s="860">
        <f>L79*1.25408796</f>
        <v>1117.1713187444516</v>
      </c>
      <c r="M80" s="688">
        <f>L80*1.26352614</f>
        <v>1411.5751640918866</v>
      </c>
      <c r="N80" s="688">
        <f>M80*1.07113641</f>
        <v>1511.9895537105444</v>
      </c>
      <c r="O80" s="688">
        <f>O79*1.24695214</f>
        <v>1881.7881158335063</v>
      </c>
      <c r="P80" s="688">
        <f>L80*1.87</f>
        <v>2089.1103660521244</v>
      </c>
      <c r="Q80" s="688">
        <f>L80*1.95542361</f>
        <v>2184.5431730877362</v>
      </c>
      <c r="R80" s="689">
        <f>R79*1.12435712</f>
        <v>0</v>
      </c>
      <c r="S80" s="636"/>
      <c r="T80" s="872">
        <v>500</v>
      </c>
      <c r="U80" s="886"/>
      <c r="V80" s="887"/>
      <c r="W80" s="887"/>
      <c r="X80" s="887"/>
      <c r="Y80" s="887"/>
      <c r="Z80" s="887"/>
      <c r="AA80" s="887"/>
      <c r="AB80" s="888"/>
      <c r="AC80" s="636"/>
      <c r="AD80" s="636"/>
      <c r="AE80" s="636"/>
      <c r="AF80" s="636"/>
      <c r="AG80" s="636"/>
      <c r="AH80" s="636"/>
      <c r="AI80" s="636"/>
      <c r="AJ80" s="636"/>
      <c r="AK80" s="636"/>
      <c r="AL80" s="636"/>
      <c r="AM80" s="636"/>
      <c r="AN80" s="636"/>
      <c r="AO80" s="636"/>
      <c r="AP80" s="636"/>
      <c r="AQ80" s="636"/>
      <c r="AR80" s="636"/>
      <c r="AS80" s="636"/>
      <c r="AT80" s="636"/>
      <c r="AU80" s="636"/>
      <c r="AV80" s="636"/>
      <c r="AW80" s="636"/>
      <c r="AX80" s="636"/>
      <c r="AY80" s="636"/>
      <c r="AZ80" s="636"/>
      <c r="BA80" s="636"/>
      <c r="BB80" s="636"/>
      <c r="BC80" s="636"/>
      <c r="BD80" s="636"/>
      <c r="BE80" s="636"/>
      <c r="BF80" s="636"/>
      <c r="BG80" s="636"/>
      <c r="BH80" s="638"/>
      <c r="BI80" s="638"/>
    </row>
    <row r="81" spans="1:110" ht="14.25" hidden="1" customHeight="1" thickBot="1">
      <c r="J81" s="863">
        <v>600</v>
      </c>
      <c r="K81" s="679">
        <f>L81*0.88</f>
        <v>1232.9073680833703</v>
      </c>
      <c r="L81" s="863">
        <f>L80*1.25408796</f>
        <v>1401.031100094739</v>
      </c>
      <c r="M81" s="764">
        <f>L81*1.26352614</f>
        <v>1770.2394179226592</v>
      </c>
      <c r="N81" s="764">
        <f>M81*1.07113641</f>
        <v>1896.167894954167</v>
      </c>
      <c r="O81" s="764">
        <f>O80*1.24695214</f>
        <v>2346.4997180651585</v>
      </c>
      <c r="P81" s="764">
        <f>L81*1.87</f>
        <v>2619.9281571771621</v>
      </c>
      <c r="Q81" s="764">
        <f>L81*1.95542361</f>
        <v>2739.6092914695259</v>
      </c>
      <c r="R81" s="765">
        <f>R80*1.12435712</f>
        <v>0</v>
      </c>
      <c r="S81" s="636"/>
      <c r="T81" s="1018">
        <v>600</v>
      </c>
      <c r="U81" s="889"/>
      <c r="V81" s="890"/>
      <c r="W81" s="890"/>
      <c r="X81" s="890"/>
      <c r="Y81" s="890"/>
      <c r="Z81" s="890"/>
      <c r="AA81" s="890"/>
      <c r="AB81" s="891"/>
      <c r="AC81" s="636"/>
      <c r="AD81" s="636"/>
      <c r="AE81" s="636"/>
      <c r="AF81" s="636"/>
      <c r="AG81" s="636"/>
      <c r="AH81" s="636"/>
      <c r="AI81" s="636"/>
      <c r="AJ81" s="636"/>
      <c r="AK81" s="636"/>
      <c r="AL81" s="636"/>
      <c r="AM81" s="636"/>
      <c r="AN81" s="636"/>
      <c r="AO81" s="636"/>
      <c r="AP81" s="636"/>
      <c r="AQ81" s="636"/>
      <c r="AR81" s="636"/>
      <c r="AS81" s="636"/>
      <c r="AT81" s="636"/>
      <c r="AU81" s="636"/>
      <c r="AV81" s="636"/>
      <c r="AW81" s="636"/>
      <c r="AX81" s="636"/>
      <c r="AY81" s="636"/>
      <c r="AZ81" s="636"/>
      <c r="BA81" s="636"/>
      <c r="BB81" s="636"/>
      <c r="BC81" s="636"/>
      <c r="BD81" s="636"/>
      <c r="BE81" s="636"/>
      <c r="BF81" s="636"/>
      <c r="BG81" s="636"/>
      <c r="BH81" s="638"/>
      <c r="BI81" s="638"/>
    </row>
    <row r="82" spans="1:110" ht="14.25" customHeight="1">
      <c r="B82" s="2135" t="s">
        <v>223</v>
      </c>
      <c r="J82" s="705"/>
      <c r="K82" s="704"/>
      <c r="L82" s="690"/>
      <c r="M82" s="690"/>
      <c r="N82" s="690"/>
      <c r="O82" s="690"/>
      <c r="P82" s="690"/>
      <c r="Q82" s="690"/>
      <c r="R82" s="690"/>
      <c r="S82" s="636"/>
      <c r="T82" s="650"/>
      <c r="U82" s="687"/>
      <c r="V82" s="687"/>
      <c r="W82" s="687"/>
      <c r="X82" s="687"/>
      <c r="Y82" s="687"/>
      <c r="Z82" s="687"/>
      <c r="AA82" s="687"/>
      <c r="AB82" s="687"/>
      <c r="AC82" s="636"/>
      <c r="AD82" s="636"/>
      <c r="AE82" s="636"/>
      <c r="AF82" s="636"/>
      <c r="AG82" s="636"/>
      <c r="AH82" s="636"/>
      <c r="AI82" s="636"/>
      <c r="AJ82" s="636"/>
      <c r="AK82" s="636"/>
      <c r="AL82" s="636"/>
      <c r="AM82" s="636"/>
      <c r="AN82" s="636"/>
      <c r="AO82" s="636"/>
      <c r="AP82" s="636"/>
      <c r="AQ82" s="636"/>
      <c r="AR82" s="636"/>
      <c r="AS82" s="636"/>
      <c r="AT82" s="636"/>
      <c r="AU82" s="636"/>
      <c r="AV82" s="636"/>
      <c r="AW82" s="636"/>
      <c r="AX82" s="636"/>
      <c r="AY82" s="636"/>
      <c r="AZ82" s="636"/>
      <c r="BA82" s="636"/>
      <c r="BB82" s="636"/>
      <c r="BC82" s="636"/>
      <c r="BD82" s="636"/>
      <c r="BE82" s="636"/>
      <c r="BF82" s="636"/>
      <c r="BG82" s="636"/>
      <c r="BH82" s="638"/>
      <c r="BI82" s="638"/>
    </row>
    <row r="83" spans="1:110" ht="14.25" customHeight="1" thickBot="1">
      <c r="B83" s="2135"/>
      <c r="H83" s="691"/>
      <c r="I83" s="686"/>
      <c r="J83" s="686"/>
      <c r="K83" s="686"/>
      <c r="L83" s="686"/>
      <c r="M83" s="686"/>
      <c r="N83" s="686"/>
      <c r="O83" s="686"/>
      <c r="P83" s="636"/>
      <c r="Q83" s="650"/>
      <c r="R83" s="687"/>
      <c r="S83" s="687"/>
      <c r="T83" s="687"/>
      <c r="U83" s="687"/>
      <c r="V83" s="687"/>
      <c r="W83" s="687"/>
      <c r="X83" s="687"/>
      <c r="Y83" s="687"/>
      <c r="Z83" s="636"/>
      <c r="AA83" s="636"/>
      <c r="AB83" s="636"/>
      <c r="AC83" s="636"/>
      <c r="AD83" s="636"/>
      <c r="AE83" s="636"/>
      <c r="AF83" s="636"/>
      <c r="AG83" s="636"/>
      <c r="AH83" s="636"/>
      <c r="AI83" s="636"/>
      <c r="AJ83" s="636"/>
      <c r="AK83" s="636"/>
      <c r="AL83" s="636"/>
      <c r="AM83" s="636"/>
      <c r="AN83" s="636"/>
      <c r="AO83" s="636"/>
      <c r="AP83" s="636"/>
      <c r="AQ83" s="636"/>
      <c r="AR83" s="636"/>
      <c r="AS83" s="636"/>
      <c r="AT83" s="636"/>
      <c r="AU83" s="636"/>
      <c r="AV83" s="636"/>
      <c r="AW83" s="636"/>
      <c r="AX83" s="636"/>
      <c r="AY83" s="636"/>
      <c r="AZ83" s="636"/>
      <c r="BA83" s="636"/>
      <c r="BB83" s="636"/>
      <c r="BC83" s="636"/>
      <c r="BD83" s="636"/>
      <c r="BE83" s="638"/>
      <c r="BF83" s="638"/>
    </row>
    <row r="84" spans="1:110" ht="31.5" hidden="1" customHeight="1" thickBot="1">
      <c r="B84" s="2358"/>
      <c r="C84" s="2358"/>
      <c r="D84" s="698"/>
      <c r="E84" s="703"/>
      <c r="F84" s="703"/>
      <c r="G84" s="699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798"/>
    </row>
    <row r="85" spans="1:110" ht="15.75" customHeight="1" thickBot="1">
      <c r="A85" s="17"/>
      <c r="B85" s="2354" t="s">
        <v>375</v>
      </c>
      <c r="C85" s="2355"/>
      <c r="D85" s="2140" t="s">
        <v>224</v>
      </c>
      <c r="E85" s="2142" t="s">
        <v>0</v>
      </c>
      <c r="F85" s="2142" t="s">
        <v>1</v>
      </c>
      <c r="G85" s="2144" t="s">
        <v>185</v>
      </c>
      <c r="H85" s="2265" t="s">
        <v>18</v>
      </c>
      <c r="I85" s="2266"/>
      <c r="J85" s="2266"/>
      <c r="K85" s="2266"/>
      <c r="L85" s="2266"/>
      <c r="M85" s="2266"/>
      <c r="N85" s="2266"/>
      <c r="O85" s="2266"/>
      <c r="P85" s="2266"/>
      <c r="Q85" s="2266"/>
      <c r="R85" s="2266"/>
      <c r="S85" s="2266"/>
      <c r="T85" s="2266"/>
      <c r="U85" s="2266"/>
      <c r="V85" s="2266"/>
      <c r="W85" s="2266"/>
      <c r="X85" s="2266"/>
      <c r="Y85" s="2266"/>
      <c r="Z85" s="2266"/>
      <c r="AA85" s="2266"/>
      <c r="AB85" s="2266"/>
      <c r="AC85" s="2266"/>
      <c r="AD85" s="2266"/>
      <c r="AE85" s="2266"/>
      <c r="AF85" s="2266"/>
      <c r="AG85" s="2266"/>
      <c r="AH85" s="2266"/>
      <c r="AI85" s="2266"/>
      <c r="AJ85" s="2266"/>
      <c r="AK85" s="2266"/>
      <c r="AL85" s="2266"/>
      <c r="AM85" s="2266"/>
      <c r="AN85" s="2266"/>
      <c r="AO85" s="2266"/>
      <c r="AP85" s="2266"/>
      <c r="AQ85" s="2266"/>
      <c r="AR85" s="2266"/>
      <c r="AS85" s="2266"/>
      <c r="AT85" s="2266"/>
      <c r="AU85" s="2266"/>
      <c r="AV85" s="2266"/>
      <c r="AW85" s="2266"/>
      <c r="AX85" s="2266"/>
      <c r="AY85" s="2266"/>
      <c r="AZ85" s="2266"/>
      <c r="BA85" s="2266"/>
      <c r="BB85" s="2266"/>
      <c r="BC85" s="2266"/>
      <c r="BD85" s="2266"/>
      <c r="BE85" s="2266"/>
      <c r="BF85" s="2267"/>
    </row>
    <row r="86" spans="1:110" ht="15.75" customHeight="1" thickBot="1">
      <c r="A86" s="17"/>
      <c r="B86" s="2356"/>
      <c r="C86" s="2357"/>
      <c r="D86" s="2141"/>
      <c r="E86" s="2143"/>
      <c r="F86" s="2143"/>
      <c r="G86" s="2145"/>
      <c r="H86" s="900"/>
      <c r="I86" s="900"/>
      <c r="J86" s="794"/>
      <c r="K86" s="795"/>
      <c r="L86" s="795">
        <v>700</v>
      </c>
      <c r="M86" s="795">
        <v>750</v>
      </c>
      <c r="N86" s="795">
        <v>800</v>
      </c>
      <c r="O86" s="795">
        <v>850</v>
      </c>
      <c r="P86" s="795">
        <v>900</v>
      </c>
      <c r="Q86" s="795">
        <v>950</v>
      </c>
      <c r="R86" s="795">
        <v>1000</v>
      </c>
      <c r="S86" s="795">
        <v>1050</v>
      </c>
      <c r="T86" s="795">
        <v>1100</v>
      </c>
      <c r="U86" s="795">
        <v>1150</v>
      </c>
      <c r="V86" s="795">
        <v>1200</v>
      </c>
      <c r="W86" s="795">
        <v>1250</v>
      </c>
      <c r="X86" s="795">
        <v>1300</v>
      </c>
      <c r="Y86" s="795">
        <v>1350</v>
      </c>
      <c r="Z86" s="795">
        <v>1400</v>
      </c>
      <c r="AA86" s="795">
        <v>1450</v>
      </c>
      <c r="AB86" s="795">
        <v>1500</v>
      </c>
      <c r="AC86" s="795">
        <v>1550</v>
      </c>
      <c r="AD86" s="795">
        <v>1600</v>
      </c>
      <c r="AE86" s="795">
        <v>1650</v>
      </c>
      <c r="AF86" s="795">
        <v>1700</v>
      </c>
      <c r="AG86" s="795">
        <v>1750</v>
      </c>
      <c r="AH86" s="795">
        <v>1800</v>
      </c>
      <c r="AI86" s="795">
        <v>1850</v>
      </c>
      <c r="AJ86" s="795">
        <v>1900</v>
      </c>
      <c r="AK86" s="795">
        <v>1950</v>
      </c>
      <c r="AL86" s="795">
        <v>2000</v>
      </c>
      <c r="AM86" s="795">
        <v>2050</v>
      </c>
      <c r="AN86" s="795">
        <v>2100</v>
      </c>
      <c r="AO86" s="795">
        <v>2150</v>
      </c>
      <c r="AP86" s="795">
        <v>2200</v>
      </c>
      <c r="AQ86" s="795">
        <v>2250</v>
      </c>
      <c r="AR86" s="795">
        <v>2300</v>
      </c>
      <c r="AS86" s="795">
        <v>2350</v>
      </c>
      <c r="AT86" s="795">
        <v>2400</v>
      </c>
      <c r="AU86" s="795">
        <v>2450</v>
      </c>
      <c r="AV86" s="795">
        <v>2500</v>
      </c>
      <c r="AW86" s="795">
        <v>2550</v>
      </c>
      <c r="AX86" s="795">
        <v>2600</v>
      </c>
      <c r="AY86" s="795">
        <v>2650</v>
      </c>
      <c r="AZ86" s="795">
        <v>2700</v>
      </c>
      <c r="BA86" s="795">
        <v>2750</v>
      </c>
      <c r="BB86" s="795">
        <v>2800</v>
      </c>
      <c r="BC86" s="795">
        <v>2850</v>
      </c>
      <c r="BD86" s="795">
        <v>2900</v>
      </c>
      <c r="BE86" s="796">
        <v>2950</v>
      </c>
      <c r="BF86" s="797">
        <v>3000</v>
      </c>
      <c r="BG86" s="17"/>
      <c r="BH86" s="17"/>
      <c r="BJ86" s="692">
        <v>500</v>
      </c>
      <c r="BK86" s="693">
        <v>550</v>
      </c>
      <c r="BL86" s="694">
        <v>600</v>
      </c>
      <c r="BM86" s="695">
        <v>650</v>
      </c>
      <c r="BN86" s="695">
        <v>700</v>
      </c>
      <c r="BO86" s="695">
        <v>750</v>
      </c>
      <c r="BP86" s="695">
        <v>800</v>
      </c>
      <c r="BQ86" s="695">
        <v>850</v>
      </c>
      <c r="BR86" s="695">
        <v>900</v>
      </c>
      <c r="BS86" s="695">
        <v>950</v>
      </c>
      <c r="BT86" s="695">
        <v>1000</v>
      </c>
      <c r="BU86" s="695">
        <v>1050</v>
      </c>
      <c r="BV86" s="695">
        <v>1100</v>
      </c>
      <c r="BW86" s="695">
        <v>1150</v>
      </c>
      <c r="BX86" s="695">
        <v>1200</v>
      </c>
      <c r="BY86" s="695">
        <v>1250</v>
      </c>
      <c r="BZ86" s="695">
        <v>1300</v>
      </c>
      <c r="CA86" s="695">
        <v>1350</v>
      </c>
      <c r="CB86" s="695">
        <v>1400</v>
      </c>
      <c r="CC86" s="695">
        <v>1450</v>
      </c>
      <c r="CD86" s="695">
        <v>1500</v>
      </c>
      <c r="CE86" s="695">
        <v>1550</v>
      </c>
      <c r="CF86" s="695">
        <v>1600</v>
      </c>
      <c r="CG86" s="695">
        <v>1650</v>
      </c>
      <c r="CH86" s="695">
        <v>1700</v>
      </c>
      <c r="CI86" s="695">
        <v>1750</v>
      </c>
      <c r="CJ86" s="695">
        <v>1800</v>
      </c>
      <c r="CK86" s="695">
        <v>1850</v>
      </c>
      <c r="CL86" s="695">
        <v>1900</v>
      </c>
      <c r="CM86" s="695">
        <v>1950</v>
      </c>
      <c r="CN86" s="695">
        <v>2000</v>
      </c>
      <c r="CO86" s="695">
        <v>2050</v>
      </c>
      <c r="CP86" s="695">
        <v>2100</v>
      </c>
      <c r="CQ86" s="695">
        <v>2150</v>
      </c>
      <c r="CR86" s="695">
        <v>2200</v>
      </c>
      <c r="CS86" s="695">
        <v>2250</v>
      </c>
      <c r="CT86" s="695">
        <v>2300</v>
      </c>
      <c r="CU86" s="695">
        <v>2350</v>
      </c>
      <c r="CV86" s="695">
        <v>2400</v>
      </c>
      <c r="CW86" s="695">
        <v>2450</v>
      </c>
      <c r="CX86" s="695">
        <v>2500</v>
      </c>
      <c r="CY86" s="695">
        <v>2550</v>
      </c>
      <c r="CZ86" s="695">
        <v>2600</v>
      </c>
      <c r="DA86" s="695">
        <v>2650</v>
      </c>
      <c r="DB86" s="695">
        <v>2700</v>
      </c>
      <c r="DC86" s="695">
        <v>2750</v>
      </c>
      <c r="DD86" s="695">
        <v>2800</v>
      </c>
      <c r="DE86" s="695">
        <v>2850</v>
      </c>
      <c r="DF86" s="695">
        <v>2900</v>
      </c>
    </row>
    <row r="87" spans="1:110">
      <c r="A87" s="2309" t="s">
        <v>376</v>
      </c>
      <c r="B87" s="2359" t="s">
        <v>545</v>
      </c>
      <c r="C87" s="2360"/>
      <c r="D87" s="901"/>
      <c r="E87" s="901"/>
      <c r="F87" s="901"/>
      <c r="G87" s="901"/>
      <c r="H87" s="901"/>
      <c r="I87" s="901"/>
      <c r="J87" s="902"/>
      <c r="K87" s="902"/>
      <c r="L87" s="902">
        <f t="shared" ref="L87:BF87" si="10">((L$86-$H$4)/1000)*IF($C$13=0,$M$23,$M$40)*(($C$8/70)^$X$40)*IF($C$13=1,$AG$40,IF($C$13=2,$AH$40,IF($C$13=3,$AI$40,1)))</f>
        <v>706.26612420000004</v>
      </c>
      <c r="M87" s="902">
        <f t="shared" si="10"/>
        <v>807.16128479999998</v>
      </c>
      <c r="N87" s="902">
        <f t="shared" si="10"/>
        <v>908.05644540000003</v>
      </c>
      <c r="O87" s="902">
        <f t="shared" si="10"/>
        <v>1008.951606</v>
      </c>
      <c r="P87" s="902">
        <f t="shared" si="10"/>
        <v>1109.8467666000001</v>
      </c>
      <c r="Q87" s="902">
        <f t="shared" si="10"/>
        <v>1210.7419272</v>
      </c>
      <c r="R87" s="902">
        <f t="shared" si="10"/>
        <v>1311.6370878</v>
      </c>
      <c r="S87" s="902">
        <f t="shared" si="10"/>
        <v>1412.5322484000001</v>
      </c>
      <c r="T87" s="902">
        <f t="shared" si="10"/>
        <v>1513.4274090000001</v>
      </c>
      <c r="U87" s="902">
        <f t="shared" si="10"/>
        <v>1614.3225696</v>
      </c>
      <c r="V87" s="902">
        <f t="shared" si="10"/>
        <v>1715.2177301999998</v>
      </c>
      <c r="W87" s="902">
        <f t="shared" si="10"/>
        <v>1816.1128908000001</v>
      </c>
      <c r="X87" s="902">
        <f t="shared" si="10"/>
        <v>1917.0080513999999</v>
      </c>
      <c r="Y87" s="902">
        <f t="shared" si="10"/>
        <v>2017.9032119999999</v>
      </c>
      <c r="Z87" s="902">
        <f t="shared" si="10"/>
        <v>2118.7983726000002</v>
      </c>
      <c r="AA87" s="902">
        <f t="shared" si="10"/>
        <v>2219.6935332000003</v>
      </c>
      <c r="AB87" s="902">
        <f t="shared" si="10"/>
        <v>2320.5886937999999</v>
      </c>
      <c r="AC87" s="902">
        <f t="shared" si="10"/>
        <v>2421.4838543999999</v>
      </c>
      <c r="AD87" s="902">
        <f t="shared" si="10"/>
        <v>2522.379015</v>
      </c>
      <c r="AE87" s="902">
        <f t="shared" si="10"/>
        <v>2623.2741756</v>
      </c>
      <c r="AF87" s="902">
        <f t="shared" si="10"/>
        <v>2724.1693362000001</v>
      </c>
      <c r="AG87" s="902">
        <f t="shared" si="10"/>
        <v>2825.0644968000001</v>
      </c>
      <c r="AH87" s="902">
        <f t="shared" si="10"/>
        <v>2925.9596573999997</v>
      </c>
      <c r="AI87" s="902">
        <f t="shared" si="10"/>
        <v>3026.8548180000003</v>
      </c>
      <c r="AJ87" s="902">
        <f t="shared" si="10"/>
        <v>3127.7499786000003</v>
      </c>
      <c r="AK87" s="902">
        <f t="shared" si="10"/>
        <v>3228.6451391999999</v>
      </c>
      <c r="AL87" s="902">
        <f t="shared" si="10"/>
        <v>3329.5402998</v>
      </c>
      <c r="AM87" s="902">
        <f t="shared" si="10"/>
        <v>3430.4354603999996</v>
      </c>
      <c r="AN87" s="902">
        <f t="shared" si="10"/>
        <v>3531.3306210000001</v>
      </c>
      <c r="AO87" s="902">
        <f t="shared" si="10"/>
        <v>3632.2257816000001</v>
      </c>
      <c r="AP87" s="902">
        <f t="shared" si="10"/>
        <v>3733.1209421999997</v>
      </c>
      <c r="AQ87" s="902">
        <f t="shared" si="10"/>
        <v>3834.0161027999998</v>
      </c>
      <c r="AR87" s="902">
        <f t="shared" si="10"/>
        <v>3934.9112634000003</v>
      </c>
      <c r="AS87" s="902">
        <f t="shared" si="10"/>
        <v>4035.8064239999999</v>
      </c>
      <c r="AT87" s="902">
        <f t="shared" si="10"/>
        <v>4136.7015845999995</v>
      </c>
      <c r="AU87" s="902">
        <f t="shared" si="10"/>
        <v>4237.5967452000004</v>
      </c>
      <c r="AV87" s="902">
        <f t="shared" si="10"/>
        <v>4338.4919058000005</v>
      </c>
      <c r="AW87" s="902">
        <f t="shared" si="10"/>
        <v>4439.3870664000005</v>
      </c>
      <c r="AX87" s="902">
        <f t="shared" si="10"/>
        <v>4540.2822269999997</v>
      </c>
      <c r="AY87" s="902">
        <f t="shared" si="10"/>
        <v>4641.1773875999997</v>
      </c>
      <c r="AZ87" s="902">
        <f t="shared" si="10"/>
        <v>4742.0725482000007</v>
      </c>
      <c r="BA87" s="902">
        <f t="shared" si="10"/>
        <v>4842.9677087999999</v>
      </c>
      <c r="BB87" s="902">
        <f t="shared" si="10"/>
        <v>4943.8628694000008</v>
      </c>
      <c r="BC87" s="902">
        <f t="shared" si="10"/>
        <v>5044.75803</v>
      </c>
      <c r="BD87" s="902">
        <f t="shared" si="10"/>
        <v>5145.6531905999991</v>
      </c>
      <c r="BE87" s="902">
        <f t="shared" si="10"/>
        <v>5246.5483512000001</v>
      </c>
      <c r="BF87" s="902">
        <f t="shared" si="10"/>
        <v>5347.4435118000001</v>
      </c>
      <c r="BG87" s="17"/>
      <c r="BH87" s="17"/>
      <c r="BJ87" s="632" t="e">
        <f t="shared" ref="BJ87:BY98" si="11">J91/J87</f>
        <v>#DIV/0!</v>
      </c>
      <c r="BK87" s="632" t="e">
        <f t="shared" si="11"/>
        <v>#DIV/0!</v>
      </c>
      <c r="BL87" s="632">
        <f t="shared" si="11"/>
        <v>1.2291397849462364</v>
      </c>
      <c r="BM87" s="632">
        <f t="shared" si="11"/>
        <v>1.2291397849462367</v>
      </c>
      <c r="BN87" s="632">
        <f t="shared" si="11"/>
        <v>1.2291397849462367</v>
      </c>
      <c r="BO87" s="632">
        <f t="shared" si="11"/>
        <v>1.2291397849462367</v>
      </c>
      <c r="BP87" s="632">
        <f t="shared" si="11"/>
        <v>1.2291397849462367</v>
      </c>
      <c r="BQ87" s="632">
        <f t="shared" si="11"/>
        <v>1.2291397849462367</v>
      </c>
      <c r="BR87" s="632">
        <f t="shared" si="11"/>
        <v>1.2291397849462367</v>
      </c>
      <c r="BS87" s="632">
        <f t="shared" si="11"/>
        <v>1.2291397849462364</v>
      </c>
      <c r="BT87" s="632">
        <f t="shared" si="11"/>
        <v>1.2291397849462367</v>
      </c>
      <c r="BU87" s="632">
        <f t="shared" si="11"/>
        <v>1.2291397849462367</v>
      </c>
      <c r="BV87" s="632">
        <f t="shared" si="11"/>
        <v>1.2291397849462367</v>
      </c>
      <c r="BW87" s="632">
        <f t="shared" si="11"/>
        <v>1.2291397849462367</v>
      </c>
      <c r="BX87" s="632">
        <f t="shared" si="11"/>
        <v>1.2291397849462364</v>
      </c>
      <c r="BY87" s="632">
        <f t="shared" si="11"/>
        <v>1.2291397849462367</v>
      </c>
      <c r="BZ87" s="632">
        <f t="shared" ref="BZ87:CO98" si="12">Z91/Z87</f>
        <v>1.2291397849462367</v>
      </c>
      <c r="CA87" s="632">
        <f t="shared" si="12"/>
        <v>1.2291397849462367</v>
      </c>
      <c r="CB87" s="632">
        <f t="shared" si="12"/>
        <v>1.2291397849462364</v>
      </c>
      <c r="CC87" s="632">
        <f t="shared" si="12"/>
        <v>1.2291397849462367</v>
      </c>
      <c r="CD87" s="632">
        <f t="shared" si="12"/>
        <v>1.2291397849462367</v>
      </c>
      <c r="CE87" s="632">
        <f t="shared" si="12"/>
        <v>1.2291397849462367</v>
      </c>
      <c r="CF87" s="632">
        <f t="shared" si="12"/>
        <v>1.2291397849462367</v>
      </c>
      <c r="CG87" s="632">
        <f t="shared" si="12"/>
        <v>1.2291397849462364</v>
      </c>
      <c r="CH87" s="632">
        <f t="shared" si="12"/>
        <v>1.2291397849462367</v>
      </c>
      <c r="CI87" s="632">
        <f t="shared" si="12"/>
        <v>1.2291397849462367</v>
      </c>
      <c r="CJ87" s="632">
        <f t="shared" si="12"/>
        <v>1.2291397849462367</v>
      </c>
      <c r="CK87" s="632">
        <f t="shared" si="12"/>
        <v>1.2291397849462367</v>
      </c>
      <c r="CL87" s="632">
        <f t="shared" si="12"/>
        <v>1.2291397849462364</v>
      </c>
      <c r="CM87" s="632">
        <f t="shared" si="12"/>
        <v>1.2291397849462367</v>
      </c>
      <c r="CN87" s="632">
        <f t="shared" si="12"/>
        <v>1.2291397849462367</v>
      </c>
      <c r="CO87" s="632">
        <f t="shared" si="12"/>
        <v>1.2291397849462367</v>
      </c>
      <c r="CP87" s="632">
        <f t="shared" ref="CP87:DE98" si="13">AP91/AP87</f>
        <v>1.2291397849462367</v>
      </c>
      <c r="CQ87" s="632">
        <f t="shared" si="13"/>
        <v>1.2291397849462364</v>
      </c>
      <c r="CR87" s="632">
        <f t="shared" si="13"/>
        <v>1.2291397849462364</v>
      </c>
      <c r="CS87" s="632">
        <f t="shared" si="13"/>
        <v>1.2291397849462367</v>
      </c>
      <c r="CT87" s="632">
        <f t="shared" si="13"/>
        <v>1.2291397849462367</v>
      </c>
      <c r="CU87" s="632">
        <f t="shared" si="13"/>
        <v>1.2291397849462367</v>
      </c>
      <c r="CV87" s="632">
        <f t="shared" si="13"/>
        <v>1.2291397849462364</v>
      </c>
      <c r="CW87" s="632">
        <f t="shared" si="13"/>
        <v>1.2291397849462367</v>
      </c>
      <c r="CX87" s="632">
        <f t="shared" si="13"/>
        <v>1.2291397849462367</v>
      </c>
      <c r="CY87" s="632">
        <f t="shared" si="13"/>
        <v>1.2291397849462364</v>
      </c>
      <c r="CZ87" s="632">
        <f t="shared" si="13"/>
        <v>1.2291397849462367</v>
      </c>
      <c r="DA87" s="632">
        <f t="shared" si="13"/>
        <v>1.2291397849462367</v>
      </c>
      <c r="DB87" s="632">
        <f t="shared" si="13"/>
        <v>1.2291397849462364</v>
      </c>
      <c r="DC87" s="632">
        <f t="shared" si="13"/>
        <v>1.2291397849462367</v>
      </c>
      <c r="DD87" s="632">
        <f t="shared" si="13"/>
        <v>1.2291397849462367</v>
      </c>
      <c r="DE87" s="632">
        <f t="shared" si="13"/>
        <v>1.2291397849462367</v>
      </c>
      <c r="DF87" s="632">
        <f t="shared" ref="DF87:DF98" si="14">BF91/BF87</f>
        <v>1.2291397849462367</v>
      </c>
    </row>
    <row r="88" spans="1:110" ht="15.75" thickBot="1">
      <c r="A88" s="2309"/>
      <c r="B88" s="2361" t="s">
        <v>546</v>
      </c>
      <c r="C88" s="2362"/>
      <c r="D88" s="903"/>
      <c r="E88" s="903"/>
      <c r="F88" s="903"/>
      <c r="G88" s="903"/>
      <c r="H88" s="903"/>
      <c r="I88" s="903"/>
      <c r="J88" s="904"/>
      <c r="K88" s="904"/>
      <c r="L88" s="904">
        <f t="shared" ref="L88:BF88" si="15">((L$86-$H$4)/1000)*IF($C$13=0,$N$23,$N$40)*(($C$8/70)^$Y$40)*IF($C$13=1,$AG$40,IF($C$13=2,$AH$40,IF($C$13=3,$AI$40,1)))</f>
        <v>782.20871819999991</v>
      </c>
      <c r="M88" s="904">
        <f t="shared" si="15"/>
        <v>893.95282080000004</v>
      </c>
      <c r="N88" s="904">
        <f t="shared" si="15"/>
        <v>1005.6969234000002</v>
      </c>
      <c r="O88" s="904">
        <f t="shared" si="15"/>
        <v>1117.441026</v>
      </c>
      <c r="P88" s="904">
        <f t="shared" si="15"/>
        <v>1229.1851286000001</v>
      </c>
      <c r="Q88" s="904">
        <f t="shared" si="15"/>
        <v>1340.9292312</v>
      </c>
      <c r="R88" s="904">
        <f t="shared" si="15"/>
        <v>1452.6733338000001</v>
      </c>
      <c r="S88" s="904">
        <f t="shared" si="15"/>
        <v>1564.4174363999998</v>
      </c>
      <c r="T88" s="904">
        <f t="shared" si="15"/>
        <v>1676.1615390000002</v>
      </c>
      <c r="U88" s="904">
        <f t="shared" si="15"/>
        <v>1787.9056416000001</v>
      </c>
      <c r="V88" s="904">
        <f t="shared" si="15"/>
        <v>1899.6497442</v>
      </c>
      <c r="W88" s="904">
        <f t="shared" si="15"/>
        <v>2011.3938468000003</v>
      </c>
      <c r="X88" s="904">
        <f t="shared" si="15"/>
        <v>2123.1379493999998</v>
      </c>
      <c r="Y88" s="904">
        <f t="shared" si="15"/>
        <v>2234.8820519999999</v>
      </c>
      <c r="Z88" s="904">
        <f t="shared" si="15"/>
        <v>2346.6261546000005</v>
      </c>
      <c r="AA88" s="904">
        <f t="shared" si="15"/>
        <v>2458.3702572000002</v>
      </c>
      <c r="AB88" s="904">
        <f t="shared" si="15"/>
        <v>2570.1143597999999</v>
      </c>
      <c r="AC88" s="904">
        <f t="shared" si="15"/>
        <v>2681.8584624</v>
      </c>
      <c r="AD88" s="904">
        <f t="shared" si="15"/>
        <v>2793.6025650000001</v>
      </c>
      <c r="AE88" s="904">
        <f t="shared" si="15"/>
        <v>2905.3466676000003</v>
      </c>
      <c r="AF88" s="904">
        <f t="shared" si="15"/>
        <v>3017.0907702000004</v>
      </c>
      <c r="AG88" s="904">
        <f t="shared" si="15"/>
        <v>3128.8348727999996</v>
      </c>
      <c r="AH88" s="904">
        <f t="shared" si="15"/>
        <v>3240.5789754000002</v>
      </c>
      <c r="AI88" s="904">
        <f t="shared" si="15"/>
        <v>3352.3230780000004</v>
      </c>
      <c r="AJ88" s="904">
        <f t="shared" si="15"/>
        <v>3464.0671806000005</v>
      </c>
      <c r="AK88" s="904">
        <f t="shared" si="15"/>
        <v>3575.8112832000002</v>
      </c>
      <c r="AL88" s="904">
        <f t="shared" si="15"/>
        <v>3687.5553857999998</v>
      </c>
      <c r="AM88" s="904">
        <f t="shared" si="15"/>
        <v>3799.2994884</v>
      </c>
      <c r="AN88" s="904">
        <f t="shared" si="15"/>
        <v>3911.0435910000001</v>
      </c>
      <c r="AO88" s="904">
        <f t="shared" si="15"/>
        <v>4022.7876936000007</v>
      </c>
      <c r="AP88" s="904">
        <f t="shared" si="15"/>
        <v>4134.5317961999999</v>
      </c>
      <c r="AQ88" s="904">
        <f t="shared" si="15"/>
        <v>4246.2758987999996</v>
      </c>
      <c r="AR88" s="904">
        <f t="shared" si="15"/>
        <v>4358.0200014000002</v>
      </c>
      <c r="AS88" s="904">
        <f t="shared" si="15"/>
        <v>4469.7641039999999</v>
      </c>
      <c r="AT88" s="904">
        <f t="shared" si="15"/>
        <v>4581.5082065999995</v>
      </c>
      <c r="AU88" s="904">
        <f t="shared" si="15"/>
        <v>4693.252309200001</v>
      </c>
      <c r="AV88" s="904">
        <f t="shared" si="15"/>
        <v>4804.9964118000007</v>
      </c>
      <c r="AW88" s="904">
        <f t="shared" si="15"/>
        <v>4916.7405144000004</v>
      </c>
      <c r="AX88" s="904">
        <f t="shared" si="15"/>
        <v>5028.4846170000001</v>
      </c>
      <c r="AY88" s="904">
        <f t="shared" si="15"/>
        <v>5140.2287195999997</v>
      </c>
      <c r="AZ88" s="904">
        <f t="shared" si="15"/>
        <v>5251.9728222000003</v>
      </c>
      <c r="BA88" s="904">
        <f t="shared" si="15"/>
        <v>5363.7169248</v>
      </c>
      <c r="BB88" s="904">
        <f t="shared" si="15"/>
        <v>5475.4610274000006</v>
      </c>
      <c r="BC88" s="904">
        <f t="shared" si="15"/>
        <v>5587.2051300000003</v>
      </c>
      <c r="BD88" s="904">
        <f t="shared" si="15"/>
        <v>5698.9492326</v>
      </c>
      <c r="BE88" s="904">
        <f t="shared" si="15"/>
        <v>5810.6933352000005</v>
      </c>
      <c r="BF88" s="904">
        <f t="shared" si="15"/>
        <v>5922.4374378000002</v>
      </c>
      <c r="BG88" s="17"/>
      <c r="BH88" s="17"/>
      <c r="BJ88" s="632" t="e">
        <f t="shared" si="11"/>
        <v>#DIV/0!</v>
      </c>
      <c r="BK88" s="632" t="e">
        <f t="shared" si="11"/>
        <v>#DIV/0!</v>
      </c>
      <c r="BL88" s="632">
        <f t="shared" si="11"/>
        <v>1.226990291262136</v>
      </c>
      <c r="BM88" s="632">
        <f t="shared" si="11"/>
        <v>1.2269902912621362</v>
      </c>
      <c r="BN88" s="632">
        <f t="shared" si="11"/>
        <v>1.2269902912621358</v>
      </c>
      <c r="BO88" s="632">
        <f t="shared" si="11"/>
        <v>1.226990291262136</v>
      </c>
      <c r="BP88" s="632">
        <f t="shared" si="11"/>
        <v>1.226990291262136</v>
      </c>
      <c r="BQ88" s="632">
        <f t="shared" si="11"/>
        <v>1.226990291262136</v>
      </c>
      <c r="BR88" s="632">
        <f t="shared" si="11"/>
        <v>1.226990291262136</v>
      </c>
      <c r="BS88" s="632">
        <f t="shared" si="11"/>
        <v>1.226990291262136</v>
      </c>
      <c r="BT88" s="632">
        <f t="shared" si="11"/>
        <v>1.2269902912621358</v>
      </c>
      <c r="BU88" s="632">
        <f t="shared" si="11"/>
        <v>1.2269902912621362</v>
      </c>
      <c r="BV88" s="632">
        <f t="shared" si="11"/>
        <v>1.226990291262136</v>
      </c>
      <c r="BW88" s="632">
        <f t="shared" si="11"/>
        <v>1.2269902912621358</v>
      </c>
      <c r="BX88" s="632">
        <f t="shared" si="11"/>
        <v>1.2269902912621362</v>
      </c>
      <c r="BY88" s="632">
        <f t="shared" si="11"/>
        <v>1.226990291262136</v>
      </c>
      <c r="BZ88" s="632">
        <f t="shared" si="12"/>
        <v>1.2269902912621358</v>
      </c>
      <c r="CA88" s="632">
        <f t="shared" si="12"/>
        <v>1.226990291262136</v>
      </c>
      <c r="CB88" s="632">
        <f t="shared" si="12"/>
        <v>1.226990291262136</v>
      </c>
      <c r="CC88" s="632">
        <f t="shared" si="12"/>
        <v>1.226990291262136</v>
      </c>
      <c r="CD88" s="632">
        <f t="shared" si="12"/>
        <v>1.226990291262136</v>
      </c>
      <c r="CE88" s="632">
        <f t="shared" si="12"/>
        <v>1.226990291262136</v>
      </c>
      <c r="CF88" s="632">
        <f t="shared" si="12"/>
        <v>1.226990291262136</v>
      </c>
      <c r="CG88" s="632">
        <f t="shared" si="12"/>
        <v>1.226990291262136</v>
      </c>
      <c r="CH88" s="632">
        <f t="shared" si="12"/>
        <v>1.2269902912621358</v>
      </c>
      <c r="CI88" s="632">
        <f t="shared" si="12"/>
        <v>1.2269902912621358</v>
      </c>
      <c r="CJ88" s="632">
        <f t="shared" si="12"/>
        <v>1.226990291262136</v>
      </c>
      <c r="CK88" s="632">
        <f t="shared" si="12"/>
        <v>1.2269902912621362</v>
      </c>
      <c r="CL88" s="632">
        <f t="shared" si="12"/>
        <v>1.226990291262136</v>
      </c>
      <c r="CM88" s="632">
        <f t="shared" si="12"/>
        <v>1.226990291262136</v>
      </c>
      <c r="CN88" s="632">
        <f t="shared" si="12"/>
        <v>1.226990291262136</v>
      </c>
      <c r="CO88" s="632">
        <f t="shared" si="12"/>
        <v>1.2269902912621358</v>
      </c>
      <c r="CP88" s="632">
        <f t="shared" si="13"/>
        <v>1.226990291262136</v>
      </c>
      <c r="CQ88" s="632">
        <f t="shared" si="13"/>
        <v>1.2269902912621362</v>
      </c>
      <c r="CR88" s="632">
        <f t="shared" si="13"/>
        <v>1.226990291262136</v>
      </c>
      <c r="CS88" s="632">
        <f t="shared" si="13"/>
        <v>1.226990291262136</v>
      </c>
      <c r="CT88" s="632">
        <f t="shared" si="13"/>
        <v>1.226990291262136</v>
      </c>
      <c r="CU88" s="632">
        <f t="shared" si="13"/>
        <v>1.2269902912621358</v>
      </c>
      <c r="CV88" s="632">
        <f t="shared" si="13"/>
        <v>1.2269902912621358</v>
      </c>
      <c r="CW88" s="632">
        <f t="shared" si="13"/>
        <v>1.226990291262136</v>
      </c>
      <c r="CX88" s="632">
        <f t="shared" si="13"/>
        <v>1.226990291262136</v>
      </c>
      <c r="CY88" s="632">
        <f t="shared" si="13"/>
        <v>1.226990291262136</v>
      </c>
      <c r="CZ88" s="632">
        <f t="shared" si="13"/>
        <v>1.226990291262136</v>
      </c>
      <c r="DA88" s="632">
        <f t="shared" si="13"/>
        <v>1.226990291262136</v>
      </c>
      <c r="DB88" s="632">
        <f t="shared" si="13"/>
        <v>1.226990291262136</v>
      </c>
      <c r="DC88" s="632">
        <f t="shared" si="13"/>
        <v>1.226990291262136</v>
      </c>
      <c r="DD88" s="632">
        <f t="shared" si="13"/>
        <v>1.226990291262136</v>
      </c>
      <c r="DE88" s="632">
        <f t="shared" si="13"/>
        <v>1.226990291262136</v>
      </c>
      <c r="DF88" s="632">
        <f t="shared" si="14"/>
        <v>1.226990291262136</v>
      </c>
    </row>
    <row r="89" spans="1:110" hidden="1">
      <c r="A89" s="2309"/>
      <c r="B89" s="2361" t="s">
        <v>322</v>
      </c>
      <c r="C89" s="2362"/>
      <c r="D89" s="903"/>
      <c r="E89" s="903"/>
      <c r="F89" s="903"/>
      <c r="G89" s="903"/>
      <c r="H89" s="903"/>
      <c r="I89" s="903"/>
      <c r="J89" s="904"/>
      <c r="K89" s="904"/>
      <c r="L89" s="904">
        <f t="shared" ref="L89:BF89" si="16">((L$86-$H$4)/1000)*IF($C$13=0,$Q$23,$Q$40)*(($C$8/70)^$AB$40)*IF($C$13=1,$AG$40,IF($C$13=2,$AH$40,IF($C$13=3,$AI$40,1)))</f>
        <v>1091.0419337999999</v>
      </c>
      <c r="M89" s="904">
        <f t="shared" si="16"/>
        <v>1246.9050672000001</v>
      </c>
      <c r="N89" s="904">
        <f t="shared" si="16"/>
        <v>1402.7682006000002</v>
      </c>
      <c r="O89" s="904">
        <f t="shared" si="16"/>
        <v>1558.6313340000002</v>
      </c>
      <c r="P89" s="904">
        <f t="shared" si="16"/>
        <v>1714.4944674000003</v>
      </c>
      <c r="Q89" s="904">
        <f t="shared" si="16"/>
        <v>1870.3576008000002</v>
      </c>
      <c r="R89" s="904">
        <f t="shared" si="16"/>
        <v>2026.2207342000002</v>
      </c>
      <c r="S89" s="904">
        <f t="shared" si="16"/>
        <v>2182.0838675999998</v>
      </c>
      <c r="T89" s="904">
        <f t="shared" si="16"/>
        <v>2337.947001</v>
      </c>
      <c r="U89" s="904">
        <f t="shared" si="16"/>
        <v>2493.8101344000002</v>
      </c>
      <c r="V89" s="904">
        <f t="shared" si="16"/>
        <v>2649.6732678000003</v>
      </c>
      <c r="W89" s="904">
        <f t="shared" si="16"/>
        <v>2805.5364012000005</v>
      </c>
      <c r="X89" s="904">
        <f t="shared" si="16"/>
        <v>2961.3995346000002</v>
      </c>
      <c r="Y89" s="904">
        <f t="shared" si="16"/>
        <v>3117.2626680000003</v>
      </c>
      <c r="Z89" s="904">
        <f t="shared" si="16"/>
        <v>3273.1258014000005</v>
      </c>
      <c r="AA89" s="904">
        <f t="shared" si="16"/>
        <v>3428.9889348000006</v>
      </c>
      <c r="AB89" s="904">
        <f t="shared" si="16"/>
        <v>3584.8520682000003</v>
      </c>
      <c r="AC89" s="904">
        <f t="shared" si="16"/>
        <v>3740.7152016000005</v>
      </c>
      <c r="AD89" s="904">
        <f t="shared" si="16"/>
        <v>3896.5783350000006</v>
      </c>
      <c r="AE89" s="904">
        <f t="shared" si="16"/>
        <v>4052.4414684000003</v>
      </c>
      <c r="AF89" s="904">
        <f t="shared" si="16"/>
        <v>4208.3046018000005</v>
      </c>
      <c r="AG89" s="904">
        <f t="shared" si="16"/>
        <v>4364.1677351999997</v>
      </c>
      <c r="AH89" s="904">
        <f t="shared" si="16"/>
        <v>4520.0308685999998</v>
      </c>
      <c r="AI89" s="904">
        <f t="shared" si="16"/>
        <v>4675.894002</v>
      </c>
      <c r="AJ89" s="904">
        <f t="shared" si="16"/>
        <v>4831.7571354000002</v>
      </c>
      <c r="AK89" s="904">
        <f t="shared" si="16"/>
        <v>4987.6202688000003</v>
      </c>
      <c r="AL89" s="904">
        <f t="shared" si="16"/>
        <v>5143.4834022000005</v>
      </c>
      <c r="AM89" s="904">
        <f t="shared" si="16"/>
        <v>5299.3465356000006</v>
      </c>
      <c r="AN89" s="904">
        <f t="shared" si="16"/>
        <v>5455.2096690000008</v>
      </c>
      <c r="AO89" s="904">
        <f t="shared" si="16"/>
        <v>5611.0728024000009</v>
      </c>
      <c r="AP89" s="904">
        <f t="shared" si="16"/>
        <v>5766.9359358000011</v>
      </c>
      <c r="AQ89" s="904">
        <f t="shared" si="16"/>
        <v>5922.7990692000003</v>
      </c>
      <c r="AR89" s="904">
        <f t="shared" si="16"/>
        <v>6078.6622026000005</v>
      </c>
      <c r="AS89" s="904">
        <f t="shared" si="16"/>
        <v>6234.5253360000006</v>
      </c>
      <c r="AT89" s="904">
        <f t="shared" si="16"/>
        <v>6390.3884693999998</v>
      </c>
      <c r="AU89" s="904">
        <f t="shared" si="16"/>
        <v>6546.2516028000009</v>
      </c>
      <c r="AV89" s="904">
        <f t="shared" si="16"/>
        <v>6702.1147362000002</v>
      </c>
      <c r="AW89" s="904">
        <f t="shared" si="16"/>
        <v>6857.9778696000012</v>
      </c>
      <c r="AX89" s="904">
        <f t="shared" si="16"/>
        <v>7013.8410030000005</v>
      </c>
      <c r="AY89" s="904">
        <f t="shared" si="16"/>
        <v>7169.7041364000006</v>
      </c>
      <c r="AZ89" s="904">
        <f t="shared" si="16"/>
        <v>7325.5672698000008</v>
      </c>
      <c r="BA89" s="904">
        <f t="shared" si="16"/>
        <v>7481.4304032000009</v>
      </c>
      <c r="BB89" s="904">
        <f t="shared" si="16"/>
        <v>7637.2935366000011</v>
      </c>
      <c r="BC89" s="904">
        <f t="shared" si="16"/>
        <v>7793.1566700000012</v>
      </c>
      <c r="BD89" s="904">
        <f t="shared" si="16"/>
        <v>7949.0198033999995</v>
      </c>
      <c r="BE89" s="904">
        <f t="shared" si="16"/>
        <v>8104.8829368000006</v>
      </c>
      <c r="BF89" s="904">
        <f t="shared" si="16"/>
        <v>8260.7460702000008</v>
      </c>
      <c r="BG89" s="17"/>
      <c r="BH89" s="17"/>
      <c r="BJ89" s="632" t="e">
        <f t="shared" si="11"/>
        <v>#DIV/0!</v>
      </c>
      <c r="BK89" s="632" t="e">
        <f t="shared" si="11"/>
        <v>#DIV/0!</v>
      </c>
      <c r="BL89" s="632">
        <f t="shared" si="11"/>
        <v>1.178285471624269</v>
      </c>
      <c r="BM89" s="632">
        <f t="shared" si="11"/>
        <v>1.178285471624269</v>
      </c>
      <c r="BN89" s="632">
        <f t="shared" si="11"/>
        <v>1.178285471624269</v>
      </c>
      <c r="BO89" s="632">
        <f t="shared" si="11"/>
        <v>1.178285471624269</v>
      </c>
      <c r="BP89" s="632">
        <f t="shared" si="11"/>
        <v>1.178285471624269</v>
      </c>
      <c r="BQ89" s="632">
        <f t="shared" si="11"/>
        <v>1.1782854716242688</v>
      </c>
      <c r="BR89" s="632">
        <f t="shared" si="11"/>
        <v>1.1782854716242692</v>
      </c>
      <c r="BS89" s="632">
        <f t="shared" si="11"/>
        <v>1.178285471624269</v>
      </c>
      <c r="BT89" s="632">
        <f t="shared" si="11"/>
        <v>1.178285471624269</v>
      </c>
      <c r="BU89" s="632">
        <f t="shared" si="11"/>
        <v>1.178285471624269</v>
      </c>
      <c r="BV89" s="632">
        <f t="shared" si="11"/>
        <v>1.1782854716242688</v>
      </c>
      <c r="BW89" s="632">
        <f t="shared" si="11"/>
        <v>1.178285471624269</v>
      </c>
      <c r="BX89" s="632">
        <f t="shared" si="11"/>
        <v>1.178285471624269</v>
      </c>
      <c r="BY89" s="632">
        <f t="shared" si="11"/>
        <v>1.178285471624269</v>
      </c>
      <c r="BZ89" s="632">
        <f t="shared" si="12"/>
        <v>1.178285471624269</v>
      </c>
      <c r="CA89" s="632">
        <f t="shared" si="12"/>
        <v>1.178285471624269</v>
      </c>
      <c r="CB89" s="632">
        <f t="shared" si="12"/>
        <v>1.1782854716242688</v>
      </c>
      <c r="CC89" s="632">
        <f t="shared" si="12"/>
        <v>1.1782854716242688</v>
      </c>
      <c r="CD89" s="632">
        <f t="shared" si="12"/>
        <v>1.178285471624269</v>
      </c>
      <c r="CE89" s="632">
        <f t="shared" si="12"/>
        <v>1.1782854716242692</v>
      </c>
      <c r="CF89" s="632">
        <f t="shared" si="12"/>
        <v>1.178285471624269</v>
      </c>
      <c r="CG89" s="632">
        <f t="shared" si="12"/>
        <v>1.178285471624269</v>
      </c>
      <c r="CH89" s="632">
        <f t="shared" si="12"/>
        <v>1.178285471624269</v>
      </c>
      <c r="CI89" s="632">
        <f t="shared" si="12"/>
        <v>1.178285471624269</v>
      </c>
      <c r="CJ89" s="632">
        <f t="shared" si="12"/>
        <v>1.1782854716242692</v>
      </c>
      <c r="CK89" s="632">
        <f t="shared" si="12"/>
        <v>1.178285471624269</v>
      </c>
      <c r="CL89" s="632">
        <f t="shared" si="12"/>
        <v>1.178285471624269</v>
      </c>
      <c r="CM89" s="632">
        <f t="shared" si="12"/>
        <v>1.1782854716242688</v>
      </c>
      <c r="CN89" s="632">
        <f t="shared" si="12"/>
        <v>1.1782854716242688</v>
      </c>
      <c r="CO89" s="632">
        <f t="shared" si="12"/>
        <v>1.178285471624269</v>
      </c>
      <c r="CP89" s="632">
        <f t="shared" si="13"/>
        <v>1.1782854716242688</v>
      </c>
      <c r="CQ89" s="632">
        <f t="shared" si="13"/>
        <v>1.178285471624269</v>
      </c>
      <c r="CR89" s="632">
        <f t="shared" si="13"/>
        <v>1.178285471624269</v>
      </c>
      <c r="CS89" s="632">
        <f t="shared" si="13"/>
        <v>1.178285471624269</v>
      </c>
      <c r="CT89" s="632">
        <f t="shared" si="13"/>
        <v>1.178285471624269</v>
      </c>
      <c r="CU89" s="632">
        <f t="shared" si="13"/>
        <v>1.178285471624269</v>
      </c>
      <c r="CV89" s="632">
        <f t="shared" si="13"/>
        <v>1.178285471624269</v>
      </c>
      <c r="CW89" s="632">
        <f t="shared" si="13"/>
        <v>1.178285471624269</v>
      </c>
      <c r="CX89" s="632">
        <f t="shared" si="13"/>
        <v>1.1782854716242688</v>
      </c>
      <c r="CY89" s="632">
        <f t="shared" si="13"/>
        <v>1.1782854716242688</v>
      </c>
      <c r="CZ89" s="632">
        <f t="shared" si="13"/>
        <v>1.178285471624269</v>
      </c>
      <c r="DA89" s="632">
        <f t="shared" si="13"/>
        <v>1.1782854716242688</v>
      </c>
      <c r="DB89" s="632">
        <f t="shared" si="13"/>
        <v>1.178285471624269</v>
      </c>
      <c r="DC89" s="632">
        <f t="shared" si="13"/>
        <v>1.178285471624269</v>
      </c>
      <c r="DD89" s="632">
        <f t="shared" si="13"/>
        <v>1.1782854716242692</v>
      </c>
      <c r="DE89" s="632">
        <f t="shared" si="13"/>
        <v>1.1782854716242692</v>
      </c>
      <c r="DF89" s="632">
        <f t="shared" si="14"/>
        <v>1.1782854716242688</v>
      </c>
    </row>
    <row r="90" spans="1:110" ht="15.75" hidden="1" thickBot="1">
      <c r="A90" s="2309"/>
      <c r="B90" s="2349" t="s">
        <v>323</v>
      </c>
      <c r="C90" s="2350"/>
      <c r="D90" s="905"/>
      <c r="E90" s="905"/>
      <c r="F90" s="905"/>
      <c r="G90" s="905"/>
      <c r="H90" s="905"/>
      <c r="I90" s="905"/>
      <c r="J90" s="906"/>
      <c r="K90" s="906"/>
      <c r="L90" s="906">
        <f t="shared" ref="L90:BF90" si="17">((L$86-$H$4)/1000)*IF($C$13=0,$R$23,$R$40)*(($C$8/70)^$AC$40)*IF($C$13=1,$AG$40,IF($C$13=2,$AH$40,IF($C$13=3,$AI$40,1)))</f>
        <v>1172.0473674</v>
      </c>
      <c r="M90" s="906">
        <f t="shared" si="17"/>
        <v>1339.4827056000001</v>
      </c>
      <c r="N90" s="906">
        <f t="shared" si="17"/>
        <v>1506.9180438000001</v>
      </c>
      <c r="O90" s="906">
        <f t="shared" si="17"/>
        <v>1674.353382</v>
      </c>
      <c r="P90" s="906">
        <f t="shared" si="17"/>
        <v>1841.7887202000002</v>
      </c>
      <c r="Q90" s="906">
        <f t="shared" si="17"/>
        <v>2009.2240584000001</v>
      </c>
      <c r="R90" s="906">
        <f t="shared" si="17"/>
        <v>2176.6593966</v>
      </c>
      <c r="S90" s="906">
        <f t="shared" si="17"/>
        <v>2344.0947348</v>
      </c>
      <c r="T90" s="906">
        <f t="shared" si="17"/>
        <v>2511.5300730000004</v>
      </c>
      <c r="U90" s="906">
        <f t="shared" si="17"/>
        <v>2678.9654112000003</v>
      </c>
      <c r="V90" s="906">
        <f t="shared" si="17"/>
        <v>2846.4007494000002</v>
      </c>
      <c r="W90" s="906">
        <f t="shared" si="17"/>
        <v>3013.8360876000002</v>
      </c>
      <c r="X90" s="906">
        <f t="shared" si="17"/>
        <v>3181.2714258000001</v>
      </c>
      <c r="Y90" s="906">
        <f t="shared" si="17"/>
        <v>3348.706764</v>
      </c>
      <c r="Z90" s="906">
        <f t="shared" si="17"/>
        <v>3516.1421022000004</v>
      </c>
      <c r="AA90" s="906">
        <f t="shared" si="17"/>
        <v>3683.5774404000003</v>
      </c>
      <c r="AB90" s="906">
        <f t="shared" si="17"/>
        <v>3851.0127786000003</v>
      </c>
      <c r="AC90" s="906">
        <f t="shared" si="17"/>
        <v>4018.4481168000002</v>
      </c>
      <c r="AD90" s="906">
        <f t="shared" si="17"/>
        <v>4185.8834550000001</v>
      </c>
      <c r="AE90" s="906">
        <f t="shared" si="17"/>
        <v>4353.3187932000001</v>
      </c>
      <c r="AF90" s="906">
        <f t="shared" si="17"/>
        <v>4520.7541314</v>
      </c>
      <c r="AG90" s="906">
        <f t="shared" si="17"/>
        <v>4688.1894695999999</v>
      </c>
      <c r="AH90" s="906">
        <f t="shared" si="17"/>
        <v>4855.6248077999999</v>
      </c>
      <c r="AI90" s="906">
        <f t="shared" si="17"/>
        <v>5023.0601460000007</v>
      </c>
      <c r="AJ90" s="906">
        <f t="shared" si="17"/>
        <v>5190.4954842000006</v>
      </c>
      <c r="AK90" s="906">
        <f t="shared" si="17"/>
        <v>5357.9308224000006</v>
      </c>
      <c r="AL90" s="906">
        <f t="shared" si="17"/>
        <v>5525.3661606000005</v>
      </c>
      <c r="AM90" s="906">
        <f t="shared" si="17"/>
        <v>5692.8014988000004</v>
      </c>
      <c r="AN90" s="906">
        <f t="shared" si="17"/>
        <v>5860.2368370000004</v>
      </c>
      <c r="AO90" s="906">
        <f t="shared" si="17"/>
        <v>6027.6721752000003</v>
      </c>
      <c r="AP90" s="906">
        <f t="shared" si="17"/>
        <v>6195.1075134000002</v>
      </c>
      <c r="AQ90" s="906">
        <f t="shared" si="17"/>
        <v>6362.5428516000002</v>
      </c>
      <c r="AR90" s="906">
        <f t="shared" si="17"/>
        <v>6529.9781898000001</v>
      </c>
      <c r="AS90" s="906">
        <f t="shared" si="17"/>
        <v>6697.413528</v>
      </c>
      <c r="AT90" s="906">
        <f t="shared" si="17"/>
        <v>6864.8488662</v>
      </c>
      <c r="AU90" s="906">
        <f t="shared" si="17"/>
        <v>7032.2842044000008</v>
      </c>
      <c r="AV90" s="906">
        <f t="shared" si="17"/>
        <v>7199.7195426000008</v>
      </c>
      <c r="AW90" s="906">
        <f t="shared" si="17"/>
        <v>7367.1548808000007</v>
      </c>
      <c r="AX90" s="906">
        <f t="shared" si="17"/>
        <v>7534.5902190000006</v>
      </c>
      <c r="AY90" s="906">
        <f t="shared" si="17"/>
        <v>7702.0255572000005</v>
      </c>
      <c r="AZ90" s="906">
        <f t="shared" si="17"/>
        <v>7869.4608954000005</v>
      </c>
      <c r="BA90" s="906">
        <f t="shared" si="17"/>
        <v>8036.8962336000004</v>
      </c>
      <c r="BB90" s="906">
        <f t="shared" si="17"/>
        <v>8204.3315718000013</v>
      </c>
      <c r="BC90" s="906">
        <f t="shared" si="17"/>
        <v>8371.7669100000003</v>
      </c>
      <c r="BD90" s="906">
        <f t="shared" si="17"/>
        <v>8539.2022482000011</v>
      </c>
      <c r="BE90" s="906">
        <f t="shared" si="17"/>
        <v>8706.6375864000001</v>
      </c>
      <c r="BF90" s="906">
        <f t="shared" si="17"/>
        <v>8874.072924600001</v>
      </c>
      <c r="BG90" s="17"/>
      <c r="BH90" s="17"/>
      <c r="BJ90" s="632" t="e">
        <f t="shared" si="11"/>
        <v>#DIV/0!</v>
      </c>
      <c r="BK90" s="632" t="e">
        <f t="shared" si="11"/>
        <v>#DIV/0!</v>
      </c>
      <c r="BL90" s="632">
        <f t="shared" si="11"/>
        <v>1.1961123110151188</v>
      </c>
      <c r="BM90" s="632">
        <f t="shared" si="11"/>
        <v>1.1961123110151191</v>
      </c>
      <c r="BN90" s="632">
        <f t="shared" si="11"/>
        <v>1.1961123110151191</v>
      </c>
      <c r="BO90" s="632">
        <f t="shared" si="11"/>
        <v>1.1961123110151191</v>
      </c>
      <c r="BP90" s="632">
        <f t="shared" si="11"/>
        <v>1.1961123110151191</v>
      </c>
      <c r="BQ90" s="632">
        <f t="shared" si="11"/>
        <v>1.1961123110151188</v>
      </c>
      <c r="BR90" s="632">
        <f t="shared" si="11"/>
        <v>1.1961123110151191</v>
      </c>
      <c r="BS90" s="632">
        <f t="shared" si="11"/>
        <v>1.1961123110151188</v>
      </c>
      <c r="BT90" s="632">
        <f t="shared" si="11"/>
        <v>1.1961123110151188</v>
      </c>
      <c r="BU90" s="632">
        <f t="shared" si="11"/>
        <v>1.1961123110151191</v>
      </c>
      <c r="BV90" s="632">
        <f t="shared" si="11"/>
        <v>1.1961123110151191</v>
      </c>
      <c r="BW90" s="632">
        <f t="shared" si="11"/>
        <v>1.1961123110151191</v>
      </c>
      <c r="BX90" s="632">
        <f t="shared" si="11"/>
        <v>1.1961123110151188</v>
      </c>
      <c r="BY90" s="632">
        <f t="shared" si="11"/>
        <v>1.1961123110151191</v>
      </c>
      <c r="BZ90" s="632">
        <f t="shared" si="12"/>
        <v>1.1961123110151188</v>
      </c>
      <c r="CA90" s="632">
        <f t="shared" si="12"/>
        <v>1.1961123110151191</v>
      </c>
      <c r="CB90" s="632">
        <f t="shared" si="12"/>
        <v>1.1961123110151188</v>
      </c>
      <c r="CC90" s="632">
        <f t="shared" si="12"/>
        <v>1.1961123110151188</v>
      </c>
      <c r="CD90" s="632">
        <f t="shared" si="12"/>
        <v>1.1961123110151191</v>
      </c>
      <c r="CE90" s="632">
        <f t="shared" si="12"/>
        <v>1.1961123110151191</v>
      </c>
      <c r="CF90" s="632">
        <f t="shared" si="12"/>
        <v>1.1961123110151193</v>
      </c>
      <c r="CG90" s="632">
        <f t="shared" si="12"/>
        <v>1.1961123110151188</v>
      </c>
      <c r="CH90" s="632">
        <f t="shared" si="12"/>
        <v>1.1961123110151191</v>
      </c>
      <c r="CI90" s="632">
        <f t="shared" si="12"/>
        <v>1.1961123110151188</v>
      </c>
      <c r="CJ90" s="632">
        <f t="shared" si="12"/>
        <v>1.1961123110151188</v>
      </c>
      <c r="CK90" s="632">
        <f t="shared" si="12"/>
        <v>1.1961123110151191</v>
      </c>
      <c r="CL90" s="632">
        <f t="shared" si="12"/>
        <v>1.1961123110151188</v>
      </c>
      <c r="CM90" s="632">
        <f t="shared" si="12"/>
        <v>1.1961123110151191</v>
      </c>
      <c r="CN90" s="632">
        <f t="shared" si="12"/>
        <v>1.1961123110151188</v>
      </c>
      <c r="CO90" s="632">
        <f t="shared" si="12"/>
        <v>1.1961123110151191</v>
      </c>
      <c r="CP90" s="632">
        <f t="shared" si="13"/>
        <v>1.1961123110151191</v>
      </c>
      <c r="CQ90" s="632">
        <f t="shared" si="13"/>
        <v>1.1961123110151188</v>
      </c>
      <c r="CR90" s="632">
        <f t="shared" si="13"/>
        <v>1.1961123110151188</v>
      </c>
      <c r="CS90" s="632">
        <f t="shared" si="13"/>
        <v>1.1961123110151191</v>
      </c>
      <c r="CT90" s="632">
        <f t="shared" si="13"/>
        <v>1.1961123110151188</v>
      </c>
      <c r="CU90" s="632">
        <f t="shared" si="13"/>
        <v>1.1961123110151188</v>
      </c>
      <c r="CV90" s="632">
        <f t="shared" si="13"/>
        <v>1.1961123110151188</v>
      </c>
      <c r="CW90" s="632">
        <f t="shared" si="13"/>
        <v>1.1961123110151191</v>
      </c>
      <c r="CX90" s="632">
        <f t="shared" si="13"/>
        <v>1.1961123110151188</v>
      </c>
      <c r="CY90" s="632">
        <f t="shared" si="13"/>
        <v>1.1961123110151188</v>
      </c>
      <c r="CZ90" s="632">
        <f t="shared" si="13"/>
        <v>1.1961123110151191</v>
      </c>
      <c r="DA90" s="632">
        <f t="shared" si="13"/>
        <v>1.1961123110151188</v>
      </c>
      <c r="DB90" s="632">
        <f t="shared" si="13"/>
        <v>1.1961123110151188</v>
      </c>
      <c r="DC90" s="632">
        <f t="shared" si="13"/>
        <v>1.1961123110151191</v>
      </c>
      <c r="DD90" s="632">
        <f t="shared" si="13"/>
        <v>1.1961123110151188</v>
      </c>
      <c r="DE90" s="632">
        <f t="shared" si="13"/>
        <v>1.1961123110151191</v>
      </c>
      <c r="DF90" s="632">
        <f t="shared" si="14"/>
        <v>1.1961123110151188</v>
      </c>
    </row>
    <row r="91" spans="1:110">
      <c r="A91" s="2309"/>
      <c r="B91" s="2314" t="s">
        <v>547</v>
      </c>
      <c r="C91" s="2315"/>
      <c r="D91" s="907"/>
      <c r="E91" s="907"/>
      <c r="F91" s="907"/>
      <c r="G91" s="907"/>
      <c r="H91" s="907"/>
      <c r="I91" s="907"/>
      <c r="J91" s="908"/>
      <c r="K91" s="908"/>
      <c r="L91" s="908">
        <f t="shared" ref="L91:BF91" si="18">((L$86-$H$4)/1000)*IF($C$13=0,$M$24,$M$41)*(($C$8/70)^$X$41)*IF($C$13=1,$AG$41,IF($C$13=2,$AH$41,IF($C$13=3,$AI$41,1)))</f>
        <v>868.09979201399995</v>
      </c>
      <c r="M91" s="908">
        <f t="shared" si="18"/>
        <v>992.11404801600008</v>
      </c>
      <c r="N91" s="908">
        <f t="shared" si="18"/>
        <v>1116.1283040180001</v>
      </c>
      <c r="O91" s="908">
        <f t="shared" si="18"/>
        <v>1240.14256002</v>
      </c>
      <c r="P91" s="908">
        <f t="shared" si="18"/>
        <v>1364.1568160220002</v>
      </c>
      <c r="Q91" s="908">
        <f t="shared" si="18"/>
        <v>1488.1710720240001</v>
      </c>
      <c r="R91" s="908">
        <f t="shared" si="18"/>
        <v>1612.1853280260002</v>
      </c>
      <c r="S91" s="908">
        <f t="shared" si="18"/>
        <v>1736.1995840279999</v>
      </c>
      <c r="T91" s="908">
        <f t="shared" si="18"/>
        <v>1860.2138400300003</v>
      </c>
      <c r="U91" s="908">
        <f t="shared" si="18"/>
        <v>1984.2280960320002</v>
      </c>
      <c r="V91" s="908">
        <f t="shared" si="18"/>
        <v>2108.2423520339999</v>
      </c>
      <c r="W91" s="908">
        <f t="shared" si="18"/>
        <v>2232.2566080360002</v>
      </c>
      <c r="X91" s="908">
        <f t="shared" si="18"/>
        <v>2356.2708640379997</v>
      </c>
      <c r="Y91" s="908">
        <f t="shared" si="18"/>
        <v>2480.28512004</v>
      </c>
      <c r="Z91" s="908">
        <f t="shared" si="18"/>
        <v>2604.2993760420004</v>
      </c>
      <c r="AA91" s="908">
        <f t="shared" si="18"/>
        <v>2728.3136320440003</v>
      </c>
      <c r="AB91" s="908">
        <f t="shared" si="18"/>
        <v>2852.3278880459998</v>
      </c>
      <c r="AC91" s="908">
        <f t="shared" si="18"/>
        <v>2976.3421440480001</v>
      </c>
      <c r="AD91" s="908">
        <f t="shared" si="18"/>
        <v>3100.35640005</v>
      </c>
      <c r="AE91" s="908">
        <f t="shared" si="18"/>
        <v>3224.3706560520004</v>
      </c>
      <c r="AF91" s="908">
        <f t="shared" si="18"/>
        <v>3348.3849120540003</v>
      </c>
      <c r="AG91" s="908">
        <f t="shared" si="18"/>
        <v>3472.3991680559998</v>
      </c>
      <c r="AH91" s="908">
        <f t="shared" si="18"/>
        <v>3596.4134240580001</v>
      </c>
      <c r="AI91" s="908">
        <f t="shared" si="18"/>
        <v>3720.4276800600005</v>
      </c>
      <c r="AJ91" s="908">
        <f t="shared" si="18"/>
        <v>3844.4419360620009</v>
      </c>
      <c r="AK91" s="908">
        <f t="shared" si="18"/>
        <v>3968.4561920640003</v>
      </c>
      <c r="AL91" s="908">
        <f t="shared" si="18"/>
        <v>4092.4704480659998</v>
      </c>
      <c r="AM91" s="908">
        <f t="shared" si="18"/>
        <v>4216.4847040679997</v>
      </c>
      <c r="AN91" s="908">
        <f t="shared" si="18"/>
        <v>4340.4989600700001</v>
      </c>
      <c r="AO91" s="908">
        <f t="shared" si="18"/>
        <v>4464.5132160720004</v>
      </c>
      <c r="AP91" s="908">
        <f t="shared" si="18"/>
        <v>4588.5274720739999</v>
      </c>
      <c r="AQ91" s="908">
        <f t="shared" si="18"/>
        <v>4712.5417280759993</v>
      </c>
      <c r="AR91" s="908">
        <f t="shared" si="18"/>
        <v>4836.5559840779997</v>
      </c>
      <c r="AS91" s="908">
        <f t="shared" si="18"/>
        <v>4960.5702400800001</v>
      </c>
      <c r="AT91" s="908">
        <f t="shared" si="18"/>
        <v>5084.5844960819995</v>
      </c>
      <c r="AU91" s="908">
        <f t="shared" si="18"/>
        <v>5208.5987520840008</v>
      </c>
      <c r="AV91" s="908">
        <f t="shared" si="18"/>
        <v>5332.6130080860003</v>
      </c>
      <c r="AW91" s="908">
        <f t="shared" si="18"/>
        <v>5456.6272640880006</v>
      </c>
      <c r="AX91" s="908">
        <f t="shared" si="18"/>
        <v>5580.6415200900001</v>
      </c>
      <c r="AY91" s="908">
        <f t="shared" si="18"/>
        <v>5704.6557760919995</v>
      </c>
      <c r="AZ91" s="908">
        <f t="shared" si="18"/>
        <v>5828.6700320940008</v>
      </c>
      <c r="BA91" s="908">
        <f t="shared" si="18"/>
        <v>5952.6842880960003</v>
      </c>
      <c r="BB91" s="908">
        <f t="shared" si="18"/>
        <v>6076.6985440980006</v>
      </c>
      <c r="BC91" s="908">
        <f t="shared" si="18"/>
        <v>6200.7128001000001</v>
      </c>
      <c r="BD91" s="908">
        <f t="shared" si="18"/>
        <v>6324.7270561019996</v>
      </c>
      <c r="BE91" s="908">
        <f t="shared" si="18"/>
        <v>6448.7413121040008</v>
      </c>
      <c r="BF91" s="908">
        <f t="shared" si="18"/>
        <v>6572.7555681060003</v>
      </c>
      <c r="BG91" s="17"/>
      <c r="BH91" s="17"/>
      <c r="BJ91" s="632" t="e">
        <f t="shared" si="11"/>
        <v>#DIV/0!</v>
      </c>
      <c r="BK91" s="632" t="e">
        <f t="shared" si="11"/>
        <v>#DIV/0!</v>
      </c>
      <c r="BL91" s="632">
        <f t="shared" si="11"/>
        <v>1.1458832603705518</v>
      </c>
      <c r="BM91" s="632">
        <f t="shared" si="11"/>
        <v>1.1458832603705515</v>
      </c>
      <c r="BN91" s="632">
        <f t="shared" si="11"/>
        <v>1.1458832603705515</v>
      </c>
      <c r="BO91" s="632">
        <f t="shared" si="11"/>
        <v>1.1458832603705515</v>
      </c>
      <c r="BP91" s="632">
        <f t="shared" si="11"/>
        <v>1.1458832603705515</v>
      </c>
      <c r="BQ91" s="632">
        <f t="shared" si="11"/>
        <v>1.1458832603705515</v>
      </c>
      <c r="BR91" s="632">
        <f t="shared" si="11"/>
        <v>1.1458832603705515</v>
      </c>
      <c r="BS91" s="632">
        <f t="shared" si="11"/>
        <v>1.1458832603705518</v>
      </c>
      <c r="BT91" s="632">
        <f t="shared" si="11"/>
        <v>1.1458832603705513</v>
      </c>
      <c r="BU91" s="632">
        <f t="shared" si="11"/>
        <v>1.1458832603705515</v>
      </c>
      <c r="BV91" s="632">
        <f t="shared" si="11"/>
        <v>1.1458832603705518</v>
      </c>
      <c r="BW91" s="632">
        <f t="shared" si="11"/>
        <v>1.1458832603705515</v>
      </c>
      <c r="BX91" s="632">
        <f t="shared" si="11"/>
        <v>1.1458832603705518</v>
      </c>
      <c r="BY91" s="632">
        <f t="shared" si="11"/>
        <v>1.1458832603705515</v>
      </c>
      <c r="BZ91" s="632">
        <f t="shared" si="12"/>
        <v>1.1458832603705515</v>
      </c>
      <c r="CA91" s="632">
        <f t="shared" si="12"/>
        <v>1.1458832603705515</v>
      </c>
      <c r="CB91" s="632">
        <f t="shared" si="12"/>
        <v>1.1458832603705515</v>
      </c>
      <c r="CC91" s="632">
        <f t="shared" si="12"/>
        <v>1.1458832603705515</v>
      </c>
      <c r="CD91" s="632">
        <f t="shared" si="12"/>
        <v>1.1458832603705515</v>
      </c>
      <c r="CE91" s="632">
        <f t="shared" si="12"/>
        <v>1.1458832603705515</v>
      </c>
      <c r="CF91" s="632">
        <f t="shared" si="12"/>
        <v>1.1458832603705515</v>
      </c>
      <c r="CG91" s="632">
        <f t="shared" si="12"/>
        <v>1.1458832603705518</v>
      </c>
      <c r="CH91" s="632">
        <f t="shared" si="12"/>
        <v>1.1458832603705515</v>
      </c>
      <c r="CI91" s="632">
        <f t="shared" si="12"/>
        <v>1.1458832603705513</v>
      </c>
      <c r="CJ91" s="632">
        <f t="shared" si="12"/>
        <v>1.1458832603705513</v>
      </c>
      <c r="CK91" s="632">
        <f t="shared" si="12"/>
        <v>1.1458832603705515</v>
      </c>
      <c r="CL91" s="632">
        <f t="shared" si="12"/>
        <v>1.1458832603705515</v>
      </c>
      <c r="CM91" s="632">
        <f t="shared" si="12"/>
        <v>1.1458832603705518</v>
      </c>
      <c r="CN91" s="632">
        <f t="shared" si="12"/>
        <v>1.1458832603705518</v>
      </c>
      <c r="CO91" s="632">
        <f t="shared" si="12"/>
        <v>1.1458832603705515</v>
      </c>
      <c r="CP91" s="632">
        <f t="shared" si="13"/>
        <v>1.1458832603705515</v>
      </c>
      <c r="CQ91" s="632">
        <f t="shared" si="13"/>
        <v>1.1458832603705518</v>
      </c>
      <c r="CR91" s="632">
        <f t="shared" si="13"/>
        <v>1.1458832603705515</v>
      </c>
      <c r="CS91" s="632">
        <f t="shared" si="13"/>
        <v>1.1458832603705515</v>
      </c>
      <c r="CT91" s="632">
        <f t="shared" si="13"/>
        <v>1.1458832603705515</v>
      </c>
      <c r="CU91" s="632">
        <f t="shared" si="13"/>
        <v>1.1458832603705515</v>
      </c>
      <c r="CV91" s="632">
        <f t="shared" si="13"/>
        <v>1.1458832603705515</v>
      </c>
      <c r="CW91" s="632">
        <f t="shared" si="13"/>
        <v>1.1458832603705515</v>
      </c>
      <c r="CX91" s="632">
        <f t="shared" si="13"/>
        <v>1.1458832603705515</v>
      </c>
      <c r="CY91" s="632">
        <f t="shared" si="13"/>
        <v>1.1458832603705515</v>
      </c>
      <c r="CZ91" s="632">
        <f t="shared" si="13"/>
        <v>1.1458832603705515</v>
      </c>
      <c r="DA91" s="632">
        <f t="shared" si="13"/>
        <v>1.1458832603705515</v>
      </c>
      <c r="DB91" s="632">
        <f t="shared" si="13"/>
        <v>1.1458832603705518</v>
      </c>
      <c r="DC91" s="632">
        <f t="shared" si="13"/>
        <v>1.1458832603705515</v>
      </c>
      <c r="DD91" s="632">
        <f t="shared" si="13"/>
        <v>1.1458832603705515</v>
      </c>
      <c r="DE91" s="632">
        <f t="shared" si="13"/>
        <v>1.1458832603705515</v>
      </c>
      <c r="DF91" s="632">
        <f t="shared" si="14"/>
        <v>1.1458832603705515</v>
      </c>
    </row>
    <row r="92" spans="1:110" ht="15.75" thickBot="1">
      <c r="A92" s="2309"/>
      <c r="B92" s="2370" t="s">
        <v>548</v>
      </c>
      <c r="C92" s="2371"/>
      <c r="D92" s="909"/>
      <c r="E92" s="909"/>
      <c r="F92" s="909"/>
      <c r="G92" s="909"/>
      <c r="H92" s="909"/>
      <c r="I92" s="909"/>
      <c r="J92" s="910"/>
      <c r="K92" s="910"/>
      <c r="L92" s="910">
        <f t="shared" ref="L92:BF92" si="19">((L$86-$H$4)/1000)*IF($C$13=0,$N$24,$N$41)*(($C$8/70)^$Y$41)*IF($C$13=1,$AG$41,IF($C$13=2,$AH$41,IF($C$13=3,$AI$41,1)))</f>
        <v>959.76250297199999</v>
      </c>
      <c r="M92" s="910">
        <f t="shared" si="19"/>
        <v>1096.8714319680003</v>
      </c>
      <c r="N92" s="910">
        <f t="shared" si="19"/>
        <v>1233.9803609640001</v>
      </c>
      <c r="O92" s="910">
        <f t="shared" si="19"/>
        <v>1371.0892899600001</v>
      </c>
      <c r="P92" s="910">
        <f t="shared" si="19"/>
        <v>1508.1982189560001</v>
      </c>
      <c r="Q92" s="910">
        <f t="shared" si="19"/>
        <v>1645.3071479520002</v>
      </c>
      <c r="R92" s="910">
        <f t="shared" si="19"/>
        <v>1782.4160769480002</v>
      </c>
      <c r="S92" s="910">
        <f t="shared" si="19"/>
        <v>1919.525005944</v>
      </c>
      <c r="T92" s="910">
        <f t="shared" si="19"/>
        <v>2056.63393494</v>
      </c>
      <c r="U92" s="910">
        <f t="shared" si="19"/>
        <v>2193.7428639360005</v>
      </c>
      <c r="V92" s="910">
        <f t="shared" si="19"/>
        <v>2330.8517929320001</v>
      </c>
      <c r="W92" s="910">
        <f t="shared" si="19"/>
        <v>2467.9607219280001</v>
      </c>
      <c r="X92" s="910">
        <f t="shared" si="19"/>
        <v>2605.0696509240001</v>
      </c>
      <c r="Y92" s="910">
        <f t="shared" si="19"/>
        <v>2742.1785799200002</v>
      </c>
      <c r="Z92" s="910">
        <f t="shared" si="19"/>
        <v>2879.2875089160002</v>
      </c>
      <c r="AA92" s="910">
        <f t="shared" si="19"/>
        <v>3016.3964379120002</v>
      </c>
      <c r="AB92" s="910">
        <f t="shared" si="19"/>
        <v>3153.5053669080003</v>
      </c>
      <c r="AC92" s="910">
        <f t="shared" si="19"/>
        <v>3290.6142959040003</v>
      </c>
      <c r="AD92" s="910">
        <f t="shared" si="19"/>
        <v>3427.7232249000003</v>
      </c>
      <c r="AE92" s="910">
        <f t="shared" si="19"/>
        <v>3564.8321538960004</v>
      </c>
      <c r="AF92" s="910">
        <f t="shared" si="19"/>
        <v>3701.9410828920004</v>
      </c>
      <c r="AG92" s="910">
        <f t="shared" si="19"/>
        <v>3839.050011888</v>
      </c>
      <c r="AH92" s="910">
        <f t="shared" si="19"/>
        <v>3976.158940884</v>
      </c>
      <c r="AI92" s="910">
        <f t="shared" si="19"/>
        <v>4113.26786988</v>
      </c>
      <c r="AJ92" s="910">
        <f t="shared" si="19"/>
        <v>4250.376798876001</v>
      </c>
      <c r="AK92" s="910">
        <f t="shared" si="19"/>
        <v>4387.485727872001</v>
      </c>
      <c r="AL92" s="910">
        <f t="shared" si="19"/>
        <v>4524.5946568680001</v>
      </c>
      <c r="AM92" s="910">
        <f t="shared" si="19"/>
        <v>4661.7035858640002</v>
      </c>
      <c r="AN92" s="910">
        <f t="shared" si="19"/>
        <v>4798.8125148600002</v>
      </c>
      <c r="AO92" s="910">
        <f t="shared" si="19"/>
        <v>4935.9214438560002</v>
      </c>
      <c r="AP92" s="910">
        <f t="shared" si="19"/>
        <v>5073.0303728520003</v>
      </c>
      <c r="AQ92" s="910">
        <f t="shared" si="19"/>
        <v>5210.1393018480003</v>
      </c>
      <c r="AR92" s="910">
        <f t="shared" si="19"/>
        <v>5347.2482308440003</v>
      </c>
      <c r="AS92" s="910">
        <f t="shared" si="19"/>
        <v>5484.3571598400003</v>
      </c>
      <c r="AT92" s="910">
        <f t="shared" si="19"/>
        <v>5621.4660888359995</v>
      </c>
      <c r="AU92" s="910">
        <f t="shared" si="19"/>
        <v>5758.5750178320004</v>
      </c>
      <c r="AV92" s="910">
        <f t="shared" si="19"/>
        <v>5895.6839468280004</v>
      </c>
      <c r="AW92" s="910">
        <f t="shared" si="19"/>
        <v>6032.7928758240005</v>
      </c>
      <c r="AX92" s="910">
        <f t="shared" si="19"/>
        <v>6169.9018048200005</v>
      </c>
      <c r="AY92" s="910">
        <f t="shared" si="19"/>
        <v>6307.0107338160005</v>
      </c>
      <c r="AZ92" s="910">
        <f t="shared" si="19"/>
        <v>6444.1196628120006</v>
      </c>
      <c r="BA92" s="910">
        <f t="shared" si="19"/>
        <v>6581.2285918080006</v>
      </c>
      <c r="BB92" s="910">
        <f t="shared" si="19"/>
        <v>6718.3375208040006</v>
      </c>
      <c r="BC92" s="910">
        <f t="shared" si="19"/>
        <v>6855.4464498000007</v>
      </c>
      <c r="BD92" s="910">
        <f t="shared" si="19"/>
        <v>6992.5553787959998</v>
      </c>
      <c r="BE92" s="910">
        <f t="shared" si="19"/>
        <v>7129.6643077920007</v>
      </c>
      <c r="BF92" s="910">
        <f t="shared" si="19"/>
        <v>7266.7732367880008</v>
      </c>
      <c r="BG92" s="17"/>
      <c r="BH92" s="17"/>
      <c r="BJ92" s="632" t="e">
        <f t="shared" si="11"/>
        <v>#DIV/0!</v>
      </c>
      <c r="BK92" s="632" t="e">
        <f t="shared" si="11"/>
        <v>#DIV/0!</v>
      </c>
      <c r="BL92" s="632">
        <f t="shared" si="11"/>
        <v>1.1478906673145377</v>
      </c>
      <c r="BM92" s="632">
        <f t="shared" si="11"/>
        <v>1.1478906673145377</v>
      </c>
      <c r="BN92" s="632">
        <f t="shared" si="11"/>
        <v>1.1478906673145377</v>
      </c>
      <c r="BO92" s="632">
        <f t="shared" si="11"/>
        <v>1.1478906673145377</v>
      </c>
      <c r="BP92" s="632">
        <f t="shared" si="11"/>
        <v>1.1478906673145377</v>
      </c>
      <c r="BQ92" s="632">
        <f t="shared" si="11"/>
        <v>1.1478906673145375</v>
      </c>
      <c r="BR92" s="632">
        <f t="shared" si="11"/>
        <v>1.1478906673145377</v>
      </c>
      <c r="BS92" s="632">
        <f t="shared" si="11"/>
        <v>1.1478906673145377</v>
      </c>
      <c r="BT92" s="632">
        <f t="shared" si="11"/>
        <v>1.1478906673145379</v>
      </c>
      <c r="BU92" s="632">
        <f t="shared" si="11"/>
        <v>1.1478906673145377</v>
      </c>
      <c r="BV92" s="632">
        <f t="shared" si="11"/>
        <v>1.1478906673145377</v>
      </c>
      <c r="BW92" s="632">
        <f t="shared" si="11"/>
        <v>1.1478906673145377</v>
      </c>
      <c r="BX92" s="632">
        <f t="shared" si="11"/>
        <v>1.1478906673145377</v>
      </c>
      <c r="BY92" s="632">
        <f t="shared" si="11"/>
        <v>1.1478906673145377</v>
      </c>
      <c r="BZ92" s="632">
        <f t="shared" si="12"/>
        <v>1.1478906673145377</v>
      </c>
      <c r="CA92" s="632">
        <f t="shared" si="12"/>
        <v>1.1478906673145377</v>
      </c>
      <c r="CB92" s="632">
        <f t="shared" si="12"/>
        <v>1.1478906673145377</v>
      </c>
      <c r="CC92" s="632">
        <f t="shared" si="12"/>
        <v>1.1478906673145375</v>
      </c>
      <c r="CD92" s="632">
        <f t="shared" si="12"/>
        <v>1.1478906673145377</v>
      </c>
      <c r="CE92" s="632">
        <f t="shared" si="12"/>
        <v>1.1478906673145377</v>
      </c>
      <c r="CF92" s="632">
        <f t="shared" si="12"/>
        <v>1.1478906673145377</v>
      </c>
      <c r="CG92" s="632">
        <f t="shared" si="12"/>
        <v>1.1478906673145377</v>
      </c>
      <c r="CH92" s="632">
        <f t="shared" si="12"/>
        <v>1.1478906673145377</v>
      </c>
      <c r="CI92" s="632">
        <f t="shared" si="12"/>
        <v>1.1478906673145379</v>
      </c>
      <c r="CJ92" s="632">
        <f t="shared" si="12"/>
        <v>1.1478906673145375</v>
      </c>
      <c r="CK92" s="632">
        <f t="shared" si="12"/>
        <v>1.1478906673145377</v>
      </c>
      <c r="CL92" s="632">
        <f t="shared" si="12"/>
        <v>1.1478906673145377</v>
      </c>
      <c r="CM92" s="632">
        <f t="shared" si="12"/>
        <v>1.1478906673145377</v>
      </c>
      <c r="CN92" s="632">
        <f t="shared" si="12"/>
        <v>1.1478906673145377</v>
      </c>
      <c r="CO92" s="632">
        <f t="shared" si="12"/>
        <v>1.1478906673145377</v>
      </c>
      <c r="CP92" s="632">
        <f t="shared" si="13"/>
        <v>1.1478906673145379</v>
      </c>
      <c r="CQ92" s="632">
        <f t="shared" si="13"/>
        <v>1.1478906673145377</v>
      </c>
      <c r="CR92" s="632">
        <f t="shared" si="13"/>
        <v>1.1478906673145377</v>
      </c>
      <c r="CS92" s="632">
        <f t="shared" si="13"/>
        <v>1.1478906673145377</v>
      </c>
      <c r="CT92" s="632">
        <f t="shared" si="13"/>
        <v>1.1478906673145377</v>
      </c>
      <c r="CU92" s="632">
        <f t="shared" si="13"/>
        <v>1.1478906673145377</v>
      </c>
      <c r="CV92" s="632">
        <f t="shared" si="13"/>
        <v>1.1478906673145377</v>
      </c>
      <c r="CW92" s="632">
        <f t="shared" si="13"/>
        <v>1.1478906673145377</v>
      </c>
      <c r="CX92" s="632">
        <f t="shared" si="13"/>
        <v>1.1478906673145377</v>
      </c>
      <c r="CY92" s="632">
        <f t="shared" si="13"/>
        <v>1.1478906673145377</v>
      </c>
      <c r="CZ92" s="632">
        <f t="shared" si="13"/>
        <v>1.1478906673145377</v>
      </c>
      <c r="DA92" s="632">
        <f t="shared" si="13"/>
        <v>1.1478906673145375</v>
      </c>
      <c r="DB92" s="632">
        <f t="shared" si="13"/>
        <v>1.1478906673145377</v>
      </c>
      <c r="DC92" s="632">
        <f t="shared" si="13"/>
        <v>1.1478906673145377</v>
      </c>
      <c r="DD92" s="632">
        <f t="shared" si="13"/>
        <v>1.1478906673145377</v>
      </c>
      <c r="DE92" s="632">
        <f t="shared" si="13"/>
        <v>1.1478906673145377</v>
      </c>
      <c r="DF92" s="632">
        <f t="shared" si="14"/>
        <v>1.1478906673145375</v>
      </c>
    </row>
    <row r="93" spans="1:110" hidden="1">
      <c r="A93" s="2309"/>
      <c r="B93" s="2370" t="s">
        <v>324</v>
      </c>
      <c r="C93" s="2371"/>
      <c r="D93" s="909"/>
      <c r="E93" s="909"/>
      <c r="F93" s="909"/>
      <c r="G93" s="909"/>
      <c r="H93" s="909"/>
      <c r="I93" s="909"/>
      <c r="J93" s="910"/>
      <c r="K93" s="910"/>
      <c r="L93" s="910">
        <f t="shared" ref="L93:BF93" si="20">((L$86-$H$4)/1000)*IF($C$13=0,$Q$24,$Q$41)*(($C$8/70)^$AB$41)*IF($C$13=1,$AG$41,IF($C$13=2,$AH$41,IF($C$13=3,$AI$41,1)))</f>
        <v>1285.5588595293873</v>
      </c>
      <c r="M93" s="910">
        <f t="shared" si="20"/>
        <v>1469.2101251764429</v>
      </c>
      <c r="N93" s="910">
        <f t="shared" si="20"/>
        <v>1652.8613908234984</v>
      </c>
      <c r="O93" s="910">
        <f t="shared" si="20"/>
        <v>1836.5126564705536</v>
      </c>
      <c r="P93" s="910">
        <f t="shared" si="20"/>
        <v>2020.1639221176092</v>
      </c>
      <c r="Q93" s="910">
        <f t="shared" si="20"/>
        <v>2203.8151877646642</v>
      </c>
      <c r="R93" s="910">
        <f t="shared" si="20"/>
        <v>2387.4664534117201</v>
      </c>
      <c r="S93" s="910">
        <f t="shared" si="20"/>
        <v>2571.1177190587746</v>
      </c>
      <c r="T93" s="910">
        <f t="shared" si="20"/>
        <v>2754.7689847058305</v>
      </c>
      <c r="U93" s="910">
        <f t="shared" si="20"/>
        <v>2938.4202503528859</v>
      </c>
      <c r="V93" s="910">
        <f t="shared" si="20"/>
        <v>3122.0715159999409</v>
      </c>
      <c r="W93" s="910">
        <f t="shared" si="20"/>
        <v>3305.7227816469967</v>
      </c>
      <c r="X93" s="910">
        <f t="shared" si="20"/>
        <v>3489.3740472940517</v>
      </c>
      <c r="Y93" s="910">
        <f t="shared" si="20"/>
        <v>3673.0253129411071</v>
      </c>
      <c r="Z93" s="910">
        <f t="shared" si="20"/>
        <v>3856.676578588163</v>
      </c>
      <c r="AA93" s="910">
        <f t="shared" si="20"/>
        <v>4040.3278442352184</v>
      </c>
      <c r="AB93" s="910">
        <f t="shared" si="20"/>
        <v>4223.9791098822725</v>
      </c>
      <c r="AC93" s="910">
        <f t="shared" si="20"/>
        <v>4407.6303755293284</v>
      </c>
      <c r="AD93" s="910">
        <f t="shared" si="20"/>
        <v>4591.2816411763843</v>
      </c>
      <c r="AE93" s="910">
        <f t="shared" si="20"/>
        <v>4774.9329068234401</v>
      </c>
      <c r="AF93" s="910">
        <f t="shared" si="20"/>
        <v>4958.5841724704951</v>
      </c>
      <c r="AG93" s="910">
        <f t="shared" si="20"/>
        <v>5142.2354381175492</v>
      </c>
      <c r="AH93" s="910">
        <f t="shared" si="20"/>
        <v>5325.886703764605</v>
      </c>
      <c r="AI93" s="910">
        <f t="shared" si="20"/>
        <v>5509.5379694116609</v>
      </c>
      <c r="AJ93" s="910">
        <f t="shared" si="20"/>
        <v>5693.1892350587168</v>
      </c>
      <c r="AK93" s="910">
        <f t="shared" si="20"/>
        <v>5876.8405007057718</v>
      </c>
      <c r="AL93" s="910">
        <f t="shared" si="20"/>
        <v>6060.4917663528267</v>
      </c>
      <c r="AM93" s="910">
        <f t="shared" si="20"/>
        <v>6244.1430319998817</v>
      </c>
      <c r="AN93" s="910">
        <f t="shared" si="20"/>
        <v>6427.7942976469376</v>
      </c>
      <c r="AO93" s="910">
        <f t="shared" si="20"/>
        <v>6611.4455632939935</v>
      </c>
      <c r="AP93" s="910">
        <f t="shared" si="20"/>
        <v>6795.0968289410484</v>
      </c>
      <c r="AQ93" s="910">
        <f t="shared" si="20"/>
        <v>6978.7480945881034</v>
      </c>
      <c r="AR93" s="910">
        <f t="shared" si="20"/>
        <v>7162.3993602351593</v>
      </c>
      <c r="AS93" s="910">
        <f t="shared" si="20"/>
        <v>7346.0506258822143</v>
      </c>
      <c r="AT93" s="910">
        <f t="shared" si="20"/>
        <v>7529.7018915292692</v>
      </c>
      <c r="AU93" s="910">
        <f t="shared" si="20"/>
        <v>7713.353157176326</v>
      </c>
      <c r="AV93" s="910">
        <f t="shared" si="20"/>
        <v>7897.004422823381</v>
      </c>
      <c r="AW93" s="910">
        <f t="shared" si="20"/>
        <v>8080.6556884704369</v>
      </c>
      <c r="AX93" s="910">
        <f t="shared" si="20"/>
        <v>8264.30695411749</v>
      </c>
      <c r="AY93" s="910">
        <f t="shared" si="20"/>
        <v>8447.958219764545</v>
      </c>
      <c r="AZ93" s="910">
        <f t="shared" si="20"/>
        <v>8631.6094854116018</v>
      </c>
      <c r="BA93" s="910">
        <f t="shared" si="20"/>
        <v>8815.2607510586568</v>
      </c>
      <c r="BB93" s="910">
        <f t="shared" si="20"/>
        <v>8998.9120167057135</v>
      </c>
      <c r="BC93" s="910">
        <f t="shared" si="20"/>
        <v>9182.5632823527685</v>
      </c>
      <c r="BD93" s="910">
        <f t="shared" si="20"/>
        <v>9366.2145479998235</v>
      </c>
      <c r="BE93" s="910">
        <f t="shared" si="20"/>
        <v>9549.8658136468803</v>
      </c>
      <c r="BF93" s="910">
        <f t="shared" si="20"/>
        <v>9733.5170792939334</v>
      </c>
      <c r="BG93" s="17"/>
      <c r="BH93" s="17"/>
      <c r="BJ93" s="632" t="e">
        <f t="shared" si="11"/>
        <v>#DIV/0!</v>
      </c>
      <c r="BK93" s="632" t="e">
        <f t="shared" si="11"/>
        <v>#DIV/0!</v>
      </c>
      <c r="BL93" s="632">
        <f t="shared" si="11"/>
        <v>1.1953391076644613</v>
      </c>
      <c r="BM93" s="632">
        <f t="shared" si="11"/>
        <v>1.1953391076644611</v>
      </c>
      <c r="BN93" s="632">
        <f t="shared" si="11"/>
        <v>1.1953391076644611</v>
      </c>
      <c r="BO93" s="632">
        <f t="shared" si="11"/>
        <v>1.1953391076644611</v>
      </c>
      <c r="BP93" s="632">
        <f t="shared" si="11"/>
        <v>1.1953391076644611</v>
      </c>
      <c r="BQ93" s="632">
        <f t="shared" si="11"/>
        <v>1.1953391076644613</v>
      </c>
      <c r="BR93" s="632">
        <f t="shared" si="11"/>
        <v>1.1953391076644608</v>
      </c>
      <c r="BS93" s="632">
        <f t="shared" si="11"/>
        <v>1.1953391076644613</v>
      </c>
      <c r="BT93" s="632">
        <f t="shared" si="11"/>
        <v>1.1953391076644611</v>
      </c>
      <c r="BU93" s="632">
        <f t="shared" si="11"/>
        <v>1.1953391076644611</v>
      </c>
      <c r="BV93" s="632">
        <f t="shared" si="11"/>
        <v>1.1953391076644611</v>
      </c>
      <c r="BW93" s="632">
        <f t="shared" si="11"/>
        <v>1.1953391076644611</v>
      </c>
      <c r="BX93" s="632">
        <f t="shared" si="11"/>
        <v>1.1953391076644611</v>
      </c>
      <c r="BY93" s="632">
        <f t="shared" si="11"/>
        <v>1.1953391076644611</v>
      </c>
      <c r="BZ93" s="632">
        <f t="shared" si="12"/>
        <v>1.1953391076644611</v>
      </c>
      <c r="CA93" s="632">
        <f t="shared" si="12"/>
        <v>1.1953391076644611</v>
      </c>
      <c r="CB93" s="632">
        <f t="shared" si="12"/>
        <v>1.1953391076644613</v>
      </c>
      <c r="CC93" s="632">
        <f t="shared" si="12"/>
        <v>1.1953391076644613</v>
      </c>
      <c r="CD93" s="632">
        <f t="shared" si="12"/>
        <v>1.1953391076644611</v>
      </c>
      <c r="CE93" s="632">
        <f t="shared" si="12"/>
        <v>1.1953391076644608</v>
      </c>
      <c r="CF93" s="632">
        <f t="shared" si="12"/>
        <v>1.1953391076644611</v>
      </c>
      <c r="CG93" s="632">
        <f t="shared" si="12"/>
        <v>1.1953391076644613</v>
      </c>
      <c r="CH93" s="632">
        <f t="shared" si="12"/>
        <v>1.1953391076644611</v>
      </c>
      <c r="CI93" s="632">
        <f t="shared" si="12"/>
        <v>1.1953391076644611</v>
      </c>
      <c r="CJ93" s="632">
        <f t="shared" si="12"/>
        <v>1.1953391076644608</v>
      </c>
      <c r="CK93" s="632">
        <f t="shared" si="12"/>
        <v>1.1953391076644611</v>
      </c>
      <c r="CL93" s="632">
        <f t="shared" si="12"/>
        <v>1.1953391076644611</v>
      </c>
      <c r="CM93" s="632">
        <f t="shared" si="12"/>
        <v>1.1953391076644611</v>
      </c>
      <c r="CN93" s="632">
        <f t="shared" si="12"/>
        <v>1.1953391076644611</v>
      </c>
      <c r="CO93" s="632">
        <f t="shared" si="12"/>
        <v>1.1953391076644611</v>
      </c>
      <c r="CP93" s="632">
        <f t="shared" si="13"/>
        <v>1.1953391076644611</v>
      </c>
      <c r="CQ93" s="632">
        <f t="shared" si="13"/>
        <v>1.1953391076644611</v>
      </c>
      <c r="CR93" s="632">
        <f t="shared" si="13"/>
        <v>1.1953391076644613</v>
      </c>
      <c r="CS93" s="632">
        <f t="shared" si="13"/>
        <v>1.1953391076644611</v>
      </c>
      <c r="CT93" s="632">
        <f t="shared" si="13"/>
        <v>1.1953391076644613</v>
      </c>
      <c r="CU93" s="632">
        <f t="shared" si="13"/>
        <v>1.1953391076644611</v>
      </c>
      <c r="CV93" s="632">
        <f t="shared" si="13"/>
        <v>1.1953391076644611</v>
      </c>
      <c r="CW93" s="632">
        <f t="shared" si="13"/>
        <v>1.1953391076644611</v>
      </c>
      <c r="CX93" s="632">
        <f t="shared" si="13"/>
        <v>1.1953391076644613</v>
      </c>
      <c r="CY93" s="632">
        <f t="shared" si="13"/>
        <v>1.1953391076644613</v>
      </c>
      <c r="CZ93" s="632">
        <f t="shared" si="13"/>
        <v>1.1953391076644611</v>
      </c>
      <c r="DA93" s="632">
        <f t="shared" si="13"/>
        <v>1.1953391076644613</v>
      </c>
      <c r="DB93" s="632">
        <f t="shared" si="13"/>
        <v>1.1953391076644611</v>
      </c>
      <c r="DC93" s="632">
        <f t="shared" si="13"/>
        <v>1.1953391076644611</v>
      </c>
      <c r="DD93" s="632">
        <f t="shared" si="13"/>
        <v>1.1953391076644611</v>
      </c>
      <c r="DE93" s="632">
        <f t="shared" si="13"/>
        <v>1.1953391076644608</v>
      </c>
      <c r="DF93" s="632">
        <f t="shared" si="14"/>
        <v>1.1953391076644613</v>
      </c>
    </row>
    <row r="94" spans="1:110" ht="15.75" hidden="1" thickBot="1">
      <c r="A94" s="2309"/>
      <c r="B94" s="2372" t="s">
        <v>325</v>
      </c>
      <c r="C94" s="2373"/>
      <c r="D94" s="911"/>
      <c r="E94" s="911"/>
      <c r="F94" s="911"/>
      <c r="G94" s="911"/>
      <c r="H94" s="911"/>
      <c r="I94" s="911"/>
      <c r="J94" s="912"/>
      <c r="K94" s="912"/>
      <c r="L94" s="912">
        <f t="shared" ref="L94:BF94" si="21">((L$86-$H$4)/1000)*IF($C$13=0,$R$24,$R$41)*(($C$8/70)^$AC$41)*IF($C$13=1,$AG$41,IF($C$13=2,$AH$41,IF($C$13=3,$AI$41,1)))</f>
        <v>1401.9002852400001</v>
      </c>
      <c r="M94" s="912">
        <f t="shared" si="21"/>
        <v>1602.1717545600004</v>
      </c>
      <c r="N94" s="912">
        <f t="shared" si="21"/>
        <v>1802.4432238800005</v>
      </c>
      <c r="O94" s="912">
        <f t="shared" si="21"/>
        <v>2002.7146932000003</v>
      </c>
      <c r="P94" s="912">
        <f t="shared" si="21"/>
        <v>2202.9861625200006</v>
      </c>
      <c r="Q94" s="912">
        <f t="shared" si="21"/>
        <v>2403.2576318400002</v>
      </c>
      <c r="R94" s="912">
        <f t="shared" si="21"/>
        <v>2603.5291011600007</v>
      </c>
      <c r="S94" s="912">
        <f t="shared" si="21"/>
        <v>2803.8005704800003</v>
      </c>
      <c r="T94" s="912">
        <f t="shared" si="21"/>
        <v>3004.0720398000008</v>
      </c>
      <c r="U94" s="912">
        <f t="shared" si="21"/>
        <v>3204.3435091200008</v>
      </c>
      <c r="V94" s="912">
        <f t="shared" si="21"/>
        <v>3404.6149784400009</v>
      </c>
      <c r="W94" s="912">
        <f t="shared" si="21"/>
        <v>3604.8864477600009</v>
      </c>
      <c r="X94" s="912">
        <f t="shared" si="21"/>
        <v>3805.1579170800005</v>
      </c>
      <c r="Y94" s="912">
        <f t="shared" si="21"/>
        <v>4005.4293864000006</v>
      </c>
      <c r="Z94" s="912">
        <f t="shared" si="21"/>
        <v>4205.7008557200006</v>
      </c>
      <c r="AA94" s="912">
        <f t="shared" si="21"/>
        <v>4405.9723250400011</v>
      </c>
      <c r="AB94" s="912">
        <f t="shared" si="21"/>
        <v>4606.2437943600007</v>
      </c>
      <c r="AC94" s="912">
        <f t="shared" si="21"/>
        <v>4806.5152636800003</v>
      </c>
      <c r="AD94" s="912">
        <f t="shared" si="21"/>
        <v>5006.7867330000008</v>
      </c>
      <c r="AE94" s="912">
        <f t="shared" si="21"/>
        <v>5207.0582023200013</v>
      </c>
      <c r="AF94" s="912">
        <f t="shared" si="21"/>
        <v>5407.3296716400018</v>
      </c>
      <c r="AG94" s="912">
        <f t="shared" si="21"/>
        <v>5607.6011409600005</v>
      </c>
      <c r="AH94" s="912">
        <f t="shared" si="21"/>
        <v>5807.872610280001</v>
      </c>
      <c r="AI94" s="912">
        <f t="shared" si="21"/>
        <v>6008.1440796000015</v>
      </c>
      <c r="AJ94" s="912">
        <f t="shared" si="21"/>
        <v>6208.4155489200011</v>
      </c>
      <c r="AK94" s="912">
        <f t="shared" si="21"/>
        <v>6408.6870182400016</v>
      </c>
      <c r="AL94" s="912">
        <f t="shared" si="21"/>
        <v>6608.9584875600003</v>
      </c>
      <c r="AM94" s="912">
        <f t="shared" si="21"/>
        <v>6809.2299568800017</v>
      </c>
      <c r="AN94" s="912">
        <f t="shared" si="21"/>
        <v>7009.5014262000004</v>
      </c>
      <c r="AO94" s="912">
        <f t="shared" si="21"/>
        <v>7209.7728955200018</v>
      </c>
      <c r="AP94" s="912">
        <f t="shared" si="21"/>
        <v>7410.0443648400023</v>
      </c>
      <c r="AQ94" s="912">
        <f t="shared" si="21"/>
        <v>7610.315834160001</v>
      </c>
      <c r="AR94" s="912">
        <f t="shared" si="21"/>
        <v>7810.5873034800006</v>
      </c>
      <c r="AS94" s="912">
        <f t="shared" si="21"/>
        <v>8010.8587728000011</v>
      </c>
      <c r="AT94" s="912">
        <f t="shared" si="21"/>
        <v>8211.1302421199998</v>
      </c>
      <c r="AU94" s="912">
        <f t="shared" si="21"/>
        <v>8411.4017114400012</v>
      </c>
      <c r="AV94" s="912">
        <f t="shared" si="21"/>
        <v>8611.6731807600008</v>
      </c>
      <c r="AW94" s="912">
        <f t="shared" si="21"/>
        <v>8811.9446500800022</v>
      </c>
      <c r="AX94" s="912">
        <f t="shared" si="21"/>
        <v>9012.2161194000018</v>
      </c>
      <c r="AY94" s="912">
        <f t="shared" si="21"/>
        <v>9212.4875887200014</v>
      </c>
      <c r="AZ94" s="912">
        <f t="shared" si="21"/>
        <v>9412.7590580400029</v>
      </c>
      <c r="BA94" s="912">
        <f t="shared" si="21"/>
        <v>9613.0305273600006</v>
      </c>
      <c r="BB94" s="912">
        <f t="shared" si="21"/>
        <v>9813.301996680002</v>
      </c>
      <c r="BC94" s="912">
        <f t="shared" si="21"/>
        <v>10013.573466000002</v>
      </c>
      <c r="BD94" s="912">
        <f t="shared" si="21"/>
        <v>10213.844935320001</v>
      </c>
      <c r="BE94" s="912">
        <f t="shared" si="21"/>
        <v>10414.116404640003</v>
      </c>
      <c r="BF94" s="912">
        <f t="shared" si="21"/>
        <v>10614.387873960002</v>
      </c>
      <c r="BG94" s="17"/>
      <c r="BH94" s="17"/>
      <c r="BJ94" s="632" t="e">
        <f t="shared" si="11"/>
        <v>#DIV/0!</v>
      </c>
      <c r="BK94" s="632" t="e">
        <f t="shared" si="11"/>
        <v>#DIV/0!</v>
      </c>
      <c r="BL94" s="632">
        <f t="shared" si="11"/>
        <v>1.1775237920843951</v>
      </c>
      <c r="BM94" s="632">
        <f t="shared" si="11"/>
        <v>1.1775237920843951</v>
      </c>
      <c r="BN94" s="632">
        <f t="shared" si="11"/>
        <v>1.1775237920843953</v>
      </c>
      <c r="BO94" s="632">
        <f t="shared" si="11"/>
        <v>1.1775237920843953</v>
      </c>
      <c r="BP94" s="632">
        <f t="shared" si="11"/>
        <v>1.1775237920843951</v>
      </c>
      <c r="BQ94" s="632">
        <f t="shared" si="11"/>
        <v>1.1775237920843953</v>
      </c>
      <c r="BR94" s="632">
        <f t="shared" si="11"/>
        <v>1.1775237920843951</v>
      </c>
      <c r="BS94" s="632">
        <f t="shared" si="11"/>
        <v>1.1775237920843951</v>
      </c>
      <c r="BT94" s="632">
        <f t="shared" si="11"/>
        <v>1.1775237920843951</v>
      </c>
      <c r="BU94" s="632">
        <f t="shared" si="11"/>
        <v>1.1775237920843951</v>
      </c>
      <c r="BV94" s="632">
        <f t="shared" si="11"/>
        <v>1.1775237920843951</v>
      </c>
      <c r="BW94" s="632">
        <f t="shared" si="11"/>
        <v>1.1775237920843953</v>
      </c>
      <c r="BX94" s="632">
        <f t="shared" si="11"/>
        <v>1.1775237920843951</v>
      </c>
      <c r="BY94" s="632">
        <f t="shared" si="11"/>
        <v>1.1775237920843953</v>
      </c>
      <c r="BZ94" s="632">
        <f t="shared" si="12"/>
        <v>1.1775237920843953</v>
      </c>
      <c r="CA94" s="632">
        <f t="shared" si="12"/>
        <v>1.1775237920843951</v>
      </c>
      <c r="CB94" s="632">
        <f t="shared" si="12"/>
        <v>1.1775237920843951</v>
      </c>
      <c r="CC94" s="632">
        <f t="shared" si="12"/>
        <v>1.1775237920843953</v>
      </c>
      <c r="CD94" s="632">
        <f t="shared" si="12"/>
        <v>1.1775237920843951</v>
      </c>
      <c r="CE94" s="632">
        <f t="shared" si="12"/>
        <v>1.1775237920843951</v>
      </c>
      <c r="CF94" s="632">
        <f t="shared" si="12"/>
        <v>1.1775237920843951</v>
      </c>
      <c r="CG94" s="632">
        <f t="shared" si="12"/>
        <v>1.1775237920843951</v>
      </c>
      <c r="CH94" s="632">
        <f t="shared" si="12"/>
        <v>1.1775237920843951</v>
      </c>
      <c r="CI94" s="632">
        <f t="shared" si="12"/>
        <v>1.1775237920843951</v>
      </c>
      <c r="CJ94" s="632">
        <f t="shared" si="12"/>
        <v>1.1775237920843951</v>
      </c>
      <c r="CK94" s="632">
        <f t="shared" si="12"/>
        <v>1.1775237920843951</v>
      </c>
      <c r="CL94" s="632">
        <f t="shared" si="12"/>
        <v>1.1775237920843953</v>
      </c>
      <c r="CM94" s="632">
        <f t="shared" si="12"/>
        <v>1.1775237920843951</v>
      </c>
      <c r="CN94" s="632">
        <f t="shared" si="12"/>
        <v>1.1775237920843953</v>
      </c>
      <c r="CO94" s="632">
        <f t="shared" si="12"/>
        <v>1.1775237920843953</v>
      </c>
      <c r="CP94" s="632">
        <f t="shared" si="13"/>
        <v>1.1775237920843951</v>
      </c>
      <c r="CQ94" s="632">
        <f t="shared" si="13"/>
        <v>1.1775237920843951</v>
      </c>
      <c r="CR94" s="632">
        <f t="shared" si="13"/>
        <v>1.1775237920843953</v>
      </c>
      <c r="CS94" s="632">
        <f t="shared" si="13"/>
        <v>1.1775237920843953</v>
      </c>
      <c r="CT94" s="632">
        <f t="shared" si="13"/>
        <v>1.1775237920843951</v>
      </c>
      <c r="CU94" s="632">
        <f t="shared" si="13"/>
        <v>1.1775237920843953</v>
      </c>
      <c r="CV94" s="632">
        <f t="shared" si="13"/>
        <v>1.1775237920843951</v>
      </c>
      <c r="CW94" s="632">
        <f t="shared" si="13"/>
        <v>1.1775237920843951</v>
      </c>
      <c r="CX94" s="632">
        <f t="shared" si="13"/>
        <v>1.1775237920843951</v>
      </c>
      <c r="CY94" s="632">
        <f t="shared" si="13"/>
        <v>1.1775237920843951</v>
      </c>
      <c r="CZ94" s="632">
        <f t="shared" si="13"/>
        <v>1.1775237920843948</v>
      </c>
      <c r="DA94" s="632">
        <f t="shared" si="13"/>
        <v>1.1775237920843953</v>
      </c>
      <c r="DB94" s="632">
        <f t="shared" si="13"/>
        <v>1.1775237920843951</v>
      </c>
      <c r="DC94" s="632">
        <f t="shared" si="13"/>
        <v>1.1775237920843951</v>
      </c>
      <c r="DD94" s="632">
        <f t="shared" si="13"/>
        <v>1.1775237920843951</v>
      </c>
      <c r="DE94" s="632">
        <f t="shared" si="13"/>
        <v>1.1775237920843951</v>
      </c>
      <c r="DF94" s="632">
        <f t="shared" si="14"/>
        <v>1.1775237920843951</v>
      </c>
    </row>
    <row r="95" spans="1:110">
      <c r="A95" s="2309"/>
      <c r="B95" s="2374" t="s">
        <v>549</v>
      </c>
      <c r="C95" s="2375"/>
      <c r="D95" s="913"/>
      <c r="E95" s="913"/>
      <c r="F95" s="913"/>
      <c r="G95" s="913"/>
      <c r="H95" s="913"/>
      <c r="I95" s="913"/>
      <c r="J95" s="914"/>
      <c r="K95" s="914"/>
      <c r="L95" s="914">
        <f t="shared" ref="L95:BF95" si="22">((L$86-$H$4)/1000)*IF($C$13=0,$M$25,$M$42)*(($C$8/70)^$X$42)*IF($C$13=1,$AG$42,IF($C$13=2,$AH$42,IF($C$13=3,$AI$42,1)))</f>
        <v>994.74102000000005</v>
      </c>
      <c r="M95" s="914">
        <f t="shared" si="22"/>
        <v>1136.8468800000001</v>
      </c>
      <c r="N95" s="914">
        <f t="shared" si="22"/>
        <v>1278.9527400000002</v>
      </c>
      <c r="O95" s="914">
        <f t="shared" si="22"/>
        <v>1421.0586000000001</v>
      </c>
      <c r="P95" s="914">
        <f t="shared" si="22"/>
        <v>1563.1644600000002</v>
      </c>
      <c r="Q95" s="914">
        <f t="shared" si="22"/>
        <v>1705.2703200000001</v>
      </c>
      <c r="R95" s="914">
        <f t="shared" si="22"/>
        <v>1847.3761800000002</v>
      </c>
      <c r="S95" s="914">
        <f t="shared" si="22"/>
        <v>1989.4820400000001</v>
      </c>
      <c r="T95" s="914">
        <f t="shared" si="22"/>
        <v>2131.5879</v>
      </c>
      <c r="U95" s="914">
        <f t="shared" si="22"/>
        <v>2273.6937600000001</v>
      </c>
      <c r="V95" s="914">
        <f t="shared" si="22"/>
        <v>2415.7996200000002</v>
      </c>
      <c r="W95" s="914">
        <f t="shared" si="22"/>
        <v>2557.9054800000004</v>
      </c>
      <c r="X95" s="914">
        <f t="shared" si="22"/>
        <v>2700.01134</v>
      </c>
      <c r="Y95" s="914">
        <f t="shared" si="22"/>
        <v>2842.1172000000001</v>
      </c>
      <c r="Z95" s="914">
        <f t="shared" si="22"/>
        <v>2984.2230600000003</v>
      </c>
      <c r="AA95" s="914">
        <f t="shared" si="22"/>
        <v>3126.3289200000004</v>
      </c>
      <c r="AB95" s="914">
        <f t="shared" si="22"/>
        <v>3268.43478</v>
      </c>
      <c r="AC95" s="914">
        <f t="shared" si="22"/>
        <v>3410.5406400000002</v>
      </c>
      <c r="AD95" s="914">
        <f t="shared" si="22"/>
        <v>3552.6464999999998</v>
      </c>
      <c r="AE95" s="914">
        <f t="shared" si="22"/>
        <v>3694.7523600000004</v>
      </c>
      <c r="AF95" s="914">
        <f t="shared" si="22"/>
        <v>3836.8582200000005</v>
      </c>
      <c r="AG95" s="914">
        <f t="shared" si="22"/>
        <v>3978.9640800000002</v>
      </c>
      <c r="AH95" s="914">
        <f t="shared" si="22"/>
        <v>4121.0699400000003</v>
      </c>
      <c r="AI95" s="914">
        <f t="shared" si="22"/>
        <v>4263.1758</v>
      </c>
      <c r="AJ95" s="914">
        <f t="shared" si="22"/>
        <v>4405.2816600000006</v>
      </c>
      <c r="AK95" s="914">
        <f t="shared" si="22"/>
        <v>4547.3875200000002</v>
      </c>
      <c r="AL95" s="914">
        <f t="shared" si="22"/>
        <v>4689.4933799999999</v>
      </c>
      <c r="AM95" s="914">
        <f t="shared" si="22"/>
        <v>4831.5992400000005</v>
      </c>
      <c r="AN95" s="914">
        <f t="shared" si="22"/>
        <v>4973.705100000001</v>
      </c>
      <c r="AO95" s="914">
        <f t="shared" si="22"/>
        <v>5115.8109600000007</v>
      </c>
      <c r="AP95" s="914">
        <f t="shared" si="22"/>
        <v>5257.9168200000004</v>
      </c>
      <c r="AQ95" s="914">
        <f t="shared" si="22"/>
        <v>5400.02268</v>
      </c>
      <c r="AR95" s="914">
        <f t="shared" si="22"/>
        <v>5542.1285399999997</v>
      </c>
      <c r="AS95" s="914">
        <f t="shared" si="22"/>
        <v>5684.2344000000003</v>
      </c>
      <c r="AT95" s="914">
        <f t="shared" si="22"/>
        <v>5826.3402599999999</v>
      </c>
      <c r="AU95" s="914">
        <f t="shared" si="22"/>
        <v>5968.4461200000005</v>
      </c>
      <c r="AV95" s="914">
        <f t="shared" si="22"/>
        <v>6110.5519800000002</v>
      </c>
      <c r="AW95" s="914">
        <f t="shared" si="22"/>
        <v>6252.6578400000008</v>
      </c>
      <c r="AX95" s="914">
        <f t="shared" si="22"/>
        <v>6394.7637000000004</v>
      </c>
      <c r="AY95" s="914">
        <f t="shared" si="22"/>
        <v>6536.8695600000001</v>
      </c>
      <c r="AZ95" s="914">
        <f t="shared" si="22"/>
        <v>6678.9754200000007</v>
      </c>
      <c r="BA95" s="914">
        <f t="shared" si="22"/>
        <v>6821.0812800000003</v>
      </c>
      <c r="BB95" s="914">
        <f t="shared" si="22"/>
        <v>6963.1871400000018</v>
      </c>
      <c r="BC95" s="914">
        <f t="shared" si="22"/>
        <v>7105.2929999999997</v>
      </c>
      <c r="BD95" s="914">
        <f t="shared" si="22"/>
        <v>7247.3988599999993</v>
      </c>
      <c r="BE95" s="914">
        <f t="shared" si="22"/>
        <v>7389.5047200000008</v>
      </c>
      <c r="BF95" s="914">
        <f t="shared" si="22"/>
        <v>7531.6105800000005</v>
      </c>
      <c r="BG95" s="17"/>
      <c r="BH95" s="17"/>
      <c r="BJ95" s="632" t="e">
        <f t="shared" si="11"/>
        <v>#DIV/0!</v>
      </c>
      <c r="BK95" s="632" t="e">
        <f t="shared" si="11"/>
        <v>#DIV/0!</v>
      </c>
      <c r="BL95" s="632">
        <f t="shared" si="11"/>
        <v>1.0540861861713513</v>
      </c>
      <c r="BM95" s="632">
        <f t="shared" si="11"/>
        <v>1.0540861861713515</v>
      </c>
      <c r="BN95" s="632">
        <f t="shared" si="11"/>
        <v>1.0540861861713513</v>
      </c>
      <c r="BO95" s="632">
        <f t="shared" si="11"/>
        <v>1.0540861861713513</v>
      </c>
      <c r="BP95" s="632">
        <f t="shared" si="11"/>
        <v>1.0540861861713515</v>
      </c>
      <c r="BQ95" s="632">
        <f t="shared" si="11"/>
        <v>1.0540861861713513</v>
      </c>
      <c r="BR95" s="632">
        <f t="shared" si="11"/>
        <v>1.0540861861713513</v>
      </c>
      <c r="BS95" s="632">
        <f t="shared" si="11"/>
        <v>1.0540861861713513</v>
      </c>
      <c r="BT95" s="632">
        <f t="shared" si="11"/>
        <v>1.0540861861713513</v>
      </c>
      <c r="BU95" s="632">
        <f t="shared" si="11"/>
        <v>1.0540861861713515</v>
      </c>
      <c r="BV95" s="632">
        <f t="shared" si="11"/>
        <v>1.0540861861713513</v>
      </c>
      <c r="BW95" s="632">
        <f t="shared" si="11"/>
        <v>1.0540861861713513</v>
      </c>
      <c r="BX95" s="632">
        <f t="shared" si="11"/>
        <v>1.0540861861713515</v>
      </c>
      <c r="BY95" s="632">
        <f t="shared" si="11"/>
        <v>1.0540861861713513</v>
      </c>
      <c r="BZ95" s="632">
        <f t="shared" si="12"/>
        <v>1.0540861861713515</v>
      </c>
      <c r="CA95" s="632">
        <f t="shared" si="12"/>
        <v>1.0540861861713515</v>
      </c>
      <c r="CB95" s="632">
        <f t="shared" si="12"/>
        <v>1.0540861861713513</v>
      </c>
      <c r="CC95" s="632">
        <f t="shared" si="12"/>
        <v>1.0540861861713513</v>
      </c>
      <c r="CD95" s="632">
        <f t="shared" si="12"/>
        <v>1.0540861861713515</v>
      </c>
      <c r="CE95" s="632">
        <f t="shared" si="12"/>
        <v>1.0540861861713513</v>
      </c>
      <c r="CF95" s="632">
        <f t="shared" si="12"/>
        <v>1.0540861861713515</v>
      </c>
      <c r="CG95" s="632">
        <f t="shared" si="12"/>
        <v>1.0540861861713513</v>
      </c>
      <c r="CH95" s="632">
        <f t="shared" si="12"/>
        <v>1.0540861861713513</v>
      </c>
      <c r="CI95" s="632">
        <f t="shared" si="12"/>
        <v>1.0540861861713513</v>
      </c>
      <c r="CJ95" s="632">
        <f t="shared" si="12"/>
        <v>1.0540861861713515</v>
      </c>
      <c r="CK95" s="632">
        <f t="shared" si="12"/>
        <v>1.0540861861713515</v>
      </c>
      <c r="CL95" s="632">
        <f t="shared" si="12"/>
        <v>1.0540861861713513</v>
      </c>
      <c r="CM95" s="632">
        <f t="shared" si="12"/>
        <v>1.0540861861713513</v>
      </c>
      <c r="CN95" s="632">
        <f t="shared" si="12"/>
        <v>1.0540861861713513</v>
      </c>
      <c r="CO95" s="632">
        <f t="shared" si="12"/>
        <v>1.0540861861713513</v>
      </c>
      <c r="CP95" s="632">
        <f t="shared" si="13"/>
        <v>1.0540861861713515</v>
      </c>
      <c r="CQ95" s="632">
        <f t="shared" si="13"/>
        <v>1.0540861861713515</v>
      </c>
      <c r="CR95" s="632">
        <f t="shared" si="13"/>
        <v>1.0540861861713515</v>
      </c>
      <c r="CS95" s="632">
        <f t="shared" si="13"/>
        <v>1.0540861861713513</v>
      </c>
      <c r="CT95" s="632">
        <f t="shared" si="13"/>
        <v>1.0540861861713513</v>
      </c>
      <c r="CU95" s="632">
        <f t="shared" si="13"/>
        <v>1.0540861861713515</v>
      </c>
      <c r="CV95" s="632">
        <f t="shared" si="13"/>
        <v>1.0540861861713513</v>
      </c>
      <c r="CW95" s="632">
        <f t="shared" si="13"/>
        <v>1.0540861861713515</v>
      </c>
      <c r="CX95" s="632">
        <f t="shared" si="13"/>
        <v>1.0540861861713513</v>
      </c>
      <c r="CY95" s="632">
        <f t="shared" si="13"/>
        <v>1.0540861861713513</v>
      </c>
      <c r="CZ95" s="632">
        <f t="shared" si="13"/>
        <v>1.0540861861713515</v>
      </c>
      <c r="DA95" s="632">
        <f t="shared" si="13"/>
        <v>1.0540861861713513</v>
      </c>
      <c r="DB95" s="632">
        <f t="shared" si="13"/>
        <v>1.0540861861713513</v>
      </c>
      <c r="DC95" s="632">
        <f t="shared" si="13"/>
        <v>1.0540861861713515</v>
      </c>
      <c r="DD95" s="632">
        <f t="shared" si="13"/>
        <v>1.0540861861713513</v>
      </c>
      <c r="DE95" s="632">
        <f t="shared" si="13"/>
        <v>1.0540861861713513</v>
      </c>
      <c r="DF95" s="632">
        <f t="shared" si="14"/>
        <v>1.0540861861713513</v>
      </c>
    </row>
    <row r="96" spans="1:110">
      <c r="A96" s="2309"/>
      <c r="B96" s="2343" t="s">
        <v>550</v>
      </c>
      <c r="C96" s="2344"/>
      <c r="D96" s="915"/>
      <c r="E96" s="915"/>
      <c r="F96" s="915"/>
      <c r="G96" s="915"/>
      <c r="H96" s="915"/>
      <c r="I96" s="915"/>
      <c r="J96" s="916"/>
      <c r="K96" s="916"/>
      <c r="L96" s="916">
        <f t="shared" ref="L96:BF96" si="23">((L$86-$H$4)/1000)*IF($C$13=0,$N$25,$N$42)*(($C$8/70)^$Y$42)*IF($C$13=1,$AG$42,IF($C$13=2,$AH$42,IF($C$13=3,$AI$42,1)))</f>
        <v>1101.7024200000001</v>
      </c>
      <c r="M96" s="916">
        <f t="shared" si="23"/>
        <v>1259.0884800000003</v>
      </c>
      <c r="N96" s="916">
        <f t="shared" si="23"/>
        <v>1416.4745400000002</v>
      </c>
      <c r="O96" s="916">
        <f t="shared" si="23"/>
        <v>1573.8606000000002</v>
      </c>
      <c r="P96" s="916">
        <f t="shared" si="23"/>
        <v>1731.2466600000002</v>
      </c>
      <c r="Q96" s="916">
        <f t="shared" si="23"/>
        <v>1888.6327200000001</v>
      </c>
      <c r="R96" s="916">
        <f t="shared" si="23"/>
        <v>2046.0187800000003</v>
      </c>
      <c r="S96" s="916">
        <f t="shared" si="23"/>
        <v>2203.4048400000001</v>
      </c>
      <c r="T96" s="916">
        <f t="shared" si="23"/>
        <v>2360.7909000000004</v>
      </c>
      <c r="U96" s="916">
        <f t="shared" si="23"/>
        <v>2518.1769600000007</v>
      </c>
      <c r="V96" s="916">
        <f t="shared" si="23"/>
        <v>2675.5630200000001</v>
      </c>
      <c r="W96" s="916">
        <f t="shared" si="23"/>
        <v>2832.9490800000003</v>
      </c>
      <c r="X96" s="916">
        <f t="shared" si="23"/>
        <v>2990.3351400000001</v>
      </c>
      <c r="Y96" s="916">
        <f t="shared" si="23"/>
        <v>3147.7212000000004</v>
      </c>
      <c r="Z96" s="916">
        <f t="shared" si="23"/>
        <v>3305.1072600000007</v>
      </c>
      <c r="AA96" s="916">
        <f t="shared" si="23"/>
        <v>3462.4933200000005</v>
      </c>
      <c r="AB96" s="916">
        <f t="shared" si="23"/>
        <v>3619.8793800000003</v>
      </c>
      <c r="AC96" s="916">
        <f t="shared" si="23"/>
        <v>3777.2654400000001</v>
      </c>
      <c r="AD96" s="916">
        <f t="shared" si="23"/>
        <v>3934.6515000000004</v>
      </c>
      <c r="AE96" s="916">
        <f t="shared" si="23"/>
        <v>4092.0375600000007</v>
      </c>
      <c r="AF96" s="916">
        <f t="shared" si="23"/>
        <v>4249.4236200000005</v>
      </c>
      <c r="AG96" s="916">
        <f t="shared" si="23"/>
        <v>4406.8096800000003</v>
      </c>
      <c r="AH96" s="916">
        <f t="shared" si="23"/>
        <v>4564.1957400000001</v>
      </c>
      <c r="AI96" s="916">
        <f t="shared" si="23"/>
        <v>4721.5818000000008</v>
      </c>
      <c r="AJ96" s="916">
        <f t="shared" si="23"/>
        <v>4878.9678600000007</v>
      </c>
      <c r="AK96" s="916">
        <f t="shared" si="23"/>
        <v>5036.3539200000014</v>
      </c>
      <c r="AL96" s="916">
        <f t="shared" si="23"/>
        <v>5193.7399800000003</v>
      </c>
      <c r="AM96" s="916">
        <f t="shared" si="23"/>
        <v>5351.1260400000001</v>
      </c>
      <c r="AN96" s="916">
        <f t="shared" si="23"/>
        <v>5508.5121000000008</v>
      </c>
      <c r="AO96" s="916">
        <f t="shared" si="23"/>
        <v>5665.8981600000006</v>
      </c>
      <c r="AP96" s="916">
        <f t="shared" si="23"/>
        <v>5823.2842200000014</v>
      </c>
      <c r="AQ96" s="916">
        <f t="shared" si="23"/>
        <v>5980.6702800000003</v>
      </c>
      <c r="AR96" s="916">
        <f t="shared" si="23"/>
        <v>6138.056340000001</v>
      </c>
      <c r="AS96" s="916">
        <f t="shared" si="23"/>
        <v>6295.4424000000008</v>
      </c>
      <c r="AT96" s="916">
        <f t="shared" si="23"/>
        <v>6452.8284599999997</v>
      </c>
      <c r="AU96" s="916">
        <f t="shared" si="23"/>
        <v>6610.2145200000014</v>
      </c>
      <c r="AV96" s="916">
        <f t="shared" si="23"/>
        <v>6767.6005800000003</v>
      </c>
      <c r="AW96" s="916">
        <f t="shared" si="23"/>
        <v>6924.986640000001</v>
      </c>
      <c r="AX96" s="916">
        <f t="shared" si="23"/>
        <v>7082.3727000000008</v>
      </c>
      <c r="AY96" s="916">
        <f t="shared" si="23"/>
        <v>7239.7587600000006</v>
      </c>
      <c r="AZ96" s="916">
        <f t="shared" si="23"/>
        <v>7397.1448200000013</v>
      </c>
      <c r="BA96" s="916">
        <f t="shared" si="23"/>
        <v>7554.5308800000003</v>
      </c>
      <c r="BB96" s="916">
        <f t="shared" si="23"/>
        <v>7711.916940000001</v>
      </c>
      <c r="BC96" s="916">
        <f t="shared" si="23"/>
        <v>7869.3030000000008</v>
      </c>
      <c r="BD96" s="916">
        <f t="shared" si="23"/>
        <v>8026.6890600000006</v>
      </c>
      <c r="BE96" s="916">
        <f t="shared" si="23"/>
        <v>8184.0751200000013</v>
      </c>
      <c r="BF96" s="916">
        <f t="shared" si="23"/>
        <v>8341.4611800000002</v>
      </c>
      <c r="BG96" s="17"/>
      <c r="BH96" s="17"/>
      <c r="BJ96" s="632" t="e">
        <f t="shared" si="11"/>
        <v>#DIV/0!</v>
      </c>
      <c r="BK96" s="632" t="e">
        <f t="shared" si="11"/>
        <v>#DIV/0!</v>
      </c>
      <c r="BL96" s="632">
        <f t="shared" si="11"/>
        <v>1.0522428225218929</v>
      </c>
      <c r="BM96" s="632">
        <f t="shared" si="11"/>
        <v>1.0522428225218929</v>
      </c>
      <c r="BN96" s="632">
        <f t="shared" si="11"/>
        <v>1.0522428225218929</v>
      </c>
      <c r="BO96" s="632">
        <f t="shared" si="11"/>
        <v>1.0522428225218929</v>
      </c>
      <c r="BP96" s="632">
        <f t="shared" si="11"/>
        <v>1.0522428225218929</v>
      </c>
      <c r="BQ96" s="632">
        <f t="shared" si="11"/>
        <v>1.0522428225218932</v>
      </c>
      <c r="BR96" s="632">
        <f t="shared" si="11"/>
        <v>1.0522428225218929</v>
      </c>
      <c r="BS96" s="632">
        <f t="shared" si="11"/>
        <v>1.0522428225218929</v>
      </c>
      <c r="BT96" s="632">
        <f t="shared" si="11"/>
        <v>1.0522428225218929</v>
      </c>
      <c r="BU96" s="632">
        <f t="shared" si="11"/>
        <v>1.0522428225218929</v>
      </c>
      <c r="BV96" s="632">
        <f t="shared" si="11"/>
        <v>1.0522428225218929</v>
      </c>
      <c r="BW96" s="632">
        <f t="shared" si="11"/>
        <v>1.0522428225218929</v>
      </c>
      <c r="BX96" s="632">
        <f t="shared" si="11"/>
        <v>1.0522428225218929</v>
      </c>
      <c r="BY96" s="632">
        <f t="shared" si="11"/>
        <v>1.0522428225218929</v>
      </c>
      <c r="BZ96" s="632">
        <f t="shared" si="12"/>
        <v>1.0522428225218929</v>
      </c>
      <c r="CA96" s="632">
        <f t="shared" si="12"/>
        <v>1.0522428225218929</v>
      </c>
      <c r="CB96" s="632">
        <f t="shared" si="12"/>
        <v>1.0522428225218929</v>
      </c>
      <c r="CC96" s="632">
        <f t="shared" si="12"/>
        <v>1.0522428225218932</v>
      </c>
      <c r="CD96" s="632">
        <f t="shared" si="12"/>
        <v>1.0522428225218929</v>
      </c>
      <c r="CE96" s="632">
        <f t="shared" si="12"/>
        <v>1.0522428225218929</v>
      </c>
      <c r="CF96" s="632">
        <f t="shared" si="12"/>
        <v>1.0522428225218929</v>
      </c>
      <c r="CG96" s="632">
        <f t="shared" si="12"/>
        <v>1.0522428225218929</v>
      </c>
      <c r="CH96" s="632">
        <f t="shared" si="12"/>
        <v>1.0522428225218929</v>
      </c>
      <c r="CI96" s="632">
        <f t="shared" si="12"/>
        <v>1.0522428225218929</v>
      </c>
      <c r="CJ96" s="632">
        <f t="shared" si="12"/>
        <v>1.0522428225218929</v>
      </c>
      <c r="CK96" s="632">
        <f t="shared" si="12"/>
        <v>1.0522428225218929</v>
      </c>
      <c r="CL96" s="632">
        <f t="shared" si="12"/>
        <v>1.0522428225218929</v>
      </c>
      <c r="CM96" s="632">
        <f t="shared" si="12"/>
        <v>1.0522428225218929</v>
      </c>
      <c r="CN96" s="632">
        <f t="shared" si="12"/>
        <v>1.0522428225218929</v>
      </c>
      <c r="CO96" s="632">
        <f t="shared" si="12"/>
        <v>1.0522428225218929</v>
      </c>
      <c r="CP96" s="632">
        <f t="shared" si="13"/>
        <v>1.0522428225218929</v>
      </c>
      <c r="CQ96" s="632">
        <f t="shared" si="13"/>
        <v>1.0522428225218929</v>
      </c>
      <c r="CR96" s="632">
        <f t="shared" si="13"/>
        <v>1.0522428225218929</v>
      </c>
      <c r="CS96" s="632">
        <f t="shared" si="13"/>
        <v>1.0522428225218929</v>
      </c>
      <c r="CT96" s="632">
        <f t="shared" si="13"/>
        <v>1.0522428225218929</v>
      </c>
      <c r="CU96" s="632">
        <f t="shared" si="13"/>
        <v>1.0522428225218929</v>
      </c>
      <c r="CV96" s="632">
        <f t="shared" si="13"/>
        <v>1.0522428225218929</v>
      </c>
      <c r="CW96" s="632">
        <f t="shared" si="13"/>
        <v>1.0522428225218929</v>
      </c>
      <c r="CX96" s="632">
        <f t="shared" si="13"/>
        <v>1.0522428225218932</v>
      </c>
      <c r="CY96" s="632">
        <f t="shared" si="13"/>
        <v>1.0522428225218929</v>
      </c>
      <c r="CZ96" s="632">
        <f t="shared" si="13"/>
        <v>1.0522428225218929</v>
      </c>
      <c r="DA96" s="632">
        <f t="shared" si="13"/>
        <v>1.0522428225218932</v>
      </c>
      <c r="DB96" s="632">
        <f t="shared" si="13"/>
        <v>1.0522428225218929</v>
      </c>
      <c r="DC96" s="632">
        <f t="shared" si="13"/>
        <v>1.0522428225218929</v>
      </c>
      <c r="DD96" s="632">
        <f t="shared" si="13"/>
        <v>1.0522428225218932</v>
      </c>
      <c r="DE96" s="632">
        <f t="shared" si="13"/>
        <v>1.0522428225218929</v>
      </c>
      <c r="DF96" s="632">
        <f t="shared" si="14"/>
        <v>1.0522428225218929</v>
      </c>
    </row>
    <row r="97" spans="1:110">
      <c r="A97" s="2309"/>
      <c r="B97" s="2343" t="s">
        <v>551</v>
      </c>
      <c r="C97" s="2344"/>
      <c r="D97" s="915"/>
      <c r="E97" s="915"/>
      <c r="F97" s="915"/>
      <c r="G97" s="915"/>
      <c r="H97" s="915"/>
      <c r="I97" s="915"/>
      <c r="J97" s="916"/>
      <c r="K97" s="916"/>
      <c r="L97" s="916">
        <f t="shared" ref="L97:BF97" si="24">((L$86-$H$4)/1000)*IF($C$13=0,$Q$25,$Q$42)*(($C$8/70)^$AB$42)*IF($C$13=1,$AG$42,IF($C$13=2,$AH$42,IF($C$13=3,$AI$42,1)))</f>
        <v>1536.6787800000002</v>
      </c>
      <c r="M97" s="916">
        <f t="shared" si="24"/>
        <v>1756.2043200000005</v>
      </c>
      <c r="N97" s="916">
        <f t="shared" si="24"/>
        <v>1975.7298600000006</v>
      </c>
      <c r="O97" s="916">
        <f t="shared" si="24"/>
        <v>2195.2554000000005</v>
      </c>
      <c r="P97" s="916">
        <f t="shared" si="24"/>
        <v>2414.780940000001</v>
      </c>
      <c r="Q97" s="916">
        <f t="shared" si="24"/>
        <v>2634.3064800000006</v>
      </c>
      <c r="R97" s="916">
        <f t="shared" si="24"/>
        <v>2853.8320200000007</v>
      </c>
      <c r="S97" s="916">
        <f t="shared" si="24"/>
        <v>3073.3575600000004</v>
      </c>
      <c r="T97" s="916">
        <f t="shared" si="24"/>
        <v>3292.8831000000009</v>
      </c>
      <c r="U97" s="916">
        <f t="shared" si="24"/>
        <v>3512.408640000001</v>
      </c>
      <c r="V97" s="916">
        <f t="shared" si="24"/>
        <v>3731.9341800000007</v>
      </c>
      <c r="W97" s="916">
        <f t="shared" si="24"/>
        <v>3951.4597200000012</v>
      </c>
      <c r="X97" s="916">
        <f t="shared" si="24"/>
        <v>4170.9852600000004</v>
      </c>
      <c r="Y97" s="916">
        <f t="shared" si="24"/>
        <v>4390.5108000000009</v>
      </c>
      <c r="Z97" s="916">
        <f t="shared" si="24"/>
        <v>4610.0363400000015</v>
      </c>
      <c r="AA97" s="916">
        <f t="shared" si="24"/>
        <v>4829.561880000002</v>
      </c>
      <c r="AB97" s="916">
        <f t="shared" si="24"/>
        <v>5049.0874200000007</v>
      </c>
      <c r="AC97" s="916">
        <f t="shared" si="24"/>
        <v>5268.6129600000013</v>
      </c>
      <c r="AD97" s="916">
        <f t="shared" si="24"/>
        <v>5488.1385000000009</v>
      </c>
      <c r="AE97" s="916">
        <f t="shared" si="24"/>
        <v>5707.6640400000015</v>
      </c>
      <c r="AF97" s="916">
        <f t="shared" si="24"/>
        <v>5927.189580000002</v>
      </c>
      <c r="AG97" s="916">
        <f t="shared" si="24"/>
        <v>6146.7151200000008</v>
      </c>
      <c r="AH97" s="916">
        <f t="shared" si="24"/>
        <v>6366.2406600000013</v>
      </c>
      <c r="AI97" s="916">
        <f t="shared" si="24"/>
        <v>6585.7662000000018</v>
      </c>
      <c r="AJ97" s="916">
        <f t="shared" si="24"/>
        <v>6805.2917400000015</v>
      </c>
      <c r="AK97" s="916">
        <f t="shared" si="24"/>
        <v>7024.817280000002</v>
      </c>
      <c r="AL97" s="916">
        <f t="shared" si="24"/>
        <v>7244.3428200000017</v>
      </c>
      <c r="AM97" s="916">
        <f t="shared" si="24"/>
        <v>7463.8683600000013</v>
      </c>
      <c r="AN97" s="916">
        <f t="shared" si="24"/>
        <v>7683.3939000000009</v>
      </c>
      <c r="AO97" s="916">
        <f t="shared" si="24"/>
        <v>7902.9194400000024</v>
      </c>
      <c r="AP97" s="916">
        <f t="shared" si="24"/>
        <v>8122.444980000002</v>
      </c>
      <c r="AQ97" s="916">
        <f t="shared" si="24"/>
        <v>8341.9705200000008</v>
      </c>
      <c r="AR97" s="916">
        <f t="shared" si="24"/>
        <v>8561.4960600000031</v>
      </c>
      <c r="AS97" s="916">
        <f t="shared" si="24"/>
        <v>8781.0216000000019</v>
      </c>
      <c r="AT97" s="916">
        <f t="shared" si="24"/>
        <v>9000.5471400000024</v>
      </c>
      <c r="AU97" s="916">
        <f t="shared" si="24"/>
        <v>9220.0726800000029</v>
      </c>
      <c r="AV97" s="916">
        <f t="shared" si="24"/>
        <v>9439.5982200000017</v>
      </c>
      <c r="AW97" s="916">
        <f t="shared" si="24"/>
        <v>9659.123760000004</v>
      </c>
      <c r="AX97" s="916">
        <f t="shared" si="24"/>
        <v>9878.6493000000028</v>
      </c>
      <c r="AY97" s="916">
        <f t="shared" si="24"/>
        <v>10098.174840000001</v>
      </c>
      <c r="AZ97" s="916">
        <f t="shared" si="24"/>
        <v>10317.700380000002</v>
      </c>
      <c r="BA97" s="916">
        <f t="shared" si="24"/>
        <v>10537.225920000003</v>
      </c>
      <c r="BB97" s="916">
        <f t="shared" si="24"/>
        <v>10756.751460000003</v>
      </c>
      <c r="BC97" s="916">
        <f t="shared" si="24"/>
        <v>10976.277000000002</v>
      </c>
      <c r="BD97" s="916">
        <f t="shared" si="24"/>
        <v>11195.802540000002</v>
      </c>
      <c r="BE97" s="916">
        <f t="shared" si="24"/>
        <v>11415.328080000003</v>
      </c>
      <c r="BF97" s="916">
        <f t="shared" si="24"/>
        <v>11634.853620000004</v>
      </c>
      <c r="BG97" s="17"/>
      <c r="BH97" s="17"/>
      <c r="BJ97" s="632" t="e">
        <f t="shared" si="11"/>
        <v>#DIV/0!</v>
      </c>
      <c r="BK97" s="632" t="e">
        <f t="shared" si="11"/>
        <v>#DIV/0!</v>
      </c>
      <c r="BL97" s="632">
        <f t="shared" si="11"/>
        <v>1.0104745239044268</v>
      </c>
      <c r="BM97" s="632">
        <f t="shared" si="11"/>
        <v>1.0104745239044266</v>
      </c>
      <c r="BN97" s="632">
        <f t="shared" si="11"/>
        <v>1.0104745239044266</v>
      </c>
      <c r="BO97" s="632">
        <f t="shared" si="11"/>
        <v>1.0104745239044266</v>
      </c>
      <c r="BP97" s="632">
        <f t="shared" si="11"/>
        <v>1.0104745239044264</v>
      </c>
      <c r="BQ97" s="632">
        <f t="shared" si="11"/>
        <v>1.0104745239044266</v>
      </c>
      <c r="BR97" s="632">
        <f t="shared" si="11"/>
        <v>1.0104745239044266</v>
      </c>
      <c r="BS97" s="632">
        <f t="shared" si="11"/>
        <v>1.0104745239044268</v>
      </c>
      <c r="BT97" s="632">
        <f t="shared" si="11"/>
        <v>1.0104745239044266</v>
      </c>
      <c r="BU97" s="632">
        <f t="shared" si="11"/>
        <v>1.0104745239044266</v>
      </c>
      <c r="BV97" s="632">
        <f t="shared" si="11"/>
        <v>1.0104745239044266</v>
      </c>
      <c r="BW97" s="632">
        <f t="shared" si="11"/>
        <v>1.0104745239044266</v>
      </c>
      <c r="BX97" s="632">
        <f t="shared" si="11"/>
        <v>1.0104745239044266</v>
      </c>
      <c r="BY97" s="632">
        <f t="shared" si="11"/>
        <v>1.0104745239044266</v>
      </c>
      <c r="BZ97" s="632">
        <f t="shared" si="12"/>
        <v>1.0104745239044264</v>
      </c>
      <c r="CA97" s="632">
        <f t="shared" si="12"/>
        <v>1.0104745239044264</v>
      </c>
      <c r="CB97" s="632">
        <f t="shared" si="12"/>
        <v>1.0104745239044266</v>
      </c>
      <c r="CC97" s="632">
        <f t="shared" si="12"/>
        <v>1.0104745239044266</v>
      </c>
      <c r="CD97" s="632">
        <f t="shared" si="12"/>
        <v>1.0104745239044266</v>
      </c>
      <c r="CE97" s="632">
        <f t="shared" si="12"/>
        <v>1.0104745239044266</v>
      </c>
      <c r="CF97" s="632">
        <f t="shared" si="12"/>
        <v>1.0104745239044266</v>
      </c>
      <c r="CG97" s="632">
        <f t="shared" si="12"/>
        <v>1.0104745239044268</v>
      </c>
      <c r="CH97" s="632">
        <f t="shared" si="12"/>
        <v>1.0104745239044266</v>
      </c>
      <c r="CI97" s="632">
        <f t="shared" si="12"/>
        <v>1.0104745239044266</v>
      </c>
      <c r="CJ97" s="632">
        <f t="shared" si="12"/>
        <v>1.0104745239044268</v>
      </c>
      <c r="CK97" s="632">
        <f t="shared" si="12"/>
        <v>1.0104745239044266</v>
      </c>
      <c r="CL97" s="632">
        <f t="shared" si="12"/>
        <v>1.0104745239044266</v>
      </c>
      <c r="CM97" s="632">
        <f t="shared" si="12"/>
        <v>1.0104745239044266</v>
      </c>
      <c r="CN97" s="632">
        <f t="shared" si="12"/>
        <v>1.0104745239044266</v>
      </c>
      <c r="CO97" s="632">
        <f t="shared" si="12"/>
        <v>1.0104745239044266</v>
      </c>
      <c r="CP97" s="632">
        <f t="shared" si="13"/>
        <v>1.0104745239044266</v>
      </c>
      <c r="CQ97" s="632">
        <f t="shared" si="13"/>
        <v>1.0104745239044266</v>
      </c>
      <c r="CR97" s="632">
        <f t="shared" si="13"/>
        <v>1.0104745239044264</v>
      </c>
      <c r="CS97" s="632">
        <f t="shared" si="13"/>
        <v>1.0104745239044266</v>
      </c>
      <c r="CT97" s="632">
        <f t="shared" si="13"/>
        <v>1.0104745239044266</v>
      </c>
      <c r="CU97" s="632">
        <f t="shared" si="13"/>
        <v>1.0104745239044264</v>
      </c>
      <c r="CV97" s="632">
        <f t="shared" si="13"/>
        <v>1.0104745239044266</v>
      </c>
      <c r="CW97" s="632">
        <f t="shared" si="13"/>
        <v>1.0104745239044264</v>
      </c>
      <c r="CX97" s="632">
        <f t="shared" si="13"/>
        <v>1.0104745239044266</v>
      </c>
      <c r="CY97" s="632">
        <f t="shared" si="13"/>
        <v>1.0104745239044266</v>
      </c>
      <c r="CZ97" s="632">
        <f t="shared" si="13"/>
        <v>1.0104745239044268</v>
      </c>
      <c r="DA97" s="632">
        <f t="shared" si="13"/>
        <v>1.0104745239044266</v>
      </c>
      <c r="DB97" s="632">
        <f t="shared" si="13"/>
        <v>1.0104745239044266</v>
      </c>
      <c r="DC97" s="632">
        <f t="shared" si="13"/>
        <v>1.0104745239044266</v>
      </c>
      <c r="DD97" s="632">
        <f t="shared" si="13"/>
        <v>1.0104745239044266</v>
      </c>
      <c r="DE97" s="632">
        <f t="shared" si="13"/>
        <v>1.0104745239044266</v>
      </c>
      <c r="DF97" s="632">
        <f t="shared" si="14"/>
        <v>1.0104745239044266</v>
      </c>
    </row>
    <row r="98" spans="1:110" ht="15.75" thickBot="1">
      <c r="A98" s="2309"/>
      <c r="B98" s="2345" t="s">
        <v>552</v>
      </c>
      <c r="C98" s="2346"/>
      <c r="D98" s="917"/>
      <c r="E98" s="917"/>
      <c r="F98" s="917"/>
      <c r="G98" s="917"/>
      <c r="H98" s="917"/>
      <c r="I98" s="917"/>
      <c r="J98" s="918"/>
      <c r="K98" s="918"/>
      <c r="L98" s="918">
        <f t="shared" ref="L98:BF98" si="25">((L$86-$H$4)/1000)*IF($C$13=0,$R$25,$R$42)*(($C$8/70)^$AC$42)*IF($C$13=1,$AG$42,IF($C$13=2,$AH$42,IF($C$13=3,$AI$42,1)))</f>
        <v>1650.7709400000001</v>
      </c>
      <c r="M98" s="918">
        <f t="shared" si="25"/>
        <v>1886.5953600000003</v>
      </c>
      <c r="N98" s="918">
        <f t="shared" si="25"/>
        <v>2122.4197800000006</v>
      </c>
      <c r="O98" s="918">
        <f t="shared" si="25"/>
        <v>2358.2442000000005</v>
      </c>
      <c r="P98" s="918">
        <f t="shared" si="25"/>
        <v>2594.0686200000005</v>
      </c>
      <c r="Q98" s="918">
        <f t="shared" si="25"/>
        <v>2829.8930400000004</v>
      </c>
      <c r="R98" s="918">
        <f t="shared" si="25"/>
        <v>3065.7174600000008</v>
      </c>
      <c r="S98" s="918">
        <f t="shared" si="25"/>
        <v>3301.5418800000002</v>
      </c>
      <c r="T98" s="918">
        <f t="shared" si="25"/>
        <v>3537.3663000000006</v>
      </c>
      <c r="U98" s="918">
        <f t="shared" si="25"/>
        <v>3773.1907200000005</v>
      </c>
      <c r="V98" s="918">
        <f t="shared" si="25"/>
        <v>4009.0151400000009</v>
      </c>
      <c r="W98" s="918">
        <f t="shared" si="25"/>
        <v>4244.8395600000013</v>
      </c>
      <c r="X98" s="918">
        <f t="shared" si="25"/>
        <v>4480.6639800000003</v>
      </c>
      <c r="Y98" s="918">
        <f t="shared" si="25"/>
        <v>4716.4884000000011</v>
      </c>
      <c r="Z98" s="918">
        <f t="shared" si="25"/>
        <v>4952.312820000001</v>
      </c>
      <c r="AA98" s="918">
        <f t="shared" si="25"/>
        <v>5188.1372400000009</v>
      </c>
      <c r="AB98" s="918">
        <f t="shared" si="25"/>
        <v>5423.9616600000008</v>
      </c>
      <c r="AC98" s="918">
        <f t="shared" si="25"/>
        <v>5659.7860800000008</v>
      </c>
      <c r="AD98" s="918">
        <f t="shared" si="25"/>
        <v>5895.6105000000007</v>
      </c>
      <c r="AE98" s="918">
        <f t="shared" si="25"/>
        <v>6131.4349200000015</v>
      </c>
      <c r="AF98" s="918">
        <f t="shared" si="25"/>
        <v>6367.2593400000014</v>
      </c>
      <c r="AG98" s="918">
        <f t="shared" si="25"/>
        <v>6603.0837600000004</v>
      </c>
      <c r="AH98" s="918">
        <f t="shared" si="25"/>
        <v>6838.9081800000004</v>
      </c>
      <c r="AI98" s="918">
        <f t="shared" si="25"/>
        <v>7074.7326000000012</v>
      </c>
      <c r="AJ98" s="918">
        <f t="shared" si="25"/>
        <v>7310.5570200000011</v>
      </c>
      <c r="AK98" s="918">
        <f t="shared" si="25"/>
        <v>7546.381440000001</v>
      </c>
      <c r="AL98" s="918">
        <f t="shared" si="25"/>
        <v>7782.2058600000018</v>
      </c>
      <c r="AM98" s="918">
        <f t="shared" si="25"/>
        <v>8018.0302800000018</v>
      </c>
      <c r="AN98" s="918">
        <f t="shared" si="25"/>
        <v>8253.8547000000017</v>
      </c>
      <c r="AO98" s="918">
        <f t="shared" si="25"/>
        <v>8489.6791200000025</v>
      </c>
      <c r="AP98" s="918">
        <f t="shared" si="25"/>
        <v>8725.5035400000015</v>
      </c>
      <c r="AQ98" s="918">
        <f t="shared" si="25"/>
        <v>8961.3279600000005</v>
      </c>
      <c r="AR98" s="918">
        <f t="shared" si="25"/>
        <v>9197.1523800000014</v>
      </c>
      <c r="AS98" s="918">
        <f t="shared" si="25"/>
        <v>9432.9768000000022</v>
      </c>
      <c r="AT98" s="918">
        <f t="shared" si="25"/>
        <v>9668.8012199999994</v>
      </c>
      <c r="AU98" s="918">
        <f t="shared" si="25"/>
        <v>9904.625640000002</v>
      </c>
      <c r="AV98" s="918">
        <f t="shared" si="25"/>
        <v>10140.450060000001</v>
      </c>
      <c r="AW98" s="918">
        <f t="shared" si="25"/>
        <v>10376.274480000002</v>
      </c>
      <c r="AX98" s="918">
        <f t="shared" si="25"/>
        <v>10612.098900000001</v>
      </c>
      <c r="AY98" s="918">
        <f t="shared" si="25"/>
        <v>10847.923320000002</v>
      </c>
      <c r="AZ98" s="918">
        <f t="shared" si="25"/>
        <v>11083.747740000001</v>
      </c>
      <c r="BA98" s="918">
        <f t="shared" si="25"/>
        <v>11319.572160000002</v>
      </c>
      <c r="BB98" s="918">
        <f t="shared" si="25"/>
        <v>11555.396580000002</v>
      </c>
      <c r="BC98" s="918">
        <f t="shared" si="25"/>
        <v>11791.221000000001</v>
      </c>
      <c r="BD98" s="918">
        <f t="shared" si="25"/>
        <v>12027.04542</v>
      </c>
      <c r="BE98" s="918">
        <f t="shared" si="25"/>
        <v>12262.869840000003</v>
      </c>
      <c r="BF98" s="918">
        <f t="shared" si="25"/>
        <v>12498.694260000002</v>
      </c>
      <c r="BG98" s="17"/>
      <c r="BH98" s="17"/>
      <c r="BJ98" s="632" t="e">
        <f t="shared" si="11"/>
        <v>#DIV/0!</v>
      </c>
      <c r="BK98" s="632" t="e">
        <f t="shared" si="11"/>
        <v>#DIV/0!</v>
      </c>
      <c r="BL98" s="632">
        <f t="shared" si="11"/>
        <v>1.0257624719272074</v>
      </c>
      <c r="BM98" s="632">
        <f t="shared" si="11"/>
        <v>1.0257624719272074</v>
      </c>
      <c r="BN98" s="632">
        <f t="shared" si="11"/>
        <v>1.0257624719272072</v>
      </c>
      <c r="BO98" s="632">
        <f t="shared" si="11"/>
        <v>1.0257624719272074</v>
      </c>
      <c r="BP98" s="632">
        <f t="shared" si="11"/>
        <v>1.0257624719272074</v>
      </c>
      <c r="BQ98" s="632">
        <f t="shared" si="11"/>
        <v>1.0257624719272074</v>
      </c>
      <c r="BR98" s="632">
        <f t="shared" si="11"/>
        <v>1.0257624719272074</v>
      </c>
      <c r="BS98" s="632">
        <f t="shared" si="11"/>
        <v>1.0257624719272074</v>
      </c>
      <c r="BT98" s="632">
        <f t="shared" si="11"/>
        <v>1.0257624719272074</v>
      </c>
      <c r="BU98" s="632">
        <f t="shared" si="11"/>
        <v>1.0257624719272074</v>
      </c>
      <c r="BV98" s="632">
        <f t="shared" si="11"/>
        <v>1.0257624719272072</v>
      </c>
      <c r="BW98" s="632">
        <f t="shared" si="11"/>
        <v>1.0257624719272072</v>
      </c>
      <c r="BX98" s="632">
        <f t="shared" si="11"/>
        <v>1.0257624719272074</v>
      </c>
      <c r="BY98" s="632">
        <f t="shared" si="11"/>
        <v>1.0257624719272074</v>
      </c>
      <c r="BZ98" s="632">
        <f t="shared" si="12"/>
        <v>1.0257624719272074</v>
      </c>
      <c r="CA98" s="632">
        <f t="shared" si="12"/>
        <v>1.0257624719272074</v>
      </c>
      <c r="CB98" s="632">
        <f t="shared" si="12"/>
        <v>1.0257624719272072</v>
      </c>
      <c r="CC98" s="632">
        <f t="shared" si="12"/>
        <v>1.0257624719272074</v>
      </c>
      <c r="CD98" s="632">
        <f t="shared" si="12"/>
        <v>1.0257624719272074</v>
      </c>
      <c r="CE98" s="632">
        <f t="shared" si="12"/>
        <v>1.0257624719272074</v>
      </c>
      <c r="CF98" s="632">
        <f t="shared" si="12"/>
        <v>1.0257624719272074</v>
      </c>
      <c r="CG98" s="632">
        <f t="shared" si="12"/>
        <v>1.0257624719272074</v>
      </c>
      <c r="CH98" s="632">
        <f t="shared" si="12"/>
        <v>1.0257624719272074</v>
      </c>
      <c r="CI98" s="632">
        <f t="shared" si="12"/>
        <v>1.0257624719272074</v>
      </c>
      <c r="CJ98" s="632">
        <f t="shared" si="12"/>
        <v>1.0257624719272074</v>
      </c>
      <c r="CK98" s="632">
        <f t="shared" si="12"/>
        <v>1.0257624719272074</v>
      </c>
      <c r="CL98" s="632">
        <f t="shared" si="12"/>
        <v>1.0257624719272072</v>
      </c>
      <c r="CM98" s="632">
        <f t="shared" si="12"/>
        <v>1.0257624719272072</v>
      </c>
      <c r="CN98" s="632">
        <f t="shared" si="12"/>
        <v>1.0257624719272074</v>
      </c>
      <c r="CO98" s="632">
        <f t="shared" si="12"/>
        <v>1.0257624719272072</v>
      </c>
      <c r="CP98" s="632">
        <f t="shared" si="13"/>
        <v>1.0257624719272074</v>
      </c>
      <c r="CQ98" s="632">
        <f t="shared" si="13"/>
        <v>1.0257624719272074</v>
      </c>
      <c r="CR98" s="632">
        <f t="shared" si="13"/>
        <v>1.0257624719272074</v>
      </c>
      <c r="CS98" s="632">
        <f t="shared" si="13"/>
        <v>1.0257624719272074</v>
      </c>
      <c r="CT98" s="632">
        <f t="shared" si="13"/>
        <v>1.0257624719272074</v>
      </c>
      <c r="CU98" s="632">
        <f t="shared" si="13"/>
        <v>1.0257624719272074</v>
      </c>
      <c r="CV98" s="632">
        <f t="shared" si="13"/>
        <v>1.0257624719272072</v>
      </c>
      <c r="CW98" s="632">
        <f t="shared" si="13"/>
        <v>1.0257624719272074</v>
      </c>
      <c r="CX98" s="632">
        <f t="shared" si="13"/>
        <v>1.0257624719272074</v>
      </c>
      <c r="CY98" s="632">
        <f t="shared" si="13"/>
        <v>1.0257624719272072</v>
      </c>
      <c r="CZ98" s="632">
        <f t="shared" si="13"/>
        <v>1.0257624719272074</v>
      </c>
      <c r="DA98" s="632">
        <f t="shared" si="13"/>
        <v>1.0257624719272074</v>
      </c>
      <c r="DB98" s="632">
        <f t="shared" si="13"/>
        <v>1.0257624719272076</v>
      </c>
      <c r="DC98" s="632">
        <f t="shared" si="13"/>
        <v>1.0257624719272074</v>
      </c>
      <c r="DD98" s="632">
        <f t="shared" si="13"/>
        <v>1.0257624719272074</v>
      </c>
      <c r="DE98" s="632">
        <f t="shared" si="13"/>
        <v>1.0257624719272074</v>
      </c>
      <c r="DF98" s="632">
        <f t="shared" si="14"/>
        <v>1.0257624719272074</v>
      </c>
    </row>
    <row r="99" spans="1:110">
      <c r="A99" s="2309"/>
      <c r="B99" s="2347" t="s">
        <v>553</v>
      </c>
      <c r="C99" s="2348"/>
      <c r="D99" s="919"/>
      <c r="E99" s="919"/>
      <c r="F99" s="919"/>
      <c r="G99" s="919"/>
      <c r="H99" s="919"/>
      <c r="I99" s="919"/>
      <c r="J99" s="920"/>
      <c r="K99" s="920"/>
      <c r="L99" s="920">
        <f t="shared" ref="L99:BF99" si="26">((L$86-$H$4)/1000)*IF($C$13=0,$M$26,$M$43)*(($C$8/70)^$X$43)*IF($C$13=1,$AG$43,IF($C$13=2,$AH$43,IF($C$13=3,$AI$43,1)))</f>
        <v>1048.542768</v>
      </c>
      <c r="M99" s="920">
        <f t="shared" si="26"/>
        <v>1198.3345920000002</v>
      </c>
      <c r="N99" s="920">
        <f t="shared" si="26"/>
        <v>1348.1264160000001</v>
      </c>
      <c r="O99" s="920">
        <f t="shared" si="26"/>
        <v>1497.91824</v>
      </c>
      <c r="P99" s="920">
        <f t="shared" si="26"/>
        <v>1647.7100640000003</v>
      </c>
      <c r="Q99" s="920">
        <f t="shared" si="26"/>
        <v>1797.501888</v>
      </c>
      <c r="R99" s="920">
        <f t="shared" si="26"/>
        <v>1947.2937120000001</v>
      </c>
      <c r="S99" s="920">
        <f t="shared" si="26"/>
        <v>2097.085536</v>
      </c>
      <c r="T99" s="920">
        <f t="shared" si="26"/>
        <v>2246.87736</v>
      </c>
      <c r="U99" s="920">
        <f t="shared" si="26"/>
        <v>2396.6691840000003</v>
      </c>
      <c r="V99" s="920">
        <f t="shared" si="26"/>
        <v>2546.4610079999998</v>
      </c>
      <c r="W99" s="920">
        <f t="shared" si="26"/>
        <v>2696.2528320000001</v>
      </c>
      <c r="X99" s="920">
        <f t="shared" si="26"/>
        <v>2846.044656</v>
      </c>
      <c r="Y99" s="920">
        <f t="shared" si="26"/>
        <v>2995.8364799999999</v>
      </c>
      <c r="Z99" s="920">
        <f t="shared" si="26"/>
        <v>3145.6283040000003</v>
      </c>
      <c r="AA99" s="920">
        <f t="shared" si="26"/>
        <v>3295.4201280000007</v>
      </c>
      <c r="AB99" s="920">
        <f t="shared" si="26"/>
        <v>3445.2119519999997</v>
      </c>
      <c r="AC99" s="920">
        <f t="shared" si="26"/>
        <v>3595.003776</v>
      </c>
      <c r="AD99" s="920">
        <f t="shared" si="26"/>
        <v>3744.7955999999999</v>
      </c>
      <c r="AE99" s="920">
        <f t="shared" si="26"/>
        <v>3894.5874240000003</v>
      </c>
      <c r="AF99" s="920">
        <f t="shared" si="26"/>
        <v>4044.3792480000006</v>
      </c>
      <c r="AG99" s="920">
        <f t="shared" si="26"/>
        <v>4194.1710720000001</v>
      </c>
      <c r="AH99" s="920">
        <f t="shared" si="26"/>
        <v>4343.962896</v>
      </c>
      <c r="AI99" s="920">
        <f t="shared" si="26"/>
        <v>4493.7547199999999</v>
      </c>
      <c r="AJ99" s="920">
        <f t="shared" si="26"/>
        <v>4643.5465440000007</v>
      </c>
      <c r="AK99" s="920">
        <f t="shared" si="26"/>
        <v>4793.3383680000006</v>
      </c>
      <c r="AL99" s="920">
        <f t="shared" si="26"/>
        <v>4943.1301919999996</v>
      </c>
      <c r="AM99" s="920">
        <f t="shared" si="26"/>
        <v>5092.9220159999995</v>
      </c>
      <c r="AN99" s="920">
        <f t="shared" si="26"/>
        <v>5242.7138400000003</v>
      </c>
      <c r="AO99" s="920">
        <f t="shared" si="26"/>
        <v>5392.5056640000003</v>
      </c>
      <c r="AP99" s="920">
        <f t="shared" si="26"/>
        <v>5542.2974880000011</v>
      </c>
      <c r="AQ99" s="920">
        <f t="shared" si="26"/>
        <v>5692.0893120000001</v>
      </c>
      <c r="AR99" s="920">
        <f t="shared" si="26"/>
        <v>5841.881136</v>
      </c>
      <c r="AS99" s="920">
        <f t="shared" si="26"/>
        <v>5991.6729599999999</v>
      </c>
      <c r="AT99" s="920">
        <f t="shared" si="26"/>
        <v>6141.4647839999989</v>
      </c>
      <c r="AU99" s="920">
        <f t="shared" si="26"/>
        <v>6291.2566080000006</v>
      </c>
      <c r="AV99" s="920">
        <f t="shared" si="26"/>
        <v>6441.0484319999996</v>
      </c>
      <c r="AW99" s="920">
        <f t="shared" si="26"/>
        <v>6590.8402560000013</v>
      </c>
      <c r="AX99" s="920">
        <f t="shared" si="26"/>
        <v>6740.6320800000003</v>
      </c>
      <c r="AY99" s="920">
        <f t="shared" si="26"/>
        <v>6890.4239039999993</v>
      </c>
      <c r="AZ99" s="920">
        <f t="shared" si="26"/>
        <v>7040.215728000001</v>
      </c>
      <c r="BA99" s="920">
        <f t="shared" si="26"/>
        <v>7190.007552</v>
      </c>
      <c r="BB99" s="920">
        <f t="shared" si="26"/>
        <v>7339.7993760000008</v>
      </c>
      <c r="BC99" s="920">
        <f t="shared" si="26"/>
        <v>7489.5911999999998</v>
      </c>
      <c r="BD99" s="920">
        <f t="shared" si="26"/>
        <v>7639.3830239999988</v>
      </c>
      <c r="BE99" s="920">
        <f t="shared" si="26"/>
        <v>7789.1748480000006</v>
      </c>
      <c r="BF99" s="920">
        <f t="shared" si="26"/>
        <v>7938.9666719999996</v>
      </c>
      <c r="BG99" s="17"/>
      <c r="BH99" s="17"/>
      <c r="BJ99" s="632" t="e">
        <f t="shared" ref="BJ99:BY106" si="27">J104/J99</f>
        <v>#DIV/0!</v>
      </c>
      <c r="BK99" s="632" t="e">
        <f t="shared" si="27"/>
        <v>#DIV/0!</v>
      </c>
      <c r="BL99" s="632">
        <f t="shared" si="27"/>
        <v>1.037133775739322</v>
      </c>
      <c r="BM99" s="632">
        <f t="shared" si="27"/>
        <v>1.037133775739322</v>
      </c>
      <c r="BN99" s="632">
        <f t="shared" si="27"/>
        <v>1.037133775739322</v>
      </c>
      <c r="BO99" s="632">
        <f t="shared" si="27"/>
        <v>1.0371337757393222</v>
      </c>
      <c r="BP99" s="632">
        <f t="shared" si="27"/>
        <v>1.0371337757393218</v>
      </c>
      <c r="BQ99" s="632">
        <f t="shared" si="27"/>
        <v>1.037133775739322</v>
      </c>
      <c r="BR99" s="632">
        <f t="shared" si="27"/>
        <v>1.037133775739322</v>
      </c>
      <c r="BS99" s="632">
        <f t="shared" si="27"/>
        <v>1.037133775739322</v>
      </c>
      <c r="BT99" s="632">
        <f t="shared" si="27"/>
        <v>1.037133775739322</v>
      </c>
      <c r="BU99" s="632">
        <f t="shared" si="27"/>
        <v>1.037133775739322</v>
      </c>
      <c r="BV99" s="632">
        <f t="shared" si="27"/>
        <v>1.037133775739322</v>
      </c>
      <c r="BW99" s="632">
        <f t="shared" si="27"/>
        <v>1.037133775739322</v>
      </c>
      <c r="BX99" s="632">
        <f t="shared" si="27"/>
        <v>1.037133775739322</v>
      </c>
      <c r="BY99" s="632">
        <f t="shared" si="27"/>
        <v>1.0371337757393222</v>
      </c>
      <c r="BZ99" s="632">
        <f t="shared" ref="BZ99:CO106" si="28">Z104/Z99</f>
        <v>1.037133775739322</v>
      </c>
      <c r="CA99" s="632">
        <f t="shared" si="28"/>
        <v>1.0371337757393218</v>
      </c>
      <c r="CB99" s="632">
        <f t="shared" si="28"/>
        <v>1.037133775739322</v>
      </c>
      <c r="CC99" s="632">
        <f t="shared" si="28"/>
        <v>1.037133775739322</v>
      </c>
      <c r="CD99" s="632">
        <f t="shared" si="28"/>
        <v>1.037133775739322</v>
      </c>
      <c r="CE99" s="632">
        <f t="shared" si="28"/>
        <v>1.037133775739322</v>
      </c>
      <c r="CF99" s="632">
        <f t="shared" si="28"/>
        <v>1.037133775739322</v>
      </c>
      <c r="CG99" s="632">
        <f t="shared" si="28"/>
        <v>1.037133775739322</v>
      </c>
      <c r="CH99" s="632">
        <f t="shared" si="28"/>
        <v>1.037133775739322</v>
      </c>
      <c r="CI99" s="632">
        <f t="shared" si="28"/>
        <v>1.037133775739322</v>
      </c>
      <c r="CJ99" s="632">
        <f t="shared" si="28"/>
        <v>1.037133775739322</v>
      </c>
      <c r="CK99" s="632">
        <f t="shared" si="28"/>
        <v>1.037133775739322</v>
      </c>
      <c r="CL99" s="632">
        <f t="shared" si="28"/>
        <v>1.037133775739322</v>
      </c>
      <c r="CM99" s="632">
        <f t="shared" si="28"/>
        <v>1.037133775739322</v>
      </c>
      <c r="CN99" s="632">
        <f t="shared" si="28"/>
        <v>1.037133775739322</v>
      </c>
      <c r="CO99" s="632">
        <f t="shared" si="28"/>
        <v>1.037133775739322</v>
      </c>
      <c r="CP99" s="632">
        <f t="shared" ref="CP99:DE106" si="29">AP104/AP99</f>
        <v>1.0371337757393218</v>
      </c>
      <c r="CQ99" s="632">
        <f t="shared" si="29"/>
        <v>1.037133775739322</v>
      </c>
      <c r="CR99" s="632">
        <f t="shared" si="29"/>
        <v>1.0371337757393222</v>
      </c>
      <c r="CS99" s="632">
        <f t="shared" si="29"/>
        <v>1.0371337757393222</v>
      </c>
      <c r="CT99" s="632">
        <f t="shared" si="29"/>
        <v>1.0371337757393222</v>
      </c>
      <c r="CU99" s="632">
        <f t="shared" si="29"/>
        <v>1.037133775739322</v>
      </c>
      <c r="CV99" s="632">
        <f t="shared" si="29"/>
        <v>1.037133775739322</v>
      </c>
      <c r="CW99" s="632">
        <f t="shared" si="29"/>
        <v>1.0371337757393218</v>
      </c>
      <c r="CX99" s="632">
        <f t="shared" si="29"/>
        <v>1.037133775739322</v>
      </c>
      <c r="CY99" s="632">
        <f t="shared" si="29"/>
        <v>1.037133775739322</v>
      </c>
      <c r="CZ99" s="632">
        <f t="shared" si="29"/>
        <v>1.037133775739322</v>
      </c>
      <c r="DA99" s="632">
        <f t="shared" si="29"/>
        <v>1.037133775739322</v>
      </c>
      <c r="DB99" s="632">
        <f t="shared" si="29"/>
        <v>1.037133775739322</v>
      </c>
      <c r="DC99" s="632">
        <f t="shared" si="29"/>
        <v>1.037133775739322</v>
      </c>
      <c r="DD99" s="632">
        <f t="shared" si="29"/>
        <v>1.037133775739322</v>
      </c>
      <c r="DE99" s="632">
        <f t="shared" si="29"/>
        <v>1.037133775739322</v>
      </c>
      <c r="DF99" s="632">
        <f t="shared" ref="DF99:DF106" si="30">BF104/BF99</f>
        <v>1.037133775739322</v>
      </c>
    </row>
    <row r="100" spans="1:110">
      <c r="A100" s="2309"/>
      <c r="B100" s="2351" t="s">
        <v>554</v>
      </c>
      <c r="C100" s="2352"/>
      <c r="D100" s="921"/>
      <c r="E100" s="921"/>
      <c r="F100" s="921"/>
      <c r="G100" s="921"/>
      <c r="H100" s="921"/>
      <c r="I100" s="921"/>
      <c r="J100" s="922"/>
      <c r="K100" s="922"/>
      <c r="L100" s="922">
        <f t="shared" ref="L100:BF100" si="31">((L$86-$H$4)/1000)*IF($C$13=0,$N$26,$N$43)*(($C$8/70)^$Y$43)*IF($C$13=1,$AG$43,IF($C$13=2,$AH$43,IF($C$13=3,$AI$43,1)))</f>
        <v>1159.258464</v>
      </c>
      <c r="M100" s="922">
        <f t="shared" si="31"/>
        <v>1324.8668160000002</v>
      </c>
      <c r="N100" s="922">
        <f t="shared" si="31"/>
        <v>1490.4751680000002</v>
      </c>
      <c r="O100" s="922">
        <f t="shared" si="31"/>
        <v>1656.0835200000001</v>
      </c>
      <c r="P100" s="922">
        <f t="shared" si="31"/>
        <v>1821.6918720000001</v>
      </c>
      <c r="Q100" s="922">
        <f t="shared" si="31"/>
        <v>1987.3002240000003</v>
      </c>
      <c r="R100" s="922">
        <f t="shared" si="31"/>
        <v>2152.9085760000003</v>
      </c>
      <c r="S100" s="922">
        <f t="shared" si="31"/>
        <v>2318.516928</v>
      </c>
      <c r="T100" s="922">
        <f t="shared" si="31"/>
        <v>2484.1252800000002</v>
      </c>
      <c r="U100" s="922">
        <f t="shared" si="31"/>
        <v>2649.7336320000004</v>
      </c>
      <c r="V100" s="922">
        <f t="shared" si="31"/>
        <v>2815.3419840000001</v>
      </c>
      <c r="W100" s="922">
        <f t="shared" si="31"/>
        <v>2980.9503360000003</v>
      </c>
      <c r="X100" s="922">
        <f t="shared" si="31"/>
        <v>3146.5586880000001</v>
      </c>
      <c r="Y100" s="922">
        <f t="shared" si="31"/>
        <v>3312.1670400000003</v>
      </c>
      <c r="Z100" s="922">
        <f t="shared" si="31"/>
        <v>3477.7753920000009</v>
      </c>
      <c r="AA100" s="922">
        <f t="shared" si="31"/>
        <v>3643.3837440000002</v>
      </c>
      <c r="AB100" s="922">
        <f t="shared" si="31"/>
        <v>3808.9920959999999</v>
      </c>
      <c r="AC100" s="922">
        <f t="shared" si="31"/>
        <v>3974.6004480000006</v>
      </c>
      <c r="AD100" s="922">
        <f t="shared" si="31"/>
        <v>4140.2088000000003</v>
      </c>
      <c r="AE100" s="922">
        <f t="shared" si="31"/>
        <v>4305.8171520000005</v>
      </c>
      <c r="AF100" s="922">
        <f t="shared" si="31"/>
        <v>4471.4255040000007</v>
      </c>
      <c r="AG100" s="922">
        <f t="shared" si="31"/>
        <v>4637.033856</v>
      </c>
      <c r="AH100" s="922">
        <f t="shared" si="31"/>
        <v>4802.6422080000002</v>
      </c>
      <c r="AI100" s="922">
        <f t="shared" si="31"/>
        <v>4968.2505600000004</v>
      </c>
      <c r="AJ100" s="922">
        <f t="shared" si="31"/>
        <v>5133.8589120000006</v>
      </c>
      <c r="AK100" s="922">
        <f t="shared" si="31"/>
        <v>5299.4672640000008</v>
      </c>
      <c r="AL100" s="922">
        <f t="shared" si="31"/>
        <v>5465.0756160000001</v>
      </c>
      <c r="AM100" s="922">
        <f t="shared" si="31"/>
        <v>5630.6839680000003</v>
      </c>
      <c r="AN100" s="922">
        <f t="shared" si="31"/>
        <v>5796.2923200000005</v>
      </c>
      <c r="AO100" s="922">
        <f t="shared" si="31"/>
        <v>5961.9006720000007</v>
      </c>
      <c r="AP100" s="922">
        <f t="shared" si="31"/>
        <v>6127.5090240000009</v>
      </c>
      <c r="AQ100" s="922">
        <f t="shared" si="31"/>
        <v>6293.1173760000001</v>
      </c>
      <c r="AR100" s="922">
        <f t="shared" si="31"/>
        <v>6458.7257280000003</v>
      </c>
      <c r="AS100" s="922">
        <f t="shared" si="31"/>
        <v>6624.3340800000005</v>
      </c>
      <c r="AT100" s="922">
        <f t="shared" si="31"/>
        <v>6789.9424319999998</v>
      </c>
      <c r="AU100" s="922">
        <f t="shared" si="31"/>
        <v>6955.5507840000018</v>
      </c>
      <c r="AV100" s="922">
        <f t="shared" si="31"/>
        <v>7121.1591360000002</v>
      </c>
      <c r="AW100" s="922">
        <f t="shared" si="31"/>
        <v>7286.7674880000004</v>
      </c>
      <c r="AX100" s="922">
        <f t="shared" si="31"/>
        <v>7452.3758400000015</v>
      </c>
      <c r="AY100" s="922">
        <f t="shared" si="31"/>
        <v>7617.9841919999999</v>
      </c>
      <c r="AZ100" s="922">
        <f t="shared" si="31"/>
        <v>7783.592544000001</v>
      </c>
      <c r="BA100" s="922">
        <f t="shared" si="31"/>
        <v>7949.2008960000012</v>
      </c>
      <c r="BB100" s="922">
        <f t="shared" si="31"/>
        <v>8114.8092480000014</v>
      </c>
      <c r="BC100" s="922">
        <f t="shared" si="31"/>
        <v>8280.4176000000007</v>
      </c>
      <c r="BD100" s="922">
        <f t="shared" si="31"/>
        <v>8446.0259520000018</v>
      </c>
      <c r="BE100" s="922">
        <f t="shared" si="31"/>
        <v>8611.6343040000011</v>
      </c>
      <c r="BF100" s="922">
        <f t="shared" si="31"/>
        <v>8777.2426560000004</v>
      </c>
      <c r="BG100" s="17"/>
      <c r="BH100" s="17"/>
      <c r="BJ100" s="632" t="e">
        <f t="shared" si="27"/>
        <v>#DIV/0!</v>
      </c>
      <c r="BK100" s="632" t="e">
        <f t="shared" si="27"/>
        <v>#DIV/0!</v>
      </c>
      <c r="BL100" s="632">
        <f t="shared" si="27"/>
        <v>1.0890106556944661</v>
      </c>
      <c r="BM100" s="632">
        <f t="shared" si="27"/>
        <v>1.0890106556944661</v>
      </c>
      <c r="BN100" s="632">
        <f t="shared" si="27"/>
        <v>1.0890106556944663</v>
      </c>
      <c r="BO100" s="632">
        <f t="shared" si="27"/>
        <v>1.0890106556944663</v>
      </c>
      <c r="BP100" s="632">
        <f t="shared" si="27"/>
        <v>1.0890106556944663</v>
      </c>
      <c r="BQ100" s="632">
        <f t="shared" si="27"/>
        <v>1.0890106556944663</v>
      </c>
      <c r="BR100" s="632">
        <f t="shared" si="27"/>
        <v>1.0890106556944663</v>
      </c>
      <c r="BS100" s="632">
        <f t="shared" si="27"/>
        <v>1.0890106556944661</v>
      </c>
      <c r="BT100" s="632">
        <f t="shared" si="27"/>
        <v>1.0890106556944663</v>
      </c>
      <c r="BU100" s="632">
        <f t="shared" si="27"/>
        <v>1.0890106556944661</v>
      </c>
      <c r="BV100" s="632">
        <f t="shared" si="27"/>
        <v>1.0890106556944663</v>
      </c>
      <c r="BW100" s="632">
        <f t="shared" si="27"/>
        <v>1.0890106556944663</v>
      </c>
      <c r="BX100" s="632">
        <f t="shared" si="27"/>
        <v>1.0890106556944663</v>
      </c>
      <c r="BY100" s="632">
        <f t="shared" si="27"/>
        <v>1.0890106556944663</v>
      </c>
      <c r="BZ100" s="632">
        <f t="shared" si="28"/>
        <v>1.0890106556944661</v>
      </c>
      <c r="CA100" s="632">
        <f t="shared" si="28"/>
        <v>1.0890106556944663</v>
      </c>
      <c r="CB100" s="632">
        <f t="shared" si="28"/>
        <v>1.0890106556944665</v>
      </c>
      <c r="CC100" s="632">
        <f t="shared" si="28"/>
        <v>1.0890106556944663</v>
      </c>
      <c r="CD100" s="632">
        <f t="shared" si="28"/>
        <v>1.0890106556944663</v>
      </c>
      <c r="CE100" s="632">
        <f t="shared" si="28"/>
        <v>1.0890106556944663</v>
      </c>
      <c r="CF100" s="632">
        <f t="shared" si="28"/>
        <v>1.0890106556944661</v>
      </c>
      <c r="CG100" s="632">
        <f t="shared" si="28"/>
        <v>1.0890106556944661</v>
      </c>
      <c r="CH100" s="632">
        <f t="shared" si="28"/>
        <v>1.0890106556944663</v>
      </c>
      <c r="CI100" s="632">
        <f t="shared" si="28"/>
        <v>1.0890106556944663</v>
      </c>
      <c r="CJ100" s="632">
        <f t="shared" si="28"/>
        <v>1.0890106556944663</v>
      </c>
      <c r="CK100" s="632">
        <f t="shared" si="28"/>
        <v>1.0890106556944661</v>
      </c>
      <c r="CL100" s="632">
        <f t="shared" si="28"/>
        <v>1.0890106556944663</v>
      </c>
      <c r="CM100" s="632">
        <f t="shared" si="28"/>
        <v>1.0890106556944663</v>
      </c>
      <c r="CN100" s="632">
        <f t="shared" si="28"/>
        <v>1.0890106556944663</v>
      </c>
      <c r="CO100" s="632">
        <f t="shared" si="28"/>
        <v>1.0890106556944663</v>
      </c>
      <c r="CP100" s="632">
        <f t="shared" si="29"/>
        <v>1.0890106556944663</v>
      </c>
      <c r="CQ100" s="632">
        <f t="shared" si="29"/>
        <v>1.0890106556944663</v>
      </c>
      <c r="CR100" s="632">
        <f t="shared" si="29"/>
        <v>1.0890106556944663</v>
      </c>
      <c r="CS100" s="632">
        <f t="shared" si="29"/>
        <v>1.0890106556944663</v>
      </c>
      <c r="CT100" s="632">
        <f t="shared" si="29"/>
        <v>1.0890106556944663</v>
      </c>
      <c r="CU100" s="632">
        <f t="shared" si="29"/>
        <v>1.0890106556944661</v>
      </c>
      <c r="CV100" s="632">
        <f t="shared" si="29"/>
        <v>1.0890106556944663</v>
      </c>
      <c r="CW100" s="632">
        <f t="shared" si="29"/>
        <v>1.0890106556944663</v>
      </c>
      <c r="CX100" s="632">
        <f t="shared" si="29"/>
        <v>1.0890106556944661</v>
      </c>
      <c r="CY100" s="632">
        <f t="shared" si="29"/>
        <v>1.0890106556944665</v>
      </c>
      <c r="CZ100" s="632">
        <f t="shared" si="29"/>
        <v>1.0890106556944661</v>
      </c>
      <c r="DA100" s="632">
        <f t="shared" si="29"/>
        <v>1.0890106556944663</v>
      </c>
      <c r="DB100" s="632">
        <f t="shared" si="29"/>
        <v>1.0890106556944661</v>
      </c>
      <c r="DC100" s="632">
        <f t="shared" si="29"/>
        <v>1.0890106556944663</v>
      </c>
      <c r="DD100" s="632">
        <f t="shared" si="29"/>
        <v>1.0890106556944661</v>
      </c>
      <c r="DE100" s="632">
        <f t="shared" si="29"/>
        <v>1.0890106556944663</v>
      </c>
      <c r="DF100" s="632">
        <f t="shared" si="30"/>
        <v>1.0890106556944663</v>
      </c>
    </row>
    <row r="101" spans="1:110">
      <c r="A101" s="2309"/>
      <c r="B101" s="2351" t="s">
        <v>555</v>
      </c>
      <c r="C101" s="2352"/>
      <c r="D101" s="921"/>
      <c r="E101" s="921"/>
      <c r="F101" s="921"/>
      <c r="G101" s="921"/>
      <c r="H101" s="921"/>
      <c r="I101" s="921"/>
      <c r="J101" s="922"/>
      <c r="K101" s="922"/>
      <c r="L101" s="922">
        <f t="shared" ref="L101:BF101" si="32">((L$86-$H$4)/1000)*IF($C$13=0,$Q$26,$Q$43)*(($C$8/70)^$AB$43)*IF($C$13=1,$AG$43,IF($C$13=2,$AH$43,IF($C$13=3,$AI$43,1)))</f>
        <v>1552.7747586145356</v>
      </c>
      <c r="M101" s="922">
        <f t="shared" si="32"/>
        <v>1774.5997241308978</v>
      </c>
      <c r="N101" s="922">
        <f t="shared" si="32"/>
        <v>1996.4246896472598</v>
      </c>
      <c r="O101" s="922">
        <f t="shared" si="32"/>
        <v>2218.2496551636223</v>
      </c>
      <c r="P101" s="922">
        <f t="shared" si="32"/>
        <v>2440.0746206799845</v>
      </c>
      <c r="Q101" s="922">
        <f t="shared" si="32"/>
        <v>2661.8995861963467</v>
      </c>
      <c r="R101" s="922">
        <f t="shared" si="32"/>
        <v>2883.7245517127089</v>
      </c>
      <c r="S101" s="922">
        <f t="shared" si="32"/>
        <v>3105.5495172290712</v>
      </c>
      <c r="T101" s="922">
        <f t="shared" si="32"/>
        <v>3327.3744827454334</v>
      </c>
      <c r="U101" s="922">
        <f t="shared" si="32"/>
        <v>3549.1994482617956</v>
      </c>
      <c r="V101" s="922">
        <f t="shared" si="32"/>
        <v>3771.0244137781574</v>
      </c>
      <c r="W101" s="922">
        <f t="shared" si="32"/>
        <v>3992.8493792945196</v>
      </c>
      <c r="X101" s="922">
        <f t="shared" si="32"/>
        <v>4214.6743448108818</v>
      </c>
      <c r="Y101" s="922">
        <f t="shared" si="32"/>
        <v>4436.4993103272445</v>
      </c>
      <c r="Z101" s="922">
        <f t="shared" si="32"/>
        <v>4658.3242758436063</v>
      </c>
      <c r="AA101" s="922">
        <f t="shared" si="32"/>
        <v>4880.149241359969</v>
      </c>
      <c r="AB101" s="922">
        <f t="shared" si="32"/>
        <v>5101.9742068763298</v>
      </c>
      <c r="AC101" s="922">
        <f t="shared" si="32"/>
        <v>5323.7991723926934</v>
      </c>
      <c r="AD101" s="922">
        <f t="shared" si="32"/>
        <v>5545.6241379090552</v>
      </c>
      <c r="AE101" s="922">
        <f t="shared" si="32"/>
        <v>5767.4491034254179</v>
      </c>
      <c r="AF101" s="922">
        <f t="shared" si="32"/>
        <v>5989.2740689417806</v>
      </c>
      <c r="AG101" s="922">
        <f t="shared" si="32"/>
        <v>6211.0990344581423</v>
      </c>
      <c r="AH101" s="922">
        <f t="shared" si="32"/>
        <v>6432.9239999745032</v>
      </c>
      <c r="AI101" s="922">
        <f t="shared" si="32"/>
        <v>6654.7489654908668</v>
      </c>
      <c r="AJ101" s="922">
        <f t="shared" si="32"/>
        <v>6876.5739310072295</v>
      </c>
      <c r="AK101" s="922">
        <f t="shared" si="32"/>
        <v>7098.3988965235912</v>
      </c>
      <c r="AL101" s="922">
        <f t="shared" si="32"/>
        <v>7320.2238620399521</v>
      </c>
      <c r="AM101" s="922">
        <f t="shared" si="32"/>
        <v>7542.0488275563148</v>
      </c>
      <c r="AN101" s="922">
        <f t="shared" si="32"/>
        <v>7763.8737930726766</v>
      </c>
      <c r="AO101" s="922">
        <f t="shared" si="32"/>
        <v>7985.6987585890392</v>
      </c>
      <c r="AP101" s="922">
        <f t="shared" si="32"/>
        <v>8207.5237241054019</v>
      </c>
      <c r="AQ101" s="922">
        <f t="shared" si="32"/>
        <v>8429.3486896217637</v>
      </c>
      <c r="AR101" s="922">
        <f t="shared" si="32"/>
        <v>8651.1736551381255</v>
      </c>
      <c r="AS101" s="922">
        <f t="shared" si="32"/>
        <v>8872.9986206544891</v>
      </c>
      <c r="AT101" s="922">
        <f t="shared" si="32"/>
        <v>9094.8235861708508</v>
      </c>
      <c r="AU101" s="922">
        <f t="shared" si="32"/>
        <v>9316.6485516872126</v>
      </c>
      <c r="AV101" s="922">
        <f t="shared" si="32"/>
        <v>9538.4735172035744</v>
      </c>
      <c r="AW101" s="922">
        <f t="shared" si="32"/>
        <v>9760.298482719938</v>
      </c>
      <c r="AX101" s="922">
        <f t="shared" si="32"/>
        <v>9982.1234482362997</v>
      </c>
      <c r="AY101" s="922">
        <f t="shared" si="32"/>
        <v>10203.94841375266</v>
      </c>
      <c r="AZ101" s="922">
        <f t="shared" si="32"/>
        <v>10425.773379269025</v>
      </c>
      <c r="BA101" s="922">
        <f t="shared" si="32"/>
        <v>10647.598344785387</v>
      </c>
      <c r="BB101" s="922">
        <f t="shared" si="32"/>
        <v>10869.423310301749</v>
      </c>
      <c r="BC101" s="922">
        <f t="shared" si="32"/>
        <v>11091.24827581811</v>
      </c>
      <c r="BD101" s="922">
        <f t="shared" si="32"/>
        <v>11313.073241334472</v>
      </c>
      <c r="BE101" s="922">
        <f t="shared" si="32"/>
        <v>11534.898206850836</v>
      </c>
      <c r="BF101" s="922">
        <f t="shared" si="32"/>
        <v>11756.723172367198</v>
      </c>
      <c r="BG101" s="17"/>
      <c r="BH101" s="17"/>
      <c r="BJ101" s="632" t="e">
        <f t="shared" si="27"/>
        <v>#DIV/0!</v>
      </c>
      <c r="BK101" s="632" t="e">
        <f t="shared" si="27"/>
        <v>#DIV/0!</v>
      </c>
      <c r="BL101" s="632">
        <f t="shared" si="27"/>
        <v>1.0089138500665829</v>
      </c>
      <c r="BM101" s="632">
        <f t="shared" si="27"/>
        <v>1.0089138500665829</v>
      </c>
      <c r="BN101" s="632">
        <f t="shared" si="27"/>
        <v>1.0089138500665829</v>
      </c>
      <c r="BO101" s="632">
        <f t="shared" si="27"/>
        <v>1.0089138500665829</v>
      </c>
      <c r="BP101" s="632">
        <f t="shared" si="27"/>
        <v>1.0089138500665826</v>
      </c>
      <c r="BQ101" s="632">
        <f t="shared" si="27"/>
        <v>1.0089138500665826</v>
      </c>
      <c r="BR101" s="632">
        <f t="shared" si="27"/>
        <v>1.0089138500665829</v>
      </c>
      <c r="BS101" s="632">
        <f t="shared" si="27"/>
        <v>1.0089138500665829</v>
      </c>
      <c r="BT101" s="632">
        <f t="shared" si="27"/>
        <v>1.0089138500665829</v>
      </c>
      <c r="BU101" s="632">
        <f t="shared" si="27"/>
        <v>1.0089138500665829</v>
      </c>
      <c r="BV101" s="632">
        <f t="shared" si="27"/>
        <v>1.0089138500665831</v>
      </c>
      <c r="BW101" s="632">
        <f t="shared" si="27"/>
        <v>1.0089138500665829</v>
      </c>
      <c r="BX101" s="632">
        <f t="shared" si="27"/>
        <v>1.0089138500665829</v>
      </c>
      <c r="BY101" s="632">
        <f t="shared" si="27"/>
        <v>1.0089138500665829</v>
      </c>
      <c r="BZ101" s="632">
        <f t="shared" si="28"/>
        <v>1.0089138500665831</v>
      </c>
      <c r="CA101" s="632">
        <f t="shared" si="28"/>
        <v>1.0089138500665826</v>
      </c>
      <c r="CB101" s="632">
        <f t="shared" si="28"/>
        <v>1.0089138500665831</v>
      </c>
      <c r="CC101" s="632">
        <f t="shared" si="28"/>
        <v>1.0089138500665826</v>
      </c>
      <c r="CD101" s="632">
        <f t="shared" si="28"/>
        <v>1.0089138500665829</v>
      </c>
      <c r="CE101" s="632">
        <f t="shared" si="28"/>
        <v>1.0089138500665829</v>
      </c>
      <c r="CF101" s="632">
        <f t="shared" si="28"/>
        <v>1.0089138500665829</v>
      </c>
      <c r="CG101" s="632">
        <f t="shared" si="28"/>
        <v>1.0089138500665829</v>
      </c>
      <c r="CH101" s="632">
        <f t="shared" si="28"/>
        <v>1.0089138500665831</v>
      </c>
      <c r="CI101" s="632">
        <f t="shared" si="28"/>
        <v>1.0089138500665829</v>
      </c>
      <c r="CJ101" s="632">
        <f t="shared" si="28"/>
        <v>1.0089138500665829</v>
      </c>
      <c r="CK101" s="632">
        <f t="shared" si="28"/>
        <v>1.0089138500665829</v>
      </c>
      <c r="CL101" s="632">
        <f t="shared" si="28"/>
        <v>1.0089138500665829</v>
      </c>
      <c r="CM101" s="632">
        <f t="shared" si="28"/>
        <v>1.0089138500665831</v>
      </c>
      <c r="CN101" s="632">
        <f t="shared" si="28"/>
        <v>1.0089138500665829</v>
      </c>
      <c r="CO101" s="632">
        <f t="shared" si="28"/>
        <v>1.0089138500665829</v>
      </c>
      <c r="CP101" s="632">
        <f t="shared" si="29"/>
        <v>1.0089138500665829</v>
      </c>
      <c r="CQ101" s="632">
        <f t="shared" si="29"/>
        <v>1.0089138500665829</v>
      </c>
      <c r="CR101" s="632">
        <f t="shared" si="29"/>
        <v>1.0089138500665829</v>
      </c>
      <c r="CS101" s="632">
        <f t="shared" si="29"/>
        <v>1.0089138500665829</v>
      </c>
      <c r="CT101" s="632">
        <f t="shared" si="29"/>
        <v>1.0089138500665826</v>
      </c>
      <c r="CU101" s="632">
        <f t="shared" si="29"/>
        <v>1.0089138500665831</v>
      </c>
      <c r="CV101" s="632">
        <f t="shared" si="29"/>
        <v>1.0089138500665829</v>
      </c>
      <c r="CW101" s="632">
        <f t="shared" si="29"/>
        <v>1.0089138500665826</v>
      </c>
      <c r="CX101" s="632">
        <f t="shared" si="29"/>
        <v>1.0089138500665829</v>
      </c>
      <c r="CY101" s="632">
        <f t="shared" si="29"/>
        <v>1.0089138500665831</v>
      </c>
      <c r="CZ101" s="632">
        <f t="shared" si="29"/>
        <v>1.0089138500665829</v>
      </c>
      <c r="DA101" s="632">
        <f t="shared" si="29"/>
        <v>1.0089138500665826</v>
      </c>
      <c r="DB101" s="632">
        <f t="shared" si="29"/>
        <v>1.0089138500665829</v>
      </c>
      <c r="DC101" s="632">
        <f t="shared" si="29"/>
        <v>1.0089138500665829</v>
      </c>
      <c r="DD101" s="632">
        <f t="shared" si="29"/>
        <v>1.0089138500665831</v>
      </c>
      <c r="DE101" s="632">
        <f t="shared" si="29"/>
        <v>1.0089138500665829</v>
      </c>
      <c r="DF101" s="632">
        <f t="shared" si="30"/>
        <v>1.0089138500665829</v>
      </c>
    </row>
    <row r="102" spans="1:110" ht="15.75" thickBot="1">
      <c r="A102" s="2309"/>
      <c r="B102" s="2367" t="s">
        <v>556</v>
      </c>
      <c r="C102" s="2368"/>
      <c r="D102" s="923"/>
      <c r="E102" s="923"/>
      <c r="F102" s="923"/>
      <c r="G102" s="923"/>
      <c r="H102" s="923"/>
      <c r="I102" s="923"/>
      <c r="J102" s="924"/>
      <c r="K102" s="924"/>
      <c r="L102" s="924">
        <f t="shared" ref="L102:BF102" si="33">((L$86-$H$4)/1000)*IF($C$13=0,$R$26,$R$43)*(($C$8/70)^$AC$43)*IF($C$13=1,$AG$43,IF($C$13=2,$AH$43,IF($C$13=3,$AI$43,1)))</f>
        <v>1693.2988799999998</v>
      </c>
      <c r="M102" s="924">
        <f t="shared" si="33"/>
        <v>1935.1987200000001</v>
      </c>
      <c r="N102" s="924">
        <f t="shared" si="33"/>
        <v>2177.0985599999999</v>
      </c>
      <c r="O102" s="924">
        <f t="shared" si="33"/>
        <v>2418.9983999999999</v>
      </c>
      <c r="P102" s="924">
        <f t="shared" si="33"/>
        <v>2660.89824</v>
      </c>
      <c r="Q102" s="924">
        <f t="shared" si="33"/>
        <v>2902.79808</v>
      </c>
      <c r="R102" s="924">
        <f t="shared" si="33"/>
        <v>3144.6979200000001</v>
      </c>
      <c r="S102" s="924">
        <f t="shared" si="33"/>
        <v>3386.5977599999997</v>
      </c>
      <c r="T102" s="924">
        <f t="shared" si="33"/>
        <v>3628.4975999999997</v>
      </c>
      <c r="U102" s="924">
        <f t="shared" si="33"/>
        <v>3870.3974400000002</v>
      </c>
      <c r="V102" s="924">
        <f t="shared" si="33"/>
        <v>4112.2972799999998</v>
      </c>
      <c r="W102" s="924">
        <f t="shared" si="33"/>
        <v>4354.1971199999998</v>
      </c>
      <c r="X102" s="924">
        <f t="shared" si="33"/>
        <v>4596.0969599999999</v>
      </c>
      <c r="Y102" s="924">
        <f t="shared" si="33"/>
        <v>4837.9967999999999</v>
      </c>
      <c r="Z102" s="924">
        <f t="shared" si="33"/>
        <v>5079.8966399999999</v>
      </c>
      <c r="AA102" s="924">
        <f t="shared" si="33"/>
        <v>5321.79648</v>
      </c>
      <c r="AB102" s="924">
        <f t="shared" si="33"/>
        <v>5563.6963199999991</v>
      </c>
      <c r="AC102" s="924">
        <f t="shared" si="33"/>
        <v>5805.5961600000001</v>
      </c>
      <c r="AD102" s="924">
        <f t="shared" si="33"/>
        <v>6047.4960000000001</v>
      </c>
      <c r="AE102" s="924">
        <f t="shared" si="33"/>
        <v>6289.3958400000001</v>
      </c>
      <c r="AF102" s="924">
        <f t="shared" si="33"/>
        <v>6531.2956800000002</v>
      </c>
      <c r="AG102" s="924">
        <f t="shared" si="33"/>
        <v>6773.1955199999993</v>
      </c>
      <c r="AH102" s="924">
        <f t="shared" si="33"/>
        <v>7015.0953599999993</v>
      </c>
      <c r="AI102" s="924">
        <f t="shared" si="33"/>
        <v>7256.9951999999994</v>
      </c>
      <c r="AJ102" s="924">
        <f t="shared" si="33"/>
        <v>7498.8950400000003</v>
      </c>
      <c r="AK102" s="924">
        <f t="shared" si="33"/>
        <v>7740.7948800000004</v>
      </c>
      <c r="AL102" s="924">
        <f t="shared" si="33"/>
        <v>7982.6947199999995</v>
      </c>
      <c r="AM102" s="924">
        <f t="shared" si="33"/>
        <v>8224.5945599999995</v>
      </c>
      <c r="AN102" s="924">
        <f t="shared" si="33"/>
        <v>8466.4943999999996</v>
      </c>
      <c r="AO102" s="924">
        <f t="shared" si="33"/>
        <v>8708.3942399999996</v>
      </c>
      <c r="AP102" s="924">
        <f t="shared" si="33"/>
        <v>8950.2940799999997</v>
      </c>
      <c r="AQ102" s="924">
        <f t="shared" si="33"/>
        <v>9192.1939199999997</v>
      </c>
      <c r="AR102" s="924">
        <f t="shared" si="33"/>
        <v>9434.0937599999997</v>
      </c>
      <c r="AS102" s="924">
        <f t="shared" si="33"/>
        <v>9675.9935999999998</v>
      </c>
      <c r="AT102" s="924">
        <f t="shared" si="33"/>
        <v>9917.893439999998</v>
      </c>
      <c r="AU102" s="924">
        <f t="shared" si="33"/>
        <v>10159.79328</v>
      </c>
      <c r="AV102" s="924">
        <f t="shared" si="33"/>
        <v>10401.693119999998</v>
      </c>
      <c r="AW102" s="924">
        <f t="shared" si="33"/>
        <v>10643.59296</v>
      </c>
      <c r="AX102" s="924">
        <f t="shared" si="33"/>
        <v>10885.4928</v>
      </c>
      <c r="AY102" s="924">
        <f t="shared" si="33"/>
        <v>11127.392639999998</v>
      </c>
      <c r="AZ102" s="924">
        <f t="shared" si="33"/>
        <v>11369.29248</v>
      </c>
      <c r="BA102" s="924">
        <f t="shared" si="33"/>
        <v>11611.19232</v>
      </c>
      <c r="BB102" s="924">
        <f t="shared" si="33"/>
        <v>11853.092160000002</v>
      </c>
      <c r="BC102" s="924">
        <f t="shared" si="33"/>
        <v>12094.992</v>
      </c>
      <c r="BD102" s="924">
        <f t="shared" si="33"/>
        <v>12336.891839999998</v>
      </c>
      <c r="BE102" s="924">
        <f t="shared" si="33"/>
        <v>12578.79168</v>
      </c>
      <c r="BF102" s="924">
        <f t="shared" si="33"/>
        <v>12820.69152</v>
      </c>
      <c r="BG102" s="17"/>
      <c r="BH102" s="17"/>
      <c r="BJ102" s="632" t="e">
        <f t="shared" si="27"/>
        <v>#DIV/0!</v>
      </c>
      <c r="BK102" s="632" t="e">
        <f t="shared" si="27"/>
        <v>#DIV/0!</v>
      </c>
      <c r="BL102" s="632">
        <f t="shared" si="27"/>
        <v>1.0237450343084145</v>
      </c>
      <c r="BM102" s="632">
        <f t="shared" si="27"/>
        <v>1.0237450343084145</v>
      </c>
      <c r="BN102" s="632">
        <f t="shared" si="27"/>
        <v>1.0237450343084145</v>
      </c>
      <c r="BO102" s="632">
        <f t="shared" si="27"/>
        <v>1.0237450343084145</v>
      </c>
      <c r="BP102" s="632">
        <f t="shared" si="27"/>
        <v>1.0237450343084147</v>
      </c>
      <c r="BQ102" s="632">
        <f t="shared" si="27"/>
        <v>1.0237450343084145</v>
      </c>
      <c r="BR102" s="632">
        <f t="shared" si="27"/>
        <v>1.0237450343084145</v>
      </c>
      <c r="BS102" s="632">
        <f t="shared" si="27"/>
        <v>1.0237450343084145</v>
      </c>
      <c r="BT102" s="632">
        <f t="shared" si="27"/>
        <v>1.0237450343084147</v>
      </c>
      <c r="BU102" s="632">
        <f t="shared" si="27"/>
        <v>1.0237450343084145</v>
      </c>
      <c r="BV102" s="632">
        <f t="shared" si="27"/>
        <v>1.0237450343084147</v>
      </c>
      <c r="BW102" s="632">
        <f t="shared" si="27"/>
        <v>1.0237450343084145</v>
      </c>
      <c r="BX102" s="632">
        <f t="shared" si="27"/>
        <v>1.0237450343084145</v>
      </c>
      <c r="BY102" s="632">
        <f t="shared" si="27"/>
        <v>1.0237450343084145</v>
      </c>
      <c r="BZ102" s="632">
        <f t="shared" si="28"/>
        <v>1.0237450343084147</v>
      </c>
      <c r="CA102" s="632">
        <f t="shared" si="28"/>
        <v>1.0237450343084147</v>
      </c>
      <c r="CB102" s="632">
        <f t="shared" si="28"/>
        <v>1.0237450343084145</v>
      </c>
      <c r="CC102" s="632">
        <f t="shared" si="28"/>
        <v>1.0237450343084145</v>
      </c>
      <c r="CD102" s="632">
        <f t="shared" si="28"/>
        <v>1.0237450343084145</v>
      </c>
      <c r="CE102" s="632">
        <f t="shared" si="28"/>
        <v>1.0237450343084145</v>
      </c>
      <c r="CF102" s="632">
        <f t="shared" si="28"/>
        <v>1.0237450343084145</v>
      </c>
      <c r="CG102" s="632">
        <f t="shared" si="28"/>
        <v>1.0237450343084145</v>
      </c>
      <c r="CH102" s="632">
        <f t="shared" si="28"/>
        <v>1.0237450343084145</v>
      </c>
      <c r="CI102" s="632">
        <f t="shared" si="28"/>
        <v>1.0237450343084147</v>
      </c>
      <c r="CJ102" s="632">
        <f t="shared" si="28"/>
        <v>1.0237450343084145</v>
      </c>
      <c r="CK102" s="632">
        <f t="shared" si="28"/>
        <v>1.0237450343084145</v>
      </c>
      <c r="CL102" s="632">
        <f t="shared" si="28"/>
        <v>1.0237450343084147</v>
      </c>
      <c r="CM102" s="632">
        <f t="shared" si="28"/>
        <v>1.0237450343084147</v>
      </c>
      <c r="CN102" s="632">
        <f t="shared" si="28"/>
        <v>1.0237450343084145</v>
      </c>
      <c r="CO102" s="632">
        <f t="shared" si="28"/>
        <v>1.0237450343084145</v>
      </c>
      <c r="CP102" s="632">
        <f t="shared" si="29"/>
        <v>1.0237450343084147</v>
      </c>
      <c r="CQ102" s="632">
        <f t="shared" si="29"/>
        <v>1.0237450343084145</v>
      </c>
      <c r="CR102" s="632">
        <f t="shared" si="29"/>
        <v>1.0237450343084147</v>
      </c>
      <c r="CS102" s="632">
        <f t="shared" si="29"/>
        <v>1.0237450343084145</v>
      </c>
      <c r="CT102" s="632">
        <f t="shared" si="29"/>
        <v>1.0237450343084147</v>
      </c>
      <c r="CU102" s="632">
        <f t="shared" si="29"/>
        <v>1.0237450343084147</v>
      </c>
      <c r="CV102" s="632">
        <f t="shared" si="29"/>
        <v>1.0237450343084147</v>
      </c>
      <c r="CW102" s="632">
        <f t="shared" si="29"/>
        <v>1.0237450343084147</v>
      </c>
      <c r="CX102" s="632">
        <f t="shared" si="29"/>
        <v>1.0237450343084145</v>
      </c>
      <c r="CY102" s="632">
        <f t="shared" si="29"/>
        <v>1.0237450343084145</v>
      </c>
      <c r="CZ102" s="632">
        <f t="shared" si="29"/>
        <v>1.0237450343084145</v>
      </c>
      <c r="DA102" s="632">
        <f t="shared" si="29"/>
        <v>1.0237450343084145</v>
      </c>
      <c r="DB102" s="632">
        <f t="shared" si="29"/>
        <v>1.0237450343084145</v>
      </c>
      <c r="DC102" s="632">
        <f t="shared" si="29"/>
        <v>1.0237450343084145</v>
      </c>
      <c r="DD102" s="632">
        <f t="shared" si="29"/>
        <v>1.0237450343084147</v>
      </c>
      <c r="DE102" s="632">
        <f t="shared" si="29"/>
        <v>1.0237450343084145</v>
      </c>
      <c r="DF102" s="632">
        <f t="shared" si="30"/>
        <v>1.0237450343084145</v>
      </c>
    </row>
    <row r="103" spans="1:110">
      <c r="A103" s="2309"/>
      <c r="B103" s="2376" t="s">
        <v>557</v>
      </c>
      <c r="C103" s="2377"/>
      <c r="D103" s="925"/>
      <c r="E103" s="925"/>
      <c r="F103" s="925"/>
      <c r="G103" s="925"/>
      <c r="H103" s="925"/>
      <c r="I103" s="925"/>
      <c r="J103" s="926"/>
      <c r="K103" s="926"/>
      <c r="L103" s="926">
        <f t="shared" ref="L103:BF103" si="34">((L$86-$H$4)/1000)*IF($C$13=0,$L$27,$L$44)*(($C$8/70)^$W$44)*IF($C$13=1,$AG$44,IF($C$13=2,$AH$44,IF($C$13=3,$AI$44,1)))</f>
        <v>820.99289999999996</v>
      </c>
      <c r="M103" s="926">
        <f t="shared" si="34"/>
        <v>938.27760000000001</v>
      </c>
      <c r="N103" s="926">
        <f t="shared" si="34"/>
        <v>1055.5623000000001</v>
      </c>
      <c r="O103" s="926">
        <f t="shared" si="34"/>
        <v>1172.847</v>
      </c>
      <c r="P103" s="926">
        <f t="shared" si="34"/>
        <v>1290.1317000000001</v>
      </c>
      <c r="Q103" s="926">
        <f t="shared" si="34"/>
        <v>1407.4164000000001</v>
      </c>
      <c r="R103" s="926">
        <f t="shared" si="34"/>
        <v>1524.7011</v>
      </c>
      <c r="S103" s="926">
        <f t="shared" si="34"/>
        <v>1641.9857999999999</v>
      </c>
      <c r="T103" s="926">
        <f t="shared" si="34"/>
        <v>1759.2705000000001</v>
      </c>
      <c r="U103" s="926">
        <f t="shared" si="34"/>
        <v>1876.5552</v>
      </c>
      <c r="V103" s="926">
        <f t="shared" si="34"/>
        <v>1993.8398999999999</v>
      </c>
      <c r="W103" s="926">
        <f t="shared" si="34"/>
        <v>2111.1246000000001</v>
      </c>
      <c r="X103" s="926">
        <f t="shared" si="34"/>
        <v>2228.4092999999998</v>
      </c>
      <c r="Y103" s="926">
        <f t="shared" si="34"/>
        <v>2345.694</v>
      </c>
      <c r="Z103" s="926">
        <f t="shared" si="34"/>
        <v>2462.9787000000001</v>
      </c>
      <c r="AA103" s="926">
        <f t="shared" si="34"/>
        <v>2580.2634000000003</v>
      </c>
      <c r="AB103" s="926">
        <f t="shared" si="34"/>
        <v>2697.5480999999995</v>
      </c>
      <c r="AC103" s="926">
        <f t="shared" si="34"/>
        <v>2814.8328000000001</v>
      </c>
      <c r="AD103" s="926">
        <f t="shared" si="34"/>
        <v>2932.1174999999998</v>
      </c>
      <c r="AE103" s="926">
        <f t="shared" si="34"/>
        <v>3049.4022</v>
      </c>
      <c r="AF103" s="926">
        <f t="shared" si="34"/>
        <v>3166.6869000000002</v>
      </c>
      <c r="AG103" s="926">
        <f t="shared" si="34"/>
        <v>3283.9715999999999</v>
      </c>
      <c r="AH103" s="926">
        <f t="shared" si="34"/>
        <v>3401.2562999999996</v>
      </c>
      <c r="AI103" s="926">
        <f t="shared" si="34"/>
        <v>3518.5410000000002</v>
      </c>
      <c r="AJ103" s="926">
        <f t="shared" si="34"/>
        <v>3635.8256999999999</v>
      </c>
      <c r="AK103" s="926">
        <f t="shared" si="34"/>
        <v>3753.1104</v>
      </c>
      <c r="AL103" s="926">
        <f t="shared" si="34"/>
        <v>3870.3950999999993</v>
      </c>
      <c r="AM103" s="926">
        <f t="shared" si="34"/>
        <v>3987.6797999999999</v>
      </c>
      <c r="AN103" s="926">
        <f t="shared" si="34"/>
        <v>4104.9645</v>
      </c>
      <c r="AO103" s="926">
        <f t="shared" si="34"/>
        <v>4222.2492000000002</v>
      </c>
      <c r="AP103" s="926">
        <f t="shared" si="34"/>
        <v>4339.5338999999994</v>
      </c>
      <c r="AQ103" s="926">
        <f t="shared" si="34"/>
        <v>4456.8185999999996</v>
      </c>
      <c r="AR103" s="926">
        <f t="shared" si="34"/>
        <v>4574.1032999999998</v>
      </c>
      <c r="AS103" s="926">
        <f t="shared" si="34"/>
        <v>4691.3879999999999</v>
      </c>
      <c r="AT103" s="926">
        <f t="shared" si="34"/>
        <v>4808.6727000000001</v>
      </c>
      <c r="AU103" s="926">
        <f t="shared" si="34"/>
        <v>4925.9574000000002</v>
      </c>
      <c r="AV103" s="926">
        <f t="shared" si="34"/>
        <v>5043.2420999999995</v>
      </c>
      <c r="AW103" s="926">
        <f t="shared" si="34"/>
        <v>5160.5268000000005</v>
      </c>
      <c r="AX103" s="926">
        <f t="shared" si="34"/>
        <v>5277.8114999999998</v>
      </c>
      <c r="AY103" s="926">
        <f t="shared" si="34"/>
        <v>5395.096199999999</v>
      </c>
      <c r="AZ103" s="926">
        <f t="shared" si="34"/>
        <v>5512.3809000000001</v>
      </c>
      <c r="BA103" s="926">
        <f t="shared" si="34"/>
        <v>5629.6656000000003</v>
      </c>
      <c r="BB103" s="926">
        <f t="shared" si="34"/>
        <v>5746.9502999999995</v>
      </c>
      <c r="BC103" s="926">
        <f t="shared" si="34"/>
        <v>5864.2349999999997</v>
      </c>
      <c r="BD103" s="926">
        <f t="shared" si="34"/>
        <v>5981.5196999999998</v>
      </c>
      <c r="BE103" s="926">
        <f t="shared" si="34"/>
        <v>6098.8044</v>
      </c>
      <c r="BF103" s="926">
        <f t="shared" si="34"/>
        <v>6216.0890999999992</v>
      </c>
      <c r="BG103" s="17"/>
      <c r="BH103" s="17"/>
      <c r="BJ103" s="632" t="e">
        <f t="shared" si="27"/>
        <v>#DIV/0!</v>
      </c>
      <c r="BK103" s="632" t="e">
        <f t="shared" si="27"/>
        <v>#DIV/0!</v>
      </c>
      <c r="BL103" s="632">
        <f t="shared" si="27"/>
        <v>1.0429534758620689</v>
      </c>
      <c r="BM103" s="632">
        <f t="shared" si="27"/>
        <v>1.0429534758620691</v>
      </c>
      <c r="BN103" s="632">
        <f t="shared" si="27"/>
        <v>1.0429534758620689</v>
      </c>
      <c r="BO103" s="632">
        <f t="shared" si="27"/>
        <v>1.0429534758620689</v>
      </c>
      <c r="BP103" s="632">
        <f t="shared" si="27"/>
        <v>1.0429534758620687</v>
      </c>
      <c r="BQ103" s="632">
        <f t="shared" si="27"/>
        <v>1.0429534758620689</v>
      </c>
      <c r="BR103" s="632">
        <f t="shared" si="27"/>
        <v>1.0429534758620689</v>
      </c>
      <c r="BS103" s="632">
        <f t="shared" si="27"/>
        <v>1.0429534758620689</v>
      </c>
      <c r="BT103" s="632">
        <f t="shared" si="27"/>
        <v>1.0429534758620689</v>
      </c>
      <c r="BU103" s="632">
        <f t="shared" si="27"/>
        <v>1.0429534758620691</v>
      </c>
      <c r="BV103" s="632">
        <f t="shared" si="27"/>
        <v>1.0429534758620689</v>
      </c>
      <c r="BW103" s="632">
        <f t="shared" si="27"/>
        <v>1.0429534758620689</v>
      </c>
      <c r="BX103" s="632">
        <f t="shared" si="27"/>
        <v>1.0429534758620689</v>
      </c>
      <c r="BY103" s="632">
        <f t="shared" si="27"/>
        <v>1.0429534758620689</v>
      </c>
      <c r="BZ103" s="632">
        <f t="shared" si="28"/>
        <v>1.0429534758620689</v>
      </c>
      <c r="CA103" s="632">
        <f t="shared" si="28"/>
        <v>1.0429534758620687</v>
      </c>
      <c r="CB103" s="632">
        <f t="shared" si="28"/>
        <v>1.0429534758620691</v>
      </c>
      <c r="CC103" s="632">
        <f t="shared" si="28"/>
        <v>1.0429534758620689</v>
      </c>
      <c r="CD103" s="632">
        <f t="shared" si="28"/>
        <v>1.0429534758620689</v>
      </c>
      <c r="CE103" s="632">
        <f t="shared" si="28"/>
        <v>1.0429534758620689</v>
      </c>
      <c r="CF103" s="632">
        <f t="shared" si="28"/>
        <v>1.0429534758620689</v>
      </c>
      <c r="CG103" s="632">
        <f t="shared" si="28"/>
        <v>1.0429534758620689</v>
      </c>
      <c r="CH103" s="632">
        <f t="shared" si="28"/>
        <v>1.0429534758620689</v>
      </c>
      <c r="CI103" s="632">
        <f t="shared" si="28"/>
        <v>1.0429534758620689</v>
      </c>
      <c r="CJ103" s="632">
        <f t="shared" si="28"/>
        <v>1.0429534758620691</v>
      </c>
      <c r="CK103" s="632">
        <f t="shared" si="28"/>
        <v>1.0429534758620691</v>
      </c>
      <c r="CL103" s="632">
        <f t="shared" si="28"/>
        <v>1.0429534758620691</v>
      </c>
      <c r="CM103" s="632">
        <f t="shared" si="28"/>
        <v>1.0429534758620689</v>
      </c>
      <c r="CN103" s="632">
        <f t="shared" si="28"/>
        <v>1.0429534758620687</v>
      </c>
      <c r="CO103" s="632">
        <f t="shared" si="28"/>
        <v>1.0429534758620689</v>
      </c>
      <c r="CP103" s="632">
        <f t="shared" si="29"/>
        <v>1.0429534758620691</v>
      </c>
      <c r="CQ103" s="632">
        <f t="shared" si="29"/>
        <v>1.0429534758620689</v>
      </c>
      <c r="CR103" s="632">
        <f t="shared" si="29"/>
        <v>1.0429534758620689</v>
      </c>
      <c r="CS103" s="632">
        <f t="shared" si="29"/>
        <v>1.0429534758620689</v>
      </c>
      <c r="CT103" s="632">
        <f t="shared" si="29"/>
        <v>1.0429534758620689</v>
      </c>
      <c r="CU103" s="632">
        <f t="shared" si="29"/>
        <v>1.0429534758620689</v>
      </c>
      <c r="CV103" s="632">
        <f t="shared" si="29"/>
        <v>1.0429534758620689</v>
      </c>
      <c r="CW103" s="632">
        <f t="shared" si="29"/>
        <v>1.0429534758620687</v>
      </c>
      <c r="CX103" s="632">
        <f t="shared" si="29"/>
        <v>1.0429534758620689</v>
      </c>
      <c r="CY103" s="632">
        <f t="shared" si="29"/>
        <v>1.0429534758620691</v>
      </c>
      <c r="CZ103" s="632">
        <f t="shared" si="29"/>
        <v>1.0429534758620689</v>
      </c>
      <c r="DA103" s="632">
        <f t="shared" si="29"/>
        <v>1.0429534758620689</v>
      </c>
      <c r="DB103" s="632">
        <f t="shared" si="29"/>
        <v>1.0429534758620691</v>
      </c>
      <c r="DC103" s="632">
        <f t="shared" si="29"/>
        <v>1.0429534758620689</v>
      </c>
      <c r="DD103" s="632">
        <f t="shared" si="29"/>
        <v>1.0429534758620689</v>
      </c>
      <c r="DE103" s="632">
        <f t="shared" si="29"/>
        <v>1.0429534758620689</v>
      </c>
      <c r="DF103" s="632">
        <f t="shared" si="30"/>
        <v>1.0429534758620689</v>
      </c>
    </row>
    <row r="104" spans="1:110">
      <c r="A104" s="2309"/>
      <c r="B104" s="2378" t="s">
        <v>558</v>
      </c>
      <c r="C104" s="2379"/>
      <c r="D104" s="927"/>
      <c r="E104" s="927"/>
      <c r="F104" s="927"/>
      <c r="G104" s="927"/>
      <c r="H104" s="927"/>
      <c r="I104" s="927"/>
      <c r="J104" s="928"/>
      <c r="K104" s="928"/>
      <c r="L104" s="928">
        <f t="shared" ref="L104:BF104" si="35">((L$86-$H$4)/1000)*IF($C$13=0,$M$27,$M$44)*(($C$8/70)^$X$44)*IF($C$13=1,$AG$44,IF($C$13=2,$AH$44,IF($C$13=3,$AI$44,1)))</f>
        <v>1087.47912</v>
      </c>
      <c r="M104" s="928">
        <f t="shared" si="35"/>
        <v>1242.8332800000001</v>
      </c>
      <c r="N104" s="928">
        <f t="shared" si="35"/>
        <v>1398.1874399999999</v>
      </c>
      <c r="O104" s="928">
        <f t="shared" si="35"/>
        <v>1553.5416</v>
      </c>
      <c r="P104" s="928">
        <f t="shared" si="35"/>
        <v>1708.8957599999999</v>
      </c>
      <c r="Q104" s="928">
        <f t="shared" si="35"/>
        <v>1864.24992</v>
      </c>
      <c r="R104" s="928">
        <f t="shared" si="35"/>
        <v>2019.6040799999998</v>
      </c>
      <c r="S104" s="928">
        <f t="shared" si="35"/>
        <v>2174.9582399999999</v>
      </c>
      <c r="T104" s="928">
        <f t="shared" si="35"/>
        <v>2330.3123999999998</v>
      </c>
      <c r="U104" s="928">
        <f t="shared" si="35"/>
        <v>2485.6665600000001</v>
      </c>
      <c r="V104" s="928">
        <f t="shared" si="35"/>
        <v>2641.0207199999995</v>
      </c>
      <c r="W104" s="928">
        <f t="shared" si="35"/>
        <v>2796.3748799999998</v>
      </c>
      <c r="X104" s="928">
        <f t="shared" si="35"/>
        <v>2951.7290399999997</v>
      </c>
      <c r="Y104" s="928">
        <f t="shared" si="35"/>
        <v>3107.0832</v>
      </c>
      <c r="Z104" s="928">
        <f t="shared" si="35"/>
        <v>3262.4373600000004</v>
      </c>
      <c r="AA104" s="928">
        <f t="shared" si="35"/>
        <v>3417.7915199999998</v>
      </c>
      <c r="AB104" s="928">
        <f t="shared" si="35"/>
        <v>3573.1456799999996</v>
      </c>
      <c r="AC104" s="928">
        <f t="shared" si="35"/>
        <v>3728.4998399999999</v>
      </c>
      <c r="AD104" s="928">
        <f t="shared" si="35"/>
        <v>3883.8539999999994</v>
      </c>
      <c r="AE104" s="928">
        <f t="shared" si="35"/>
        <v>4039.2081599999997</v>
      </c>
      <c r="AF104" s="928">
        <f t="shared" si="35"/>
        <v>4194.56232</v>
      </c>
      <c r="AG104" s="928">
        <f t="shared" si="35"/>
        <v>4349.9164799999999</v>
      </c>
      <c r="AH104" s="928">
        <f t="shared" si="35"/>
        <v>4505.2706399999997</v>
      </c>
      <c r="AI104" s="928">
        <f t="shared" si="35"/>
        <v>4660.6247999999996</v>
      </c>
      <c r="AJ104" s="928">
        <f t="shared" si="35"/>
        <v>4815.9789600000004</v>
      </c>
      <c r="AK104" s="928">
        <f t="shared" si="35"/>
        <v>4971.3331200000002</v>
      </c>
      <c r="AL104" s="928">
        <f t="shared" si="35"/>
        <v>5126.6872799999992</v>
      </c>
      <c r="AM104" s="928">
        <f t="shared" si="35"/>
        <v>5282.0414399999991</v>
      </c>
      <c r="AN104" s="928">
        <f t="shared" si="35"/>
        <v>5437.3955999999998</v>
      </c>
      <c r="AO104" s="928">
        <f t="shared" si="35"/>
        <v>5592.7497599999997</v>
      </c>
      <c r="AP104" s="928">
        <f t="shared" si="35"/>
        <v>5748.1039199999996</v>
      </c>
      <c r="AQ104" s="928">
        <f t="shared" si="35"/>
        <v>5903.4580799999994</v>
      </c>
      <c r="AR104" s="928">
        <f t="shared" si="35"/>
        <v>6058.8122400000002</v>
      </c>
      <c r="AS104" s="928">
        <f t="shared" si="35"/>
        <v>6214.1664000000001</v>
      </c>
      <c r="AT104" s="928">
        <f t="shared" si="35"/>
        <v>6369.520559999999</v>
      </c>
      <c r="AU104" s="928">
        <f t="shared" si="35"/>
        <v>6524.8747200000007</v>
      </c>
      <c r="AV104" s="928">
        <f t="shared" si="35"/>
        <v>6680.2288799999997</v>
      </c>
      <c r="AW104" s="928">
        <f t="shared" si="35"/>
        <v>6835.5830399999995</v>
      </c>
      <c r="AX104" s="928">
        <f t="shared" si="35"/>
        <v>6990.9371999999994</v>
      </c>
      <c r="AY104" s="928">
        <f t="shared" si="35"/>
        <v>7146.2913599999993</v>
      </c>
      <c r="AZ104" s="928">
        <f t="shared" si="35"/>
        <v>7301.64552</v>
      </c>
      <c r="BA104" s="928">
        <f t="shared" si="35"/>
        <v>7456.9996799999999</v>
      </c>
      <c r="BB104" s="928">
        <f t="shared" si="35"/>
        <v>7612.3538400000007</v>
      </c>
      <c r="BC104" s="928">
        <f t="shared" si="35"/>
        <v>7767.7079999999987</v>
      </c>
      <c r="BD104" s="928">
        <f t="shared" si="35"/>
        <v>7923.0621599999986</v>
      </c>
      <c r="BE104" s="928">
        <f t="shared" si="35"/>
        <v>8078.4163199999994</v>
      </c>
      <c r="BF104" s="928">
        <f t="shared" si="35"/>
        <v>8233.7704799999992</v>
      </c>
      <c r="BG104" s="17"/>
      <c r="BH104" s="17"/>
      <c r="BJ104" s="632" t="e">
        <f t="shared" si="27"/>
        <v>#DIV/0!</v>
      </c>
      <c r="BK104" s="632" t="e">
        <f t="shared" si="27"/>
        <v>#DIV/0!</v>
      </c>
      <c r="BL104" s="632">
        <f t="shared" si="27"/>
        <v>1.1955445544554457</v>
      </c>
      <c r="BM104" s="632">
        <f t="shared" si="27"/>
        <v>1.1955445544554453</v>
      </c>
      <c r="BN104" s="632">
        <f t="shared" si="27"/>
        <v>1.1955445544554455</v>
      </c>
      <c r="BO104" s="632">
        <f t="shared" si="27"/>
        <v>1.1955445544554455</v>
      </c>
      <c r="BP104" s="632">
        <f t="shared" si="27"/>
        <v>1.1955445544554457</v>
      </c>
      <c r="BQ104" s="632">
        <f t="shared" si="27"/>
        <v>1.1955445544554455</v>
      </c>
      <c r="BR104" s="632">
        <f t="shared" si="27"/>
        <v>1.1955445544554457</v>
      </c>
      <c r="BS104" s="632">
        <f t="shared" si="27"/>
        <v>1.1955445544554457</v>
      </c>
      <c r="BT104" s="632">
        <f t="shared" si="27"/>
        <v>1.1955445544554455</v>
      </c>
      <c r="BU104" s="632">
        <f t="shared" si="27"/>
        <v>1.1955445544554453</v>
      </c>
      <c r="BV104" s="632">
        <f t="shared" si="27"/>
        <v>1.1955445544554457</v>
      </c>
      <c r="BW104" s="632">
        <f t="shared" si="27"/>
        <v>1.1955445544554455</v>
      </c>
      <c r="BX104" s="632">
        <f t="shared" si="27"/>
        <v>1.1955445544554457</v>
      </c>
      <c r="BY104" s="632">
        <f t="shared" si="27"/>
        <v>1.1955445544554455</v>
      </c>
      <c r="BZ104" s="632">
        <f t="shared" si="28"/>
        <v>1.1955445544554453</v>
      </c>
      <c r="CA104" s="632">
        <f t="shared" si="28"/>
        <v>1.1955445544554457</v>
      </c>
      <c r="CB104" s="632">
        <f t="shared" si="28"/>
        <v>1.1955445544554455</v>
      </c>
      <c r="CC104" s="632">
        <f t="shared" si="28"/>
        <v>1.1955445544554455</v>
      </c>
      <c r="CD104" s="632">
        <f t="shared" si="28"/>
        <v>1.1955445544554457</v>
      </c>
      <c r="CE104" s="632">
        <f t="shared" si="28"/>
        <v>1.1955445544554457</v>
      </c>
      <c r="CF104" s="632">
        <f t="shared" si="28"/>
        <v>1.1955445544554455</v>
      </c>
      <c r="CG104" s="632">
        <f t="shared" si="28"/>
        <v>1.1955445544554457</v>
      </c>
      <c r="CH104" s="632">
        <f t="shared" si="28"/>
        <v>1.1955445544554455</v>
      </c>
      <c r="CI104" s="632">
        <f t="shared" si="28"/>
        <v>1.1955445544554455</v>
      </c>
      <c r="CJ104" s="632">
        <f t="shared" si="28"/>
        <v>1.1955445544554455</v>
      </c>
      <c r="CK104" s="632">
        <f t="shared" si="28"/>
        <v>1.1955445544554453</v>
      </c>
      <c r="CL104" s="632">
        <f t="shared" si="28"/>
        <v>1.1955445544554457</v>
      </c>
      <c r="CM104" s="632">
        <f t="shared" si="28"/>
        <v>1.1955445544554457</v>
      </c>
      <c r="CN104" s="632">
        <f t="shared" si="28"/>
        <v>1.1955445544554457</v>
      </c>
      <c r="CO104" s="632">
        <f t="shared" si="28"/>
        <v>1.1955445544554455</v>
      </c>
      <c r="CP104" s="632">
        <f t="shared" si="29"/>
        <v>1.1955445544554457</v>
      </c>
      <c r="CQ104" s="632">
        <f t="shared" si="29"/>
        <v>1.1955445544554457</v>
      </c>
      <c r="CR104" s="632">
        <f t="shared" si="29"/>
        <v>1.1955445544554455</v>
      </c>
      <c r="CS104" s="632">
        <f t="shared" si="29"/>
        <v>1.1955445544554455</v>
      </c>
      <c r="CT104" s="632">
        <f t="shared" si="29"/>
        <v>1.1955445544554457</v>
      </c>
      <c r="CU104" s="632">
        <f t="shared" si="29"/>
        <v>1.1955445544554453</v>
      </c>
      <c r="CV104" s="632">
        <f t="shared" si="29"/>
        <v>1.1955445544554455</v>
      </c>
      <c r="CW104" s="632">
        <f t="shared" si="29"/>
        <v>1.1955445544554457</v>
      </c>
      <c r="CX104" s="632">
        <f t="shared" si="29"/>
        <v>1.1955445544554455</v>
      </c>
      <c r="CY104" s="632">
        <f t="shared" si="29"/>
        <v>1.1955445544554455</v>
      </c>
      <c r="CZ104" s="632">
        <f t="shared" si="29"/>
        <v>1.1955445544554455</v>
      </c>
      <c r="DA104" s="632">
        <f t="shared" si="29"/>
        <v>1.1955445544554455</v>
      </c>
      <c r="DB104" s="632">
        <f t="shared" si="29"/>
        <v>1.1955445544554455</v>
      </c>
      <c r="DC104" s="632">
        <f t="shared" si="29"/>
        <v>1.1955445544554457</v>
      </c>
      <c r="DD104" s="632">
        <f t="shared" si="29"/>
        <v>1.1955445544554457</v>
      </c>
      <c r="DE104" s="632">
        <f t="shared" si="29"/>
        <v>1.1955445544554457</v>
      </c>
      <c r="DF104" s="632">
        <f t="shared" si="30"/>
        <v>1.1955445544554455</v>
      </c>
    </row>
    <row r="105" spans="1:110">
      <c r="A105" s="2309"/>
      <c r="B105" s="2378" t="s">
        <v>559</v>
      </c>
      <c r="C105" s="2379"/>
      <c r="D105" s="927"/>
      <c r="E105" s="927"/>
      <c r="F105" s="927"/>
      <c r="G105" s="927"/>
      <c r="H105" s="927"/>
      <c r="I105" s="927"/>
      <c r="J105" s="928"/>
      <c r="K105" s="928"/>
      <c r="L105" s="928">
        <f t="shared" ref="L105:BF105" si="36">((L$86-$H$4)/1000)*IF($C$13=0,$N$27,$N$44)*(($C$8/70)^$Y$44)*IF($C$13=1,$AG$44,IF($C$13=2,$AH$44,IF($C$13=3,$AI$44,1)))</f>
        <v>1262.4448199999997</v>
      </c>
      <c r="M105" s="928">
        <f t="shared" si="36"/>
        <v>1442.7940799999999</v>
      </c>
      <c r="N105" s="928">
        <f t="shared" si="36"/>
        <v>1623.1433399999999</v>
      </c>
      <c r="O105" s="928">
        <f t="shared" si="36"/>
        <v>1803.4925999999998</v>
      </c>
      <c r="P105" s="928">
        <f t="shared" si="36"/>
        <v>1983.84186</v>
      </c>
      <c r="Q105" s="928">
        <f t="shared" si="36"/>
        <v>2164.19112</v>
      </c>
      <c r="R105" s="928">
        <f t="shared" si="36"/>
        <v>2344.5403799999999</v>
      </c>
      <c r="S105" s="928">
        <f t="shared" si="36"/>
        <v>2524.8896399999994</v>
      </c>
      <c r="T105" s="928">
        <f t="shared" si="36"/>
        <v>2705.2388999999998</v>
      </c>
      <c r="U105" s="928">
        <f t="shared" si="36"/>
        <v>2885.5881599999998</v>
      </c>
      <c r="V105" s="928">
        <f t="shared" si="36"/>
        <v>3065.9374199999997</v>
      </c>
      <c r="W105" s="928">
        <f t="shared" si="36"/>
        <v>3246.2866799999997</v>
      </c>
      <c r="X105" s="928">
        <f t="shared" si="36"/>
        <v>3426.6359399999997</v>
      </c>
      <c r="Y105" s="928">
        <f t="shared" si="36"/>
        <v>3606.9851999999996</v>
      </c>
      <c r="Z105" s="928">
        <f t="shared" si="36"/>
        <v>3787.3344599999996</v>
      </c>
      <c r="AA105" s="928">
        <f t="shared" si="36"/>
        <v>3967.68372</v>
      </c>
      <c r="AB105" s="928">
        <f t="shared" si="36"/>
        <v>4148.03298</v>
      </c>
      <c r="AC105" s="928">
        <f t="shared" si="36"/>
        <v>4328.3822399999999</v>
      </c>
      <c r="AD105" s="928">
        <f t="shared" si="36"/>
        <v>4508.7314999999999</v>
      </c>
      <c r="AE105" s="928">
        <f t="shared" si="36"/>
        <v>4689.0807599999998</v>
      </c>
      <c r="AF105" s="928">
        <f t="shared" si="36"/>
        <v>4869.4300199999998</v>
      </c>
      <c r="AG105" s="928">
        <f t="shared" si="36"/>
        <v>5049.7792799999988</v>
      </c>
      <c r="AH105" s="928">
        <f t="shared" si="36"/>
        <v>5230.1285399999997</v>
      </c>
      <c r="AI105" s="928">
        <f t="shared" si="36"/>
        <v>5410.4777999999997</v>
      </c>
      <c r="AJ105" s="928">
        <f t="shared" si="36"/>
        <v>5590.8270599999996</v>
      </c>
      <c r="AK105" s="928">
        <f t="shared" si="36"/>
        <v>5771.1763199999996</v>
      </c>
      <c r="AL105" s="928">
        <f t="shared" si="36"/>
        <v>5951.5255799999995</v>
      </c>
      <c r="AM105" s="928">
        <f t="shared" si="36"/>
        <v>6131.8748399999995</v>
      </c>
      <c r="AN105" s="928">
        <f t="shared" si="36"/>
        <v>6312.2240999999995</v>
      </c>
      <c r="AO105" s="928">
        <f t="shared" si="36"/>
        <v>6492.5733599999994</v>
      </c>
      <c r="AP105" s="928">
        <f t="shared" si="36"/>
        <v>6672.9226200000003</v>
      </c>
      <c r="AQ105" s="928">
        <f t="shared" si="36"/>
        <v>6853.2718799999993</v>
      </c>
      <c r="AR105" s="928">
        <f t="shared" si="36"/>
        <v>7033.6211399999993</v>
      </c>
      <c r="AS105" s="928">
        <f t="shared" si="36"/>
        <v>7213.9703999999992</v>
      </c>
      <c r="AT105" s="928">
        <f t="shared" si="36"/>
        <v>7394.3196599999992</v>
      </c>
      <c r="AU105" s="928">
        <f t="shared" si="36"/>
        <v>7574.6689199999992</v>
      </c>
      <c r="AV105" s="928">
        <f t="shared" si="36"/>
        <v>7755.0181799999991</v>
      </c>
      <c r="AW105" s="928">
        <f t="shared" si="36"/>
        <v>7935.36744</v>
      </c>
      <c r="AX105" s="928">
        <f t="shared" si="36"/>
        <v>8115.7166999999999</v>
      </c>
      <c r="AY105" s="928">
        <f t="shared" si="36"/>
        <v>8296.0659599999999</v>
      </c>
      <c r="AZ105" s="928">
        <f t="shared" si="36"/>
        <v>8476.415219999999</v>
      </c>
      <c r="BA105" s="928">
        <f t="shared" si="36"/>
        <v>8656.7644799999998</v>
      </c>
      <c r="BB105" s="928">
        <f t="shared" si="36"/>
        <v>8837.1137399999989</v>
      </c>
      <c r="BC105" s="928">
        <f t="shared" si="36"/>
        <v>9017.4629999999997</v>
      </c>
      <c r="BD105" s="928">
        <f t="shared" si="36"/>
        <v>9197.8122599999988</v>
      </c>
      <c r="BE105" s="928">
        <f t="shared" si="36"/>
        <v>9378.1615199999997</v>
      </c>
      <c r="BF105" s="928">
        <f t="shared" si="36"/>
        <v>9558.5107799999987</v>
      </c>
      <c r="BG105" s="17"/>
      <c r="BH105" s="17"/>
      <c r="BJ105" s="632" t="e">
        <f t="shared" si="27"/>
        <v>#DIV/0!</v>
      </c>
      <c r="BK105" s="632" t="e">
        <f t="shared" si="27"/>
        <v>#DIV/0!</v>
      </c>
      <c r="BL105" s="632">
        <f t="shared" si="27"/>
        <v>1.1385927505330491</v>
      </c>
      <c r="BM105" s="632">
        <f t="shared" si="27"/>
        <v>1.1385927505330491</v>
      </c>
      <c r="BN105" s="632">
        <f t="shared" si="27"/>
        <v>1.1385927505330491</v>
      </c>
      <c r="BO105" s="632">
        <f t="shared" si="27"/>
        <v>1.1385927505330489</v>
      </c>
      <c r="BP105" s="632">
        <f t="shared" si="27"/>
        <v>1.1385927505330491</v>
      </c>
      <c r="BQ105" s="632">
        <f t="shared" si="27"/>
        <v>1.1385927505330489</v>
      </c>
      <c r="BR105" s="632">
        <f t="shared" si="27"/>
        <v>1.1385927505330489</v>
      </c>
      <c r="BS105" s="632">
        <f t="shared" si="27"/>
        <v>1.1385927505330491</v>
      </c>
      <c r="BT105" s="632">
        <f t="shared" si="27"/>
        <v>1.1385927505330491</v>
      </c>
      <c r="BU105" s="632">
        <f t="shared" si="27"/>
        <v>1.1385927505330491</v>
      </c>
      <c r="BV105" s="632">
        <f t="shared" si="27"/>
        <v>1.1385927505330489</v>
      </c>
      <c r="BW105" s="632">
        <f t="shared" si="27"/>
        <v>1.1385927505330491</v>
      </c>
      <c r="BX105" s="632">
        <f t="shared" si="27"/>
        <v>1.1385927505330489</v>
      </c>
      <c r="BY105" s="632">
        <f t="shared" si="27"/>
        <v>1.1385927505330489</v>
      </c>
      <c r="BZ105" s="632">
        <f t="shared" si="28"/>
        <v>1.1385927505330493</v>
      </c>
      <c r="CA105" s="632">
        <f t="shared" si="28"/>
        <v>1.1385927505330491</v>
      </c>
      <c r="CB105" s="632">
        <f t="shared" si="28"/>
        <v>1.1385927505330489</v>
      </c>
      <c r="CC105" s="632">
        <f t="shared" si="28"/>
        <v>1.1385927505330489</v>
      </c>
      <c r="CD105" s="632">
        <f t="shared" si="28"/>
        <v>1.1385927505330489</v>
      </c>
      <c r="CE105" s="632">
        <f t="shared" si="28"/>
        <v>1.1385927505330489</v>
      </c>
      <c r="CF105" s="632">
        <f t="shared" si="28"/>
        <v>1.1385927505330491</v>
      </c>
      <c r="CG105" s="632">
        <f t="shared" si="28"/>
        <v>1.1385927505330491</v>
      </c>
      <c r="CH105" s="632">
        <f t="shared" si="28"/>
        <v>1.1385927505330489</v>
      </c>
      <c r="CI105" s="632">
        <f t="shared" si="28"/>
        <v>1.1385927505330491</v>
      </c>
      <c r="CJ105" s="632">
        <f t="shared" si="28"/>
        <v>1.1385927505330491</v>
      </c>
      <c r="CK105" s="632">
        <f t="shared" si="28"/>
        <v>1.1385927505330491</v>
      </c>
      <c r="CL105" s="632">
        <f t="shared" si="28"/>
        <v>1.1385927505330489</v>
      </c>
      <c r="CM105" s="632">
        <f t="shared" si="28"/>
        <v>1.1385927505330489</v>
      </c>
      <c r="CN105" s="632">
        <f t="shared" si="28"/>
        <v>1.1385927505330491</v>
      </c>
      <c r="CO105" s="632">
        <f t="shared" si="28"/>
        <v>1.1385927505330491</v>
      </c>
      <c r="CP105" s="632">
        <f t="shared" si="29"/>
        <v>1.1385927505330491</v>
      </c>
      <c r="CQ105" s="632">
        <f t="shared" si="29"/>
        <v>1.1385927505330489</v>
      </c>
      <c r="CR105" s="632">
        <f t="shared" si="29"/>
        <v>1.1385927505330491</v>
      </c>
      <c r="CS105" s="632">
        <f t="shared" si="29"/>
        <v>1.1385927505330489</v>
      </c>
      <c r="CT105" s="632">
        <f t="shared" si="29"/>
        <v>1.1385927505330489</v>
      </c>
      <c r="CU105" s="632">
        <f t="shared" si="29"/>
        <v>1.1385927505330493</v>
      </c>
      <c r="CV105" s="632">
        <f t="shared" si="29"/>
        <v>1.1385927505330491</v>
      </c>
      <c r="CW105" s="632">
        <f t="shared" si="29"/>
        <v>1.1385927505330491</v>
      </c>
      <c r="CX105" s="632">
        <f t="shared" si="29"/>
        <v>1.1385927505330491</v>
      </c>
      <c r="CY105" s="632">
        <f t="shared" si="29"/>
        <v>1.1385927505330489</v>
      </c>
      <c r="CZ105" s="632">
        <f t="shared" si="29"/>
        <v>1.1385927505330491</v>
      </c>
      <c r="DA105" s="632">
        <f t="shared" si="29"/>
        <v>1.1385927505330489</v>
      </c>
      <c r="DB105" s="632">
        <f t="shared" si="29"/>
        <v>1.1385927505330491</v>
      </c>
      <c r="DC105" s="632">
        <f t="shared" si="29"/>
        <v>1.1385927505330489</v>
      </c>
      <c r="DD105" s="632">
        <f t="shared" si="29"/>
        <v>1.1385927505330491</v>
      </c>
      <c r="DE105" s="632">
        <f t="shared" si="29"/>
        <v>1.1385927505330489</v>
      </c>
      <c r="DF105" s="632">
        <f t="shared" si="30"/>
        <v>1.1385927505330491</v>
      </c>
    </row>
    <row r="106" spans="1:110">
      <c r="A106" s="2309"/>
      <c r="B106" s="2378" t="s">
        <v>560</v>
      </c>
      <c r="C106" s="2379"/>
      <c r="D106" s="927"/>
      <c r="E106" s="927"/>
      <c r="F106" s="927"/>
      <c r="G106" s="927"/>
      <c r="H106" s="927"/>
      <c r="I106" s="927"/>
      <c r="J106" s="928"/>
      <c r="K106" s="928"/>
      <c r="L106" s="928">
        <f t="shared" ref="L106:BF106" si="37">((L$86-$H$4)/1000)*IF($C$13=0,$Q$27,$Q$44)*(($C$8/70)^$AB$44)*IF($C$13=1,$AG$44,IF($C$13=2,$AH$44,IF($C$13=3,$AI$44,1)))</f>
        <v>1566.6159599999999</v>
      </c>
      <c r="M106" s="928">
        <f t="shared" si="37"/>
        <v>1790.41824</v>
      </c>
      <c r="N106" s="928">
        <f t="shared" si="37"/>
        <v>2014.2205199999996</v>
      </c>
      <c r="O106" s="928">
        <f t="shared" si="37"/>
        <v>2238.0227999999997</v>
      </c>
      <c r="P106" s="928">
        <f t="shared" si="37"/>
        <v>2461.8250799999996</v>
      </c>
      <c r="Q106" s="928">
        <f t="shared" si="37"/>
        <v>2685.6273599999995</v>
      </c>
      <c r="R106" s="928">
        <f t="shared" si="37"/>
        <v>2909.4296399999998</v>
      </c>
      <c r="S106" s="928">
        <f t="shared" si="37"/>
        <v>3133.2319199999997</v>
      </c>
      <c r="T106" s="928">
        <f t="shared" si="37"/>
        <v>3357.0341999999996</v>
      </c>
      <c r="U106" s="928">
        <f t="shared" si="37"/>
        <v>3580.8364799999999</v>
      </c>
      <c r="V106" s="928">
        <f t="shared" si="37"/>
        <v>3804.6387599999998</v>
      </c>
      <c r="W106" s="928">
        <f t="shared" si="37"/>
        <v>4028.4410399999992</v>
      </c>
      <c r="X106" s="928">
        <f t="shared" si="37"/>
        <v>4252.2433199999996</v>
      </c>
      <c r="Y106" s="928">
        <f t="shared" si="37"/>
        <v>4476.0455999999995</v>
      </c>
      <c r="Z106" s="928">
        <f t="shared" si="37"/>
        <v>4699.8478800000003</v>
      </c>
      <c r="AA106" s="928">
        <f t="shared" si="37"/>
        <v>4923.6501599999992</v>
      </c>
      <c r="AB106" s="928">
        <f t="shared" si="37"/>
        <v>5147.4524399999991</v>
      </c>
      <c r="AC106" s="928">
        <f t="shared" si="37"/>
        <v>5371.254719999999</v>
      </c>
      <c r="AD106" s="928">
        <f t="shared" si="37"/>
        <v>5595.0569999999989</v>
      </c>
      <c r="AE106" s="928">
        <f t="shared" si="37"/>
        <v>5818.8592799999997</v>
      </c>
      <c r="AF106" s="928">
        <f t="shared" si="37"/>
        <v>6042.6615599999996</v>
      </c>
      <c r="AG106" s="928">
        <f t="shared" si="37"/>
        <v>6266.4638399999994</v>
      </c>
      <c r="AH106" s="928">
        <f t="shared" si="37"/>
        <v>6490.2661199999993</v>
      </c>
      <c r="AI106" s="928">
        <f t="shared" si="37"/>
        <v>6714.0683999999992</v>
      </c>
      <c r="AJ106" s="928">
        <f t="shared" si="37"/>
        <v>6937.87068</v>
      </c>
      <c r="AK106" s="928">
        <f t="shared" si="37"/>
        <v>7161.6729599999999</v>
      </c>
      <c r="AL106" s="928">
        <f t="shared" si="37"/>
        <v>7385.4752399999979</v>
      </c>
      <c r="AM106" s="928">
        <f t="shared" si="37"/>
        <v>7609.2775199999996</v>
      </c>
      <c r="AN106" s="928">
        <f t="shared" si="37"/>
        <v>7833.0797999999986</v>
      </c>
      <c r="AO106" s="928">
        <f t="shared" si="37"/>
        <v>8056.8820799999985</v>
      </c>
      <c r="AP106" s="928">
        <f t="shared" si="37"/>
        <v>8280.6843599999993</v>
      </c>
      <c r="AQ106" s="928">
        <f t="shared" si="37"/>
        <v>8504.4866399999992</v>
      </c>
      <c r="AR106" s="928">
        <f t="shared" si="37"/>
        <v>8728.2889199999991</v>
      </c>
      <c r="AS106" s="928">
        <f t="shared" si="37"/>
        <v>8952.0911999999989</v>
      </c>
      <c r="AT106" s="928">
        <f t="shared" si="37"/>
        <v>9175.893479999997</v>
      </c>
      <c r="AU106" s="928">
        <f t="shared" si="37"/>
        <v>9399.6957600000005</v>
      </c>
      <c r="AV106" s="928">
        <f t="shared" si="37"/>
        <v>9623.4980399999986</v>
      </c>
      <c r="AW106" s="928">
        <f t="shared" si="37"/>
        <v>9847.3003199999985</v>
      </c>
      <c r="AX106" s="928">
        <f t="shared" si="37"/>
        <v>10071.102599999998</v>
      </c>
      <c r="AY106" s="928">
        <f t="shared" si="37"/>
        <v>10294.904879999998</v>
      </c>
      <c r="AZ106" s="928">
        <f t="shared" si="37"/>
        <v>10518.70716</v>
      </c>
      <c r="BA106" s="928">
        <f t="shared" si="37"/>
        <v>10742.509439999998</v>
      </c>
      <c r="BB106" s="928">
        <f t="shared" si="37"/>
        <v>10966.31172</v>
      </c>
      <c r="BC106" s="928">
        <f t="shared" si="37"/>
        <v>11190.113999999998</v>
      </c>
      <c r="BD106" s="928">
        <f t="shared" si="37"/>
        <v>11413.916279999999</v>
      </c>
      <c r="BE106" s="928">
        <f t="shared" si="37"/>
        <v>11637.718559999999</v>
      </c>
      <c r="BF106" s="928">
        <f t="shared" si="37"/>
        <v>11861.520839999999</v>
      </c>
      <c r="BG106" s="17"/>
      <c r="BH106" s="17"/>
      <c r="BJ106" s="632" t="e">
        <f t="shared" si="27"/>
        <v>#DIV/0!</v>
      </c>
      <c r="BK106" s="632" t="e">
        <f t="shared" si="27"/>
        <v>#DIV/0!</v>
      </c>
      <c r="BL106" s="632">
        <f t="shared" si="27"/>
        <v>1.2289846528969071</v>
      </c>
      <c r="BM106" s="632">
        <f t="shared" si="27"/>
        <v>1.2289846528969075</v>
      </c>
      <c r="BN106" s="632">
        <f t="shared" si="27"/>
        <v>1.2289846528969075</v>
      </c>
      <c r="BO106" s="632">
        <f t="shared" si="27"/>
        <v>1.2289846528969073</v>
      </c>
      <c r="BP106" s="632">
        <f t="shared" si="27"/>
        <v>1.2289846528969077</v>
      </c>
      <c r="BQ106" s="632">
        <f t="shared" si="27"/>
        <v>1.2289846528969073</v>
      </c>
      <c r="BR106" s="632">
        <f t="shared" si="27"/>
        <v>1.2289846528969073</v>
      </c>
      <c r="BS106" s="632">
        <f t="shared" si="27"/>
        <v>1.2289846528969071</v>
      </c>
      <c r="BT106" s="632">
        <f t="shared" si="27"/>
        <v>1.2289846528969073</v>
      </c>
      <c r="BU106" s="632">
        <f t="shared" si="27"/>
        <v>1.2289846528969075</v>
      </c>
      <c r="BV106" s="632">
        <f t="shared" si="27"/>
        <v>1.2289846528969073</v>
      </c>
      <c r="BW106" s="632">
        <f t="shared" si="27"/>
        <v>1.2289846528969075</v>
      </c>
      <c r="BX106" s="632">
        <f t="shared" si="27"/>
        <v>1.2289846528969073</v>
      </c>
      <c r="BY106" s="632">
        <f t="shared" si="27"/>
        <v>1.2289846528969073</v>
      </c>
      <c r="BZ106" s="632">
        <f t="shared" si="28"/>
        <v>1.2289846528969071</v>
      </c>
      <c r="CA106" s="632">
        <f t="shared" si="28"/>
        <v>1.2289846528969077</v>
      </c>
      <c r="CB106" s="632">
        <f t="shared" si="28"/>
        <v>1.2289846528969073</v>
      </c>
      <c r="CC106" s="632">
        <f t="shared" si="28"/>
        <v>1.2289846528969073</v>
      </c>
      <c r="CD106" s="632">
        <f t="shared" si="28"/>
        <v>1.2289846528969073</v>
      </c>
      <c r="CE106" s="632">
        <f t="shared" si="28"/>
        <v>1.2289846528969073</v>
      </c>
      <c r="CF106" s="632">
        <f t="shared" si="28"/>
        <v>1.2289846528969073</v>
      </c>
      <c r="CG106" s="632">
        <f t="shared" si="28"/>
        <v>1.2289846528969071</v>
      </c>
      <c r="CH106" s="632">
        <f t="shared" si="28"/>
        <v>1.2289846528969073</v>
      </c>
      <c r="CI106" s="632">
        <f t="shared" si="28"/>
        <v>1.2289846528969073</v>
      </c>
      <c r="CJ106" s="632">
        <f t="shared" si="28"/>
        <v>1.2289846528969073</v>
      </c>
      <c r="CK106" s="632">
        <f t="shared" si="28"/>
        <v>1.2289846528969075</v>
      </c>
      <c r="CL106" s="632">
        <f t="shared" si="28"/>
        <v>1.2289846528969073</v>
      </c>
      <c r="CM106" s="632">
        <f t="shared" si="28"/>
        <v>1.2289846528969073</v>
      </c>
      <c r="CN106" s="632">
        <f t="shared" si="28"/>
        <v>1.2289846528969075</v>
      </c>
      <c r="CO106" s="632">
        <f t="shared" si="28"/>
        <v>1.2289846528969075</v>
      </c>
      <c r="CP106" s="632">
        <f t="shared" si="29"/>
        <v>1.2289846528969073</v>
      </c>
      <c r="CQ106" s="632">
        <f t="shared" si="29"/>
        <v>1.2289846528969073</v>
      </c>
      <c r="CR106" s="632">
        <f t="shared" si="29"/>
        <v>1.2289846528969073</v>
      </c>
      <c r="CS106" s="632">
        <f t="shared" si="29"/>
        <v>1.2289846528969073</v>
      </c>
      <c r="CT106" s="632">
        <f t="shared" si="29"/>
        <v>1.2289846528969075</v>
      </c>
      <c r="CU106" s="632">
        <f t="shared" si="29"/>
        <v>1.2289846528969071</v>
      </c>
      <c r="CV106" s="632">
        <f t="shared" si="29"/>
        <v>1.2289846528969073</v>
      </c>
      <c r="CW106" s="632">
        <f t="shared" si="29"/>
        <v>1.2289846528969077</v>
      </c>
      <c r="CX106" s="632">
        <f t="shared" si="29"/>
        <v>1.2289846528969073</v>
      </c>
      <c r="CY106" s="632">
        <f t="shared" si="29"/>
        <v>1.2289846528969073</v>
      </c>
      <c r="CZ106" s="632">
        <f t="shared" si="29"/>
        <v>1.2289846528969073</v>
      </c>
      <c r="DA106" s="632">
        <f t="shared" si="29"/>
        <v>1.2289846528969073</v>
      </c>
      <c r="DB106" s="632">
        <f t="shared" si="29"/>
        <v>1.2289846528969073</v>
      </c>
      <c r="DC106" s="632">
        <f t="shared" si="29"/>
        <v>1.2289846528969073</v>
      </c>
      <c r="DD106" s="632">
        <f t="shared" si="29"/>
        <v>1.2289846528969073</v>
      </c>
      <c r="DE106" s="632">
        <f t="shared" si="29"/>
        <v>1.2289846528969073</v>
      </c>
      <c r="DF106" s="632">
        <f t="shared" si="30"/>
        <v>1.2289846528969073</v>
      </c>
    </row>
    <row r="107" spans="1:110" ht="15.75" thickBot="1">
      <c r="A107" s="2309"/>
      <c r="B107" s="2339" t="s">
        <v>561</v>
      </c>
      <c r="C107" s="2340"/>
      <c r="D107" s="929"/>
      <c r="E107" s="929"/>
      <c r="F107" s="929"/>
      <c r="G107" s="929"/>
      <c r="H107" s="929"/>
      <c r="I107" s="929"/>
      <c r="J107" s="930"/>
      <c r="K107" s="930"/>
      <c r="L107" s="930">
        <f t="shared" ref="L107:BF107" si="38">((L$86-$H$4)/1000)*IF($C$13=0,$R$27,$R$44)*(($C$8/70)^$AC$44)*IF($C$13=1,$AG$44,IF($C$13=2,$AH$44,IF($C$13=3,$AI$44,1)))</f>
        <v>1733.5063199999997</v>
      </c>
      <c r="M107" s="930">
        <f t="shared" si="38"/>
        <v>1981.1500799999999</v>
      </c>
      <c r="N107" s="930">
        <f t="shared" si="38"/>
        <v>2228.7938399999998</v>
      </c>
      <c r="O107" s="930">
        <f t="shared" si="38"/>
        <v>2476.4375999999997</v>
      </c>
      <c r="P107" s="930">
        <f t="shared" si="38"/>
        <v>2724.0813600000001</v>
      </c>
      <c r="Q107" s="930">
        <f t="shared" si="38"/>
        <v>2971.7251199999996</v>
      </c>
      <c r="R107" s="930">
        <f t="shared" si="38"/>
        <v>3219.3688799999995</v>
      </c>
      <c r="S107" s="930">
        <f t="shared" si="38"/>
        <v>3467.0126399999995</v>
      </c>
      <c r="T107" s="930">
        <f t="shared" si="38"/>
        <v>3714.6563999999998</v>
      </c>
      <c r="U107" s="930">
        <f t="shared" si="38"/>
        <v>3962.3001599999998</v>
      </c>
      <c r="V107" s="930">
        <f t="shared" si="38"/>
        <v>4209.9439199999997</v>
      </c>
      <c r="W107" s="930">
        <f t="shared" si="38"/>
        <v>4457.5876799999996</v>
      </c>
      <c r="X107" s="930">
        <f t="shared" si="38"/>
        <v>4705.2314399999996</v>
      </c>
      <c r="Y107" s="930">
        <f t="shared" si="38"/>
        <v>4952.8751999999995</v>
      </c>
      <c r="Z107" s="930">
        <f t="shared" si="38"/>
        <v>5200.5189600000003</v>
      </c>
      <c r="AA107" s="930">
        <f t="shared" si="38"/>
        <v>5448.1627200000003</v>
      </c>
      <c r="AB107" s="930">
        <f t="shared" si="38"/>
        <v>5695.8064799999984</v>
      </c>
      <c r="AC107" s="930">
        <f t="shared" si="38"/>
        <v>5943.4502399999992</v>
      </c>
      <c r="AD107" s="930">
        <f t="shared" si="38"/>
        <v>6191.0939999999991</v>
      </c>
      <c r="AE107" s="930">
        <f t="shared" si="38"/>
        <v>6438.7377599999991</v>
      </c>
      <c r="AF107" s="930">
        <f t="shared" si="38"/>
        <v>6686.3815199999999</v>
      </c>
      <c r="AG107" s="930">
        <f t="shared" si="38"/>
        <v>6934.0252799999989</v>
      </c>
      <c r="AH107" s="930">
        <f t="shared" si="38"/>
        <v>7181.6690399999989</v>
      </c>
      <c r="AI107" s="930">
        <f t="shared" si="38"/>
        <v>7429.3127999999997</v>
      </c>
      <c r="AJ107" s="930">
        <f t="shared" si="38"/>
        <v>7676.9565599999996</v>
      </c>
      <c r="AK107" s="930">
        <f t="shared" si="38"/>
        <v>7924.6003199999996</v>
      </c>
      <c r="AL107" s="930">
        <f t="shared" si="38"/>
        <v>8172.2440799999995</v>
      </c>
      <c r="AM107" s="930">
        <f t="shared" si="38"/>
        <v>8419.8878399999994</v>
      </c>
      <c r="AN107" s="930">
        <f t="shared" si="38"/>
        <v>8667.5315999999984</v>
      </c>
      <c r="AO107" s="930">
        <f t="shared" si="38"/>
        <v>8915.1753599999993</v>
      </c>
      <c r="AP107" s="930">
        <f t="shared" si="38"/>
        <v>9162.8191200000001</v>
      </c>
      <c r="AQ107" s="930">
        <f t="shared" si="38"/>
        <v>9410.4628799999991</v>
      </c>
      <c r="AR107" s="930">
        <f t="shared" si="38"/>
        <v>9658.10664</v>
      </c>
      <c r="AS107" s="930">
        <f t="shared" si="38"/>
        <v>9905.750399999999</v>
      </c>
      <c r="AT107" s="930">
        <f t="shared" si="38"/>
        <v>10153.394159999998</v>
      </c>
      <c r="AU107" s="930">
        <f t="shared" si="38"/>
        <v>10401.037920000001</v>
      </c>
      <c r="AV107" s="930">
        <f t="shared" si="38"/>
        <v>10648.681679999998</v>
      </c>
      <c r="AW107" s="930">
        <f t="shared" si="38"/>
        <v>10896.325440000001</v>
      </c>
      <c r="AX107" s="930">
        <f t="shared" si="38"/>
        <v>11143.9692</v>
      </c>
      <c r="AY107" s="930">
        <f t="shared" si="38"/>
        <v>11391.612959999997</v>
      </c>
      <c r="AZ107" s="930">
        <f t="shared" si="38"/>
        <v>11639.256719999999</v>
      </c>
      <c r="BA107" s="930">
        <f t="shared" si="38"/>
        <v>11886.900479999998</v>
      </c>
      <c r="BB107" s="930">
        <f t="shared" si="38"/>
        <v>12134.544239999999</v>
      </c>
      <c r="BC107" s="930">
        <f t="shared" si="38"/>
        <v>12382.187999999998</v>
      </c>
      <c r="BD107" s="930">
        <f t="shared" si="38"/>
        <v>12629.831759999999</v>
      </c>
      <c r="BE107" s="930">
        <f t="shared" si="38"/>
        <v>12877.475519999998</v>
      </c>
      <c r="BF107" s="930">
        <f t="shared" si="38"/>
        <v>13125.119279999999</v>
      </c>
      <c r="BG107" s="17"/>
      <c r="BH107" s="17"/>
      <c r="BJ107" s="632">
        <f>0</f>
        <v>0</v>
      </c>
      <c r="BK107" s="632">
        <f>0</f>
        <v>0</v>
      </c>
      <c r="BL107" s="632">
        <f>0</f>
        <v>0</v>
      </c>
      <c r="BM107" s="632">
        <f>0</f>
        <v>0</v>
      </c>
      <c r="BN107" s="632">
        <f>0</f>
        <v>0</v>
      </c>
      <c r="BO107" s="632">
        <f>0</f>
        <v>0</v>
      </c>
      <c r="BP107" s="632">
        <f>0</f>
        <v>0</v>
      </c>
      <c r="BQ107" s="632">
        <f>0</f>
        <v>0</v>
      </c>
      <c r="BR107" s="632">
        <f>0</f>
        <v>0</v>
      </c>
      <c r="BS107" s="632">
        <f>0</f>
        <v>0</v>
      </c>
      <c r="BT107" s="632">
        <f>0</f>
        <v>0</v>
      </c>
      <c r="BU107" s="632">
        <f>0</f>
        <v>0</v>
      </c>
      <c r="BV107" s="632">
        <f>0</f>
        <v>0</v>
      </c>
      <c r="BW107" s="632">
        <f>0</f>
        <v>0</v>
      </c>
      <c r="BX107" s="632">
        <f>0</f>
        <v>0</v>
      </c>
      <c r="BY107" s="632">
        <f>0</f>
        <v>0</v>
      </c>
      <c r="BZ107" s="632">
        <f>0</f>
        <v>0</v>
      </c>
      <c r="CA107" s="632">
        <f>0</f>
        <v>0</v>
      </c>
      <c r="CB107" s="632">
        <f>0</f>
        <v>0</v>
      </c>
      <c r="CC107" s="632">
        <f>0</f>
        <v>0</v>
      </c>
      <c r="CD107" s="632">
        <f>0</f>
        <v>0</v>
      </c>
      <c r="CE107" s="632">
        <f>0</f>
        <v>0</v>
      </c>
      <c r="CF107" s="632">
        <f>0</f>
        <v>0</v>
      </c>
      <c r="CG107" s="632">
        <f>0</f>
        <v>0</v>
      </c>
      <c r="CH107" s="632">
        <f>0</f>
        <v>0</v>
      </c>
      <c r="CI107" s="632">
        <f>0</f>
        <v>0</v>
      </c>
      <c r="CJ107" s="632">
        <f>0</f>
        <v>0</v>
      </c>
      <c r="CK107" s="632">
        <f>0</f>
        <v>0</v>
      </c>
      <c r="CL107" s="632">
        <f>0</f>
        <v>0</v>
      </c>
      <c r="CM107" s="632">
        <f>0</f>
        <v>0</v>
      </c>
      <c r="CN107" s="632">
        <f>0</f>
        <v>0</v>
      </c>
      <c r="CO107" s="632">
        <f>0</f>
        <v>0</v>
      </c>
      <c r="CP107" s="632">
        <f>0</f>
        <v>0</v>
      </c>
      <c r="CQ107" s="632">
        <f>0</f>
        <v>0</v>
      </c>
      <c r="CR107" s="632">
        <f>0</f>
        <v>0</v>
      </c>
      <c r="CS107" s="632">
        <f>0</f>
        <v>0</v>
      </c>
      <c r="CT107" s="632">
        <f>0</f>
        <v>0</v>
      </c>
      <c r="CU107" s="632">
        <f>0</f>
        <v>0</v>
      </c>
      <c r="CV107" s="632">
        <f>0</f>
        <v>0</v>
      </c>
      <c r="CW107" s="632">
        <f>0</f>
        <v>0</v>
      </c>
      <c r="CX107" s="632">
        <f>0</f>
        <v>0</v>
      </c>
      <c r="CY107" s="632">
        <f>0</f>
        <v>0</v>
      </c>
      <c r="CZ107" s="632">
        <f>0</f>
        <v>0</v>
      </c>
      <c r="DA107" s="632">
        <f>0</f>
        <v>0</v>
      </c>
      <c r="DB107" s="632">
        <f>0</f>
        <v>0</v>
      </c>
      <c r="DC107" s="632">
        <f>0</f>
        <v>0</v>
      </c>
      <c r="DD107" s="632">
        <f>0</f>
        <v>0</v>
      </c>
      <c r="DE107" s="632">
        <f>0</f>
        <v>0</v>
      </c>
      <c r="DF107" s="632">
        <f>0</f>
        <v>0</v>
      </c>
    </row>
    <row r="108" spans="1:110">
      <c r="A108" s="2309"/>
      <c r="B108" s="2341" t="s">
        <v>562</v>
      </c>
      <c r="C108" s="2342"/>
      <c r="D108" s="1295"/>
      <c r="E108" s="1295"/>
      <c r="F108" s="1295"/>
      <c r="G108" s="1295"/>
      <c r="H108" s="1295"/>
      <c r="I108" s="1295"/>
      <c r="J108" s="1296"/>
      <c r="K108" s="1296"/>
      <c r="L108" s="1296">
        <f t="shared" ref="L108:AQ108" si="39">((L$86-$H$4)/1000)*IF($C$13=0,$L28,$L45)*(($C$8/70)^$W$45)*IF($C$13=1,$AG$51,IF($C$13=2,$AH$51,IF($C$13=3,$AI$51,1)))</f>
        <v>856.25739871307985</v>
      </c>
      <c r="M108" s="1296">
        <f t="shared" si="39"/>
        <v>978.57988424352004</v>
      </c>
      <c r="N108" s="1296">
        <f t="shared" si="39"/>
        <v>1100.9023697739599</v>
      </c>
      <c r="O108" s="1296">
        <f t="shared" si="39"/>
        <v>1223.2248553043999</v>
      </c>
      <c r="P108" s="1296">
        <f t="shared" si="39"/>
        <v>1345.5473408348398</v>
      </c>
      <c r="Q108" s="1296">
        <f t="shared" si="39"/>
        <v>1467.86982636528</v>
      </c>
      <c r="R108" s="1296">
        <f t="shared" si="39"/>
        <v>1590.19231189572</v>
      </c>
      <c r="S108" s="1296">
        <f t="shared" si="39"/>
        <v>1712.5147974261597</v>
      </c>
      <c r="T108" s="1296">
        <f t="shared" si="39"/>
        <v>1834.8372829565999</v>
      </c>
      <c r="U108" s="1296">
        <f t="shared" si="39"/>
        <v>1957.1597684870401</v>
      </c>
      <c r="V108" s="1296">
        <f t="shared" si="39"/>
        <v>2079.4822540174796</v>
      </c>
      <c r="W108" s="1296">
        <f t="shared" si="39"/>
        <v>2201.8047395479198</v>
      </c>
      <c r="X108" s="1296">
        <f t="shared" si="39"/>
        <v>2324.1272250783595</v>
      </c>
      <c r="Y108" s="1296">
        <f t="shared" si="39"/>
        <v>2446.4497106087997</v>
      </c>
      <c r="Z108" s="1296">
        <f t="shared" si="39"/>
        <v>2568.7721961392399</v>
      </c>
      <c r="AA108" s="1296">
        <f t="shared" si="39"/>
        <v>2691.0946816696796</v>
      </c>
      <c r="AB108" s="1296">
        <f t="shared" si="39"/>
        <v>2813.4171672001198</v>
      </c>
      <c r="AC108" s="1296">
        <f t="shared" si="39"/>
        <v>2935.73965273056</v>
      </c>
      <c r="AD108" s="1296">
        <f t="shared" si="39"/>
        <v>3058.0621382609997</v>
      </c>
      <c r="AE108" s="1296">
        <f t="shared" si="39"/>
        <v>3180.3846237914399</v>
      </c>
      <c r="AF108" s="1296">
        <f t="shared" si="39"/>
        <v>3302.7071093218801</v>
      </c>
      <c r="AG108" s="1296">
        <f t="shared" si="39"/>
        <v>3425.0295948523194</v>
      </c>
      <c r="AH108" s="1296">
        <f t="shared" si="39"/>
        <v>3547.3520803827596</v>
      </c>
      <c r="AI108" s="1296">
        <f t="shared" si="39"/>
        <v>3669.6745659131998</v>
      </c>
      <c r="AJ108" s="1296">
        <f t="shared" si="39"/>
        <v>3791.99705144364</v>
      </c>
      <c r="AK108" s="1296">
        <f t="shared" si="39"/>
        <v>3914.3195369740802</v>
      </c>
      <c r="AL108" s="1296">
        <f t="shared" si="39"/>
        <v>4036.6420225045194</v>
      </c>
      <c r="AM108" s="1296">
        <f t="shared" si="39"/>
        <v>4158.9645080349592</v>
      </c>
      <c r="AN108" s="1296">
        <f t="shared" si="39"/>
        <v>4281.2869935653989</v>
      </c>
      <c r="AO108" s="1296">
        <f t="shared" si="39"/>
        <v>4403.6094790958396</v>
      </c>
      <c r="AP108" s="1296">
        <f t="shared" si="39"/>
        <v>4525.9319646262802</v>
      </c>
      <c r="AQ108" s="1296">
        <f t="shared" si="39"/>
        <v>4648.254450156719</v>
      </c>
      <c r="AR108" s="1296">
        <f t="shared" ref="AR108:BW108" si="40">((AR$86-$H$4)/1000)*IF($C$13=0,$L28,$L45)*(($C$8/70)^$W$45)*IF($C$13=1,$AG$51,IF($C$13=2,$AH$51,IF($C$13=3,$AI$51,1)))</f>
        <v>4770.5769356871597</v>
      </c>
      <c r="AS108" s="1296">
        <f t="shared" si="40"/>
        <v>4892.8994212175994</v>
      </c>
      <c r="AT108" s="1296">
        <f t="shared" si="40"/>
        <v>5015.2219067480391</v>
      </c>
      <c r="AU108" s="1296">
        <f t="shared" si="40"/>
        <v>5137.5443922784798</v>
      </c>
      <c r="AV108" s="1296">
        <f t="shared" si="40"/>
        <v>5259.8668778089195</v>
      </c>
      <c r="AW108" s="1296">
        <f t="shared" si="40"/>
        <v>5382.1893633393593</v>
      </c>
      <c r="AX108" s="1296">
        <f t="shared" si="40"/>
        <v>5504.5118488697999</v>
      </c>
      <c r="AY108" s="1296">
        <f t="shared" si="40"/>
        <v>5626.8343344002396</v>
      </c>
      <c r="AZ108" s="1296">
        <f t="shared" si="40"/>
        <v>5749.1568199306794</v>
      </c>
      <c r="BA108" s="1296">
        <f t="shared" si="40"/>
        <v>5871.47930546112</v>
      </c>
      <c r="BB108" s="1296">
        <f t="shared" si="40"/>
        <v>5993.8017909915598</v>
      </c>
      <c r="BC108" s="1296">
        <f t="shared" si="40"/>
        <v>6116.1242765219995</v>
      </c>
      <c r="BD108" s="1296">
        <f t="shared" si="40"/>
        <v>6238.4467620524392</v>
      </c>
      <c r="BE108" s="1296">
        <f t="shared" si="40"/>
        <v>6360.7692475828799</v>
      </c>
      <c r="BF108" s="1296">
        <f t="shared" si="40"/>
        <v>6483.0917331133187</v>
      </c>
      <c r="BG108" s="931">
        <f t="shared" si="40"/>
        <v>-856.25739871307985</v>
      </c>
      <c r="BH108" s="931">
        <f t="shared" si="40"/>
        <v>-856.25739871307985</v>
      </c>
      <c r="BI108" s="931">
        <f t="shared" si="40"/>
        <v>-856.25739871307985</v>
      </c>
      <c r="BJ108" s="931">
        <f t="shared" si="40"/>
        <v>366.96745659132</v>
      </c>
      <c r="BK108" s="931">
        <f t="shared" si="40"/>
        <v>489.28994212176002</v>
      </c>
      <c r="BL108" s="931">
        <f t="shared" si="40"/>
        <v>611.61242765219993</v>
      </c>
      <c r="BM108" s="931">
        <f t="shared" si="40"/>
        <v>733.93491318264</v>
      </c>
      <c r="BN108" s="931">
        <f t="shared" si="40"/>
        <v>856.25739871307985</v>
      </c>
      <c r="BO108" s="931">
        <f t="shared" si="40"/>
        <v>978.57988424352004</v>
      </c>
      <c r="BP108" s="931">
        <f t="shared" si="40"/>
        <v>1100.9023697739599</v>
      </c>
      <c r="BQ108" s="931">
        <f t="shared" si="40"/>
        <v>1223.2248553043999</v>
      </c>
      <c r="BR108" s="931">
        <f t="shared" si="40"/>
        <v>1345.5473408348398</v>
      </c>
      <c r="BS108" s="931">
        <f t="shared" si="40"/>
        <v>1467.86982636528</v>
      </c>
      <c r="BT108" s="931">
        <f t="shared" si="40"/>
        <v>1590.19231189572</v>
      </c>
      <c r="BU108" s="931">
        <f t="shared" si="40"/>
        <v>1712.5147974261597</v>
      </c>
      <c r="BV108" s="931">
        <f t="shared" si="40"/>
        <v>1834.8372829565999</v>
      </c>
      <c r="BW108" s="931">
        <f t="shared" si="40"/>
        <v>1957.1597684870401</v>
      </c>
      <c r="BX108" s="931">
        <f t="shared" ref="BX108:DF108" si="41">((BX$86-$H$4)/1000)*IF($C$13=0,$L28,$L45)*(($C$8/70)^$W$45)*IF($C$13=1,$AG$51,IF($C$13=2,$AH$51,IF($C$13=3,$AI$51,1)))</f>
        <v>2079.4822540174796</v>
      </c>
      <c r="BY108" s="931">
        <f t="shared" si="41"/>
        <v>2201.8047395479198</v>
      </c>
      <c r="BZ108" s="931">
        <f t="shared" si="41"/>
        <v>2324.1272250783595</v>
      </c>
      <c r="CA108" s="931">
        <f t="shared" si="41"/>
        <v>2446.4497106087997</v>
      </c>
      <c r="CB108" s="931">
        <f t="shared" si="41"/>
        <v>2568.7721961392399</v>
      </c>
      <c r="CC108" s="931">
        <f t="shared" si="41"/>
        <v>2691.0946816696796</v>
      </c>
      <c r="CD108" s="931">
        <f t="shared" si="41"/>
        <v>2813.4171672001198</v>
      </c>
      <c r="CE108" s="931">
        <f t="shared" si="41"/>
        <v>2935.73965273056</v>
      </c>
      <c r="CF108" s="931">
        <f t="shared" si="41"/>
        <v>3058.0621382609997</v>
      </c>
      <c r="CG108" s="931">
        <f t="shared" si="41"/>
        <v>3180.3846237914399</v>
      </c>
      <c r="CH108" s="931">
        <f t="shared" si="41"/>
        <v>3302.7071093218801</v>
      </c>
      <c r="CI108" s="931">
        <f t="shared" si="41"/>
        <v>3425.0295948523194</v>
      </c>
      <c r="CJ108" s="931">
        <f t="shared" si="41"/>
        <v>3547.3520803827596</v>
      </c>
      <c r="CK108" s="931">
        <f t="shared" si="41"/>
        <v>3669.6745659131998</v>
      </c>
      <c r="CL108" s="931">
        <f t="shared" si="41"/>
        <v>3791.99705144364</v>
      </c>
      <c r="CM108" s="931">
        <f t="shared" si="41"/>
        <v>3914.3195369740802</v>
      </c>
      <c r="CN108" s="931">
        <f t="shared" si="41"/>
        <v>4036.6420225045194</v>
      </c>
      <c r="CO108" s="931">
        <f t="shared" si="41"/>
        <v>4158.9645080349592</v>
      </c>
      <c r="CP108" s="931">
        <f t="shared" si="41"/>
        <v>4281.2869935653989</v>
      </c>
      <c r="CQ108" s="931">
        <f t="shared" si="41"/>
        <v>4403.6094790958396</v>
      </c>
      <c r="CR108" s="931">
        <f t="shared" si="41"/>
        <v>4525.9319646262802</v>
      </c>
      <c r="CS108" s="931">
        <f t="shared" si="41"/>
        <v>4648.254450156719</v>
      </c>
      <c r="CT108" s="931">
        <f t="shared" si="41"/>
        <v>4770.5769356871597</v>
      </c>
      <c r="CU108" s="931">
        <f t="shared" si="41"/>
        <v>4892.8994212175994</v>
      </c>
      <c r="CV108" s="931">
        <f t="shared" si="41"/>
        <v>5015.2219067480391</v>
      </c>
      <c r="CW108" s="931">
        <f t="shared" si="41"/>
        <v>5137.5443922784798</v>
      </c>
      <c r="CX108" s="931">
        <f t="shared" si="41"/>
        <v>5259.8668778089195</v>
      </c>
      <c r="CY108" s="931">
        <f t="shared" si="41"/>
        <v>5382.1893633393593</v>
      </c>
      <c r="CZ108" s="931">
        <f t="shared" si="41"/>
        <v>5504.5118488697999</v>
      </c>
      <c r="DA108" s="931">
        <f t="shared" si="41"/>
        <v>5626.8343344002396</v>
      </c>
      <c r="DB108" s="931">
        <f t="shared" si="41"/>
        <v>5749.1568199306794</v>
      </c>
      <c r="DC108" s="931">
        <f t="shared" si="41"/>
        <v>5871.47930546112</v>
      </c>
      <c r="DD108" s="931">
        <f t="shared" si="41"/>
        <v>5993.8017909915598</v>
      </c>
      <c r="DE108" s="931">
        <f t="shared" si="41"/>
        <v>6116.1242765219995</v>
      </c>
      <c r="DF108" s="931">
        <f t="shared" si="41"/>
        <v>6238.4467620524392</v>
      </c>
    </row>
    <row r="109" spans="1:110">
      <c r="A109" s="2309"/>
      <c r="B109" s="2331" t="s">
        <v>563</v>
      </c>
      <c r="C109" s="2332"/>
      <c r="D109" s="932"/>
      <c r="E109" s="932"/>
      <c r="F109" s="932"/>
      <c r="G109" s="932"/>
      <c r="H109" s="932"/>
      <c r="I109" s="932"/>
      <c r="J109" s="933"/>
      <c r="K109" s="933"/>
      <c r="L109" s="933">
        <f t="shared" ref="L109:BF109" si="42">((L$86-$H$4)/1000)*IF($C$13=0,$M$28,$M$45)*(($C$8/70)^$X$45)*IF($C$13=1,$AG$45,IF($C$13=2,$AH$45,IF($C$13=3,$AI$45,1)))</f>
        <v>1300.1297400000001</v>
      </c>
      <c r="M109" s="933">
        <f t="shared" si="42"/>
        <v>1485.8625599999998</v>
      </c>
      <c r="N109" s="933">
        <f t="shared" si="42"/>
        <v>1671.59538</v>
      </c>
      <c r="O109" s="933">
        <f t="shared" si="42"/>
        <v>1857.3281999999999</v>
      </c>
      <c r="P109" s="933">
        <f t="shared" si="42"/>
        <v>2043.0610200000001</v>
      </c>
      <c r="Q109" s="933">
        <f t="shared" si="42"/>
        <v>2228.7938399999998</v>
      </c>
      <c r="R109" s="933">
        <f t="shared" si="42"/>
        <v>2414.52666</v>
      </c>
      <c r="S109" s="933">
        <f t="shared" si="42"/>
        <v>2600.2594800000002</v>
      </c>
      <c r="T109" s="933">
        <f t="shared" si="42"/>
        <v>2785.9922999999999</v>
      </c>
      <c r="U109" s="933">
        <f t="shared" si="42"/>
        <v>2971.7251199999996</v>
      </c>
      <c r="V109" s="933">
        <f t="shared" si="42"/>
        <v>3157.4579399999998</v>
      </c>
      <c r="W109" s="933">
        <f t="shared" si="42"/>
        <v>3343.19076</v>
      </c>
      <c r="X109" s="933">
        <f t="shared" si="42"/>
        <v>3528.9235800000001</v>
      </c>
      <c r="Y109" s="933">
        <f t="shared" si="42"/>
        <v>3714.6563999999998</v>
      </c>
      <c r="Z109" s="933">
        <f t="shared" si="42"/>
        <v>3900.3892199999996</v>
      </c>
      <c r="AA109" s="933">
        <f t="shared" si="42"/>
        <v>4086.1220400000002</v>
      </c>
      <c r="AB109" s="933">
        <f t="shared" si="42"/>
        <v>4271.8548599999995</v>
      </c>
      <c r="AC109" s="933">
        <f t="shared" si="42"/>
        <v>4457.5876799999996</v>
      </c>
      <c r="AD109" s="933">
        <f t="shared" si="42"/>
        <v>4643.3204999999998</v>
      </c>
      <c r="AE109" s="933">
        <f t="shared" si="42"/>
        <v>4829.05332</v>
      </c>
      <c r="AF109" s="933">
        <f t="shared" si="42"/>
        <v>5014.7861400000002</v>
      </c>
      <c r="AG109" s="933">
        <f t="shared" si="42"/>
        <v>5200.5189600000003</v>
      </c>
      <c r="AH109" s="933">
        <f t="shared" si="42"/>
        <v>5386.2517799999996</v>
      </c>
      <c r="AI109" s="933">
        <f t="shared" si="42"/>
        <v>5571.9845999999998</v>
      </c>
      <c r="AJ109" s="933">
        <f t="shared" si="42"/>
        <v>5757.7174199999999</v>
      </c>
      <c r="AK109" s="933">
        <f t="shared" si="42"/>
        <v>5943.4502399999992</v>
      </c>
      <c r="AL109" s="933">
        <f t="shared" si="42"/>
        <v>6129.1830599999994</v>
      </c>
      <c r="AM109" s="933">
        <f t="shared" si="42"/>
        <v>6314.9158799999996</v>
      </c>
      <c r="AN109" s="933">
        <f t="shared" si="42"/>
        <v>6500.6487000000006</v>
      </c>
      <c r="AO109" s="933">
        <f t="shared" si="42"/>
        <v>6686.3815199999999</v>
      </c>
      <c r="AP109" s="933">
        <f t="shared" si="42"/>
        <v>6872.1143400000001</v>
      </c>
      <c r="AQ109" s="933">
        <f t="shared" si="42"/>
        <v>7057.8471600000003</v>
      </c>
      <c r="AR109" s="933">
        <f t="shared" si="42"/>
        <v>7243.5799799999995</v>
      </c>
      <c r="AS109" s="933">
        <f t="shared" si="42"/>
        <v>7429.3127999999997</v>
      </c>
      <c r="AT109" s="933">
        <f t="shared" si="42"/>
        <v>7615.0456199999999</v>
      </c>
      <c r="AU109" s="933">
        <f t="shared" si="42"/>
        <v>7800.7784399999991</v>
      </c>
      <c r="AV109" s="933">
        <f t="shared" si="42"/>
        <v>7986.5112599999993</v>
      </c>
      <c r="AW109" s="933">
        <f t="shared" si="42"/>
        <v>8172.2440800000004</v>
      </c>
      <c r="AX109" s="933">
        <f t="shared" si="42"/>
        <v>8357.9768999999997</v>
      </c>
      <c r="AY109" s="933">
        <f t="shared" si="42"/>
        <v>8543.7097199999989</v>
      </c>
      <c r="AZ109" s="933">
        <f t="shared" si="42"/>
        <v>8729.44254</v>
      </c>
      <c r="BA109" s="933">
        <f t="shared" si="42"/>
        <v>8915.1753599999993</v>
      </c>
      <c r="BB109" s="933">
        <f t="shared" si="42"/>
        <v>9100.9081800000004</v>
      </c>
      <c r="BC109" s="933">
        <f t="shared" si="42"/>
        <v>9286.6409999999996</v>
      </c>
      <c r="BD109" s="933">
        <f t="shared" si="42"/>
        <v>9472.3738199999989</v>
      </c>
      <c r="BE109" s="933">
        <f t="shared" si="42"/>
        <v>9658.10664</v>
      </c>
      <c r="BF109" s="933">
        <f t="shared" si="42"/>
        <v>9843.8394599999992</v>
      </c>
      <c r="BG109" s="17"/>
      <c r="BH109" s="17"/>
      <c r="BJ109" s="632" t="e">
        <f t="shared" ref="BJ109:CO109" si="43">J124/J110</f>
        <v>#DIV/0!</v>
      </c>
      <c r="BK109" s="632" t="e">
        <f t="shared" si="43"/>
        <v>#DIV/0!</v>
      </c>
      <c r="BL109" s="632">
        <f t="shared" si="43"/>
        <v>1.5302485736642588</v>
      </c>
      <c r="BM109" s="632">
        <f t="shared" si="43"/>
        <v>1.5302485736642588</v>
      </c>
      <c r="BN109" s="632">
        <f t="shared" si="43"/>
        <v>1.5302485736642588</v>
      </c>
      <c r="BO109" s="632">
        <f t="shared" si="43"/>
        <v>1.530248573664259</v>
      </c>
      <c r="BP109" s="632">
        <f t="shared" si="43"/>
        <v>1.5302485736642588</v>
      </c>
      <c r="BQ109" s="632">
        <f t="shared" si="43"/>
        <v>1.5302485736642586</v>
      </c>
      <c r="BR109" s="632">
        <f t="shared" si="43"/>
        <v>1.5302485736642588</v>
      </c>
      <c r="BS109" s="632">
        <f t="shared" si="43"/>
        <v>1.5302485736642588</v>
      </c>
      <c r="BT109" s="632">
        <f t="shared" si="43"/>
        <v>1.5302485736642588</v>
      </c>
      <c r="BU109" s="632">
        <f t="shared" si="43"/>
        <v>1.5302485736642588</v>
      </c>
      <c r="BV109" s="632">
        <f t="shared" si="43"/>
        <v>1.5302485736642588</v>
      </c>
      <c r="BW109" s="632">
        <f t="shared" si="43"/>
        <v>1.5302485736642588</v>
      </c>
      <c r="BX109" s="632">
        <f t="shared" si="43"/>
        <v>1.530248573664259</v>
      </c>
      <c r="BY109" s="632">
        <f t="shared" si="43"/>
        <v>1.530248573664259</v>
      </c>
      <c r="BZ109" s="632">
        <f t="shared" si="43"/>
        <v>1.5302485736642586</v>
      </c>
      <c r="CA109" s="632">
        <f t="shared" si="43"/>
        <v>1.5302485736642588</v>
      </c>
      <c r="CB109" s="632">
        <f t="shared" si="43"/>
        <v>1.5302485736642586</v>
      </c>
      <c r="CC109" s="632">
        <f t="shared" si="43"/>
        <v>1.5302485736642586</v>
      </c>
      <c r="CD109" s="632">
        <f t="shared" si="43"/>
        <v>1.5302485736642586</v>
      </c>
      <c r="CE109" s="632">
        <f t="shared" si="43"/>
        <v>1.5302485736642588</v>
      </c>
      <c r="CF109" s="632">
        <f t="shared" si="43"/>
        <v>1.530248573664259</v>
      </c>
      <c r="CG109" s="632">
        <f t="shared" si="43"/>
        <v>1.5302485736642588</v>
      </c>
      <c r="CH109" s="632">
        <f t="shared" si="43"/>
        <v>1.5302485736642588</v>
      </c>
      <c r="CI109" s="632">
        <f t="shared" si="43"/>
        <v>1.5302485736642588</v>
      </c>
      <c r="CJ109" s="632">
        <f t="shared" si="43"/>
        <v>1.5302485736642588</v>
      </c>
      <c r="CK109" s="632">
        <f t="shared" si="43"/>
        <v>1.5302485736642588</v>
      </c>
      <c r="CL109" s="632">
        <f t="shared" si="43"/>
        <v>1.5302485736642588</v>
      </c>
      <c r="CM109" s="632">
        <f t="shared" si="43"/>
        <v>1.5302485736642588</v>
      </c>
      <c r="CN109" s="632">
        <f t="shared" si="43"/>
        <v>1.530248573664259</v>
      </c>
      <c r="CO109" s="632">
        <f t="shared" si="43"/>
        <v>1.5302485736642588</v>
      </c>
      <c r="CP109" s="632">
        <f t="shared" ref="CP109:DF109" si="44">AP124/AP110</f>
        <v>1.5302485736642586</v>
      </c>
      <c r="CQ109" s="632">
        <f t="shared" si="44"/>
        <v>1.530248573664259</v>
      </c>
      <c r="CR109" s="632">
        <f t="shared" si="44"/>
        <v>1.5302485736642588</v>
      </c>
      <c r="CS109" s="632">
        <f t="shared" si="44"/>
        <v>1.530248573664259</v>
      </c>
      <c r="CT109" s="632">
        <f t="shared" si="44"/>
        <v>1.530248573664259</v>
      </c>
      <c r="CU109" s="632">
        <f t="shared" si="44"/>
        <v>1.5302485736642586</v>
      </c>
      <c r="CV109" s="632">
        <f t="shared" si="44"/>
        <v>1.5302485736642586</v>
      </c>
      <c r="CW109" s="632">
        <f t="shared" si="44"/>
        <v>1.5302485736642588</v>
      </c>
      <c r="CX109" s="632">
        <f t="shared" si="44"/>
        <v>1.5302485736642586</v>
      </c>
      <c r="CY109" s="632">
        <f t="shared" si="44"/>
        <v>1.5302485736642586</v>
      </c>
      <c r="CZ109" s="632">
        <f t="shared" si="44"/>
        <v>1.5302485736642588</v>
      </c>
      <c r="DA109" s="632">
        <f t="shared" si="44"/>
        <v>1.5302485736642586</v>
      </c>
      <c r="DB109" s="632">
        <f t="shared" si="44"/>
        <v>1.5302485736642588</v>
      </c>
      <c r="DC109" s="632">
        <f t="shared" si="44"/>
        <v>1.5302485736642586</v>
      </c>
      <c r="DD109" s="632">
        <f t="shared" si="44"/>
        <v>1.5302485736642586</v>
      </c>
      <c r="DE109" s="632">
        <f t="shared" si="44"/>
        <v>1.5302485736642588</v>
      </c>
      <c r="DF109" s="632">
        <f t="shared" si="44"/>
        <v>1.5302485736642586</v>
      </c>
    </row>
    <row r="110" spans="1:110">
      <c r="A110" s="2309"/>
      <c r="B110" s="2331" t="s">
        <v>564</v>
      </c>
      <c r="C110" s="2332"/>
      <c r="D110" s="932"/>
      <c r="E110" s="932"/>
      <c r="F110" s="932"/>
      <c r="G110" s="932"/>
      <c r="H110" s="932"/>
      <c r="I110" s="932"/>
      <c r="J110" s="933"/>
      <c r="K110" s="933"/>
      <c r="L110" s="933">
        <f t="shared" ref="L110:BF110" si="45">((L$86-$H$4)/1000)*IF($C$13=0,$N$28,$N$45)*(($C$8/70)^$Y$45)*IF($C$13=1,$AG$45,IF($C$13=2,$AH$45,IF($C$13=3,$AI$45,1)))</f>
        <v>1437.4105199999997</v>
      </c>
      <c r="M110" s="933">
        <f t="shared" si="45"/>
        <v>1642.75488</v>
      </c>
      <c r="N110" s="933">
        <f t="shared" si="45"/>
        <v>1848.0992399999998</v>
      </c>
      <c r="O110" s="933">
        <f t="shared" si="45"/>
        <v>2053.4435999999996</v>
      </c>
      <c r="P110" s="933">
        <f t="shared" si="45"/>
        <v>2258.7879600000001</v>
      </c>
      <c r="Q110" s="933">
        <f t="shared" si="45"/>
        <v>2464.1323199999997</v>
      </c>
      <c r="R110" s="933">
        <f t="shared" si="45"/>
        <v>2669.4766799999998</v>
      </c>
      <c r="S110" s="933">
        <f t="shared" si="45"/>
        <v>2874.8210399999994</v>
      </c>
      <c r="T110" s="933">
        <f t="shared" si="45"/>
        <v>3080.1653999999999</v>
      </c>
      <c r="U110" s="933">
        <f t="shared" si="45"/>
        <v>3285.5097599999999</v>
      </c>
      <c r="V110" s="933">
        <f t="shared" si="45"/>
        <v>3490.8541199999995</v>
      </c>
      <c r="W110" s="933">
        <f t="shared" si="45"/>
        <v>3696.1984799999996</v>
      </c>
      <c r="X110" s="933">
        <f t="shared" si="45"/>
        <v>3901.5428399999992</v>
      </c>
      <c r="Y110" s="933">
        <f t="shared" si="45"/>
        <v>4106.8871999999992</v>
      </c>
      <c r="Z110" s="933">
        <f t="shared" si="45"/>
        <v>4312.2315600000002</v>
      </c>
      <c r="AA110" s="933">
        <f t="shared" si="45"/>
        <v>4517.5759200000002</v>
      </c>
      <c r="AB110" s="933">
        <f t="shared" si="45"/>
        <v>4722.9202799999994</v>
      </c>
      <c r="AC110" s="933">
        <f t="shared" si="45"/>
        <v>4928.2646399999994</v>
      </c>
      <c r="AD110" s="933">
        <f t="shared" si="45"/>
        <v>5133.6089999999995</v>
      </c>
      <c r="AE110" s="933">
        <f t="shared" si="45"/>
        <v>5338.9533599999995</v>
      </c>
      <c r="AF110" s="933">
        <f t="shared" si="45"/>
        <v>5544.2977199999996</v>
      </c>
      <c r="AG110" s="933">
        <f t="shared" si="45"/>
        <v>5749.6420799999987</v>
      </c>
      <c r="AH110" s="933">
        <f t="shared" si="45"/>
        <v>5954.9864399999988</v>
      </c>
      <c r="AI110" s="933">
        <f t="shared" si="45"/>
        <v>6160.3307999999997</v>
      </c>
      <c r="AJ110" s="933">
        <f t="shared" si="45"/>
        <v>6365.6751599999998</v>
      </c>
      <c r="AK110" s="933">
        <f t="shared" si="45"/>
        <v>6571.0195199999998</v>
      </c>
      <c r="AL110" s="933">
        <f t="shared" si="45"/>
        <v>6776.363879999999</v>
      </c>
      <c r="AM110" s="933">
        <f t="shared" si="45"/>
        <v>6981.708239999999</v>
      </c>
      <c r="AN110" s="933">
        <f t="shared" si="45"/>
        <v>7187.0525999999991</v>
      </c>
      <c r="AO110" s="933">
        <f t="shared" si="45"/>
        <v>7392.3969599999991</v>
      </c>
      <c r="AP110" s="933">
        <f t="shared" si="45"/>
        <v>7597.7413200000001</v>
      </c>
      <c r="AQ110" s="933">
        <f t="shared" si="45"/>
        <v>7803.0856799999983</v>
      </c>
      <c r="AR110" s="933">
        <f t="shared" si="45"/>
        <v>8008.4300399999993</v>
      </c>
      <c r="AS110" s="933">
        <f t="shared" si="45"/>
        <v>8213.7743999999984</v>
      </c>
      <c r="AT110" s="933">
        <f t="shared" si="45"/>
        <v>8419.1187599999976</v>
      </c>
      <c r="AU110" s="933">
        <f t="shared" si="45"/>
        <v>8624.4631200000003</v>
      </c>
      <c r="AV110" s="933">
        <f t="shared" si="45"/>
        <v>8829.8074799999995</v>
      </c>
      <c r="AW110" s="933">
        <f t="shared" si="45"/>
        <v>9035.1518400000004</v>
      </c>
      <c r="AX110" s="933">
        <f t="shared" si="45"/>
        <v>9240.4961999999996</v>
      </c>
      <c r="AY110" s="933">
        <f t="shared" si="45"/>
        <v>9445.8405599999987</v>
      </c>
      <c r="AZ110" s="933">
        <f t="shared" si="45"/>
        <v>9651.1849199999997</v>
      </c>
      <c r="BA110" s="933">
        <f t="shared" si="45"/>
        <v>9856.5292799999988</v>
      </c>
      <c r="BB110" s="933">
        <f t="shared" si="45"/>
        <v>10061.87364</v>
      </c>
      <c r="BC110" s="933">
        <f t="shared" si="45"/>
        <v>10267.217999999999</v>
      </c>
      <c r="BD110" s="933">
        <f t="shared" si="45"/>
        <v>10472.56236</v>
      </c>
      <c r="BE110" s="933">
        <f t="shared" si="45"/>
        <v>10677.906719999999</v>
      </c>
      <c r="BF110" s="933">
        <f t="shared" si="45"/>
        <v>10883.25108</v>
      </c>
      <c r="BG110" s="17"/>
      <c r="BH110" s="17"/>
      <c r="BJ110" s="632" t="e">
        <f t="shared" ref="BJ110:CO110" si="46">J126/J111</f>
        <v>#DIV/0!</v>
      </c>
      <c r="BK110" s="632" t="e">
        <f t="shared" si="46"/>
        <v>#DIV/0!</v>
      </c>
      <c r="BL110" s="632">
        <f t="shared" si="46"/>
        <v>1.3449484159978096</v>
      </c>
      <c r="BM110" s="632">
        <f t="shared" si="46"/>
        <v>1.3449484159978091</v>
      </c>
      <c r="BN110" s="632">
        <f t="shared" si="46"/>
        <v>1.3449484159978093</v>
      </c>
      <c r="BO110" s="632">
        <f t="shared" si="46"/>
        <v>1.3449484159978096</v>
      </c>
      <c r="BP110" s="632">
        <f t="shared" si="46"/>
        <v>1.3449484159978093</v>
      </c>
      <c r="BQ110" s="632">
        <f t="shared" si="46"/>
        <v>1.3449484159978096</v>
      </c>
      <c r="BR110" s="632">
        <f t="shared" si="46"/>
        <v>1.3449484159978096</v>
      </c>
      <c r="BS110" s="632">
        <f t="shared" si="46"/>
        <v>1.3449484159978096</v>
      </c>
      <c r="BT110" s="632">
        <f t="shared" si="46"/>
        <v>1.3449484159978093</v>
      </c>
      <c r="BU110" s="632">
        <f t="shared" si="46"/>
        <v>1.3449484159978091</v>
      </c>
      <c r="BV110" s="632">
        <f t="shared" si="46"/>
        <v>1.3449484159978093</v>
      </c>
      <c r="BW110" s="632">
        <f t="shared" si="46"/>
        <v>1.3449484159978093</v>
      </c>
      <c r="BX110" s="632">
        <f t="shared" si="46"/>
        <v>1.3449484159978096</v>
      </c>
      <c r="BY110" s="632">
        <f t="shared" si="46"/>
        <v>1.3449484159978096</v>
      </c>
      <c r="BZ110" s="632">
        <f t="shared" si="46"/>
        <v>1.3449484159978096</v>
      </c>
      <c r="CA110" s="632">
        <f t="shared" si="46"/>
        <v>1.3449484159978093</v>
      </c>
      <c r="CB110" s="632">
        <f t="shared" si="46"/>
        <v>1.3449484159978096</v>
      </c>
      <c r="CC110" s="632">
        <f t="shared" si="46"/>
        <v>1.3449484159978096</v>
      </c>
      <c r="CD110" s="632">
        <f t="shared" si="46"/>
        <v>1.3449484159978096</v>
      </c>
      <c r="CE110" s="632">
        <f t="shared" si="46"/>
        <v>1.3449484159978096</v>
      </c>
      <c r="CF110" s="632">
        <f t="shared" si="46"/>
        <v>1.3449484159978096</v>
      </c>
      <c r="CG110" s="632">
        <f t="shared" si="46"/>
        <v>1.3449484159978096</v>
      </c>
      <c r="CH110" s="632">
        <f t="shared" si="46"/>
        <v>1.3449484159978093</v>
      </c>
      <c r="CI110" s="632">
        <f t="shared" si="46"/>
        <v>1.3449484159978093</v>
      </c>
      <c r="CJ110" s="632">
        <f t="shared" si="46"/>
        <v>1.3449484159978093</v>
      </c>
      <c r="CK110" s="632">
        <f t="shared" si="46"/>
        <v>1.3449484159978091</v>
      </c>
      <c r="CL110" s="632">
        <f t="shared" si="46"/>
        <v>1.3449484159978096</v>
      </c>
      <c r="CM110" s="632">
        <f t="shared" si="46"/>
        <v>1.3449484159978093</v>
      </c>
      <c r="CN110" s="632">
        <f t="shared" si="46"/>
        <v>1.3449484159978093</v>
      </c>
      <c r="CO110" s="632">
        <f t="shared" si="46"/>
        <v>1.3449484159978093</v>
      </c>
      <c r="CP110" s="632">
        <f t="shared" ref="CP110:DF110" si="47">AP126/AP111</f>
        <v>1.3449484159978096</v>
      </c>
      <c r="CQ110" s="632">
        <f t="shared" si="47"/>
        <v>1.3449484159978096</v>
      </c>
      <c r="CR110" s="632">
        <f t="shared" si="47"/>
        <v>1.3449484159978093</v>
      </c>
      <c r="CS110" s="632">
        <f t="shared" si="47"/>
        <v>1.3449484159978096</v>
      </c>
      <c r="CT110" s="632">
        <f t="shared" si="47"/>
        <v>1.3449484159978091</v>
      </c>
      <c r="CU110" s="632">
        <f t="shared" si="47"/>
        <v>1.3449484159978096</v>
      </c>
      <c r="CV110" s="632">
        <f t="shared" si="47"/>
        <v>1.3449484159978091</v>
      </c>
      <c r="CW110" s="632">
        <f t="shared" si="47"/>
        <v>1.3449484159978093</v>
      </c>
      <c r="CX110" s="632">
        <f t="shared" si="47"/>
        <v>1.3449484159978096</v>
      </c>
      <c r="CY110" s="632">
        <f t="shared" si="47"/>
        <v>1.3449484159978096</v>
      </c>
      <c r="CZ110" s="632">
        <f t="shared" si="47"/>
        <v>1.3449484159978093</v>
      </c>
      <c r="DA110" s="632">
        <f t="shared" si="47"/>
        <v>1.3449484159978096</v>
      </c>
      <c r="DB110" s="632">
        <f t="shared" si="47"/>
        <v>1.3449484159978096</v>
      </c>
      <c r="DC110" s="632">
        <f t="shared" si="47"/>
        <v>1.3449484159978096</v>
      </c>
      <c r="DD110" s="632">
        <f t="shared" si="47"/>
        <v>1.3449484159978093</v>
      </c>
      <c r="DE110" s="632">
        <f t="shared" si="47"/>
        <v>1.3449484159978096</v>
      </c>
      <c r="DF110" s="632">
        <f t="shared" si="47"/>
        <v>1.3449484159978091</v>
      </c>
    </row>
    <row r="111" spans="1:110">
      <c r="A111" s="2309"/>
      <c r="B111" s="2331" t="s">
        <v>565</v>
      </c>
      <c r="C111" s="2332"/>
      <c r="D111" s="932"/>
      <c r="E111" s="932"/>
      <c r="F111" s="932"/>
      <c r="G111" s="932"/>
      <c r="H111" s="932"/>
      <c r="I111" s="932"/>
      <c r="J111" s="933"/>
      <c r="K111" s="933"/>
      <c r="L111" s="933">
        <f t="shared" ref="L111:BF111" si="48">((L$86-$H$4)/1000)*IF($C$13=0,$Q$28,$Q$45)*(($C$8/70)^$AB$45)*IF($C$13=1,$AG$45,IF($C$13=2,$AH$45,IF($C$13=3,$AI$45,1)))</f>
        <v>1925.3469718233548</v>
      </c>
      <c r="M111" s="933">
        <f t="shared" si="48"/>
        <v>2200.3965392266919</v>
      </c>
      <c r="N111" s="933">
        <f t="shared" si="48"/>
        <v>2475.4461066300282</v>
      </c>
      <c r="O111" s="933">
        <f t="shared" si="48"/>
        <v>2750.4956740333641</v>
      </c>
      <c r="P111" s="933">
        <f t="shared" si="48"/>
        <v>3025.5452414367014</v>
      </c>
      <c r="Q111" s="933">
        <f t="shared" si="48"/>
        <v>3300.5948088400369</v>
      </c>
      <c r="R111" s="933">
        <f t="shared" si="48"/>
        <v>3575.6443762433737</v>
      </c>
      <c r="S111" s="933">
        <f t="shared" si="48"/>
        <v>3850.6939436467096</v>
      </c>
      <c r="T111" s="933">
        <f t="shared" si="48"/>
        <v>4125.7435110500464</v>
      </c>
      <c r="U111" s="933">
        <f t="shared" si="48"/>
        <v>4400.7930784533837</v>
      </c>
      <c r="V111" s="933">
        <f t="shared" si="48"/>
        <v>4675.8426458567192</v>
      </c>
      <c r="W111" s="933">
        <f t="shared" si="48"/>
        <v>4950.8922132600565</v>
      </c>
      <c r="X111" s="933">
        <f t="shared" si="48"/>
        <v>5225.9417806633919</v>
      </c>
      <c r="Y111" s="933">
        <f t="shared" si="48"/>
        <v>5500.9913480667283</v>
      </c>
      <c r="Z111" s="933">
        <f t="shared" si="48"/>
        <v>5776.0409154700646</v>
      </c>
      <c r="AA111" s="933">
        <f t="shared" si="48"/>
        <v>6051.0904828734028</v>
      </c>
      <c r="AB111" s="933">
        <f t="shared" si="48"/>
        <v>6326.1400502767374</v>
      </c>
      <c r="AC111" s="933">
        <f t="shared" si="48"/>
        <v>6601.1896176800738</v>
      </c>
      <c r="AD111" s="933">
        <f t="shared" si="48"/>
        <v>6876.2391850834101</v>
      </c>
      <c r="AE111" s="933">
        <f t="shared" si="48"/>
        <v>7151.2887524867474</v>
      </c>
      <c r="AF111" s="933">
        <f t="shared" si="48"/>
        <v>7426.3383198900838</v>
      </c>
      <c r="AG111" s="933">
        <f t="shared" si="48"/>
        <v>7701.3878872934192</v>
      </c>
      <c r="AH111" s="933">
        <f t="shared" si="48"/>
        <v>7976.4374546967565</v>
      </c>
      <c r="AI111" s="933">
        <f t="shared" si="48"/>
        <v>8251.4870221000929</v>
      </c>
      <c r="AJ111" s="933">
        <f t="shared" si="48"/>
        <v>8526.5365895034302</v>
      </c>
      <c r="AK111" s="933">
        <f t="shared" si="48"/>
        <v>8801.5861569067674</v>
      </c>
      <c r="AL111" s="933">
        <f t="shared" si="48"/>
        <v>9076.6357243101011</v>
      </c>
      <c r="AM111" s="933">
        <f t="shared" si="48"/>
        <v>9351.6852917134383</v>
      </c>
      <c r="AN111" s="933">
        <f t="shared" si="48"/>
        <v>9626.7348591167756</v>
      </c>
      <c r="AO111" s="933">
        <f t="shared" si="48"/>
        <v>9901.7844265201129</v>
      </c>
      <c r="AP111" s="933">
        <f t="shared" si="48"/>
        <v>10176.833993923448</v>
      </c>
      <c r="AQ111" s="933">
        <f t="shared" si="48"/>
        <v>10451.883561326784</v>
      </c>
      <c r="AR111" s="933">
        <f t="shared" si="48"/>
        <v>10726.933128730121</v>
      </c>
      <c r="AS111" s="933">
        <f t="shared" si="48"/>
        <v>11001.982696133457</v>
      </c>
      <c r="AT111" s="933">
        <f t="shared" si="48"/>
        <v>11277.032263536794</v>
      </c>
      <c r="AU111" s="933">
        <f t="shared" si="48"/>
        <v>11552.081830940129</v>
      </c>
      <c r="AV111" s="933">
        <f t="shared" si="48"/>
        <v>11827.131398343467</v>
      </c>
      <c r="AW111" s="933">
        <f t="shared" si="48"/>
        <v>12102.180965746806</v>
      </c>
      <c r="AX111" s="933">
        <f t="shared" si="48"/>
        <v>12377.230533150139</v>
      </c>
      <c r="AY111" s="933">
        <f t="shared" si="48"/>
        <v>12652.280100553475</v>
      </c>
      <c r="AZ111" s="933">
        <f t="shared" si="48"/>
        <v>12927.329667956814</v>
      </c>
      <c r="BA111" s="933">
        <f t="shared" si="48"/>
        <v>13202.379235360148</v>
      </c>
      <c r="BB111" s="933">
        <f t="shared" si="48"/>
        <v>13477.428802763487</v>
      </c>
      <c r="BC111" s="933">
        <f t="shared" si="48"/>
        <v>13752.47837016682</v>
      </c>
      <c r="BD111" s="933">
        <f t="shared" si="48"/>
        <v>14027.527937570158</v>
      </c>
      <c r="BE111" s="933">
        <f t="shared" si="48"/>
        <v>14302.577504973495</v>
      </c>
      <c r="BF111" s="933">
        <f t="shared" si="48"/>
        <v>14577.62707237683</v>
      </c>
      <c r="BG111" s="17"/>
      <c r="BH111" s="17"/>
      <c r="BJ111" s="632" t="e">
        <f t="shared" ref="BJ111:CO111" si="49">J124/J111</f>
        <v>#DIV/0!</v>
      </c>
      <c r="BK111" s="632" t="e">
        <f t="shared" si="49"/>
        <v>#DIV/0!</v>
      </c>
      <c r="BL111" s="632">
        <f t="shared" si="49"/>
        <v>1.1424410405969188</v>
      </c>
      <c r="BM111" s="632">
        <f t="shared" si="49"/>
        <v>1.1424410405969188</v>
      </c>
      <c r="BN111" s="632">
        <f t="shared" si="49"/>
        <v>1.1424410405969188</v>
      </c>
      <c r="BO111" s="632">
        <f t="shared" si="49"/>
        <v>1.142441040596919</v>
      </c>
      <c r="BP111" s="632">
        <f t="shared" si="49"/>
        <v>1.1424410405969188</v>
      </c>
      <c r="BQ111" s="632">
        <f t="shared" si="49"/>
        <v>1.1424410405969188</v>
      </c>
      <c r="BR111" s="632">
        <f t="shared" si="49"/>
        <v>1.1424410405969188</v>
      </c>
      <c r="BS111" s="632">
        <f t="shared" si="49"/>
        <v>1.1424410405969188</v>
      </c>
      <c r="BT111" s="632">
        <f t="shared" si="49"/>
        <v>1.142441040596919</v>
      </c>
      <c r="BU111" s="632">
        <f t="shared" si="49"/>
        <v>1.1424410405969188</v>
      </c>
      <c r="BV111" s="632">
        <f t="shared" si="49"/>
        <v>1.142441040596919</v>
      </c>
      <c r="BW111" s="632">
        <f t="shared" si="49"/>
        <v>1.1424410405969188</v>
      </c>
      <c r="BX111" s="632">
        <f t="shared" si="49"/>
        <v>1.142441040596919</v>
      </c>
      <c r="BY111" s="632">
        <f t="shared" si="49"/>
        <v>1.142441040596919</v>
      </c>
      <c r="BZ111" s="632">
        <f t="shared" si="49"/>
        <v>1.142441040596919</v>
      </c>
      <c r="CA111" s="632">
        <f t="shared" si="49"/>
        <v>1.1424410405969188</v>
      </c>
      <c r="CB111" s="632">
        <f t="shared" si="49"/>
        <v>1.1424410405969188</v>
      </c>
      <c r="CC111" s="632">
        <f t="shared" si="49"/>
        <v>1.1424410405969188</v>
      </c>
      <c r="CD111" s="632">
        <f t="shared" si="49"/>
        <v>1.142441040596919</v>
      </c>
      <c r="CE111" s="632">
        <f t="shared" si="49"/>
        <v>1.1424410405969188</v>
      </c>
      <c r="CF111" s="632">
        <f t="shared" si="49"/>
        <v>1.142441040596919</v>
      </c>
      <c r="CG111" s="632">
        <f t="shared" si="49"/>
        <v>1.1424410405969188</v>
      </c>
      <c r="CH111" s="632">
        <f t="shared" si="49"/>
        <v>1.1424410405969188</v>
      </c>
      <c r="CI111" s="632">
        <f t="shared" si="49"/>
        <v>1.142441040596919</v>
      </c>
      <c r="CJ111" s="632">
        <f t="shared" si="49"/>
        <v>1.142441040596919</v>
      </c>
      <c r="CK111" s="632">
        <f t="shared" si="49"/>
        <v>1.1424410405969188</v>
      </c>
      <c r="CL111" s="632">
        <f t="shared" si="49"/>
        <v>1.142441040596919</v>
      </c>
      <c r="CM111" s="632">
        <f t="shared" si="49"/>
        <v>1.142441040596919</v>
      </c>
      <c r="CN111" s="632">
        <f t="shared" si="49"/>
        <v>1.142441040596919</v>
      </c>
      <c r="CO111" s="632">
        <f t="shared" si="49"/>
        <v>1.1424410405969188</v>
      </c>
      <c r="CP111" s="632">
        <f t="shared" ref="CP111:DF111" si="50">AP124/AP111</f>
        <v>1.1424410405969188</v>
      </c>
      <c r="CQ111" s="632">
        <f t="shared" si="50"/>
        <v>1.142441040596919</v>
      </c>
      <c r="CR111" s="632">
        <f t="shared" si="50"/>
        <v>1.1424410405969188</v>
      </c>
      <c r="CS111" s="632">
        <f t="shared" si="50"/>
        <v>1.142441040596919</v>
      </c>
      <c r="CT111" s="632">
        <f t="shared" si="50"/>
        <v>1.1424410405969188</v>
      </c>
      <c r="CU111" s="632">
        <f t="shared" si="50"/>
        <v>1.142441040596919</v>
      </c>
      <c r="CV111" s="632">
        <f t="shared" si="50"/>
        <v>1.1424410405969188</v>
      </c>
      <c r="CW111" s="632">
        <f t="shared" si="50"/>
        <v>1.1424410405969188</v>
      </c>
      <c r="CX111" s="632">
        <f t="shared" si="50"/>
        <v>1.1424410405969188</v>
      </c>
      <c r="CY111" s="632">
        <f t="shared" si="50"/>
        <v>1.1424410405969188</v>
      </c>
      <c r="CZ111" s="632">
        <f t="shared" si="50"/>
        <v>1.1424410405969188</v>
      </c>
      <c r="DA111" s="632">
        <f t="shared" si="50"/>
        <v>1.1424410405969188</v>
      </c>
      <c r="DB111" s="632">
        <f t="shared" si="50"/>
        <v>1.1424410405969188</v>
      </c>
      <c r="DC111" s="632">
        <f t="shared" si="50"/>
        <v>1.142441040596919</v>
      </c>
      <c r="DD111" s="632">
        <f t="shared" si="50"/>
        <v>1.142441040596919</v>
      </c>
      <c r="DE111" s="632">
        <f t="shared" si="50"/>
        <v>1.1424410405969188</v>
      </c>
      <c r="DF111" s="632">
        <f t="shared" si="50"/>
        <v>1.142441040596919</v>
      </c>
    </row>
    <row r="112" spans="1:110" ht="15.75" thickBot="1">
      <c r="A112" s="2309"/>
      <c r="B112" s="2365" t="s">
        <v>611</v>
      </c>
      <c r="C112" s="2366"/>
      <c r="D112" s="1294" t="s">
        <v>612</v>
      </c>
      <c r="E112" s="1294">
        <v>110</v>
      </c>
      <c r="F112" s="1294">
        <v>400</v>
      </c>
      <c r="G112" s="1294">
        <v>4</v>
      </c>
      <c r="H112" s="934"/>
      <c r="I112" s="934"/>
      <c r="J112" s="935"/>
      <c r="K112" s="935"/>
      <c r="L112" s="935">
        <f t="shared" ref="L112:AQ112" si="51">((L$86-$H$4)/1000)*IF($C$13=0,$R$28,$R$45)*(($C$8/70)^$AC$45)*IF($C$13=1,$AG$45,IF($C$13=2,$AH$45,IF($C$13=3,$AI$45,1)))</f>
        <v>2099.5883999999996</v>
      </c>
      <c r="M112" s="935">
        <f t="shared" si="51"/>
        <v>2399.5295999999998</v>
      </c>
      <c r="N112" s="935">
        <f t="shared" si="51"/>
        <v>2699.4707999999996</v>
      </c>
      <c r="O112" s="935">
        <f t="shared" si="51"/>
        <v>2999.4119999999998</v>
      </c>
      <c r="P112" s="935">
        <f t="shared" si="51"/>
        <v>3299.3532</v>
      </c>
      <c r="Q112" s="935">
        <f t="shared" si="51"/>
        <v>3599.2943999999993</v>
      </c>
      <c r="R112" s="935">
        <f t="shared" si="51"/>
        <v>3899.2355999999995</v>
      </c>
      <c r="S112" s="935">
        <f t="shared" si="51"/>
        <v>4199.1767999999993</v>
      </c>
      <c r="T112" s="935">
        <f t="shared" si="51"/>
        <v>4499.1179999999995</v>
      </c>
      <c r="U112" s="935">
        <f t="shared" si="51"/>
        <v>4799.0591999999997</v>
      </c>
      <c r="V112" s="935">
        <f t="shared" si="51"/>
        <v>5099.0003999999999</v>
      </c>
      <c r="W112" s="935">
        <f t="shared" si="51"/>
        <v>5398.9415999999992</v>
      </c>
      <c r="X112" s="935">
        <f t="shared" si="51"/>
        <v>5698.8827999999985</v>
      </c>
      <c r="Y112" s="935">
        <f t="shared" si="51"/>
        <v>5998.8239999999996</v>
      </c>
      <c r="Z112" s="935">
        <f t="shared" si="51"/>
        <v>6298.7651999999998</v>
      </c>
      <c r="AA112" s="935">
        <f t="shared" si="51"/>
        <v>6598.7064</v>
      </c>
      <c r="AB112" s="935">
        <f t="shared" si="51"/>
        <v>6898.6475999999993</v>
      </c>
      <c r="AC112" s="935">
        <f t="shared" si="51"/>
        <v>7198.5887999999986</v>
      </c>
      <c r="AD112" s="935">
        <f t="shared" si="51"/>
        <v>7498.53</v>
      </c>
      <c r="AE112" s="935">
        <f t="shared" si="51"/>
        <v>7798.471199999999</v>
      </c>
      <c r="AF112" s="935">
        <f t="shared" si="51"/>
        <v>8098.4124000000002</v>
      </c>
      <c r="AG112" s="935">
        <f t="shared" si="51"/>
        <v>8398.3535999999986</v>
      </c>
      <c r="AH112" s="935">
        <f t="shared" si="51"/>
        <v>8698.2947999999997</v>
      </c>
      <c r="AI112" s="935">
        <f t="shared" si="51"/>
        <v>8998.235999999999</v>
      </c>
      <c r="AJ112" s="935">
        <f t="shared" si="51"/>
        <v>9298.1772000000001</v>
      </c>
      <c r="AK112" s="935">
        <f t="shared" si="51"/>
        <v>9598.1183999999994</v>
      </c>
      <c r="AL112" s="935">
        <f t="shared" si="51"/>
        <v>9898.0595999999987</v>
      </c>
      <c r="AM112" s="935">
        <f t="shared" si="51"/>
        <v>10198.0008</v>
      </c>
      <c r="AN112" s="935">
        <f t="shared" si="51"/>
        <v>10497.941999999999</v>
      </c>
      <c r="AO112" s="935">
        <f t="shared" si="51"/>
        <v>10797.883199999998</v>
      </c>
      <c r="AP112" s="935">
        <f t="shared" si="51"/>
        <v>11097.8244</v>
      </c>
      <c r="AQ112" s="935">
        <f t="shared" si="51"/>
        <v>11397.765599999997</v>
      </c>
      <c r="AR112" s="935">
        <f t="shared" ref="AR112:BW112" si="52">((AR$86-$H$4)/1000)*IF($C$13=0,$R$28,$R$45)*(($C$8/70)^$AC$45)*IF($C$13=1,$AG$45,IF($C$13=2,$AH$45,IF($C$13=3,$AI$45,1)))</f>
        <v>11697.706799999998</v>
      </c>
      <c r="AS112" s="935">
        <f t="shared" si="52"/>
        <v>11997.647999999999</v>
      </c>
      <c r="AT112" s="935">
        <f t="shared" si="52"/>
        <v>12297.589199999997</v>
      </c>
      <c r="AU112" s="935">
        <f t="shared" si="52"/>
        <v>12597.5304</v>
      </c>
      <c r="AV112" s="935">
        <f t="shared" si="52"/>
        <v>12897.471599999999</v>
      </c>
      <c r="AW112" s="935">
        <f t="shared" si="52"/>
        <v>13197.4128</v>
      </c>
      <c r="AX112" s="935">
        <f t="shared" si="52"/>
        <v>13497.353999999998</v>
      </c>
      <c r="AY112" s="935">
        <f t="shared" si="52"/>
        <v>13797.295199999999</v>
      </c>
      <c r="AZ112" s="935">
        <f t="shared" si="52"/>
        <v>14097.2364</v>
      </c>
      <c r="BA112" s="935">
        <f t="shared" si="52"/>
        <v>14397.177599999997</v>
      </c>
      <c r="BB112" s="935">
        <f t="shared" si="52"/>
        <v>14697.1188</v>
      </c>
      <c r="BC112" s="935">
        <f t="shared" si="52"/>
        <v>14997.06</v>
      </c>
      <c r="BD112" s="935">
        <f t="shared" si="52"/>
        <v>15297.001199999997</v>
      </c>
      <c r="BE112" s="935">
        <f t="shared" si="52"/>
        <v>15596.942399999998</v>
      </c>
      <c r="BF112" s="935">
        <f t="shared" si="52"/>
        <v>15896.883599999999</v>
      </c>
      <c r="BG112" s="935">
        <f t="shared" si="52"/>
        <v>-2099.5883999999996</v>
      </c>
      <c r="BH112" s="935">
        <f t="shared" si="52"/>
        <v>-2099.5883999999996</v>
      </c>
      <c r="BI112" s="935">
        <f t="shared" si="52"/>
        <v>-2099.5883999999996</v>
      </c>
      <c r="BJ112" s="935">
        <f t="shared" si="52"/>
        <v>899.82359999999983</v>
      </c>
      <c r="BK112" s="935">
        <f t="shared" si="52"/>
        <v>1199.7647999999999</v>
      </c>
      <c r="BL112" s="935">
        <f t="shared" si="52"/>
        <v>1499.7059999999999</v>
      </c>
      <c r="BM112" s="935">
        <f t="shared" si="52"/>
        <v>1799.6471999999997</v>
      </c>
      <c r="BN112" s="935">
        <f t="shared" si="52"/>
        <v>2099.5883999999996</v>
      </c>
      <c r="BO112" s="935">
        <f t="shared" si="52"/>
        <v>2399.5295999999998</v>
      </c>
      <c r="BP112" s="935">
        <f t="shared" si="52"/>
        <v>2699.4707999999996</v>
      </c>
      <c r="BQ112" s="935">
        <f t="shared" si="52"/>
        <v>2999.4119999999998</v>
      </c>
      <c r="BR112" s="935">
        <f t="shared" si="52"/>
        <v>3299.3532</v>
      </c>
      <c r="BS112" s="935">
        <f t="shared" si="52"/>
        <v>3599.2943999999993</v>
      </c>
      <c r="BT112" s="935">
        <f t="shared" si="52"/>
        <v>3899.2355999999995</v>
      </c>
      <c r="BU112" s="935">
        <f t="shared" si="52"/>
        <v>4199.1767999999993</v>
      </c>
      <c r="BV112" s="935">
        <f t="shared" si="52"/>
        <v>4499.1179999999995</v>
      </c>
      <c r="BW112" s="935">
        <f t="shared" si="52"/>
        <v>4799.0591999999997</v>
      </c>
      <c r="BX112" s="935">
        <f t="shared" ref="BX112:DF112" si="53">((BX$86-$H$4)/1000)*IF($C$13=0,$R$28,$R$45)*(($C$8/70)^$AC$45)*IF($C$13=1,$AG$45,IF($C$13=2,$AH$45,IF($C$13=3,$AI$45,1)))</f>
        <v>5099.0003999999999</v>
      </c>
      <c r="BY112" s="935">
        <f t="shared" si="53"/>
        <v>5398.9415999999992</v>
      </c>
      <c r="BZ112" s="935">
        <f t="shared" si="53"/>
        <v>5698.8827999999985</v>
      </c>
      <c r="CA112" s="935">
        <f t="shared" si="53"/>
        <v>5998.8239999999996</v>
      </c>
      <c r="CB112" s="935">
        <f t="shared" si="53"/>
        <v>6298.7651999999998</v>
      </c>
      <c r="CC112" s="935">
        <f t="shared" si="53"/>
        <v>6598.7064</v>
      </c>
      <c r="CD112" s="935">
        <f t="shared" si="53"/>
        <v>6898.6475999999993</v>
      </c>
      <c r="CE112" s="935">
        <f t="shared" si="53"/>
        <v>7198.5887999999986</v>
      </c>
      <c r="CF112" s="935">
        <f t="shared" si="53"/>
        <v>7498.53</v>
      </c>
      <c r="CG112" s="935">
        <f t="shared" si="53"/>
        <v>7798.471199999999</v>
      </c>
      <c r="CH112" s="935">
        <f t="shared" si="53"/>
        <v>8098.4124000000002</v>
      </c>
      <c r="CI112" s="935">
        <f t="shared" si="53"/>
        <v>8398.3535999999986</v>
      </c>
      <c r="CJ112" s="935">
        <f t="shared" si="53"/>
        <v>8698.2947999999997</v>
      </c>
      <c r="CK112" s="935">
        <f t="shared" si="53"/>
        <v>8998.235999999999</v>
      </c>
      <c r="CL112" s="935">
        <f t="shared" si="53"/>
        <v>9298.1772000000001</v>
      </c>
      <c r="CM112" s="935">
        <f t="shared" si="53"/>
        <v>9598.1183999999994</v>
      </c>
      <c r="CN112" s="935">
        <f t="shared" si="53"/>
        <v>9898.0595999999987</v>
      </c>
      <c r="CO112" s="935">
        <f t="shared" si="53"/>
        <v>10198.0008</v>
      </c>
      <c r="CP112" s="935">
        <f t="shared" si="53"/>
        <v>10497.941999999999</v>
      </c>
      <c r="CQ112" s="935">
        <f t="shared" si="53"/>
        <v>10797.883199999998</v>
      </c>
      <c r="CR112" s="935">
        <f t="shared" si="53"/>
        <v>11097.8244</v>
      </c>
      <c r="CS112" s="935">
        <f t="shared" si="53"/>
        <v>11397.765599999997</v>
      </c>
      <c r="CT112" s="935">
        <f t="shared" si="53"/>
        <v>11697.706799999998</v>
      </c>
      <c r="CU112" s="935">
        <f t="shared" si="53"/>
        <v>11997.647999999999</v>
      </c>
      <c r="CV112" s="935">
        <f t="shared" si="53"/>
        <v>12297.589199999997</v>
      </c>
      <c r="CW112" s="935">
        <f t="shared" si="53"/>
        <v>12597.5304</v>
      </c>
      <c r="CX112" s="935">
        <f t="shared" si="53"/>
        <v>12897.471599999999</v>
      </c>
      <c r="CY112" s="935">
        <f t="shared" si="53"/>
        <v>13197.4128</v>
      </c>
      <c r="CZ112" s="935">
        <f t="shared" si="53"/>
        <v>13497.353999999998</v>
      </c>
      <c r="DA112" s="935">
        <f t="shared" si="53"/>
        <v>13797.295199999999</v>
      </c>
      <c r="DB112" s="935">
        <f t="shared" si="53"/>
        <v>14097.2364</v>
      </c>
      <c r="DC112" s="935">
        <f t="shared" si="53"/>
        <v>14397.177599999997</v>
      </c>
      <c r="DD112" s="935">
        <f t="shared" si="53"/>
        <v>14697.1188</v>
      </c>
      <c r="DE112" s="935">
        <f t="shared" si="53"/>
        <v>14997.06</v>
      </c>
      <c r="DF112" s="935">
        <f t="shared" si="53"/>
        <v>15297.001199999997</v>
      </c>
    </row>
    <row r="113" spans="1:110">
      <c r="A113" s="2309"/>
      <c r="B113" s="2369" t="s">
        <v>566</v>
      </c>
      <c r="C113" s="2369"/>
      <c r="D113" s="1162"/>
      <c r="E113" s="1162"/>
      <c r="F113" s="1162"/>
      <c r="G113" s="1162"/>
      <c r="H113" s="1162"/>
      <c r="I113" s="1162"/>
      <c r="J113" s="1026"/>
      <c r="K113" s="1026"/>
      <c r="L113" s="1026">
        <f t="shared" ref="L113:AQ113" si="54">((L$86-$H$4)/1000)*IF($C$13=0,$K$29,$K$46)*(($C$8/70)^$V$46)*IF($C$13=1,$AG$48,IF($C$13=2,$AH$48,IF($C$13=3,$AI$48,1)))</f>
        <v>748.10476649999998</v>
      </c>
      <c r="M113" s="1026">
        <f t="shared" si="54"/>
        <v>854.97687600000017</v>
      </c>
      <c r="N113" s="1026">
        <f t="shared" si="54"/>
        <v>961.84898550000003</v>
      </c>
      <c r="O113" s="1026">
        <f t="shared" si="54"/>
        <v>1068.7210950000001</v>
      </c>
      <c r="P113" s="1026">
        <f t="shared" si="54"/>
        <v>1175.5932045000002</v>
      </c>
      <c r="Q113" s="1026">
        <f t="shared" si="54"/>
        <v>1282.465314</v>
      </c>
      <c r="R113" s="1026">
        <f t="shared" si="54"/>
        <v>1389.3374235000001</v>
      </c>
      <c r="S113" s="1026">
        <f t="shared" si="54"/>
        <v>1496.209533</v>
      </c>
      <c r="T113" s="1026">
        <f t="shared" si="54"/>
        <v>1603.0816425</v>
      </c>
      <c r="U113" s="1026">
        <f t="shared" si="54"/>
        <v>1709.9537520000003</v>
      </c>
      <c r="V113" s="1026">
        <f t="shared" si="54"/>
        <v>1816.8258615</v>
      </c>
      <c r="W113" s="1026">
        <f t="shared" si="54"/>
        <v>1923.6979710000001</v>
      </c>
      <c r="X113" s="1026">
        <f t="shared" si="54"/>
        <v>2030.5700804999999</v>
      </c>
      <c r="Y113" s="1026">
        <f t="shared" si="54"/>
        <v>2137.4421900000002</v>
      </c>
      <c r="Z113" s="1026">
        <f t="shared" si="54"/>
        <v>2244.3142995000003</v>
      </c>
      <c r="AA113" s="1026">
        <f t="shared" si="54"/>
        <v>2351.1864090000004</v>
      </c>
      <c r="AB113" s="1026">
        <f t="shared" si="54"/>
        <v>2458.0585184999995</v>
      </c>
      <c r="AC113" s="1026">
        <f t="shared" si="54"/>
        <v>2564.9306280000001</v>
      </c>
      <c r="AD113" s="1026">
        <f t="shared" si="54"/>
        <v>2671.8027375000001</v>
      </c>
      <c r="AE113" s="1026">
        <f t="shared" si="54"/>
        <v>2778.6748470000002</v>
      </c>
      <c r="AF113" s="1026">
        <f t="shared" si="54"/>
        <v>2885.5469565000003</v>
      </c>
      <c r="AG113" s="1026">
        <f t="shared" si="54"/>
        <v>2992.4190659999999</v>
      </c>
      <c r="AH113" s="1026">
        <f t="shared" si="54"/>
        <v>3099.2911755</v>
      </c>
      <c r="AI113" s="1026">
        <f t="shared" si="54"/>
        <v>3206.1632850000001</v>
      </c>
      <c r="AJ113" s="1026">
        <f t="shared" si="54"/>
        <v>3313.0353945000002</v>
      </c>
      <c r="AK113" s="1026">
        <f t="shared" si="54"/>
        <v>3419.9075040000007</v>
      </c>
      <c r="AL113" s="1026">
        <f t="shared" si="54"/>
        <v>3526.7796134999999</v>
      </c>
      <c r="AM113" s="1026">
        <f t="shared" si="54"/>
        <v>3633.6517229999999</v>
      </c>
      <c r="AN113" s="1026">
        <f t="shared" si="54"/>
        <v>3740.5238325</v>
      </c>
      <c r="AO113" s="1026">
        <f t="shared" si="54"/>
        <v>3847.3959420000001</v>
      </c>
      <c r="AP113" s="1026">
        <f t="shared" si="54"/>
        <v>3954.2680515000006</v>
      </c>
      <c r="AQ113" s="1026">
        <f t="shared" si="54"/>
        <v>4061.1401609999998</v>
      </c>
      <c r="AR113" s="1026">
        <f t="shared" ref="AR113:BW113" si="55">((AR$86-$H$4)/1000)*IF($C$13=0,$K$29,$K$46)*(($C$8/70)^$V$46)*IF($C$13=1,$AG$48,IF($C$13=2,$AH$48,IF($C$13=3,$AI$48,1)))</f>
        <v>4168.0122705000003</v>
      </c>
      <c r="AS113" s="1026">
        <f t="shared" si="55"/>
        <v>4274.8843800000004</v>
      </c>
      <c r="AT113" s="1026">
        <f t="shared" si="55"/>
        <v>4381.7564894999996</v>
      </c>
      <c r="AU113" s="1026">
        <f t="shared" si="55"/>
        <v>4488.6285990000006</v>
      </c>
      <c r="AV113" s="1026">
        <f t="shared" si="55"/>
        <v>4595.5007085000007</v>
      </c>
      <c r="AW113" s="1026">
        <f t="shared" si="55"/>
        <v>4702.3728180000007</v>
      </c>
      <c r="AX113" s="1026">
        <f t="shared" si="55"/>
        <v>4809.2449274999999</v>
      </c>
      <c r="AY113" s="1026">
        <f t="shared" si="55"/>
        <v>4916.1170369999991</v>
      </c>
      <c r="AZ113" s="1026">
        <f t="shared" si="55"/>
        <v>5022.9891465000001</v>
      </c>
      <c r="BA113" s="1026">
        <f t="shared" si="55"/>
        <v>5129.8612560000001</v>
      </c>
      <c r="BB113" s="1026">
        <f t="shared" si="55"/>
        <v>5236.7333655000002</v>
      </c>
      <c r="BC113" s="1026">
        <f t="shared" si="55"/>
        <v>5343.6054750000003</v>
      </c>
      <c r="BD113" s="1026">
        <f t="shared" si="55"/>
        <v>5450.4775845000004</v>
      </c>
      <c r="BE113" s="1026">
        <f t="shared" si="55"/>
        <v>5557.3496940000005</v>
      </c>
      <c r="BF113" s="1026">
        <f t="shared" si="55"/>
        <v>5664.2218035000005</v>
      </c>
      <c r="BG113" s="1026">
        <f t="shared" si="55"/>
        <v>-748.10476649999998</v>
      </c>
      <c r="BH113" s="1026">
        <f t="shared" si="55"/>
        <v>-748.10476649999998</v>
      </c>
      <c r="BI113" s="1026">
        <f t="shared" si="55"/>
        <v>-748.10476649999998</v>
      </c>
      <c r="BJ113" s="1026">
        <f t="shared" si="55"/>
        <v>320.61632850000001</v>
      </c>
      <c r="BK113" s="1026">
        <f t="shared" si="55"/>
        <v>427.48843800000009</v>
      </c>
      <c r="BL113" s="1026">
        <f t="shared" si="55"/>
        <v>534.36054750000005</v>
      </c>
      <c r="BM113" s="1026">
        <f t="shared" si="55"/>
        <v>641.23265700000002</v>
      </c>
      <c r="BN113" s="1026">
        <f t="shared" si="55"/>
        <v>748.10476649999998</v>
      </c>
      <c r="BO113" s="1026">
        <f t="shared" si="55"/>
        <v>854.97687600000017</v>
      </c>
      <c r="BP113" s="1026">
        <f t="shared" si="55"/>
        <v>961.84898550000003</v>
      </c>
      <c r="BQ113" s="1026">
        <f t="shared" si="55"/>
        <v>1068.7210950000001</v>
      </c>
      <c r="BR113" s="1026">
        <f t="shared" si="55"/>
        <v>1175.5932045000002</v>
      </c>
      <c r="BS113" s="1026">
        <f t="shared" si="55"/>
        <v>1282.465314</v>
      </c>
      <c r="BT113" s="1026">
        <f t="shared" si="55"/>
        <v>1389.3374235000001</v>
      </c>
      <c r="BU113" s="1026">
        <f t="shared" si="55"/>
        <v>1496.209533</v>
      </c>
      <c r="BV113" s="1026">
        <f t="shared" si="55"/>
        <v>1603.0816425</v>
      </c>
      <c r="BW113" s="1026">
        <f t="shared" si="55"/>
        <v>1709.9537520000003</v>
      </c>
      <c r="BX113" s="1026">
        <f t="shared" ref="BX113:DF113" si="56">((BX$86-$H$4)/1000)*IF($C$13=0,$K$29,$K$46)*(($C$8/70)^$V$46)*IF($C$13=1,$AG$48,IF($C$13=2,$AH$48,IF($C$13=3,$AI$48,1)))</f>
        <v>1816.8258615</v>
      </c>
      <c r="BY113" s="1026">
        <f t="shared" si="56"/>
        <v>1923.6979710000001</v>
      </c>
      <c r="BZ113" s="1026">
        <f t="shared" si="56"/>
        <v>2030.5700804999999</v>
      </c>
      <c r="CA113" s="1026">
        <f t="shared" si="56"/>
        <v>2137.4421900000002</v>
      </c>
      <c r="CB113" s="1026">
        <f t="shared" si="56"/>
        <v>2244.3142995000003</v>
      </c>
      <c r="CC113" s="1026">
        <f t="shared" si="56"/>
        <v>2351.1864090000004</v>
      </c>
      <c r="CD113" s="1026">
        <f t="shared" si="56"/>
        <v>2458.0585184999995</v>
      </c>
      <c r="CE113" s="1026">
        <f t="shared" si="56"/>
        <v>2564.9306280000001</v>
      </c>
      <c r="CF113" s="1026">
        <f t="shared" si="56"/>
        <v>2671.8027375000001</v>
      </c>
      <c r="CG113" s="1026">
        <f t="shared" si="56"/>
        <v>2778.6748470000002</v>
      </c>
      <c r="CH113" s="1026">
        <f t="shared" si="56"/>
        <v>2885.5469565000003</v>
      </c>
      <c r="CI113" s="1026">
        <f t="shared" si="56"/>
        <v>2992.4190659999999</v>
      </c>
      <c r="CJ113" s="1026">
        <f t="shared" si="56"/>
        <v>3099.2911755</v>
      </c>
      <c r="CK113" s="1026">
        <f t="shared" si="56"/>
        <v>3206.1632850000001</v>
      </c>
      <c r="CL113" s="1026">
        <f t="shared" si="56"/>
        <v>3313.0353945000002</v>
      </c>
      <c r="CM113" s="1026">
        <f t="shared" si="56"/>
        <v>3419.9075040000007</v>
      </c>
      <c r="CN113" s="1026">
        <f t="shared" si="56"/>
        <v>3526.7796134999999</v>
      </c>
      <c r="CO113" s="1026">
        <f t="shared" si="56"/>
        <v>3633.6517229999999</v>
      </c>
      <c r="CP113" s="1026">
        <f t="shared" si="56"/>
        <v>3740.5238325</v>
      </c>
      <c r="CQ113" s="1026">
        <f t="shared" si="56"/>
        <v>3847.3959420000001</v>
      </c>
      <c r="CR113" s="1026">
        <f t="shared" si="56"/>
        <v>3954.2680515000006</v>
      </c>
      <c r="CS113" s="1026">
        <f t="shared" si="56"/>
        <v>4061.1401609999998</v>
      </c>
      <c r="CT113" s="1026">
        <f t="shared" si="56"/>
        <v>4168.0122705000003</v>
      </c>
      <c r="CU113" s="1026">
        <f t="shared" si="56"/>
        <v>4274.8843800000004</v>
      </c>
      <c r="CV113" s="1026">
        <f t="shared" si="56"/>
        <v>4381.7564894999996</v>
      </c>
      <c r="CW113" s="1026">
        <f t="shared" si="56"/>
        <v>4488.6285990000006</v>
      </c>
      <c r="CX113" s="1026">
        <f t="shared" si="56"/>
        <v>4595.5007085000007</v>
      </c>
      <c r="CY113" s="1026">
        <f t="shared" si="56"/>
        <v>4702.3728180000007</v>
      </c>
      <c r="CZ113" s="1026">
        <f t="shared" si="56"/>
        <v>4809.2449274999999</v>
      </c>
      <c r="DA113" s="1026">
        <f t="shared" si="56"/>
        <v>4916.1170369999991</v>
      </c>
      <c r="DB113" s="1026">
        <f t="shared" si="56"/>
        <v>5022.9891465000001</v>
      </c>
      <c r="DC113" s="1026">
        <f t="shared" si="56"/>
        <v>5129.8612560000001</v>
      </c>
      <c r="DD113" s="1026">
        <f t="shared" si="56"/>
        <v>5236.7333655000002</v>
      </c>
      <c r="DE113" s="1026">
        <f t="shared" si="56"/>
        <v>5343.6054750000003</v>
      </c>
      <c r="DF113" s="1026">
        <f t="shared" si="56"/>
        <v>5450.4775845000004</v>
      </c>
    </row>
    <row r="114" spans="1:110">
      <c r="A114" s="2309"/>
      <c r="B114" s="2334" t="s">
        <v>567</v>
      </c>
      <c r="C114" s="2334"/>
      <c r="D114" s="1163"/>
      <c r="E114" s="1163"/>
      <c r="F114" s="1163"/>
      <c r="G114" s="1163"/>
      <c r="H114" s="1163"/>
      <c r="I114" s="1163"/>
      <c r="J114" s="1027"/>
      <c r="K114" s="1027"/>
      <c r="L114" s="1027">
        <f t="shared" ref="L114:AQ114" si="57">((L$86-$H$4)/1000)*IF($C$13=0,$L$29,$L$46)*(($C$8/70)^$W$46)*IF($C$13=1,$AG$49,IF($C$13=2,$AH$49,IF($C$13=3,$AI$49,1)))</f>
        <v>885.14358659999982</v>
      </c>
      <c r="M114" s="1027">
        <f t="shared" si="57"/>
        <v>1011.5926704</v>
      </c>
      <c r="N114" s="1027">
        <f t="shared" si="57"/>
        <v>1138.0417542</v>
      </c>
      <c r="O114" s="1027">
        <f t="shared" si="57"/>
        <v>1264.4908379999999</v>
      </c>
      <c r="P114" s="1027">
        <f t="shared" si="57"/>
        <v>1390.9399218000001</v>
      </c>
      <c r="Q114" s="1027">
        <f t="shared" si="57"/>
        <v>1517.3890055999998</v>
      </c>
      <c r="R114" s="1027">
        <f t="shared" si="57"/>
        <v>1643.8380893999999</v>
      </c>
      <c r="S114" s="1027">
        <f t="shared" si="57"/>
        <v>1770.2871731999996</v>
      </c>
      <c r="T114" s="1027">
        <f t="shared" si="57"/>
        <v>1896.7362569999998</v>
      </c>
      <c r="U114" s="1027">
        <f t="shared" si="57"/>
        <v>2023.1853407999999</v>
      </c>
      <c r="V114" s="1027">
        <f t="shared" si="57"/>
        <v>2149.6344245999999</v>
      </c>
      <c r="W114" s="1027">
        <f t="shared" si="57"/>
        <v>2276.0835084</v>
      </c>
      <c r="X114" s="1027">
        <f t="shared" si="57"/>
        <v>2402.5325921999997</v>
      </c>
      <c r="Y114" s="1027">
        <f t="shared" si="57"/>
        <v>2528.9816759999999</v>
      </c>
      <c r="Z114" s="1027">
        <f t="shared" si="57"/>
        <v>2655.4307598</v>
      </c>
      <c r="AA114" s="1027">
        <f t="shared" si="57"/>
        <v>2781.8798436000002</v>
      </c>
      <c r="AB114" s="1027">
        <f t="shared" si="57"/>
        <v>2908.3289273999994</v>
      </c>
      <c r="AC114" s="1027">
        <f t="shared" si="57"/>
        <v>3034.7780111999996</v>
      </c>
      <c r="AD114" s="1027">
        <f t="shared" si="57"/>
        <v>3161.2270949999997</v>
      </c>
      <c r="AE114" s="1027">
        <f t="shared" si="57"/>
        <v>3287.6761787999999</v>
      </c>
      <c r="AF114" s="1027">
        <f t="shared" si="57"/>
        <v>3414.1252626</v>
      </c>
      <c r="AG114" s="1027">
        <f t="shared" si="57"/>
        <v>3540.5743463999993</v>
      </c>
      <c r="AH114" s="1027">
        <f t="shared" si="57"/>
        <v>3667.0234301999994</v>
      </c>
      <c r="AI114" s="1027">
        <f t="shared" si="57"/>
        <v>3793.4725139999996</v>
      </c>
      <c r="AJ114" s="1027">
        <f t="shared" si="57"/>
        <v>3919.9215977999993</v>
      </c>
      <c r="AK114" s="1027">
        <f t="shared" si="57"/>
        <v>4046.3706815999999</v>
      </c>
      <c r="AL114" s="1027">
        <f t="shared" si="57"/>
        <v>4172.8197653999996</v>
      </c>
      <c r="AM114" s="1027">
        <f t="shared" si="57"/>
        <v>4299.2688491999997</v>
      </c>
      <c r="AN114" s="1027">
        <f t="shared" si="57"/>
        <v>4425.717932999999</v>
      </c>
      <c r="AO114" s="1027">
        <f t="shared" si="57"/>
        <v>4552.1670168000001</v>
      </c>
      <c r="AP114" s="1027">
        <f t="shared" si="57"/>
        <v>4678.6161005999993</v>
      </c>
      <c r="AQ114" s="1027">
        <f t="shared" si="57"/>
        <v>4805.0651843999995</v>
      </c>
      <c r="AR114" s="1027">
        <f t="shared" ref="AR114:BW114" si="58">((AR$86-$H$4)/1000)*IF($C$13=0,$L$29,$L$46)*(($C$8/70)^$W$46)*IF($C$13=1,$AG$49,IF($C$13=2,$AH$49,IF($C$13=3,$AI$49,1)))</f>
        <v>4931.5142681999996</v>
      </c>
      <c r="AS114" s="1027">
        <f t="shared" si="58"/>
        <v>5057.9633519999998</v>
      </c>
      <c r="AT114" s="1027">
        <f t="shared" si="58"/>
        <v>5184.412435799999</v>
      </c>
      <c r="AU114" s="1027">
        <f t="shared" si="58"/>
        <v>5310.8615196000001</v>
      </c>
      <c r="AV114" s="1027">
        <f t="shared" si="58"/>
        <v>5437.3106033999993</v>
      </c>
      <c r="AW114" s="1027">
        <f t="shared" si="58"/>
        <v>5563.7596872000004</v>
      </c>
      <c r="AX114" s="1027">
        <f t="shared" si="58"/>
        <v>5690.2087709999996</v>
      </c>
      <c r="AY114" s="1027">
        <f t="shared" si="58"/>
        <v>5816.6578547999989</v>
      </c>
      <c r="AZ114" s="1027">
        <f t="shared" si="58"/>
        <v>5943.106938599999</v>
      </c>
      <c r="BA114" s="1027">
        <f t="shared" si="58"/>
        <v>6069.5560223999992</v>
      </c>
      <c r="BB114" s="1027">
        <f t="shared" si="58"/>
        <v>6196.0051061999993</v>
      </c>
      <c r="BC114" s="1027">
        <f t="shared" si="58"/>
        <v>6322.4541899999995</v>
      </c>
      <c r="BD114" s="1027">
        <f t="shared" si="58"/>
        <v>6448.9032737999996</v>
      </c>
      <c r="BE114" s="1027">
        <f t="shared" si="58"/>
        <v>6575.3523575999998</v>
      </c>
      <c r="BF114" s="1027">
        <f t="shared" si="58"/>
        <v>6701.8014413999999</v>
      </c>
      <c r="BG114" s="1027">
        <f t="shared" si="58"/>
        <v>-885.14358659999982</v>
      </c>
      <c r="BH114" s="1027">
        <f t="shared" si="58"/>
        <v>-885.14358659999982</v>
      </c>
      <c r="BI114" s="1027">
        <f t="shared" si="58"/>
        <v>-885.14358659999982</v>
      </c>
      <c r="BJ114" s="1027">
        <f t="shared" si="58"/>
        <v>379.34725139999995</v>
      </c>
      <c r="BK114" s="1027">
        <f t="shared" si="58"/>
        <v>505.79633519999999</v>
      </c>
      <c r="BL114" s="1027">
        <f t="shared" si="58"/>
        <v>632.24541899999997</v>
      </c>
      <c r="BM114" s="1027">
        <f t="shared" si="58"/>
        <v>758.6945027999999</v>
      </c>
      <c r="BN114" s="1027">
        <f t="shared" si="58"/>
        <v>885.14358659999982</v>
      </c>
      <c r="BO114" s="1027">
        <f t="shared" si="58"/>
        <v>1011.5926704</v>
      </c>
      <c r="BP114" s="1027">
        <f t="shared" si="58"/>
        <v>1138.0417542</v>
      </c>
      <c r="BQ114" s="1027">
        <f t="shared" si="58"/>
        <v>1264.4908379999999</v>
      </c>
      <c r="BR114" s="1027">
        <f t="shared" si="58"/>
        <v>1390.9399218000001</v>
      </c>
      <c r="BS114" s="1027">
        <f t="shared" si="58"/>
        <v>1517.3890055999998</v>
      </c>
      <c r="BT114" s="1027">
        <f t="shared" si="58"/>
        <v>1643.8380893999999</v>
      </c>
      <c r="BU114" s="1027">
        <f t="shared" si="58"/>
        <v>1770.2871731999996</v>
      </c>
      <c r="BV114" s="1027">
        <f t="shared" si="58"/>
        <v>1896.7362569999998</v>
      </c>
      <c r="BW114" s="1027">
        <f t="shared" si="58"/>
        <v>2023.1853407999999</v>
      </c>
      <c r="BX114" s="1027">
        <f t="shared" ref="BX114:DF114" si="59">((BX$86-$H$4)/1000)*IF($C$13=0,$L$29,$L$46)*(($C$8/70)^$W$46)*IF($C$13=1,$AG$49,IF($C$13=2,$AH$49,IF($C$13=3,$AI$49,1)))</f>
        <v>2149.6344245999999</v>
      </c>
      <c r="BY114" s="1027">
        <f t="shared" si="59"/>
        <v>2276.0835084</v>
      </c>
      <c r="BZ114" s="1027">
        <f t="shared" si="59"/>
        <v>2402.5325921999997</v>
      </c>
      <c r="CA114" s="1027">
        <f t="shared" si="59"/>
        <v>2528.9816759999999</v>
      </c>
      <c r="CB114" s="1027">
        <f t="shared" si="59"/>
        <v>2655.4307598</v>
      </c>
      <c r="CC114" s="1027">
        <f t="shared" si="59"/>
        <v>2781.8798436000002</v>
      </c>
      <c r="CD114" s="1027">
        <f t="shared" si="59"/>
        <v>2908.3289273999994</v>
      </c>
      <c r="CE114" s="1027">
        <f t="shared" si="59"/>
        <v>3034.7780111999996</v>
      </c>
      <c r="CF114" s="1027">
        <f t="shared" si="59"/>
        <v>3161.2270949999997</v>
      </c>
      <c r="CG114" s="1027">
        <f t="shared" si="59"/>
        <v>3287.6761787999999</v>
      </c>
      <c r="CH114" s="1027">
        <f t="shared" si="59"/>
        <v>3414.1252626</v>
      </c>
      <c r="CI114" s="1027">
        <f t="shared" si="59"/>
        <v>3540.5743463999993</v>
      </c>
      <c r="CJ114" s="1027">
        <f t="shared" si="59"/>
        <v>3667.0234301999994</v>
      </c>
      <c r="CK114" s="1027">
        <f t="shared" si="59"/>
        <v>3793.4725139999996</v>
      </c>
      <c r="CL114" s="1027">
        <f t="shared" si="59"/>
        <v>3919.9215977999993</v>
      </c>
      <c r="CM114" s="1027">
        <f t="shared" si="59"/>
        <v>4046.3706815999999</v>
      </c>
      <c r="CN114" s="1027">
        <f t="shared" si="59"/>
        <v>4172.8197653999996</v>
      </c>
      <c r="CO114" s="1027">
        <f t="shared" si="59"/>
        <v>4299.2688491999997</v>
      </c>
      <c r="CP114" s="1027">
        <f t="shared" si="59"/>
        <v>4425.717932999999</v>
      </c>
      <c r="CQ114" s="1027">
        <f t="shared" si="59"/>
        <v>4552.1670168000001</v>
      </c>
      <c r="CR114" s="1027">
        <f t="shared" si="59"/>
        <v>4678.6161005999993</v>
      </c>
      <c r="CS114" s="1027">
        <f t="shared" si="59"/>
        <v>4805.0651843999995</v>
      </c>
      <c r="CT114" s="1027">
        <f t="shared" si="59"/>
        <v>4931.5142681999996</v>
      </c>
      <c r="CU114" s="1027">
        <f t="shared" si="59"/>
        <v>5057.9633519999998</v>
      </c>
      <c r="CV114" s="1027">
        <f t="shared" si="59"/>
        <v>5184.412435799999</v>
      </c>
      <c r="CW114" s="1027">
        <f t="shared" si="59"/>
        <v>5310.8615196000001</v>
      </c>
      <c r="CX114" s="1027">
        <f t="shared" si="59"/>
        <v>5437.3106033999993</v>
      </c>
      <c r="CY114" s="1027">
        <f t="shared" si="59"/>
        <v>5563.7596872000004</v>
      </c>
      <c r="CZ114" s="1027">
        <f t="shared" si="59"/>
        <v>5690.2087709999996</v>
      </c>
      <c r="DA114" s="1027">
        <f t="shared" si="59"/>
        <v>5816.6578547999989</v>
      </c>
      <c r="DB114" s="1027">
        <f t="shared" si="59"/>
        <v>5943.106938599999</v>
      </c>
      <c r="DC114" s="1027">
        <f t="shared" si="59"/>
        <v>6069.5560223999992</v>
      </c>
      <c r="DD114" s="1027">
        <f t="shared" si="59"/>
        <v>6196.0051061999993</v>
      </c>
      <c r="DE114" s="1027">
        <f t="shared" si="59"/>
        <v>6322.4541899999995</v>
      </c>
      <c r="DF114" s="1027">
        <f t="shared" si="59"/>
        <v>6448.9032737999996</v>
      </c>
    </row>
    <row r="115" spans="1:110">
      <c r="A115" s="2309"/>
      <c r="B115" s="2334" t="s">
        <v>568</v>
      </c>
      <c r="C115" s="2334"/>
      <c r="D115" s="1163"/>
      <c r="E115" s="1163"/>
      <c r="F115" s="1163"/>
      <c r="G115" s="1163"/>
      <c r="H115" s="1163"/>
      <c r="I115" s="1163"/>
      <c r="J115" s="1027"/>
      <c r="K115" s="1027"/>
      <c r="L115" s="1027">
        <f t="shared" ref="L115:AQ115" si="60">((L$86-$H$4)/1000)*IF($C$13=0,$M$29,$M$46)*(($C$8/70)^$X$46)*IF($C$13=1,$AG$47,IF($C$13=2,$AH$47,IF($C$13=3,$AI$47,1)))</f>
        <v>1981.9441550999995</v>
      </c>
      <c r="M115" s="1027">
        <f t="shared" si="60"/>
        <v>2265.0790343999997</v>
      </c>
      <c r="N115" s="1027">
        <f t="shared" si="60"/>
        <v>2548.2139136999995</v>
      </c>
      <c r="O115" s="1027">
        <f t="shared" si="60"/>
        <v>2831.3487929999997</v>
      </c>
      <c r="P115" s="1027">
        <f t="shared" si="60"/>
        <v>3114.4836722999994</v>
      </c>
      <c r="Q115" s="1027">
        <f t="shared" si="60"/>
        <v>3397.6185515999991</v>
      </c>
      <c r="R115" s="1027">
        <f t="shared" si="60"/>
        <v>3680.7534308999998</v>
      </c>
      <c r="S115" s="1027">
        <f t="shared" si="60"/>
        <v>3963.8883101999991</v>
      </c>
      <c r="T115" s="1027">
        <f t="shared" si="60"/>
        <v>4247.0231894999988</v>
      </c>
      <c r="U115" s="1027">
        <f t="shared" si="60"/>
        <v>4530.1580687999995</v>
      </c>
      <c r="V115" s="1027">
        <f t="shared" si="60"/>
        <v>4813.2929480999983</v>
      </c>
      <c r="W115" s="1027">
        <f t="shared" si="60"/>
        <v>5096.4278273999989</v>
      </c>
      <c r="X115" s="1027">
        <f t="shared" si="60"/>
        <v>5379.5627066999987</v>
      </c>
      <c r="Y115" s="1027">
        <f t="shared" si="60"/>
        <v>5662.6975859999993</v>
      </c>
      <c r="Z115" s="1027">
        <f t="shared" si="60"/>
        <v>5945.8324652999991</v>
      </c>
      <c r="AA115" s="1027">
        <f t="shared" si="60"/>
        <v>6228.9673445999988</v>
      </c>
      <c r="AB115" s="1027">
        <f t="shared" si="60"/>
        <v>6512.1022238999976</v>
      </c>
      <c r="AC115" s="1027">
        <f t="shared" si="60"/>
        <v>6795.2371031999983</v>
      </c>
      <c r="AD115" s="1027">
        <f t="shared" si="60"/>
        <v>7078.371982499998</v>
      </c>
      <c r="AE115" s="1027">
        <f t="shared" si="60"/>
        <v>7361.5068617999996</v>
      </c>
      <c r="AF115" s="1027">
        <f t="shared" si="60"/>
        <v>7644.6417410999993</v>
      </c>
      <c r="AG115" s="1027">
        <f t="shared" si="60"/>
        <v>7927.7766203999981</v>
      </c>
      <c r="AH115" s="1027">
        <f t="shared" si="60"/>
        <v>8210.9114996999979</v>
      </c>
      <c r="AI115" s="1027">
        <f t="shared" si="60"/>
        <v>8494.0463789999976</v>
      </c>
      <c r="AJ115" s="1027">
        <f t="shared" si="60"/>
        <v>8777.1812582999992</v>
      </c>
      <c r="AK115" s="1027">
        <f t="shared" si="60"/>
        <v>9060.3161375999989</v>
      </c>
      <c r="AL115" s="1027">
        <f t="shared" si="60"/>
        <v>9343.4510168999968</v>
      </c>
      <c r="AM115" s="1027">
        <f t="shared" si="60"/>
        <v>9626.5858961999966</v>
      </c>
      <c r="AN115" s="1027">
        <f t="shared" si="60"/>
        <v>9909.7207754999981</v>
      </c>
      <c r="AO115" s="1027">
        <f t="shared" si="60"/>
        <v>10192.855654799998</v>
      </c>
      <c r="AP115" s="1027">
        <f t="shared" si="60"/>
        <v>10475.990534099999</v>
      </c>
      <c r="AQ115" s="1027">
        <f t="shared" si="60"/>
        <v>10759.125413399997</v>
      </c>
      <c r="AR115" s="1027">
        <f t="shared" ref="AR115:BW115" si="61">((AR$86-$H$4)/1000)*IF($C$13=0,$M$29,$M$46)*(($C$8/70)^$X$46)*IF($C$13=1,$AG$47,IF($C$13=2,$AH$47,IF($C$13=3,$AI$47,1)))</f>
        <v>11042.260292699997</v>
      </c>
      <c r="AS115" s="1027">
        <f t="shared" si="61"/>
        <v>11325.395171999999</v>
      </c>
      <c r="AT115" s="1027">
        <f t="shared" si="61"/>
        <v>11608.530051299997</v>
      </c>
      <c r="AU115" s="1027">
        <f t="shared" si="61"/>
        <v>11891.664930599998</v>
      </c>
      <c r="AV115" s="1027">
        <f t="shared" si="61"/>
        <v>12174.799809899996</v>
      </c>
      <c r="AW115" s="1027">
        <f t="shared" si="61"/>
        <v>12457.934689199998</v>
      </c>
      <c r="AX115" s="1027">
        <f t="shared" si="61"/>
        <v>12741.069568499997</v>
      </c>
      <c r="AY115" s="1027">
        <f t="shared" si="61"/>
        <v>13024.204447799995</v>
      </c>
      <c r="AZ115" s="1027">
        <f t="shared" si="61"/>
        <v>13307.339327099997</v>
      </c>
      <c r="BA115" s="1027">
        <f t="shared" si="61"/>
        <v>13590.474206399997</v>
      </c>
      <c r="BB115" s="1027">
        <f t="shared" si="61"/>
        <v>13873.609085699996</v>
      </c>
      <c r="BC115" s="1027">
        <f t="shared" si="61"/>
        <v>14156.743964999996</v>
      </c>
      <c r="BD115" s="1027">
        <f t="shared" si="61"/>
        <v>14439.878844299998</v>
      </c>
      <c r="BE115" s="1027">
        <f t="shared" si="61"/>
        <v>14723.013723599999</v>
      </c>
      <c r="BF115" s="1027">
        <f t="shared" si="61"/>
        <v>15006.148602899997</v>
      </c>
      <c r="BG115" s="1027">
        <f t="shared" si="61"/>
        <v>-1981.9441550999995</v>
      </c>
      <c r="BH115" s="1027">
        <f t="shared" si="61"/>
        <v>-1981.9441550999995</v>
      </c>
      <c r="BI115" s="1027">
        <f t="shared" si="61"/>
        <v>-1981.9441550999995</v>
      </c>
      <c r="BJ115" s="1027">
        <f t="shared" si="61"/>
        <v>849.40463789999978</v>
      </c>
      <c r="BK115" s="1027">
        <f t="shared" si="61"/>
        <v>1132.5395171999999</v>
      </c>
      <c r="BL115" s="1027">
        <f t="shared" si="61"/>
        <v>1415.6743964999998</v>
      </c>
      <c r="BM115" s="1027">
        <f t="shared" si="61"/>
        <v>1698.8092757999996</v>
      </c>
      <c r="BN115" s="1027">
        <f t="shared" si="61"/>
        <v>1981.9441550999995</v>
      </c>
      <c r="BO115" s="1027">
        <f t="shared" si="61"/>
        <v>2265.0790343999997</v>
      </c>
      <c r="BP115" s="1027">
        <f t="shared" si="61"/>
        <v>2548.2139136999995</v>
      </c>
      <c r="BQ115" s="1027">
        <f t="shared" si="61"/>
        <v>2831.3487929999997</v>
      </c>
      <c r="BR115" s="1027">
        <f t="shared" si="61"/>
        <v>3114.4836722999994</v>
      </c>
      <c r="BS115" s="1027">
        <f t="shared" si="61"/>
        <v>3397.6185515999991</v>
      </c>
      <c r="BT115" s="1027">
        <f t="shared" si="61"/>
        <v>3680.7534308999998</v>
      </c>
      <c r="BU115" s="1027">
        <f t="shared" si="61"/>
        <v>3963.8883101999991</v>
      </c>
      <c r="BV115" s="1027">
        <f t="shared" si="61"/>
        <v>4247.0231894999988</v>
      </c>
      <c r="BW115" s="1027">
        <f t="shared" si="61"/>
        <v>4530.1580687999995</v>
      </c>
      <c r="BX115" s="1027">
        <f t="shared" ref="BX115:DF115" si="62">((BX$86-$H$4)/1000)*IF($C$13=0,$M$29,$M$46)*(($C$8/70)^$X$46)*IF($C$13=1,$AG$47,IF($C$13=2,$AH$47,IF($C$13=3,$AI$47,1)))</f>
        <v>4813.2929480999983</v>
      </c>
      <c r="BY115" s="1027">
        <f t="shared" si="62"/>
        <v>5096.4278273999989</v>
      </c>
      <c r="BZ115" s="1027">
        <f t="shared" si="62"/>
        <v>5379.5627066999987</v>
      </c>
      <c r="CA115" s="1027">
        <f t="shared" si="62"/>
        <v>5662.6975859999993</v>
      </c>
      <c r="CB115" s="1027">
        <f t="shared" si="62"/>
        <v>5945.8324652999991</v>
      </c>
      <c r="CC115" s="1027">
        <f t="shared" si="62"/>
        <v>6228.9673445999988</v>
      </c>
      <c r="CD115" s="1027">
        <f t="shared" si="62"/>
        <v>6512.1022238999976</v>
      </c>
      <c r="CE115" s="1027">
        <f t="shared" si="62"/>
        <v>6795.2371031999983</v>
      </c>
      <c r="CF115" s="1027">
        <f t="shared" si="62"/>
        <v>7078.371982499998</v>
      </c>
      <c r="CG115" s="1027">
        <f t="shared" si="62"/>
        <v>7361.5068617999996</v>
      </c>
      <c r="CH115" s="1027">
        <f t="shared" si="62"/>
        <v>7644.6417410999993</v>
      </c>
      <c r="CI115" s="1027">
        <f t="shared" si="62"/>
        <v>7927.7766203999981</v>
      </c>
      <c r="CJ115" s="1027">
        <f t="shared" si="62"/>
        <v>8210.9114996999979</v>
      </c>
      <c r="CK115" s="1027">
        <f t="shared" si="62"/>
        <v>8494.0463789999976</v>
      </c>
      <c r="CL115" s="1027">
        <f t="shared" si="62"/>
        <v>8777.1812582999992</v>
      </c>
      <c r="CM115" s="1027">
        <f t="shared" si="62"/>
        <v>9060.3161375999989</v>
      </c>
      <c r="CN115" s="1027">
        <f t="shared" si="62"/>
        <v>9343.4510168999968</v>
      </c>
      <c r="CO115" s="1027">
        <f t="shared" si="62"/>
        <v>9626.5858961999966</v>
      </c>
      <c r="CP115" s="1027">
        <f t="shared" si="62"/>
        <v>9909.7207754999981</v>
      </c>
      <c r="CQ115" s="1027">
        <f t="shared" si="62"/>
        <v>10192.855654799998</v>
      </c>
      <c r="CR115" s="1027">
        <f t="shared" si="62"/>
        <v>10475.990534099999</v>
      </c>
      <c r="CS115" s="1027">
        <f t="shared" si="62"/>
        <v>10759.125413399997</v>
      </c>
      <c r="CT115" s="1027">
        <f t="shared" si="62"/>
        <v>11042.260292699997</v>
      </c>
      <c r="CU115" s="1027">
        <f t="shared" si="62"/>
        <v>11325.395171999999</v>
      </c>
      <c r="CV115" s="1027">
        <f t="shared" si="62"/>
        <v>11608.530051299997</v>
      </c>
      <c r="CW115" s="1027">
        <f t="shared" si="62"/>
        <v>11891.664930599998</v>
      </c>
      <c r="CX115" s="1027">
        <f t="shared" si="62"/>
        <v>12174.799809899996</v>
      </c>
      <c r="CY115" s="1027">
        <f t="shared" si="62"/>
        <v>12457.934689199998</v>
      </c>
      <c r="CZ115" s="1027">
        <f t="shared" si="62"/>
        <v>12741.069568499997</v>
      </c>
      <c r="DA115" s="1027">
        <f t="shared" si="62"/>
        <v>13024.204447799995</v>
      </c>
      <c r="DB115" s="1027">
        <f t="shared" si="62"/>
        <v>13307.339327099997</v>
      </c>
      <c r="DC115" s="1027">
        <f t="shared" si="62"/>
        <v>13590.474206399997</v>
      </c>
      <c r="DD115" s="1027">
        <f t="shared" si="62"/>
        <v>13873.609085699996</v>
      </c>
      <c r="DE115" s="1027">
        <f t="shared" si="62"/>
        <v>14156.743964999996</v>
      </c>
      <c r="DF115" s="1027">
        <f t="shared" si="62"/>
        <v>14439.878844299998</v>
      </c>
    </row>
    <row r="116" spans="1:110">
      <c r="A116" s="2309"/>
      <c r="B116" s="2334" t="s">
        <v>569</v>
      </c>
      <c r="C116" s="2334"/>
      <c r="D116" s="1163"/>
      <c r="E116" s="1163"/>
      <c r="F116" s="1163"/>
      <c r="G116" s="1163"/>
      <c r="H116" s="1163"/>
      <c r="I116" s="1163"/>
      <c r="J116" s="1027"/>
      <c r="K116" s="1027"/>
      <c r="L116" s="1027">
        <f t="shared" ref="L116:AQ116" si="63">((L$86-$H$4)/1000)*IF($C$13=0,$O$29,($O$46*1.1))*(($C$8/70)^$Z$46)*IF($C$13=1,$AG$50,IF($C$13=2,$AH$50,IF($C$13=3,$AI$50,1)))</f>
        <v>2122.6095590700002</v>
      </c>
      <c r="M116" s="1027">
        <f t="shared" si="63"/>
        <v>2425.8394960800001</v>
      </c>
      <c r="N116" s="1027">
        <f t="shared" si="63"/>
        <v>2729.0694330900001</v>
      </c>
      <c r="O116" s="1027">
        <f t="shared" si="63"/>
        <v>3032.2993701000005</v>
      </c>
      <c r="P116" s="1027">
        <f t="shared" si="63"/>
        <v>3335.5293071100004</v>
      </c>
      <c r="Q116" s="1027">
        <f t="shared" si="63"/>
        <v>3638.7592441200004</v>
      </c>
      <c r="R116" s="1027">
        <f t="shared" si="63"/>
        <v>3941.9891811300008</v>
      </c>
      <c r="S116" s="1027">
        <f t="shared" si="63"/>
        <v>4245.2191181400003</v>
      </c>
      <c r="T116" s="1027">
        <f t="shared" si="63"/>
        <v>4548.4490551500012</v>
      </c>
      <c r="U116" s="1027">
        <f t="shared" si="63"/>
        <v>4851.6789921600002</v>
      </c>
      <c r="V116" s="1027">
        <f t="shared" si="63"/>
        <v>5154.9089291700011</v>
      </c>
      <c r="W116" s="1027">
        <f t="shared" si="63"/>
        <v>5458.1388661800002</v>
      </c>
      <c r="X116" s="1027">
        <f t="shared" si="63"/>
        <v>5761.3688031900001</v>
      </c>
      <c r="Y116" s="1027">
        <f t="shared" si="63"/>
        <v>6064.598740200001</v>
      </c>
      <c r="Z116" s="1027">
        <f t="shared" si="63"/>
        <v>6367.8286772100009</v>
      </c>
      <c r="AA116" s="1027">
        <f t="shared" si="63"/>
        <v>6671.0586142200009</v>
      </c>
      <c r="AB116" s="1027">
        <f t="shared" si="63"/>
        <v>6974.2885512300008</v>
      </c>
      <c r="AC116" s="1027">
        <f t="shared" si="63"/>
        <v>7277.5184882400008</v>
      </c>
      <c r="AD116" s="1027">
        <f t="shared" si="63"/>
        <v>7580.7484252500008</v>
      </c>
      <c r="AE116" s="1027">
        <f t="shared" si="63"/>
        <v>7883.9783622600016</v>
      </c>
      <c r="AF116" s="1027">
        <f t="shared" si="63"/>
        <v>8187.2082992700016</v>
      </c>
      <c r="AG116" s="1027">
        <f t="shared" si="63"/>
        <v>8490.4382362800006</v>
      </c>
      <c r="AH116" s="1027">
        <f t="shared" si="63"/>
        <v>8793.6681732900015</v>
      </c>
      <c r="AI116" s="1027">
        <f t="shared" si="63"/>
        <v>9096.8981103000024</v>
      </c>
      <c r="AJ116" s="1027">
        <f t="shared" si="63"/>
        <v>9400.1280473100014</v>
      </c>
      <c r="AK116" s="1027">
        <f t="shared" si="63"/>
        <v>9703.3579843200005</v>
      </c>
      <c r="AL116" s="1027">
        <f t="shared" si="63"/>
        <v>10006.587921330001</v>
      </c>
      <c r="AM116" s="1027">
        <f t="shared" si="63"/>
        <v>10309.817858340002</v>
      </c>
      <c r="AN116" s="1027">
        <f t="shared" si="63"/>
        <v>10613.047795350001</v>
      </c>
      <c r="AO116" s="1027">
        <f t="shared" si="63"/>
        <v>10916.27773236</v>
      </c>
      <c r="AP116" s="1027">
        <f t="shared" si="63"/>
        <v>11219.507669370001</v>
      </c>
      <c r="AQ116" s="1027">
        <f t="shared" si="63"/>
        <v>11522.73760638</v>
      </c>
      <c r="AR116" s="1027">
        <f t="shared" ref="AR116:BW116" si="64">((AR$86-$H$4)/1000)*IF($C$13=0,$O$29,($O$46*1.1))*(($C$8/70)^$Z$46)*IF($C$13=1,$AG$50,IF($C$13=2,$AH$50,IF($C$13=3,$AI$50,1)))</f>
        <v>11825.967543390001</v>
      </c>
      <c r="AS116" s="1027">
        <f t="shared" si="64"/>
        <v>12129.197480400002</v>
      </c>
      <c r="AT116" s="1027">
        <f t="shared" si="64"/>
        <v>12432.427417409999</v>
      </c>
      <c r="AU116" s="1027">
        <f t="shared" si="64"/>
        <v>12735.657354420002</v>
      </c>
      <c r="AV116" s="1027">
        <f t="shared" si="64"/>
        <v>13038.887291430001</v>
      </c>
      <c r="AW116" s="1027">
        <f t="shared" si="64"/>
        <v>13342.117228440002</v>
      </c>
      <c r="AX116" s="1027">
        <f t="shared" si="64"/>
        <v>13645.347165450003</v>
      </c>
      <c r="AY116" s="1027">
        <f t="shared" si="64"/>
        <v>13948.577102460002</v>
      </c>
      <c r="AZ116" s="1027">
        <f t="shared" si="64"/>
        <v>14251.807039470001</v>
      </c>
      <c r="BA116" s="1027">
        <f t="shared" si="64"/>
        <v>14555.036976480002</v>
      </c>
      <c r="BB116" s="1027">
        <f t="shared" si="64"/>
        <v>14858.266913490002</v>
      </c>
      <c r="BC116" s="1027">
        <f t="shared" si="64"/>
        <v>15161.496850500002</v>
      </c>
      <c r="BD116" s="1027">
        <f t="shared" si="64"/>
        <v>15464.726787510001</v>
      </c>
      <c r="BE116" s="1027">
        <f t="shared" si="64"/>
        <v>15767.956724520003</v>
      </c>
      <c r="BF116" s="1027">
        <f t="shared" si="64"/>
        <v>16071.18666153</v>
      </c>
      <c r="BG116" s="1027">
        <f t="shared" si="64"/>
        <v>-2122.6095590700002</v>
      </c>
      <c r="BH116" s="1027">
        <f t="shared" si="64"/>
        <v>-2122.6095590700002</v>
      </c>
      <c r="BI116" s="1027">
        <f t="shared" si="64"/>
        <v>-2122.6095590700002</v>
      </c>
      <c r="BJ116" s="1027">
        <f t="shared" si="64"/>
        <v>909.6898110300001</v>
      </c>
      <c r="BK116" s="1027">
        <f t="shared" si="64"/>
        <v>1212.9197480400001</v>
      </c>
      <c r="BL116" s="1027">
        <f t="shared" si="64"/>
        <v>1516.1496850500002</v>
      </c>
      <c r="BM116" s="1027">
        <f t="shared" si="64"/>
        <v>1819.3796220600002</v>
      </c>
      <c r="BN116" s="1027">
        <f t="shared" si="64"/>
        <v>2122.6095590700002</v>
      </c>
      <c r="BO116" s="1027">
        <f t="shared" si="64"/>
        <v>2425.8394960800001</v>
      </c>
      <c r="BP116" s="1027">
        <f t="shared" si="64"/>
        <v>2729.0694330900001</v>
      </c>
      <c r="BQ116" s="1027">
        <f t="shared" si="64"/>
        <v>3032.2993701000005</v>
      </c>
      <c r="BR116" s="1027">
        <f t="shared" si="64"/>
        <v>3335.5293071100004</v>
      </c>
      <c r="BS116" s="1027">
        <f t="shared" si="64"/>
        <v>3638.7592441200004</v>
      </c>
      <c r="BT116" s="1027">
        <f t="shared" si="64"/>
        <v>3941.9891811300008</v>
      </c>
      <c r="BU116" s="1027">
        <f t="shared" si="64"/>
        <v>4245.2191181400003</v>
      </c>
      <c r="BV116" s="1027">
        <f t="shared" si="64"/>
        <v>4548.4490551500012</v>
      </c>
      <c r="BW116" s="1027">
        <f t="shared" si="64"/>
        <v>4851.6789921600002</v>
      </c>
      <c r="BX116" s="1027">
        <f t="shared" ref="BX116:DF116" si="65">((BX$86-$H$4)/1000)*IF($C$13=0,$O$29,($O$46*1.1))*(($C$8/70)^$Z$46)*IF($C$13=1,$AG$50,IF($C$13=2,$AH$50,IF($C$13=3,$AI$50,1)))</f>
        <v>5154.9089291700011</v>
      </c>
      <c r="BY116" s="1027">
        <f t="shared" si="65"/>
        <v>5458.1388661800002</v>
      </c>
      <c r="BZ116" s="1027">
        <f t="shared" si="65"/>
        <v>5761.3688031900001</v>
      </c>
      <c r="CA116" s="1027">
        <f t="shared" si="65"/>
        <v>6064.598740200001</v>
      </c>
      <c r="CB116" s="1027">
        <f t="shared" si="65"/>
        <v>6367.8286772100009</v>
      </c>
      <c r="CC116" s="1027">
        <f t="shared" si="65"/>
        <v>6671.0586142200009</v>
      </c>
      <c r="CD116" s="1027">
        <f t="shared" si="65"/>
        <v>6974.2885512300008</v>
      </c>
      <c r="CE116" s="1027">
        <f t="shared" si="65"/>
        <v>7277.5184882400008</v>
      </c>
      <c r="CF116" s="1027">
        <f t="shared" si="65"/>
        <v>7580.7484252500008</v>
      </c>
      <c r="CG116" s="1027">
        <f t="shared" si="65"/>
        <v>7883.9783622600016</v>
      </c>
      <c r="CH116" s="1027">
        <f t="shared" si="65"/>
        <v>8187.2082992700016</v>
      </c>
      <c r="CI116" s="1027">
        <f t="shared" si="65"/>
        <v>8490.4382362800006</v>
      </c>
      <c r="CJ116" s="1027">
        <f t="shared" si="65"/>
        <v>8793.6681732900015</v>
      </c>
      <c r="CK116" s="1027">
        <f t="shared" si="65"/>
        <v>9096.8981103000024</v>
      </c>
      <c r="CL116" s="1027">
        <f t="shared" si="65"/>
        <v>9400.1280473100014</v>
      </c>
      <c r="CM116" s="1027">
        <f t="shared" si="65"/>
        <v>9703.3579843200005</v>
      </c>
      <c r="CN116" s="1027">
        <f t="shared" si="65"/>
        <v>10006.587921330001</v>
      </c>
      <c r="CO116" s="1027">
        <f t="shared" si="65"/>
        <v>10309.817858340002</v>
      </c>
      <c r="CP116" s="1027">
        <f t="shared" si="65"/>
        <v>10613.047795350001</v>
      </c>
      <c r="CQ116" s="1027">
        <f t="shared" si="65"/>
        <v>10916.27773236</v>
      </c>
      <c r="CR116" s="1027">
        <f t="shared" si="65"/>
        <v>11219.507669370001</v>
      </c>
      <c r="CS116" s="1027">
        <f t="shared" si="65"/>
        <v>11522.73760638</v>
      </c>
      <c r="CT116" s="1027">
        <f t="shared" si="65"/>
        <v>11825.967543390001</v>
      </c>
      <c r="CU116" s="1027">
        <f t="shared" si="65"/>
        <v>12129.197480400002</v>
      </c>
      <c r="CV116" s="1027">
        <f t="shared" si="65"/>
        <v>12432.427417409999</v>
      </c>
      <c r="CW116" s="1027">
        <f t="shared" si="65"/>
        <v>12735.657354420002</v>
      </c>
      <c r="CX116" s="1027">
        <f t="shared" si="65"/>
        <v>13038.887291430001</v>
      </c>
      <c r="CY116" s="1027">
        <f t="shared" si="65"/>
        <v>13342.117228440002</v>
      </c>
      <c r="CZ116" s="1027">
        <f t="shared" si="65"/>
        <v>13645.347165450003</v>
      </c>
      <c r="DA116" s="1027">
        <f t="shared" si="65"/>
        <v>13948.577102460002</v>
      </c>
      <c r="DB116" s="1027">
        <f t="shared" si="65"/>
        <v>14251.807039470001</v>
      </c>
      <c r="DC116" s="1027">
        <f t="shared" si="65"/>
        <v>14555.036976480002</v>
      </c>
      <c r="DD116" s="1027">
        <f t="shared" si="65"/>
        <v>14858.266913490002</v>
      </c>
      <c r="DE116" s="1027">
        <f t="shared" si="65"/>
        <v>15161.496850500002</v>
      </c>
      <c r="DF116" s="1027">
        <f t="shared" si="65"/>
        <v>15464.726787510001</v>
      </c>
    </row>
    <row r="117" spans="1:110">
      <c r="A117" s="2309"/>
      <c r="B117" s="2334" t="s">
        <v>588</v>
      </c>
      <c r="C117" s="2334"/>
      <c r="D117" s="1163"/>
      <c r="E117" s="1163"/>
      <c r="F117" s="1163"/>
      <c r="G117" s="1163"/>
      <c r="H117" s="1163"/>
      <c r="I117" s="1163"/>
      <c r="J117" s="1027"/>
      <c r="K117" s="1027"/>
      <c r="L117" s="1027">
        <f t="shared" ref="L117:BF117" si="66">((L$86-$H$4)/1000)*IF($C$13=0,$P$29,$P$46)*(($C$8/70)^$AB$46)*IF($C$13=1,$AG$47,IF($C$13=2,$AH$47,IF($C$13=3,$AI$47,1)))</f>
        <v>2373.9171210300001</v>
      </c>
      <c r="M117" s="1027">
        <f t="shared" si="66"/>
        <v>2713.0481383200004</v>
      </c>
      <c r="N117" s="1027">
        <f t="shared" si="66"/>
        <v>3052.1791556100002</v>
      </c>
      <c r="O117" s="1027">
        <f t="shared" si="66"/>
        <v>3391.3101729</v>
      </c>
      <c r="P117" s="1027">
        <f t="shared" si="66"/>
        <v>3730.4411901900003</v>
      </c>
      <c r="Q117" s="1027">
        <f t="shared" si="66"/>
        <v>4069.5722074800001</v>
      </c>
      <c r="R117" s="1027">
        <f t="shared" si="66"/>
        <v>4408.7032247700008</v>
      </c>
      <c r="S117" s="1027">
        <f t="shared" si="66"/>
        <v>4747.8342420600002</v>
      </c>
      <c r="T117" s="1027">
        <f t="shared" si="66"/>
        <v>5086.9652593500005</v>
      </c>
      <c r="U117" s="1027">
        <f t="shared" si="66"/>
        <v>5426.0962766400007</v>
      </c>
      <c r="V117" s="1027">
        <f t="shared" si="66"/>
        <v>5765.227293930001</v>
      </c>
      <c r="W117" s="1027">
        <f t="shared" si="66"/>
        <v>6104.3583112200004</v>
      </c>
      <c r="X117" s="1027">
        <f t="shared" si="66"/>
        <v>6443.4893285099997</v>
      </c>
      <c r="Y117" s="1027">
        <f t="shared" si="66"/>
        <v>6782.6203458</v>
      </c>
      <c r="Z117" s="1027">
        <f t="shared" si="66"/>
        <v>7121.7513630900012</v>
      </c>
      <c r="AA117" s="1027">
        <f t="shared" si="66"/>
        <v>7460.8823803800005</v>
      </c>
      <c r="AB117" s="1027">
        <f t="shared" si="66"/>
        <v>7800.0133976699999</v>
      </c>
      <c r="AC117" s="1027">
        <f t="shared" si="66"/>
        <v>8139.1444149600002</v>
      </c>
      <c r="AD117" s="1027">
        <f t="shared" si="66"/>
        <v>8478.2754322500004</v>
      </c>
      <c r="AE117" s="1027">
        <f t="shared" si="66"/>
        <v>8817.4064495400016</v>
      </c>
      <c r="AF117" s="1027">
        <f t="shared" si="66"/>
        <v>9156.537466830001</v>
      </c>
      <c r="AG117" s="1027">
        <f t="shared" si="66"/>
        <v>9495.6684841200004</v>
      </c>
      <c r="AH117" s="1027">
        <f t="shared" si="66"/>
        <v>9834.7995014099997</v>
      </c>
      <c r="AI117" s="1027">
        <f t="shared" si="66"/>
        <v>10173.930518700001</v>
      </c>
      <c r="AJ117" s="1027">
        <f t="shared" si="66"/>
        <v>10513.06153599</v>
      </c>
      <c r="AK117" s="1027">
        <f t="shared" si="66"/>
        <v>10852.192553280001</v>
      </c>
      <c r="AL117" s="1027">
        <f t="shared" si="66"/>
        <v>11191.323570569999</v>
      </c>
      <c r="AM117" s="1027">
        <f t="shared" si="66"/>
        <v>11530.454587860002</v>
      </c>
      <c r="AN117" s="1027">
        <f t="shared" si="66"/>
        <v>11869.585605150001</v>
      </c>
      <c r="AO117" s="1027">
        <f t="shared" si="66"/>
        <v>12208.716622440001</v>
      </c>
      <c r="AP117" s="1027">
        <f t="shared" si="66"/>
        <v>12547.847639730002</v>
      </c>
      <c r="AQ117" s="1027">
        <f t="shared" si="66"/>
        <v>12886.978657019999</v>
      </c>
      <c r="AR117" s="1027">
        <f t="shared" si="66"/>
        <v>13226.109674310001</v>
      </c>
      <c r="AS117" s="1027">
        <f t="shared" si="66"/>
        <v>13565.2406916</v>
      </c>
      <c r="AT117" s="1027">
        <f t="shared" si="66"/>
        <v>13904.371708890001</v>
      </c>
      <c r="AU117" s="1027">
        <f t="shared" si="66"/>
        <v>14243.502726180002</v>
      </c>
      <c r="AV117" s="1027">
        <f t="shared" si="66"/>
        <v>14582.63374347</v>
      </c>
      <c r="AW117" s="1027">
        <f t="shared" si="66"/>
        <v>14921.764760760001</v>
      </c>
      <c r="AX117" s="1027">
        <f t="shared" si="66"/>
        <v>15260.89577805</v>
      </c>
      <c r="AY117" s="1027">
        <f t="shared" si="66"/>
        <v>15600.02679534</v>
      </c>
      <c r="AZ117" s="1027">
        <f t="shared" si="66"/>
        <v>15939.157812630003</v>
      </c>
      <c r="BA117" s="1027">
        <f t="shared" si="66"/>
        <v>16278.28882992</v>
      </c>
      <c r="BB117" s="1027">
        <f t="shared" si="66"/>
        <v>16617.41984721</v>
      </c>
      <c r="BC117" s="1027">
        <f t="shared" si="66"/>
        <v>16956.550864500001</v>
      </c>
      <c r="BD117" s="1027">
        <f t="shared" si="66"/>
        <v>17295.681881790002</v>
      </c>
      <c r="BE117" s="1027">
        <f t="shared" si="66"/>
        <v>17634.812899080003</v>
      </c>
      <c r="BF117" s="1027">
        <f t="shared" si="66"/>
        <v>17973.943916370001</v>
      </c>
      <c r="BG117" s="1270"/>
      <c r="BH117" s="1270"/>
      <c r="BI117" s="1270"/>
      <c r="BJ117" s="1270"/>
      <c r="BK117" s="1270"/>
      <c r="BL117" s="1270"/>
      <c r="BM117" s="1270"/>
      <c r="BN117" s="1270"/>
      <c r="BO117" s="1270"/>
      <c r="BP117" s="1270"/>
      <c r="BQ117" s="1270"/>
      <c r="BR117" s="1270"/>
      <c r="BS117" s="1270"/>
      <c r="BT117" s="1270"/>
      <c r="BU117" s="1270"/>
      <c r="BV117" s="1270"/>
      <c r="BW117" s="1270"/>
      <c r="BX117" s="1270"/>
      <c r="BY117" s="1270"/>
      <c r="BZ117" s="1270"/>
      <c r="CA117" s="1270"/>
      <c r="CB117" s="1270"/>
      <c r="CC117" s="1270"/>
      <c r="CD117" s="1270"/>
      <c r="CE117" s="1270"/>
      <c r="CF117" s="1270"/>
      <c r="CG117" s="1270"/>
      <c r="CH117" s="1270"/>
      <c r="CI117" s="1270"/>
      <c r="CJ117" s="1270"/>
      <c r="CK117" s="1270"/>
      <c r="CL117" s="1270"/>
      <c r="CM117" s="1270"/>
      <c r="CN117" s="1270"/>
      <c r="CO117" s="1270"/>
      <c r="CP117" s="1270"/>
      <c r="CQ117" s="1270"/>
      <c r="CR117" s="1270"/>
      <c r="CS117" s="1270"/>
      <c r="CT117" s="1270"/>
      <c r="CU117" s="1270"/>
      <c r="CV117" s="1270"/>
      <c r="CW117" s="1270"/>
      <c r="CX117" s="1270"/>
      <c r="CY117" s="1270"/>
      <c r="CZ117" s="1270"/>
      <c r="DA117" s="1270"/>
      <c r="DB117" s="1270"/>
      <c r="DC117" s="1270"/>
      <c r="DD117" s="1270"/>
      <c r="DE117" s="1270"/>
      <c r="DF117" s="1270"/>
    </row>
    <row r="118" spans="1:110" ht="15.75" thickBot="1">
      <c r="A118" s="2309"/>
      <c r="B118" s="2334" t="s">
        <v>570</v>
      </c>
      <c r="C118" s="2334"/>
      <c r="D118" s="1163"/>
      <c r="E118" s="1163"/>
      <c r="F118" s="1163"/>
      <c r="G118" s="1163"/>
      <c r="H118" s="1163"/>
      <c r="I118" s="1163"/>
      <c r="J118" s="1027"/>
      <c r="K118" s="1027"/>
      <c r="L118" s="1027">
        <f t="shared" ref="L118:AQ118" si="67">((L$86-$H$4)/1000)*IF($C$13=0,$Q$29,$Q$46)*(($C$8/70)^$AB$46)*IF($C$13=1,$AG$47,IF($C$13=2,$AH$47,IF($C$13=3,$AI$47,1)))</f>
        <v>2498.8601274000002</v>
      </c>
      <c r="M118" s="1027">
        <f t="shared" si="67"/>
        <v>2855.8401456000006</v>
      </c>
      <c r="N118" s="1027">
        <f t="shared" si="67"/>
        <v>3212.8201638000005</v>
      </c>
      <c r="O118" s="1027">
        <f t="shared" si="67"/>
        <v>3569.8001820000004</v>
      </c>
      <c r="P118" s="1027">
        <f t="shared" si="67"/>
        <v>3926.7802002000008</v>
      </c>
      <c r="Q118" s="1027">
        <f t="shared" si="67"/>
        <v>4283.7602184000007</v>
      </c>
      <c r="R118" s="1027">
        <f t="shared" si="67"/>
        <v>4640.7402366000006</v>
      </c>
      <c r="S118" s="1027">
        <f t="shared" si="67"/>
        <v>4997.7202548000005</v>
      </c>
      <c r="T118" s="1027">
        <f t="shared" si="67"/>
        <v>5354.7002730000004</v>
      </c>
      <c r="U118" s="1027">
        <f t="shared" si="67"/>
        <v>5711.6802912000012</v>
      </c>
      <c r="V118" s="1027">
        <f t="shared" si="67"/>
        <v>6068.6603094000002</v>
      </c>
      <c r="W118" s="1027">
        <f t="shared" si="67"/>
        <v>6425.640327600001</v>
      </c>
      <c r="X118" s="1027">
        <f t="shared" si="67"/>
        <v>6782.6203458</v>
      </c>
      <c r="Y118" s="1027">
        <f t="shared" si="67"/>
        <v>7139.6003640000008</v>
      </c>
      <c r="Z118" s="1027">
        <f t="shared" si="67"/>
        <v>7496.5803822000007</v>
      </c>
      <c r="AA118" s="1027">
        <f t="shared" si="67"/>
        <v>7853.5604004000015</v>
      </c>
      <c r="AB118" s="1027">
        <f t="shared" si="67"/>
        <v>8210.5404185999996</v>
      </c>
      <c r="AC118" s="1027">
        <f t="shared" si="67"/>
        <v>8567.5204368000013</v>
      </c>
      <c r="AD118" s="1027">
        <f t="shared" si="67"/>
        <v>8924.5004550000012</v>
      </c>
      <c r="AE118" s="1027">
        <f t="shared" si="67"/>
        <v>9281.4804732000011</v>
      </c>
      <c r="AF118" s="1027">
        <f t="shared" si="67"/>
        <v>9638.460491400001</v>
      </c>
      <c r="AG118" s="1027">
        <f t="shared" si="67"/>
        <v>9995.440509600001</v>
      </c>
      <c r="AH118" s="1027">
        <f t="shared" si="67"/>
        <v>10352.420527800001</v>
      </c>
      <c r="AI118" s="1027">
        <f t="shared" si="67"/>
        <v>10709.400546000001</v>
      </c>
      <c r="AJ118" s="1027">
        <f t="shared" si="67"/>
        <v>11066.380564200001</v>
      </c>
      <c r="AK118" s="1027">
        <f t="shared" si="67"/>
        <v>11423.360582400002</v>
      </c>
      <c r="AL118" s="1027">
        <f t="shared" si="67"/>
        <v>11780.340600599999</v>
      </c>
      <c r="AM118" s="1027">
        <f t="shared" si="67"/>
        <v>12137.3206188</v>
      </c>
      <c r="AN118" s="1027">
        <f t="shared" si="67"/>
        <v>12494.300637</v>
      </c>
      <c r="AO118" s="1027">
        <f t="shared" si="67"/>
        <v>12851.280655200002</v>
      </c>
      <c r="AP118" s="1027">
        <f t="shared" si="67"/>
        <v>13208.260673400002</v>
      </c>
      <c r="AQ118" s="1027">
        <f t="shared" si="67"/>
        <v>13565.2406916</v>
      </c>
      <c r="AR118" s="1027">
        <f t="shared" ref="AR118:BW118" si="68">((AR$86-$H$4)/1000)*IF($C$13=0,$Q$29,$Q$46)*(($C$8/70)^$AB$46)*IF($C$13=1,$AG$47,IF($C$13=2,$AH$47,IF($C$13=3,$AI$47,1)))</f>
        <v>13922.220709800002</v>
      </c>
      <c r="AS118" s="1027">
        <f t="shared" si="68"/>
        <v>14279.200728000002</v>
      </c>
      <c r="AT118" s="1027">
        <f t="shared" si="68"/>
        <v>14636.1807462</v>
      </c>
      <c r="AU118" s="1027">
        <f t="shared" si="68"/>
        <v>14993.160764400001</v>
      </c>
      <c r="AV118" s="1027">
        <f t="shared" si="68"/>
        <v>15350.1407826</v>
      </c>
      <c r="AW118" s="1027">
        <f t="shared" si="68"/>
        <v>15707.120800800003</v>
      </c>
      <c r="AX118" s="1027">
        <f t="shared" si="68"/>
        <v>16064.100819000003</v>
      </c>
      <c r="AY118" s="1027">
        <f t="shared" si="68"/>
        <v>16421.080837199999</v>
      </c>
      <c r="AZ118" s="1027">
        <f t="shared" si="68"/>
        <v>16778.060855400003</v>
      </c>
      <c r="BA118" s="1027">
        <f t="shared" si="68"/>
        <v>17135.040873600003</v>
      </c>
      <c r="BB118" s="1027">
        <f t="shared" si="68"/>
        <v>17492.020891800003</v>
      </c>
      <c r="BC118" s="1027">
        <f t="shared" si="68"/>
        <v>17849.000910000002</v>
      </c>
      <c r="BD118" s="1027">
        <f t="shared" si="68"/>
        <v>18205.980928199999</v>
      </c>
      <c r="BE118" s="1027">
        <f t="shared" si="68"/>
        <v>18562.960946400002</v>
      </c>
      <c r="BF118" s="1027">
        <f t="shared" si="68"/>
        <v>18919.940964599999</v>
      </c>
      <c r="BG118" s="1028">
        <f t="shared" si="68"/>
        <v>-2498.8601274000002</v>
      </c>
      <c r="BH118" s="1028">
        <f t="shared" si="68"/>
        <v>-2498.8601274000002</v>
      </c>
      <c r="BI118" s="1028">
        <f t="shared" si="68"/>
        <v>-2498.8601274000002</v>
      </c>
      <c r="BJ118" s="1028">
        <f t="shared" si="68"/>
        <v>1070.9400546000002</v>
      </c>
      <c r="BK118" s="1028">
        <f t="shared" si="68"/>
        <v>1427.9200728000003</v>
      </c>
      <c r="BL118" s="1028">
        <f t="shared" si="68"/>
        <v>1784.9000910000002</v>
      </c>
      <c r="BM118" s="1028">
        <f t="shared" si="68"/>
        <v>2141.8801092000003</v>
      </c>
      <c r="BN118" s="1028">
        <f t="shared" si="68"/>
        <v>2498.8601274000002</v>
      </c>
      <c r="BO118" s="1028">
        <f t="shared" si="68"/>
        <v>2855.8401456000006</v>
      </c>
      <c r="BP118" s="1028">
        <f t="shared" si="68"/>
        <v>3212.8201638000005</v>
      </c>
      <c r="BQ118" s="1028">
        <f t="shared" si="68"/>
        <v>3569.8001820000004</v>
      </c>
      <c r="BR118" s="1028">
        <f t="shared" si="68"/>
        <v>3926.7802002000008</v>
      </c>
      <c r="BS118" s="1028">
        <f t="shared" si="68"/>
        <v>4283.7602184000007</v>
      </c>
      <c r="BT118" s="1028">
        <f t="shared" si="68"/>
        <v>4640.7402366000006</v>
      </c>
      <c r="BU118" s="1028">
        <f t="shared" si="68"/>
        <v>4997.7202548000005</v>
      </c>
      <c r="BV118" s="1028">
        <f t="shared" si="68"/>
        <v>5354.7002730000004</v>
      </c>
      <c r="BW118" s="1028">
        <f t="shared" si="68"/>
        <v>5711.6802912000012</v>
      </c>
      <c r="BX118" s="1028">
        <f t="shared" ref="BX118:DF118" si="69">((BX$86-$H$4)/1000)*IF($C$13=0,$Q$29,$Q$46)*(($C$8/70)^$AB$46)*IF($C$13=1,$AG$47,IF($C$13=2,$AH$47,IF($C$13=3,$AI$47,1)))</f>
        <v>6068.6603094000002</v>
      </c>
      <c r="BY118" s="1028">
        <f t="shared" si="69"/>
        <v>6425.640327600001</v>
      </c>
      <c r="BZ118" s="1028">
        <f t="shared" si="69"/>
        <v>6782.6203458</v>
      </c>
      <c r="CA118" s="1028">
        <f t="shared" si="69"/>
        <v>7139.6003640000008</v>
      </c>
      <c r="CB118" s="1028">
        <f t="shared" si="69"/>
        <v>7496.5803822000007</v>
      </c>
      <c r="CC118" s="1028">
        <f t="shared" si="69"/>
        <v>7853.5604004000015</v>
      </c>
      <c r="CD118" s="1028">
        <f t="shared" si="69"/>
        <v>8210.5404185999996</v>
      </c>
      <c r="CE118" s="1028">
        <f t="shared" si="69"/>
        <v>8567.5204368000013</v>
      </c>
      <c r="CF118" s="1028">
        <f t="shared" si="69"/>
        <v>8924.5004550000012</v>
      </c>
      <c r="CG118" s="1028">
        <f t="shared" si="69"/>
        <v>9281.4804732000011</v>
      </c>
      <c r="CH118" s="1028">
        <f t="shared" si="69"/>
        <v>9638.460491400001</v>
      </c>
      <c r="CI118" s="1028">
        <f t="shared" si="69"/>
        <v>9995.440509600001</v>
      </c>
      <c r="CJ118" s="1028">
        <f t="shared" si="69"/>
        <v>10352.420527800001</v>
      </c>
      <c r="CK118" s="1028">
        <f t="shared" si="69"/>
        <v>10709.400546000001</v>
      </c>
      <c r="CL118" s="1028">
        <f t="shared" si="69"/>
        <v>11066.380564200001</v>
      </c>
      <c r="CM118" s="1028">
        <f t="shared" si="69"/>
        <v>11423.360582400002</v>
      </c>
      <c r="CN118" s="1028">
        <f t="shared" si="69"/>
        <v>11780.340600599999</v>
      </c>
      <c r="CO118" s="1028">
        <f t="shared" si="69"/>
        <v>12137.3206188</v>
      </c>
      <c r="CP118" s="1028">
        <f t="shared" si="69"/>
        <v>12494.300637</v>
      </c>
      <c r="CQ118" s="1028">
        <f t="shared" si="69"/>
        <v>12851.280655200002</v>
      </c>
      <c r="CR118" s="1028">
        <f t="shared" si="69"/>
        <v>13208.260673400002</v>
      </c>
      <c r="CS118" s="1028">
        <f t="shared" si="69"/>
        <v>13565.2406916</v>
      </c>
      <c r="CT118" s="1028">
        <f t="shared" si="69"/>
        <v>13922.220709800002</v>
      </c>
      <c r="CU118" s="1028">
        <f t="shared" si="69"/>
        <v>14279.200728000002</v>
      </c>
      <c r="CV118" s="1028">
        <f t="shared" si="69"/>
        <v>14636.1807462</v>
      </c>
      <c r="CW118" s="1028">
        <f t="shared" si="69"/>
        <v>14993.160764400001</v>
      </c>
      <c r="CX118" s="1028">
        <f t="shared" si="69"/>
        <v>15350.1407826</v>
      </c>
      <c r="CY118" s="1028">
        <f t="shared" si="69"/>
        <v>15707.120800800003</v>
      </c>
      <c r="CZ118" s="1028">
        <f t="shared" si="69"/>
        <v>16064.100819000003</v>
      </c>
      <c r="DA118" s="1028">
        <f t="shared" si="69"/>
        <v>16421.080837199999</v>
      </c>
      <c r="DB118" s="1028">
        <f t="shared" si="69"/>
        <v>16778.060855400003</v>
      </c>
      <c r="DC118" s="1028">
        <f t="shared" si="69"/>
        <v>17135.040873600003</v>
      </c>
      <c r="DD118" s="1028">
        <f t="shared" si="69"/>
        <v>17492.020891800003</v>
      </c>
      <c r="DE118" s="1028">
        <f t="shared" si="69"/>
        <v>17849.000910000002</v>
      </c>
      <c r="DF118" s="1028">
        <f t="shared" si="69"/>
        <v>18205.980928199999</v>
      </c>
    </row>
    <row r="119" spans="1:110">
      <c r="A119" s="2309"/>
      <c r="B119" s="2334" t="s">
        <v>589</v>
      </c>
      <c r="C119" s="2334"/>
      <c r="D119" s="1163"/>
      <c r="E119" s="1163"/>
      <c r="F119" s="1163"/>
      <c r="G119" s="1163"/>
      <c r="H119" s="1163"/>
      <c r="I119" s="1163"/>
      <c r="J119" s="1027"/>
      <c r="K119" s="1027"/>
      <c r="L119" s="1027">
        <f t="shared" ref="L119:BF119" si="70">((L$86-$H$4)/1000)*IF($C$13=0,$R$29,$R$46)*(($C$8/70)^$AC$46)*IF($C$13=1,$AG$46,IF($C$13=2,$AH$46,IF($C$13=3,$AI$46,1)))</f>
        <v>2457.5847766469997</v>
      </c>
      <c r="M119" s="1027">
        <f t="shared" si="70"/>
        <v>2808.6683161680003</v>
      </c>
      <c r="N119" s="1027">
        <f t="shared" si="70"/>
        <v>3159.751855689</v>
      </c>
      <c r="O119" s="1027">
        <f t="shared" si="70"/>
        <v>3510.8353952100001</v>
      </c>
      <c r="P119" s="1027">
        <f t="shared" si="70"/>
        <v>3861.9189347310007</v>
      </c>
      <c r="Q119" s="1027">
        <f t="shared" si="70"/>
        <v>4213.002474252</v>
      </c>
      <c r="R119" s="1027">
        <f t="shared" si="70"/>
        <v>4564.0860137730006</v>
      </c>
      <c r="S119" s="1027">
        <f t="shared" si="70"/>
        <v>4915.1695532939993</v>
      </c>
      <c r="T119" s="1027">
        <f t="shared" si="70"/>
        <v>5266.2530928149999</v>
      </c>
      <c r="U119" s="1027">
        <f t="shared" si="70"/>
        <v>5617.3366323360005</v>
      </c>
      <c r="V119" s="1027">
        <f t="shared" si="70"/>
        <v>5968.4201718570002</v>
      </c>
      <c r="W119" s="1027">
        <f t="shared" si="70"/>
        <v>6319.5037113779999</v>
      </c>
      <c r="X119" s="1027">
        <f t="shared" si="70"/>
        <v>6670.5872508990005</v>
      </c>
      <c r="Y119" s="1027">
        <f t="shared" si="70"/>
        <v>7021.6707904200002</v>
      </c>
      <c r="Z119" s="1027">
        <f t="shared" si="70"/>
        <v>7372.7543299409999</v>
      </c>
      <c r="AA119" s="1027">
        <f t="shared" si="70"/>
        <v>7723.8378694620014</v>
      </c>
      <c r="AB119" s="1027">
        <f t="shared" si="70"/>
        <v>8074.9214089829993</v>
      </c>
      <c r="AC119" s="1027">
        <f t="shared" si="70"/>
        <v>8426.0049485039999</v>
      </c>
      <c r="AD119" s="1027">
        <f t="shared" si="70"/>
        <v>8777.0884880249996</v>
      </c>
      <c r="AE119" s="1027">
        <f t="shared" si="70"/>
        <v>9128.1720275460011</v>
      </c>
      <c r="AF119" s="1027">
        <f t="shared" si="70"/>
        <v>9479.2555670670008</v>
      </c>
      <c r="AG119" s="1027">
        <f t="shared" si="70"/>
        <v>9830.3391065879987</v>
      </c>
      <c r="AH119" s="1027">
        <f t="shared" si="70"/>
        <v>10181.422646108998</v>
      </c>
      <c r="AI119" s="1027">
        <f t="shared" si="70"/>
        <v>10532.50618563</v>
      </c>
      <c r="AJ119" s="1027">
        <f t="shared" si="70"/>
        <v>10883.589725151001</v>
      </c>
      <c r="AK119" s="1027">
        <f t="shared" si="70"/>
        <v>11234.673264672001</v>
      </c>
      <c r="AL119" s="1027">
        <f t="shared" si="70"/>
        <v>11585.756804192999</v>
      </c>
      <c r="AM119" s="1027">
        <f t="shared" si="70"/>
        <v>11936.840343714</v>
      </c>
      <c r="AN119" s="1027">
        <f t="shared" si="70"/>
        <v>12287.923883235002</v>
      </c>
      <c r="AO119" s="1027">
        <f t="shared" si="70"/>
        <v>12639.007422756</v>
      </c>
      <c r="AP119" s="1027">
        <f t="shared" si="70"/>
        <v>12990.090962277001</v>
      </c>
      <c r="AQ119" s="1027">
        <f t="shared" si="70"/>
        <v>13341.174501798001</v>
      </c>
      <c r="AR119" s="1027">
        <f t="shared" si="70"/>
        <v>13692.258041318999</v>
      </c>
      <c r="AS119" s="1027">
        <f t="shared" si="70"/>
        <v>14043.34158084</v>
      </c>
      <c r="AT119" s="1027">
        <f t="shared" si="70"/>
        <v>14394.425120361</v>
      </c>
      <c r="AU119" s="1027">
        <f t="shared" si="70"/>
        <v>14745.508659882</v>
      </c>
      <c r="AV119" s="1027">
        <f t="shared" si="70"/>
        <v>15096.592199403</v>
      </c>
      <c r="AW119" s="1027">
        <f t="shared" si="70"/>
        <v>15447.675738924003</v>
      </c>
      <c r="AX119" s="1027">
        <f t="shared" si="70"/>
        <v>15798.759278444999</v>
      </c>
      <c r="AY119" s="1027">
        <f t="shared" si="70"/>
        <v>16149.842817965999</v>
      </c>
      <c r="AZ119" s="1027">
        <f t="shared" si="70"/>
        <v>16500.926357487002</v>
      </c>
      <c r="BA119" s="1027">
        <f t="shared" si="70"/>
        <v>16852.009897008</v>
      </c>
      <c r="BB119" s="1027">
        <f t="shared" si="70"/>
        <v>17203.093436529001</v>
      </c>
      <c r="BC119" s="1027">
        <f t="shared" si="70"/>
        <v>17554.176976049999</v>
      </c>
      <c r="BD119" s="1027">
        <f t="shared" si="70"/>
        <v>17905.260515571001</v>
      </c>
      <c r="BE119" s="1027">
        <f t="shared" si="70"/>
        <v>18256.344055092002</v>
      </c>
      <c r="BF119" s="1027">
        <f t="shared" si="70"/>
        <v>18607.427594613</v>
      </c>
      <c r="BG119" s="1271"/>
      <c r="BH119" s="1271"/>
      <c r="BI119" s="1271"/>
      <c r="BJ119" s="1271"/>
      <c r="BK119" s="1271"/>
      <c r="BL119" s="1271"/>
      <c r="BM119" s="1271"/>
      <c r="BN119" s="1271"/>
      <c r="BO119" s="1271"/>
      <c r="BP119" s="1271"/>
      <c r="BQ119" s="1271"/>
      <c r="BR119" s="1271"/>
      <c r="BS119" s="1271"/>
      <c r="BT119" s="1271"/>
      <c r="BU119" s="1271"/>
      <c r="BV119" s="1271"/>
      <c r="BW119" s="1271"/>
      <c r="BX119" s="1271"/>
      <c r="BY119" s="1271"/>
      <c r="BZ119" s="1271"/>
      <c r="CA119" s="1271"/>
      <c r="CB119" s="1271"/>
      <c r="CC119" s="1271"/>
      <c r="CD119" s="1271"/>
      <c r="CE119" s="1271"/>
      <c r="CF119" s="1271"/>
      <c r="CG119" s="1271"/>
      <c r="CH119" s="1271"/>
      <c r="CI119" s="1271"/>
      <c r="CJ119" s="1271"/>
      <c r="CK119" s="1271"/>
      <c r="CL119" s="1271"/>
      <c r="CM119" s="1271"/>
      <c r="CN119" s="1271"/>
      <c r="CO119" s="1271"/>
      <c r="CP119" s="1271"/>
      <c r="CQ119" s="1271"/>
      <c r="CR119" s="1271"/>
      <c r="CS119" s="1271"/>
      <c r="CT119" s="1271"/>
      <c r="CU119" s="1271"/>
      <c r="CV119" s="1271"/>
      <c r="CW119" s="1271"/>
      <c r="CX119" s="1271"/>
      <c r="CY119" s="1271"/>
      <c r="CZ119" s="1271"/>
      <c r="DA119" s="1271"/>
      <c r="DB119" s="1271"/>
      <c r="DC119" s="1271"/>
      <c r="DD119" s="1271"/>
      <c r="DE119" s="1271"/>
      <c r="DF119" s="1271"/>
    </row>
    <row r="120" spans="1:110" ht="15.75" thickBot="1">
      <c r="A120" s="2309"/>
      <c r="B120" s="2363" t="s">
        <v>590</v>
      </c>
      <c r="C120" s="2363"/>
      <c r="D120" s="1164"/>
      <c r="E120" s="1164"/>
      <c r="F120" s="1164"/>
      <c r="G120" s="1164"/>
      <c r="H120" s="1164"/>
      <c r="I120" s="1164"/>
      <c r="J120" s="1028"/>
      <c r="K120" s="1028"/>
      <c r="L120" s="1028">
        <f t="shared" ref="L120:BF120" si="71">((L$86-$H$4)/1000)*IF($C$13=0,$S$29,$S$46)*(($C$8/70)^$AD$46)*IF($C$13=1,$AG$46,IF($C$13=2,$AH$46,IF($C$13=3,$AI$46,1)))</f>
        <v>2685.8850017999994</v>
      </c>
      <c r="M120" s="1028">
        <f t="shared" si="71"/>
        <v>3069.5828592000003</v>
      </c>
      <c r="N120" s="1028">
        <f t="shared" si="71"/>
        <v>3453.2807165999998</v>
      </c>
      <c r="O120" s="1028">
        <f t="shared" si="71"/>
        <v>3836.9785739999998</v>
      </c>
      <c r="P120" s="1028">
        <f t="shared" si="71"/>
        <v>4220.6764314000002</v>
      </c>
      <c r="Q120" s="1028">
        <f t="shared" si="71"/>
        <v>4604.3742887999988</v>
      </c>
      <c r="R120" s="1028">
        <f t="shared" si="71"/>
        <v>4988.0721462000001</v>
      </c>
      <c r="S120" s="1028">
        <f t="shared" si="71"/>
        <v>5371.7700035999987</v>
      </c>
      <c r="T120" s="1028">
        <f t="shared" si="71"/>
        <v>5755.4678609999992</v>
      </c>
      <c r="U120" s="1028">
        <f t="shared" si="71"/>
        <v>6139.1657184000005</v>
      </c>
      <c r="V120" s="1028">
        <f t="shared" si="71"/>
        <v>6522.8635757999991</v>
      </c>
      <c r="W120" s="1028">
        <f t="shared" si="71"/>
        <v>6906.5614331999996</v>
      </c>
      <c r="X120" s="1028">
        <f t="shared" si="71"/>
        <v>7290.2592905999982</v>
      </c>
      <c r="Y120" s="1028">
        <f t="shared" si="71"/>
        <v>7673.9571479999995</v>
      </c>
      <c r="Z120" s="1028">
        <f t="shared" si="71"/>
        <v>8057.6550053999999</v>
      </c>
      <c r="AA120" s="1028">
        <f t="shared" si="71"/>
        <v>8441.3528628000004</v>
      </c>
      <c r="AB120" s="1028">
        <f t="shared" si="71"/>
        <v>8825.050720199999</v>
      </c>
      <c r="AC120" s="1028">
        <f t="shared" si="71"/>
        <v>9208.7485775999976</v>
      </c>
      <c r="AD120" s="1028">
        <f t="shared" si="71"/>
        <v>9592.4464349999998</v>
      </c>
      <c r="AE120" s="1028">
        <f t="shared" si="71"/>
        <v>9976.1442924000003</v>
      </c>
      <c r="AF120" s="1028">
        <f t="shared" si="71"/>
        <v>10359.842149800001</v>
      </c>
      <c r="AG120" s="1028">
        <f t="shared" si="71"/>
        <v>10743.540007199997</v>
      </c>
      <c r="AH120" s="1028">
        <f t="shared" si="71"/>
        <v>11127.237864599998</v>
      </c>
      <c r="AI120" s="1028">
        <f t="shared" si="71"/>
        <v>11510.935721999998</v>
      </c>
      <c r="AJ120" s="1028">
        <f t="shared" si="71"/>
        <v>11894.633579400001</v>
      </c>
      <c r="AK120" s="1028">
        <f t="shared" si="71"/>
        <v>12278.331436800001</v>
      </c>
      <c r="AL120" s="1028">
        <f t="shared" si="71"/>
        <v>12662.029294199998</v>
      </c>
      <c r="AM120" s="1028">
        <f t="shared" si="71"/>
        <v>13045.727151599998</v>
      </c>
      <c r="AN120" s="1028">
        <f t="shared" si="71"/>
        <v>13429.425008999999</v>
      </c>
      <c r="AO120" s="1028">
        <f t="shared" si="71"/>
        <v>13813.122866399999</v>
      </c>
      <c r="AP120" s="1028">
        <f t="shared" si="71"/>
        <v>14196.8207238</v>
      </c>
      <c r="AQ120" s="1028">
        <f t="shared" si="71"/>
        <v>14580.518581199996</v>
      </c>
      <c r="AR120" s="1028">
        <f t="shared" si="71"/>
        <v>14964.216438599997</v>
      </c>
      <c r="AS120" s="1028">
        <f t="shared" si="71"/>
        <v>15347.914295999999</v>
      </c>
      <c r="AT120" s="1028">
        <f t="shared" si="71"/>
        <v>15731.612153399998</v>
      </c>
      <c r="AU120" s="1028">
        <f t="shared" si="71"/>
        <v>16115.3100108</v>
      </c>
      <c r="AV120" s="1028">
        <f t="shared" si="71"/>
        <v>16499.007868199995</v>
      </c>
      <c r="AW120" s="1028">
        <f t="shared" si="71"/>
        <v>16882.705725600001</v>
      </c>
      <c r="AX120" s="1028">
        <f t="shared" si="71"/>
        <v>17266.403582999999</v>
      </c>
      <c r="AY120" s="1028">
        <f t="shared" si="71"/>
        <v>17650.101440399998</v>
      </c>
      <c r="AZ120" s="1028">
        <f t="shared" si="71"/>
        <v>18033.7992978</v>
      </c>
      <c r="BA120" s="1028">
        <f t="shared" si="71"/>
        <v>18417.497155199995</v>
      </c>
      <c r="BB120" s="1028">
        <f t="shared" si="71"/>
        <v>18801.195012600001</v>
      </c>
      <c r="BC120" s="1028">
        <f t="shared" si="71"/>
        <v>19184.89287</v>
      </c>
      <c r="BD120" s="1028">
        <f t="shared" si="71"/>
        <v>19568.590727399998</v>
      </c>
      <c r="BE120" s="1028">
        <f t="shared" si="71"/>
        <v>19952.288584800001</v>
      </c>
      <c r="BF120" s="1028">
        <f t="shared" si="71"/>
        <v>20335.986442199999</v>
      </c>
      <c r="BG120" s="1271"/>
      <c r="BH120" s="1271"/>
      <c r="BI120" s="1271"/>
      <c r="BJ120" s="1271"/>
      <c r="BK120" s="1271"/>
      <c r="BL120" s="1271"/>
      <c r="BM120" s="1271"/>
      <c r="BN120" s="1271"/>
      <c r="BO120" s="1271"/>
      <c r="BP120" s="1271"/>
      <c r="BQ120" s="1271"/>
      <c r="BR120" s="1271"/>
      <c r="BS120" s="1271"/>
      <c r="BT120" s="1271"/>
      <c r="BU120" s="1271"/>
      <c r="BV120" s="1271"/>
      <c r="BW120" s="1271"/>
      <c r="BX120" s="1271"/>
      <c r="BY120" s="1271"/>
      <c r="BZ120" s="1271"/>
      <c r="CA120" s="1271"/>
      <c r="CB120" s="1271"/>
      <c r="CC120" s="1271"/>
      <c r="CD120" s="1271"/>
      <c r="CE120" s="1271"/>
      <c r="CF120" s="1271"/>
      <c r="CG120" s="1271"/>
      <c r="CH120" s="1271"/>
      <c r="CI120" s="1271"/>
      <c r="CJ120" s="1271"/>
      <c r="CK120" s="1271"/>
      <c r="CL120" s="1271"/>
      <c r="CM120" s="1271"/>
      <c r="CN120" s="1271"/>
      <c r="CO120" s="1271"/>
      <c r="CP120" s="1271"/>
      <c r="CQ120" s="1271"/>
      <c r="CR120" s="1271"/>
      <c r="CS120" s="1271"/>
      <c r="CT120" s="1271"/>
      <c r="CU120" s="1271"/>
      <c r="CV120" s="1271"/>
      <c r="CW120" s="1271"/>
      <c r="CX120" s="1271"/>
      <c r="CY120" s="1271"/>
      <c r="CZ120" s="1271"/>
      <c r="DA120" s="1271"/>
      <c r="DB120" s="1271"/>
      <c r="DC120" s="1271"/>
      <c r="DD120" s="1271"/>
      <c r="DE120" s="1271"/>
      <c r="DF120" s="1271"/>
    </row>
    <row r="121" spans="1:110">
      <c r="A121" s="2309"/>
      <c r="B121" s="2333" t="s">
        <v>571</v>
      </c>
      <c r="C121" s="2333"/>
      <c r="D121" s="1285"/>
      <c r="E121" s="1285"/>
      <c r="F121" s="1285"/>
      <c r="G121" s="1285"/>
      <c r="H121" s="1285"/>
      <c r="I121" s="1285"/>
      <c r="J121" s="936"/>
      <c r="K121" s="936"/>
      <c r="L121" s="936">
        <f t="shared" ref="L121:BF121" si="72">((L$86-$H$4)/1000)*IF($C$13=0,$K$30,$K$47)*(($C$8/70)^$V$47)*IF($C$13=1,$AG$48,IF($C$13=2,$AH$48,IF($C$13=3,$AI$48,1)))</f>
        <v>775.23810000000003</v>
      </c>
      <c r="M121" s="936">
        <f t="shared" si="72"/>
        <v>885.9864</v>
      </c>
      <c r="N121" s="936">
        <f t="shared" si="72"/>
        <v>996.73470000000009</v>
      </c>
      <c r="O121" s="936">
        <f t="shared" si="72"/>
        <v>1107.4829999999999</v>
      </c>
      <c r="P121" s="936">
        <f t="shared" si="72"/>
        <v>1218.2313000000001</v>
      </c>
      <c r="Q121" s="936">
        <f t="shared" si="72"/>
        <v>1328.9795999999999</v>
      </c>
      <c r="R121" s="936">
        <f t="shared" si="72"/>
        <v>1439.7279000000001</v>
      </c>
      <c r="S121" s="936">
        <f t="shared" si="72"/>
        <v>1550.4762000000001</v>
      </c>
      <c r="T121" s="936">
        <f t="shared" si="72"/>
        <v>1661.2244999999998</v>
      </c>
      <c r="U121" s="936">
        <f t="shared" si="72"/>
        <v>1771.9728</v>
      </c>
      <c r="V121" s="936">
        <f t="shared" si="72"/>
        <v>1882.7211</v>
      </c>
      <c r="W121" s="936">
        <f t="shared" si="72"/>
        <v>1993.4694000000002</v>
      </c>
      <c r="X121" s="936">
        <f t="shared" si="72"/>
        <v>2104.2176999999997</v>
      </c>
      <c r="Y121" s="936">
        <f t="shared" si="72"/>
        <v>2214.9659999999999</v>
      </c>
      <c r="Z121" s="936">
        <f t="shared" si="72"/>
        <v>2325.7143000000001</v>
      </c>
      <c r="AA121" s="936">
        <f t="shared" si="72"/>
        <v>2436.4626000000003</v>
      </c>
      <c r="AB121" s="936">
        <f t="shared" si="72"/>
        <v>2547.2109</v>
      </c>
      <c r="AC121" s="936">
        <f t="shared" si="72"/>
        <v>2657.9591999999998</v>
      </c>
      <c r="AD121" s="936">
        <f t="shared" si="72"/>
        <v>2768.7075</v>
      </c>
      <c r="AE121" s="936">
        <f t="shared" si="72"/>
        <v>2879.4558000000002</v>
      </c>
      <c r="AF121" s="936">
        <f t="shared" si="72"/>
        <v>2990.2041000000004</v>
      </c>
      <c r="AG121" s="936">
        <f t="shared" si="72"/>
        <v>3100.9524000000001</v>
      </c>
      <c r="AH121" s="936">
        <f t="shared" si="72"/>
        <v>3211.7006999999999</v>
      </c>
      <c r="AI121" s="936">
        <f t="shared" si="72"/>
        <v>3322.4489999999996</v>
      </c>
      <c r="AJ121" s="936">
        <f t="shared" si="72"/>
        <v>3433.1972999999998</v>
      </c>
      <c r="AK121" s="936">
        <f t="shared" si="72"/>
        <v>3543.9456</v>
      </c>
      <c r="AL121" s="936">
        <f t="shared" si="72"/>
        <v>3654.6938999999998</v>
      </c>
      <c r="AM121" s="936">
        <f t="shared" si="72"/>
        <v>3765.4422</v>
      </c>
      <c r="AN121" s="936">
        <f t="shared" si="72"/>
        <v>3876.1904999999997</v>
      </c>
      <c r="AO121" s="936">
        <f t="shared" si="72"/>
        <v>3986.9388000000004</v>
      </c>
      <c r="AP121" s="936">
        <f t="shared" si="72"/>
        <v>4097.6871000000001</v>
      </c>
      <c r="AQ121" s="936">
        <f t="shared" si="72"/>
        <v>4208.4353999999994</v>
      </c>
      <c r="AR121" s="936">
        <f t="shared" si="72"/>
        <v>4319.1836999999996</v>
      </c>
      <c r="AS121" s="936">
        <f t="shared" si="72"/>
        <v>4429.9319999999998</v>
      </c>
      <c r="AT121" s="936">
        <f t="shared" si="72"/>
        <v>4540.6802999999991</v>
      </c>
      <c r="AU121" s="936">
        <f t="shared" si="72"/>
        <v>4651.4286000000002</v>
      </c>
      <c r="AV121" s="936">
        <f t="shared" si="72"/>
        <v>4762.1768999999995</v>
      </c>
      <c r="AW121" s="936">
        <f t="shared" si="72"/>
        <v>4872.9252000000006</v>
      </c>
      <c r="AX121" s="936">
        <f t="shared" si="72"/>
        <v>4983.6734999999999</v>
      </c>
      <c r="AY121" s="936">
        <f t="shared" si="72"/>
        <v>5094.4218000000001</v>
      </c>
      <c r="AZ121" s="936">
        <f t="shared" si="72"/>
        <v>5205.1701000000003</v>
      </c>
      <c r="BA121" s="936">
        <f t="shared" si="72"/>
        <v>5315.9183999999996</v>
      </c>
      <c r="BB121" s="936">
        <f t="shared" si="72"/>
        <v>5426.6666999999998</v>
      </c>
      <c r="BC121" s="936">
        <f t="shared" si="72"/>
        <v>5537.415</v>
      </c>
      <c r="BD121" s="936">
        <f t="shared" si="72"/>
        <v>5648.1632999999993</v>
      </c>
      <c r="BE121" s="936">
        <f t="shared" si="72"/>
        <v>5758.9116000000004</v>
      </c>
      <c r="BF121" s="936">
        <f t="shared" si="72"/>
        <v>5869.6598999999997</v>
      </c>
      <c r="BG121" s="17"/>
      <c r="BH121" s="17"/>
      <c r="BJ121" s="632">
        <f>0</f>
        <v>0</v>
      </c>
      <c r="BK121" s="632">
        <f>0</f>
        <v>0</v>
      </c>
      <c r="BL121" s="632">
        <f>0</f>
        <v>0</v>
      </c>
      <c r="BM121" s="632">
        <f>0</f>
        <v>0</v>
      </c>
      <c r="BN121" s="632">
        <f>0</f>
        <v>0</v>
      </c>
      <c r="BO121" s="632">
        <f>0</f>
        <v>0</v>
      </c>
      <c r="BP121" s="632">
        <f>0</f>
        <v>0</v>
      </c>
      <c r="BQ121" s="632">
        <f>0</f>
        <v>0</v>
      </c>
      <c r="BR121" s="632">
        <f>0</f>
        <v>0</v>
      </c>
      <c r="BS121" s="632">
        <f>0</f>
        <v>0</v>
      </c>
      <c r="BT121" s="632">
        <f>0</f>
        <v>0</v>
      </c>
      <c r="BU121" s="632">
        <f>0</f>
        <v>0</v>
      </c>
      <c r="BV121" s="632">
        <f>0</f>
        <v>0</v>
      </c>
      <c r="BW121" s="632">
        <f>0</f>
        <v>0</v>
      </c>
      <c r="BX121" s="632">
        <f>0</f>
        <v>0</v>
      </c>
      <c r="BY121" s="632">
        <f>0</f>
        <v>0</v>
      </c>
      <c r="BZ121" s="632">
        <f>0</f>
        <v>0</v>
      </c>
      <c r="CA121" s="632">
        <f>0</f>
        <v>0</v>
      </c>
      <c r="CB121" s="632">
        <f>0</f>
        <v>0</v>
      </c>
      <c r="CC121" s="632">
        <f>0</f>
        <v>0</v>
      </c>
      <c r="CD121" s="632">
        <f>0</f>
        <v>0</v>
      </c>
      <c r="CE121" s="632">
        <f>0</f>
        <v>0</v>
      </c>
      <c r="CF121" s="632">
        <f>0</f>
        <v>0</v>
      </c>
      <c r="CG121" s="632">
        <f>0</f>
        <v>0</v>
      </c>
      <c r="CH121" s="632">
        <f>0</f>
        <v>0</v>
      </c>
      <c r="CI121" s="632">
        <f>0</f>
        <v>0</v>
      </c>
      <c r="CJ121" s="632">
        <f>0</f>
        <v>0</v>
      </c>
      <c r="CK121" s="632">
        <f>0</f>
        <v>0</v>
      </c>
      <c r="CL121" s="632">
        <f>0</f>
        <v>0</v>
      </c>
      <c r="CM121" s="632">
        <f>0</f>
        <v>0</v>
      </c>
      <c r="CN121" s="632">
        <f>0</f>
        <v>0</v>
      </c>
      <c r="CO121" s="632">
        <f>0</f>
        <v>0</v>
      </c>
      <c r="CP121" s="632">
        <f>0</f>
        <v>0</v>
      </c>
      <c r="CQ121" s="632">
        <f>0</f>
        <v>0</v>
      </c>
      <c r="CR121" s="632">
        <f>0</f>
        <v>0</v>
      </c>
      <c r="CS121" s="632">
        <f>0</f>
        <v>0</v>
      </c>
      <c r="CT121" s="632">
        <f>0</f>
        <v>0</v>
      </c>
      <c r="CU121" s="632">
        <f>0</f>
        <v>0</v>
      </c>
      <c r="CV121" s="632">
        <f>0</f>
        <v>0</v>
      </c>
      <c r="CW121" s="632">
        <f>0</f>
        <v>0</v>
      </c>
      <c r="CX121" s="632">
        <f>0</f>
        <v>0</v>
      </c>
      <c r="CY121" s="632">
        <f>0</f>
        <v>0</v>
      </c>
      <c r="CZ121" s="632">
        <f>0</f>
        <v>0</v>
      </c>
      <c r="DA121" s="632">
        <f>0</f>
        <v>0</v>
      </c>
      <c r="DB121" s="632">
        <f>0</f>
        <v>0</v>
      </c>
      <c r="DC121" s="632">
        <f>0</f>
        <v>0</v>
      </c>
      <c r="DD121" s="632">
        <f>0</f>
        <v>0</v>
      </c>
      <c r="DE121" s="632">
        <f>0</f>
        <v>0</v>
      </c>
      <c r="DF121" s="632">
        <f>0</f>
        <v>0</v>
      </c>
    </row>
    <row r="122" spans="1:110">
      <c r="A122" s="2309"/>
      <c r="B122" s="2330" t="s">
        <v>572</v>
      </c>
      <c r="C122" s="2330"/>
      <c r="D122" s="1286"/>
      <c r="E122" s="1286"/>
      <c r="F122" s="1286"/>
      <c r="G122" s="1286"/>
      <c r="H122" s="1286"/>
      <c r="I122" s="1286"/>
      <c r="J122" s="937"/>
      <c r="K122" s="937"/>
      <c r="L122" s="937">
        <f t="shared" ref="L122:BF122" si="73">((L$86-$H$4)/1000)*IF($C$13=0,$L$30,$L$47)*(($C$8/70)^$W$47)*IF($C$13=1,$AG$49,IF($C$13=2,$AH$49,IF($C$13=3,$AI$49,1)))</f>
        <v>917.24723999999992</v>
      </c>
      <c r="M122" s="937">
        <f t="shared" si="73"/>
        <v>1048.2825600000001</v>
      </c>
      <c r="N122" s="937">
        <f t="shared" si="73"/>
        <v>1179.3178800000001</v>
      </c>
      <c r="O122" s="937">
        <f t="shared" si="73"/>
        <v>1310.3532</v>
      </c>
      <c r="P122" s="937">
        <f t="shared" si="73"/>
        <v>1441.38852</v>
      </c>
      <c r="Q122" s="937">
        <f t="shared" si="73"/>
        <v>1572.4238399999999</v>
      </c>
      <c r="R122" s="937">
        <f t="shared" si="73"/>
        <v>1703.4591600000001</v>
      </c>
      <c r="S122" s="937">
        <f t="shared" si="73"/>
        <v>1834.4944799999998</v>
      </c>
      <c r="T122" s="937">
        <f t="shared" si="73"/>
        <v>1965.5298</v>
      </c>
      <c r="U122" s="937">
        <f t="shared" si="73"/>
        <v>2096.5651200000002</v>
      </c>
      <c r="V122" s="937">
        <f t="shared" si="73"/>
        <v>2227.6004399999997</v>
      </c>
      <c r="W122" s="937">
        <f t="shared" si="73"/>
        <v>2358.6357600000001</v>
      </c>
      <c r="X122" s="937">
        <f t="shared" si="73"/>
        <v>2489.6710800000001</v>
      </c>
      <c r="Y122" s="937">
        <f t="shared" si="73"/>
        <v>2620.7064</v>
      </c>
      <c r="Z122" s="937">
        <f t="shared" si="73"/>
        <v>2751.74172</v>
      </c>
      <c r="AA122" s="937">
        <f t="shared" si="73"/>
        <v>2882.7770399999999</v>
      </c>
      <c r="AB122" s="937">
        <f t="shared" si="73"/>
        <v>3013.8123599999999</v>
      </c>
      <c r="AC122" s="937">
        <f t="shared" si="73"/>
        <v>3144.8476799999999</v>
      </c>
      <c r="AD122" s="937">
        <f t="shared" si="73"/>
        <v>3275.8829999999998</v>
      </c>
      <c r="AE122" s="937">
        <f t="shared" si="73"/>
        <v>3406.9183200000002</v>
      </c>
      <c r="AF122" s="937">
        <f t="shared" si="73"/>
        <v>3537.9536400000002</v>
      </c>
      <c r="AG122" s="937">
        <f t="shared" si="73"/>
        <v>3668.9889599999997</v>
      </c>
      <c r="AH122" s="937">
        <f t="shared" si="73"/>
        <v>3800.0242799999996</v>
      </c>
      <c r="AI122" s="937">
        <f t="shared" si="73"/>
        <v>3931.0596</v>
      </c>
      <c r="AJ122" s="937">
        <f t="shared" si="73"/>
        <v>4062.0949200000005</v>
      </c>
      <c r="AK122" s="937">
        <f t="shared" si="73"/>
        <v>4193.1302400000004</v>
      </c>
      <c r="AL122" s="937">
        <f t="shared" si="73"/>
        <v>4324.1655599999995</v>
      </c>
      <c r="AM122" s="937">
        <f t="shared" si="73"/>
        <v>4455.2008799999994</v>
      </c>
      <c r="AN122" s="937">
        <f t="shared" si="73"/>
        <v>4586.2362000000003</v>
      </c>
      <c r="AO122" s="937">
        <f t="shared" si="73"/>
        <v>4717.2715200000002</v>
      </c>
      <c r="AP122" s="937">
        <f t="shared" si="73"/>
        <v>4848.3068400000002</v>
      </c>
      <c r="AQ122" s="937">
        <f t="shared" si="73"/>
        <v>4979.3421600000001</v>
      </c>
      <c r="AR122" s="937">
        <f t="shared" si="73"/>
        <v>5110.3774799999992</v>
      </c>
      <c r="AS122" s="937">
        <f t="shared" si="73"/>
        <v>5241.4128000000001</v>
      </c>
      <c r="AT122" s="937">
        <f t="shared" si="73"/>
        <v>5372.44812</v>
      </c>
      <c r="AU122" s="937">
        <f t="shared" si="73"/>
        <v>5503.48344</v>
      </c>
      <c r="AV122" s="937">
        <f t="shared" si="73"/>
        <v>5634.5187599999999</v>
      </c>
      <c r="AW122" s="937">
        <f t="shared" si="73"/>
        <v>5765.5540799999999</v>
      </c>
      <c r="AX122" s="937">
        <f t="shared" si="73"/>
        <v>5896.5893999999998</v>
      </c>
      <c r="AY122" s="937">
        <f t="shared" si="73"/>
        <v>6027.6247199999998</v>
      </c>
      <c r="AZ122" s="937">
        <f t="shared" si="73"/>
        <v>6158.6600399999998</v>
      </c>
      <c r="BA122" s="937">
        <f t="shared" si="73"/>
        <v>6289.6953599999997</v>
      </c>
      <c r="BB122" s="937">
        <f t="shared" si="73"/>
        <v>6420.7306800000006</v>
      </c>
      <c r="BC122" s="937">
        <f t="shared" si="73"/>
        <v>6551.7659999999996</v>
      </c>
      <c r="BD122" s="937">
        <f t="shared" si="73"/>
        <v>6682.8013199999996</v>
      </c>
      <c r="BE122" s="937">
        <f t="shared" si="73"/>
        <v>6813.8366400000004</v>
      </c>
      <c r="BF122" s="937">
        <f t="shared" si="73"/>
        <v>6944.8719599999995</v>
      </c>
      <c r="BG122" s="17"/>
      <c r="BH122" s="17"/>
      <c r="BJ122" s="632" t="e">
        <f>#REF!/J122</f>
        <v>#REF!</v>
      </c>
      <c r="BK122" s="632" t="e">
        <f>#REF!/K122</f>
        <v>#REF!</v>
      </c>
      <c r="BL122" s="632" t="e">
        <f>#REF!/L122</f>
        <v>#REF!</v>
      </c>
      <c r="BM122" s="632" t="e">
        <f>#REF!/M122</f>
        <v>#REF!</v>
      </c>
      <c r="BN122" s="632" t="e">
        <f>#REF!/N122</f>
        <v>#REF!</v>
      </c>
      <c r="BO122" s="632" t="e">
        <f>#REF!/O122</f>
        <v>#REF!</v>
      </c>
      <c r="BP122" s="632" t="e">
        <f>#REF!/P122</f>
        <v>#REF!</v>
      </c>
      <c r="BQ122" s="632" t="e">
        <f>#REF!/Q122</f>
        <v>#REF!</v>
      </c>
      <c r="BR122" s="632" t="e">
        <f>#REF!/R122</f>
        <v>#REF!</v>
      </c>
      <c r="BS122" s="632" t="e">
        <f>#REF!/S122</f>
        <v>#REF!</v>
      </c>
      <c r="BT122" s="632" t="e">
        <f>#REF!/T122</f>
        <v>#REF!</v>
      </c>
      <c r="BU122" s="632" t="e">
        <f>#REF!/U122</f>
        <v>#REF!</v>
      </c>
      <c r="BV122" s="632" t="e">
        <f>#REF!/V122</f>
        <v>#REF!</v>
      </c>
      <c r="BW122" s="632" t="e">
        <f>#REF!/W122</f>
        <v>#REF!</v>
      </c>
      <c r="BX122" s="632" t="e">
        <f>#REF!/X122</f>
        <v>#REF!</v>
      </c>
      <c r="BY122" s="632" t="e">
        <f>#REF!/Y122</f>
        <v>#REF!</v>
      </c>
      <c r="BZ122" s="632" t="e">
        <f>#REF!/Z122</f>
        <v>#REF!</v>
      </c>
      <c r="CA122" s="632" t="e">
        <f>#REF!/AA122</f>
        <v>#REF!</v>
      </c>
      <c r="CB122" s="632" t="e">
        <f>#REF!/AB122</f>
        <v>#REF!</v>
      </c>
      <c r="CC122" s="632" t="e">
        <f>#REF!/AC122</f>
        <v>#REF!</v>
      </c>
      <c r="CD122" s="632" t="e">
        <f>#REF!/AD122</f>
        <v>#REF!</v>
      </c>
      <c r="CE122" s="632" t="e">
        <f>#REF!/AE122</f>
        <v>#REF!</v>
      </c>
      <c r="CF122" s="632" t="e">
        <f>#REF!/AF122</f>
        <v>#REF!</v>
      </c>
      <c r="CG122" s="632" t="e">
        <f>#REF!/AG122</f>
        <v>#REF!</v>
      </c>
      <c r="CH122" s="632" t="e">
        <f>#REF!/AH122</f>
        <v>#REF!</v>
      </c>
      <c r="CI122" s="632" t="e">
        <f>#REF!/AI122</f>
        <v>#REF!</v>
      </c>
      <c r="CJ122" s="632" t="e">
        <f>#REF!/AJ122</f>
        <v>#REF!</v>
      </c>
      <c r="CK122" s="632" t="e">
        <f>#REF!/AK122</f>
        <v>#REF!</v>
      </c>
      <c r="CL122" s="632" t="e">
        <f>#REF!/AL122</f>
        <v>#REF!</v>
      </c>
      <c r="CM122" s="632" t="e">
        <f>#REF!/AM122</f>
        <v>#REF!</v>
      </c>
      <c r="CN122" s="632" t="e">
        <f>#REF!/AN122</f>
        <v>#REF!</v>
      </c>
      <c r="CO122" s="632" t="e">
        <f>#REF!/AO122</f>
        <v>#REF!</v>
      </c>
      <c r="CP122" s="632" t="e">
        <f>#REF!/AP122</f>
        <v>#REF!</v>
      </c>
      <c r="CQ122" s="632" t="e">
        <f>#REF!/AQ122</f>
        <v>#REF!</v>
      </c>
      <c r="CR122" s="632" t="e">
        <f>#REF!/AR122</f>
        <v>#REF!</v>
      </c>
      <c r="CS122" s="632" t="e">
        <f>#REF!/AS122</f>
        <v>#REF!</v>
      </c>
      <c r="CT122" s="632" t="e">
        <f>#REF!/AT122</f>
        <v>#REF!</v>
      </c>
      <c r="CU122" s="632" t="e">
        <f>#REF!/AU122</f>
        <v>#REF!</v>
      </c>
      <c r="CV122" s="632" t="e">
        <f>#REF!/AV122</f>
        <v>#REF!</v>
      </c>
      <c r="CW122" s="632" t="e">
        <f>#REF!/AW122</f>
        <v>#REF!</v>
      </c>
      <c r="CX122" s="632" t="e">
        <f>#REF!/AX122</f>
        <v>#REF!</v>
      </c>
      <c r="CY122" s="632" t="e">
        <f>#REF!/AY122</f>
        <v>#REF!</v>
      </c>
      <c r="CZ122" s="632" t="e">
        <f>#REF!/AZ122</f>
        <v>#REF!</v>
      </c>
      <c r="DA122" s="632" t="e">
        <f>#REF!/BA122</f>
        <v>#REF!</v>
      </c>
      <c r="DB122" s="632" t="e">
        <f>#REF!/BB122</f>
        <v>#REF!</v>
      </c>
      <c r="DC122" s="632" t="e">
        <f>#REF!/BC122</f>
        <v>#REF!</v>
      </c>
      <c r="DD122" s="632" t="e">
        <f>#REF!/BD122</f>
        <v>#REF!</v>
      </c>
      <c r="DE122" s="632" t="e">
        <f>#REF!/BE122</f>
        <v>#REF!</v>
      </c>
      <c r="DF122" s="632" t="e">
        <f>#REF!/BF122</f>
        <v>#REF!</v>
      </c>
    </row>
    <row r="123" spans="1:110">
      <c r="A123" s="2309"/>
      <c r="B123" s="2330" t="s">
        <v>573</v>
      </c>
      <c r="C123" s="2330"/>
      <c r="D123" s="1286"/>
      <c r="E123" s="1286"/>
      <c r="F123" s="1286"/>
      <c r="G123" s="1286"/>
      <c r="H123" s="1286"/>
      <c r="I123" s="1286"/>
      <c r="J123" s="937"/>
      <c r="K123" s="937"/>
      <c r="L123" s="937">
        <f t="shared" ref="L123:BF123" si="74">((L$86-$H$4)/1000)*IF($C$13=0,$M$30,$M$47)*(($C$8/70)^$X$47)*IF($C$13=1,$AG$47,IF($C$13=2,$AH$47,IF($C$13=3,$AI$47,1)))</f>
        <v>2053.8281399999996</v>
      </c>
      <c r="M123" s="937">
        <f t="shared" si="74"/>
        <v>2347.23216</v>
      </c>
      <c r="N123" s="937">
        <f t="shared" si="74"/>
        <v>2640.6361799999995</v>
      </c>
      <c r="O123" s="937">
        <f t="shared" si="74"/>
        <v>2934.0401999999999</v>
      </c>
      <c r="P123" s="937">
        <f t="shared" si="74"/>
        <v>3227.4442199999999</v>
      </c>
      <c r="Q123" s="937">
        <f t="shared" si="74"/>
        <v>3520.8482399999998</v>
      </c>
      <c r="R123" s="937">
        <f t="shared" si="74"/>
        <v>3814.2522599999998</v>
      </c>
      <c r="S123" s="937">
        <f t="shared" si="74"/>
        <v>4107.6562799999992</v>
      </c>
      <c r="T123" s="937">
        <f t="shared" si="74"/>
        <v>4401.0603000000001</v>
      </c>
      <c r="U123" s="937">
        <f t="shared" si="74"/>
        <v>4694.46432</v>
      </c>
      <c r="V123" s="937">
        <f t="shared" si="74"/>
        <v>4987.8683399999991</v>
      </c>
      <c r="W123" s="937">
        <f t="shared" si="74"/>
        <v>5281.272359999999</v>
      </c>
      <c r="X123" s="937">
        <f t="shared" si="74"/>
        <v>5574.676379999999</v>
      </c>
      <c r="Y123" s="937">
        <f t="shared" si="74"/>
        <v>5868.0803999999998</v>
      </c>
      <c r="Z123" s="937">
        <f t="shared" si="74"/>
        <v>6161.4844199999998</v>
      </c>
      <c r="AA123" s="937">
        <f t="shared" si="74"/>
        <v>6454.8884399999997</v>
      </c>
      <c r="AB123" s="937">
        <f t="shared" si="74"/>
        <v>6748.2924599999988</v>
      </c>
      <c r="AC123" s="937">
        <f t="shared" si="74"/>
        <v>7041.6964799999996</v>
      </c>
      <c r="AD123" s="937">
        <f t="shared" si="74"/>
        <v>7335.1004999999996</v>
      </c>
      <c r="AE123" s="937">
        <f t="shared" si="74"/>
        <v>7628.5045199999995</v>
      </c>
      <c r="AF123" s="937">
        <f t="shared" si="74"/>
        <v>7921.9085400000004</v>
      </c>
      <c r="AG123" s="937">
        <f t="shared" si="74"/>
        <v>8215.3125599999985</v>
      </c>
      <c r="AH123" s="937">
        <f t="shared" si="74"/>
        <v>8508.7165799999984</v>
      </c>
      <c r="AI123" s="937">
        <f t="shared" si="74"/>
        <v>8802.1206000000002</v>
      </c>
      <c r="AJ123" s="937">
        <f t="shared" si="74"/>
        <v>9095.5246200000001</v>
      </c>
      <c r="AK123" s="937">
        <f t="shared" si="74"/>
        <v>9388.9286400000001</v>
      </c>
      <c r="AL123" s="937">
        <f t="shared" si="74"/>
        <v>9682.3326599999982</v>
      </c>
      <c r="AM123" s="937">
        <f t="shared" si="74"/>
        <v>9975.7366799999982</v>
      </c>
      <c r="AN123" s="937">
        <f t="shared" si="74"/>
        <v>10269.140699999998</v>
      </c>
      <c r="AO123" s="937">
        <f t="shared" si="74"/>
        <v>10562.544719999998</v>
      </c>
      <c r="AP123" s="937">
        <f t="shared" si="74"/>
        <v>10855.94874</v>
      </c>
      <c r="AQ123" s="937">
        <f t="shared" si="74"/>
        <v>11149.352759999998</v>
      </c>
      <c r="AR123" s="937">
        <f t="shared" si="74"/>
        <v>11442.756779999998</v>
      </c>
      <c r="AS123" s="937">
        <f t="shared" si="74"/>
        <v>11736.1608</v>
      </c>
      <c r="AT123" s="937">
        <f t="shared" si="74"/>
        <v>12029.564819999998</v>
      </c>
      <c r="AU123" s="937">
        <f t="shared" si="74"/>
        <v>12322.96884</v>
      </c>
      <c r="AV123" s="937">
        <f t="shared" si="74"/>
        <v>12616.372859999999</v>
      </c>
      <c r="AW123" s="937">
        <f t="shared" si="74"/>
        <v>12909.776879999999</v>
      </c>
      <c r="AX123" s="937">
        <f t="shared" si="74"/>
        <v>13203.180899999999</v>
      </c>
      <c r="AY123" s="937">
        <f t="shared" si="74"/>
        <v>13496.584919999998</v>
      </c>
      <c r="AZ123" s="937">
        <f t="shared" si="74"/>
        <v>13789.988939999999</v>
      </c>
      <c r="BA123" s="937">
        <f t="shared" si="74"/>
        <v>14083.392959999999</v>
      </c>
      <c r="BB123" s="937">
        <f t="shared" si="74"/>
        <v>14376.796979999999</v>
      </c>
      <c r="BC123" s="937">
        <f t="shared" si="74"/>
        <v>14670.200999999999</v>
      </c>
      <c r="BD123" s="937">
        <f t="shared" si="74"/>
        <v>14963.605019999999</v>
      </c>
      <c r="BE123" s="937">
        <f t="shared" si="74"/>
        <v>15257.009039999999</v>
      </c>
      <c r="BF123" s="937">
        <f t="shared" si="74"/>
        <v>15550.413059999997</v>
      </c>
      <c r="BG123" s="17"/>
      <c r="BH123" s="17"/>
      <c r="BJ123" s="632" t="e">
        <f t="shared" ref="BJ123:BS124" si="75">H151/J123</f>
        <v>#DIV/0!</v>
      </c>
      <c r="BK123" s="632" t="e">
        <f t="shared" si="75"/>
        <v>#DIV/0!</v>
      </c>
      <c r="BL123" s="632">
        <f t="shared" si="75"/>
        <v>0.45054945054945056</v>
      </c>
      <c r="BM123" s="632">
        <f t="shared" si="75"/>
        <v>0.47307692307692301</v>
      </c>
      <c r="BN123" s="632">
        <f t="shared" si="75"/>
        <v>0.49059829059829052</v>
      </c>
      <c r="BO123" s="632">
        <f t="shared" si="75"/>
        <v>0.50461538461538458</v>
      </c>
      <c r="BP123" s="632">
        <f t="shared" si="75"/>
        <v>0.51608391608391602</v>
      </c>
      <c r="BQ123" s="632">
        <f t="shared" si="75"/>
        <v>0.52564102564102555</v>
      </c>
      <c r="BR123" s="632">
        <f t="shared" si="75"/>
        <v>0.53372781065088759</v>
      </c>
      <c r="BS123" s="632">
        <f t="shared" si="75"/>
        <v>0.54065934065934063</v>
      </c>
      <c r="BT123" s="632">
        <f t="shared" ref="BT123:CC124" si="76">R151/T123</f>
        <v>0.54666666666666652</v>
      </c>
      <c r="BU123" s="632">
        <f t="shared" si="76"/>
        <v>0.55192307692307674</v>
      </c>
      <c r="BV123" s="632">
        <f t="shared" si="76"/>
        <v>0.5565610859728507</v>
      </c>
      <c r="BW123" s="632">
        <f t="shared" si="76"/>
        <v>0.56068376068376069</v>
      </c>
      <c r="BX123" s="632">
        <f t="shared" si="76"/>
        <v>0.56437246963562748</v>
      </c>
      <c r="BY123" s="632">
        <f t="shared" si="76"/>
        <v>0.56769230769230761</v>
      </c>
      <c r="BZ123" s="632">
        <f t="shared" si="76"/>
        <v>0.57069597069597056</v>
      </c>
      <c r="CA123" s="632">
        <f t="shared" si="76"/>
        <v>0.57342657342657333</v>
      </c>
      <c r="CB123" s="632">
        <f t="shared" si="76"/>
        <v>0.57591973244147165</v>
      </c>
      <c r="CC123" s="632">
        <f t="shared" si="76"/>
        <v>0.57820512820512815</v>
      </c>
      <c r="CD123" s="632">
        <f t="shared" ref="CD123:CM124" si="77">AB151/AD123</f>
        <v>0.5803076923076923</v>
      </c>
      <c r="CE123" s="632">
        <f t="shared" si="77"/>
        <v>0.58224852071005906</v>
      </c>
      <c r="CF123" s="632">
        <f t="shared" si="77"/>
        <v>0.58404558404558382</v>
      </c>
      <c r="CG123" s="632">
        <f t="shared" si="77"/>
        <v>0.58571428571428574</v>
      </c>
      <c r="CH123" s="632">
        <f t="shared" si="77"/>
        <v>0.58726790450928379</v>
      </c>
      <c r="CI123" s="632">
        <f t="shared" si="77"/>
        <v>0.58871794871794858</v>
      </c>
      <c r="CJ123" s="632">
        <f t="shared" si="77"/>
        <v>0.5900744416873448</v>
      </c>
      <c r="CK123" s="632">
        <f t="shared" si="77"/>
        <v>0.59134615384615374</v>
      </c>
      <c r="CL123" s="632">
        <f t="shared" si="77"/>
        <v>0.5925407925407925</v>
      </c>
      <c r="CM123" s="632">
        <f t="shared" si="77"/>
        <v>0.59366515837104084</v>
      </c>
      <c r="CN123" s="632">
        <f t="shared" ref="CN123:CW124" si="78">AL151/AN123</f>
        <v>0.5947252747252747</v>
      </c>
      <c r="CO123" s="632">
        <f t="shared" si="78"/>
        <v>0.59572649572649572</v>
      </c>
      <c r="CP123" s="632">
        <f t="shared" si="78"/>
        <v>0.59667359667359665</v>
      </c>
      <c r="CQ123" s="632">
        <f t="shared" si="78"/>
        <v>0.59757085020242917</v>
      </c>
      <c r="CR123" s="632">
        <f t="shared" si="78"/>
        <v>0.59842209072978314</v>
      </c>
      <c r="CS123" s="632">
        <f t="shared" si="78"/>
        <v>0.59923076923076912</v>
      </c>
      <c r="CT123" s="632">
        <f t="shared" si="78"/>
        <v>0.6</v>
      </c>
      <c r="CU123" s="632">
        <f t="shared" si="78"/>
        <v>0.60073260073260071</v>
      </c>
      <c r="CV123" s="632">
        <f t="shared" si="78"/>
        <v>0.60143112701252222</v>
      </c>
      <c r="CW123" s="632">
        <f t="shared" si="78"/>
        <v>0.60209790209790204</v>
      </c>
      <c r="CX123" s="632">
        <f t="shared" ref="CX123:DF124" si="79">AV151/AX123</f>
        <v>0.60273504273504264</v>
      </c>
      <c r="CY123" s="632">
        <f t="shared" si="79"/>
        <v>0.60334448160535126</v>
      </c>
      <c r="CZ123" s="632">
        <f t="shared" si="79"/>
        <v>0.60392798690671023</v>
      </c>
      <c r="DA123" s="632">
        <f t="shared" si="79"/>
        <v>0.60448717948717945</v>
      </c>
      <c r="DB123" s="632">
        <f t="shared" si="79"/>
        <v>0.60502354788069068</v>
      </c>
      <c r="DC123" s="632">
        <f t="shared" si="79"/>
        <v>0.60553846153846147</v>
      </c>
      <c r="DD123" s="632">
        <f t="shared" si="79"/>
        <v>0.6060331825037707</v>
      </c>
      <c r="DE123" s="632">
        <f t="shared" si="79"/>
        <v>0.60650887573964485</v>
      </c>
      <c r="DF123" s="632">
        <f t="shared" si="79"/>
        <v>0.60696661828737297</v>
      </c>
    </row>
    <row r="124" spans="1:110">
      <c r="A124" s="2309"/>
      <c r="B124" s="2330" t="s">
        <v>574</v>
      </c>
      <c r="C124" s="2330"/>
      <c r="D124" s="1286"/>
      <c r="E124" s="1286"/>
      <c r="F124" s="1286"/>
      <c r="G124" s="1286"/>
      <c r="H124" s="1286"/>
      <c r="I124" s="1286"/>
      <c r="J124" s="937"/>
      <c r="K124" s="937"/>
      <c r="L124" s="937">
        <f t="shared" ref="L124:BF124" si="80">((L$86-$H$4)/1000)*IF($C$13=0,$O$30,($O$47*1.1))*(($C$8/70)^$Z$47)*IF($C$13=1,$AG$50,IF($C$13=2,$AH$50,IF($C$13=3,$AI$50,1)))</f>
        <v>2199.5953979999999</v>
      </c>
      <c r="M124" s="937">
        <f t="shared" si="80"/>
        <v>2513.8233120000004</v>
      </c>
      <c r="N124" s="937">
        <f t="shared" si="80"/>
        <v>2828.0512260000005</v>
      </c>
      <c r="O124" s="937">
        <f t="shared" si="80"/>
        <v>3142.2791400000006</v>
      </c>
      <c r="P124" s="937">
        <f t="shared" si="80"/>
        <v>3456.5070540000011</v>
      </c>
      <c r="Q124" s="937">
        <f t="shared" si="80"/>
        <v>3770.7349680000002</v>
      </c>
      <c r="R124" s="937">
        <f t="shared" si="80"/>
        <v>4084.9628820000007</v>
      </c>
      <c r="S124" s="937">
        <f t="shared" si="80"/>
        <v>4399.1907959999999</v>
      </c>
      <c r="T124" s="937">
        <f t="shared" si="80"/>
        <v>4713.4187100000008</v>
      </c>
      <c r="U124" s="937">
        <f t="shared" si="80"/>
        <v>5027.6466240000009</v>
      </c>
      <c r="V124" s="937">
        <f t="shared" si="80"/>
        <v>5341.8745380000009</v>
      </c>
      <c r="W124" s="937">
        <f t="shared" si="80"/>
        <v>5656.102452000001</v>
      </c>
      <c r="X124" s="937">
        <f t="shared" si="80"/>
        <v>5970.330366000001</v>
      </c>
      <c r="Y124" s="937">
        <f t="shared" si="80"/>
        <v>6284.5582800000011</v>
      </c>
      <c r="Z124" s="937">
        <f t="shared" si="80"/>
        <v>6598.7861940000012</v>
      </c>
      <c r="AA124" s="937">
        <f t="shared" si="80"/>
        <v>6913.0141080000021</v>
      </c>
      <c r="AB124" s="937">
        <f t="shared" si="80"/>
        <v>7227.2420220000004</v>
      </c>
      <c r="AC124" s="937">
        <f t="shared" si="80"/>
        <v>7541.4699360000004</v>
      </c>
      <c r="AD124" s="937">
        <f t="shared" si="80"/>
        <v>7855.6978500000005</v>
      </c>
      <c r="AE124" s="937">
        <f t="shared" si="80"/>
        <v>8169.9257640000014</v>
      </c>
      <c r="AF124" s="937">
        <f t="shared" si="80"/>
        <v>8484.1536780000024</v>
      </c>
      <c r="AG124" s="937">
        <f t="shared" si="80"/>
        <v>8798.3815919999997</v>
      </c>
      <c r="AH124" s="937">
        <f t="shared" si="80"/>
        <v>9112.6095060000007</v>
      </c>
      <c r="AI124" s="937">
        <f t="shared" si="80"/>
        <v>9426.8374200000017</v>
      </c>
      <c r="AJ124" s="937">
        <f t="shared" si="80"/>
        <v>9741.0653340000026</v>
      </c>
      <c r="AK124" s="937">
        <f t="shared" si="80"/>
        <v>10055.293248000002</v>
      </c>
      <c r="AL124" s="937">
        <f t="shared" si="80"/>
        <v>10369.521162000001</v>
      </c>
      <c r="AM124" s="937">
        <f t="shared" si="80"/>
        <v>10683.749076000002</v>
      </c>
      <c r="AN124" s="937">
        <f t="shared" si="80"/>
        <v>10997.976990000003</v>
      </c>
      <c r="AO124" s="937">
        <f t="shared" si="80"/>
        <v>11312.204904000002</v>
      </c>
      <c r="AP124" s="937">
        <f t="shared" si="80"/>
        <v>11626.432818000001</v>
      </c>
      <c r="AQ124" s="937">
        <f t="shared" si="80"/>
        <v>11940.660732000002</v>
      </c>
      <c r="AR124" s="937">
        <f t="shared" si="80"/>
        <v>12254.888646000001</v>
      </c>
      <c r="AS124" s="937">
        <f t="shared" si="80"/>
        <v>12569.116560000002</v>
      </c>
      <c r="AT124" s="937">
        <f t="shared" si="80"/>
        <v>12883.344474000001</v>
      </c>
      <c r="AU124" s="937">
        <f t="shared" si="80"/>
        <v>13197.572388000002</v>
      </c>
      <c r="AV124" s="937">
        <f t="shared" si="80"/>
        <v>13511.800302000001</v>
      </c>
      <c r="AW124" s="937">
        <f t="shared" si="80"/>
        <v>13826.028216000004</v>
      </c>
      <c r="AX124" s="937">
        <f t="shared" si="80"/>
        <v>14140.256130000002</v>
      </c>
      <c r="AY124" s="937">
        <f t="shared" si="80"/>
        <v>14454.484044000001</v>
      </c>
      <c r="AZ124" s="937">
        <f t="shared" si="80"/>
        <v>14768.711958000004</v>
      </c>
      <c r="BA124" s="937">
        <f t="shared" si="80"/>
        <v>15082.939872000001</v>
      </c>
      <c r="BB124" s="937">
        <f t="shared" si="80"/>
        <v>15397.167786000004</v>
      </c>
      <c r="BC124" s="937">
        <f t="shared" si="80"/>
        <v>15711.395700000001</v>
      </c>
      <c r="BD124" s="937">
        <f t="shared" si="80"/>
        <v>16025.623614000002</v>
      </c>
      <c r="BE124" s="937">
        <f t="shared" si="80"/>
        <v>16339.851528000003</v>
      </c>
      <c r="BF124" s="937">
        <f t="shared" si="80"/>
        <v>16654.079442000002</v>
      </c>
      <c r="BG124" s="17"/>
      <c r="BH124" s="17"/>
      <c r="BJ124" s="632" t="e">
        <f t="shared" si="75"/>
        <v>#DIV/0!</v>
      </c>
      <c r="BK124" s="632" t="e">
        <f t="shared" si="75"/>
        <v>#DIV/0!</v>
      </c>
      <c r="BL124" s="632">
        <f t="shared" si="75"/>
        <v>0.40959040959040954</v>
      </c>
      <c r="BM124" s="632">
        <f t="shared" si="75"/>
        <v>0.43006993006992994</v>
      </c>
      <c r="BN124" s="632">
        <f t="shared" si="75"/>
        <v>0.44599844599844585</v>
      </c>
      <c r="BO124" s="632">
        <f t="shared" si="75"/>
        <v>0.45874125874125865</v>
      </c>
      <c r="BP124" s="632">
        <f t="shared" si="75"/>
        <v>0.46916719643992355</v>
      </c>
      <c r="BQ124" s="632">
        <f t="shared" si="75"/>
        <v>0.47785547785547777</v>
      </c>
      <c r="BR124" s="632">
        <f t="shared" si="75"/>
        <v>0.48520710059171585</v>
      </c>
      <c r="BS124" s="632">
        <f t="shared" si="75"/>
        <v>0.49150849150849146</v>
      </c>
      <c r="BT124" s="632">
        <f t="shared" si="76"/>
        <v>0.49696969696969684</v>
      </c>
      <c r="BU124" s="632">
        <f t="shared" si="76"/>
        <v>0.50174825174825155</v>
      </c>
      <c r="BV124" s="632">
        <f t="shared" si="76"/>
        <v>0.50596462361168226</v>
      </c>
      <c r="BW124" s="632">
        <f t="shared" si="76"/>
        <v>0.50971250971250959</v>
      </c>
      <c r="BX124" s="632">
        <f t="shared" si="76"/>
        <v>0.51306588148693388</v>
      </c>
      <c r="BY124" s="632">
        <f t="shared" si="76"/>
        <v>0.51608391608391591</v>
      </c>
      <c r="BZ124" s="632">
        <f t="shared" si="76"/>
        <v>0.51881451881451868</v>
      </c>
      <c r="CA124" s="632">
        <f t="shared" si="76"/>
        <v>0.52129688493324833</v>
      </c>
      <c r="CB124" s="632">
        <f t="shared" si="76"/>
        <v>0.52356339312861044</v>
      </c>
      <c r="CC124" s="632">
        <f t="shared" si="76"/>
        <v>0.52564102564102555</v>
      </c>
      <c r="CD124" s="632">
        <f t="shared" si="77"/>
        <v>0.52755244755244746</v>
      </c>
      <c r="CE124" s="632">
        <f t="shared" si="77"/>
        <v>0.52931683700914456</v>
      </c>
      <c r="CF124" s="632">
        <f t="shared" si="77"/>
        <v>0.5309505309505308</v>
      </c>
      <c r="CG124" s="632">
        <f t="shared" si="77"/>
        <v>0.53246753246753242</v>
      </c>
      <c r="CH124" s="632">
        <f t="shared" si="77"/>
        <v>0.53387991319025796</v>
      </c>
      <c r="CI124" s="632">
        <f t="shared" si="77"/>
        <v>0.53519813519813497</v>
      </c>
      <c r="CJ124" s="632">
        <f t="shared" si="77"/>
        <v>0.53643131062485883</v>
      </c>
      <c r="CK124" s="632">
        <f t="shared" si="77"/>
        <v>0.53758741258741238</v>
      </c>
      <c r="CL124" s="632">
        <f t="shared" si="77"/>
        <v>0.53867344776435677</v>
      </c>
      <c r="CM124" s="632">
        <f t="shared" si="77"/>
        <v>0.53969559851912785</v>
      </c>
      <c r="CN124" s="632">
        <f t="shared" si="78"/>
        <v>0.5406593406593404</v>
      </c>
      <c r="CO124" s="632">
        <f t="shared" si="78"/>
        <v>0.5415695415695414</v>
      </c>
      <c r="CP124" s="632">
        <f t="shared" si="78"/>
        <v>0.54243054243054234</v>
      </c>
      <c r="CQ124" s="632">
        <f t="shared" si="78"/>
        <v>0.54324622745675366</v>
      </c>
      <c r="CR124" s="632">
        <f t="shared" si="78"/>
        <v>0.54402008248162081</v>
      </c>
      <c r="CS124" s="632">
        <f t="shared" si="78"/>
        <v>0.54475524475524462</v>
      </c>
      <c r="CT124" s="632">
        <f t="shared" si="78"/>
        <v>0.5454545454545453</v>
      </c>
      <c r="CU124" s="632">
        <f t="shared" si="78"/>
        <v>0.54612054612054595</v>
      </c>
      <c r="CV124" s="632">
        <f t="shared" si="78"/>
        <v>0.54675557001138375</v>
      </c>
      <c r="CW124" s="632">
        <f t="shared" si="78"/>
        <v>0.54736172917991077</v>
      </c>
      <c r="CX124" s="632">
        <f t="shared" si="79"/>
        <v>0.54794094794094772</v>
      </c>
      <c r="CY124" s="632">
        <f t="shared" si="79"/>
        <v>0.54849498327759194</v>
      </c>
      <c r="CZ124" s="632">
        <f t="shared" si="79"/>
        <v>0.54902544264246367</v>
      </c>
      <c r="DA124" s="632">
        <f t="shared" si="79"/>
        <v>0.54953379953379944</v>
      </c>
      <c r="DB124" s="632">
        <f t="shared" si="79"/>
        <v>0.55002140716426406</v>
      </c>
      <c r="DC124" s="632">
        <f t="shared" si="79"/>
        <v>0.55048951048951045</v>
      </c>
      <c r="DD124" s="632">
        <f t="shared" si="79"/>
        <v>0.55093925682160971</v>
      </c>
      <c r="DE124" s="632">
        <f t="shared" si="79"/>
        <v>0.55137170521785894</v>
      </c>
      <c r="DF124" s="632">
        <f t="shared" si="79"/>
        <v>0.55178783480670257</v>
      </c>
    </row>
    <row r="125" spans="1:110">
      <c r="A125" s="2309"/>
      <c r="B125" s="2330" t="s">
        <v>591</v>
      </c>
      <c r="C125" s="2330"/>
      <c r="D125" s="1286"/>
      <c r="E125" s="1286"/>
      <c r="F125" s="1286"/>
      <c r="G125" s="1286"/>
      <c r="H125" s="1286"/>
      <c r="I125" s="1286"/>
      <c r="J125" s="937"/>
      <c r="K125" s="937"/>
      <c r="L125" s="937">
        <f t="shared" ref="L125:AQ125" si="81">((L$86-$H$4)/1000)*IF($C$13=0,$P$30,$P$47)*(($C$8/70)^$AA$47)*IF($C$13=1,$AG$47,IF($C$13=2,$AH$47,IF($C$13=3,$AI$47,1)))</f>
        <v>2460.017742</v>
      </c>
      <c r="M125" s="937">
        <f t="shared" si="81"/>
        <v>2811.4488480000005</v>
      </c>
      <c r="N125" s="937">
        <f t="shared" si="81"/>
        <v>3162.8799540000005</v>
      </c>
      <c r="O125" s="937">
        <f t="shared" si="81"/>
        <v>3514.3110600000005</v>
      </c>
      <c r="P125" s="937">
        <f t="shared" si="81"/>
        <v>3865.7421660000005</v>
      </c>
      <c r="Q125" s="937">
        <f t="shared" si="81"/>
        <v>4217.173272</v>
      </c>
      <c r="R125" s="937">
        <f t="shared" si="81"/>
        <v>4568.6043780000009</v>
      </c>
      <c r="S125" s="937">
        <f t="shared" si="81"/>
        <v>4920.035484</v>
      </c>
      <c r="T125" s="937">
        <f t="shared" si="81"/>
        <v>5271.46659</v>
      </c>
      <c r="U125" s="937">
        <f t="shared" si="81"/>
        <v>5622.8976960000009</v>
      </c>
      <c r="V125" s="937">
        <f t="shared" si="81"/>
        <v>5974.328802</v>
      </c>
      <c r="W125" s="937">
        <f t="shared" si="81"/>
        <v>6325.7599080000009</v>
      </c>
      <c r="X125" s="937">
        <f t="shared" si="81"/>
        <v>6677.191014</v>
      </c>
      <c r="Y125" s="937">
        <f t="shared" si="81"/>
        <v>7028.6221200000009</v>
      </c>
      <c r="Z125" s="937">
        <f t="shared" si="81"/>
        <v>7380.0532260000009</v>
      </c>
      <c r="AA125" s="937">
        <f t="shared" si="81"/>
        <v>7731.4843320000009</v>
      </c>
      <c r="AB125" s="937">
        <f t="shared" si="81"/>
        <v>8082.915438</v>
      </c>
      <c r="AC125" s="937">
        <f t="shared" si="81"/>
        <v>8434.346544</v>
      </c>
      <c r="AD125" s="937">
        <f t="shared" si="81"/>
        <v>8785.77765</v>
      </c>
      <c r="AE125" s="937">
        <f t="shared" si="81"/>
        <v>9137.2087560000018</v>
      </c>
      <c r="AF125" s="937">
        <f t="shared" si="81"/>
        <v>9488.6398620000018</v>
      </c>
      <c r="AG125" s="937">
        <f t="shared" si="81"/>
        <v>9840.070968</v>
      </c>
      <c r="AH125" s="937">
        <f t="shared" si="81"/>
        <v>10191.502074</v>
      </c>
      <c r="AI125" s="937">
        <f t="shared" si="81"/>
        <v>10542.93318</v>
      </c>
      <c r="AJ125" s="937">
        <f t="shared" si="81"/>
        <v>10894.364286000002</v>
      </c>
      <c r="AK125" s="937">
        <f t="shared" si="81"/>
        <v>11245.795392000002</v>
      </c>
      <c r="AL125" s="937">
        <f t="shared" si="81"/>
        <v>11597.226498</v>
      </c>
      <c r="AM125" s="937">
        <f t="shared" si="81"/>
        <v>11948.657604</v>
      </c>
      <c r="AN125" s="937">
        <f t="shared" si="81"/>
        <v>12300.08871</v>
      </c>
      <c r="AO125" s="937">
        <f t="shared" si="81"/>
        <v>12651.519816000002</v>
      </c>
      <c r="AP125" s="937">
        <f t="shared" si="81"/>
        <v>13002.950922000002</v>
      </c>
      <c r="AQ125" s="937">
        <f t="shared" si="81"/>
        <v>13354.382028</v>
      </c>
      <c r="AR125" s="937">
        <f t="shared" ref="AR125:BW125" si="82">((AR$86-$H$4)/1000)*IF($C$13=0,$P$30,$P$47)*(($C$8/70)^$AA$47)*IF($C$13=1,$AG$47,IF($C$13=2,$AH$47,IF($C$13=3,$AI$47,1)))</f>
        <v>13705.813134</v>
      </c>
      <c r="AS125" s="937">
        <f t="shared" si="82"/>
        <v>14057.244240000002</v>
      </c>
      <c r="AT125" s="937">
        <f t="shared" si="82"/>
        <v>14408.675346</v>
      </c>
      <c r="AU125" s="937">
        <f t="shared" si="82"/>
        <v>14760.106452000002</v>
      </c>
      <c r="AV125" s="937">
        <f t="shared" si="82"/>
        <v>15111.537558</v>
      </c>
      <c r="AW125" s="937">
        <f t="shared" si="82"/>
        <v>15462.968664000002</v>
      </c>
      <c r="AX125" s="937">
        <f t="shared" si="82"/>
        <v>15814.399770000002</v>
      </c>
      <c r="AY125" s="937">
        <f t="shared" si="82"/>
        <v>16165.830876</v>
      </c>
      <c r="AZ125" s="937">
        <f t="shared" si="82"/>
        <v>16517.261982000004</v>
      </c>
      <c r="BA125" s="937">
        <f t="shared" si="82"/>
        <v>16868.693088</v>
      </c>
      <c r="BB125" s="937">
        <f t="shared" si="82"/>
        <v>17220.124194000004</v>
      </c>
      <c r="BC125" s="937">
        <f t="shared" si="82"/>
        <v>17571.5553</v>
      </c>
      <c r="BD125" s="937">
        <f t="shared" si="82"/>
        <v>17922.986406</v>
      </c>
      <c r="BE125" s="937">
        <f t="shared" si="82"/>
        <v>18274.417512000004</v>
      </c>
      <c r="BF125" s="937">
        <f t="shared" si="82"/>
        <v>18625.848618</v>
      </c>
      <c r="BG125" s="937">
        <f t="shared" si="82"/>
        <v>-2460.017742</v>
      </c>
      <c r="BH125" s="937">
        <f t="shared" si="82"/>
        <v>-2460.017742</v>
      </c>
      <c r="BI125" s="937">
        <f t="shared" si="82"/>
        <v>-2460.017742</v>
      </c>
      <c r="BJ125" s="937">
        <f t="shared" si="82"/>
        <v>1054.293318</v>
      </c>
      <c r="BK125" s="937">
        <f t="shared" si="82"/>
        <v>1405.7244240000002</v>
      </c>
      <c r="BL125" s="937">
        <f t="shared" si="82"/>
        <v>1757.1555300000002</v>
      </c>
      <c r="BM125" s="937">
        <f t="shared" si="82"/>
        <v>2108.586636</v>
      </c>
      <c r="BN125" s="937">
        <f t="shared" si="82"/>
        <v>2460.017742</v>
      </c>
      <c r="BO125" s="937">
        <f t="shared" si="82"/>
        <v>2811.4488480000005</v>
      </c>
      <c r="BP125" s="937">
        <f t="shared" si="82"/>
        <v>3162.8799540000005</v>
      </c>
      <c r="BQ125" s="937">
        <f t="shared" si="82"/>
        <v>3514.3110600000005</v>
      </c>
      <c r="BR125" s="937">
        <f t="shared" si="82"/>
        <v>3865.7421660000005</v>
      </c>
      <c r="BS125" s="937">
        <f t="shared" si="82"/>
        <v>4217.173272</v>
      </c>
      <c r="BT125" s="937">
        <f t="shared" si="82"/>
        <v>4568.6043780000009</v>
      </c>
      <c r="BU125" s="937">
        <f t="shared" si="82"/>
        <v>4920.035484</v>
      </c>
      <c r="BV125" s="937">
        <f t="shared" si="82"/>
        <v>5271.46659</v>
      </c>
      <c r="BW125" s="937">
        <f t="shared" si="82"/>
        <v>5622.8976960000009</v>
      </c>
      <c r="BX125" s="937">
        <f t="shared" ref="BX125:DF125" si="83">((BX$86-$H$4)/1000)*IF($C$13=0,$P$30,$P$47)*(($C$8/70)^$AA$47)*IF($C$13=1,$AG$47,IF($C$13=2,$AH$47,IF($C$13=3,$AI$47,1)))</f>
        <v>5974.328802</v>
      </c>
      <c r="BY125" s="937">
        <f t="shared" si="83"/>
        <v>6325.7599080000009</v>
      </c>
      <c r="BZ125" s="937">
        <f t="shared" si="83"/>
        <v>6677.191014</v>
      </c>
      <c r="CA125" s="937">
        <f t="shared" si="83"/>
        <v>7028.6221200000009</v>
      </c>
      <c r="CB125" s="937">
        <f t="shared" si="83"/>
        <v>7380.0532260000009</v>
      </c>
      <c r="CC125" s="937">
        <f t="shared" si="83"/>
        <v>7731.4843320000009</v>
      </c>
      <c r="CD125" s="937">
        <f t="shared" si="83"/>
        <v>8082.915438</v>
      </c>
      <c r="CE125" s="937">
        <f t="shared" si="83"/>
        <v>8434.346544</v>
      </c>
      <c r="CF125" s="937">
        <f t="shared" si="83"/>
        <v>8785.77765</v>
      </c>
      <c r="CG125" s="937">
        <f t="shared" si="83"/>
        <v>9137.2087560000018</v>
      </c>
      <c r="CH125" s="937">
        <f t="shared" si="83"/>
        <v>9488.6398620000018</v>
      </c>
      <c r="CI125" s="937">
        <f t="shared" si="83"/>
        <v>9840.070968</v>
      </c>
      <c r="CJ125" s="937">
        <f t="shared" si="83"/>
        <v>10191.502074</v>
      </c>
      <c r="CK125" s="937">
        <f t="shared" si="83"/>
        <v>10542.93318</v>
      </c>
      <c r="CL125" s="937">
        <f t="shared" si="83"/>
        <v>10894.364286000002</v>
      </c>
      <c r="CM125" s="937">
        <f t="shared" si="83"/>
        <v>11245.795392000002</v>
      </c>
      <c r="CN125" s="937">
        <f t="shared" si="83"/>
        <v>11597.226498</v>
      </c>
      <c r="CO125" s="937">
        <f t="shared" si="83"/>
        <v>11948.657604</v>
      </c>
      <c r="CP125" s="937">
        <f t="shared" si="83"/>
        <v>12300.08871</v>
      </c>
      <c r="CQ125" s="937">
        <f t="shared" si="83"/>
        <v>12651.519816000002</v>
      </c>
      <c r="CR125" s="937">
        <f t="shared" si="83"/>
        <v>13002.950922000002</v>
      </c>
      <c r="CS125" s="937">
        <f t="shared" si="83"/>
        <v>13354.382028</v>
      </c>
      <c r="CT125" s="937">
        <f t="shared" si="83"/>
        <v>13705.813134</v>
      </c>
      <c r="CU125" s="937">
        <f t="shared" si="83"/>
        <v>14057.244240000002</v>
      </c>
      <c r="CV125" s="937">
        <f t="shared" si="83"/>
        <v>14408.675346</v>
      </c>
      <c r="CW125" s="937">
        <f t="shared" si="83"/>
        <v>14760.106452000002</v>
      </c>
      <c r="CX125" s="937">
        <f t="shared" si="83"/>
        <v>15111.537558</v>
      </c>
      <c r="CY125" s="937">
        <f t="shared" si="83"/>
        <v>15462.968664000002</v>
      </c>
      <c r="CZ125" s="937">
        <f t="shared" si="83"/>
        <v>15814.399770000002</v>
      </c>
      <c r="DA125" s="937">
        <f t="shared" si="83"/>
        <v>16165.830876</v>
      </c>
      <c r="DB125" s="937">
        <f t="shared" si="83"/>
        <v>16517.261982000004</v>
      </c>
      <c r="DC125" s="937">
        <f t="shared" si="83"/>
        <v>16868.693088</v>
      </c>
      <c r="DD125" s="937">
        <f t="shared" si="83"/>
        <v>17220.124194000004</v>
      </c>
      <c r="DE125" s="937">
        <f t="shared" si="83"/>
        <v>17571.5553</v>
      </c>
      <c r="DF125" s="937">
        <f t="shared" si="83"/>
        <v>17922.986406</v>
      </c>
    </row>
    <row r="126" spans="1:110">
      <c r="A126" s="2309"/>
      <c r="B126" s="2330" t="s">
        <v>575</v>
      </c>
      <c r="C126" s="2330"/>
      <c r="D126" s="1286"/>
      <c r="E126" s="1286"/>
      <c r="F126" s="1286"/>
      <c r="G126" s="1286"/>
      <c r="H126" s="1286"/>
      <c r="I126" s="1286"/>
      <c r="J126" s="937"/>
      <c r="K126" s="937"/>
      <c r="L126" s="937">
        <f t="shared" ref="L126:AQ126" si="84">((L$86-$H$4)/1000)*IF($C$13=0,$Q$30,$Q$47)*(($C$8/70)^$AB$47)*IF($C$13=1,$AG$47,IF($C$13=2,$AH$47,IF($C$13=3,$AI$47,1)))</f>
        <v>2589.4923600000002</v>
      </c>
      <c r="M126" s="937">
        <f t="shared" si="84"/>
        <v>2959.4198400000005</v>
      </c>
      <c r="N126" s="937">
        <f t="shared" si="84"/>
        <v>3329.3473200000008</v>
      </c>
      <c r="O126" s="937">
        <f t="shared" si="84"/>
        <v>3699.2748000000006</v>
      </c>
      <c r="P126" s="937">
        <f t="shared" si="84"/>
        <v>4069.2022800000009</v>
      </c>
      <c r="Q126" s="937">
        <f t="shared" si="84"/>
        <v>4439.1297600000007</v>
      </c>
      <c r="R126" s="937">
        <f t="shared" si="84"/>
        <v>4809.057240000001</v>
      </c>
      <c r="S126" s="937">
        <f t="shared" si="84"/>
        <v>5178.9847200000004</v>
      </c>
      <c r="T126" s="937">
        <f t="shared" si="84"/>
        <v>5548.9122000000007</v>
      </c>
      <c r="U126" s="937">
        <f t="shared" si="84"/>
        <v>5918.839680000001</v>
      </c>
      <c r="V126" s="937">
        <f t="shared" si="84"/>
        <v>6288.7671600000003</v>
      </c>
      <c r="W126" s="937">
        <f t="shared" si="84"/>
        <v>6658.6946400000015</v>
      </c>
      <c r="X126" s="937">
        <f t="shared" si="84"/>
        <v>7028.6221200000009</v>
      </c>
      <c r="Y126" s="937">
        <f t="shared" si="84"/>
        <v>7398.5496000000012</v>
      </c>
      <c r="Z126" s="937">
        <f t="shared" si="84"/>
        <v>7768.4770800000015</v>
      </c>
      <c r="AA126" s="937">
        <f t="shared" si="84"/>
        <v>8138.4045600000018</v>
      </c>
      <c r="AB126" s="937">
        <f t="shared" si="84"/>
        <v>8508.3320400000011</v>
      </c>
      <c r="AC126" s="937">
        <f t="shared" si="84"/>
        <v>8878.2595200000014</v>
      </c>
      <c r="AD126" s="937">
        <f t="shared" si="84"/>
        <v>9248.1870000000017</v>
      </c>
      <c r="AE126" s="937">
        <f t="shared" si="84"/>
        <v>9618.114480000002</v>
      </c>
      <c r="AF126" s="937">
        <f t="shared" si="84"/>
        <v>9988.0419600000023</v>
      </c>
      <c r="AG126" s="937">
        <f t="shared" si="84"/>
        <v>10357.969440000001</v>
      </c>
      <c r="AH126" s="937">
        <f t="shared" si="84"/>
        <v>10727.896920000001</v>
      </c>
      <c r="AI126" s="937">
        <f t="shared" si="84"/>
        <v>11097.824400000001</v>
      </c>
      <c r="AJ126" s="937">
        <f t="shared" si="84"/>
        <v>11467.751880000002</v>
      </c>
      <c r="AK126" s="937">
        <f t="shared" si="84"/>
        <v>11837.679360000002</v>
      </c>
      <c r="AL126" s="937">
        <f t="shared" si="84"/>
        <v>12207.60684</v>
      </c>
      <c r="AM126" s="937">
        <f t="shared" si="84"/>
        <v>12577.534320000001</v>
      </c>
      <c r="AN126" s="937">
        <f t="shared" si="84"/>
        <v>12947.461800000001</v>
      </c>
      <c r="AO126" s="937">
        <f t="shared" si="84"/>
        <v>13317.389280000003</v>
      </c>
      <c r="AP126" s="937">
        <f t="shared" si="84"/>
        <v>13687.316760000003</v>
      </c>
      <c r="AQ126" s="937">
        <f t="shared" si="84"/>
        <v>14057.244240000002</v>
      </c>
      <c r="AR126" s="937">
        <f t="shared" ref="AR126:BW126" si="85">((AR$86-$H$4)/1000)*IF($C$13=0,$Q$30,$Q$47)*(($C$8/70)^$AB$47)*IF($C$13=1,$AG$47,IF($C$13=2,$AH$47,IF($C$13=3,$AI$47,1)))</f>
        <v>14427.171720000002</v>
      </c>
      <c r="AS126" s="937">
        <f t="shared" si="85"/>
        <v>14797.099200000002</v>
      </c>
      <c r="AT126" s="937">
        <f t="shared" si="85"/>
        <v>15167.026679999999</v>
      </c>
      <c r="AU126" s="937">
        <f t="shared" si="85"/>
        <v>15536.954160000003</v>
      </c>
      <c r="AV126" s="937">
        <f t="shared" si="85"/>
        <v>15906.88164</v>
      </c>
      <c r="AW126" s="937">
        <f t="shared" si="85"/>
        <v>16276.809120000004</v>
      </c>
      <c r="AX126" s="937">
        <f t="shared" si="85"/>
        <v>16646.736600000004</v>
      </c>
      <c r="AY126" s="937">
        <f t="shared" si="85"/>
        <v>17016.664080000002</v>
      </c>
      <c r="AZ126" s="937">
        <f t="shared" si="85"/>
        <v>17386.591560000004</v>
      </c>
      <c r="BA126" s="937">
        <f t="shared" si="85"/>
        <v>17756.519040000003</v>
      </c>
      <c r="BB126" s="937">
        <f t="shared" si="85"/>
        <v>18126.446520000005</v>
      </c>
      <c r="BC126" s="937">
        <f t="shared" si="85"/>
        <v>18496.374000000003</v>
      </c>
      <c r="BD126" s="937">
        <f t="shared" si="85"/>
        <v>18866.301480000002</v>
      </c>
      <c r="BE126" s="937">
        <f t="shared" si="85"/>
        <v>19236.228960000004</v>
      </c>
      <c r="BF126" s="937">
        <f t="shared" si="85"/>
        <v>19606.156439999999</v>
      </c>
      <c r="BG126" s="937">
        <f t="shared" si="85"/>
        <v>-2589.4923600000002</v>
      </c>
      <c r="BH126" s="937">
        <f t="shared" si="85"/>
        <v>-2589.4923600000002</v>
      </c>
      <c r="BI126" s="937">
        <f t="shared" si="85"/>
        <v>-2589.4923600000002</v>
      </c>
      <c r="BJ126" s="937">
        <f t="shared" si="85"/>
        <v>1109.7824400000002</v>
      </c>
      <c r="BK126" s="937">
        <f t="shared" si="85"/>
        <v>1479.7099200000002</v>
      </c>
      <c r="BL126" s="937">
        <f t="shared" si="85"/>
        <v>1849.6374000000003</v>
      </c>
      <c r="BM126" s="937">
        <f t="shared" si="85"/>
        <v>2219.5648800000004</v>
      </c>
      <c r="BN126" s="937">
        <f t="shared" si="85"/>
        <v>2589.4923600000002</v>
      </c>
      <c r="BO126" s="937">
        <f t="shared" si="85"/>
        <v>2959.4198400000005</v>
      </c>
      <c r="BP126" s="937">
        <f t="shared" si="85"/>
        <v>3329.3473200000008</v>
      </c>
      <c r="BQ126" s="937">
        <f t="shared" si="85"/>
        <v>3699.2748000000006</v>
      </c>
      <c r="BR126" s="937">
        <f t="shared" si="85"/>
        <v>4069.2022800000009</v>
      </c>
      <c r="BS126" s="937">
        <f t="shared" si="85"/>
        <v>4439.1297600000007</v>
      </c>
      <c r="BT126" s="937">
        <f t="shared" si="85"/>
        <v>4809.057240000001</v>
      </c>
      <c r="BU126" s="937">
        <f t="shared" si="85"/>
        <v>5178.9847200000004</v>
      </c>
      <c r="BV126" s="937">
        <f t="shared" si="85"/>
        <v>5548.9122000000007</v>
      </c>
      <c r="BW126" s="937">
        <f t="shared" si="85"/>
        <v>5918.839680000001</v>
      </c>
      <c r="BX126" s="937">
        <f t="shared" ref="BX126:DF126" si="86">((BX$86-$H$4)/1000)*IF($C$13=0,$Q$30,$Q$47)*(($C$8/70)^$AB$47)*IF($C$13=1,$AG$47,IF($C$13=2,$AH$47,IF($C$13=3,$AI$47,1)))</f>
        <v>6288.7671600000003</v>
      </c>
      <c r="BY126" s="937">
        <f t="shared" si="86"/>
        <v>6658.6946400000015</v>
      </c>
      <c r="BZ126" s="937">
        <f t="shared" si="86"/>
        <v>7028.6221200000009</v>
      </c>
      <c r="CA126" s="937">
        <f t="shared" si="86"/>
        <v>7398.5496000000012</v>
      </c>
      <c r="CB126" s="937">
        <f t="shared" si="86"/>
        <v>7768.4770800000015</v>
      </c>
      <c r="CC126" s="937">
        <f t="shared" si="86"/>
        <v>8138.4045600000018</v>
      </c>
      <c r="CD126" s="937">
        <f t="shared" si="86"/>
        <v>8508.3320400000011</v>
      </c>
      <c r="CE126" s="937">
        <f t="shared" si="86"/>
        <v>8878.2595200000014</v>
      </c>
      <c r="CF126" s="937">
        <f t="shared" si="86"/>
        <v>9248.1870000000017</v>
      </c>
      <c r="CG126" s="937">
        <f t="shared" si="86"/>
        <v>9618.114480000002</v>
      </c>
      <c r="CH126" s="937">
        <f t="shared" si="86"/>
        <v>9988.0419600000023</v>
      </c>
      <c r="CI126" s="937">
        <f t="shared" si="86"/>
        <v>10357.969440000001</v>
      </c>
      <c r="CJ126" s="937">
        <f t="shared" si="86"/>
        <v>10727.896920000001</v>
      </c>
      <c r="CK126" s="937">
        <f t="shared" si="86"/>
        <v>11097.824400000001</v>
      </c>
      <c r="CL126" s="937">
        <f t="shared" si="86"/>
        <v>11467.751880000002</v>
      </c>
      <c r="CM126" s="937">
        <f t="shared" si="86"/>
        <v>11837.679360000002</v>
      </c>
      <c r="CN126" s="937">
        <f t="shared" si="86"/>
        <v>12207.60684</v>
      </c>
      <c r="CO126" s="937">
        <f t="shared" si="86"/>
        <v>12577.534320000001</v>
      </c>
      <c r="CP126" s="937">
        <f t="shared" si="86"/>
        <v>12947.461800000001</v>
      </c>
      <c r="CQ126" s="937">
        <f t="shared" si="86"/>
        <v>13317.389280000003</v>
      </c>
      <c r="CR126" s="937">
        <f t="shared" si="86"/>
        <v>13687.316760000003</v>
      </c>
      <c r="CS126" s="937">
        <f t="shared" si="86"/>
        <v>14057.244240000002</v>
      </c>
      <c r="CT126" s="937">
        <f t="shared" si="86"/>
        <v>14427.171720000002</v>
      </c>
      <c r="CU126" s="937">
        <f t="shared" si="86"/>
        <v>14797.099200000002</v>
      </c>
      <c r="CV126" s="937">
        <f t="shared" si="86"/>
        <v>15167.026679999999</v>
      </c>
      <c r="CW126" s="937">
        <f t="shared" si="86"/>
        <v>15536.954160000003</v>
      </c>
      <c r="CX126" s="937">
        <f t="shared" si="86"/>
        <v>15906.88164</v>
      </c>
      <c r="CY126" s="937">
        <f t="shared" si="86"/>
        <v>16276.809120000004</v>
      </c>
      <c r="CZ126" s="937">
        <f t="shared" si="86"/>
        <v>16646.736600000004</v>
      </c>
      <c r="DA126" s="937">
        <f t="shared" si="86"/>
        <v>17016.664080000002</v>
      </c>
      <c r="DB126" s="937">
        <f t="shared" si="86"/>
        <v>17386.591560000004</v>
      </c>
      <c r="DC126" s="937">
        <f t="shared" si="86"/>
        <v>17756.519040000003</v>
      </c>
      <c r="DD126" s="937">
        <f t="shared" si="86"/>
        <v>18126.446520000005</v>
      </c>
      <c r="DE126" s="937">
        <f t="shared" si="86"/>
        <v>18496.374000000003</v>
      </c>
      <c r="DF126" s="937">
        <f t="shared" si="86"/>
        <v>18866.301480000002</v>
      </c>
    </row>
    <row r="127" spans="1:110">
      <c r="A127" s="1272"/>
      <c r="B127" s="2330" t="s">
        <v>592</v>
      </c>
      <c r="C127" s="2330"/>
      <c r="D127" s="1286"/>
      <c r="E127" s="1286"/>
      <c r="F127" s="1286"/>
      <c r="G127" s="1286"/>
      <c r="H127" s="1286"/>
      <c r="I127" s="1286"/>
      <c r="J127" s="937"/>
      <c r="K127" s="937"/>
      <c r="L127" s="937">
        <f t="shared" ref="L127:AQ127" si="87">((L$86-$H$4)/1000)*IF($C$13=0,$R$30,$R$47)*(($C$8/70)^$AC$47)*IF($C$13=1,$AG$47,IF($C$13=2,$AH$47,IF($C$13=3,$AI$47,1)))</f>
        <v>2546.7199757999997</v>
      </c>
      <c r="M127" s="937">
        <f t="shared" si="87"/>
        <v>2910.5371152000002</v>
      </c>
      <c r="N127" s="937">
        <f t="shared" si="87"/>
        <v>3274.3542546000003</v>
      </c>
      <c r="O127" s="937">
        <f t="shared" si="87"/>
        <v>3638.171394</v>
      </c>
      <c r="P127" s="937">
        <f t="shared" si="87"/>
        <v>4001.9885334000005</v>
      </c>
      <c r="Q127" s="937">
        <f t="shared" si="87"/>
        <v>4365.8056728000001</v>
      </c>
      <c r="R127" s="937">
        <f t="shared" si="87"/>
        <v>4729.6228122000002</v>
      </c>
      <c r="S127" s="937">
        <f t="shared" si="87"/>
        <v>5093.4399515999994</v>
      </c>
      <c r="T127" s="937">
        <f t="shared" si="87"/>
        <v>5457.2570910000004</v>
      </c>
      <c r="U127" s="937">
        <f t="shared" si="87"/>
        <v>5821.0742304000005</v>
      </c>
      <c r="V127" s="937">
        <f t="shared" si="87"/>
        <v>6184.8913697999997</v>
      </c>
      <c r="W127" s="937">
        <f t="shared" si="87"/>
        <v>6548.7085092000007</v>
      </c>
      <c r="X127" s="937">
        <f t="shared" si="87"/>
        <v>6912.5256485999989</v>
      </c>
      <c r="Y127" s="937">
        <f t="shared" si="87"/>
        <v>7276.3427879999999</v>
      </c>
      <c r="Z127" s="937">
        <f t="shared" si="87"/>
        <v>7640.1599274000009</v>
      </c>
      <c r="AA127" s="937">
        <f t="shared" si="87"/>
        <v>8003.977066800001</v>
      </c>
      <c r="AB127" s="937">
        <f t="shared" si="87"/>
        <v>8367.7942062000002</v>
      </c>
      <c r="AC127" s="937">
        <f t="shared" si="87"/>
        <v>8731.6113456000003</v>
      </c>
      <c r="AD127" s="937">
        <f t="shared" si="87"/>
        <v>9095.4284850000004</v>
      </c>
      <c r="AE127" s="937">
        <f t="shared" si="87"/>
        <v>9459.2456244000005</v>
      </c>
      <c r="AF127" s="937">
        <f t="shared" si="87"/>
        <v>9823.0627638000005</v>
      </c>
      <c r="AG127" s="937">
        <f t="shared" si="87"/>
        <v>10186.879903199999</v>
      </c>
      <c r="AH127" s="937">
        <f t="shared" si="87"/>
        <v>10550.697042600001</v>
      </c>
      <c r="AI127" s="937">
        <f t="shared" si="87"/>
        <v>10914.514182000001</v>
      </c>
      <c r="AJ127" s="937">
        <f t="shared" si="87"/>
        <v>11278.331321400001</v>
      </c>
      <c r="AK127" s="937">
        <f t="shared" si="87"/>
        <v>11642.148460800001</v>
      </c>
      <c r="AL127" s="937">
        <f t="shared" si="87"/>
        <v>12005.965600199999</v>
      </c>
      <c r="AM127" s="937">
        <f t="shared" si="87"/>
        <v>12369.782739599999</v>
      </c>
      <c r="AN127" s="937">
        <f t="shared" si="87"/>
        <v>12733.599879000001</v>
      </c>
      <c r="AO127" s="937">
        <f t="shared" si="87"/>
        <v>13097.417018400001</v>
      </c>
      <c r="AP127" s="937">
        <f t="shared" si="87"/>
        <v>13461.2341578</v>
      </c>
      <c r="AQ127" s="937">
        <f t="shared" si="87"/>
        <v>13825.051297199998</v>
      </c>
      <c r="AR127" s="937">
        <f t="shared" ref="AR127:BW127" si="88">((AR$86-$H$4)/1000)*IF($C$13=0,$R$30,$R$47)*(($C$8/70)^$AC$47)*IF($C$13=1,$AG$47,IF($C$13=2,$AH$47,IF($C$13=3,$AI$47,1)))</f>
        <v>14188.8684366</v>
      </c>
      <c r="AS127" s="937">
        <f t="shared" si="88"/>
        <v>14552.685576</v>
      </c>
      <c r="AT127" s="937">
        <f t="shared" si="88"/>
        <v>14916.502715399998</v>
      </c>
      <c r="AU127" s="937">
        <f t="shared" si="88"/>
        <v>15280.319854800002</v>
      </c>
      <c r="AV127" s="937">
        <f t="shared" si="88"/>
        <v>15644.1369942</v>
      </c>
      <c r="AW127" s="937">
        <f t="shared" si="88"/>
        <v>16007.954133600002</v>
      </c>
      <c r="AX127" s="937">
        <f t="shared" si="88"/>
        <v>16371.771273</v>
      </c>
      <c r="AY127" s="937">
        <f t="shared" si="88"/>
        <v>16735.5884124</v>
      </c>
      <c r="AZ127" s="937">
        <f t="shared" si="88"/>
        <v>17099.405551800002</v>
      </c>
      <c r="BA127" s="937">
        <f t="shared" si="88"/>
        <v>17463.222691200001</v>
      </c>
      <c r="BB127" s="937">
        <f t="shared" si="88"/>
        <v>17827.039830600002</v>
      </c>
      <c r="BC127" s="937">
        <f t="shared" si="88"/>
        <v>18190.856970000001</v>
      </c>
      <c r="BD127" s="937">
        <f t="shared" si="88"/>
        <v>18554.674109399999</v>
      </c>
      <c r="BE127" s="937">
        <f t="shared" si="88"/>
        <v>18918.491248800001</v>
      </c>
      <c r="BF127" s="937">
        <f t="shared" si="88"/>
        <v>19282.308388199999</v>
      </c>
      <c r="BG127" s="937">
        <f t="shared" si="88"/>
        <v>-2546.7199757999997</v>
      </c>
      <c r="BH127" s="937">
        <f t="shared" si="88"/>
        <v>-2546.7199757999997</v>
      </c>
      <c r="BI127" s="937">
        <f t="shared" si="88"/>
        <v>-2546.7199757999997</v>
      </c>
      <c r="BJ127" s="937">
        <f t="shared" si="88"/>
        <v>1091.4514182</v>
      </c>
      <c r="BK127" s="937">
        <f t="shared" si="88"/>
        <v>1455.2685576000001</v>
      </c>
      <c r="BL127" s="937">
        <f t="shared" si="88"/>
        <v>1819.085697</v>
      </c>
      <c r="BM127" s="937">
        <f t="shared" si="88"/>
        <v>2182.9028364000001</v>
      </c>
      <c r="BN127" s="937">
        <f t="shared" si="88"/>
        <v>2546.7199757999997</v>
      </c>
      <c r="BO127" s="937">
        <f t="shared" si="88"/>
        <v>2910.5371152000002</v>
      </c>
      <c r="BP127" s="937">
        <f t="shared" si="88"/>
        <v>3274.3542546000003</v>
      </c>
      <c r="BQ127" s="937">
        <f t="shared" si="88"/>
        <v>3638.171394</v>
      </c>
      <c r="BR127" s="937">
        <f t="shared" si="88"/>
        <v>4001.9885334000005</v>
      </c>
      <c r="BS127" s="937">
        <f t="shared" si="88"/>
        <v>4365.8056728000001</v>
      </c>
      <c r="BT127" s="937">
        <f t="shared" si="88"/>
        <v>4729.6228122000002</v>
      </c>
      <c r="BU127" s="937">
        <f t="shared" si="88"/>
        <v>5093.4399515999994</v>
      </c>
      <c r="BV127" s="937">
        <f t="shared" si="88"/>
        <v>5457.2570910000004</v>
      </c>
      <c r="BW127" s="937">
        <f t="shared" si="88"/>
        <v>5821.0742304000005</v>
      </c>
      <c r="BX127" s="937">
        <f t="shared" ref="BX127:DF127" si="89">((BX$86-$H$4)/1000)*IF($C$13=0,$R$30,$R$47)*(($C$8/70)^$AC$47)*IF($C$13=1,$AG$47,IF($C$13=2,$AH$47,IF($C$13=3,$AI$47,1)))</f>
        <v>6184.8913697999997</v>
      </c>
      <c r="BY127" s="937">
        <f t="shared" si="89"/>
        <v>6548.7085092000007</v>
      </c>
      <c r="BZ127" s="937">
        <f t="shared" si="89"/>
        <v>6912.5256485999989</v>
      </c>
      <c r="CA127" s="937">
        <f t="shared" si="89"/>
        <v>7276.3427879999999</v>
      </c>
      <c r="CB127" s="937">
        <f t="shared" si="89"/>
        <v>7640.1599274000009</v>
      </c>
      <c r="CC127" s="937">
        <f t="shared" si="89"/>
        <v>8003.977066800001</v>
      </c>
      <c r="CD127" s="937">
        <f t="shared" si="89"/>
        <v>8367.7942062000002</v>
      </c>
      <c r="CE127" s="937">
        <f t="shared" si="89"/>
        <v>8731.6113456000003</v>
      </c>
      <c r="CF127" s="937">
        <f t="shared" si="89"/>
        <v>9095.4284850000004</v>
      </c>
      <c r="CG127" s="937">
        <f t="shared" si="89"/>
        <v>9459.2456244000005</v>
      </c>
      <c r="CH127" s="937">
        <f t="shared" si="89"/>
        <v>9823.0627638000005</v>
      </c>
      <c r="CI127" s="937">
        <f t="shared" si="89"/>
        <v>10186.879903199999</v>
      </c>
      <c r="CJ127" s="937">
        <f t="shared" si="89"/>
        <v>10550.697042600001</v>
      </c>
      <c r="CK127" s="937">
        <f t="shared" si="89"/>
        <v>10914.514182000001</v>
      </c>
      <c r="CL127" s="937">
        <f t="shared" si="89"/>
        <v>11278.331321400001</v>
      </c>
      <c r="CM127" s="937">
        <f t="shared" si="89"/>
        <v>11642.148460800001</v>
      </c>
      <c r="CN127" s="937">
        <f t="shared" si="89"/>
        <v>12005.965600199999</v>
      </c>
      <c r="CO127" s="937">
        <f t="shared" si="89"/>
        <v>12369.782739599999</v>
      </c>
      <c r="CP127" s="937">
        <f t="shared" si="89"/>
        <v>12733.599879000001</v>
      </c>
      <c r="CQ127" s="937">
        <f t="shared" si="89"/>
        <v>13097.417018400001</v>
      </c>
      <c r="CR127" s="937">
        <f t="shared" si="89"/>
        <v>13461.2341578</v>
      </c>
      <c r="CS127" s="937">
        <f t="shared" si="89"/>
        <v>13825.051297199998</v>
      </c>
      <c r="CT127" s="937">
        <f t="shared" si="89"/>
        <v>14188.8684366</v>
      </c>
      <c r="CU127" s="937">
        <f t="shared" si="89"/>
        <v>14552.685576</v>
      </c>
      <c r="CV127" s="937">
        <f t="shared" si="89"/>
        <v>14916.502715399998</v>
      </c>
      <c r="CW127" s="937">
        <f t="shared" si="89"/>
        <v>15280.319854800002</v>
      </c>
      <c r="CX127" s="937">
        <f t="shared" si="89"/>
        <v>15644.1369942</v>
      </c>
      <c r="CY127" s="937">
        <f t="shared" si="89"/>
        <v>16007.954133600002</v>
      </c>
      <c r="CZ127" s="937">
        <f t="shared" si="89"/>
        <v>16371.771273</v>
      </c>
      <c r="DA127" s="937">
        <f t="shared" si="89"/>
        <v>16735.5884124</v>
      </c>
      <c r="DB127" s="937">
        <f t="shared" si="89"/>
        <v>17099.405551800002</v>
      </c>
      <c r="DC127" s="937">
        <f t="shared" si="89"/>
        <v>17463.222691200001</v>
      </c>
      <c r="DD127" s="937">
        <f t="shared" si="89"/>
        <v>17827.039830600002</v>
      </c>
      <c r="DE127" s="937">
        <f t="shared" si="89"/>
        <v>18190.856970000001</v>
      </c>
      <c r="DF127" s="937">
        <f t="shared" si="89"/>
        <v>18554.674109399999</v>
      </c>
    </row>
    <row r="128" spans="1:110" ht="15.75" thickBot="1">
      <c r="A128" s="1272"/>
      <c r="B128" s="2364" t="s">
        <v>593</v>
      </c>
      <c r="C128" s="2364"/>
      <c r="D128" s="1287"/>
      <c r="E128" s="1287"/>
      <c r="F128" s="1287"/>
      <c r="G128" s="1287"/>
      <c r="H128" s="1287"/>
      <c r="I128" s="1287"/>
      <c r="J128" s="938"/>
      <c r="K128" s="938"/>
      <c r="L128" s="938">
        <f t="shared" ref="L128:AQ128" si="90">((L$86-$H$4)/1000)*IF($C$13=0,$S$30,$S$47)*(($C$8/70)^$AD$47)*IF($C$13=1,$AG$47,IF($C$13=2,$AH$47,IF($C$13=3,$AI$47,1)))</f>
        <v>2783.3005199999998</v>
      </c>
      <c r="M128" s="938">
        <f t="shared" si="90"/>
        <v>3180.9148799999998</v>
      </c>
      <c r="N128" s="938">
        <f t="shared" si="90"/>
        <v>3578.5292399999998</v>
      </c>
      <c r="O128" s="938">
        <f t="shared" si="90"/>
        <v>3976.1435999999999</v>
      </c>
      <c r="P128" s="938">
        <f t="shared" si="90"/>
        <v>4373.7579599999999</v>
      </c>
      <c r="Q128" s="938">
        <f t="shared" si="90"/>
        <v>4771.3723199999995</v>
      </c>
      <c r="R128" s="938">
        <f t="shared" si="90"/>
        <v>5168.98668</v>
      </c>
      <c r="S128" s="938">
        <f t="shared" si="90"/>
        <v>5566.6010399999996</v>
      </c>
      <c r="T128" s="938">
        <f t="shared" si="90"/>
        <v>5964.2153999999991</v>
      </c>
      <c r="U128" s="938">
        <f t="shared" si="90"/>
        <v>6361.8297599999996</v>
      </c>
      <c r="V128" s="938">
        <f t="shared" si="90"/>
        <v>6759.4441199999992</v>
      </c>
      <c r="W128" s="938">
        <f t="shared" si="90"/>
        <v>7157.0584799999997</v>
      </c>
      <c r="X128" s="938">
        <f t="shared" si="90"/>
        <v>7554.6728399999993</v>
      </c>
      <c r="Y128" s="938">
        <f t="shared" si="90"/>
        <v>7952.2871999999998</v>
      </c>
      <c r="Z128" s="938">
        <f t="shared" si="90"/>
        <v>8349.9015600000002</v>
      </c>
      <c r="AA128" s="938">
        <f t="shared" si="90"/>
        <v>8747.5159199999998</v>
      </c>
      <c r="AB128" s="938">
        <f t="shared" si="90"/>
        <v>9145.1302799999994</v>
      </c>
      <c r="AC128" s="938">
        <f t="shared" si="90"/>
        <v>9542.744639999999</v>
      </c>
      <c r="AD128" s="938">
        <f t="shared" si="90"/>
        <v>9940.3589999999986</v>
      </c>
      <c r="AE128" s="938">
        <f t="shared" si="90"/>
        <v>10337.97336</v>
      </c>
      <c r="AF128" s="938">
        <f t="shared" si="90"/>
        <v>10735.587720000001</v>
      </c>
      <c r="AG128" s="938">
        <f t="shared" si="90"/>
        <v>11133.202079999999</v>
      </c>
      <c r="AH128" s="938">
        <f t="shared" si="90"/>
        <v>11530.816439999999</v>
      </c>
      <c r="AI128" s="938">
        <f t="shared" si="90"/>
        <v>11928.430799999998</v>
      </c>
      <c r="AJ128" s="938">
        <f t="shared" si="90"/>
        <v>12326.04516</v>
      </c>
      <c r="AK128" s="938">
        <f t="shared" si="90"/>
        <v>12723.659519999999</v>
      </c>
      <c r="AL128" s="938">
        <f t="shared" si="90"/>
        <v>13121.273879999997</v>
      </c>
      <c r="AM128" s="938">
        <f t="shared" si="90"/>
        <v>13518.888239999998</v>
      </c>
      <c r="AN128" s="938">
        <f t="shared" si="90"/>
        <v>13916.502599999998</v>
      </c>
      <c r="AO128" s="938">
        <f t="shared" si="90"/>
        <v>14314.116959999999</v>
      </c>
      <c r="AP128" s="938">
        <f t="shared" si="90"/>
        <v>14711.731320000001</v>
      </c>
      <c r="AQ128" s="938">
        <f t="shared" si="90"/>
        <v>15109.345679999999</v>
      </c>
      <c r="AR128" s="938">
        <f t="shared" ref="AR128:BW128" si="91">((AR$86-$H$4)/1000)*IF($C$13=0,$S$30,$S$47)*(($C$8/70)^$AD$47)*IF($C$13=1,$AG$47,IF($C$13=2,$AH$47,IF($C$13=3,$AI$47,1)))</f>
        <v>15506.960039999998</v>
      </c>
      <c r="AS128" s="938">
        <f t="shared" si="91"/>
        <v>15904.5744</v>
      </c>
      <c r="AT128" s="938">
        <f t="shared" si="91"/>
        <v>16302.188759999997</v>
      </c>
      <c r="AU128" s="938">
        <f t="shared" si="91"/>
        <v>16699.80312</v>
      </c>
      <c r="AV128" s="938">
        <f t="shared" si="91"/>
        <v>17097.417479999996</v>
      </c>
      <c r="AW128" s="938">
        <f t="shared" si="91"/>
        <v>17495.03184</v>
      </c>
      <c r="AX128" s="938">
        <f t="shared" si="91"/>
        <v>17892.646199999999</v>
      </c>
      <c r="AY128" s="938">
        <f t="shared" si="91"/>
        <v>18290.260559999999</v>
      </c>
      <c r="AZ128" s="938">
        <f t="shared" si="91"/>
        <v>18687.874919999998</v>
      </c>
      <c r="BA128" s="938">
        <f t="shared" si="91"/>
        <v>19085.489279999998</v>
      </c>
      <c r="BB128" s="938">
        <f t="shared" si="91"/>
        <v>19483.103640000001</v>
      </c>
      <c r="BC128" s="938">
        <f t="shared" si="91"/>
        <v>19880.717999999997</v>
      </c>
      <c r="BD128" s="938">
        <f t="shared" si="91"/>
        <v>20278.332359999997</v>
      </c>
      <c r="BE128" s="938">
        <f t="shared" si="91"/>
        <v>20675.94672</v>
      </c>
      <c r="BF128" s="938">
        <f t="shared" si="91"/>
        <v>21073.561079999996</v>
      </c>
      <c r="BG128" s="938">
        <f t="shared" si="91"/>
        <v>-2783.3005199999998</v>
      </c>
      <c r="BH128" s="938">
        <f t="shared" si="91"/>
        <v>-2783.3005199999998</v>
      </c>
      <c r="BI128" s="938">
        <f t="shared" si="91"/>
        <v>-2783.3005199999998</v>
      </c>
      <c r="BJ128" s="938">
        <f t="shared" si="91"/>
        <v>1192.8430799999999</v>
      </c>
      <c r="BK128" s="938">
        <f t="shared" si="91"/>
        <v>1590.4574399999999</v>
      </c>
      <c r="BL128" s="938">
        <f t="shared" si="91"/>
        <v>1988.0717999999999</v>
      </c>
      <c r="BM128" s="938">
        <f t="shared" si="91"/>
        <v>2385.6861599999997</v>
      </c>
      <c r="BN128" s="938">
        <f t="shared" si="91"/>
        <v>2783.3005199999998</v>
      </c>
      <c r="BO128" s="938">
        <f t="shared" si="91"/>
        <v>3180.9148799999998</v>
      </c>
      <c r="BP128" s="938">
        <f t="shared" si="91"/>
        <v>3578.5292399999998</v>
      </c>
      <c r="BQ128" s="938">
        <f t="shared" si="91"/>
        <v>3976.1435999999999</v>
      </c>
      <c r="BR128" s="938">
        <f t="shared" si="91"/>
        <v>4373.7579599999999</v>
      </c>
      <c r="BS128" s="938">
        <f t="shared" si="91"/>
        <v>4771.3723199999995</v>
      </c>
      <c r="BT128" s="938">
        <f t="shared" si="91"/>
        <v>5168.98668</v>
      </c>
      <c r="BU128" s="938">
        <f t="shared" si="91"/>
        <v>5566.6010399999996</v>
      </c>
      <c r="BV128" s="938">
        <f t="shared" si="91"/>
        <v>5964.2153999999991</v>
      </c>
      <c r="BW128" s="938">
        <f t="shared" si="91"/>
        <v>6361.8297599999996</v>
      </c>
      <c r="BX128" s="938">
        <f t="shared" ref="BX128:DF128" si="92">((BX$86-$H$4)/1000)*IF($C$13=0,$S$30,$S$47)*(($C$8/70)^$AD$47)*IF($C$13=1,$AG$47,IF($C$13=2,$AH$47,IF($C$13=3,$AI$47,1)))</f>
        <v>6759.4441199999992</v>
      </c>
      <c r="BY128" s="938">
        <f t="shared" si="92"/>
        <v>7157.0584799999997</v>
      </c>
      <c r="BZ128" s="938">
        <f t="shared" si="92"/>
        <v>7554.6728399999993</v>
      </c>
      <c r="CA128" s="938">
        <f t="shared" si="92"/>
        <v>7952.2871999999998</v>
      </c>
      <c r="CB128" s="938">
        <f t="shared" si="92"/>
        <v>8349.9015600000002</v>
      </c>
      <c r="CC128" s="938">
        <f t="shared" si="92"/>
        <v>8747.5159199999998</v>
      </c>
      <c r="CD128" s="938">
        <f t="shared" si="92"/>
        <v>9145.1302799999994</v>
      </c>
      <c r="CE128" s="938">
        <f t="shared" si="92"/>
        <v>9542.744639999999</v>
      </c>
      <c r="CF128" s="938">
        <f t="shared" si="92"/>
        <v>9940.3589999999986</v>
      </c>
      <c r="CG128" s="938">
        <f t="shared" si="92"/>
        <v>10337.97336</v>
      </c>
      <c r="CH128" s="938">
        <f t="shared" si="92"/>
        <v>10735.587720000001</v>
      </c>
      <c r="CI128" s="938">
        <f t="shared" si="92"/>
        <v>11133.202079999999</v>
      </c>
      <c r="CJ128" s="938">
        <f t="shared" si="92"/>
        <v>11530.816439999999</v>
      </c>
      <c r="CK128" s="938">
        <f t="shared" si="92"/>
        <v>11928.430799999998</v>
      </c>
      <c r="CL128" s="938">
        <f t="shared" si="92"/>
        <v>12326.04516</v>
      </c>
      <c r="CM128" s="938">
        <f t="shared" si="92"/>
        <v>12723.659519999999</v>
      </c>
      <c r="CN128" s="938">
        <f t="shared" si="92"/>
        <v>13121.273879999997</v>
      </c>
      <c r="CO128" s="938">
        <f t="shared" si="92"/>
        <v>13518.888239999998</v>
      </c>
      <c r="CP128" s="938">
        <f t="shared" si="92"/>
        <v>13916.502599999998</v>
      </c>
      <c r="CQ128" s="938">
        <f t="shared" si="92"/>
        <v>14314.116959999999</v>
      </c>
      <c r="CR128" s="938">
        <f t="shared" si="92"/>
        <v>14711.731320000001</v>
      </c>
      <c r="CS128" s="938">
        <f t="shared" si="92"/>
        <v>15109.345679999999</v>
      </c>
      <c r="CT128" s="938">
        <f t="shared" si="92"/>
        <v>15506.960039999998</v>
      </c>
      <c r="CU128" s="938">
        <f t="shared" si="92"/>
        <v>15904.5744</v>
      </c>
      <c r="CV128" s="938">
        <f t="shared" si="92"/>
        <v>16302.188759999997</v>
      </c>
      <c r="CW128" s="938">
        <f t="shared" si="92"/>
        <v>16699.80312</v>
      </c>
      <c r="CX128" s="938">
        <f t="shared" si="92"/>
        <v>17097.417479999996</v>
      </c>
      <c r="CY128" s="938">
        <f t="shared" si="92"/>
        <v>17495.03184</v>
      </c>
      <c r="CZ128" s="938">
        <f t="shared" si="92"/>
        <v>17892.646199999999</v>
      </c>
      <c r="DA128" s="938">
        <f t="shared" si="92"/>
        <v>18290.260559999999</v>
      </c>
      <c r="DB128" s="938">
        <f t="shared" si="92"/>
        <v>18687.874919999998</v>
      </c>
      <c r="DC128" s="938">
        <f t="shared" si="92"/>
        <v>19085.489279999998</v>
      </c>
      <c r="DD128" s="938">
        <f t="shared" si="92"/>
        <v>19483.103640000001</v>
      </c>
      <c r="DE128" s="938">
        <f t="shared" si="92"/>
        <v>19880.717999999997</v>
      </c>
      <c r="DF128" s="938">
        <f t="shared" si="92"/>
        <v>20278.332359999997</v>
      </c>
    </row>
    <row r="129" spans="1:110" ht="15.75" thickBot="1"/>
    <row r="130" spans="1:110" ht="15.75" thickBot="1">
      <c r="A130" s="977"/>
      <c r="B130" s="2316" t="s">
        <v>375</v>
      </c>
      <c r="C130" s="2317"/>
      <c r="D130" s="2324" t="s">
        <v>224</v>
      </c>
      <c r="E130" s="2326" t="s">
        <v>0</v>
      </c>
      <c r="F130" s="2326" t="s">
        <v>1</v>
      </c>
      <c r="G130" s="2328" t="s">
        <v>185</v>
      </c>
      <c r="H130" s="2265" t="s">
        <v>18</v>
      </c>
      <c r="I130" s="2266"/>
      <c r="J130" s="2266"/>
      <c r="K130" s="2266"/>
      <c r="L130" s="2266"/>
      <c r="M130" s="2266"/>
      <c r="N130" s="2266"/>
      <c r="O130" s="2266"/>
      <c r="P130" s="2266"/>
      <c r="Q130" s="2266"/>
      <c r="R130" s="2266"/>
      <c r="S130" s="2266"/>
      <c r="T130" s="2266"/>
      <c r="U130" s="2266"/>
      <c r="V130" s="2266"/>
      <c r="W130" s="2266"/>
      <c r="X130" s="2266"/>
      <c r="Y130" s="2266"/>
      <c r="Z130" s="2266"/>
      <c r="AA130" s="2266"/>
      <c r="AB130" s="2266"/>
      <c r="AC130" s="2266"/>
      <c r="AD130" s="2266"/>
      <c r="AE130" s="2266"/>
      <c r="AF130" s="2266"/>
      <c r="AG130" s="2266"/>
      <c r="AH130" s="2266"/>
      <c r="AI130" s="2266"/>
      <c r="AJ130" s="2266"/>
      <c r="AK130" s="2266"/>
      <c r="AL130" s="2266"/>
      <c r="AM130" s="2266"/>
      <c r="AN130" s="2266"/>
      <c r="AO130" s="2266"/>
      <c r="AP130" s="2266"/>
      <c r="AQ130" s="2266"/>
      <c r="AR130" s="2266"/>
      <c r="AS130" s="2266"/>
      <c r="AT130" s="2266"/>
      <c r="AU130" s="2266"/>
      <c r="AV130" s="2266"/>
      <c r="AW130" s="2266"/>
      <c r="AX130" s="2266"/>
      <c r="AY130" s="2266"/>
      <c r="AZ130" s="2266"/>
      <c r="BA130" s="2266"/>
      <c r="BB130" s="2266"/>
      <c r="BC130" s="2266"/>
      <c r="BD130" s="2266"/>
      <c r="BE130" s="2266"/>
      <c r="BF130" s="2267"/>
    </row>
    <row r="131" spans="1:110" ht="15.75" thickBot="1">
      <c r="A131" s="977"/>
      <c r="B131" s="2318"/>
      <c r="C131" s="2319"/>
      <c r="D131" s="2325"/>
      <c r="E131" s="2327"/>
      <c r="F131" s="2327"/>
      <c r="G131" s="2329"/>
      <c r="H131" s="996">
        <v>500</v>
      </c>
      <c r="I131" s="997">
        <v>550</v>
      </c>
      <c r="J131" s="794">
        <v>600</v>
      </c>
      <c r="K131" s="795">
        <v>650</v>
      </c>
      <c r="L131" s="795">
        <v>700</v>
      </c>
      <c r="M131" s="795">
        <v>750</v>
      </c>
      <c r="N131" s="795">
        <v>800</v>
      </c>
      <c r="O131" s="795">
        <v>850</v>
      </c>
      <c r="P131" s="795">
        <v>900</v>
      </c>
      <c r="Q131" s="795">
        <v>950</v>
      </c>
      <c r="R131" s="795">
        <v>1000</v>
      </c>
      <c r="S131" s="795">
        <v>1050</v>
      </c>
      <c r="T131" s="795">
        <v>1100</v>
      </c>
      <c r="U131" s="795">
        <v>1150</v>
      </c>
      <c r="V131" s="795">
        <v>1200</v>
      </c>
      <c r="W131" s="795">
        <v>1250</v>
      </c>
      <c r="X131" s="795">
        <v>1300</v>
      </c>
      <c r="Y131" s="795">
        <v>1350</v>
      </c>
      <c r="Z131" s="795">
        <v>1400</v>
      </c>
      <c r="AA131" s="795">
        <v>1450</v>
      </c>
      <c r="AB131" s="795">
        <v>1500</v>
      </c>
      <c r="AC131" s="795">
        <v>1550</v>
      </c>
      <c r="AD131" s="795">
        <v>1600</v>
      </c>
      <c r="AE131" s="795">
        <v>1650</v>
      </c>
      <c r="AF131" s="795">
        <v>1700</v>
      </c>
      <c r="AG131" s="795">
        <v>1750</v>
      </c>
      <c r="AH131" s="795">
        <v>1800</v>
      </c>
      <c r="AI131" s="795">
        <v>1850</v>
      </c>
      <c r="AJ131" s="795">
        <v>1900</v>
      </c>
      <c r="AK131" s="795">
        <v>1950</v>
      </c>
      <c r="AL131" s="795">
        <v>2000</v>
      </c>
      <c r="AM131" s="795">
        <v>2050</v>
      </c>
      <c r="AN131" s="795">
        <v>2100</v>
      </c>
      <c r="AO131" s="795">
        <v>2150</v>
      </c>
      <c r="AP131" s="795">
        <v>2200</v>
      </c>
      <c r="AQ131" s="795">
        <v>2250</v>
      </c>
      <c r="AR131" s="795">
        <v>2300</v>
      </c>
      <c r="AS131" s="795">
        <v>2350</v>
      </c>
      <c r="AT131" s="795">
        <v>2400</v>
      </c>
      <c r="AU131" s="795">
        <v>2450</v>
      </c>
      <c r="AV131" s="795">
        <v>2500</v>
      </c>
      <c r="AW131" s="795">
        <v>2550</v>
      </c>
      <c r="AX131" s="795">
        <v>2600</v>
      </c>
      <c r="AY131" s="795">
        <v>2650</v>
      </c>
      <c r="AZ131" s="795">
        <v>2700</v>
      </c>
      <c r="BA131" s="795">
        <v>2750</v>
      </c>
      <c r="BB131" s="795">
        <v>2800</v>
      </c>
      <c r="BC131" s="795">
        <v>2850</v>
      </c>
      <c r="BD131" s="795">
        <v>2900</v>
      </c>
      <c r="BE131" s="796">
        <v>2950</v>
      </c>
      <c r="BF131" s="797">
        <v>3000</v>
      </c>
      <c r="BH131" s="978">
        <v>500</v>
      </c>
      <c r="BI131" s="693">
        <v>550</v>
      </c>
      <c r="BJ131" s="694">
        <v>600</v>
      </c>
      <c r="BK131" s="695">
        <v>650</v>
      </c>
      <c r="BL131" s="695">
        <v>700</v>
      </c>
      <c r="BM131" s="695">
        <v>750</v>
      </c>
      <c r="BN131" s="695">
        <v>800</v>
      </c>
      <c r="BO131" s="695">
        <v>850</v>
      </c>
      <c r="BP131" s="695">
        <v>900</v>
      </c>
      <c r="BQ131" s="695">
        <v>950</v>
      </c>
      <c r="BR131" s="695">
        <v>1000</v>
      </c>
      <c r="BS131" s="695">
        <v>1050</v>
      </c>
      <c r="BT131" s="695">
        <v>1100</v>
      </c>
      <c r="BU131" s="695">
        <v>1150</v>
      </c>
      <c r="BV131" s="695">
        <v>1200</v>
      </c>
      <c r="BW131" s="695">
        <v>1250</v>
      </c>
      <c r="BX131" s="695">
        <v>1300</v>
      </c>
      <c r="BY131" s="695">
        <v>1350</v>
      </c>
      <c r="BZ131" s="695">
        <v>1400</v>
      </c>
      <c r="CA131" s="695">
        <v>1450</v>
      </c>
      <c r="CB131" s="695">
        <v>1500</v>
      </c>
      <c r="CC131" s="695">
        <v>1550</v>
      </c>
      <c r="CD131" s="695">
        <v>1600</v>
      </c>
      <c r="CE131" s="695">
        <v>1650</v>
      </c>
      <c r="CF131" s="695">
        <v>1700</v>
      </c>
      <c r="CG131" s="695">
        <v>1750</v>
      </c>
      <c r="CH131" s="695">
        <v>1800</v>
      </c>
      <c r="CI131" s="695">
        <v>1850</v>
      </c>
      <c r="CJ131" s="695">
        <v>1900</v>
      </c>
      <c r="CK131" s="695">
        <v>1950</v>
      </c>
      <c r="CL131" s="695">
        <v>2000</v>
      </c>
      <c r="CM131" s="695">
        <v>2050</v>
      </c>
      <c r="CN131" s="695">
        <v>2100</v>
      </c>
      <c r="CO131" s="695">
        <v>2150</v>
      </c>
      <c r="CP131" s="695">
        <v>2200</v>
      </c>
      <c r="CQ131" s="695">
        <v>2250</v>
      </c>
      <c r="CR131" s="695">
        <v>2300</v>
      </c>
      <c r="CS131" s="695">
        <v>2350</v>
      </c>
      <c r="CT131" s="695">
        <v>2400</v>
      </c>
      <c r="CU131" s="695">
        <v>2450</v>
      </c>
      <c r="CV131" s="695">
        <v>2500</v>
      </c>
      <c r="CW131" s="695">
        <v>2550</v>
      </c>
      <c r="CX131" s="695">
        <v>2600</v>
      </c>
      <c r="CY131" s="695">
        <v>2650</v>
      </c>
      <c r="CZ131" s="695">
        <v>2700</v>
      </c>
      <c r="DA131" s="695">
        <v>2750</v>
      </c>
      <c r="DB131" s="695">
        <v>2800</v>
      </c>
      <c r="DC131" s="695">
        <v>2850</v>
      </c>
      <c r="DD131" s="695">
        <v>2900</v>
      </c>
      <c r="DE131" s="696">
        <v>2950</v>
      </c>
      <c r="DF131" s="697">
        <v>3000</v>
      </c>
    </row>
    <row r="132" spans="1:110" ht="15.75" thickBot="1">
      <c r="B132" s="2320" t="s">
        <v>576</v>
      </c>
      <c r="C132" s="2321"/>
      <c r="D132" s="992"/>
      <c r="E132" s="992"/>
      <c r="F132" s="992"/>
      <c r="G132" s="994"/>
      <c r="H132" s="1004">
        <f>((H$131-$H$4)/1000)*$M63*(($C$8/70)^$W$63)*IF($C$13=1,$AE$63,IF($C$13=2,$AF$63,IF($C$13=3,$AG$63,1)))</f>
        <v>564.23849999999993</v>
      </c>
      <c r="I132" s="1004">
        <f>((I$131-$H$4)/1000)*$M63*(($C$8/70)^$W$63)*IF($C$13=1,$AE$63,IF($C$13=2,$AF$63,IF($C$13=3,$AG$63,1)))</f>
        <v>752.31799999999998</v>
      </c>
      <c r="J132" s="1004"/>
      <c r="K132" s="1004"/>
      <c r="L132" s="1004">
        <f t="shared" ref="L132:AQ132" si="93">((L$131-$H$4)/1000)*$M63*(($C$8/70)^$W$63)*IF($C$13=1,$AE$63,IF($C$13=2,$AF$63,IF($C$13=3,$AG$63,1)))</f>
        <v>1316.5564999999999</v>
      </c>
      <c r="M132" s="1004">
        <f t="shared" si="93"/>
        <v>1504.636</v>
      </c>
      <c r="N132" s="1004">
        <f t="shared" si="93"/>
        <v>1692.7155</v>
      </c>
      <c r="O132" s="1004">
        <f t="shared" si="93"/>
        <v>1880.7949999999998</v>
      </c>
      <c r="P132" s="1004">
        <f t="shared" si="93"/>
        <v>2068.8744999999999</v>
      </c>
      <c r="Q132" s="1004">
        <f t="shared" si="93"/>
        <v>2256.9539999999997</v>
      </c>
      <c r="R132" s="1004">
        <f t="shared" si="93"/>
        <v>2445.0335</v>
      </c>
      <c r="S132" s="1004">
        <f t="shared" si="93"/>
        <v>2633.1129999999998</v>
      </c>
      <c r="T132" s="1004">
        <f t="shared" si="93"/>
        <v>2821.1924999999997</v>
      </c>
      <c r="U132" s="1004">
        <f t="shared" si="93"/>
        <v>3009.2719999999999</v>
      </c>
      <c r="V132" s="1004">
        <f t="shared" si="93"/>
        <v>3197.3514999999998</v>
      </c>
      <c r="W132" s="1004">
        <f t="shared" si="93"/>
        <v>3385.431</v>
      </c>
      <c r="X132" s="1004">
        <f t="shared" si="93"/>
        <v>3573.5104999999999</v>
      </c>
      <c r="Y132" s="1004">
        <f t="shared" si="93"/>
        <v>3761.5899999999997</v>
      </c>
      <c r="Z132" s="1004">
        <f t="shared" si="93"/>
        <v>3949.6694999999995</v>
      </c>
      <c r="AA132" s="1004">
        <f t="shared" si="93"/>
        <v>4137.7489999999998</v>
      </c>
      <c r="AB132" s="1004">
        <f t="shared" si="93"/>
        <v>4325.8284999999996</v>
      </c>
      <c r="AC132" s="1004">
        <f t="shared" si="93"/>
        <v>4513.9079999999994</v>
      </c>
      <c r="AD132" s="1004">
        <f t="shared" si="93"/>
        <v>4701.9875000000002</v>
      </c>
      <c r="AE132" s="1004">
        <f t="shared" si="93"/>
        <v>4890.067</v>
      </c>
      <c r="AF132" s="1004">
        <f t="shared" si="93"/>
        <v>5078.1464999999998</v>
      </c>
      <c r="AG132" s="1004">
        <f t="shared" si="93"/>
        <v>5266.2259999999997</v>
      </c>
      <c r="AH132" s="1004">
        <f t="shared" si="93"/>
        <v>5454.3054999999995</v>
      </c>
      <c r="AI132" s="1004">
        <f t="shared" si="93"/>
        <v>5642.3849999999993</v>
      </c>
      <c r="AJ132" s="1004">
        <f t="shared" si="93"/>
        <v>5830.4645</v>
      </c>
      <c r="AK132" s="1004">
        <f t="shared" si="93"/>
        <v>6018.5439999999999</v>
      </c>
      <c r="AL132" s="1004">
        <f t="shared" si="93"/>
        <v>6206.6234999999997</v>
      </c>
      <c r="AM132" s="1004">
        <f t="shared" si="93"/>
        <v>6394.7029999999995</v>
      </c>
      <c r="AN132" s="1004">
        <f t="shared" si="93"/>
        <v>6582.7824999999993</v>
      </c>
      <c r="AO132" s="1004">
        <f t="shared" si="93"/>
        <v>6770.8620000000001</v>
      </c>
      <c r="AP132" s="1004">
        <f t="shared" si="93"/>
        <v>6958.941499999999</v>
      </c>
      <c r="AQ132" s="1004">
        <f t="shared" si="93"/>
        <v>7147.0209999999997</v>
      </c>
      <c r="AR132" s="1004">
        <f t="shared" ref="AR132:BW132" si="94">((AR$131-$H$4)/1000)*$M63*(($C$8/70)^$W$63)*IF($C$13=1,$AE$63,IF($C$13=2,$AF$63,IF($C$13=3,$AG$63,1)))</f>
        <v>7335.1004999999996</v>
      </c>
      <c r="AS132" s="1004">
        <f t="shared" si="94"/>
        <v>7523.1799999999994</v>
      </c>
      <c r="AT132" s="1004">
        <f t="shared" si="94"/>
        <v>7711.2594999999992</v>
      </c>
      <c r="AU132" s="1004">
        <f t="shared" si="94"/>
        <v>7899.338999999999</v>
      </c>
      <c r="AV132" s="1004">
        <f t="shared" si="94"/>
        <v>8087.4184999999998</v>
      </c>
      <c r="AW132" s="1004">
        <f t="shared" si="94"/>
        <v>8275.4979999999996</v>
      </c>
      <c r="AX132" s="1004">
        <f t="shared" si="94"/>
        <v>8463.5774999999994</v>
      </c>
      <c r="AY132" s="1004">
        <f t="shared" si="94"/>
        <v>8651.6569999999992</v>
      </c>
      <c r="AZ132" s="1004">
        <f t="shared" si="94"/>
        <v>8839.7364999999991</v>
      </c>
      <c r="BA132" s="1004">
        <f t="shared" si="94"/>
        <v>9027.8159999999989</v>
      </c>
      <c r="BB132" s="1004">
        <f t="shared" si="94"/>
        <v>9215.8955000000005</v>
      </c>
      <c r="BC132" s="1004">
        <f t="shared" si="94"/>
        <v>9403.9750000000004</v>
      </c>
      <c r="BD132" s="1004">
        <f t="shared" si="94"/>
        <v>9592.0544999999984</v>
      </c>
      <c r="BE132" s="1004">
        <f t="shared" si="94"/>
        <v>9780.134</v>
      </c>
      <c r="BF132" s="1005">
        <f t="shared" si="94"/>
        <v>9968.2134999999998</v>
      </c>
      <c r="BG132" s="995">
        <f t="shared" si="94"/>
        <v>-1316.5564999999999</v>
      </c>
      <c r="BH132" s="991">
        <f t="shared" si="94"/>
        <v>564.23849999999993</v>
      </c>
      <c r="BI132" s="991">
        <f t="shared" si="94"/>
        <v>752.31799999999998</v>
      </c>
      <c r="BJ132" s="991">
        <f t="shared" si="94"/>
        <v>940.39749999999992</v>
      </c>
      <c r="BK132" s="991">
        <f t="shared" si="94"/>
        <v>1128.4769999999999</v>
      </c>
      <c r="BL132" s="991">
        <f t="shared" si="94"/>
        <v>1316.5564999999999</v>
      </c>
      <c r="BM132" s="991">
        <f t="shared" si="94"/>
        <v>1504.636</v>
      </c>
      <c r="BN132" s="991">
        <f t="shared" si="94"/>
        <v>1692.7155</v>
      </c>
      <c r="BO132" s="991">
        <f t="shared" si="94"/>
        <v>1880.7949999999998</v>
      </c>
      <c r="BP132" s="991">
        <f t="shared" si="94"/>
        <v>2068.8744999999999</v>
      </c>
      <c r="BQ132" s="991">
        <f t="shared" si="94"/>
        <v>2256.9539999999997</v>
      </c>
      <c r="BR132" s="991">
        <f t="shared" si="94"/>
        <v>2445.0335</v>
      </c>
      <c r="BS132" s="991">
        <f t="shared" si="94"/>
        <v>2633.1129999999998</v>
      </c>
      <c r="BT132" s="991">
        <f t="shared" si="94"/>
        <v>2821.1924999999997</v>
      </c>
      <c r="BU132" s="991">
        <f t="shared" si="94"/>
        <v>3009.2719999999999</v>
      </c>
      <c r="BV132" s="991">
        <f t="shared" si="94"/>
        <v>3197.3514999999998</v>
      </c>
      <c r="BW132" s="991">
        <f t="shared" si="94"/>
        <v>3385.431</v>
      </c>
      <c r="BX132" s="991">
        <f t="shared" ref="BX132:DF132" si="95">((BX$131-$H$4)/1000)*$M63*(($C$8/70)^$W$63)*IF($C$13=1,$AE$63,IF($C$13=2,$AF$63,IF($C$13=3,$AG$63,1)))</f>
        <v>3573.5104999999999</v>
      </c>
      <c r="BY132" s="991">
        <f t="shared" si="95"/>
        <v>3761.5899999999997</v>
      </c>
      <c r="BZ132" s="991">
        <f t="shared" si="95"/>
        <v>3949.6694999999995</v>
      </c>
      <c r="CA132" s="991">
        <f t="shared" si="95"/>
        <v>4137.7489999999998</v>
      </c>
      <c r="CB132" s="991">
        <f t="shared" si="95"/>
        <v>4325.8284999999996</v>
      </c>
      <c r="CC132" s="991">
        <f t="shared" si="95"/>
        <v>4513.9079999999994</v>
      </c>
      <c r="CD132" s="991">
        <f t="shared" si="95"/>
        <v>4701.9875000000002</v>
      </c>
      <c r="CE132" s="991">
        <f t="shared" si="95"/>
        <v>4890.067</v>
      </c>
      <c r="CF132" s="991">
        <f t="shared" si="95"/>
        <v>5078.1464999999998</v>
      </c>
      <c r="CG132" s="991">
        <f t="shared" si="95"/>
        <v>5266.2259999999997</v>
      </c>
      <c r="CH132" s="991">
        <f t="shared" si="95"/>
        <v>5454.3054999999995</v>
      </c>
      <c r="CI132" s="991">
        <f t="shared" si="95"/>
        <v>5642.3849999999993</v>
      </c>
      <c r="CJ132" s="991">
        <f t="shared" si="95"/>
        <v>5830.4645</v>
      </c>
      <c r="CK132" s="991">
        <f t="shared" si="95"/>
        <v>6018.5439999999999</v>
      </c>
      <c r="CL132" s="991">
        <f t="shared" si="95"/>
        <v>6206.6234999999997</v>
      </c>
      <c r="CM132" s="991">
        <f t="shared" si="95"/>
        <v>6394.7029999999995</v>
      </c>
      <c r="CN132" s="991">
        <f t="shared" si="95"/>
        <v>6582.7824999999993</v>
      </c>
      <c r="CO132" s="991">
        <f t="shared" si="95"/>
        <v>6770.8620000000001</v>
      </c>
      <c r="CP132" s="991">
        <f t="shared" si="95"/>
        <v>6958.941499999999</v>
      </c>
      <c r="CQ132" s="991">
        <f t="shared" si="95"/>
        <v>7147.0209999999997</v>
      </c>
      <c r="CR132" s="991">
        <f t="shared" si="95"/>
        <v>7335.1004999999996</v>
      </c>
      <c r="CS132" s="991">
        <f t="shared" si="95"/>
        <v>7523.1799999999994</v>
      </c>
      <c r="CT132" s="991">
        <f t="shared" si="95"/>
        <v>7711.2594999999992</v>
      </c>
      <c r="CU132" s="991">
        <f t="shared" si="95"/>
        <v>7899.338999999999</v>
      </c>
      <c r="CV132" s="991">
        <f t="shared" si="95"/>
        <v>8087.4184999999998</v>
      </c>
      <c r="CW132" s="991">
        <f t="shared" si="95"/>
        <v>8275.4979999999996</v>
      </c>
      <c r="CX132" s="991">
        <f t="shared" si="95"/>
        <v>8463.5774999999994</v>
      </c>
      <c r="CY132" s="991">
        <f t="shared" si="95"/>
        <v>8651.6569999999992</v>
      </c>
      <c r="CZ132" s="991">
        <f t="shared" si="95"/>
        <v>8839.7364999999991</v>
      </c>
      <c r="DA132" s="991">
        <f t="shared" si="95"/>
        <v>9027.8159999999989</v>
      </c>
      <c r="DB132" s="991">
        <f t="shared" si="95"/>
        <v>9215.8955000000005</v>
      </c>
      <c r="DC132" s="991">
        <f t="shared" si="95"/>
        <v>9403.9750000000004</v>
      </c>
      <c r="DD132" s="991">
        <f t="shared" si="95"/>
        <v>9592.0544999999984</v>
      </c>
      <c r="DE132" s="991">
        <f t="shared" si="95"/>
        <v>9780.134</v>
      </c>
      <c r="DF132" s="991">
        <f t="shared" si="95"/>
        <v>9968.2134999999998</v>
      </c>
    </row>
    <row r="133" spans="1:110" ht="15.75" thickBot="1">
      <c r="B133" s="2322" t="s">
        <v>577</v>
      </c>
      <c r="C133" s="2323"/>
      <c r="D133" s="1006"/>
      <c r="E133" s="1006"/>
      <c r="F133" s="1006"/>
      <c r="G133" s="1007"/>
      <c r="H133" s="1008">
        <f>((H$131-$H$4)/1000)*$O63*(($C$8/70)^$Y$63)*IF($C$13=1,$AE$63,IF($C$13=2,$AF$63,IF($C$13=3,$AG$63,1)))</f>
        <v>643.43894999999986</v>
      </c>
      <c r="I133" s="1008">
        <f>((I$131-$H$4)/1000)*$O63*(($C$8/70)^$Y$63)*IF($C$13=1,$AE$63,IF($C$13=2,$AF$63,IF($C$13=3,$AG$63,1)))</f>
        <v>857.91859999999997</v>
      </c>
      <c r="J133" s="1008"/>
      <c r="K133" s="1008"/>
      <c r="L133" s="1008">
        <f t="shared" ref="L133:AQ133" si="96">((L$131-$H$4)/1000)*$O63*(($C$8/70)^$Y$63)*IF($C$13=1,$AE$63,IF($C$13=2,$AF$63,IF($C$13=3,$AG$63,1)))</f>
        <v>1501.3575499999997</v>
      </c>
      <c r="M133" s="1008">
        <f t="shared" si="96"/>
        <v>1715.8371999999999</v>
      </c>
      <c r="N133" s="1008">
        <f t="shared" si="96"/>
        <v>1930.3168499999999</v>
      </c>
      <c r="O133" s="1008">
        <f t="shared" si="96"/>
        <v>2144.7964999999999</v>
      </c>
      <c r="P133" s="1008">
        <f t="shared" si="96"/>
        <v>2359.2761500000001</v>
      </c>
      <c r="Q133" s="1008">
        <f t="shared" si="96"/>
        <v>2573.7557999999995</v>
      </c>
      <c r="R133" s="1008">
        <f t="shared" si="96"/>
        <v>2788.2354500000001</v>
      </c>
      <c r="S133" s="1008">
        <f t="shared" si="96"/>
        <v>3002.7150999999994</v>
      </c>
      <c r="T133" s="1008">
        <f t="shared" si="96"/>
        <v>3217.1947500000001</v>
      </c>
      <c r="U133" s="1008">
        <f t="shared" si="96"/>
        <v>3431.6743999999999</v>
      </c>
      <c r="V133" s="1008">
        <f t="shared" si="96"/>
        <v>3646.1540500000001</v>
      </c>
      <c r="W133" s="1008">
        <f t="shared" si="96"/>
        <v>3860.6336999999999</v>
      </c>
      <c r="X133" s="1008">
        <f t="shared" si="96"/>
        <v>4075.1133500000001</v>
      </c>
      <c r="Y133" s="1008">
        <f t="shared" si="96"/>
        <v>4289.5929999999998</v>
      </c>
      <c r="Z133" s="1008">
        <f t="shared" si="96"/>
        <v>4504.0726500000001</v>
      </c>
      <c r="AA133" s="1008">
        <f t="shared" si="96"/>
        <v>4718.5523000000003</v>
      </c>
      <c r="AB133" s="1008">
        <f t="shared" si="96"/>
        <v>4933.0319499999996</v>
      </c>
      <c r="AC133" s="1008">
        <f t="shared" si="96"/>
        <v>5147.5115999999989</v>
      </c>
      <c r="AD133" s="1008">
        <f t="shared" si="96"/>
        <v>5361.99125</v>
      </c>
      <c r="AE133" s="1008">
        <f t="shared" si="96"/>
        <v>5576.4709000000003</v>
      </c>
      <c r="AF133" s="1008">
        <f t="shared" si="96"/>
        <v>5790.9505500000005</v>
      </c>
      <c r="AG133" s="1008">
        <f t="shared" si="96"/>
        <v>6005.4301999999989</v>
      </c>
      <c r="AH133" s="1008">
        <f t="shared" si="96"/>
        <v>6219.90985</v>
      </c>
      <c r="AI133" s="1008">
        <f t="shared" si="96"/>
        <v>6434.3895000000002</v>
      </c>
      <c r="AJ133" s="1008">
        <f t="shared" si="96"/>
        <v>6648.8691499999995</v>
      </c>
      <c r="AK133" s="1008">
        <f t="shared" si="96"/>
        <v>6863.3487999999998</v>
      </c>
      <c r="AL133" s="1008">
        <f t="shared" si="96"/>
        <v>7077.8284499999991</v>
      </c>
      <c r="AM133" s="1008">
        <f t="shared" si="96"/>
        <v>7292.3081000000002</v>
      </c>
      <c r="AN133" s="1008">
        <f t="shared" si="96"/>
        <v>7506.7877499999995</v>
      </c>
      <c r="AO133" s="1008">
        <f t="shared" si="96"/>
        <v>7721.2673999999997</v>
      </c>
      <c r="AP133" s="1008">
        <f t="shared" si="96"/>
        <v>7935.7470499999999</v>
      </c>
      <c r="AQ133" s="1008">
        <f t="shared" si="96"/>
        <v>8150.2267000000002</v>
      </c>
      <c r="AR133" s="1008">
        <f t="shared" ref="AR133:BW133" si="97">((AR$131-$H$4)/1000)*$O63*(($C$8/70)^$Y$63)*IF($C$13=1,$AE$63,IF($C$13=2,$AF$63,IF($C$13=3,$AG$63,1)))</f>
        <v>8364.7063499999986</v>
      </c>
      <c r="AS133" s="1008">
        <f t="shared" si="97"/>
        <v>8579.1859999999997</v>
      </c>
      <c r="AT133" s="1008">
        <f t="shared" si="97"/>
        <v>8793.665649999999</v>
      </c>
      <c r="AU133" s="1008">
        <f t="shared" si="97"/>
        <v>9008.1453000000001</v>
      </c>
      <c r="AV133" s="1008">
        <f t="shared" si="97"/>
        <v>9222.6249499999994</v>
      </c>
      <c r="AW133" s="1008">
        <f t="shared" si="97"/>
        <v>9437.1046000000006</v>
      </c>
      <c r="AX133" s="1008">
        <f t="shared" si="97"/>
        <v>9651.5842499999999</v>
      </c>
      <c r="AY133" s="1008">
        <f t="shared" si="97"/>
        <v>9866.0638999999992</v>
      </c>
      <c r="AZ133" s="1008">
        <f t="shared" si="97"/>
        <v>10080.54355</v>
      </c>
      <c r="BA133" s="1008">
        <f t="shared" si="97"/>
        <v>10295.023199999998</v>
      </c>
      <c r="BB133" s="1008">
        <f t="shared" si="97"/>
        <v>10509.502850000001</v>
      </c>
      <c r="BC133" s="1008">
        <f t="shared" si="97"/>
        <v>10723.9825</v>
      </c>
      <c r="BD133" s="1008">
        <f t="shared" si="97"/>
        <v>10938.462149999999</v>
      </c>
      <c r="BE133" s="1008">
        <f t="shared" si="97"/>
        <v>11152.941800000001</v>
      </c>
      <c r="BF133" s="1009">
        <f t="shared" si="97"/>
        <v>11367.421449999998</v>
      </c>
      <c r="BG133" s="995">
        <f t="shared" si="97"/>
        <v>-1501.3575499999997</v>
      </c>
      <c r="BH133" s="991">
        <f t="shared" si="97"/>
        <v>643.43894999999986</v>
      </c>
      <c r="BI133" s="991">
        <f t="shared" si="97"/>
        <v>857.91859999999997</v>
      </c>
      <c r="BJ133" s="991">
        <f t="shared" si="97"/>
        <v>1072.39825</v>
      </c>
      <c r="BK133" s="991">
        <f t="shared" si="97"/>
        <v>1286.8778999999997</v>
      </c>
      <c r="BL133" s="991">
        <f t="shared" si="97"/>
        <v>1501.3575499999997</v>
      </c>
      <c r="BM133" s="991">
        <f t="shared" si="97"/>
        <v>1715.8371999999999</v>
      </c>
      <c r="BN133" s="991">
        <f t="shared" si="97"/>
        <v>1930.3168499999999</v>
      </c>
      <c r="BO133" s="991">
        <f t="shared" si="97"/>
        <v>2144.7964999999999</v>
      </c>
      <c r="BP133" s="991">
        <f t="shared" si="97"/>
        <v>2359.2761500000001</v>
      </c>
      <c r="BQ133" s="991">
        <f t="shared" si="97"/>
        <v>2573.7557999999995</v>
      </c>
      <c r="BR133" s="991">
        <f t="shared" si="97"/>
        <v>2788.2354500000001</v>
      </c>
      <c r="BS133" s="991">
        <f t="shared" si="97"/>
        <v>3002.7150999999994</v>
      </c>
      <c r="BT133" s="991">
        <f t="shared" si="97"/>
        <v>3217.1947500000001</v>
      </c>
      <c r="BU133" s="991">
        <f t="shared" si="97"/>
        <v>3431.6743999999999</v>
      </c>
      <c r="BV133" s="991">
        <f t="shared" si="97"/>
        <v>3646.1540500000001</v>
      </c>
      <c r="BW133" s="991">
        <f t="shared" si="97"/>
        <v>3860.6336999999999</v>
      </c>
      <c r="BX133" s="991">
        <f t="shared" ref="BX133:DF133" si="98">((BX$131-$H$4)/1000)*$O63*(($C$8/70)^$Y$63)*IF($C$13=1,$AE$63,IF($C$13=2,$AF$63,IF($C$13=3,$AG$63,1)))</f>
        <v>4075.1133500000001</v>
      </c>
      <c r="BY133" s="991">
        <f t="shared" si="98"/>
        <v>4289.5929999999998</v>
      </c>
      <c r="BZ133" s="991">
        <f t="shared" si="98"/>
        <v>4504.0726500000001</v>
      </c>
      <c r="CA133" s="991">
        <f t="shared" si="98"/>
        <v>4718.5523000000003</v>
      </c>
      <c r="CB133" s="991">
        <f t="shared" si="98"/>
        <v>4933.0319499999996</v>
      </c>
      <c r="CC133" s="991">
        <f t="shared" si="98"/>
        <v>5147.5115999999989</v>
      </c>
      <c r="CD133" s="991">
        <f t="shared" si="98"/>
        <v>5361.99125</v>
      </c>
      <c r="CE133" s="991">
        <f t="shared" si="98"/>
        <v>5576.4709000000003</v>
      </c>
      <c r="CF133" s="991">
        <f t="shared" si="98"/>
        <v>5790.9505500000005</v>
      </c>
      <c r="CG133" s="991">
        <f t="shared" si="98"/>
        <v>6005.4301999999989</v>
      </c>
      <c r="CH133" s="991">
        <f t="shared" si="98"/>
        <v>6219.90985</v>
      </c>
      <c r="CI133" s="991">
        <f t="shared" si="98"/>
        <v>6434.3895000000002</v>
      </c>
      <c r="CJ133" s="991">
        <f t="shared" si="98"/>
        <v>6648.8691499999995</v>
      </c>
      <c r="CK133" s="991">
        <f t="shared" si="98"/>
        <v>6863.3487999999998</v>
      </c>
      <c r="CL133" s="991">
        <f t="shared" si="98"/>
        <v>7077.8284499999991</v>
      </c>
      <c r="CM133" s="991">
        <f t="shared" si="98"/>
        <v>7292.3081000000002</v>
      </c>
      <c r="CN133" s="991">
        <f t="shared" si="98"/>
        <v>7506.7877499999995</v>
      </c>
      <c r="CO133" s="991">
        <f t="shared" si="98"/>
        <v>7721.2673999999997</v>
      </c>
      <c r="CP133" s="991">
        <f t="shared" si="98"/>
        <v>7935.7470499999999</v>
      </c>
      <c r="CQ133" s="991">
        <f t="shared" si="98"/>
        <v>8150.2267000000002</v>
      </c>
      <c r="CR133" s="991">
        <f t="shared" si="98"/>
        <v>8364.7063499999986</v>
      </c>
      <c r="CS133" s="991">
        <f t="shared" si="98"/>
        <v>8579.1859999999997</v>
      </c>
      <c r="CT133" s="991">
        <f t="shared" si="98"/>
        <v>8793.665649999999</v>
      </c>
      <c r="CU133" s="991">
        <f t="shared" si="98"/>
        <v>9008.1453000000001</v>
      </c>
      <c r="CV133" s="991">
        <f t="shared" si="98"/>
        <v>9222.6249499999994</v>
      </c>
      <c r="CW133" s="991">
        <f t="shared" si="98"/>
        <v>9437.1046000000006</v>
      </c>
      <c r="CX133" s="991">
        <f t="shared" si="98"/>
        <v>9651.5842499999999</v>
      </c>
      <c r="CY133" s="991">
        <f t="shared" si="98"/>
        <v>9866.0638999999992</v>
      </c>
      <c r="CZ133" s="991">
        <f t="shared" si="98"/>
        <v>10080.54355</v>
      </c>
      <c r="DA133" s="991">
        <f t="shared" si="98"/>
        <v>10295.023199999998</v>
      </c>
      <c r="DB133" s="991">
        <f t="shared" si="98"/>
        <v>10509.502850000001</v>
      </c>
      <c r="DC133" s="991">
        <f t="shared" si="98"/>
        <v>10723.9825</v>
      </c>
      <c r="DD133" s="991">
        <f t="shared" si="98"/>
        <v>10938.462149999999</v>
      </c>
      <c r="DE133" s="991">
        <f t="shared" si="98"/>
        <v>11152.941800000001</v>
      </c>
      <c r="DF133" s="991">
        <f t="shared" si="98"/>
        <v>11367.421449999998</v>
      </c>
    </row>
    <row r="134" spans="1:110" ht="15.75" hidden="1" thickBot="1">
      <c r="B134" s="981"/>
      <c r="C134" s="981"/>
      <c r="D134" s="981"/>
      <c r="E134" s="981"/>
      <c r="F134" s="981"/>
      <c r="G134" s="981"/>
      <c r="H134" s="982"/>
      <c r="I134" s="982"/>
      <c r="J134" s="982"/>
      <c r="K134" s="982"/>
      <c r="L134" s="982"/>
      <c r="M134" s="982"/>
      <c r="N134" s="982"/>
      <c r="O134" s="982"/>
      <c r="P134" s="982"/>
      <c r="Q134" s="982"/>
      <c r="R134" s="982"/>
      <c r="S134" s="982"/>
      <c r="T134" s="982"/>
      <c r="U134" s="982"/>
      <c r="V134" s="982"/>
      <c r="W134" s="982"/>
      <c r="X134" s="982"/>
      <c r="Y134" s="982"/>
      <c r="Z134" s="982"/>
      <c r="AA134" s="982"/>
      <c r="AB134" s="982"/>
      <c r="AC134" s="982"/>
      <c r="AD134" s="982"/>
      <c r="AE134" s="982"/>
      <c r="AF134" s="982"/>
      <c r="AG134" s="982"/>
      <c r="AH134" s="982"/>
      <c r="AI134" s="982"/>
      <c r="AJ134" s="982"/>
      <c r="AK134" s="982"/>
      <c r="AL134" s="982"/>
      <c r="AM134" s="982"/>
      <c r="AN134" s="982"/>
      <c r="AO134" s="982"/>
      <c r="AP134" s="982"/>
      <c r="AQ134" s="982"/>
      <c r="AR134" s="982"/>
      <c r="AS134" s="982"/>
      <c r="AT134" s="982"/>
      <c r="AU134" s="982"/>
      <c r="AV134" s="982"/>
      <c r="AW134" s="982"/>
      <c r="AX134" s="982"/>
      <c r="AY134" s="982"/>
      <c r="AZ134" s="982"/>
      <c r="BA134" s="982"/>
      <c r="BB134" s="982"/>
      <c r="BC134" s="982"/>
      <c r="BD134" s="982"/>
      <c r="BE134" s="982"/>
      <c r="BF134" s="982"/>
    </row>
    <row r="135" spans="1:110" ht="15.75" hidden="1" thickBot="1">
      <c r="B135" s="2395" t="s">
        <v>375</v>
      </c>
      <c r="C135" s="2396"/>
      <c r="D135" s="945"/>
      <c r="E135" s="945"/>
      <c r="F135" s="945"/>
      <c r="G135" s="945"/>
      <c r="H135" s="2380" t="s">
        <v>18</v>
      </c>
      <c r="I135" s="2381"/>
      <c r="J135" s="2381"/>
      <c r="K135" s="2381"/>
      <c r="L135" s="2381"/>
      <c r="M135" s="2381"/>
      <c r="N135" s="2381"/>
      <c r="O135" s="2381"/>
      <c r="P135" s="2381"/>
      <c r="Q135" s="2381"/>
      <c r="R135" s="2381"/>
      <c r="S135" s="2381"/>
      <c r="T135" s="2381"/>
      <c r="U135" s="2381"/>
      <c r="V135" s="2381"/>
      <c r="W135" s="2381"/>
      <c r="X135" s="2381"/>
      <c r="Y135" s="2381"/>
      <c r="Z135" s="2381"/>
      <c r="AA135" s="2381"/>
      <c r="AB135" s="2381"/>
      <c r="AC135" s="2381"/>
      <c r="AD135" s="2381"/>
      <c r="AE135" s="2381"/>
      <c r="AF135" s="2381"/>
      <c r="AG135" s="2381"/>
      <c r="AH135" s="2381"/>
      <c r="AI135" s="2381"/>
      <c r="AJ135" s="2381"/>
      <c r="AK135" s="2381"/>
      <c r="AL135" s="2381"/>
      <c r="AM135" s="2381"/>
      <c r="AN135" s="2381"/>
      <c r="AO135" s="2381"/>
      <c r="AP135" s="2381"/>
      <c r="AQ135" s="2381"/>
      <c r="AR135" s="2381"/>
      <c r="AS135" s="2381"/>
      <c r="AT135" s="2381"/>
      <c r="AU135" s="2381"/>
      <c r="AV135" s="2381"/>
      <c r="AW135" s="2381"/>
      <c r="AX135" s="2381"/>
      <c r="AY135" s="2381"/>
      <c r="AZ135" s="2381"/>
      <c r="BA135" s="2381"/>
      <c r="BB135" s="2381"/>
      <c r="BC135" s="2381"/>
      <c r="BD135" s="2381"/>
      <c r="BE135" s="2381"/>
      <c r="BF135" s="2382"/>
    </row>
    <row r="136" spans="1:110" ht="15.75" hidden="1" thickBot="1">
      <c r="B136" s="2397"/>
      <c r="C136" s="2398"/>
      <c r="D136" s="946"/>
      <c r="E136" s="946"/>
      <c r="F136" s="946"/>
      <c r="G136" s="946"/>
      <c r="H136" s="939">
        <v>500</v>
      </c>
      <c r="I136" s="940">
        <v>550</v>
      </c>
      <c r="J136" s="941">
        <v>600</v>
      </c>
      <c r="K136" s="942">
        <v>650</v>
      </c>
      <c r="L136" s="942">
        <v>700</v>
      </c>
      <c r="M136" s="942">
        <v>750</v>
      </c>
      <c r="N136" s="942">
        <v>800</v>
      </c>
      <c r="O136" s="942">
        <v>850</v>
      </c>
      <c r="P136" s="942">
        <v>900</v>
      </c>
      <c r="Q136" s="942">
        <v>950</v>
      </c>
      <c r="R136" s="942">
        <v>1000</v>
      </c>
      <c r="S136" s="942">
        <v>1050</v>
      </c>
      <c r="T136" s="942">
        <v>1100</v>
      </c>
      <c r="U136" s="942">
        <v>1150</v>
      </c>
      <c r="V136" s="942">
        <v>1200</v>
      </c>
      <c r="W136" s="942">
        <v>1250</v>
      </c>
      <c r="X136" s="942">
        <v>1300</v>
      </c>
      <c r="Y136" s="942">
        <v>1350</v>
      </c>
      <c r="Z136" s="942">
        <v>1400</v>
      </c>
      <c r="AA136" s="942">
        <v>1450</v>
      </c>
      <c r="AB136" s="942">
        <v>1500</v>
      </c>
      <c r="AC136" s="942">
        <v>1550</v>
      </c>
      <c r="AD136" s="942">
        <v>1600</v>
      </c>
      <c r="AE136" s="942">
        <v>1650</v>
      </c>
      <c r="AF136" s="942">
        <v>1700</v>
      </c>
      <c r="AG136" s="942">
        <v>1750</v>
      </c>
      <c r="AH136" s="942">
        <v>1800</v>
      </c>
      <c r="AI136" s="942">
        <v>1850</v>
      </c>
      <c r="AJ136" s="942">
        <v>1900</v>
      </c>
      <c r="AK136" s="942">
        <v>1950</v>
      </c>
      <c r="AL136" s="942">
        <v>2000</v>
      </c>
      <c r="AM136" s="942">
        <v>2050</v>
      </c>
      <c r="AN136" s="942">
        <v>2100</v>
      </c>
      <c r="AO136" s="942">
        <v>2150</v>
      </c>
      <c r="AP136" s="942">
        <v>2200</v>
      </c>
      <c r="AQ136" s="942">
        <v>2250</v>
      </c>
      <c r="AR136" s="942">
        <v>2300</v>
      </c>
      <c r="AS136" s="942">
        <v>2350</v>
      </c>
      <c r="AT136" s="942">
        <v>2400</v>
      </c>
      <c r="AU136" s="942">
        <v>2450</v>
      </c>
      <c r="AV136" s="942">
        <v>2500</v>
      </c>
      <c r="AW136" s="942">
        <v>2550</v>
      </c>
      <c r="AX136" s="942">
        <v>2600</v>
      </c>
      <c r="AY136" s="942">
        <v>2650</v>
      </c>
      <c r="AZ136" s="942">
        <v>2700</v>
      </c>
      <c r="BA136" s="942">
        <v>2750</v>
      </c>
      <c r="BB136" s="942">
        <v>2800</v>
      </c>
      <c r="BC136" s="942">
        <v>2850</v>
      </c>
      <c r="BD136" s="942">
        <v>2900</v>
      </c>
      <c r="BE136" s="943">
        <v>2950</v>
      </c>
      <c r="BF136" s="944">
        <v>3000</v>
      </c>
    </row>
    <row r="137" spans="1:110" ht="15.75" hidden="1" thickBot="1">
      <c r="B137" s="2399" t="s">
        <v>578</v>
      </c>
      <c r="C137" s="2400"/>
      <c r="D137" s="947"/>
      <c r="E137" s="947"/>
      <c r="F137" s="947"/>
      <c r="G137" s="947"/>
      <c r="H137" s="948">
        <f>((H$136-$H$4)/1000)*$M$73*(($C$8/70)^$W$73)*IF($C$13=1,$AE$72,IF($C$13=2,$AF$72,IF($C$13=3,$AG$72,1)))</f>
        <v>268.90801199999993</v>
      </c>
      <c r="I137" s="948">
        <f>((I$136-$H$4)/1000)*$M$73*(($C$8/70)^$W$73)*IF($C$13=1,$AE$72,IF($C$13=2,$AF$72,IF($C$13=3,$AG$72,1)))</f>
        <v>358.54401599999994</v>
      </c>
      <c r="J137" s="948"/>
      <c r="K137" s="948"/>
      <c r="L137" s="948">
        <f t="shared" ref="L137:AQ137" si="99">((L$136-$H$4)/1000)*$M$73*(($C$8/70)^$W$73)*IF($C$13=1,$AE$72,IF($C$13=2,$AF$72,IF($C$13=3,$AG$72,1)))</f>
        <v>627.45202799999993</v>
      </c>
      <c r="M137" s="948">
        <f t="shared" si="99"/>
        <v>717.08803199999988</v>
      </c>
      <c r="N137" s="948">
        <f t="shared" si="99"/>
        <v>806.72403599999984</v>
      </c>
      <c r="O137" s="948">
        <f t="shared" si="99"/>
        <v>896.3600399999998</v>
      </c>
      <c r="P137" s="948">
        <f t="shared" si="99"/>
        <v>985.99604399999987</v>
      </c>
      <c r="Q137" s="948">
        <f t="shared" si="99"/>
        <v>1075.6320479999997</v>
      </c>
      <c r="R137" s="948">
        <f t="shared" si="99"/>
        <v>1165.2680519999999</v>
      </c>
      <c r="S137" s="948">
        <f t="shared" si="99"/>
        <v>1254.9040559999999</v>
      </c>
      <c r="T137" s="948">
        <f t="shared" si="99"/>
        <v>1344.5400599999998</v>
      </c>
      <c r="U137" s="948">
        <f t="shared" si="99"/>
        <v>1434.1760639999998</v>
      </c>
      <c r="V137" s="948">
        <f t="shared" si="99"/>
        <v>1523.8120679999997</v>
      </c>
      <c r="W137" s="948">
        <f t="shared" si="99"/>
        <v>1613.4480719999997</v>
      </c>
      <c r="X137" s="948">
        <f t="shared" si="99"/>
        <v>1703.0840759999996</v>
      </c>
      <c r="Y137" s="948">
        <f t="shared" si="99"/>
        <v>1792.7200799999996</v>
      </c>
      <c r="Z137" s="948">
        <f t="shared" si="99"/>
        <v>1882.3560839999998</v>
      </c>
      <c r="AA137" s="948">
        <f t="shared" si="99"/>
        <v>1971.9920879999997</v>
      </c>
      <c r="AB137" s="948">
        <f t="shared" si="99"/>
        <v>2061.6280919999995</v>
      </c>
      <c r="AC137" s="948">
        <f t="shared" si="99"/>
        <v>2151.2640959999994</v>
      </c>
      <c r="AD137" s="948">
        <f t="shared" si="99"/>
        <v>2240.9000999999998</v>
      </c>
      <c r="AE137" s="948">
        <f t="shared" si="99"/>
        <v>2330.5361039999998</v>
      </c>
      <c r="AF137" s="948">
        <f t="shared" si="99"/>
        <v>2420.1721079999998</v>
      </c>
      <c r="AG137" s="948">
        <f t="shared" si="99"/>
        <v>2509.8081119999997</v>
      </c>
      <c r="AH137" s="948">
        <f t="shared" si="99"/>
        <v>2599.4441159999992</v>
      </c>
      <c r="AI137" s="948">
        <f t="shared" si="99"/>
        <v>2689.0801199999996</v>
      </c>
      <c r="AJ137" s="948">
        <f t="shared" si="99"/>
        <v>2778.7161239999996</v>
      </c>
      <c r="AK137" s="948">
        <f t="shared" si="99"/>
        <v>2868.3521279999995</v>
      </c>
      <c r="AL137" s="948">
        <f t="shared" si="99"/>
        <v>2957.9881319999995</v>
      </c>
      <c r="AM137" s="948">
        <f t="shared" si="99"/>
        <v>3047.6241359999995</v>
      </c>
      <c r="AN137" s="948">
        <f t="shared" si="99"/>
        <v>3137.2601399999994</v>
      </c>
      <c r="AO137" s="948">
        <f t="shared" si="99"/>
        <v>3226.8961439999994</v>
      </c>
      <c r="AP137" s="948">
        <f t="shared" si="99"/>
        <v>3316.5321479999998</v>
      </c>
      <c r="AQ137" s="948">
        <f t="shared" si="99"/>
        <v>3406.1681519999993</v>
      </c>
      <c r="AR137" s="948">
        <f t="shared" ref="AR137:BW137" si="100">((AR$136-$H$4)/1000)*$M$73*(($C$8/70)^$W$73)*IF($C$13=1,$AE$72,IF($C$13=2,$AF$72,IF($C$13=3,$AG$72,1)))</f>
        <v>3495.8041559999992</v>
      </c>
      <c r="AS137" s="948">
        <f t="shared" si="100"/>
        <v>3585.4401599999992</v>
      </c>
      <c r="AT137" s="948">
        <f t="shared" si="100"/>
        <v>3675.0761639999987</v>
      </c>
      <c r="AU137" s="948">
        <f t="shared" si="100"/>
        <v>3764.7121679999996</v>
      </c>
      <c r="AV137" s="948">
        <f t="shared" si="100"/>
        <v>3854.3481719999991</v>
      </c>
      <c r="AW137" s="948">
        <f t="shared" si="100"/>
        <v>3943.9841759999995</v>
      </c>
      <c r="AX137" s="948">
        <f t="shared" si="100"/>
        <v>4033.6201799999994</v>
      </c>
      <c r="AY137" s="948">
        <f t="shared" si="100"/>
        <v>4123.2561839999989</v>
      </c>
      <c r="AZ137" s="948">
        <f t="shared" si="100"/>
        <v>4212.8921879999989</v>
      </c>
      <c r="BA137" s="948">
        <f t="shared" si="100"/>
        <v>4302.5281919999989</v>
      </c>
      <c r="BB137" s="948">
        <f t="shared" si="100"/>
        <v>4392.1641959999997</v>
      </c>
      <c r="BC137" s="948">
        <f t="shared" si="100"/>
        <v>4481.8001999999997</v>
      </c>
      <c r="BD137" s="948">
        <f t="shared" si="100"/>
        <v>4571.4362039999987</v>
      </c>
      <c r="BE137" s="948">
        <f t="shared" si="100"/>
        <v>4661.0722079999996</v>
      </c>
      <c r="BF137" s="948">
        <f t="shared" si="100"/>
        <v>4750.7082119999995</v>
      </c>
      <c r="BG137" s="865">
        <f t="shared" si="100"/>
        <v>-627.45202799999993</v>
      </c>
      <c r="BH137" s="865">
        <f t="shared" si="100"/>
        <v>-627.45202799999993</v>
      </c>
      <c r="BI137" s="865">
        <f t="shared" si="100"/>
        <v>-627.45202799999993</v>
      </c>
      <c r="BJ137" s="865">
        <f t="shared" si="100"/>
        <v>-627.45202799999993</v>
      </c>
      <c r="BK137" s="865">
        <f t="shared" si="100"/>
        <v>-627.45202799999993</v>
      </c>
      <c r="BL137" s="865">
        <f t="shared" si="100"/>
        <v>-627.45202799999993</v>
      </c>
      <c r="BM137" s="865">
        <f t="shared" si="100"/>
        <v>-627.45202799999993</v>
      </c>
      <c r="BN137" s="865">
        <f t="shared" si="100"/>
        <v>-627.45202799999993</v>
      </c>
      <c r="BO137" s="865">
        <f t="shared" si="100"/>
        <v>-627.45202799999993</v>
      </c>
      <c r="BP137" s="865">
        <f t="shared" si="100"/>
        <v>-627.45202799999993</v>
      </c>
      <c r="BQ137" s="865">
        <f t="shared" si="100"/>
        <v>-627.45202799999993</v>
      </c>
      <c r="BR137" s="865">
        <f t="shared" si="100"/>
        <v>-627.45202799999993</v>
      </c>
      <c r="BS137" s="865">
        <f t="shared" si="100"/>
        <v>-627.45202799999993</v>
      </c>
      <c r="BT137" s="865">
        <f t="shared" si="100"/>
        <v>-627.45202799999993</v>
      </c>
      <c r="BU137" s="865">
        <f t="shared" si="100"/>
        <v>-627.45202799999993</v>
      </c>
      <c r="BV137" s="865">
        <f t="shared" si="100"/>
        <v>-627.45202799999993</v>
      </c>
      <c r="BW137" s="865">
        <f t="shared" si="100"/>
        <v>-627.45202799999993</v>
      </c>
      <c r="BX137" s="865">
        <f t="shared" ref="BX137:DF137" si="101">((BX$136-$H$4)/1000)*$M$73*(($C$8/70)^$W$73)*IF($C$13=1,$AE$72,IF($C$13=2,$AF$72,IF($C$13=3,$AG$72,1)))</f>
        <v>-627.45202799999993</v>
      </c>
      <c r="BY137" s="865">
        <f t="shared" si="101"/>
        <v>-627.45202799999993</v>
      </c>
      <c r="BZ137" s="865">
        <f t="shared" si="101"/>
        <v>-627.45202799999993</v>
      </c>
      <c r="CA137" s="865">
        <f t="shared" si="101"/>
        <v>-627.45202799999993</v>
      </c>
      <c r="CB137" s="865">
        <f t="shared" si="101"/>
        <v>-627.45202799999993</v>
      </c>
      <c r="CC137" s="865">
        <f t="shared" si="101"/>
        <v>-627.45202799999993</v>
      </c>
      <c r="CD137" s="865">
        <f t="shared" si="101"/>
        <v>-627.45202799999993</v>
      </c>
      <c r="CE137" s="865">
        <f t="shared" si="101"/>
        <v>-627.45202799999993</v>
      </c>
      <c r="CF137" s="865">
        <f t="shared" si="101"/>
        <v>-627.45202799999993</v>
      </c>
      <c r="CG137" s="865">
        <f t="shared" si="101"/>
        <v>-627.45202799999993</v>
      </c>
      <c r="CH137" s="865">
        <f t="shared" si="101"/>
        <v>-627.45202799999993</v>
      </c>
      <c r="CI137" s="865">
        <f t="shared" si="101"/>
        <v>-627.45202799999993</v>
      </c>
      <c r="CJ137" s="865">
        <f t="shared" si="101"/>
        <v>-627.45202799999993</v>
      </c>
      <c r="CK137" s="865">
        <f t="shared" si="101"/>
        <v>-627.45202799999993</v>
      </c>
      <c r="CL137" s="865">
        <f t="shared" si="101"/>
        <v>-627.45202799999993</v>
      </c>
      <c r="CM137" s="865">
        <f t="shared" si="101"/>
        <v>-627.45202799999993</v>
      </c>
      <c r="CN137" s="865">
        <f t="shared" si="101"/>
        <v>-627.45202799999993</v>
      </c>
      <c r="CO137" s="865">
        <f t="shared" si="101"/>
        <v>-627.45202799999993</v>
      </c>
      <c r="CP137" s="865">
        <f t="shared" si="101"/>
        <v>-627.45202799999993</v>
      </c>
      <c r="CQ137" s="865">
        <f t="shared" si="101"/>
        <v>-627.45202799999993</v>
      </c>
      <c r="CR137" s="865">
        <f t="shared" si="101"/>
        <v>-627.45202799999993</v>
      </c>
      <c r="CS137" s="865">
        <f t="shared" si="101"/>
        <v>-627.45202799999993</v>
      </c>
      <c r="CT137" s="865">
        <f t="shared" si="101"/>
        <v>-627.45202799999993</v>
      </c>
      <c r="CU137" s="865">
        <f t="shared" si="101"/>
        <v>-627.45202799999993</v>
      </c>
      <c r="CV137" s="865">
        <f t="shared" si="101"/>
        <v>-627.45202799999993</v>
      </c>
      <c r="CW137" s="865">
        <f t="shared" si="101"/>
        <v>-627.45202799999993</v>
      </c>
      <c r="CX137" s="865">
        <f t="shared" si="101"/>
        <v>-627.45202799999993</v>
      </c>
      <c r="CY137" s="865">
        <f t="shared" si="101"/>
        <v>-627.45202799999993</v>
      </c>
      <c r="CZ137" s="865">
        <f t="shared" si="101"/>
        <v>-627.45202799999993</v>
      </c>
      <c r="DA137" s="865">
        <f t="shared" si="101"/>
        <v>-627.45202799999993</v>
      </c>
      <c r="DB137" s="865">
        <f t="shared" si="101"/>
        <v>-627.45202799999993</v>
      </c>
      <c r="DC137" s="865">
        <f t="shared" si="101"/>
        <v>-627.45202799999993</v>
      </c>
      <c r="DD137" s="865">
        <f t="shared" si="101"/>
        <v>-627.45202799999993</v>
      </c>
      <c r="DE137" s="865">
        <f t="shared" si="101"/>
        <v>-627.45202799999993</v>
      </c>
      <c r="DF137" s="865">
        <f t="shared" si="101"/>
        <v>-627.45202799999993</v>
      </c>
    </row>
    <row r="138" spans="1:110" ht="15.75" hidden="1" thickBot="1">
      <c r="B138" s="2383" t="s">
        <v>361</v>
      </c>
      <c r="C138" s="2384"/>
      <c r="D138" s="949"/>
      <c r="E138" s="949"/>
      <c r="F138" s="949"/>
      <c r="G138" s="949"/>
      <c r="H138" s="950">
        <f>((H$136-$H$4)/1000)*$N$73*(($C$8/70)^$X$73)*IF($C$13=1,$AE$72,IF($C$13=2,$AF$72,IF($C$13=3,$AG$72,1)))</f>
        <v>297.82285200000001</v>
      </c>
      <c r="I138" s="950">
        <f>((I$136-$H$4)/1000)*$N$73*(($C$8/70)^$X$73)*IF($C$13=1,$AE$72,IF($C$13=2,$AF$72,IF($C$13=3,$AG$72,1)))</f>
        <v>397.09713600000003</v>
      </c>
      <c r="J138" s="950"/>
      <c r="K138" s="950"/>
      <c r="L138" s="950">
        <f t="shared" ref="L138:AQ138" si="102">((L$136-$H$4)/1000)*$N$73*(($C$8/70)^$X$73)*IF($C$13=1,$AE$72,IF($C$13=2,$AF$72,IF($C$13=3,$AG$72,1)))</f>
        <v>694.91998799999999</v>
      </c>
      <c r="M138" s="950">
        <f t="shared" si="102"/>
        <v>794.19427200000007</v>
      </c>
      <c r="N138" s="950">
        <f t="shared" si="102"/>
        <v>893.46855600000004</v>
      </c>
      <c r="O138" s="950">
        <f t="shared" si="102"/>
        <v>992.74284</v>
      </c>
      <c r="P138" s="950">
        <f t="shared" si="102"/>
        <v>1092.0171240000002</v>
      </c>
      <c r="Q138" s="950">
        <f t="shared" si="102"/>
        <v>1191.291408</v>
      </c>
      <c r="R138" s="950">
        <f t="shared" si="102"/>
        <v>1290.5656920000001</v>
      </c>
      <c r="S138" s="950">
        <f t="shared" si="102"/>
        <v>1389.839976</v>
      </c>
      <c r="T138" s="950">
        <f t="shared" si="102"/>
        <v>1489.1142599999998</v>
      </c>
      <c r="U138" s="950">
        <f t="shared" si="102"/>
        <v>1588.3885440000001</v>
      </c>
      <c r="V138" s="950">
        <f t="shared" si="102"/>
        <v>1687.6628279999998</v>
      </c>
      <c r="W138" s="950">
        <f t="shared" si="102"/>
        <v>1786.9371120000001</v>
      </c>
      <c r="X138" s="950">
        <f t="shared" si="102"/>
        <v>1886.2113959999997</v>
      </c>
      <c r="Y138" s="950">
        <f t="shared" si="102"/>
        <v>1985.48568</v>
      </c>
      <c r="Z138" s="950">
        <f t="shared" si="102"/>
        <v>2084.7599640000003</v>
      </c>
      <c r="AA138" s="950">
        <f t="shared" si="102"/>
        <v>2184.0342480000004</v>
      </c>
      <c r="AB138" s="950">
        <f t="shared" si="102"/>
        <v>2283.3085319999996</v>
      </c>
      <c r="AC138" s="950">
        <f t="shared" si="102"/>
        <v>2382.5828160000001</v>
      </c>
      <c r="AD138" s="950">
        <f t="shared" si="102"/>
        <v>2481.8571000000002</v>
      </c>
      <c r="AE138" s="950">
        <f t="shared" si="102"/>
        <v>2581.1313840000003</v>
      </c>
      <c r="AF138" s="950">
        <f t="shared" si="102"/>
        <v>2680.4056679999999</v>
      </c>
      <c r="AG138" s="950">
        <f t="shared" si="102"/>
        <v>2779.679952</v>
      </c>
      <c r="AH138" s="950">
        <f t="shared" si="102"/>
        <v>2878.954236</v>
      </c>
      <c r="AI138" s="950">
        <f t="shared" si="102"/>
        <v>2978.2285199999997</v>
      </c>
      <c r="AJ138" s="950">
        <f t="shared" si="102"/>
        <v>3077.5028039999997</v>
      </c>
      <c r="AK138" s="950">
        <f t="shared" si="102"/>
        <v>3176.7770880000003</v>
      </c>
      <c r="AL138" s="950">
        <f t="shared" si="102"/>
        <v>3276.0513719999999</v>
      </c>
      <c r="AM138" s="950">
        <f t="shared" si="102"/>
        <v>3375.3256559999995</v>
      </c>
      <c r="AN138" s="950">
        <f t="shared" si="102"/>
        <v>3474.5999400000001</v>
      </c>
      <c r="AO138" s="950">
        <f t="shared" si="102"/>
        <v>3573.8742240000001</v>
      </c>
      <c r="AP138" s="950">
        <f t="shared" si="102"/>
        <v>3673.1485080000002</v>
      </c>
      <c r="AQ138" s="950">
        <f t="shared" si="102"/>
        <v>3772.4227919999994</v>
      </c>
      <c r="AR138" s="950">
        <f t="shared" ref="AR138:BW138" si="103">((AR$136-$H$4)/1000)*$N$73*(($C$8/70)^$X$73)*IF($C$13=1,$AE$72,IF($C$13=2,$AF$72,IF($C$13=3,$AG$72,1)))</f>
        <v>3871.6970759999999</v>
      </c>
      <c r="AS138" s="950">
        <f t="shared" si="103"/>
        <v>3970.97136</v>
      </c>
      <c r="AT138" s="950">
        <f t="shared" si="103"/>
        <v>4070.2456439999992</v>
      </c>
      <c r="AU138" s="950">
        <f t="shared" si="103"/>
        <v>4169.5199280000006</v>
      </c>
      <c r="AV138" s="950">
        <f t="shared" si="103"/>
        <v>4268.7942119999998</v>
      </c>
      <c r="AW138" s="950">
        <f t="shared" si="103"/>
        <v>4368.0684960000008</v>
      </c>
      <c r="AX138" s="950">
        <f t="shared" si="103"/>
        <v>4467.3427799999999</v>
      </c>
      <c r="AY138" s="950">
        <f t="shared" si="103"/>
        <v>4566.6170639999991</v>
      </c>
      <c r="AZ138" s="950">
        <f t="shared" si="103"/>
        <v>4665.8913480000001</v>
      </c>
      <c r="BA138" s="950">
        <f t="shared" si="103"/>
        <v>4765.1656320000002</v>
      </c>
      <c r="BB138" s="950">
        <f t="shared" si="103"/>
        <v>4864.4399160000003</v>
      </c>
      <c r="BC138" s="950">
        <f t="shared" si="103"/>
        <v>4963.7142000000003</v>
      </c>
      <c r="BD138" s="950">
        <f t="shared" si="103"/>
        <v>5062.9884839999995</v>
      </c>
      <c r="BE138" s="950">
        <f t="shared" si="103"/>
        <v>5162.2627680000005</v>
      </c>
      <c r="BF138" s="950">
        <f t="shared" si="103"/>
        <v>5261.5370519999997</v>
      </c>
      <c r="BG138" s="865">
        <f t="shared" si="103"/>
        <v>-694.91998799999999</v>
      </c>
      <c r="BH138" s="865">
        <f t="shared" si="103"/>
        <v>-694.91998799999999</v>
      </c>
      <c r="BI138" s="865">
        <f t="shared" si="103"/>
        <v>-694.91998799999999</v>
      </c>
      <c r="BJ138" s="865">
        <f t="shared" si="103"/>
        <v>-694.91998799999999</v>
      </c>
      <c r="BK138" s="865">
        <f t="shared" si="103"/>
        <v>-694.91998799999999</v>
      </c>
      <c r="BL138" s="865">
        <f t="shared" si="103"/>
        <v>-694.91998799999999</v>
      </c>
      <c r="BM138" s="865">
        <f t="shared" si="103"/>
        <v>-694.91998799999999</v>
      </c>
      <c r="BN138" s="865">
        <f t="shared" si="103"/>
        <v>-694.91998799999999</v>
      </c>
      <c r="BO138" s="865">
        <f t="shared" si="103"/>
        <v>-694.91998799999999</v>
      </c>
      <c r="BP138" s="865">
        <f t="shared" si="103"/>
        <v>-694.91998799999999</v>
      </c>
      <c r="BQ138" s="865">
        <f t="shared" si="103"/>
        <v>-694.91998799999999</v>
      </c>
      <c r="BR138" s="865">
        <f t="shared" si="103"/>
        <v>-694.91998799999999</v>
      </c>
      <c r="BS138" s="865">
        <f t="shared" si="103"/>
        <v>-694.91998799999999</v>
      </c>
      <c r="BT138" s="865">
        <f t="shared" si="103"/>
        <v>-694.91998799999999</v>
      </c>
      <c r="BU138" s="865">
        <f t="shared" si="103"/>
        <v>-694.91998799999999</v>
      </c>
      <c r="BV138" s="865">
        <f t="shared" si="103"/>
        <v>-694.91998799999999</v>
      </c>
      <c r="BW138" s="865">
        <f t="shared" si="103"/>
        <v>-694.91998799999999</v>
      </c>
      <c r="BX138" s="865">
        <f t="shared" ref="BX138:DF138" si="104">((BX$136-$H$4)/1000)*$N$73*(($C$8/70)^$X$73)*IF($C$13=1,$AE$72,IF($C$13=2,$AF$72,IF($C$13=3,$AG$72,1)))</f>
        <v>-694.91998799999999</v>
      </c>
      <c r="BY138" s="865">
        <f t="shared" si="104"/>
        <v>-694.91998799999999</v>
      </c>
      <c r="BZ138" s="865">
        <f t="shared" si="104"/>
        <v>-694.91998799999999</v>
      </c>
      <c r="CA138" s="865">
        <f t="shared" si="104"/>
        <v>-694.91998799999999</v>
      </c>
      <c r="CB138" s="865">
        <f t="shared" si="104"/>
        <v>-694.91998799999999</v>
      </c>
      <c r="CC138" s="865">
        <f t="shared" si="104"/>
        <v>-694.91998799999999</v>
      </c>
      <c r="CD138" s="865">
        <f t="shared" si="104"/>
        <v>-694.91998799999999</v>
      </c>
      <c r="CE138" s="865">
        <f t="shared" si="104"/>
        <v>-694.91998799999999</v>
      </c>
      <c r="CF138" s="865">
        <f t="shared" si="104"/>
        <v>-694.91998799999999</v>
      </c>
      <c r="CG138" s="865">
        <f t="shared" si="104"/>
        <v>-694.91998799999999</v>
      </c>
      <c r="CH138" s="865">
        <f t="shared" si="104"/>
        <v>-694.91998799999999</v>
      </c>
      <c r="CI138" s="865">
        <f t="shared" si="104"/>
        <v>-694.91998799999999</v>
      </c>
      <c r="CJ138" s="865">
        <f t="shared" si="104"/>
        <v>-694.91998799999999</v>
      </c>
      <c r="CK138" s="865">
        <f t="shared" si="104"/>
        <v>-694.91998799999999</v>
      </c>
      <c r="CL138" s="865">
        <f t="shared" si="104"/>
        <v>-694.91998799999999</v>
      </c>
      <c r="CM138" s="865">
        <f t="shared" si="104"/>
        <v>-694.91998799999999</v>
      </c>
      <c r="CN138" s="865">
        <f t="shared" si="104"/>
        <v>-694.91998799999999</v>
      </c>
      <c r="CO138" s="865">
        <f t="shared" si="104"/>
        <v>-694.91998799999999</v>
      </c>
      <c r="CP138" s="865">
        <f t="shared" si="104"/>
        <v>-694.91998799999999</v>
      </c>
      <c r="CQ138" s="865">
        <f t="shared" si="104"/>
        <v>-694.91998799999999</v>
      </c>
      <c r="CR138" s="865">
        <f t="shared" si="104"/>
        <v>-694.91998799999999</v>
      </c>
      <c r="CS138" s="865">
        <f t="shared" si="104"/>
        <v>-694.91998799999999</v>
      </c>
      <c r="CT138" s="865">
        <f t="shared" si="104"/>
        <v>-694.91998799999999</v>
      </c>
      <c r="CU138" s="865">
        <f t="shared" si="104"/>
        <v>-694.91998799999999</v>
      </c>
      <c r="CV138" s="865">
        <f t="shared" si="104"/>
        <v>-694.91998799999999</v>
      </c>
      <c r="CW138" s="865">
        <f t="shared" si="104"/>
        <v>-694.91998799999999</v>
      </c>
      <c r="CX138" s="865">
        <f t="shared" si="104"/>
        <v>-694.91998799999999</v>
      </c>
      <c r="CY138" s="865">
        <f t="shared" si="104"/>
        <v>-694.91998799999999</v>
      </c>
      <c r="CZ138" s="865">
        <f t="shared" si="104"/>
        <v>-694.91998799999999</v>
      </c>
      <c r="DA138" s="865">
        <f t="shared" si="104"/>
        <v>-694.91998799999999</v>
      </c>
      <c r="DB138" s="865">
        <f t="shared" si="104"/>
        <v>-694.91998799999999</v>
      </c>
      <c r="DC138" s="865">
        <f t="shared" si="104"/>
        <v>-694.91998799999999</v>
      </c>
      <c r="DD138" s="865">
        <f t="shared" si="104"/>
        <v>-694.91998799999999</v>
      </c>
      <c r="DE138" s="865">
        <f t="shared" si="104"/>
        <v>-694.91998799999999</v>
      </c>
      <c r="DF138" s="865">
        <f t="shared" si="104"/>
        <v>-694.91998799999999</v>
      </c>
    </row>
    <row r="139" spans="1:110" ht="15.75" hidden="1" thickBot="1">
      <c r="B139" s="2383" t="s">
        <v>362</v>
      </c>
      <c r="C139" s="2384"/>
      <c r="D139" s="949"/>
      <c r="E139" s="949"/>
      <c r="F139" s="949"/>
      <c r="G139" s="949"/>
      <c r="H139" s="950">
        <f>((H$136-$H$4)/1000)*$P$73*(($C$8/70)^$Z$73)*IF($C$13=1,$AE$72,IF($C$13=2,$AF$72,IF($C$13=3,$AG$72,1)))</f>
        <v>415.4098679999999</v>
      </c>
      <c r="I139" s="950">
        <f>((I$136-$H$4)/1000)*$P$73*(($C$8/70)^$Z$73)*IF($C$13=1,$AE$72,IF($C$13=2,$AF$72,IF($C$13=3,$AG$72,1)))</f>
        <v>553.87982399999999</v>
      </c>
      <c r="J139" s="950"/>
      <c r="K139" s="950"/>
      <c r="L139" s="950">
        <f t="shared" ref="L139:AQ139" si="105">((L$136-$H$4)/1000)*$P$73*(($C$8/70)^$Z$73)*IF($C$13=1,$AE$72,IF($C$13=2,$AF$72,IF($C$13=3,$AG$72,1)))</f>
        <v>969.28969199999983</v>
      </c>
      <c r="M139" s="950">
        <f t="shared" si="105"/>
        <v>1107.759648</v>
      </c>
      <c r="N139" s="950">
        <f t="shared" si="105"/>
        <v>1246.2296039999999</v>
      </c>
      <c r="O139" s="950">
        <f t="shared" si="105"/>
        <v>1384.6995599999998</v>
      </c>
      <c r="P139" s="950">
        <f t="shared" si="105"/>
        <v>1523.1695159999999</v>
      </c>
      <c r="Q139" s="950">
        <f t="shared" si="105"/>
        <v>1661.6394719999996</v>
      </c>
      <c r="R139" s="950">
        <f t="shared" si="105"/>
        <v>1800.1094279999998</v>
      </c>
      <c r="S139" s="950">
        <f t="shared" si="105"/>
        <v>1938.5793839999997</v>
      </c>
      <c r="T139" s="950">
        <f t="shared" si="105"/>
        <v>2077.04934</v>
      </c>
      <c r="U139" s="950">
        <f t="shared" si="105"/>
        <v>2215.5192959999999</v>
      </c>
      <c r="V139" s="950">
        <f t="shared" si="105"/>
        <v>2353.9892519999999</v>
      </c>
      <c r="W139" s="950">
        <f t="shared" si="105"/>
        <v>2492.4592079999998</v>
      </c>
      <c r="X139" s="950">
        <f t="shared" si="105"/>
        <v>2630.9291639999997</v>
      </c>
      <c r="Y139" s="950">
        <f t="shared" si="105"/>
        <v>2769.3991199999996</v>
      </c>
      <c r="Z139" s="950">
        <f t="shared" si="105"/>
        <v>2907.8690759999995</v>
      </c>
      <c r="AA139" s="950">
        <f t="shared" si="105"/>
        <v>3046.3390319999999</v>
      </c>
      <c r="AB139" s="950">
        <f t="shared" si="105"/>
        <v>3184.8089879999993</v>
      </c>
      <c r="AC139" s="950">
        <f t="shared" si="105"/>
        <v>3323.2789439999992</v>
      </c>
      <c r="AD139" s="950">
        <f t="shared" si="105"/>
        <v>3461.7488999999991</v>
      </c>
      <c r="AE139" s="950">
        <f t="shared" si="105"/>
        <v>3600.2188559999995</v>
      </c>
      <c r="AF139" s="950">
        <f t="shared" si="105"/>
        <v>3738.6888119999999</v>
      </c>
      <c r="AG139" s="950">
        <f t="shared" si="105"/>
        <v>3877.1587679999993</v>
      </c>
      <c r="AH139" s="950">
        <f t="shared" si="105"/>
        <v>4015.6287239999992</v>
      </c>
      <c r="AI139" s="950">
        <f t="shared" si="105"/>
        <v>4154.0986800000001</v>
      </c>
      <c r="AJ139" s="950">
        <f t="shared" si="105"/>
        <v>4292.568636</v>
      </c>
      <c r="AK139" s="950">
        <f t="shared" si="105"/>
        <v>4431.0385919999999</v>
      </c>
      <c r="AL139" s="950">
        <f t="shared" si="105"/>
        <v>4569.5085479999989</v>
      </c>
      <c r="AM139" s="950">
        <f t="shared" si="105"/>
        <v>4707.9785039999997</v>
      </c>
      <c r="AN139" s="950">
        <f t="shared" si="105"/>
        <v>4846.4484599999996</v>
      </c>
      <c r="AO139" s="950">
        <f t="shared" si="105"/>
        <v>4984.9184159999995</v>
      </c>
      <c r="AP139" s="950">
        <f t="shared" si="105"/>
        <v>5123.3883719999994</v>
      </c>
      <c r="AQ139" s="950">
        <f t="shared" si="105"/>
        <v>5261.8583279999993</v>
      </c>
      <c r="AR139" s="950">
        <f t="shared" ref="AR139:BW139" si="106">((AR$136-$H$4)/1000)*$P$73*(($C$8/70)^$Z$73)*IF($C$13=1,$AE$72,IF($C$13=2,$AF$72,IF($C$13=3,$AG$72,1)))</f>
        <v>5400.3282839999993</v>
      </c>
      <c r="AS139" s="950">
        <f t="shared" si="106"/>
        <v>5538.7982399999992</v>
      </c>
      <c r="AT139" s="950">
        <f t="shared" si="106"/>
        <v>5677.2681959999982</v>
      </c>
      <c r="AU139" s="950">
        <f t="shared" si="106"/>
        <v>5815.738151999999</v>
      </c>
      <c r="AV139" s="950">
        <f t="shared" si="106"/>
        <v>5954.2081079999989</v>
      </c>
      <c r="AW139" s="950">
        <f t="shared" si="106"/>
        <v>6092.6780639999997</v>
      </c>
      <c r="AX139" s="950">
        <f t="shared" si="106"/>
        <v>6231.1480199999987</v>
      </c>
      <c r="AY139" s="950">
        <f t="shared" si="106"/>
        <v>6369.6179759999986</v>
      </c>
      <c r="AZ139" s="950">
        <f t="shared" si="106"/>
        <v>6508.0879319999995</v>
      </c>
      <c r="BA139" s="950">
        <f t="shared" si="106"/>
        <v>6646.5578879999985</v>
      </c>
      <c r="BB139" s="950">
        <f t="shared" si="106"/>
        <v>6785.0278439999993</v>
      </c>
      <c r="BC139" s="950">
        <f t="shared" si="106"/>
        <v>6923.4977999999983</v>
      </c>
      <c r="BD139" s="950">
        <f t="shared" si="106"/>
        <v>7061.9677559999982</v>
      </c>
      <c r="BE139" s="950">
        <f t="shared" si="106"/>
        <v>7200.437711999999</v>
      </c>
      <c r="BF139" s="950">
        <f t="shared" si="106"/>
        <v>7338.9076679999989</v>
      </c>
      <c r="BG139" s="865">
        <f t="shared" si="106"/>
        <v>-969.28969199999983</v>
      </c>
      <c r="BH139" s="865">
        <f t="shared" si="106"/>
        <v>-969.28969199999983</v>
      </c>
      <c r="BI139" s="865">
        <f t="shared" si="106"/>
        <v>-969.28969199999983</v>
      </c>
      <c r="BJ139" s="865">
        <f t="shared" si="106"/>
        <v>-969.28969199999983</v>
      </c>
      <c r="BK139" s="865">
        <f t="shared" si="106"/>
        <v>-969.28969199999983</v>
      </c>
      <c r="BL139" s="865">
        <f t="shared" si="106"/>
        <v>-969.28969199999983</v>
      </c>
      <c r="BM139" s="865">
        <f t="shared" si="106"/>
        <v>-969.28969199999983</v>
      </c>
      <c r="BN139" s="865">
        <f t="shared" si="106"/>
        <v>-969.28969199999983</v>
      </c>
      <c r="BO139" s="865">
        <f t="shared" si="106"/>
        <v>-969.28969199999983</v>
      </c>
      <c r="BP139" s="865">
        <f t="shared" si="106"/>
        <v>-969.28969199999983</v>
      </c>
      <c r="BQ139" s="865">
        <f t="shared" si="106"/>
        <v>-969.28969199999983</v>
      </c>
      <c r="BR139" s="865">
        <f t="shared" si="106"/>
        <v>-969.28969199999983</v>
      </c>
      <c r="BS139" s="865">
        <f t="shared" si="106"/>
        <v>-969.28969199999983</v>
      </c>
      <c r="BT139" s="865">
        <f t="shared" si="106"/>
        <v>-969.28969199999983</v>
      </c>
      <c r="BU139" s="865">
        <f t="shared" si="106"/>
        <v>-969.28969199999983</v>
      </c>
      <c r="BV139" s="865">
        <f t="shared" si="106"/>
        <v>-969.28969199999983</v>
      </c>
      <c r="BW139" s="865">
        <f t="shared" si="106"/>
        <v>-969.28969199999983</v>
      </c>
      <c r="BX139" s="865">
        <f t="shared" ref="BX139:DF139" si="107">((BX$136-$H$4)/1000)*$P$73*(($C$8/70)^$Z$73)*IF($C$13=1,$AE$72,IF($C$13=2,$AF$72,IF($C$13=3,$AG$72,1)))</f>
        <v>-969.28969199999983</v>
      </c>
      <c r="BY139" s="865">
        <f t="shared" si="107"/>
        <v>-969.28969199999983</v>
      </c>
      <c r="BZ139" s="865">
        <f t="shared" si="107"/>
        <v>-969.28969199999983</v>
      </c>
      <c r="CA139" s="865">
        <f t="shared" si="107"/>
        <v>-969.28969199999983</v>
      </c>
      <c r="CB139" s="865">
        <f t="shared" si="107"/>
        <v>-969.28969199999983</v>
      </c>
      <c r="CC139" s="865">
        <f t="shared" si="107"/>
        <v>-969.28969199999983</v>
      </c>
      <c r="CD139" s="865">
        <f t="shared" si="107"/>
        <v>-969.28969199999983</v>
      </c>
      <c r="CE139" s="865">
        <f t="shared" si="107"/>
        <v>-969.28969199999983</v>
      </c>
      <c r="CF139" s="865">
        <f t="shared" si="107"/>
        <v>-969.28969199999983</v>
      </c>
      <c r="CG139" s="865">
        <f t="shared" si="107"/>
        <v>-969.28969199999983</v>
      </c>
      <c r="CH139" s="865">
        <f t="shared" si="107"/>
        <v>-969.28969199999983</v>
      </c>
      <c r="CI139" s="865">
        <f t="shared" si="107"/>
        <v>-969.28969199999983</v>
      </c>
      <c r="CJ139" s="865">
        <f t="shared" si="107"/>
        <v>-969.28969199999983</v>
      </c>
      <c r="CK139" s="865">
        <f t="shared" si="107"/>
        <v>-969.28969199999983</v>
      </c>
      <c r="CL139" s="865">
        <f t="shared" si="107"/>
        <v>-969.28969199999983</v>
      </c>
      <c r="CM139" s="865">
        <f t="shared" si="107"/>
        <v>-969.28969199999983</v>
      </c>
      <c r="CN139" s="865">
        <f t="shared" si="107"/>
        <v>-969.28969199999983</v>
      </c>
      <c r="CO139" s="865">
        <f t="shared" si="107"/>
        <v>-969.28969199999983</v>
      </c>
      <c r="CP139" s="865">
        <f t="shared" si="107"/>
        <v>-969.28969199999983</v>
      </c>
      <c r="CQ139" s="865">
        <f t="shared" si="107"/>
        <v>-969.28969199999983</v>
      </c>
      <c r="CR139" s="865">
        <f t="shared" si="107"/>
        <v>-969.28969199999983</v>
      </c>
      <c r="CS139" s="865">
        <f t="shared" si="107"/>
        <v>-969.28969199999983</v>
      </c>
      <c r="CT139" s="865">
        <f t="shared" si="107"/>
        <v>-969.28969199999983</v>
      </c>
      <c r="CU139" s="865">
        <f t="shared" si="107"/>
        <v>-969.28969199999983</v>
      </c>
      <c r="CV139" s="865">
        <f t="shared" si="107"/>
        <v>-969.28969199999983</v>
      </c>
      <c r="CW139" s="865">
        <f t="shared" si="107"/>
        <v>-969.28969199999983</v>
      </c>
      <c r="CX139" s="865">
        <f t="shared" si="107"/>
        <v>-969.28969199999983</v>
      </c>
      <c r="CY139" s="865">
        <f t="shared" si="107"/>
        <v>-969.28969199999983</v>
      </c>
      <c r="CZ139" s="865">
        <f t="shared" si="107"/>
        <v>-969.28969199999983</v>
      </c>
      <c r="DA139" s="865">
        <f t="shared" si="107"/>
        <v>-969.28969199999983</v>
      </c>
      <c r="DB139" s="865">
        <f t="shared" si="107"/>
        <v>-969.28969199999983</v>
      </c>
      <c r="DC139" s="865">
        <f t="shared" si="107"/>
        <v>-969.28969199999983</v>
      </c>
      <c r="DD139" s="865">
        <f t="shared" si="107"/>
        <v>-969.28969199999983</v>
      </c>
      <c r="DE139" s="865">
        <f t="shared" si="107"/>
        <v>-969.28969199999983</v>
      </c>
      <c r="DF139" s="865">
        <f t="shared" si="107"/>
        <v>-969.28969199999983</v>
      </c>
    </row>
    <row r="140" spans="1:110" ht="15.75" hidden="1" thickBot="1">
      <c r="B140" s="2385" t="s">
        <v>363</v>
      </c>
      <c r="C140" s="2386"/>
      <c r="D140" s="951"/>
      <c r="E140" s="951"/>
      <c r="F140" s="951"/>
      <c r="G140" s="951"/>
      <c r="H140" s="952">
        <f>((H$136-$H$4)/1000)*$Q$73*(($C$8/70)^$AA$73)*IF($C$13=1,$AE$72,IF($C$13=2,$AF$72,IF($C$13=3,$AG$72,1)))</f>
        <v>446.25236399999994</v>
      </c>
      <c r="I140" s="952">
        <f>((I$136-$H$4)/1000)*$Q$73*(($C$8/70)^$AA$73)*IF($C$13=1,$AE$72,IF($C$13=2,$AF$72,IF($C$13=3,$AG$72,1)))</f>
        <v>595.003152</v>
      </c>
      <c r="J140" s="952"/>
      <c r="K140" s="952"/>
      <c r="L140" s="952">
        <f t="shared" ref="L140:AQ140" si="108">((L$136-$H$4)/1000)*$Q$73*(($C$8/70)^$AA$73)*IF($C$13=1,$AE$72,IF($C$13=2,$AF$72,IF($C$13=3,$AG$72,1)))</f>
        <v>1041.2555159999999</v>
      </c>
      <c r="M140" s="952">
        <f t="shared" si="108"/>
        <v>1190.006304</v>
      </c>
      <c r="N140" s="952">
        <f t="shared" si="108"/>
        <v>1338.7570919999998</v>
      </c>
      <c r="O140" s="952">
        <f t="shared" si="108"/>
        <v>1487.5078799999999</v>
      </c>
      <c r="P140" s="952">
        <f t="shared" si="108"/>
        <v>1636.2586679999999</v>
      </c>
      <c r="Q140" s="952">
        <f t="shared" si="108"/>
        <v>1785.0094559999998</v>
      </c>
      <c r="R140" s="952">
        <f t="shared" si="108"/>
        <v>1933.7602440000001</v>
      </c>
      <c r="S140" s="952">
        <f t="shared" si="108"/>
        <v>2082.5110319999999</v>
      </c>
      <c r="T140" s="952">
        <f t="shared" si="108"/>
        <v>2231.2618199999997</v>
      </c>
      <c r="U140" s="952">
        <f t="shared" si="108"/>
        <v>2380.012608</v>
      </c>
      <c r="V140" s="952">
        <f t="shared" si="108"/>
        <v>2528.7633959999998</v>
      </c>
      <c r="W140" s="952">
        <f t="shared" si="108"/>
        <v>2677.5141839999997</v>
      </c>
      <c r="X140" s="952">
        <f t="shared" si="108"/>
        <v>2826.2649719999995</v>
      </c>
      <c r="Y140" s="952">
        <f t="shared" si="108"/>
        <v>2975.0157599999998</v>
      </c>
      <c r="Z140" s="952">
        <f t="shared" si="108"/>
        <v>3123.7665479999996</v>
      </c>
      <c r="AA140" s="952">
        <f t="shared" si="108"/>
        <v>3272.5173359999999</v>
      </c>
      <c r="AB140" s="952">
        <f t="shared" si="108"/>
        <v>3421.2681239999993</v>
      </c>
      <c r="AC140" s="952">
        <f t="shared" si="108"/>
        <v>3570.0189119999995</v>
      </c>
      <c r="AD140" s="952">
        <f t="shared" si="108"/>
        <v>3718.7696999999994</v>
      </c>
      <c r="AE140" s="952">
        <f t="shared" si="108"/>
        <v>3867.5204880000001</v>
      </c>
      <c r="AF140" s="952">
        <f t="shared" si="108"/>
        <v>4016.2712759999995</v>
      </c>
      <c r="AG140" s="952">
        <f t="shared" si="108"/>
        <v>4165.0220639999998</v>
      </c>
      <c r="AH140" s="952">
        <f t="shared" si="108"/>
        <v>4313.7728519999991</v>
      </c>
      <c r="AI140" s="952">
        <f t="shared" si="108"/>
        <v>4462.5236399999994</v>
      </c>
      <c r="AJ140" s="952">
        <f t="shared" si="108"/>
        <v>4611.2744279999997</v>
      </c>
      <c r="AK140" s="952">
        <f t="shared" si="108"/>
        <v>4760.025216</v>
      </c>
      <c r="AL140" s="952">
        <f t="shared" si="108"/>
        <v>4908.7760039999985</v>
      </c>
      <c r="AM140" s="952">
        <f t="shared" si="108"/>
        <v>5057.5267919999997</v>
      </c>
      <c r="AN140" s="952">
        <f t="shared" si="108"/>
        <v>5206.277579999999</v>
      </c>
      <c r="AO140" s="952">
        <f t="shared" si="108"/>
        <v>5355.0283679999993</v>
      </c>
      <c r="AP140" s="952">
        <f t="shared" si="108"/>
        <v>5503.7791559999996</v>
      </c>
      <c r="AQ140" s="952">
        <f t="shared" si="108"/>
        <v>5652.529943999999</v>
      </c>
      <c r="AR140" s="952">
        <f t="shared" ref="AR140:BW140" si="109">((AR$136-$H$4)/1000)*$Q$73*(($C$8/70)^$AA$73)*IF($C$13=1,$AE$72,IF($C$13=2,$AF$72,IF($C$13=3,$AG$72,1)))</f>
        <v>5801.2807319999984</v>
      </c>
      <c r="AS140" s="952">
        <f t="shared" si="109"/>
        <v>5950.0315199999995</v>
      </c>
      <c r="AT140" s="952">
        <f t="shared" si="109"/>
        <v>6098.7823079999989</v>
      </c>
      <c r="AU140" s="952">
        <f t="shared" si="109"/>
        <v>6247.5330959999992</v>
      </c>
      <c r="AV140" s="952">
        <f t="shared" si="109"/>
        <v>6396.2838839999995</v>
      </c>
      <c r="AW140" s="952">
        <f t="shared" si="109"/>
        <v>6545.0346719999998</v>
      </c>
      <c r="AX140" s="952">
        <f t="shared" si="109"/>
        <v>6693.7854599999991</v>
      </c>
      <c r="AY140" s="952">
        <f t="shared" si="109"/>
        <v>6842.5362479999985</v>
      </c>
      <c r="AZ140" s="952">
        <f t="shared" si="109"/>
        <v>6991.2870359999988</v>
      </c>
      <c r="BA140" s="952">
        <f t="shared" si="109"/>
        <v>7140.0378239999991</v>
      </c>
      <c r="BB140" s="952">
        <f t="shared" si="109"/>
        <v>7288.7886120000003</v>
      </c>
      <c r="BC140" s="952">
        <f t="shared" si="109"/>
        <v>7437.5393999999987</v>
      </c>
      <c r="BD140" s="952">
        <f t="shared" si="109"/>
        <v>7586.2901879999981</v>
      </c>
      <c r="BE140" s="952">
        <f t="shared" si="109"/>
        <v>7735.0409760000002</v>
      </c>
      <c r="BF140" s="952">
        <f t="shared" si="109"/>
        <v>7883.7917639999987</v>
      </c>
      <c r="BG140" s="865">
        <f t="shared" si="109"/>
        <v>-1041.2555159999999</v>
      </c>
      <c r="BH140" s="865">
        <f t="shared" si="109"/>
        <v>-1041.2555159999999</v>
      </c>
      <c r="BI140" s="865">
        <f t="shared" si="109"/>
        <v>-1041.2555159999999</v>
      </c>
      <c r="BJ140" s="865">
        <f t="shared" si="109"/>
        <v>-1041.2555159999999</v>
      </c>
      <c r="BK140" s="865">
        <f t="shared" si="109"/>
        <v>-1041.2555159999999</v>
      </c>
      <c r="BL140" s="865">
        <f t="shared" si="109"/>
        <v>-1041.2555159999999</v>
      </c>
      <c r="BM140" s="865">
        <f t="shared" si="109"/>
        <v>-1041.2555159999999</v>
      </c>
      <c r="BN140" s="865">
        <f t="shared" si="109"/>
        <v>-1041.2555159999999</v>
      </c>
      <c r="BO140" s="865">
        <f t="shared" si="109"/>
        <v>-1041.2555159999999</v>
      </c>
      <c r="BP140" s="865">
        <f t="shared" si="109"/>
        <v>-1041.2555159999999</v>
      </c>
      <c r="BQ140" s="865">
        <f t="shared" si="109"/>
        <v>-1041.2555159999999</v>
      </c>
      <c r="BR140" s="865">
        <f t="shared" si="109"/>
        <v>-1041.2555159999999</v>
      </c>
      <c r="BS140" s="865">
        <f t="shared" si="109"/>
        <v>-1041.2555159999999</v>
      </c>
      <c r="BT140" s="865">
        <f t="shared" si="109"/>
        <v>-1041.2555159999999</v>
      </c>
      <c r="BU140" s="865">
        <f t="shared" si="109"/>
        <v>-1041.2555159999999</v>
      </c>
      <c r="BV140" s="865">
        <f t="shared" si="109"/>
        <v>-1041.2555159999999</v>
      </c>
      <c r="BW140" s="865">
        <f t="shared" si="109"/>
        <v>-1041.2555159999999</v>
      </c>
      <c r="BX140" s="865">
        <f t="shared" ref="BX140:DF140" si="110">((BX$136-$H$4)/1000)*$Q$73*(($C$8/70)^$AA$73)*IF($C$13=1,$AE$72,IF($C$13=2,$AF$72,IF($C$13=3,$AG$72,1)))</f>
        <v>-1041.2555159999999</v>
      </c>
      <c r="BY140" s="865">
        <f t="shared" si="110"/>
        <v>-1041.2555159999999</v>
      </c>
      <c r="BZ140" s="865">
        <f t="shared" si="110"/>
        <v>-1041.2555159999999</v>
      </c>
      <c r="CA140" s="865">
        <f t="shared" si="110"/>
        <v>-1041.2555159999999</v>
      </c>
      <c r="CB140" s="865">
        <f t="shared" si="110"/>
        <v>-1041.2555159999999</v>
      </c>
      <c r="CC140" s="865">
        <f t="shared" si="110"/>
        <v>-1041.2555159999999</v>
      </c>
      <c r="CD140" s="865">
        <f t="shared" si="110"/>
        <v>-1041.2555159999999</v>
      </c>
      <c r="CE140" s="865">
        <f t="shared" si="110"/>
        <v>-1041.2555159999999</v>
      </c>
      <c r="CF140" s="865">
        <f t="shared" si="110"/>
        <v>-1041.2555159999999</v>
      </c>
      <c r="CG140" s="865">
        <f t="shared" si="110"/>
        <v>-1041.2555159999999</v>
      </c>
      <c r="CH140" s="865">
        <f t="shared" si="110"/>
        <v>-1041.2555159999999</v>
      </c>
      <c r="CI140" s="865">
        <f t="shared" si="110"/>
        <v>-1041.2555159999999</v>
      </c>
      <c r="CJ140" s="865">
        <f t="shared" si="110"/>
        <v>-1041.2555159999999</v>
      </c>
      <c r="CK140" s="865">
        <f t="shared" si="110"/>
        <v>-1041.2555159999999</v>
      </c>
      <c r="CL140" s="865">
        <f t="shared" si="110"/>
        <v>-1041.2555159999999</v>
      </c>
      <c r="CM140" s="865">
        <f t="shared" si="110"/>
        <v>-1041.2555159999999</v>
      </c>
      <c r="CN140" s="865">
        <f t="shared" si="110"/>
        <v>-1041.2555159999999</v>
      </c>
      <c r="CO140" s="865">
        <f t="shared" si="110"/>
        <v>-1041.2555159999999</v>
      </c>
      <c r="CP140" s="865">
        <f t="shared" si="110"/>
        <v>-1041.2555159999999</v>
      </c>
      <c r="CQ140" s="865">
        <f t="shared" si="110"/>
        <v>-1041.2555159999999</v>
      </c>
      <c r="CR140" s="865">
        <f t="shared" si="110"/>
        <v>-1041.2555159999999</v>
      </c>
      <c r="CS140" s="865">
        <f t="shared" si="110"/>
        <v>-1041.2555159999999</v>
      </c>
      <c r="CT140" s="865">
        <f t="shared" si="110"/>
        <v>-1041.2555159999999</v>
      </c>
      <c r="CU140" s="865">
        <f t="shared" si="110"/>
        <v>-1041.2555159999999</v>
      </c>
      <c r="CV140" s="865">
        <f t="shared" si="110"/>
        <v>-1041.2555159999999</v>
      </c>
      <c r="CW140" s="865">
        <f t="shared" si="110"/>
        <v>-1041.2555159999999</v>
      </c>
      <c r="CX140" s="865">
        <f t="shared" si="110"/>
        <v>-1041.2555159999999</v>
      </c>
      <c r="CY140" s="865">
        <f t="shared" si="110"/>
        <v>-1041.2555159999999</v>
      </c>
      <c r="CZ140" s="865">
        <f t="shared" si="110"/>
        <v>-1041.2555159999999</v>
      </c>
      <c r="DA140" s="865">
        <f t="shared" si="110"/>
        <v>-1041.2555159999999</v>
      </c>
      <c r="DB140" s="865">
        <f t="shared" si="110"/>
        <v>-1041.2555159999999</v>
      </c>
      <c r="DC140" s="865">
        <f t="shared" si="110"/>
        <v>-1041.2555159999999</v>
      </c>
      <c r="DD140" s="865">
        <f t="shared" si="110"/>
        <v>-1041.2555159999999</v>
      </c>
      <c r="DE140" s="865">
        <f t="shared" si="110"/>
        <v>-1041.2555159999999</v>
      </c>
      <c r="DF140" s="865">
        <f t="shared" si="110"/>
        <v>-1041.2555159999999</v>
      </c>
    </row>
    <row r="141" spans="1:110" ht="15.75" hidden="1" thickBot="1">
      <c r="B141" s="2387" t="s">
        <v>579</v>
      </c>
      <c r="C141" s="2388"/>
      <c r="D141" s="953"/>
      <c r="E141" s="953"/>
      <c r="F141" s="953"/>
      <c r="G141" s="953"/>
      <c r="H141" s="954">
        <f>((H$136-$H$4)/1000)*$L$74*(($C$8/70)^$V$74)*IF($C$13=1,$AE$73,IF($C$13=2,$AF$73,IF($C$13=3,$AG$73,1)))</f>
        <v>212.48496</v>
      </c>
      <c r="I141" s="954">
        <f>((I$136-$H$4)/1000)*$L$74*(($C$8/70)^$V$74)*IF($C$13=1,$AE$73,IF($C$13=2,$AF$73,IF($C$13=3,$AG$73,1)))</f>
        <v>283.31327999999996</v>
      </c>
      <c r="J141" s="954"/>
      <c r="K141" s="954"/>
      <c r="L141" s="954">
        <f t="shared" ref="L141:AQ141" si="111">((L$136-$H$4)/1000)*$L$74*(($C$8/70)^$V$74)*IF($C$13=1,$AE$73,IF($C$13=2,$AF$73,IF($C$13=3,$AG$73,1)))</f>
        <v>495.79823999999996</v>
      </c>
      <c r="M141" s="954">
        <f t="shared" si="111"/>
        <v>566.62655999999993</v>
      </c>
      <c r="N141" s="954">
        <f t="shared" si="111"/>
        <v>637.45488</v>
      </c>
      <c r="O141" s="954">
        <f t="shared" si="111"/>
        <v>708.28319999999997</v>
      </c>
      <c r="P141" s="954">
        <f t="shared" si="111"/>
        <v>779.11151999999993</v>
      </c>
      <c r="Q141" s="954">
        <f t="shared" si="111"/>
        <v>849.93984</v>
      </c>
      <c r="R141" s="954">
        <f t="shared" si="111"/>
        <v>920.76815999999997</v>
      </c>
      <c r="S141" s="954">
        <f t="shared" si="111"/>
        <v>991.59647999999993</v>
      </c>
      <c r="T141" s="954">
        <f t="shared" si="111"/>
        <v>1062.4248</v>
      </c>
      <c r="U141" s="954">
        <f t="shared" si="111"/>
        <v>1133.2531199999999</v>
      </c>
      <c r="V141" s="954">
        <f t="shared" si="111"/>
        <v>1204.0814399999999</v>
      </c>
      <c r="W141" s="954">
        <f t="shared" si="111"/>
        <v>1274.90976</v>
      </c>
      <c r="X141" s="954">
        <f t="shared" si="111"/>
        <v>1345.7380799999999</v>
      </c>
      <c r="Y141" s="954">
        <f t="shared" si="111"/>
        <v>1416.5663999999999</v>
      </c>
      <c r="Z141" s="954">
        <f t="shared" si="111"/>
        <v>1487.39472</v>
      </c>
      <c r="AA141" s="954">
        <f t="shared" si="111"/>
        <v>1558.2230399999999</v>
      </c>
      <c r="AB141" s="954">
        <f t="shared" si="111"/>
        <v>1629.0513599999997</v>
      </c>
      <c r="AC141" s="954">
        <f t="shared" si="111"/>
        <v>1699.87968</v>
      </c>
      <c r="AD141" s="954">
        <f t="shared" si="111"/>
        <v>1770.7079999999999</v>
      </c>
      <c r="AE141" s="954">
        <f t="shared" si="111"/>
        <v>1841.5363199999999</v>
      </c>
      <c r="AF141" s="954">
        <f t="shared" si="111"/>
        <v>1912.36464</v>
      </c>
      <c r="AG141" s="954">
        <f t="shared" si="111"/>
        <v>1983.1929599999999</v>
      </c>
      <c r="AH141" s="954">
        <f t="shared" si="111"/>
        <v>2054.0212799999999</v>
      </c>
      <c r="AI141" s="954">
        <f t="shared" si="111"/>
        <v>2124.8496</v>
      </c>
      <c r="AJ141" s="954">
        <f t="shared" si="111"/>
        <v>2195.6779200000001</v>
      </c>
      <c r="AK141" s="954">
        <f t="shared" si="111"/>
        <v>2266.5062399999997</v>
      </c>
      <c r="AL141" s="954">
        <f t="shared" si="111"/>
        <v>2337.3345599999998</v>
      </c>
      <c r="AM141" s="954">
        <f t="shared" si="111"/>
        <v>2408.1628799999999</v>
      </c>
      <c r="AN141" s="954">
        <f t="shared" si="111"/>
        <v>2478.9911999999999</v>
      </c>
      <c r="AO141" s="954">
        <f t="shared" si="111"/>
        <v>2549.81952</v>
      </c>
      <c r="AP141" s="954">
        <f t="shared" si="111"/>
        <v>2620.6478399999996</v>
      </c>
      <c r="AQ141" s="954">
        <f t="shared" si="111"/>
        <v>2691.4761599999997</v>
      </c>
      <c r="AR141" s="954">
        <f t="shared" ref="AR141:BW141" si="112">((AR$136-$H$4)/1000)*$L$74*(($C$8/70)^$V$74)*IF($C$13=1,$AE$73,IF($C$13=2,$AF$73,IF($C$13=3,$AG$73,1)))</f>
        <v>2762.3044800000002</v>
      </c>
      <c r="AS141" s="954">
        <f t="shared" si="112"/>
        <v>2833.1327999999999</v>
      </c>
      <c r="AT141" s="954">
        <f t="shared" si="112"/>
        <v>2903.9611199999999</v>
      </c>
      <c r="AU141" s="954">
        <f t="shared" si="112"/>
        <v>2974.78944</v>
      </c>
      <c r="AV141" s="954">
        <f t="shared" si="112"/>
        <v>3045.6177600000001</v>
      </c>
      <c r="AW141" s="954">
        <f t="shared" si="112"/>
        <v>3116.4460799999997</v>
      </c>
      <c r="AX141" s="954">
        <f t="shared" si="112"/>
        <v>3187.2743999999998</v>
      </c>
      <c r="AY141" s="954">
        <f t="shared" si="112"/>
        <v>3258.1027199999994</v>
      </c>
      <c r="AZ141" s="954">
        <f t="shared" si="112"/>
        <v>3328.9310399999999</v>
      </c>
      <c r="BA141" s="954">
        <f t="shared" si="112"/>
        <v>3399.75936</v>
      </c>
      <c r="BB141" s="954">
        <f t="shared" si="112"/>
        <v>3470.5876800000001</v>
      </c>
      <c r="BC141" s="954">
        <f t="shared" si="112"/>
        <v>3541.4159999999997</v>
      </c>
      <c r="BD141" s="954">
        <f t="shared" si="112"/>
        <v>3612.2443199999993</v>
      </c>
      <c r="BE141" s="954">
        <f t="shared" si="112"/>
        <v>3683.0726399999999</v>
      </c>
      <c r="BF141" s="954">
        <f t="shared" si="112"/>
        <v>3753.9009599999999</v>
      </c>
      <c r="BG141" s="865">
        <f t="shared" si="112"/>
        <v>-495.79823999999996</v>
      </c>
      <c r="BH141" s="865">
        <f t="shared" si="112"/>
        <v>-495.79823999999996</v>
      </c>
      <c r="BI141" s="865">
        <f t="shared" si="112"/>
        <v>-495.79823999999996</v>
      </c>
      <c r="BJ141" s="865">
        <f t="shared" si="112"/>
        <v>-495.79823999999996</v>
      </c>
      <c r="BK141" s="865">
        <f t="shared" si="112"/>
        <v>-495.79823999999996</v>
      </c>
      <c r="BL141" s="865">
        <f t="shared" si="112"/>
        <v>-495.79823999999996</v>
      </c>
      <c r="BM141" s="865">
        <f t="shared" si="112"/>
        <v>-495.79823999999996</v>
      </c>
      <c r="BN141" s="865">
        <f t="shared" si="112"/>
        <v>-495.79823999999996</v>
      </c>
      <c r="BO141" s="865">
        <f t="shared" si="112"/>
        <v>-495.79823999999996</v>
      </c>
      <c r="BP141" s="865">
        <f t="shared" si="112"/>
        <v>-495.79823999999996</v>
      </c>
      <c r="BQ141" s="865">
        <f t="shared" si="112"/>
        <v>-495.79823999999996</v>
      </c>
      <c r="BR141" s="865">
        <f t="shared" si="112"/>
        <v>-495.79823999999996</v>
      </c>
      <c r="BS141" s="865">
        <f t="shared" si="112"/>
        <v>-495.79823999999996</v>
      </c>
      <c r="BT141" s="865">
        <f t="shared" si="112"/>
        <v>-495.79823999999996</v>
      </c>
      <c r="BU141" s="865">
        <f t="shared" si="112"/>
        <v>-495.79823999999996</v>
      </c>
      <c r="BV141" s="865">
        <f t="shared" si="112"/>
        <v>-495.79823999999996</v>
      </c>
      <c r="BW141" s="865">
        <f t="shared" si="112"/>
        <v>-495.79823999999996</v>
      </c>
      <c r="BX141" s="865">
        <f t="shared" ref="BX141:DF141" si="113">((BX$136-$H$4)/1000)*$L$74*(($C$8/70)^$V$74)*IF($C$13=1,$AE$73,IF($C$13=2,$AF$73,IF($C$13=3,$AG$73,1)))</f>
        <v>-495.79823999999996</v>
      </c>
      <c r="BY141" s="865">
        <f t="shared" si="113"/>
        <v>-495.79823999999996</v>
      </c>
      <c r="BZ141" s="865">
        <f t="shared" si="113"/>
        <v>-495.79823999999996</v>
      </c>
      <c r="CA141" s="865">
        <f t="shared" si="113"/>
        <v>-495.79823999999996</v>
      </c>
      <c r="CB141" s="865">
        <f t="shared" si="113"/>
        <v>-495.79823999999996</v>
      </c>
      <c r="CC141" s="865">
        <f t="shared" si="113"/>
        <v>-495.79823999999996</v>
      </c>
      <c r="CD141" s="865">
        <f t="shared" si="113"/>
        <v>-495.79823999999996</v>
      </c>
      <c r="CE141" s="865">
        <f t="shared" si="113"/>
        <v>-495.79823999999996</v>
      </c>
      <c r="CF141" s="865">
        <f t="shared" si="113"/>
        <v>-495.79823999999996</v>
      </c>
      <c r="CG141" s="865">
        <f t="shared" si="113"/>
        <v>-495.79823999999996</v>
      </c>
      <c r="CH141" s="865">
        <f t="shared" si="113"/>
        <v>-495.79823999999996</v>
      </c>
      <c r="CI141" s="865">
        <f t="shared" si="113"/>
        <v>-495.79823999999996</v>
      </c>
      <c r="CJ141" s="865">
        <f t="shared" si="113"/>
        <v>-495.79823999999996</v>
      </c>
      <c r="CK141" s="865">
        <f t="shared" si="113"/>
        <v>-495.79823999999996</v>
      </c>
      <c r="CL141" s="865">
        <f t="shared" si="113"/>
        <v>-495.79823999999996</v>
      </c>
      <c r="CM141" s="865">
        <f t="shared" si="113"/>
        <v>-495.79823999999996</v>
      </c>
      <c r="CN141" s="865">
        <f t="shared" si="113"/>
        <v>-495.79823999999996</v>
      </c>
      <c r="CO141" s="865">
        <f t="shared" si="113"/>
        <v>-495.79823999999996</v>
      </c>
      <c r="CP141" s="865">
        <f t="shared" si="113"/>
        <v>-495.79823999999996</v>
      </c>
      <c r="CQ141" s="865">
        <f t="shared" si="113"/>
        <v>-495.79823999999996</v>
      </c>
      <c r="CR141" s="865">
        <f t="shared" si="113"/>
        <v>-495.79823999999996</v>
      </c>
      <c r="CS141" s="865">
        <f t="shared" si="113"/>
        <v>-495.79823999999996</v>
      </c>
      <c r="CT141" s="865">
        <f t="shared" si="113"/>
        <v>-495.79823999999996</v>
      </c>
      <c r="CU141" s="865">
        <f t="shared" si="113"/>
        <v>-495.79823999999996</v>
      </c>
      <c r="CV141" s="865">
        <f t="shared" si="113"/>
        <v>-495.79823999999996</v>
      </c>
      <c r="CW141" s="865">
        <f t="shared" si="113"/>
        <v>-495.79823999999996</v>
      </c>
      <c r="CX141" s="865">
        <f t="shared" si="113"/>
        <v>-495.79823999999996</v>
      </c>
      <c r="CY141" s="865">
        <f t="shared" si="113"/>
        <v>-495.79823999999996</v>
      </c>
      <c r="CZ141" s="865">
        <f t="shared" si="113"/>
        <v>-495.79823999999996</v>
      </c>
      <c r="DA141" s="865">
        <f t="shared" si="113"/>
        <v>-495.79823999999996</v>
      </c>
      <c r="DB141" s="865">
        <f t="shared" si="113"/>
        <v>-495.79823999999996</v>
      </c>
      <c r="DC141" s="865">
        <f t="shared" si="113"/>
        <v>-495.79823999999996</v>
      </c>
      <c r="DD141" s="865">
        <f t="shared" si="113"/>
        <v>-495.79823999999996</v>
      </c>
      <c r="DE141" s="865">
        <f t="shared" si="113"/>
        <v>-495.79823999999996</v>
      </c>
      <c r="DF141" s="865">
        <f t="shared" si="113"/>
        <v>-495.79823999999996</v>
      </c>
    </row>
    <row r="142" spans="1:110" ht="15.75" hidden="1" thickBot="1">
      <c r="B142" s="2389" t="s">
        <v>580</v>
      </c>
      <c r="C142" s="2390"/>
      <c r="D142" s="955"/>
      <c r="E142" s="955"/>
      <c r="F142" s="955"/>
      <c r="G142" s="955"/>
      <c r="H142" s="1011">
        <f>((H$136-$H$4)/1000)*$M$74*(($C$8/70)^$W$74)*IF($C$13=1,$AE$73,IF($C$13=2,$AF$73,IF($C$13=3,$AG$73,1)))</f>
        <v>281.45548799999995</v>
      </c>
      <c r="I142" s="1011">
        <f>((I$136-$H$4)/1000)*$M$74*(($C$8/70)^$W$74)*IF($C$13=1,$AE$73,IF($C$13=2,$AF$73,IF($C$13=3,$AG$73,1)))</f>
        <v>375.27398399999998</v>
      </c>
      <c r="J142" s="1011"/>
      <c r="K142" s="1011"/>
      <c r="L142" s="1011">
        <f t="shared" ref="L142:AQ142" si="114">((L$136-$H$4)/1000)*$M$74*(($C$8/70)^$W$74)*IF($C$13=1,$AE$73,IF($C$13=2,$AF$73,IF($C$13=3,$AG$73,1)))</f>
        <v>656.72947199999976</v>
      </c>
      <c r="M142" s="1011">
        <f t="shared" si="114"/>
        <v>750.54796799999997</v>
      </c>
      <c r="N142" s="1011">
        <f t="shared" si="114"/>
        <v>844.36646399999984</v>
      </c>
      <c r="O142" s="1011">
        <f t="shared" si="114"/>
        <v>938.18495999999982</v>
      </c>
      <c r="P142" s="1011">
        <f t="shared" si="114"/>
        <v>1032.0034559999999</v>
      </c>
      <c r="Q142" s="1011">
        <f t="shared" si="114"/>
        <v>1125.8219519999998</v>
      </c>
      <c r="R142" s="1011">
        <f t="shared" si="114"/>
        <v>1219.6404479999999</v>
      </c>
      <c r="S142" s="1011">
        <f t="shared" si="114"/>
        <v>1313.4589439999995</v>
      </c>
      <c r="T142" s="1011">
        <f t="shared" si="114"/>
        <v>1407.2774399999996</v>
      </c>
      <c r="U142" s="1011">
        <f t="shared" si="114"/>
        <v>1501.0959359999999</v>
      </c>
      <c r="V142" s="1011">
        <f t="shared" si="114"/>
        <v>1594.9144319999996</v>
      </c>
      <c r="W142" s="1011">
        <f t="shared" si="114"/>
        <v>1688.7329279999997</v>
      </c>
      <c r="X142" s="1011">
        <f t="shared" si="114"/>
        <v>1782.5514239999995</v>
      </c>
      <c r="Y142" s="1011">
        <f t="shared" si="114"/>
        <v>1876.3699199999996</v>
      </c>
      <c r="Z142" s="1011">
        <f t="shared" si="114"/>
        <v>1970.1884159999997</v>
      </c>
      <c r="AA142" s="1011">
        <f t="shared" si="114"/>
        <v>2064.0069119999998</v>
      </c>
      <c r="AB142" s="1011">
        <f t="shared" si="114"/>
        <v>2157.8254079999992</v>
      </c>
      <c r="AC142" s="1011">
        <f t="shared" si="114"/>
        <v>2251.6439039999996</v>
      </c>
      <c r="AD142" s="1011">
        <f t="shared" si="114"/>
        <v>2345.4623999999999</v>
      </c>
      <c r="AE142" s="1011">
        <f t="shared" si="114"/>
        <v>2439.2808959999998</v>
      </c>
      <c r="AF142" s="1011">
        <f t="shared" si="114"/>
        <v>2533.0993919999996</v>
      </c>
      <c r="AG142" s="1011">
        <f t="shared" si="114"/>
        <v>2626.917887999999</v>
      </c>
      <c r="AH142" s="1011">
        <f t="shared" si="114"/>
        <v>2720.7363839999994</v>
      </c>
      <c r="AI142" s="1011">
        <f t="shared" si="114"/>
        <v>2814.5548799999992</v>
      </c>
      <c r="AJ142" s="1011">
        <f t="shared" si="114"/>
        <v>2908.3733759999996</v>
      </c>
      <c r="AK142" s="1011">
        <f t="shared" si="114"/>
        <v>3002.1918719999999</v>
      </c>
      <c r="AL142" s="1011">
        <f t="shared" si="114"/>
        <v>3096.0103679999993</v>
      </c>
      <c r="AM142" s="1011">
        <f t="shared" si="114"/>
        <v>3189.8288639999992</v>
      </c>
      <c r="AN142" s="1011">
        <f t="shared" si="114"/>
        <v>3283.647359999999</v>
      </c>
      <c r="AO142" s="1011">
        <f t="shared" si="114"/>
        <v>3377.4658559999993</v>
      </c>
      <c r="AP142" s="1011">
        <f t="shared" si="114"/>
        <v>3471.2843519999992</v>
      </c>
      <c r="AQ142" s="1011">
        <f t="shared" si="114"/>
        <v>3565.1028479999991</v>
      </c>
      <c r="AR142" s="1011">
        <f t="shared" ref="AR142:BW142" si="115">((AR$136-$H$4)/1000)*$M$74*(($C$8/70)^$W$74)*IF($C$13=1,$AE$73,IF($C$13=2,$AF$73,IF($C$13=3,$AG$73,1)))</f>
        <v>3658.9213439999994</v>
      </c>
      <c r="AS142" s="1011">
        <f t="shared" si="115"/>
        <v>3752.7398399999993</v>
      </c>
      <c r="AT142" s="1011">
        <f t="shared" si="115"/>
        <v>3846.5583359999987</v>
      </c>
      <c r="AU142" s="1011">
        <f t="shared" si="115"/>
        <v>3940.3768319999995</v>
      </c>
      <c r="AV142" s="1011">
        <f t="shared" si="115"/>
        <v>4034.1953279999993</v>
      </c>
      <c r="AW142" s="1011">
        <f t="shared" si="115"/>
        <v>4128.0138239999997</v>
      </c>
      <c r="AX142" s="1011">
        <f t="shared" si="115"/>
        <v>4221.8323199999995</v>
      </c>
      <c r="AY142" s="1011">
        <f t="shared" si="115"/>
        <v>4315.6508159999985</v>
      </c>
      <c r="AZ142" s="1011">
        <f t="shared" si="115"/>
        <v>4409.4693119999993</v>
      </c>
      <c r="BA142" s="1011">
        <f t="shared" si="115"/>
        <v>4503.2878079999991</v>
      </c>
      <c r="BB142" s="1011">
        <f t="shared" si="115"/>
        <v>4597.106303999999</v>
      </c>
      <c r="BC142" s="1011">
        <f t="shared" si="115"/>
        <v>4690.9247999999998</v>
      </c>
      <c r="BD142" s="1011">
        <f t="shared" si="115"/>
        <v>4784.7432959999987</v>
      </c>
      <c r="BE142" s="1011">
        <f t="shared" si="115"/>
        <v>4878.5617919999995</v>
      </c>
      <c r="BF142" s="1011">
        <f t="shared" si="115"/>
        <v>4972.3802879999994</v>
      </c>
      <c r="BG142" s="865">
        <f t="shared" si="115"/>
        <v>-656.72947199999976</v>
      </c>
      <c r="BH142" s="865">
        <f t="shared" si="115"/>
        <v>-656.72947199999976</v>
      </c>
      <c r="BI142" s="865">
        <f t="shared" si="115"/>
        <v>-656.72947199999976</v>
      </c>
      <c r="BJ142" s="865">
        <f t="shared" si="115"/>
        <v>-656.72947199999976</v>
      </c>
      <c r="BK142" s="865">
        <f t="shared" si="115"/>
        <v>-656.72947199999976</v>
      </c>
      <c r="BL142" s="865">
        <f t="shared" si="115"/>
        <v>-656.72947199999976</v>
      </c>
      <c r="BM142" s="865">
        <f t="shared" si="115"/>
        <v>-656.72947199999976</v>
      </c>
      <c r="BN142" s="865">
        <f t="shared" si="115"/>
        <v>-656.72947199999976</v>
      </c>
      <c r="BO142" s="865">
        <f t="shared" si="115"/>
        <v>-656.72947199999976</v>
      </c>
      <c r="BP142" s="865">
        <f t="shared" si="115"/>
        <v>-656.72947199999976</v>
      </c>
      <c r="BQ142" s="865">
        <f t="shared" si="115"/>
        <v>-656.72947199999976</v>
      </c>
      <c r="BR142" s="865">
        <f t="shared" si="115"/>
        <v>-656.72947199999976</v>
      </c>
      <c r="BS142" s="865">
        <f t="shared" si="115"/>
        <v>-656.72947199999976</v>
      </c>
      <c r="BT142" s="865">
        <f t="shared" si="115"/>
        <v>-656.72947199999976</v>
      </c>
      <c r="BU142" s="865">
        <f t="shared" si="115"/>
        <v>-656.72947199999976</v>
      </c>
      <c r="BV142" s="865">
        <f t="shared" si="115"/>
        <v>-656.72947199999976</v>
      </c>
      <c r="BW142" s="865">
        <f t="shared" si="115"/>
        <v>-656.72947199999976</v>
      </c>
      <c r="BX142" s="865">
        <f t="shared" ref="BX142:DF142" si="116">((BX$136-$H$4)/1000)*$M$74*(($C$8/70)^$W$74)*IF($C$13=1,$AE$73,IF($C$13=2,$AF$73,IF($C$13=3,$AG$73,1)))</f>
        <v>-656.72947199999976</v>
      </c>
      <c r="BY142" s="865">
        <f t="shared" si="116"/>
        <v>-656.72947199999976</v>
      </c>
      <c r="BZ142" s="865">
        <f t="shared" si="116"/>
        <v>-656.72947199999976</v>
      </c>
      <c r="CA142" s="865">
        <f t="shared" si="116"/>
        <v>-656.72947199999976</v>
      </c>
      <c r="CB142" s="865">
        <f t="shared" si="116"/>
        <v>-656.72947199999976</v>
      </c>
      <c r="CC142" s="865">
        <f t="shared" si="116"/>
        <v>-656.72947199999976</v>
      </c>
      <c r="CD142" s="865">
        <f t="shared" si="116"/>
        <v>-656.72947199999976</v>
      </c>
      <c r="CE142" s="865">
        <f t="shared" si="116"/>
        <v>-656.72947199999976</v>
      </c>
      <c r="CF142" s="865">
        <f t="shared" si="116"/>
        <v>-656.72947199999976</v>
      </c>
      <c r="CG142" s="865">
        <f t="shared" si="116"/>
        <v>-656.72947199999976</v>
      </c>
      <c r="CH142" s="865">
        <f t="shared" si="116"/>
        <v>-656.72947199999976</v>
      </c>
      <c r="CI142" s="865">
        <f t="shared" si="116"/>
        <v>-656.72947199999976</v>
      </c>
      <c r="CJ142" s="865">
        <f t="shared" si="116"/>
        <v>-656.72947199999976</v>
      </c>
      <c r="CK142" s="865">
        <f t="shared" si="116"/>
        <v>-656.72947199999976</v>
      </c>
      <c r="CL142" s="865">
        <f t="shared" si="116"/>
        <v>-656.72947199999976</v>
      </c>
      <c r="CM142" s="865">
        <f t="shared" si="116"/>
        <v>-656.72947199999976</v>
      </c>
      <c r="CN142" s="865">
        <f t="shared" si="116"/>
        <v>-656.72947199999976</v>
      </c>
      <c r="CO142" s="865">
        <f t="shared" si="116"/>
        <v>-656.72947199999976</v>
      </c>
      <c r="CP142" s="865">
        <f t="shared" si="116"/>
        <v>-656.72947199999976</v>
      </c>
      <c r="CQ142" s="865">
        <f t="shared" si="116"/>
        <v>-656.72947199999976</v>
      </c>
      <c r="CR142" s="865">
        <f t="shared" si="116"/>
        <v>-656.72947199999976</v>
      </c>
      <c r="CS142" s="865">
        <f t="shared" si="116"/>
        <v>-656.72947199999976</v>
      </c>
      <c r="CT142" s="865">
        <f t="shared" si="116"/>
        <v>-656.72947199999976</v>
      </c>
      <c r="CU142" s="865">
        <f t="shared" si="116"/>
        <v>-656.72947199999976</v>
      </c>
      <c r="CV142" s="865">
        <f t="shared" si="116"/>
        <v>-656.72947199999976</v>
      </c>
      <c r="CW142" s="865">
        <f t="shared" si="116"/>
        <v>-656.72947199999976</v>
      </c>
      <c r="CX142" s="865">
        <f t="shared" si="116"/>
        <v>-656.72947199999976</v>
      </c>
      <c r="CY142" s="865">
        <f t="shared" si="116"/>
        <v>-656.72947199999976</v>
      </c>
      <c r="CZ142" s="865">
        <f t="shared" si="116"/>
        <v>-656.72947199999976</v>
      </c>
      <c r="DA142" s="865">
        <f t="shared" si="116"/>
        <v>-656.72947199999976</v>
      </c>
      <c r="DB142" s="865">
        <f t="shared" si="116"/>
        <v>-656.72947199999976</v>
      </c>
      <c r="DC142" s="865">
        <f t="shared" si="116"/>
        <v>-656.72947199999976</v>
      </c>
      <c r="DD142" s="865">
        <f t="shared" si="116"/>
        <v>-656.72947199999976</v>
      </c>
      <c r="DE142" s="865">
        <f t="shared" si="116"/>
        <v>-656.72947199999976</v>
      </c>
      <c r="DF142" s="865">
        <f t="shared" si="116"/>
        <v>-656.72947199999976</v>
      </c>
    </row>
    <row r="143" spans="1:110" hidden="1">
      <c r="B143" s="2391" t="s">
        <v>364</v>
      </c>
      <c r="C143" s="2392"/>
      <c r="D143" s="895"/>
      <c r="E143" s="895"/>
      <c r="F143" s="895"/>
      <c r="G143" s="895"/>
      <c r="H143" s="1010">
        <f t="shared" ref="H143:AM143" si="117">((H$136-$H$4)/1000)*$N$74*(($C$8/70)^$X$74)*IF($C$13=1,$AE$73,IF($C$13=2,$AF$73,IF($C$13=3,$AG$73,1)))</f>
        <v>326.73916799999995</v>
      </c>
      <c r="I143" s="1010">
        <f t="shared" si="117"/>
        <v>435.65222399999999</v>
      </c>
      <c r="J143" s="1010">
        <f t="shared" si="117"/>
        <v>544.56527999999992</v>
      </c>
      <c r="K143" s="1010">
        <f t="shared" si="117"/>
        <v>653.4783359999999</v>
      </c>
      <c r="L143" s="1010">
        <f t="shared" si="117"/>
        <v>762.39139199999988</v>
      </c>
      <c r="M143" s="1010">
        <f t="shared" si="117"/>
        <v>871.30444799999998</v>
      </c>
      <c r="N143" s="1010">
        <f t="shared" si="117"/>
        <v>980.21750399999996</v>
      </c>
      <c r="O143" s="1010">
        <f t="shared" si="117"/>
        <v>1089.1305599999998</v>
      </c>
      <c r="P143" s="1010">
        <f t="shared" si="117"/>
        <v>1198.0436159999999</v>
      </c>
      <c r="Q143" s="1010">
        <f t="shared" si="117"/>
        <v>1306.9566719999998</v>
      </c>
      <c r="R143" s="1010">
        <f t="shared" si="117"/>
        <v>1415.8697279999999</v>
      </c>
      <c r="S143" s="1010">
        <f t="shared" si="117"/>
        <v>1524.7827839999998</v>
      </c>
      <c r="T143" s="1010">
        <f t="shared" si="117"/>
        <v>1633.6958399999996</v>
      </c>
      <c r="U143" s="1010">
        <f t="shared" si="117"/>
        <v>1742.608896</v>
      </c>
      <c r="V143" s="1010">
        <f t="shared" si="117"/>
        <v>1851.5219519999998</v>
      </c>
      <c r="W143" s="1010">
        <f t="shared" si="117"/>
        <v>1960.4350079999999</v>
      </c>
      <c r="X143" s="1010">
        <f t="shared" si="117"/>
        <v>2069.3480639999998</v>
      </c>
      <c r="Y143" s="1010">
        <f t="shared" si="117"/>
        <v>2178.2611199999997</v>
      </c>
      <c r="Z143" s="1010">
        <f t="shared" si="117"/>
        <v>2287.174176</v>
      </c>
      <c r="AA143" s="1010">
        <f t="shared" si="117"/>
        <v>2396.0872319999999</v>
      </c>
      <c r="AB143" s="1010">
        <f t="shared" si="117"/>
        <v>2505.0002879999997</v>
      </c>
      <c r="AC143" s="1010">
        <f t="shared" si="117"/>
        <v>2613.9133439999996</v>
      </c>
      <c r="AD143" s="1010">
        <f t="shared" si="117"/>
        <v>2722.8263999999999</v>
      </c>
      <c r="AE143" s="1010">
        <f t="shared" si="117"/>
        <v>2831.7394559999998</v>
      </c>
      <c r="AF143" s="1010">
        <f t="shared" si="117"/>
        <v>2940.6525119999997</v>
      </c>
      <c r="AG143" s="1010">
        <f t="shared" si="117"/>
        <v>3049.5655679999995</v>
      </c>
      <c r="AH143" s="1010">
        <f t="shared" si="117"/>
        <v>3158.4786239999994</v>
      </c>
      <c r="AI143" s="1010">
        <f t="shared" si="117"/>
        <v>3267.3916799999993</v>
      </c>
      <c r="AJ143" s="1010">
        <f t="shared" si="117"/>
        <v>3376.304736</v>
      </c>
      <c r="AK143" s="1010">
        <f t="shared" si="117"/>
        <v>3485.2177919999999</v>
      </c>
      <c r="AL143" s="1010">
        <f t="shared" si="117"/>
        <v>3594.1308479999998</v>
      </c>
      <c r="AM143" s="1010">
        <f t="shared" si="117"/>
        <v>3703.0439039999997</v>
      </c>
      <c r="AN143" s="1010">
        <f t="shared" ref="AN143:BS143" si="118">((AN$136-$H$4)/1000)*$N$74*(($C$8/70)^$X$74)*IF($C$13=1,$AE$73,IF($C$13=2,$AF$73,IF($C$13=3,$AG$73,1)))</f>
        <v>3811.9569599999995</v>
      </c>
      <c r="AO143" s="1010">
        <f t="shared" si="118"/>
        <v>3920.8700159999999</v>
      </c>
      <c r="AP143" s="1010">
        <f t="shared" si="118"/>
        <v>4029.7830719999997</v>
      </c>
      <c r="AQ143" s="1010">
        <f t="shared" si="118"/>
        <v>4138.6961279999996</v>
      </c>
      <c r="AR143" s="1010">
        <f t="shared" si="118"/>
        <v>4247.6091839999999</v>
      </c>
      <c r="AS143" s="1010">
        <f t="shared" si="118"/>
        <v>4356.5222399999993</v>
      </c>
      <c r="AT143" s="1010">
        <f t="shared" si="118"/>
        <v>4465.4352959999987</v>
      </c>
      <c r="AU143" s="1010">
        <f t="shared" si="118"/>
        <v>4574.348352</v>
      </c>
      <c r="AV143" s="1010">
        <f t="shared" si="118"/>
        <v>4683.2614079999994</v>
      </c>
      <c r="AW143" s="1010">
        <f t="shared" si="118"/>
        <v>4792.1744639999997</v>
      </c>
      <c r="AX143" s="1010">
        <f t="shared" si="118"/>
        <v>4901.08752</v>
      </c>
      <c r="AY143" s="1010">
        <f t="shared" si="118"/>
        <v>5010.0005759999995</v>
      </c>
      <c r="AZ143" s="1010">
        <f t="shared" si="118"/>
        <v>5118.9136319999998</v>
      </c>
      <c r="BA143" s="1010">
        <f t="shared" si="118"/>
        <v>5227.8266879999992</v>
      </c>
      <c r="BB143" s="1010">
        <f t="shared" si="118"/>
        <v>5336.7397440000004</v>
      </c>
      <c r="BC143" s="1010">
        <f t="shared" si="118"/>
        <v>5445.6527999999998</v>
      </c>
      <c r="BD143" s="1010">
        <f t="shared" si="118"/>
        <v>5554.5658559999993</v>
      </c>
      <c r="BE143" s="1010">
        <f t="shared" si="118"/>
        <v>5663.4789119999996</v>
      </c>
      <c r="BF143" s="1010">
        <f t="shared" si="118"/>
        <v>5772.391967999999</v>
      </c>
      <c r="BG143" s="865">
        <f t="shared" si="118"/>
        <v>-762.39139199999988</v>
      </c>
      <c r="BH143" s="865">
        <f t="shared" si="118"/>
        <v>-762.39139199999988</v>
      </c>
      <c r="BI143" s="865">
        <f t="shared" si="118"/>
        <v>-762.39139199999988</v>
      </c>
      <c r="BJ143" s="865">
        <f t="shared" si="118"/>
        <v>-762.39139199999988</v>
      </c>
      <c r="BK143" s="865">
        <f t="shared" si="118"/>
        <v>-762.39139199999988</v>
      </c>
      <c r="BL143" s="865">
        <f t="shared" si="118"/>
        <v>-762.39139199999988</v>
      </c>
      <c r="BM143" s="865">
        <f t="shared" si="118"/>
        <v>-762.39139199999988</v>
      </c>
      <c r="BN143" s="865">
        <f t="shared" si="118"/>
        <v>-762.39139199999988</v>
      </c>
      <c r="BO143" s="865">
        <f t="shared" si="118"/>
        <v>-762.39139199999988</v>
      </c>
      <c r="BP143" s="865">
        <f t="shared" si="118"/>
        <v>-762.39139199999988</v>
      </c>
      <c r="BQ143" s="865">
        <f t="shared" si="118"/>
        <v>-762.39139199999988</v>
      </c>
      <c r="BR143" s="865">
        <f t="shared" si="118"/>
        <v>-762.39139199999988</v>
      </c>
      <c r="BS143" s="865">
        <f t="shared" si="118"/>
        <v>-762.39139199999988</v>
      </c>
      <c r="BT143" s="865">
        <f t="shared" ref="BT143:CY143" si="119">((BT$136-$H$4)/1000)*$N$74*(($C$8/70)^$X$74)*IF($C$13=1,$AE$73,IF($C$13=2,$AF$73,IF($C$13=3,$AG$73,1)))</f>
        <v>-762.39139199999988</v>
      </c>
      <c r="BU143" s="865">
        <f t="shared" si="119"/>
        <v>-762.39139199999988</v>
      </c>
      <c r="BV143" s="865">
        <f t="shared" si="119"/>
        <v>-762.39139199999988</v>
      </c>
      <c r="BW143" s="865">
        <f t="shared" si="119"/>
        <v>-762.39139199999988</v>
      </c>
      <c r="BX143" s="865">
        <f t="shared" si="119"/>
        <v>-762.39139199999988</v>
      </c>
      <c r="BY143" s="865">
        <f t="shared" si="119"/>
        <v>-762.39139199999988</v>
      </c>
      <c r="BZ143" s="865">
        <f t="shared" si="119"/>
        <v>-762.39139199999988</v>
      </c>
      <c r="CA143" s="865">
        <f t="shared" si="119"/>
        <v>-762.39139199999988</v>
      </c>
      <c r="CB143" s="865">
        <f t="shared" si="119"/>
        <v>-762.39139199999988</v>
      </c>
      <c r="CC143" s="865">
        <f t="shared" si="119"/>
        <v>-762.39139199999988</v>
      </c>
      <c r="CD143" s="865">
        <f t="shared" si="119"/>
        <v>-762.39139199999988</v>
      </c>
      <c r="CE143" s="865">
        <f t="shared" si="119"/>
        <v>-762.39139199999988</v>
      </c>
      <c r="CF143" s="865">
        <f t="shared" si="119"/>
        <v>-762.39139199999988</v>
      </c>
      <c r="CG143" s="865">
        <f t="shared" si="119"/>
        <v>-762.39139199999988</v>
      </c>
      <c r="CH143" s="865">
        <f t="shared" si="119"/>
        <v>-762.39139199999988</v>
      </c>
      <c r="CI143" s="865">
        <f t="shared" si="119"/>
        <v>-762.39139199999988</v>
      </c>
      <c r="CJ143" s="865">
        <f t="shared" si="119"/>
        <v>-762.39139199999988</v>
      </c>
      <c r="CK143" s="865">
        <f t="shared" si="119"/>
        <v>-762.39139199999988</v>
      </c>
      <c r="CL143" s="865">
        <f t="shared" si="119"/>
        <v>-762.39139199999988</v>
      </c>
      <c r="CM143" s="865">
        <f t="shared" si="119"/>
        <v>-762.39139199999988</v>
      </c>
      <c r="CN143" s="865">
        <f t="shared" si="119"/>
        <v>-762.39139199999988</v>
      </c>
      <c r="CO143" s="865">
        <f t="shared" si="119"/>
        <v>-762.39139199999988</v>
      </c>
      <c r="CP143" s="865">
        <f t="shared" si="119"/>
        <v>-762.39139199999988</v>
      </c>
      <c r="CQ143" s="865">
        <f t="shared" si="119"/>
        <v>-762.39139199999988</v>
      </c>
      <c r="CR143" s="865">
        <f t="shared" si="119"/>
        <v>-762.39139199999988</v>
      </c>
      <c r="CS143" s="865">
        <f t="shared" si="119"/>
        <v>-762.39139199999988</v>
      </c>
      <c r="CT143" s="865">
        <f t="shared" si="119"/>
        <v>-762.39139199999988</v>
      </c>
      <c r="CU143" s="865">
        <f t="shared" si="119"/>
        <v>-762.39139199999988</v>
      </c>
      <c r="CV143" s="865">
        <f t="shared" si="119"/>
        <v>-762.39139199999988</v>
      </c>
      <c r="CW143" s="865">
        <f t="shared" si="119"/>
        <v>-762.39139199999988</v>
      </c>
      <c r="CX143" s="865">
        <f t="shared" si="119"/>
        <v>-762.39139199999988</v>
      </c>
      <c r="CY143" s="865">
        <f t="shared" si="119"/>
        <v>-762.39139199999988</v>
      </c>
      <c r="CZ143" s="865">
        <f t="shared" ref="CZ143:DF143" si="120">((CZ$136-$H$4)/1000)*$N$74*(($C$8/70)^$X$74)*IF($C$13=1,$AE$73,IF($C$13=2,$AF$73,IF($C$13=3,$AG$73,1)))</f>
        <v>-762.39139199999988</v>
      </c>
      <c r="DA143" s="865">
        <f t="shared" si="120"/>
        <v>-762.39139199999988</v>
      </c>
      <c r="DB143" s="865">
        <f t="shared" si="120"/>
        <v>-762.39139199999988</v>
      </c>
      <c r="DC143" s="865">
        <f t="shared" si="120"/>
        <v>-762.39139199999988</v>
      </c>
      <c r="DD143" s="865">
        <f t="shared" si="120"/>
        <v>-762.39139199999988</v>
      </c>
      <c r="DE143" s="865">
        <f t="shared" si="120"/>
        <v>-762.39139199999988</v>
      </c>
      <c r="DF143" s="865">
        <f t="shared" si="120"/>
        <v>-762.39139199999988</v>
      </c>
    </row>
    <row r="144" spans="1:110" ht="15.75" hidden="1" thickBot="1">
      <c r="B144" s="2312" t="s">
        <v>365</v>
      </c>
      <c r="C144" s="2313"/>
      <c r="D144" s="894"/>
      <c r="E144" s="894"/>
      <c r="F144" s="894"/>
      <c r="G144" s="894"/>
      <c r="H144" s="679">
        <f t="shared" ref="H144:AM144" si="121">((H$136-$H$4)/1000)*$P$74*(($C$8/70)^$Z$74)*IF($C$13=1,$AE$73,IF($C$13=2,$AF$73,IF($C$13=3,$AG$73,1)))</f>
        <v>405.46310399999993</v>
      </c>
      <c r="I144" s="679">
        <f t="shared" si="121"/>
        <v>540.61747199999991</v>
      </c>
      <c r="J144" s="679">
        <f t="shared" si="121"/>
        <v>675.77183999999977</v>
      </c>
      <c r="K144" s="679">
        <f t="shared" si="121"/>
        <v>810.92620799999986</v>
      </c>
      <c r="L144" s="679">
        <f t="shared" si="121"/>
        <v>946.08057599999961</v>
      </c>
      <c r="M144" s="679">
        <f t="shared" si="121"/>
        <v>1081.2349439999998</v>
      </c>
      <c r="N144" s="679">
        <f t="shared" si="121"/>
        <v>1216.3893119999998</v>
      </c>
      <c r="O144" s="679">
        <f t="shared" si="121"/>
        <v>1351.5436799999995</v>
      </c>
      <c r="P144" s="679">
        <f t="shared" si="121"/>
        <v>1486.6980479999997</v>
      </c>
      <c r="Q144" s="679">
        <f t="shared" si="121"/>
        <v>1621.8524159999997</v>
      </c>
      <c r="R144" s="679">
        <f t="shared" si="121"/>
        <v>1757.0067839999995</v>
      </c>
      <c r="S144" s="679">
        <f t="shared" si="121"/>
        <v>1892.1611519999992</v>
      </c>
      <c r="T144" s="679">
        <f t="shared" si="121"/>
        <v>2027.3155199999994</v>
      </c>
      <c r="U144" s="679">
        <f t="shared" si="121"/>
        <v>2162.4698879999996</v>
      </c>
      <c r="V144" s="679">
        <f t="shared" si="121"/>
        <v>2297.6242559999996</v>
      </c>
      <c r="W144" s="679">
        <f t="shared" si="121"/>
        <v>2432.7786239999996</v>
      </c>
      <c r="X144" s="679">
        <f t="shared" si="121"/>
        <v>2567.9329919999991</v>
      </c>
      <c r="Y144" s="679">
        <f t="shared" si="121"/>
        <v>2703.0873599999991</v>
      </c>
      <c r="Z144" s="679">
        <f t="shared" si="121"/>
        <v>2838.2417279999995</v>
      </c>
      <c r="AA144" s="679">
        <f t="shared" si="121"/>
        <v>2973.3960959999995</v>
      </c>
      <c r="AB144" s="679">
        <f t="shared" si="121"/>
        <v>3108.550463999999</v>
      </c>
      <c r="AC144" s="679">
        <f t="shared" si="121"/>
        <v>3243.7048319999994</v>
      </c>
      <c r="AD144" s="679">
        <f t="shared" si="121"/>
        <v>3378.8591999999994</v>
      </c>
      <c r="AE144" s="679">
        <f t="shared" si="121"/>
        <v>3514.0135679999989</v>
      </c>
      <c r="AF144" s="679">
        <f t="shared" si="121"/>
        <v>3649.1679359999989</v>
      </c>
      <c r="AG144" s="679">
        <f t="shared" si="121"/>
        <v>3784.3223039999984</v>
      </c>
      <c r="AH144" s="679">
        <f t="shared" si="121"/>
        <v>3919.4766719999989</v>
      </c>
      <c r="AI144" s="679">
        <f t="shared" si="121"/>
        <v>4054.6310399999988</v>
      </c>
      <c r="AJ144" s="679">
        <f t="shared" si="121"/>
        <v>4189.7854079999988</v>
      </c>
      <c r="AK144" s="679">
        <f t="shared" si="121"/>
        <v>4324.9397759999993</v>
      </c>
      <c r="AL144" s="679">
        <f t="shared" si="121"/>
        <v>4460.0941439999988</v>
      </c>
      <c r="AM144" s="679">
        <f t="shared" si="121"/>
        <v>4595.2485119999992</v>
      </c>
      <c r="AN144" s="679">
        <f t="shared" ref="AN144:BS144" si="122">((AN$136-$H$4)/1000)*$P$74*(($C$8/70)^$Z$74)*IF($C$13=1,$AE$73,IF($C$13=2,$AF$73,IF($C$13=3,$AG$73,1)))</f>
        <v>4730.4028799999987</v>
      </c>
      <c r="AO144" s="679">
        <f t="shared" si="122"/>
        <v>4865.5572479999992</v>
      </c>
      <c r="AP144" s="679">
        <f t="shared" si="122"/>
        <v>5000.7116159999987</v>
      </c>
      <c r="AQ144" s="679">
        <f t="shared" si="122"/>
        <v>5135.8659839999982</v>
      </c>
      <c r="AR144" s="679">
        <f t="shared" si="122"/>
        <v>5271.0203519999986</v>
      </c>
      <c r="AS144" s="679">
        <f t="shared" si="122"/>
        <v>5406.1747199999982</v>
      </c>
      <c r="AT144" s="679">
        <f t="shared" si="122"/>
        <v>5541.3290879999977</v>
      </c>
      <c r="AU144" s="679">
        <f t="shared" si="122"/>
        <v>5676.483455999999</v>
      </c>
      <c r="AV144" s="679">
        <f t="shared" si="122"/>
        <v>5811.6378239999985</v>
      </c>
      <c r="AW144" s="679">
        <f t="shared" si="122"/>
        <v>5946.792191999999</v>
      </c>
      <c r="AX144" s="679">
        <f t="shared" si="122"/>
        <v>6081.9465599999985</v>
      </c>
      <c r="AY144" s="679">
        <f t="shared" si="122"/>
        <v>6217.100927999998</v>
      </c>
      <c r="AZ144" s="679">
        <f t="shared" si="122"/>
        <v>6352.2552959999985</v>
      </c>
      <c r="BA144" s="679">
        <f t="shared" si="122"/>
        <v>6487.4096639999989</v>
      </c>
      <c r="BB144" s="679">
        <f t="shared" si="122"/>
        <v>6622.5640319999993</v>
      </c>
      <c r="BC144" s="679">
        <f t="shared" si="122"/>
        <v>6757.7183999999988</v>
      </c>
      <c r="BD144" s="679">
        <f t="shared" si="122"/>
        <v>6892.8727679999974</v>
      </c>
      <c r="BE144" s="679">
        <f t="shared" si="122"/>
        <v>7028.0271359999979</v>
      </c>
      <c r="BF144" s="679">
        <f t="shared" si="122"/>
        <v>7163.1815039999974</v>
      </c>
      <c r="BG144" s="865">
        <f t="shared" si="122"/>
        <v>-946.08057599999961</v>
      </c>
      <c r="BH144" s="865">
        <f t="shared" si="122"/>
        <v>-946.08057599999961</v>
      </c>
      <c r="BI144" s="865">
        <f t="shared" si="122"/>
        <v>-946.08057599999961</v>
      </c>
      <c r="BJ144" s="865">
        <f t="shared" si="122"/>
        <v>-946.08057599999961</v>
      </c>
      <c r="BK144" s="865">
        <f t="shared" si="122"/>
        <v>-946.08057599999961</v>
      </c>
      <c r="BL144" s="865">
        <f t="shared" si="122"/>
        <v>-946.08057599999961</v>
      </c>
      <c r="BM144" s="865">
        <f t="shared" si="122"/>
        <v>-946.08057599999961</v>
      </c>
      <c r="BN144" s="865">
        <f t="shared" si="122"/>
        <v>-946.08057599999961</v>
      </c>
      <c r="BO144" s="865">
        <f t="shared" si="122"/>
        <v>-946.08057599999961</v>
      </c>
      <c r="BP144" s="865">
        <f t="shared" si="122"/>
        <v>-946.08057599999961</v>
      </c>
      <c r="BQ144" s="865">
        <f t="shared" si="122"/>
        <v>-946.08057599999961</v>
      </c>
      <c r="BR144" s="865">
        <f t="shared" si="122"/>
        <v>-946.08057599999961</v>
      </c>
      <c r="BS144" s="865">
        <f t="shared" si="122"/>
        <v>-946.08057599999961</v>
      </c>
      <c r="BT144" s="865">
        <f t="shared" ref="BT144:CY144" si="123">((BT$136-$H$4)/1000)*$P$74*(($C$8/70)^$Z$74)*IF($C$13=1,$AE$73,IF($C$13=2,$AF$73,IF($C$13=3,$AG$73,1)))</f>
        <v>-946.08057599999961</v>
      </c>
      <c r="BU144" s="865">
        <f t="shared" si="123"/>
        <v>-946.08057599999961</v>
      </c>
      <c r="BV144" s="865">
        <f t="shared" si="123"/>
        <v>-946.08057599999961</v>
      </c>
      <c r="BW144" s="865">
        <f t="shared" si="123"/>
        <v>-946.08057599999961</v>
      </c>
      <c r="BX144" s="865">
        <f t="shared" si="123"/>
        <v>-946.08057599999961</v>
      </c>
      <c r="BY144" s="865">
        <f t="shared" si="123"/>
        <v>-946.08057599999961</v>
      </c>
      <c r="BZ144" s="865">
        <f t="shared" si="123"/>
        <v>-946.08057599999961</v>
      </c>
      <c r="CA144" s="865">
        <f t="shared" si="123"/>
        <v>-946.08057599999961</v>
      </c>
      <c r="CB144" s="865">
        <f t="shared" si="123"/>
        <v>-946.08057599999961</v>
      </c>
      <c r="CC144" s="865">
        <f t="shared" si="123"/>
        <v>-946.08057599999961</v>
      </c>
      <c r="CD144" s="865">
        <f t="shared" si="123"/>
        <v>-946.08057599999961</v>
      </c>
      <c r="CE144" s="865">
        <f t="shared" si="123"/>
        <v>-946.08057599999961</v>
      </c>
      <c r="CF144" s="865">
        <f t="shared" si="123"/>
        <v>-946.08057599999961</v>
      </c>
      <c r="CG144" s="865">
        <f t="shared" si="123"/>
        <v>-946.08057599999961</v>
      </c>
      <c r="CH144" s="865">
        <f t="shared" si="123"/>
        <v>-946.08057599999961</v>
      </c>
      <c r="CI144" s="865">
        <f t="shared" si="123"/>
        <v>-946.08057599999961</v>
      </c>
      <c r="CJ144" s="865">
        <f t="shared" si="123"/>
        <v>-946.08057599999961</v>
      </c>
      <c r="CK144" s="865">
        <f t="shared" si="123"/>
        <v>-946.08057599999961</v>
      </c>
      <c r="CL144" s="865">
        <f t="shared" si="123"/>
        <v>-946.08057599999961</v>
      </c>
      <c r="CM144" s="865">
        <f t="shared" si="123"/>
        <v>-946.08057599999961</v>
      </c>
      <c r="CN144" s="865">
        <f t="shared" si="123"/>
        <v>-946.08057599999961</v>
      </c>
      <c r="CO144" s="865">
        <f t="shared" si="123"/>
        <v>-946.08057599999961</v>
      </c>
      <c r="CP144" s="865">
        <f t="shared" si="123"/>
        <v>-946.08057599999961</v>
      </c>
      <c r="CQ144" s="865">
        <f t="shared" si="123"/>
        <v>-946.08057599999961</v>
      </c>
      <c r="CR144" s="865">
        <f t="shared" si="123"/>
        <v>-946.08057599999961</v>
      </c>
      <c r="CS144" s="865">
        <f t="shared" si="123"/>
        <v>-946.08057599999961</v>
      </c>
      <c r="CT144" s="865">
        <f t="shared" si="123"/>
        <v>-946.08057599999961</v>
      </c>
      <c r="CU144" s="865">
        <f t="shared" si="123"/>
        <v>-946.08057599999961</v>
      </c>
      <c r="CV144" s="865">
        <f t="shared" si="123"/>
        <v>-946.08057599999961</v>
      </c>
      <c r="CW144" s="865">
        <f t="shared" si="123"/>
        <v>-946.08057599999961</v>
      </c>
      <c r="CX144" s="865">
        <f t="shared" si="123"/>
        <v>-946.08057599999961</v>
      </c>
      <c r="CY144" s="865">
        <f t="shared" si="123"/>
        <v>-946.08057599999961</v>
      </c>
      <c r="CZ144" s="865">
        <f t="shared" ref="CZ144:DF144" si="124">((CZ$136-$H$4)/1000)*$P$74*(($C$8/70)^$Z$74)*IF($C$13=1,$AE$73,IF($C$13=2,$AF$73,IF($C$13=3,$AG$73,1)))</f>
        <v>-946.08057599999961</v>
      </c>
      <c r="DA144" s="865">
        <f t="shared" si="124"/>
        <v>-946.08057599999961</v>
      </c>
      <c r="DB144" s="865">
        <f t="shared" si="124"/>
        <v>-946.08057599999961</v>
      </c>
      <c r="DC144" s="865">
        <f t="shared" si="124"/>
        <v>-946.08057599999961</v>
      </c>
      <c r="DD144" s="865">
        <f t="shared" si="124"/>
        <v>-946.08057599999961</v>
      </c>
      <c r="DE144" s="865">
        <f t="shared" si="124"/>
        <v>-946.08057599999961</v>
      </c>
      <c r="DF144" s="865">
        <f t="shared" si="124"/>
        <v>-946.08057599999961</v>
      </c>
    </row>
    <row r="145" spans="2:110" hidden="1">
      <c r="B145" s="2393" t="s">
        <v>366</v>
      </c>
      <c r="C145" s="2394"/>
      <c r="D145" s="892"/>
      <c r="E145" s="892"/>
      <c r="F145" s="892"/>
      <c r="G145" s="892"/>
      <c r="H145" s="865">
        <f t="shared" ref="H145:AM145" si="125">((H$136-$H$4)/1000)*$L$75*(($C$8/70)^$V$75)*IF($C$13=1,$AE$74,IF($C$13=2,$AF$74,IF($C$13=3,$AG$74,1)))</f>
        <v>278.33070169157037</v>
      </c>
      <c r="I145" s="865">
        <f t="shared" si="125"/>
        <v>371.1076022554272</v>
      </c>
      <c r="J145" s="865">
        <f t="shared" si="125"/>
        <v>463.88450281928397</v>
      </c>
      <c r="K145" s="865">
        <f t="shared" si="125"/>
        <v>556.66140338314074</v>
      </c>
      <c r="L145" s="865">
        <f t="shared" si="125"/>
        <v>649.43830394699751</v>
      </c>
      <c r="M145" s="865">
        <f t="shared" si="125"/>
        <v>742.21520451085439</v>
      </c>
      <c r="N145" s="865">
        <f t="shared" si="125"/>
        <v>834.99210507471116</v>
      </c>
      <c r="O145" s="865">
        <f t="shared" si="125"/>
        <v>927.76900563856793</v>
      </c>
      <c r="P145" s="865">
        <f t="shared" si="125"/>
        <v>1020.5459062024248</v>
      </c>
      <c r="Q145" s="865">
        <f t="shared" si="125"/>
        <v>1113.3228067662815</v>
      </c>
      <c r="R145" s="865">
        <f t="shared" si="125"/>
        <v>1206.0997073301385</v>
      </c>
      <c r="S145" s="865">
        <f t="shared" si="125"/>
        <v>1298.876607893995</v>
      </c>
      <c r="T145" s="865">
        <f t="shared" si="125"/>
        <v>1391.653508457852</v>
      </c>
      <c r="U145" s="865">
        <f t="shared" si="125"/>
        <v>1484.4304090217088</v>
      </c>
      <c r="V145" s="865">
        <f t="shared" si="125"/>
        <v>1577.2073095855653</v>
      </c>
      <c r="W145" s="865">
        <f t="shared" si="125"/>
        <v>1669.9842101494223</v>
      </c>
      <c r="X145" s="865">
        <f t="shared" si="125"/>
        <v>1762.7611107132789</v>
      </c>
      <c r="Y145" s="865">
        <f t="shared" si="125"/>
        <v>1855.5380112771359</v>
      </c>
      <c r="Z145" s="865">
        <f t="shared" si="125"/>
        <v>1948.3149118409929</v>
      </c>
      <c r="AA145" s="865">
        <f t="shared" si="125"/>
        <v>2041.0918124048496</v>
      </c>
      <c r="AB145" s="865">
        <f t="shared" si="125"/>
        <v>2133.8687129687059</v>
      </c>
      <c r="AC145" s="865">
        <f t="shared" si="125"/>
        <v>2226.6456135325629</v>
      </c>
      <c r="AD145" s="865">
        <f t="shared" si="125"/>
        <v>2319.4225140964199</v>
      </c>
      <c r="AE145" s="865">
        <f t="shared" si="125"/>
        <v>2412.1994146602769</v>
      </c>
      <c r="AF145" s="865">
        <f t="shared" si="125"/>
        <v>2504.9763152241335</v>
      </c>
      <c r="AG145" s="865">
        <f t="shared" si="125"/>
        <v>2597.75321578799</v>
      </c>
      <c r="AH145" s="865">
        <f t="shared" si="125"/>
        <v>2690.5301163518466</v>
      </c>
      <c r="AI145" s="865">
        <f t="shared" si="125"/>
        <v>2783.307016915704</v>
      </c>
      <c r="AJ145" s="865">
        <f t="shared" si="125"/>
        <v>2876.0839174795606</v>
      </c>
      <c r="AK145" s="865">
        <f t="shared" si="125"/>
        <v>2968.8608180434176</v>
      </c>
      <c r="AL145" s="865">
        <f t="shared" si="125"/>
        <v>3061.6377186072741</v>
      </c>
      <c r="AM145" s="865">
        <f t="shared" si="125"/>
        <v>3154.4146191711307</v>
      </c>
      <c r="AN145" s="865">
        <f t="shared" ref="AN145:BS145" si="126">((AN$136-$H$4)/1000)*$L$75*(($C$8/70)^$V$75)*IF($C$13=1,$AE$74,IF($C$13=2,$AF$74,IF($C$13=3,$AG$74,1)))</f>
        <v>3247.1915197349877</v>
      </c>
      <c r="AO145" s="865">
        <f t="shared" si="126"/>
        <v>3339.9684202988446</v>
      </c>
      <c r="AP145" s="865">
        <f t="shared" si="126"/>
        <v>3432.7453208627016</v>
      </c>
      <c r="AQ145" s="865">
        <f t="shared" si="126"/>
        <v>3525.5222214265577</v>
      </c>
      <c r="AR145" s="865">
        <f t="shared" si="126"/>
        <v>3618.2991219904152</v>
      </c>
      <c r="AS145" s="865">
        <f t="shared" si="126"/>
        <v>3711.0760225542717</v>
      </c>
      <c r="AT145" s="865">
        <f t="shared" si="126"/>
        <v>3803.8529231181283</v>
      </c>
      <c r="AU145" s="865">
        <f t="shared" si="126"/>
        <v>3896.6298236819857</v>
      </c>
      <c r="AV145" s="865">
        <f t="shared" si="126"/>
        <v>3989.4067242458418</v>
      </c>
      <c r="AW145" s="865">
        <f t="shared" si="126"/>
        <v>4082.1836248096993</v>
      </c>
      <c r="AX145" s="865">
        <f t="shared" si="126"/>
        <v>4174.9605253735563</v>
      </c>
      <c r="AY145" s="865">
        <f t="shared" si="126"/>
        <v>4267.7374259374119</v>
      </c>
      <c r="AZ145" s="865">
        <f t="shared" si="126"/>
        <v>4360.5143265012694</v>
      </c>
      <c r="BA145" s="865">
        <f t="shared" si="126"/>
        <v>4453.2912270651259</v>
      </c>
      <c r="BB145" s="865">
        <f t="shared" si="126"/>
        <v>4546.0681276289833</v>
      </c>
      <c r="BC145" s="865">
        <f t="shared" si="126"/>
        <v>4638.8450281928399</v>
      </c>
      <c r="BD145" s="865">
        <f t="shared" si="126"/>
        <v>4731.6219287566964</v>
      </c>
      <c r="BE145" s="865">
        <f t="shared" si="126"/>
        <v>4824.3988293205539</v>
      </c>
      <c r="BF145" s="865">
        <f t="shared" si="126"/>
        <v>4917.1757298844095</v>
      </c>
      <c r="BG145" s="865">
        <f t="shared" si="126"/>
        <v>-649.43830394699751</v>
      </c>
      <c r="BH145" s="865">
        <f t="shared" si="126"/>
        <v>-649.43830394699751</v>
      </c>
      <c r="BI145" s="865">
        <f t="shared" si="126"/>
        <v>-649.43830394699751</v>
      </c>
      <c r="BJ145" s="865">
        <f t="shared" si="126"/>
        <v>-649.43830394699751</v>
      </c>
      <c r="BK145" s="865">
        <f t="shared" si="126"/>
        <v>-649.43830394699751</v>
      </c>
      <c r="BL145" s="865">
        <f t="shared" si="126"/>
        <v>-649.43830394699751</v>
      </c>
      <c r="BM145" s="865">
        <f t="shared" si="126"/>
        <v>-649.43830394699751</v>
      </c>
      <c r="BN145" s="865">
        <f t="shared" si="126"/>
        <v>-649.43830394699751</v>
      </c>
      <c r="BO145" s="865">
        <f t="shared" si="126"/>
        <v>-649.43830394699751</v>
      </c>
      <c r="BP145" s="865">
        <f t="shared" si="126"/>
        <v>-649.43830394699751</v>
      </c>
      <c r="BQ145" s="865">
        <f t="shared" si="126"/>
        <v>-649.43830394699751</v>
      </c>
      <c r="BR145" s="865">
        <f t="shared" si="126"/>
        <v>-649.43830394699751</v>
      </c>
      <c r="BS145" s="865">
        <f t="shared" si="126"/>
        <v>-649.43830394699751</v>
      </c>
      <c r="BT145" s="865">
        <f t="shared" ref="BT145:CY145" si="127">((BT$136-$H$4)/1000)*$L$75*(($C$8/70)^$V$75)*IF($C$13=1,$AE$74,IF($C$13=2,$AF$74,IF($C$13=3,$AG$74,1)))</f>
        <v>-649.43830394699751</v>
      </c>
      <c r="BU145" s="865">
        <f t="shared" si="127"/>
        <v>-649.43830394699751</v>
      </c>
      <c r="BV145" s="865">
        <f t="shared" si="127"/>
        <v>-649.43830394699751</v>
      </c>
      <c r="BW145" s="865">
        <f t="shared" si="127"/>
        <v>-649.43830394699751</v>
      </c>
      <c r="BX145" s="865">
        <f t="shared" si="127"/>
        <v>-649.43830394699751</v>
      </c>
      <c r="BY145" s="865">
        <f t="shared" si="127"/>
        <v>-649.43830394699751</v>
      </c>
      <c r="BZ145" s="865">
        <f t="shared" si="127"/>
        <v>-649.43830394699751</v>
      </c>
      <c r="CA145" s="865">
        <f t="shared" si="127"/>
        <v>-649.43830394699751</v>
      </c>
      <c r="CB145" s="865">
        <f t="shared" si="127"/>
        <v>-649.43830394699751</v>
      </c>
      <c r="CC145" s="865">
        <f t="shared" si="127"/>
        <v>-649.43830394699751</v>
      </c>
      <c r="CD145" s="865">
        <f t="shared" si="127"/>
        <v>-649.43830394699751</v>
      </c>
      <c r="CE145" s="865">
        <f t="shared" si="127"/>
        <v>-649.43830394699751</v>
      </c>
      <c r="CF145" s="865">
        <f t="shared" si="127"/>
        <v>-649.43830394699751</v>
      </c>
      <c r="CG145" s="865">
        <f t="shared" si="127"/>
        <v>-649.43830394699751</v>
      </c>
      <c r="CH145" s="865">
        <f t="shared" si="127"/>
        <v>-649.43830394699751</v>
      </c>
      <c r="CI145" s="865">
        <f t="shared" si="127"/>
        <v>-649.43830394699751</v>
      </c>
      <c r="CJ145" s="865">
        <f t="shared" si="127"/>
        <v>-649.43830394699751</v>
      </c>
      <c r="CK145" s="865">
        <f t="shared" si="127"/>
        <v>-649.43830394699751</v>
      </c>
      <c r="CL145" s="865">
        <f t="shared" si="127"/>
        <v>-649.43830394699751</v>
      </c>
      <c r="CM145" s="865">
        <f t="shared" si="127"/>
        <v>-649.43830394699751</v>
      </c>
      <c r="CN145" s="865">
        <f t="shared" si="127"/>
        <v>-649.43830394699751</v>
      </c>
      <c r="CO145" s="865">
        <f t="shared" si="127"/>
        <v>-649.43830394699751</v>
      </c>
      <c r="CP145" s="865">
        <f t="shared" si="127"/>
        <v>-649.43830394699751</v>
      </c>
      <c r="CQ145" s="865">
        <f t="shared" si="127"/>
        <v>-649.43830394699751</v>
      </c>
      <c r="CR145" s="865">
        <f t="shared" si="127"/>
        <v>-649.43830394699751</v>
      </c>
      <c r="CS145" s="865">
        <f t="shared" si="127"/>
        <v>-649.43830394699751</v>
      </c>
      <c r="CT145" s="865">
        <f t="shared" si="127"/>
        <v>-649.43830394699751</v>
      </c>
      <c r="CU145" s="865">
        <f t="shared" si="127"/>
        <v>-649.43830394699751</v>
      </c>
      <c r="CV145" s="865">
        <f t="shared" si="127"/>
        <v>-649.43830394699751</v>
      </c>
      <c r="CW145" s="865">
        <f t="shared" si="127"/>
        <v>-649.43830394699751</v>
      </c>
      <c r="CX145" s="865">
        <f t="shared" si="127"/>
        <v>-649.43830394699751</v>
      </c>
      <c r="CY145" s="865">
        <f t="shared" si="127"/>
        <v>-649.43830394699751</v>
      </c>
      <c r="CZ145" s="865">
        <f t="shared" ref="CZ145:DF145" si="128">((CZ$136-$H$4)/1000)*$L$75*(($C$8/70)^$V$75)*IF($C$13=1,$AE$74,IF($C$13=2,$AF$74,IF($C$13=3,$AG$74,1)))</f>
        <v>-649.43830394699751</v>
      </c>
      <c r="DA145" s="865">
        <f t="shared" si="128"/>
        <v>-649.43830394699751</v>
      </c>
      <c r="DB145" s="865">
        <f t="shared" si="128"/>
        <v>-649.43830394699751</v>
      </c>
      <c r="DC145" s="865">
        <f t="shared" si="128"/>
        <v>-649.43830394699751</v>
      </c>
      <c r="DD145" s="865">
        <f t="shared" si="128"/>
        <v>-649.43830394699751</v>
      </c>
      <c r="DE145" s="865">
        <f t="shared" si="128"/>
        <v>-649.43830394699751</v>
      </c>
      <c r="DF145" s="865">
        <f t="shared" si="128"/>
        <v>-649.43830394699751</v>
      </c>
    </row>
    <row r="146" spans="2:110" hidden="1">
      <c r="B146" s="2310" t="s">
        <v>367</v>
      </c>
      <c r="C146" s="2311"/>
      <c r="D146" s="893"/>
      <c r="E146" s="893"/>
      <c r="F146" s="893"/>
      <c r="G146" s="893"/>
      <c r="H146" s="712">
        <f t="shared" ref="H146:AM146" si="129">((H$136-$H$4)/1000)*$M$75*(($C$8/70)^$W$75)*IF($C$13=1,$AE$74,IF($C$13=2,$AF$74,IF($C$13=3,$AG$74,1)))</f>
        <v>292.88637</v>
      </c>
      <c r="I146" s="712">
        <f t="shared" si="129"/>
        <v>390.51515999999998</v>
      </c>
      <c r="J146" s="712">
        <f t="shared" si="129"/>
        <v>488.14394999999996</v>
      </c>
      <c r="K146" s="712">
        <f t="shared" si="129"/>
        <v>585.77274</v>
      </c>
      <c r="L146" s="712">
        <f t="shared" si="129"/>
        <v>683.40152999999987</v>
      </c>
      <c r="M146" s="712">
        <f t="shared" si="129"/>
        <v>781.03031999999996</v>
      </c>
      <c r="N146" s="712">
        <f t="shared" si="129"/>
        <v>878.65910999999994</v>
      </c>
      <c r="O146" s="712">
        <f t="shared" si="129"/>
        <v>976.28789999999992</v>
      </c>
      <c r="P146" s="712">
        <f t="shared" si="129"/>
        <v>1073.91669</v>
      </c>
      <c r="Q146" s="712">
        <f t="shared" si="129"/>
        <v>1171.54548</v>
      </c>
      <c r="R146" s="712">
        <f t="shared" si="129"/>
        <v>1269.17427</v>
      </c>
      <c r="S146" s="712">
        <f t="shared" si="129"/>
        <v>1366.8030599999997</v>
      </c>
      <c r="T146" s="712">
        <f t="shared" si="129"/>
        <v>1464.4318499999999</v>
      </c>
      <c r="U146" s="712">
        <f t="shared" si="129"/>
        <v>1562.0606399999999</v>
      </c>
      <c r="V146" s="712">
        <f t="shared" si="129"/>
        <v>1659.6894299999999</v>
      </c>
      <c r="W146" s="712">
        <f t="shared" si="129"/>
        <v>1757.3182199999999</v>
      </c>
      <c r="X146" s="712">
        <f t="shared" si="129"/>
        <v>1854.9470099999999</v>
      </c>
      <c r="Y146" s="712">
        <f t="shared" si="129"/>
        <v>1952.5757999999998</v>
      </c>
      <c r="Z146" s="712">
        <f t="shared" si="129"/>
        <v>2050.2045899999998</v>
      </c>
      <c r="AA146" s="712">
        <f t="shared" si="129"/>
        <v>2147.83338</v>
      </c>
      <c r="AB146" s="712">
        <f t="shared" si="129"/>
        <v>2245.4621699999998</v>
      </c>
      <c r="AC146" s="712">
        <f t="shared" si="129"/>
        <v>2343.09096</v>
      </c>
      <c r="AD146" s="712">
        <f t="shared" si="129"/>
        <v>2440.7197499999997</v>
      </c>
      <c r="AE146" s="712">
        <f t="shared" si="129"/>
        <v>2538.34854</v>
      </c>
      <c r="AF146" s="712">
        <f t="shared" si="129"/>
        <v>2635.9773300000002</v>
      </c>
      <c r="AG146" s="712">
        <f t="shared" si="129"/>
        <v>2733.6061199999995</v>
      </c>
      <c r="AH146" s="712">
        <f t="shared" si="129"/>
        <v>2831.2349100000001</v>
      </c>
      <c r="AI146" s="712">
        <f t="shared" si="129"/>
        <v>2928.8636999999999</v>
      </c>
      <c r="AJ146" s="712">
        <f t="shared" si="129"/>
        <v>3026.4924900000001</v>
      </c>
      <c r="AK146" s="712">
        <f t="shared" si="129"/>
        <v>3124.1212799999998</v>
      </c>
      <c r="AL146" s="712">
        <f t="shared" si="129"/>
        <v>3221.7500700000001</v>
      </c>
      <c r="AM146" s="712">
        <f t="shared" si="129"/>
        <v>3319.3788599999998</v>
      </c>
      <c r="AN146" s="712">
        <f t="shared" ref="AN146:BS146" si="130">((AN$136-$H$4)/1000)*$M$75*(($C$8/70)^$W$75)*IF($C$13=1,$AE$74,IF($C$13=2,$AF$74,IF($C$13=3,$AG$74,1)))</f>
        <v>3417.00765</v>
      </c>
      <c r="AO146" s="712">
        <f t="shared" si="130"/>
        <v>3514.6364399999998</v>
      </c>
      <c r="AP146" s="712">
        <f t="shared" si="130"/>
        <v>3612.26523</v>
      </c>
      <c r="AQ146" s="712">
        <f t="shared" si="130"/>
        <v>3709.8940199999997</v>
      </c>
      <c r="AR146" s="712">
        <f t="shared" si="130"/>
        <v>3807.5228099999999</v>
      </c>
      <c r="AS146" s="712">
        <f t="shared" si="130"/>
        <v>3905.1515999999997</v>
      </c>
      <c r="AT146" s="712">
        <f t="shared" si="130"/>
        <v>4002.7803899999994</v>
      </c>
      <c r="AU146" s="712">
        <f t="shared" si="130"/>
        <v>4100.4091799999997</v>
      </c>
      <c r="AV146" s="712">
        <f t="shared" si="130"/>
        <v>4198.0379699999994</v>
      </c>
      <c r="AW146" s="712">
        <f t="shared" si="130"/>
        <v>4295.6667600000001</v>
      </c>
      <c r="AX146" s="712">
        <f t="shared" si="130"/>
        <v>4393.2955499999998</v>
      </c>
      <c r="AY146" s="712">
        <f t="shared" si="130"/>
        <v>4490.9243399999996</v>
      </c>
      <c r="AZ146" s="712">
        <f t="shared" si="130"/>
        <v>4588.5531299999993</v>
      </c>
      <c r="BA146" s="712">
        <f t="shared" si="130"/>
        <v>4686.18192</v>
      </c>
      <c r="BB146" s="712">
        <f t="shared" si="130"/>
        <v>4783.8107099999997</v>
      </c>
      <c r="BC146" s="712">
        <f t="shared" si="130"/>
        <v>4881.4394999999995</v>
      </c>
      <c r="BD146" s="712">
        <f t="shared" si="130"/>
        <v>4979.0682899999993</v>
      </c>
      <c r="BE146" s="712">
        <f t="shared" si="130"/>
        <v>5076.6970799999999</v>
      </c>
      <c r="BF146" s="712">
        <f t="shared" si="130"/>
        <v>5174.3258699999997</v>
      </c>
      <c r="BG146" s="865">
        <f t="shared" si="130"/>
        <v>-683.40152999999987</v>
      </c>
      <c r="BH146" s="865">
        <f t="shared" si="130"/>
        <v>-683.40152999999987</v>
      </c>
      <c r="BI146" s="865">
        <f t="shared" si="130"/>
        <v>-683.40152999999987</v>
      </c>
      <c r="BJ146" s="865">
        <f t="shared" si="130"/>
        <v>-683.40152999999987</v>
      </c>
      <c r="BK146" s="865">
        <f t="shared" si="130"/>
        <v>-683.40152999999987</v>
      </c>
      <c r="BL146" s="865">
        <f t="shared" si="130"/>
        <v>-683.40152999999987</v>
      </c>
      <c r="BM146" s="865">
        <f t="shared" si="130"/>
        <v>-683.40152999999987</v>
      </c>
      <c r="BN146" s="865">
        <f t="shared" si="130"/>
        <v>-683.40152999999987</v>
      </c>
      <c r="BO146" s="865">
        <f t="shared" si="130"/>
        <v>-683.40152999999987</v>
      </c>
      <c r="BP146" s="865">
        <f t="shared" si="130"/>
        <v>-683.40152999999987</v>
      </c>
      <c r="BQ146" s="865">
        <f t="shared" si="130"/>
        <v>-683.40152999999987</v>
      </c>
      <c r="BR146" s="865">
        <f t="shared" si="130"/>
        <v>-683.40152999999987</v>
      </c>
      <c r="BS146" s="865">
        <f t="shared" si="130"/>
        <v>-683.40152999999987</v>
      </c>
      <c r="BT146" s="865">
        <f t="shared" ref="BT146:CY146" si="131">((BT$136-$H$4)/1000)*$M$75*(($C$8/70)^$W$75)*IF($C$13=1,$AE$74,IF($C$13=2,$AF$74,IF($C$13=3,$AG$74,1)))</f>
        <v>-683.40152999999987</v>
      </c>
      <c r="BU146" s="865">
        <f t="shared" si="131"/>
        <v>-683.40152999999987</v>
      </c>
      <c r="BV146" s="865">
        <f t="shared" si="131"/>
        <v>-683.40152999999987</v>
      </c>
      <c r="BW146" s="865">
        <f t="shared" si="131"/>
        <v>-683.40152999999987</v>
      </c>
      <c r="BX146" s="865">
        <f t="shared" si="131"/>
        <v>-683.40152999999987</v>
      </c>
      <c r="BY146" s="865">
        <f t="shared" si="131"/>
        <v>-683.40152999999987</v>
      </c>
      <c r="BZ146" s="865">
        <f t="shared" si="131"/>
        <v>-683.40152999999987</v>
      </c>
      <c r="CA146" s="865">
        <f t="shared" si="131"/>
        <v>-683.40152999999987</v>
      </c>
      <c r="CB146" s="865">
        <f t="shared" si="131"/>
        <v>-683.40152999999987</v>
      </c>
      <c r="CC146" s="865">
        <f t="shared" si="131"/>
        <v>-683.40152999999987</v>
      </c>
      <c r="CD146" s="865">
        <f t="shared" si="131"/>
        <v>-683.40152999999987</v>
      </c>
      <c r="CE146" s="865">
        <f t="shared" si="131"/>
        <v>-683.40152999999987</v>
      </c>
      <c r="CF146" s="865">
        <f t="shared" si="131"/>
        <v>-683.40152999999987</v>
      </c>
      <c r="CG146" s="865">
        <f t="shared" si="131"/>
        <v>-683.40152999999987</v>
      </c>
      <c r="CH146" s="865">
        <f t="shared" si="131"/>
        <v>-683.40152999999987</v>
      </c>
      <c r="CI146" s="865">
        <f t="shared" si="131"/>
        <v>-683.40152999999987</v>
      </c>
      <c r="CJ146" s="865">
        <f t="shared" si="131"/>
        <v>-683.40152999999987</v>
      </c>
      <c r="CK146" s="865">
        <f t="shared" si="131"/>
        <v>-683.40152999999987</v>
      </c>
      <c r="CL146" s="865">
        <f t="shared" si="131"/>
        <v>-683.40152999999987</v>
      </c>
      <c r="CM146" s="865">
        <f t="shared" si="131"/>
        <v>-683.40152999999987</v>
      </c>
      <c r="CN146" s="865">
        <f t="shared" si="131"/>
        <v>-683.40152999999987</v>
      </c>
      <c r="CO146" s="865">
        <f t="shared" si="131"/>
        <v>-683.40152999999987</v>
      </c>
      <c r="CP146" s="865">
        <f t="shared" si="131"/>
        <v>-683.40152999999987</v>
      </c>
      <c r="CQ146" s="865">
        <f t="shared" si="131"/>
        <v>-683.40152999999987</v>
      </c>
      <c r="CR146" s="865">
        <f t="shared" si="131"/>
        <v>-683.40152999999987</v>
      </c>
      <c r="CS146" s="865">
        <f t="shared" si="131"/>
        <v>-683.40152999999987</v>
      </c>
      <c r="CT146" s="865">
        <f t="shared" si="131"/>
        <v>-683.40152999999987</v>
      </c>
      <c r="CU146" s="865">
        <f t="shared" si="131"/>
        <v>-683.40152999999987</v>
      </c>
      <c r="CV146" s="865">
        <f t="shared" si="131"/>
        <v>-683.40152999999987</v>
      </c>
      <c r="CW146" s="865">
        <f t="shared" si="131"/>
        <v>-683.40152999999987</v>
      </c>
      <c r="CX146" s="865">
        <f t="shared" si="131"/>
        <v>-683.40152999999987</v>
      </c>
      <c r="CY146" s="865">
        <f t="shared" si="131"/>
        <v>-683.40152999999987</v>
      </c>
      <c r="CZ146" s="865">
        <f t="shared" ref="CZ146:DF146" si="132">((CZ$136-$H$4)/1000)*$M$75*(($C$8/70)^$W$75)*IF($C$13=1,$AE$74,IF($C$13=2,$AF$74,IF($C$13=3,$AG$74,1)))</f>
        <v>-683.40152999999987</v>
      </c>
      <c r="DA146" s="865">
        <f t="shared" si="132"/>
        <v>-683.40152999999987</v>
      </c>
      <c r="DB146" s="865">
        <f t="shared" si="132"/>
        <v>-683.40152999999987</v>
      </c>
      <c r="DC146" s="865">
        <f t="shared" si="132"/>
        <v>-683.40152999999987</v>
      </c>
      <c r="DD146" s="865">
        <f t="shared" si="132"/>
        <v>-683.40152999999987</v>
      </c>
      <c r="DE146" s="865">
        <f t="shared" si="132"/>
        <v>-683.40152999999987</v>
      </c>
      <c r="DF146" s="865">
        <f t="shared" si="132"/>
        <v>-683.40152999999987</v>
      </c>
    </row>
    <row r="147" spans="2:110" hidden="1">
      <c r="B147" s="2310" t="s">
        <v>368</v>
      </c>
      <c r="C147" s="2311"/>
      <c r="D147" s="893"/>
      <c r="E147" s="893"/>
      <c r="F147" s="893"/>
      <c r="G147" s="893"/>
      <c r="H147" s="712">
        <f t="shared" ref="H147:AM147" si="133">((H$136-$H$4)/1000)*$N$75*(($C$8/70)^$X$75)*IF($C$13=1,$AE$74,IF($C$13=2,$AF$74,IF($C$13=3,$AG$74,1)))</f>
        <v>323.81225999999998</v>
      </c>
      <c r="I147" s="712">
        <f t="shared" si="133"/>
        <v>431.74968000000001</v>
      </c>
      <c r="J147" s="712">
        <f t="shared" si="133"/>
        <v>539.68709999999999</v>
      </c>
      <c r="K147" s="712">
        <f t="shared" si="133"/>
        <v>647.62451999999996</v>
      </c>
      <c r="L147" s="712">
        <f t="shared" si="133"/>
        <v>755.56193999999982</v>
      </c>
      <c r="M147" s="712">
        <f t="shared" si="133"/>
        <v>863.49936000000002</v>
      </c>
      <c r="N147" s="712">
        <f t="shared" si="133"/>
        <v>971.43677999999989</v>
      </c>
      <c r="O147" s="712">
        <f t="shared" si="133"/>
        <v>1079.3742</v>
      </c>
      <c r="P147" s="712">
        <f t="shared" si="133"/>
        <v>1187.3116199999999</v>
      </c>
      <c r="Q147" s="712">
        <f t="shared" si="133"/>
        <v>1295.2490399999999</v>
      </c>
      <c r="R147" s="712">
        <f t="shared" si="133"/>
        <v>1403.1864599999999</v>
      </c>
      <c r="S147" s="712">
        <f t="shared" si="133"/>
        <v>1511.1238799999996</v>
      </c>
      <c r="T147" s="712">
        <f t="shared" si="133"/>
        <v>1619.0612999999998</v>
      </c>
      <c r="U147" s="712">
        <f t="shared" si="133"/>
        <v>1726.99872</v>
      </c>
      <c r="V147" s="712">
        <f t="shared" si="133"/>
        <v>1834.9361399999998</v>
      </c>
      <c r="W147" s="712">
        <f t="shared" si="133"/>
        <v>1942.8735599999998</v>
      </c>
      <c r="X147" s="712">
        <f t="shared" si="133"/>
        <v>2050.8109799999997</v>
      </c>
      <c r="Y147" s="712">
        <f t="shared" si="133"/>
        <v>2158.7483999999999</v>
      </c>
      <c r="Z147" s="712">
        <f t="shared" si="133"/>
        <v>2266.6858199999997</v>
      </c>
      <c r="AA147" s="712">
        <f t="shared" si="133"/>
        <v>2374.6232399999999</v>
      </c>
      <c r="AB147" s="712">
        <f t="shared" si="133"/>
        <v>2482.5606599999996</v>
      </c>
      <c r="AC147" s="712">
        <f t="shared" si="133"/>
        <v>2590.4980799999998</v>
      </c>
      <c r="AD147" s="712">
        <f t="shared" si="133"/>
        <v>2698.4355</v>
      </c>
      <c r="AE147" s="712">
        <f t="shared" si="133"/>
        <v>2806.3729199999998</v>
      </c>
      <c r="AF147" s="712">
        <f t="shared" si="133"/>
        <v>2914.31034</v>
      </c>
      <c r="AG147" s="712">
        <f t="shared" si="133"/>
        <v>3022.2477599999993</v>
      </c>
      <c r="AH147" s="712">
        <f t="shared" si="133"/>
        <v>3130.1851799999995</v>
      </c>
      <c r="AI147" s="712">
        <f t="shared" si="133"/>
        <v>3238.1225999999997</v>
      </c>
      <c r="AJ147" s="712">
        <f t="shared" si="133"/>
        <v>3346.0600199999999</v>
      </c>
      <c r="AK147" s="712">
        <f t="shared" si="133"/>
        <v>3453.9974400000001</v>
      </c>
      <c r="AL147" s="712">
        <f t="shared" si="133"/>
        <v>3561.9348599999994</v>
      </c>
      <c r="AM147" s="712">
        <f t="shared" si="133"/>
        <v>3669.8722799999996</v>
      </c>
      <c r="AN147" s="712">
        <f t="shared" ref="AN147:BS147" si="134">((AN$136-$H$4)/1000)*$N$75*(($C$8/70)^$X$75)*IF($C$13=1,$AE$74,IF($C$13=2,$AF$74,IF($C$13=3,$AG$74,1)))</f>
        <v>3777.8096999999998</v>
      </c>
      <c r="AO147" s="712">
        <f t="shared" si="134"/>
        <v>3885.7471199999995</v>
      </c>
      <c r="AP147" s="712">
        <f t="shared" si="134"/>
        <v>3993.6845399999997</v>
      </c>
      <c r="AQ147" s="712">
        <f t="shared" si="134"/>
        <v>4101.6219599999995</v>
      </c>
      <c r="AR147" s="712">
        <f t="shared" si="134"/>
        <v>4209.5593799999997</v>
      </c>
      <c r="AS147" s="712">
        <f t="shared" si="134"/>
        <v>4317.4967999999999</v>
      </c>
      <c r="AT147" s="712">
        <f t="shared" si="134"/>
        <v>4425.4342199999992</v>
      </c>
      <c r="AU147" s="712">
        <f t="shared" si="134"/>
        <v>4533.3716399999994</v>
      </c>
      <c r="AV147" s="712">
        <f t="shared" si="134"/>
        <v>4641.3090599999996</v>
      </c>
      <c r="AW147" s="712">
        <f t="shared" si="134"/>
        <v>4749.2464799999998</v>
      </c>
      <c r="AX147" s="712">
        <f t="shared" si="134"/>
        <v>4857.1839</v>
      </c>
      <c r="AY147" s="712">
        <f t="shared" si="134"/>
        <v>4965.1213199999993</v>
      </c>
      <c r="AZ147" s="712">
        <f t="shared" si="134"/>
        <v>5073.0587399999995</v>
      </c>
      <c r="BA147" s="712">
        <f t="shared" si="134"/>
        <v>5180.9961599999997</v>
      </c>
      <c r="BB147" s="712">
        <f t="shared" si="134"/>
        <v>5288.9335799999999</v>
      </c>
      <c r="BC147" s="712">
        <f t="shared" si="134"/>
        <v>5396.8710000000001</v>
      </c>
      <c r="BD147" s="712">
        <f t="shared" si="134"/>
        <v>5504.8084199999985</v>
      </c>
      <c r="BE147" s="712">
        <f t="shared" si="134"/>
        <v>5612.7458399999996</v>
      </c>
      <c r="BF147" s="712">
        <f t="shared" si="134"/>
        <v>5720.6832599999998</v>
      </c>
      <c r="BG147" s="865">
        <f t="shared" si="134"/>
        <v>-755.56193999999982</v>
      </c>
      <c r="BH147" s="865">
        <f t="shared" si="134"/>
        <v>-755.56193999999982</v>
      </c>
      <c r="BI147" s="865">
        <f t="shared" si="134"/>
        <v>-755.56193999999982</v>
      </c>
      <c r="BJ147" s="865">
        <f t="shared" si="134"/>
        <v>-755.56193999999982</v>
      </c>
      <c r="BK147" s="865">
        <f t="shared" si="134"/>
        <v>-755.56193999999982</v>
      </c>
      <c r="BL147" s="865">
        <f t="shared" si="134"/>
        <v>-755.56193999999982</v>
      </c>
      <c r="BM147" s="865">
        <f t="shared" si="134"/>
        <v>-755.56193999999982</v>
      </c>
      <c r="BN147" s="865">
        <f t="shared" si="134"/>
        <v>-755.56193999999982</v>
      </c>
      <c r="BO147" s="865">
        <f t="shared" si="134"/>
        <v>-755.56193999999982</v>
      </c>
      <c r="BP147" s="865">
        <f t="shared" si="134"/>
        <v>-755.56193999999982</v>
      </c>
      <c r="BQ147" s="865">
        <f t="shared" si="134"/>
        <v>-755.56193999999982</v>
      </c>
      <c r="BR147" s="865">
        <f t="shared" si="134"/>
        <v>-755.56193999999982</v>
      </c>
      <c r="BS147" s="865">
        <f t="shared" si="134"/>
        <v>-755.56193999999982</v>
      </c>
      <c r="BT147" s="865">
        <f t="shared" ref="BT147:CY147" si="135">((BT$136-$H$4)/1000)*$N$75*(($C$8/70)^$X$75)*IF($C$13=1,$AE$74,IF($C$13=2,$AF$74,IF($C$13=3,$AG$74,1)))</f>
        <v>-755.56193999999982</v>
      </c>
      <c r="BU147" s="865">
        <f t="shared" si="135"/>
        <v>-755.56193999999982</v>
      </c>
      <c r="BV147" s="865">
        <f t="shared" si="135"/>
        <v>-755.56193999999982</v>
      </c>
      <c r="BW147" s="865">
        <f t="shared" si="135"/>
        <v>-755.56193999999982</v>
      </c>
      <c r="BX147" s="865">
        <f t="shared" si="135"/>
        <v>-755.56193999999982</v>
      </c>
      <c r="BY147" s="865">
        <f t="shared" si="135"/>
        <v>-755.56193999999982</v>
      </c>
      <c r="BZ147" s="865">
        <f t="shared" si="135"/>
        <v>-755.56193999999982</v>
      </c>
      <c r="CA147" s="865">
        <f t="shared" si="135"/>
        <v>-755.56193999999982</v>
      </c>
      <c r="CB147" s="865">
        <f t="shared" si="135"/>
        <v>-755.56193999999982</v>
      </c>
      <c r="CC147" s="865">
        <f t="shared" si="135"/>
        <v>-755.56193999999982</v>
      </c>
      <c r="CD147" s="865">
        <f t="shared" si="135"/>
        <v>-755.56193999999982</v>
      </c>
      <c r="CE147" s="865">
        <f t="shared" si="135"/>
        <v>-755.56193999999982</v>
      </c>
      <c r="CF147" s="865">
        <f t="shared" si="135"/>
        <v>-755.56193999999982</v>
      </c>
      <c r="CG147" s="865">
        <f t="shared" si="135"/>
        <v>-755.56193999999982</v>
      </c>
      <c r="CH147" s="865">
        <f t="shared" si="135"/>
        <v>-755.56193999999982</v>
      </c>
      <c r="CI147" s="865">
        <f t="shared" si="135"/>
        <v>-755.56193999999982</v>
      </c>
      <c r="CJ147" s="865">
        <f t="shared" si="135"/>
        <v>-755.56193999999982</v>
      </c>
      <c r="CK147" s="865">
        <f t="shared" si="135"/>
        <v>-755.56193999999982</v>
      </c>
      <c r="CL147" s="865">
        <f t="shared" si="135"/>
        <v>-755.56193999999982</v>
      </c>
      <c r="CM147" s="865">
        <f t="shared" si="135"/>
        <v>-755.56193999999982</v>
      </c>
      <c r="CN147" s="865">
        <f t="shared" si="135"/>
        <v>-755.56193999999982</v>
      </c>
      <c r="CO147" s="865">
        <f t="shared" si="135"/>
        <v>-755.56193999999982</v>
      </c>
      <c r="CP147" s="865">
        <f t="shared" si="135"/>
        <v>-755.56193999999982</v>
      </c>
      <c r="CQ147" s="865">
        <f t="shared" si="135"/>
        <v>-755.56193999999982</v>
      </c>
      <c r="CR147" s="865">
        <f t="shared" si="135"/>
        <v>-755.56193999999982</v>
      </c>
      <c r="CS147" s="865">
        <f t="shared" si="135"/>
        <v>-755.56193999999982</v>
      </c>
      <c r="CT147" s="865">
        <f t="shared" si="135"/>
        <v>-755.56193999999982</v>
      </c>
      <c r="CU147" s="865">
        <f t="shared" si="135"/>
        <v>-755.56193999999982</v>
      </c>
      <c r="CV147" s="865">
        <f t="shared" si="135"/>
        <v>-755.56193999999982</v>
      </c>
      <c r="CW147" s="865">
        <f t="shared" si="135"/>
        <v>-755.56193999999982</v>
      </c>
      <c r="CX147" s="865">
        <f t="shared" si="135"/>
        <v>-755.56193999999982</v>
      </c>
      <c r="CY147" s="865">
        <f t="shared" si="135"/>
        <v>-755.56193999999982</v>
      </c>
      <c r="CZ147" s="865">
        <f t="shared" ref="CZ147:DF147" si="136">((CZ$136-$H$4)/1000)*$N$75*(($C$8/70)^$X$75)*IF($C$13=1,$AE$74,IF($C$13=2,$AF$74,IF($C$13=3,$AG$74,1)))</f>
        <v>-755.56193999999982</v>
      </c>
      <c r="DA147" s="865">
        <f t="shared" si="136"/>
        <v>-755.56193999999982</v>
      </c>
      <c r="DB147" s="865">
        <f t="shared" si="136"/>
        <v>-755.56193999999982</v>
      </c>
      <c r="DC147" s="865">
        <f t="shared" si="136"/>
        <v>-755.56193999999982</v>
      </c>
      <c r="DD147" s="865">
        <f t="shared" si="136"/>
        <v>-755.56193999999982</v>
      </c>
      <c r="DE147" s="865">
        <f t="shared" si="136"/>
        <v>-755.56193999999982</v>
      </c>
      <c r="DF147" s="865">
        <f t="shared" si="136"/>
        <v>-755.56193999999982</v>
      </c>
    </row>
    <row r="148" spans="2:110" ht="15.75" hidden="1" thickBot="1">
      <c r="B148" s="2312" t="s">
        <v>369</v>
      </c>
      <c r="C148" s="2313"/>
      <c r="D148" s="894"/>
      <c r="E148" s="894"/>
      <c r="F148" s="894"/>
      <c r="G148" s="894"/>
      <c r="H148" s="679">
        <f t="shared" ref="H148:AM148" si="137">((H$136-$H$4)/1000)*$P$75*(($C$8/70)^$Z$75)*IF($C$13=1,$AE$74,IF($C$13=2,$AF$74,IF($C$13=3,$AG$74,1)))</f>
        <v>520.47841216323661</v>
      </c>
      <c r="I148" s="679">
        <f t="shared" si="137"/>
        <v>693.97121621764893</v>
      </c>
      <c r="J148" s="679">
        <f t="shared" si="137"/>
        <v>867.46402027206102</v>
      </c>
      <c r="K148" s="679">
        <f t="shared" si="137"/>
        <v>1040.9568243264732</v>
      </c>
      <c r="L148" s="679">
        <f t="shared" si="137"/>
        <v>1214.4496283808853</v>
      </c>
      <c r="M148" s="679">
        <f t="shared" si="137"/>
        <v>1387.9424324352979</v>
      </c>
      <c r="N148" s="679">
        <f t="shared" si="137"/>
        <v>1561.4352364897097</v>
      </c>
      <c r="O148" s="679">
        <f t="shared" si="137"/>
        <v>1734.928040544122</v>
      </c>
      <c r="P148" s="679">
        <f t="shared" si="137"/>
        <v>1908.4208445985344</v>
      </c>
      <c r="Q148" s="679">
        <f t="shared" si="137"/>
        <v>2081.9136486529464</v>
      </c>
      <c r="R148" s="679">
        <f t="shared" si="137"/>
        <v>2255.4064527073588</v>
      </c>
      <c r="S148" s="679">
        <f t="shared" si="137"/>
        <v>2428.8992567617706</v>
      </c>
      <c r="T148" s="679">
        <f t="shared" si="137"/>
        <v>2602.3920608161829</v>
      </c>
      <c r="U148" s="679">
        <f t="shared" si="137"/>
        <v>2775.8848648705957</v>
      </c>
      <c r="V148" s="679">
        <f t="shared" si="137"/>
        <v>2949.3776689250076</v>
      </c>
      <c r="W148" s="679">
        <f t="shared" si="137"/>
        <v>3122.8704729794194</v>
      </c>
      <c r="X148" s="679">
        <f t="shared" si="137"/>
        <v>3296.3632770338313</v>
      </c>
      <c r="Y148" s="679">
        <f t="shared" si="137"/>
        <v>3469.8560810882441</v>
      </c>
      <c r="Z148" s="679">
        <f t="shared" si="137"/>
        <v>3643.3488851426564</v>
      </c>
      <c r="AA148" s="679">
        <f t="shared" si="137"/>
        <v>3816.8416891970687</v>
      </c>
      <c r="AB148" s="679">
        <f t="shared" si="137"/>
        <v>3990.3344932514806</v>
      </c>
      <c r="AC148" s="679">
        <f t="shared" si="137"/>
        <v>4163.8272973058929</v>
      </c>
      <c r="AD148" s="679">
        <f t="shared" si="137"/>
        <v>4337.3201013603048</v>
      </c>
      <c r="AE148" s="679">
        <f t="shared" si="137"/>
        <v>4510.8129054147175</v>
      </c>
      <c r="AF148" s="679">
        <f t="shared" si="137"/>
        <v>4684.3057094691294</v>
      </c>
      <c r="AG148" s="679">
        <f t="shared" si="137"/>
        <v>4857.7985135235413</v>
      </c>
      <c r="AH148" s="679">
        <f t="shared" si="137"/>
        <v>5031.2913175779531</v>
      </c>
      <c r="AI148" s="679">
        <f t="shared" si="137"/>
        <v>5204.7841216323659</v>
      </c>
      <c r="AJ148" s="679">
        <f t="shared" si="137"/>
        <v>5378.2769256867787</v>
      </c>
      <c r="AK148" s="679">
        <f t="shared" si="137"/>
        <v>5551.7697297411914</v>
      </c>
      <c r="AL148" s="679">
        <f t="shared" si="137"/>
        <v>5725.2625337956024</v>
      </c>
      <c r="AM148" s="679">
        <f t="shared" si="137"/>
        <v>5898.7553378500152</v>
      </c>
      <c r="AN148" s="679">
        <f t="shared" ref="AN148:BS148" si="138">((AN$136-$H$4)/1000)*$P$75*(($C$8/70)^$Z$75)*IF($C$13=1,$AE$74,IF($C$13=2,$AF$74,IF($C$13=3,$AG$74,1)))</f>
        <v>6072.2481419044261</v>
      </c>
      <c r="AO148" s="679">
        <f t="shared" si="138"/>
        <v>6245.7409459588389</v>
      </c>
      <c r="AP148" s="679">
        <f t="shared" si="138"/>
        <v>6419.2337500132517</v>
      </c>
      <c r="AQ148" s="679">
        <f t="shared" si="138"/>
        <v>6592.7265540676626</v>
      </c>
      <c r="AR148" s="679">
        <f t="shared" si="138"/>
        <v>6766.2193581220754</v>
      </c>
      <c r="AS148" s="679">
        <f t="shared" si="138"/>
        <v>6939.7121621764882</v>
      </c>
      <c r="AT148" s="679">
        <f t="shared" si="138"/>
        <v>7113.2049662308991</v>
      </c>
      <c r="AU148" s="679">
        <f t="shared" si="138"/>
        <v>7286.6977702853128</v>
      </c>
      <c r="AV148" s="679">
        <f t="shared" si="138"/>
        <v>7460.1905743397247</v>
      </c>
      <c r="AW148" s="679">
        <f t="shared" si="138"/>
        <v>7633.6833783941374</v>
      </c>
      <c r="AX148" s="679">
        <f t="shared" si="138"/>
        <v>7807.1761824485493</v>
      </c>
      <c r="AY148" s="679">
        <f t="shared" si="138"/>
        <v>7980.6689865029612</v>
      </c>
      <c r="AZ148" s="679">
        <f t="shared" si="138"/>
        <v>8154.1617905573739</v>
      </c>
      <c r="BA148" s="679">
        <f t="shared" si="138"/>
        <v>8327.6545946117858</v>
      </c>
      <c r="BB148" s="679">
        <f t="shared" si="138"/>
        <v>8501.1473986661986</v>
      </c>
      <c r="BC148" s="679">
        <f t="shared" si="138"/>
        <v>8674.6402027206095</v>
      </c>
      <c r="BD148" s="679">
        <f t="shared" si="138"/>
        <v>8848.1330067750223</v>
      </c>
      <c r="BE148" s="679">
        <f t="shared" si="138"/>
        <v>9021.6258108294351</v>
      </c>
      <c r="BF148" s="679">
        <f t="shared" si="138"/>
        <v>9195.118614883846</v>
      </c>
      <c r="BG148" s="865">
        <f t="shared" si="138"/>
        <v>-1214.4496283808853</v>
      </c>
      <c r="BH148" s="865">
        <f t="shared" si="138"/>
        <v>-1214.4496283808853</v>
      </c>
      <c r="BI148" s="865">
        <f t="shared" si="138"/>
        <v>-1214.4496283808853</v>
      </c>
      <c r="BJ148" s="865">
        <f t="shared" si="138"/>
        <v>-1214.4496283808853</v>
      </c>
      <c r="BK148" s="865">
        <f t="shared" si="138"/>
        <v>-1214.4496283808853</v>
      </c>
      <c r="BL148" s="865">
        <f t="shared" si="138"/>
        <v>-1214.4496283808853</v>
      </c>
      <c r="BM148" s="865">
        <f t="shared" si="138"/>
        <v>-1214.4496283808853</v>
      </c>
      <c r="BN148" s="865">
        <f t="shared" si="138"/>
        <v>-1214.4496283808853</v>
      </c>
      <c r="BO148" s="865">
        <f t="shared" si="138"/>
        <v>-1214.4496283808853</v>
      </c>
      <c r="BP148" s="865">
        <f t="shared" si="138"/>
        <v>-1214.4496283808853</v>
      </c>
      <c r="BQ148" s="865">
        <f t="shared" si="138"/>
        <v>-1214.4496283808853</v>
      </c>
      <c r="BR148" s="865">
        <f t="shared" si="138"/>
        <v>-1214.4496283808853</v>
      </c>
      <c r="BS148" s="865">
        <f t="shared" si="138"/>
        <v>-1214.4496283808853</v>
      </c>
      <c r="BT148" s="865">
        <f t="shared" ref="BT148:CY148" si="139">((BT$136-$H$4)/1000)*$P$75*(($C$8/70)^$Z$75)*IF($C$13=1,$AE$74,IF($C$13=2,$AF$74,IF($C$13=3,$AG$74,1)))</f>
        <v>-1214.4496283808853</v>
      </c>
      <c r="BU148" s="865">
        <f t="shared" si="139"/>
        <v>-1214.4496283808853</v>
      </c>
      <c r="BV148" s="865">
        <f t="shared" si="139"/>
        <v>-1214.4496283808853</v>
      </c>
      <c r="BW148" s="865">
        <f t="shared" si="139"/>
        <v>-1214.4496283808853</v>
      </c>
      <c r="BX148" s="865">
        <f t="shared" si="139"/>
        <v>-1214.4496283808853</v>
      </c>
      <c r="BY148" s="865">
        <f t="shared" si="139"/>
        <v>-1214.4496283808853</v>
      </c>
      <c r="BZ148" s="865">
        <f t="shared" si="139"/>
        <v>-1214.4496283808853</v>
      </c>
      <c r="CA148" s="865">
        <f t="shared" si="139"/>
        <v>-1214.4496283808853</v>
      </c>
      <c r="CB148" s="865">
        <f t="shared" si="139"/>
        <v>-1214.4496283808853</v>
      </c>
      <c r="CC148" s="865">
        <f t="shared" si="139"/>
        <v>-1214.4496283808853</v>
      </c>
      <c r="CD148" s="865">
        <f t="shared" si="139"/>
        <v>-1214.4496283808853</v>
      </c>
      <c r="CE148" s="865">
        <f t="shared" si="139"/>
        <v>-1214.4496283808853</v>
      </c>
      <c r="CF148" s="865">
        <f t="shared" si="139"/>
        <v>-1214.4496283808853</v>
      </c>
      <c r="CG148" s="865">
        <f t="shared" si="139"/>
        <v>-1214.4496283808853</v>
      </c>
      <c r="CH148" s="865">
        <f t="shared" si="139"/>
        <v>-1214.4496283808853</v>
      </c>
      <c r="CI148" s="865">
        <f t="shared" si="139"/>
        <v>-1214.4496283808853</v>
      </c>
      <c r="CJ148" s="865">
        <f t="shared" si="139"/>
        <v>-1214.4496283808853</v>
      </c>
      <c r="CK148" s="865">
        <f t="shared" si="139"/>
        <v>-1214.4496283808853</v>
      </c>
      <c r="CL148" s="865">
        <f t="shared" si="139"/>
        <v>-1214.4496283808853</v>
      </c>
      <c r="CM148" s="865">
        <f t="shared" si="139"/>
        <v>-1214.4496283808853</v>
      </c>
      <c r="CN148" s="865">
        <f t="shared" si="139"/>
        <v>-1214.4496283808853</v>
      </c>
      <c r="CO148" s="865">
        <f t="shared" si="139"/>
        <v>-1214.4496283808853</v>
      </c>
      <c r="CP148" s="865">
        <f t="shared" si="139"/>
        <v>-1214.4496283808853</v>
      </c>
      <c r="CQ148" s="865">
        <f t="shared" si="139"/>
        <v>-1214.4496283808853</v>
      </c>
      <c r="CR148" s="865">
        <f t="shared" si="139"/>
        <v>-1214.4496283808853</v>
      </c>
      <c r="CS148" s="865">
        <f t="shared" si="139"/>
        <v>-1214.4496283808853</v>
      </c>
      <c r="CT148" s="865">
        <f t="shared" si="139"/>
        <v>-1214.4496283808853</v>
      </c>
      <c r="CU148" s="865">
        <f t="shared" si="139"/>
        <v>-1214.4496283808853</v>
      </c>
      <c r="CV148" s="865">
        <f t="shared" si="139"/>
        <v>-1214.4496283808853</v>
      </c>
      <c r="CW148" s="865">
        <f t="shared" si="139"/>
        <v>-1214.4496283808853</v>
      </c>
      <c r="CX148" s="865">
        <f t="shared" si="139"/>
        <v>-1214.4496283808853</v>
      </c>
      <c r="CY148" s="865">
        <f t="shared" si="139"/>
        <v>-1214.4496283808853</v>
      </c>
      <c r="CZ148" s="865">
        <f t="shared" ref="CZ148:DF148" si="140">((CZ$136-$H$4)/1000)*$P$75*(($C$8/70)^$Z$75)*IF($C$13=1,$AE$74,IF($C$13=2,$AF$74,IF($C$13=3,$AG$74,1)))</f>
        <v>-1214.4496283808853</v>
      </c>
      <c r="DA148" s="865">
        <f t="shared" si="140"/>
        <v>-1214.4496283808853</v>
      </c>
      <c r="DB148" s="865">
        <f t="shared" si="140"/>
        <v>-1214.4496283808853</v>
      </c>
      <c r="DC148" s="865">
        <f t="shared" si="140"/>
        <v>-1214.4496283808853</v>
      </c>
      <c r="DD148" s="865">
        <f t="shared" si="140"/>
        <v>-1214.4496283808853</v>
      </c>
      <c r="DE148" s="865">
        <f t="shared" si="140"/>
        <v>-1214.4496283808853</v>
      </c>
      <c r="DF148" s="865">
        <f t="shared" si="140"/>
        <v>-1214.4496283808853</v>
      </c>
    </row>
    <row r="149" spans="2:110" hidden="1">
      <c r="B149" s="2393" t="s">
        <v>370</v>
      </c>
      <c r="C149" s="2394"/>
      <c r="D149" s="892"/>
      <c r="E149" s="892"/>
      <c r="F149" s="892"/>
      <c r="G149" s="892"/>
      <c r="H149" s="865">
        <f t="shared" ref="H149:AM149" si="141">((H$136-$H$4)/1000)*$K$76*(($C$8/70)^$U$76)*IF($C$13=1,$AE$76,IF($C$13=2,$AF$76,IF($C$13=3,$AG$76,1)))</f>
        <v>209.56985999999995</v>
      </c>
      <c r="I149" s="865">
        <f t="shared" si="141"/>
        <v>279.42647999999991</v>
      </c>
      <c r="J149" s="865">
        <f t="shared" si="141"/>
        <v>349.28309999999993</v>
      </c>
      <c r="K149" s="865">
        <f t="shared" si="141"/>
        <v>419.1397199999999</v>
      </c>
      <c r="L149" s="865">
        <f t="shared" si="141"/>
        <v>488.99633999999986</v>
      </c>
      <c r="M149" s="865">
        <f t="shared" si="141"/>
        <v>558.85295999999983</v>
      </c>
      <c r="N149" s="865">
        <f t="shared" si="141"/>
        <v>628.70957999999985</v>
      </c>
      <c r="O149" s="865">
        <f t="shared" si="141"/>
        <v>698.56619999999987</v>
      </c>
      <c r="P149" s="865">
        <f t="shared" si="141"/>
        <v>768.42281999999989</v>
      </c>
      <c r="Q149" s="865">
        <f t="shared" si="141"/>
        <v>838.27943999999979</v>
      </c>
      <c r="R149" s="865">
        <f t="shared" si="141"/>
        <v>908.13605999999982</v>
      </c>
      <c r="S149" s="865">
        <f t="shared" si="141"/>
        <v>977.99267999999972</v>
      </c>
      <c r="T149" s="865">
        <f t="shared" si="141"/>
        <v>1047.8492999999999</v>
      </c>
      <c r="U149" s="865">
        <f t="shared" si="141"/>
        <v>1117.7059199999997</v>
      </c>
      <c r="V149" s="865">
        <f t="shared" si="141"/>
        <v>1187.5625399999999</v>
      </c>
      <c r="W149" s="865">
        <f t="shared" si="141"/>
        <v>1257.4191599999997</v>
      </c>
      <c r="X149" s="865">
        <f t="shared" si="141"/>
        <v>1327.2757799999995</v>
      </c>
      <c r="Y149" s="865">
        <f t="shared" si="141"/>
        <v>1397.1323999999997</v>
      </c>
      <c r="Z149" s="865">
        <f t="shared" si="141"/>
        <v>1466.9890199999998</v>
      </c>
      <c r="AA149" s="865">
        <f t="shared" si="141"/>
        <v>1536.8456399999998</v>
      </c>
      <c r="AB149" s="865">
        <f t="shared" si="141"/>
        <v>1606.7022599999996</v>
      </c>
      <c r="AC149" s="865">
        <f t="shared" si="141"/>
        <v>1676.5588799999996</v>
      </c>
      <c r="AD149" s="865">
        <f t="shared" si="141"/>
        <v>1746.4154999999996</v>
      </c>
      <c r="AE149" s="865">
        <f t="shared" si="141"/>
        <v>1816.2721199999996</v>
      </c>
      <c r="AF149" s="865">
        <f t="shared" si="141"/>
        <v>1886.1287399999999</v>
      </c>
      <c r="AG149" s="865">
        <f t="shared" si="141"/>
        <v>1955.9853599999994</v>
      </c>
      <c r="AH149" s="865">
        <f t="shared" si="141"/>
        <v>2025.8419799999992</v>
      </c>
      <c r="AI149" s="865">
        <f t="shared" si="141"/>
        <v>2095.6985999999997</v>
      </c>
      <c r="AJ149" s="865">
        <f t="shared" si="141"/>
        <v>2165.5552199999997</v>
      </c>
      <c r="AK149" s="865">
        <f t="shared" si="141"/>
        <v>2235.4118399999993</v>
      </c>
      <c r="AL149" s="865">
        <f t="shared" si="141"/>
        <v>2305.2684599999993</v>
      </c>
      <c r="AM149" s="865">
        <f t="shared" si="141"/>
        <v>2375.1250799999998</v>
      </c>
      <c r="AN149" s="865">
        <f t="shared" ref="AN149:BS149" si="142">((AN$136-$H$4)/1000)*$K$76*(($C$8/70)^$U$76)*IF($C$13=1,$AE$76,IF($C$13=2,$AF$76,IF($C$13=3,$AG$76,1)))</f>
        <v>2444.9816999999994</v>
      </c>
      <c r="AO149" s="865">
        <f t="shared" si="142"/>
        <v>2514.8383199999994</v>
      </c>
      <c r="AP149" s="865">
        <f t="shared" si="142"/>
        <v>2584.6949399999999</v>
      </c>
      <c r="AQ149" s="865">
        <f t="shared" si="142"/>
        <v>2654.551559999999</v>
      </c>
      <c r="AR149" s="865">
        <f t="shared" si="142"/>
        <v>2724.4081799999994</v>
      </c>
      <c r="AS149" s="865">
        <f t="shared" si="142"/>
        <v>2794.2647999999995</v>
      </c>
      <c r="AT149" s="865">
        <f t="shared" si="142"/>
        <v>2864.1214199999995</v>
      </c>
      <c r="AU149" s="865">
        <f t="shared" si="142"/>
        <v>2933.9780399999995</v>
      </c>
      <c r="AV149" s="865">
        <f t="shared" si="142"/>
        <v>3003.8346599999991</v>
      </c>
      <c r="AW149" s="865">
        <f t="shared" si="142"/>
        <v>3073.6912799999996</v>
      </c>
      <c r="AX149" s="865">
        <f t="shared" si="142"/>
        <v>3143.5478999999991</v>
      </c>
      <c r="AY149" s="865">
        <f t="shared" si="142"/>
        <v>3213.4045199999991</v>
      </c>
      <c r="AZ149" s="865">
        <f t="shared" si="142"/>
        <v>3283.2611399999996</v>
      </c>
      <c r="BA149" s="865">
        <f t="shared" si="142"/>
        <v>3353.1177599999992</v>
      </c>
      <c r="BB149" s="865">
        <f t="shared" si="142"/>
        <v>3422.9743799999997</v>
      </c>
      <c r="BC149" s="865">
        <f t="shared" si="142"/>
        <v>3492.8309999999992</v>
      </c>
      <c r="BD149" s="865">
        <f t="shared" si="142"/>
        <v>3562.6876199999992</v>
      </c>
      <c r="BE149" s="865">
        <f t="shared" si="142"/>
        <v>3632.5442399999993</v>
      </c>
      <c r="BF149" s="865">
        <f t="shared" si="142"/>
        <v>3702.4008599999993</v>
      </c>
      <c r="BG149" s="865">
        <f t="shared" si="142"/>
        <v>-488.99633999999986</v>
      </c>
      <c r="BH149" s="865">
        <f t="shared" si="142"/>
        <v>-488.99633999999986</v>
      </c>
      <c r="BI149" s="865">
        <f t="shared" si="142"/>
        <v>-488.99633999999986</v>
      </c>
      <c r="BJ149" s="865">
        <f t="shared" si="142"/>
        <v>-488.99633999999986</v>
      </c>
      <c r="BK149" s="865">
        <f t="shared" si="142"/>
        <v>-488.99633999999986</v>
      </c>
      <c r="BL149" s="865">
        <f t="shared" si="142"/>
        <v>-488.99633999999986</v>
      </c>
      <c r="BM149" s="865">
        <f t="shared" si="142"/>
        <v>-488.99633999999986</v>
      </c>
      <c r="BN149" s="865">
        <f t="shared" si="142"/>
        <v>-488.99633999999986</v>
      </c>
      <c r="BO149" s="865">
        <f t="shared" si="142"/>
        <v>-488.99633999999986</v>
      </c>
      <c r="BP149" s="865">
        <f t="shared" si="142"/>
        <v>-488.99633999999986</v>
      </c>
      <c r="BQ149" s="865">
        <f t="shared" si="142"/>
        <v>-488.99633999999986</v>
      </c>
      <c r="BR149" s="865">
        <f t="shared" si="142"/>
        <v>-488.99633999999986</v>
      </c>
      <c r="BS149" s="865">
        <f t="shared" si="142"/>
        <v>-488.99633999999986</v>
      </c>
      <c r="BT149" s="865">
        <f t="shared" ref="BT149:CY149" si="143">((BT$136-$H$4)/1000)*$K$76*(($C$8/70)^$U$76)*IF($C$13=1,$AE$76,IF($C$13=2,$AF$76,IF($C$13=3,$AG$76,1)))</f>
        <v>-488.99633999999986</v>
      </c>
      <c r="BU149" s="865">
        <f t="shared" si="143"/>
        <v>-488.99633999999986</v>
      </c>
      <c r="BV149" s="865">
        <f t="shared" si="143"/>
        <v>-488.99633999999986</v>
      </c>
      <c r="BW149" s="865">
        <f t="shared" si="143"/>
        <v>-488.99633999999986</v>
      </c>
      <c r="BX149" s="865">
        <f t="shared" si="143"/>
        <v>-488.99633999999986</v>
      </c>
      <c r="BY149" s="865">
        <f t="shared" si="143"/>
        <v>-488.99633999999986</v>
      </c>
      <c r="BZ149" s="865">
        <f t="shared" si="143"/>
        <v>-488.99633999999986</v>
      </c>
      <c r="CA149" s="865">
        <f t="shared" si="143"/>
        <v>-488.99633999999986</v>
      </c>
      <c r="CB149" s="865">
        <f t="shared" si="143"/>
        <v>-488.99633999999986</v>
      </c>
      <c r="CC149" s="865">
        <f t="shared" si="143"/>
        <v>-488.99633999999986</v>
      </c>
      <c r="CD149" s="865">
        <f t="shared" si="143"/>
        <v>-488.99633999999986</v>
      </c>
      <c r="CE149" s="865">
        <f t="shared" si="143"/>
        <v>-488.99633999999986</v>
      </c>
      <c r="CF149" s="865">
        <f t="shared" si="143"/>
        <v>-488.99633999999986</v>
      </c>
      <c r="CG149" s="865">
        <f t="shared" si="143"/>
        <v>-488.99633999999986</v>
      </c>
      <c r="CH149" s="865">
        <f t="shared" si="143"/>
        <v>-488.99633999999986</v>
      </c>
      <c r="CI149" s="865">
        <f t="shared" si="143"/>
        <v>-488.99633999999986</v>
      </c>
      <c r="CJ149" s="865">
        <f t="shared" si="143"/>
        <v>-488.99633999999986</v>
      </c>
      <c r="CK149" s="865">
        <f t="shared" si="143"/>
        <v>-488.99633999999986</v>
      </c>
      <c r="CL149" s="865">
        <f t="shared" si="143"/>
        <v>-488.99633999999986</v>
      </c>
      <c r="CM149" s="865">
        <f t="shared" si="143"/>
        <v>-488.99633999999986</v>
      </c>
      <c r="CN149" s="865">
        <f t="shared" si="143"/>
        <v>-488.99633999999986</v>
      </c>
      <c r="CO149" s="865">
        <f t="shared" si="143"/>
        <v>-488.99633999999986</v>
      </c>
      <c r="CP149" s="865">
        <f t="shared" si="143"/>
        <v>-488.99633999999986</v>
      </c>
      <c r="CQ149" s="865">
        <f t="shared" si="143"/>
        <v>-488.99633999999986</v>
      </c>
      <c r="CR149" s="865">
        <f t="shared" si="143"/>
        <v>-488.99633999999986</v>
      </c>
      <c r="CS149" s="865">
        <f t="shared" si="143"/>
        <v>-488.99633999999986</v>
      </c>
      <c r="CT149" s="865">
        <f t="shared" si="143"/>
        <v>-488.99633999999986</v>
      </c>
      <c r="CU149" s="865">
        <f t="shared" si="143"/>
        <v>-488.99633999999986</v>
      </c>
      <c r="CV149" s="865">
        <f t="shared" si="143"/>
        <v>-488.99633999999986</v>
      </c>
      <c r="CW149" s="865">
        <f t="shared" si="143"/>
        <v>-488.99633999999986</v>
      </c>
      <c r="CX149" s="865">
        <f t="shared" si="143"/>
        <v>-488.99633999999986</v>
      </c>
      <c r="CY149" s="865">
        <f t="shared" si="143"/>
        <v>-488.99633999999986</v>
      </c>
      <c r="CZ149" s="865">
        <f t="shared" ref="CZ149:DF149" si="144">((CZ$136-$H$4)/1000)*$K$76*(($C$8/70)^$U$76)*IF($C$13=1,$AE$76,IF($C$13=2,$AF$76,IF($C$13=3,$AG$76,1)))</f>
        <v>-488.99633999999986</v>
      </c>
      <c r="DA149" s="865">
        <f t="shared" si="144"/>
        <v>-488.99633999999986</v>
      </c>
      <c r="DB149" s="865">
        <f t="shared" si="144"/>
        <v>-488.99633999999986</v>
      </c>
      <c r="DC149" s="865">
        <f t="shared" si="144"/>
        <v>-488.99633999999986</v>
      </c>
      <c r="DD149" s="865">
        <f t="shared" si="144"/>
        <v>-488.99633999999986</v>
      </c>
      <c r="DE149" s="865">
        <f t="shared" si="144"/>
        <v>-488.99633999999986</v>
      </c>
      <c r="DF149" s="865">
        <f t="shared" si="144"/>
        <v>-488.99633999999986</v>
      </c>
    </row>
    <row r="150" spans="2:110" hidden="1">
      <c r="B150" s="2310" t="s">
        <v>371</v>
      </c>
      <c r="C150" s="2311"/>
      <c r="D150" s="893"/>
      <c r="E150" s="893"/>
      <c r="F150" s="893"/>
      <c r="G150" s="893"/>
      <c r="H150" s="712">
        <f t="shared" ref="H150:AM150" si="145">((H$136-$H$4)/1000)*$L$76*(($C$8/70)^$V$76)*IF($C$13=1,$AE$77,IF($C$13=2,$AF$77,IF($C$13=3,$AG$77,1)))</f>
        <v>247.95914400000001</v>
      </c>
      <c r="I150" s="712">
        <f t="shared" si="145"/>
        <v>330.61219200000005</v>
      </c>
      <c r="J150" s="712">
        <f t="shared" si="145"/>
        <v>413.26524000000001</v>
      </c>
      <c r="K150" s="712">
        <f t="shared" si="145"/>
        <v>495.91828800000002</v>
      </c>
      <c r="L150" s="712">
        <f t="shared" si="145"/>
        <v>578.57133599999997</v>
      </c>
      <c r="M150" s="712">
        <f t="shared" si="145"/>
        <v>661.2243840000001</v>
      </c>
      <c r="N150" s="712">
        <f t="shared" si="145"/>
        <v>743.87743200000011</v>
      </c>
      <c r="O150" s="712">
        <f t="shared" si="145"/>
        <v>826.53048000000001</v>
      </c>
      <c r="P150" s="712">
        <f t="shared" si="145"/>
        <v>909.18352800000014</v>
      </c>
      <c r="Q150" s="712">
        <f t="shared" si="145"/>
        <v>991.83657600000004</v>
      </c>
      <c r="R150" s="712">
        <f t="shared" si="145"/>
        <v>1074.4896240000003</v>
      </c>
      <c r="S150" s="712">
        <f t="shared" si="145"/>
        <v>1157.1426719999999</v>
      </c>
      <c r="T150" s="712">
        <f t="shared" si="145"/>
        <v>1239.7957200000001</v>
      </c>
      <c r="U150" s="712">
        <f t="shared" si="145"/>
        <v>1322.4487680000002</v>
      </c>
      <c r="V150" s="712">
        <f t="shared" si="145"/>
        <v>1405.1018160000001</v>
      </c>
      <c r="W150" s="712">
        <f t="shared" si="145"/>
        <v>1487.7548640000002</v>
      </c>
      <c r="X150" s="712">
        <f t="shared" si="145"/>
        <v>1570.4079119999999</v>
      </c>
      <c r="Y150" s="712">
        <f t="shared" si="145"/>
        <v>1653.06096</v>
      </c>
      <c r="Z150" s="712">
        <f t="shared" si="145"/>
        <v>1735.7140080000001</v>
      </c>
      <c r="AA150" s="712">
        <f t="shared" si="145"/>
        <v>1818.3670560000003</v>
      </c>
      <c r="AB150" s="712">
        <f t="shared" si="145"/>
        <v>1901.0201040000002</v>
      </c>
      <c r="AC150" s="712">
        <f t="shared" si="145"/>
        <v>1983.6731520000001</v>
      </c>
      <c r="AD150" s="712">
        <f t="shared" si="145"/>
        <v>2066.3262000000004</v>
      </c>
      <c r="AE150" s="712">
        <f t="shared" si="145"/>
        <v>2148.9792480000006</v>
      </c>
      <c r="AF150" s="712">
        <f t="shared" si="145"/>
        <v>2231.6322960000002</v>
      </c>
      <c r="AG150" s="712">
        <f t="shared" si="145"/>
        <v>2314.2853439999999</v>
      </c>
      <c r="AH150" s="712">
        <f t="shared" si="145"/>
        <v>2396.938392</v>
      </c>
      <c r="AI150" s="712">
        <f t="shared" si="145"/>
        <v>2479.5914400000001</v>
      </c>
      <c r="AJ150" s="712">
        <f t="shared" si="145"/>
        <v>2562.2444880000003</v>
      </c>
      <c r="AK150" s="712">
        <f t="shared" si="145"/>
        <v>2644.8975360000004</v>
      </c>
      <c r="AL150" s="712">
        <f t="shared" si="145"/>
        <v>2727.5505840000001</v>
      </c>
      <c r="AM150" s="712">
        <f t="shared" si="145"/>
        <v>2810.2036320000002</v>
      </c>
      <c r="AN150" s="712">
        <f t="shared" ref="AN150:BS150" si="146">((AN$136-$H$4)/1000)*$L$76*(($C$8/70)^$V$76)*IF($C$13=1,$AE$77,IF($C$13=2,$AF$77,IF($C$13=3,$AG$77,1)))</f>
        <v>2892.8566800000003</v>
      </c>
      <c r="AO150" s="712">
        <f t="shared" si="146"/>
        <v>2975.5097280000005</v>
      </c>
      <c r="AP150" s="712">
        <f t="shared" si="146"/>
        <v>3058.1627760000006</v>
      </c>
      <c r="AQ150" s="712">
        <f t="shared" si="146"/>
        <v>3140.8158239999998</v>
      </c>
      <c r="AR150" s="712">
        <f t="shared" si="146"/>
        <v>3223.4688719999999</v>
      </c>
      <c r="AS150" s="712">
        <f t="shared" si="146"/>
        <v>3306.12192</v>
      </c>
      <c r="AT150" s="712">
        <f t="shared" si="146"/>
        <v>3388.7749679999997</v>
      </c>
      <c r="AU150" s="712">
        <f t="shared" si="146"/>
        <v>3471.4280160000003</v>
      </c>
      <c r="AV150" s="712">
        <f t="shared" si="146"/>
        <v>3554.081064</v>
      </c>
      <c r="AW150" s="712">
        <f t="shared" si="146"/>
        <v>3636.7341120000006</v>
      </c>
      <c r="AX150" s="712">
        <f t="shared" si="146"/>
        <v>3719.3871600000002</v>
      </c>
      <c r="AY150" s="712">
        <f t="shared" si="146"/>
        <v>3802.0402080000003</v>
      </c>
      <c r="AZ150" s="712">
        <f t="shared" si="146"/>
        <v>3884.6932560000009</v>
      </c>
      <c r="BA150" s="712">
        <f t="shared" si="146"/>
        <v>3967.3463040000001</v>
      </c>
      <c r="BB150" s="712">
        <f t="shared" si="146"/>
        <v>4049.9993520000007</v>
      </c>
      <c r="BC150" s="712">
        <f t="shared" si="146"/>
        <v>4132.6524000000009</v>
      </c>
      <c r="BD150" s="712">
        <f t="shared" si="146"/>
        <v>4215.3054480000001</v>
      </c>
      <c r="BE150" s="712">
        <f t="shared" si="146"/>
        <v>4297.9584960000011</v>
      </c>
      <c r="BF150" s="712">
        <f t="shared" si="146"/>
        <v>4380.6115440000003</v>
      </c>
      <c r="BG150" s="865">
        <f t="shared" si="146"/>
        <v>-578.57133599999997</v>
      </c>
      <c r="BH150" s="865">
        <f t="shared" si="146"/>
        <v>-578.57133599999997</v>
      </c>
      <c r="BI150" s="865">
        <f t="shared" si="146"/>
        <v>-578.57133599999997</v>
      </c>
      <c r="BJ150" s="865">
        <f t="shared" si="146"/>
        <v>-578.57133599999997</v>
      </c>
      <c r="BK150" s="865">
        <f t="shared" si="146"/>
        <v>-578.57133599999997</v>
      </c>
      <c r="BL150" s="865">
        <f t="shared" si="146"/>
        <v>-578.57133599999997</v>
      </c>
      <c r="BM150" s="865">
        <f t="shared" si="146"/>
        <v>-578.57133599999997</v>
      </c>
      <c r="BN150" s="865">
        <f t="shared" si="146"/>
        <v>-578.57133599999997</v>
      </c>
      <c r="BO150" s="865">
        <f t="shared" si="146"/>
        <v>-578.57133599999997</v>
      </c>
      <c r="BP150" s="865">
        <f t="shared" si="146"/>
        <v>-578.57133599999997</v>
      </c>
      <c r="BQ150" s="865">
        <f t="shared" si="146"/>
        <v>-578.57133599999997</v>
      </c>
      <c r="BR150" s="865">
        <f t="shared" si="146"/>
        <v>-578.57133599999997</v>
      </c>
      <c r="BS150" s="865">
        <f t="shared" si="146"/>
        <v>-578.57133599999997</v>
      </c>
      <c r="BT150" s="865">
        <f t="shared" ref="BT150:CY150" si="147">((BT$136-$H$4)/1000)*$L$76*(($C$8/70)^$V$76)*IF($C$13=1,$AE$77,IF($C$13=2,$AF$77,IF($C$13=3,$AG$77,1)))</f>
        <v>-578.57133599999997</v>
      </c>
      <c r="BU150" s="865">
        <f t="shared" si="147"/>
        <v>-578.57133599999997</v>
      </c>
      <c r="BV150" s="865">
        <f t="shared" si="147"/>
        <v>-578.57133599999997</v>
      </c>
      <c r="BW150" s="865">
        <f t="shared" si="147"/>
        <v>-578.57133599999997</v>
      </c>
      <c r="BX150" s="865">
        <f t="shared" si="147"/>
        <v>-578.57133599999997</v>
      </c>
      <c r="BY150" s="865">
        <f t="shared" si="147"/>
        <v>-578.57133599999997</v>
      </c>
      <c r="BZ150" s="865">
        <f t="shared" si="147"/>
        <v>-578.57133599999997</v>
      </c>
      <c r="CA150" s="865">
        <f t="shared" si="147"/>
        <v>-578.57133599999997</v>
      </c>
      <c r="CB150" s="865">
        <f t="shared" si="147"/>
        <v>-578.57133599999997</v>
      </c>
      <c r="CC150" s="865">
        <f t="shared" si="147"/>
        <v>-578.57133599999997</v>
      </c>
      <c r="CD150" s="865">
        <f t="shared" si="147"/>
        <v>-578.57133599999997</v>
      </c>
      <c r="CE150" s="865">
        <f t="shared" si="147"/>
        <v>-578.57133599999997</v>
      </c>
      <c r="CF150" s="865">
        <f t="shared" si="147"/>
        <v>-578.57133599999997</v>
      </c>
      <c r="CG150" s="865">
        <f t="shared" si="147"/>
        <v>-578.57133599999997</v>
      </c>
      <c r="CH150" s="865">
        <f t="shared" si="147"/>
        <v>-578.57133599999997</v>
      </c>
      <c r="CI150" s="865">
        <f t="shared" si="147"/>
        <v>-578.57133599999997</v>
      </c>
      <c r="CJ150" s="865">
        <f t="shared" si="147"/>
        <v>-578.57133599999997</v>
      </c>
      <c r="CK150" s="865">
        <f t="shared" si="147"/>
        <v>-578.57133599999997</v>
      </c>
      <c r="CL150" s="865">
        <f t="shared" si="147"/>
        <v>-578.57133599999997</v>
      </c>
      <c r="CM150" s="865">
        <f t="shared" si="147"/>
        <v>-578.57133599999997</v>
      </c>
      <c r="CN150" s="865">
        <f t="shared" si="147"/>
        <v>-578.57133599999997</v>
      </c>
      <c r="CO150" s="865">
        <f t="shared" si="147"/>
        <v>-578.57133599999997</v>
      </c>
      <c r="CP150" s="865">
        <f t="shared" si="147"/>
        <v>-578.57133599999997</v>
      </c>
      <c r="CQ150" s="865">
        <f t="shared" si="147"/>
        <v>-578.57133599999997</v>
      </c>
      <c r="CR150" s="865">
        <f t="shared" si="147"/>
        <v>-578.57133599999997</v>
      </c>
      <c r="CS150" s="865">
        <f t="shared" si="147"/>
        <v>-578.57133599999997</v>
      </c>
      <c r="CT150" s="865">
        <f t="shared" si="147"/>
        <v>-578.57133599999997</v>
      </c>
      <c r="CU150" s="865">
        <f t="shared" si="147"/>
        <v>-578.57133599999997</v>
      </c>
      <c r="CV150" s="865">
        <f t="shared" si="147"/>
        <v>-578.57133599999997</v>
      </c>
      <c r="CW150" s="865">
        <f t="shared" si="147"/>
        <v>-578.57133599999997</v>
      </c>
      <c r="CX150" s="865">
        <f t="shared" si="147"/>
        <v>-578.57133599999997</v>
      </c>
      <c r="CY150" s="865">
        <f t="shared" si="147"/>
        <v>-578.57133599999997</v>
      </c>
      <c r="CZ150" s="865">
        <f t="shared" ref="CZ150:DF150" si="148">((CZ$136-$H$4)/1000)*$L$76*(($C$8/70)^$V$76)*IF($C$13=1,$AE$77,IF($C$13=2,$AF$77,IF($C$13=3,$AG$77,1)))</f>
        <v>-578.57133599999997</v>
      </c>
      <c r="DA150" s="865">
        <f t="shared" si="148"/>
        <v>-578.57133599999997</v>
      </c>
      <c r="DB150" s="865">
        <f t="shared" si="148"/>
        <v>-578.57133599999997</v>
      </c>
      <c r="DC150" s="865">
        <f t="shared" si="148"/>
        <v>-578.57133599999997</v>
      </c>
      <c r="DD150" s="865">
        <f t="shared" si="148"/>
        <v>-578.57133599999997</v>
      </c>
      <c r="DE150" s="865">
        <f t="shared" si="148"/>
        <v>-578.57133599999997</v>
      </c>
      <c r="DF150" s="865">
        <f t="shared" si="148"/>
        <v>-578.57133599999997</v>
      </c>
    </row>
    <row r="151" spans="2:110" hidden="1">
      <c r="B151" s="2310" t="s">
        <v>372</v>
      </c>
      <c r="C151" s="2311"/>
      <c r="D151" s="893"/>
      <c r="E151" s="893"/>
      <c r="F151" s="893"/>
      <c r="G151" s="893"/>
      <c r="H151" s="712">
        <f t="shared" ref="H151:AM151" si="149">((H$136-$H$4)/1000)*$M$76*(($C$8/70)^$W$76)*IF($C$13=1,$AE$75,IF($C$13=2,$AF$75,IF($C$13=3,$AG$75,1)))</f>
        <v>555.2106839999999</v>
      </c>
      <c r="I151" s="712">
        <f t="shared" si="149"/>
        <v>740.28091199999994</v>
      </c>
      <c r="J151" s="712">
        <f t="shared" si="149"/>
        <v>925.35113999999987</v>
      </c>
      <c r="K151" s="712">
        <f t="shared" si="149"/>
        <v>1110.4213679999998</v>
      </c>
      <c r="L151" s="712">
        <f t="shared" si="149"/>
        <v>1295.4915959999996</v>
      </c>
      <c r="M151" s="712">
        <f t="shared" si="149"/>
        <v>1480.5618239999999</v>
      </c>
      <c r="N151" s="712">
        <f t="shared" si="149"/>
        <v>1665.6320519999997</v>
      </c>
      <c r="O151" s="712">
        <f t="shared" si="149"/>
        <v>1850.7022799999997</v>
      </c>
      <c r="P151" s="712">
        <f t="shared" si="149"/>
        <v>2035.7725079999998</v>
      </c>
      <c r="Q151" s="712">
        <f t="shared" si="149"/>
        <v>2220.8427359999996</v>
      </c>
      <c r="R151" s="712">
        <f t="shared" si="149"/>
        <v>2405.9129639999996</v>
      </c>
      <c r="S151" s="712">
        <f t="shared" si="149"/>
        <v>2590.9831919999992</v>
      </c>
      <c r="T151" s="712">
        <f t="shared" si="149"/>
        <v>2776.0534199999997</v>
      </c>
      <c r="U151" s="712">
        <f t="shared" si="149"/>
        <v>2961.1236479999998</v>
      </c>
      <c r="V151" s="712">
        <f t="shared" si="149"/>
        <v>3146.1938759999994</v>
      </c>
      <c r="W151" s="712">
        <f t="shared" si="149"/>
        <v>3331.2641039999994</v>
      </c>
      <c r="X151" s="712">
        <f t="shared" si="149"/>
        <v>3516.334331999999</v>
      </c>
      <c r="Y151" s="712">
        <f t="shared" si="149"/>
        <v>3701.4045599999995</v>
      </c>
      <c r="Z151" s="712">
        <f t="shared" si="149"/>
        <v>3886.4747879999995</v>
      </c>
      <c r="AA151" s="712">
        <f t="shared" si="149"/>
        <v>4071.5450159999996</v>
      </c>
      <c r="AB151" s="712">
        <f t="shared" si="149"/>
        <v>4256.6152439999996</v>
      </c>
      <c r="AC151" s="712">
        <f t="shared" si="149"/>
        <v>4441.6854719999992</v>
      </c>
      <c r="AD151" s="712">
        <f t="shared" si="149"/>
        <v>4626.7556999999988</v>
      </c>
      <c r="AE151" s="712">
        <f t="shared" si="149"/>
        <v>4811.8259279999993</v>
      </c>
      <c r="AF151" s="712">
        <f t="shared" si="149"/>
        <v>4996.8961559999989</v>
      </c>
      <c r="AG151" s="712">
        <f t="shared" si="149"/>
        <v>5181.9663839999985</v>
      </c>
      <c r="AH151" s="712">
        <f t="shared" si="149"/>
        <v>5367.036611999999</v>
      </c>
      <c r="AI151" s="712">
        <f t="shared" si="149"/>
        <v>5552.1068399999995</v>
      </c>
      <c r="AJ151" s="712">
        <f t="shared" si="149"/>
        <v>5737.1770679999991</v>
      </c>
      <c r="AK151" s="712">
        <f t="shared" si="149"/>
        <v>5922.2472959999996</v>
      </c>
      <c r="AL151" s="712">
        <f t="shared" si="149"/>
        <v>6107.3175239999991</v>
      </c>
      <c r="AM151" s="712">
        <f t="shared" si="149"/>
        <v>6292.3877519999987</v>
      </c>
      <c r="AN151" s="712">
        <f t="shared" ref="AN151:BS151" si="150">((AN$136-$H$4)/1000)*$M$76*(($C$8/70)^$W$76)*IF($C$13=1,$AE$75,IF($C$13=2,$AF$75,IF($C$13=3,$AG$75,1)))</f>
        <v>6477.4579799999992</v>
      </c>
      <c r="AO151" s="712">
        <f t="shared" si="150"/>
        <v>6662.5282079999988</v>
      </c>
      <c r="AP151" s="712">
        <f t="shared" si="150"/>
        <v>6847.5984359999993</v>
      </c>
      <c r="AQ151" s="712">
        <f t="shared" si="150"/>
        <v>7032.668663999998</v>
      </c>
      <c r="AR151" s="712">
        <f t="shared" si="150"/>
        <v>7217.7388919999985</v>
      </c>
      <c r="AS151" s="712">
        <f t="shared" si="150"/>
        <v>7402.809119999999</v>
      </c>
      <c r="AT151" s="712">
        <f t="shared" si="150"/>
        <v>7587.8793479999977</v>
      </c>
      <c r="AU151" s="712">
        <f t="shared" si="150"/>
        <v>7772.9495759999991</v>
      </c>
      <c r="AV151" s="712">
        <f t="shared" si="150"/>
        <v>7958.0198039999987</v>
      </c>
      <c r="AW151" s="712">
        <f t="shared" si="150"/>
        <v>8143.0900319999992</v>
      </c>
      <c r="AX151" s="712">
        <f t="shared" si="150"/>
        <v>8328.1602599999987</v>
      </c>
      <c r="AY151" s="712">
        <f t="shared" si="150"/>
        <v>8513.2304879999992</v>
      </c>
      <c r="AZ151" s="712">
        <f t="shared" si="150"/>
        <v>8698.3007159999979</v>
      </c>
      <c r="BA151" s="712">
        <f t="shared" si="150"/>
        <v>8883.3709439999984</v>
      </c>
      <c r="BB151" s="712">
        <f t="shared" si="150"/>
        <v>9068.4411719999989</v>
      </c>
      <c r="BC151" s="712">
        <f t="shared" si="150"/>
        <v>9253.5113999999976</v>
      </c>
      <c r="BD151" s="712">
        <f t="shared" si="150"/>
        <v>9438.5816279999981</v>
      </c>
      <c r="BE151" s="712">
        <f t="shared" si="150"/>
        <v>9623.6518559999986</v>
      </c>
      <c r="BF151" s="712">
        <f t="shared" si="150"/>
        <v>9808.7220839999991</v>
      </c>
      <c r="BG151" s="865">
        <f t="shared" si="150"/>
        <v>-1295.4915959999996</v>
      </c>
      <c r="BH151" s="865">
        <f t="shared" si="150"/>
        <v>-1295.4915959999996</v>
      </c>
      <c r="BI151" s="865">
        <f t="shared" si="150"/>
        <v>-1295.4915959999996</v>
      </c>
      <c r="BJ151" s="865">
        <f t="shared" si="150"/>
        <v>-1295.4915959999996</v>
      </c>
      <c r="BK151" s="865">
        <f t="shared" si="150"/>
        <v>-1295.4915959999996</v>
      </c>
      <c r="BL151" s="865">
        <f t="shared" si="150"/>
        <v>-1295.4915959999996</v>
      </c>
      <c r="BM151" s="865">
        <f t="shared" si="150"/>
        <v>-1295.4915959999996</v>
      </c>
      <c r="BN151" s="865">
        <f t="shared" si="150"/>
        <v>-1295.4915959999996</v>
      </c>
      <c r="BO151" s="865">
        <f t="shared" si="150"/>
        <v>-1295.4915959999996</v>
      </c>
      <c r="BP151" s="865">
        <f t="shared" si="150"/>
        <v>-1295.4915959999996</v>
      </c>
      <c r="BQ151" s="865">
        <f t="shared" si="150"/>
        <v>-1295.4915959999996</v>
      </c>
      <c r="BR151" s="865">
        <f t="shared" si="150"/>
        <v>-1295.4915959999996</v>
      </c>
      <c r="BS151" s="865">
        <f t="shared" si="150"/>
        <v>-1295.4915959999996</v>
      </c>
      <c r="BT151" s="865">
        <f t="shared" ref="BT151:CY151" si="151">((BT$136-$H$4)/1000)*$M$76*(($C$8/70)^$W$76)*IF($C$13=1,$AE$75,IF($C$13=2,$AF$75,IF($C$13=3,$AG$75,1)))</f>
        <v>-1295.4915959999996</v>
      </c>
      <c r="BU151" s="865">
        <f t="shared" si="151"/>
        <v>-1295.4915959999996</v>
      </c>
      <c r="BV151" s="865">
        <f t="shared" si="151"/>
        <v>-1295.4915959999996</v>
      </c>
      <c r="BW151" s="865">
        <f t="shared" si="151"/>
        <v>-1295.4915959999996</v>
      </c>
      <c r="BX151" s="865">
        <f t="shared" si="151"/>
        <v>-1295.4915959999996</v>
      </c>
      <c r="BY151" s="865">
        <f t="shared" si="151"/>
        <v>-1295.4915959999996</v>
      </c>
      <c r="BZ151" s="865">
        <f t="shared" si="151"/>
        <v>-1295.4915959999996</v>
      </c>
      <c r="CA151" s="865">
        <f t="shared" si="151"/>
        <v>-1295.4915959999996</v>
      </c>
      <c r="CB151" s="865">
        <f t="shared" si="151"/>
        <v>-1295.4915959999996</v>
      </c>
      <c r="CC151" s="865">
        <f t="shared" si="151"/>
        <v>-1295.4915959999996</v>
      </c>
      <c r="CD151" s="865">
        <f t="shared" si="151"/>
        <v>-1295.4915959999996</v>
      </c>
      <c r="CE151" s="865">
        <f t="shared" si="151"/>
        <v>-1295.4915959999996</v>
      </c>
      <c r="CF151" s="865">
        <f t="shared" si="151"/>
        <v>-1295.4915959999996</v>
      </c>
      <c r="CG151" s="865">
        <f t="shared" si="151"/>
        <v>-1295.4915959999996</v>
      </c>
      <c r="CH151" s="865">
        <f t="shared" si="151"/>
        <v>-1295.4915959999996</v>
      </c>
      <c r="CI151" s="865">
        <f t="shared" si="151"/>
        <v>-1295.4915959999996</v>
      </c>
      <c r="CJ151" s="865">
        <f t="shared" si="151"/>
        <v>-1295.4915959999996</v>
      </c>
      <c r="CK151" s="865">
        <f t="shared" si="151"/>
        <v>-1295.4915959999996</v>
      </c>
      <c r="CL151" s="865">
        <f t="shared" si="151"/>
        <v>-1295.4915959999996</v>
      </c>
      <c r="CM151" s="865">
        <f t="shared" si="151"/>
        <v>-1295.4915959999996</v>
      </c>
      <c r="CN151" s="865">
        <f t="shared" si="151"/>
        <v>-1295.4915959999996</v>
      </c>
      <c r="CO151" s="865">
        <f t="shared" si="151"/>
        <v>-1295.4915959999996</v>
      </c>
      <c r="CP151" s="865">
        <f t="shared" si="151"/>
        <v>-1295.4915959999996</v>
      </c>
      <c r="CQ151" s="865">
        <f t="shared" si="151"/>
        <v>-1295.4915959999996</v>
      </c>
      <c r="CR151" s="865">
        <f t="shared" si="151"/>
        <v>-1295.4915959999996</v>
      </c>
      <c r="CS151" s="865">
        <f t="shared" si="151"/>
        <v>-1295.4915959999996</v>
      </c>
      <c r="CT151" s="865">
        <f t="shared" si="151"/>
        <v>-1295.4915959999996</v>
      </c>
      <c r="CU151" s="865">
        <f t="shared" si="151"/>
        <v>-1295.4915959999996</v>
      </c>
      <c r="CV151" s="865">
        <f t="shared" si="151"/>
        <v>-1295.4915959999996</v>
      </c>
      <c r="CW151" s="865">
        <f t="shared" si="151"/>
        <v>-1295.4915959999996</v>
      </c>
      <c r="CX151" s="865">
        <f t="shared" si="151"/>
        <v>-1295.4915959999996</v>
      </c>
      <c r="CY151" s="865">
        <f t="shared" si="151"/>
        <v>-1295.4915959999996</v>
      </c>
      <c r="CZ151" s="865">
        <f t="shared" ref="CZ151:DF151" si="152">((CZ$136-$H$4)/1000)*$M$76*(($C$8/70)^$W$76)*IF($C$13=1,$AE$75,IF($C$13=2,$AF$75,IF($C$13=3,$AG$75,1)))</f>
        <v>-1295.4915959999996</v>
      </c>
      <c r="DA151" s="865">
        <f t="shared" si="152"/>
        <v>-1295.4915959999996</v>
      </c>
      <c r="DB151" s="865">
        <f t="shared" si="152"/>
        <v>-1295.4915959999996</v>
      </c>
      <c r="DC151" s="865">
        <f t="shared" si="152"/>
        <v>-1295.4915959999996</v>
      </c>
      <c r="DD151" s="865">
        <f t="shared" si="152"/>
        <v>-1295.4915959999996</v>
      </c>
      <c r="DE151" s="865">
        <f t="shared" si="152"/>
        <v>-1295.4915959999996</v>
      </c>
      <c r="DF151" s="865">
        <f t="shared" si="152"/>
        <v>-1295.4915959999996</v>
      </c>
    </row>
    <row r="152" spans="2:110" hidden="1">
      <c r="B152" s="2310" t="s">
        <v>373</v>
      </c>
      <c r="C152" s="2311"/>
      <c r="D152" s="893"/>
      <c r="E152" s="893"/>
      <c r="F152" s="893"/>
      <c r="G152" s="893"/>
      <c r="H152" s="712">
        <f t="shared" ref="H152:AM152" si="153">((H$136-$H$4)/1000)*$O$76*(($C$8/70)^$Y$76)*IF($C$13=1,$AE$78,IF($C$13=2,$AF$78,IF($C$13=3,$AG$78,1)))</f>
        <v>540.55990799999995</v>
      </c>
      <c r="I152" s="712">
        <f t="shared" si="153"/>
        <v>720.74654399999997</v>
      </c>
      <c r="J152" s="712">
        <f t="shared" si="153"/>
        <v>900.93317999999988</v>
      </c>
      <c r="K152" s="712">
        <f t="shared" si="153"/>
        <v>1081.1198159999999</v>
      </c>
      <c r="L152" s="712">
        <f t="shared" si="153"/>
        <v>1261.3064519999998</v>
      </c>
      <c r="M152" s="712">
        <f t="shared" si="153"/>
        <v>1441.4930879999999</v>
      </c>
      <c r="N152" s="712">
        <f t="shared" si="153"/>
        <v>1621.6797239999999</v>
      </c>
      <c r="O152" s="712">
        <f t="shared" si="153"/>
        <v>1801.8663599999998</v>
      </c>
      <c r="P152" s="712">
        <f t="shared" si="153"/>
        <v>1982.0529959999999</v>
      </c>
      <c r="Q152" s="712">
        <f t="shared" si="153"/>
        <v>2162.2396319999998</v>
      </c>
      <c r="R152" s="712">
        <f t="shared" si="153"/>
        <v>2342.4262679999997</v>
      </c>
      <c r="S152" s="712">
        <f t="shared" si="153"/>
        <v>2522.6129039999996</v>
      </c>
      <c r="T152" s="712">
        <f t="shared" si="153"/>
        <v>2702.7995399999995</v>
      </c>
      <c r="U152" s="712">
        <f t="shared" si="153"/>
        <v>2882.9861759999999</v>
      </c>
      <c r="V152" s="712">
        <f t="shared" si="153"/>
        <v>3063.1728119999993</v>
      </c>
      <c r="W152" s="712">
        <f t="shared" si="153"/>
        <v>3243.3594479999997</v>
      </c>
      <c r="X152" s="712">
        <f t="shared" si="153"/>
        <v>3423.5460839999996</v>
      </c>
      <c r="Y152" s="712">
        <f t="shared" si="153"/>
        <v>3603.7327199999995</v>
      </c>
      <c r="Z152" s="712">
        <f t="shared" si="153"/>
        <v>3783.9193559999994</v>
      </c>
      <c r="AA152" s="712">
        <f t="shared" si="153"/>
        <v>3964.1059919999998</v>
      </c>
      <c r="AB152" s="712">
        <f t="shared" si="153"/>
        <v>4144.2926279999992</v>
      </c>
      <c r="AC152" s="712">
        <f t="shared" si="153"/>
        <v>4324.4792639999996</v>
      </c>
      <c r="AD152" s="712">
        <f t="shared" si="153"/>
        <v>4504.6659</v>
      </c>
      <c r="AE152" s="712">
        <f t="shared" si="153"/>
        <v>4684.8525359999994</v>
      </c>
      <c r="AF152" s="712">
        <f t="shared" si="153"/>
        <v>4865.0391719999998</v>
      </c>
      <c r="AG152" s="712">
        <f t="shared" si="153"/>
        <v>5045.2258079999992</v>
      </c>
      <c r="AH152" s="712">
        <f t="shared" si="153"/>
        <v>5225.4124439999996</v>
      </c>
      <c r="AI152" s="712">
        <f t="shared" si="153"/>
        <v>5405.599079999999</v>
      </c>
      <c r="AJ152" s="712">
        <f t="shared" si="153"/>
        <v>5585.7857159999994</v>
      </c>
      <c r="AK152" s="712">
        <f t="shared" si="153"/>
        <v>5765.9723519999998</v>
      </c>
      <c r="AL152" s="712">
        <f t="shared" si="153"/>
        <v>5946.1589879999992</v>
      </c>
      <c r="AM152" s="712">
        <f t="shared" si="153"/>
        <v>6126.3456239999987</v>
      </c>
      <c r="AN152" s="712">
        <f t="shared" ref="AN152:BS152" si="154">((AN$136-$H$4)/1000)*$O$76*(($C$8/70)^$Y$76)*IF($C$13=1,$AE$78,IF($C$13=2,$AF$78,IF($C$13=3,$AG$78,1)))</f>
        <v>6306.532259999999</v>
      </c>
      <c r="AO152" s="712">
        <f t="shared" si="154"/>
        <v>6486.7188959999994</v>
      </c>
      <c r="AP152" s="712">
        <f t="shared" si="154"/>
        <v>6666.9055319999998</v>
      </c>
      <c r="AQ152" s="712">
        <f t="shared" si="154"/>
        <v>6847.0921679999992</v>
      </c>
      <c r="AR152" s="712">
        <f t="shared" si="154"/>
        <v>7027.2788039999987</v>
      </c>
      <c r="AS152" s="712">
        <f t="shared" si="154"/>
        <v>7207.465439999999</v>
      </c>
      <c r="AT152" s="712">
        <f t="shared" si="154"/>
        <v>7387.6520759999985</v>
      </c>
      <c r="AU152" s="712">
        <f t="shared" si="154"/>
        <v>7567.8387119999988</v>
      </c>
      <c r="AV152" s="712">
        <f t="shared" si="154"/>
        <v>7748.0253479999983</v>
      </c>
      <c r="AW152" s="712">
        <f t="shared" si="154"/>
        <v>7928.2119839999996</v>
      </c>
      <c r="AX152" s="712">
        <f t="shared" si="154"/>
        <v>8108.398619999999</v>
      </c>
      <c r="AY152" s="712">
        <f t="shared" si="154"/>
        <v>8288.5852559999985</v>
      </c>
      <c r="AZ152" s="712">
        <f t="shared" si="154"/>
        <v>8468.7718919999988</v>
      </c>
      <c r="BA152" s="712">
        <f t="shared" si="154"/>
        <v>8648.9585279999992</v>
      </c>
      <c r="BB152" s="712">
        <f t="shared" si="154"/>
        <v>8829.1451639999996</v>
      </c>
      <c r="BC152" s="712">
        <f t="shared" si="154"/>
        <v>9009.3317999999999</v>
      </c>
      <c r="BD152" s="712">
        <f t="shared" si="154"/>
        <v>9189.5184359999985</v>
      </c>
      <c r="BE152" s="712">
        <f t="shared" si="154"/>
        <v>9369.7050719999988</v>
      </c>
      <c r="BF152" s="712">
        <f t="shared" si="154"/>
        <v>9549.8917079999992</v>
      </c>
      <c r="BG152" s="865">
        <f t="shared" si="154"/>
        <v>-1261.3064519999998</v>
      </c>
      <c r="BH152" s="865">
        <f t="shared" si="154"/>
        <v>-1261.3064519999998</v>
      </c>
      <c r="BI152" s="865">
        <f t="shared" si="154"/>
        <v>-1261.3064519999998</v>
      </c>
      <c r="BJ152" s="865">
        <f t="shared" si="154"/>
        <v>-1261.3064519999998</v>
      </c>
      <c r="BK152" s="865">
        <f t="shared" si="154"/>
        <v>-1261.3064519999998</v>
      </c>
      <c r="BL152" s="865">
        <f t="shared" si="154"/>
        <v>-1261.3064519999998</v>
      </c>
      <c r="BM152" s="865">
        <f t="shared" si="154"/>
        <v>-1261.3064519999998</v>
      </c>
      <c r="BN152" s="865">
        <f t="shared" si="154"/>
        <v>-1261.3064519999998</v>
      </c>
      <c r="BO152" s="865">
        <f t="shared" si="154"/>
        <v>-1261.3064519999998</v>
      </c>
      <c r="BP152" s="865">
        <f t="shared" si="154"/>
        <v>-1261.3064519999998</v>
      </c>
      <c r="BQ152" s="865">
        <f t="shared" si="154"/>
        <v>-1261.3064519999998</v>
      </c>
      <c r="BR152" s="865">
        <f t="shared" si="154"/>
        <v>-1261.3064519999998</v>
      </c>
      <c r="BS152" s="865">
        <f t="shared" si="154"/>
        <v>-1261.3064519999998</v>
      </c>
      <c r="BT152" s="865">
        <f t="shared" ref="BT152:CY152" si="155">((BT$136-$H$4)/1000)*$O$76*(($C$8/70)^$Y$76)*IF($C$13=1,$AE$78,IF($C$13=2,$AF$78,IF($C$13=3,$AG$78,1)))</f>
        <v>-1261.3064519999998</v>
      </c>
      <c r="BU152" s="865">
        <f t="shared" si="155"/>
        <v>-1261.3064519999998</v>
      </c>
      <c r="BV152" s="865">
        <f t="shared" si="155"/>
        <v>-1261.3064519999998</v>
      </c>
      <c r="BW152" s="865">
        <f t="shared" si="155"/>
        <v>-1261.3064519999998</v>
      </c>
      <c r="BX152" s="865">
        <f t="shared" si="155"/>
        <v>-1261.3064519999998</v>
      </c>
      <c r="BY152" s="865">
        <f t="shared" si="155"/>
        <v>-1261.3064519999998</v>
      </c>
      <c r="BZ152" s="865">
        <f t="shared" si="155"/>
        <v>-1261.3064519999998</v>
      </c>
      <c r="CA152" s="865">
        <f t="shared" si="155"/>
        <v>-1261.3064519999998</v>
      </c>
      <c r="CB152" s="865">
        <f t="shared" si="155"/>
        <v>-1261.3064519999998</v>
      </c>
      <c r="CC152" s="865">
        <f t="shared" si="155"/>
        <v>-1261.3064519999998</v>
      </c>
      <c r="CD152" s="865">
        <f t="shared" si="155"/>
        <v>-1261.3064519999998</v>
      </c>
      <c r="CE152" s="865">
        <f t="shared" si="155"/>
        <v>-1261.3064519999998</v>
      </c>
      <c r="CF152" s="865">
        <f t="shared" si="155"/>
        <v>-1261.3064519999998</v>
      </c>
      <c r="CG152" s="865">
        <f t="shared" si="155"/>
        <v>-1261.3064519999998</v>
      </c>
      <c r="CH152" s="865">
        <f t="shared" si="155"/>
        <v>-1261.3064519999998</v>
      </c>
      <c r="CI152" s="865">
        <f t="shared" si="155"/>
        <v>-1261.3064519999998</v>
      </c>
      <c r="CJ152" s="865">
        <f t="shared" si="155"/>
        <v>-1261.3064519999998</v>
      </c>
      <c r="CK152" s="865">
        <f t="shared" si="155"/>
        <v>-1261.3064519999998</v>
      </c>
      <c r="CL152" s="865">
        <f t="shared" si="155"/>
        <v>-1261.3064519999998</v>
      </c>
      <c r="CM152" s="865">
        <f t="shared" si="155"/>
        <v>-1261.3064519999998</v>
      </c>
      <c r="CN152" s="865">
        <f t="shared" si="155"/>
        <v>-1261.3064519999998</v>
      </c>
      <c r="CO152" s="865">
        <f t="shared" si="155"/>
        <v>-1261.3064519999998</v>
      </c>
      <c r="CP152" s="865">
        <f t="shared" si="155"/>
        <v>-1261.3064519999998</v>
      </c>
      <c r="CQ152" s="865">
        <f t="shared" si="155"/>
        <v>-1261.3064519999998</v>
      </c>
      <c r="CR152" s="865">
        <f t="shared" si="155"/>
        <v>-1261.3064519999998</v>
      </c>
      <c r="CS152" s="865">
        <f t="shared" si="155"/>
        <v>-1261.3064519999998</v>
      </c>
      <c r="CT152" s="865">
        <f t="shared" si="155"/>
        <v>-1261.3064519999998</v>
      </c>
      <c r="CU152" s="865">
        <f t="shared" si="155"/>
        <v>-1261.3064519999998</v>
      </c>
      <c r="CV152" s="865">
        <f t="shared" si="155"/>
        <v>-1261.3064519999998</v>
      </c>
      <c r="CW152" s="865">
        <f t="shared" si="155"/>
        <v>-1261.3064519999998</v>
      </c>
      <c r="CX152" s="865">
        <f t="shared" si="155"/>
        <v>-1261.3064519999998</v>
      </c>
      <c r="CY152" s="865">
        <f t="shared" si="155"/>
        <v>-1261.3064519999998</v>
      </c>
      <c r="CZ152" s="865">
        <f t="shared" ref="CZ152:DF152" si="156">((CZ$136-$H$4)/1000)*$O$76*(($C$8/70)^$Y$76)*IF($C$13=1,$AE$78,IF($C$13=2,$AF$78,IF($C$13=3,$AG$78,1)))</f>
        <v>-1261.3064519999998</v>
      </c>
      <c r="DA152" s="865">
        <f t="shared" si="156"/>
        <v>-1261.3064519999998</v>
      </c>
      <c r="DB152" s="865">
        <f t="shared" si="156"/>
        <v>-1261.3064519999998</v>
      </c>
      <c r="DC152" s="865">
        <f t="shared" si="156"/>
        <v>-1261.3064519999998</v>
      </c>
      <c r="DD152" s="865">
        <f t="shared" si="156"/>
        <v>-1261.3064519999998</v>
      </c>
      <c r="DE152" s="865">
        <f t="shared" si="156"/>
        <v>-1261.3064519999998</v>
      </c>
      <c r="DF152" s="865">
        <f t="shared" si="156"/>
        <v>-1261.3064519999998</v>
      </c>
    </row>
    <row r="153" spans="2:110" ht="15.75" hidden="1" thickBot="1">
      <c r="B153" s="2312" t="s">
        <v>374</v>
      </c>
      <c r="C153" s="2313"/>
      <c r="D153" s="894"/>
      <c r="E153" s="894"/>
      <c r="F153" s="894"/>
      <c r="G153" s="894"/>
      <c r="H153" s="679">
        <f t="shared" ref="H153:AM153" si="157">((H$136-$H$4)/1000)*$P$76*(($C$8/70)^$Z$76)*IF($C$13=1,$AE$75,IF($C$13=2,$AF$75,IF($C$13=3,$AG$75,1)))</f>
        <v>700.01661599999977</v>
      </c>
      <c r="I153" s="679">
        <f t="shared" si="157"/>
        <v>933.35548799999992</v>
      </c>
      <c r="J153" s="679">
        <f t="shared" si="157"/>
        <v>1166.6943599999997</v>
      </c>
      <c r="K153" s="679">
        <f t="shared" si="157"/>
        <v>1400.0332319999995</v>
      </c>
      <c r="L153" s="679">
        <f t="shared" si="157"/>
        <v>1633.3721039999996</v>
      </c>
      <c r="M153" s="679">
        <f t="shared" si="157"/>
        <v>1866.7109759999998</v>
      </c>
      <c r="N153" s="679">
        <f t="shared" si="157"/>
        <v>2100.0498479999997</v>
      </c>
      <c r="O153" s="679">
        <f t="shared" si="157"/>
        <v>2333.3887199999995</v>
      </c>
      <c r="P153" s="679">
        <f t="shared" si="157"/>
        <v>2566.7275919999993</v>
      </c>
      <c r="Q153" s="679">
        <f t="shared" si="157"/>
        <v>2800.0664639999991</v>
      </c>
      <c r="R153" s="679">
        <f t="shared" si="157"/>
        <v>3033.4053359999994</v>
      </c>
      <c r="S153" s="679">
        <f t="shared" si="157"/>
        <v>3266.7442079999992</v>
      </c>
      <c r="T153" s="679">
        <f t="shared" si="157"/>
        <v>3500.0830799999994</v>
      </c>
      <c r="U153" s="679">
        <f t="shared" si="157"/>
        <v>3733.4219519999997</v>
      </c>
      <c r="V153" s="679">
        <f t="shared" si="157"/>
        <v>3966.7608239999986</v>
      </c>
      <c r="W153" s="679">
        <f t="shared" si="157"/>
        <v>4200.0996959999993</v>
      </c>
      <c r="X153" s="679">
        <f t="shared" si="157"/>
        <v>4433.4385679999987</v>
      </c>
      <c r="Y153" s="679">
        <f t="shared" si="157"/>
        <v>4666.7774399999989</v>
      </c>
      <c r="Z153" s="679">
        <f t="shared" si="157"/>
        <v>4900.1163119999992</v>
      </c>
      <c r="AA153" s="679">
        <f t="shared" si="157"/>
        <v>5133.4551839999986</v>
      </c>
      <c r="AB153" s="679">
        <f t="shared" si="157"/>
        <v>5366.7940559999979</v>
      </c>
      <c r="AC153" s="679">
        <f t="shared" si="157"/>
        <v>5600.1329279999982</v>
      </c>
      <c r="AD153" s="679">
        <f t="shared" si="157"/>
        <v>5833.4717999999984</v>
      </c>
      <c r="AE153" s="679">
        <f t="shared" si="157"/>
        <v>6066.8106719999987</v>
      </c>
      <c r="AF153" s="679">
        <f t="shared" si="157"/>
        <v>6300.149543999999</v>
      </c>
      <c r="AG153" s="679">
        <f t="shared" si="157"/>
        <v>6533.4884159999983</v>
      </c>
      <c r="AH153" s="679">
        <f t="shared" si="157"/>
        <v>6766.8272879999986</v>
      </c>
      <c r="AI153" s="679">
        <f t="shared" si="157"/>
        <v>7000.1661599999989</v>
      </c>
      <c r="AJ153" s="679">
        <f t="shared" si="157"/>
        <v>7233.5050319999991</v>
      </c>
      <c r="AK153" s="679">
        <f t="shared" si="157"/>
        <v>7466.8439039999994</v>
      </c>
      <c r="AL153" s="679">
        <f t="shared" si="157"/>
        <v>7700.1827759999987</v>
      </c>
      <c r="AM153" s="679">
        <f t="shared" si="157"/>
        <v>7933.5216479999972</v>
      </c>
      <c r="AN153" s="679">
        <f t="shared" ref="AN153:BS153" si="158">((AN$136-$H$4)/1000)*$P$76*(($C$8/70)^$Z$76)*IF($C$13=1,$AE$75,IF($C$13=2,$AF$75,IF($C$13=3,$AG$75,1)))</f>
        <v>8166.8605199999975</v>
      </c>
      <c r="AO153" s="679">
        <f t="shared" si="158"/>
        <v>8400.1993919999986</v>
      </c>
      <c r="AP153" s="679">
        <f t="shared" si="158"/>
        <v>8633.5382639999989</v>
      </c>
      <c r="AQ153" s="679">
        <f t="shared" si="158"/>
        <v>8866.8771359999973</v>
      </c>
      <c r="AR153" s="679">
        <f t="shared" si="158"/>
        <v>9100.2160079999976</v>
      </c>
      <c r="AS153" s="679">
        <f t="shared" si="158"/>
        <v>9333.5548799999979</v>
      </c>
      <c r="AT153" s="679">
        <f t="shared" si="158"/>
        <v>9566.8937519999963</v>
      </c>
      <c r="AU153" s="679">
        <f t="shared" si="158"/>
        <v>9800.2326239999984</v>
      </c>
      <c r="AV153" s="679">
        <f t="shared" si="158"/>
        <v>10033.571495999997</v>
      </c>
      <c r="AW153" s="679">
        <f t="shared" si="158"/>
        <v>10266.910367999997</v>
      </c>
      <c r="AX153" s="679">
        <f t="shared" si="158"/>
        <v>10500.249239999997</v>
      </c>
      <c r="AY153" s="679">
        <f t="shared" si="158"/>
        <v>10733.588111999996</v>
      </c>
      <c r="AZ153" s="679">
        <f t="shared" si="158"/>
        <v>10966.926983999998</v>
      </c>
      <c r="BA153" s="679">
        <f t="shared" si="158"/>
        <v>11200.265855999996</v>
      </c>
      <c r="BB153" s="679">
        <f t="shared" si="158"/>
        <v>11433.604727999998</v>
      </c>
      <c r="BC153" s="679">
        <f t="shared" si="158"/>
        <v>11666.943599999997</v>
      </c>
      <c r="BD153" s="679">
        <f t="shared" si="158"/>
        <v>11900.282471999995</v>
      </c>
      <c r="BE153" s="679">
        <f t="shared" si="158"/>
        <v>12133.621343999997</v>
      </c>
      <c r="BF153" s="679">
        <f t="shared" si="158"/>
        <v>12366.960215999996</v>
      </c>
      <c r="BG153" s="865">
        <f t="shared" si="158"/>
        <v>-1633.3721039999996</v>
      </c>
      <c r="BH153" s="865">
        <f t="shared" si="158"/>
        <v>-1633.3721039999996</v>
      </c>
      <c r="BI153" s="865">
        <f t="shared" si="158"/>
        <v>-1633.3721039999996</v>
      </c>
      <c r="BJ153" s="865">
        <f t="shared" si="158"/>
        <v>-1633.3721039999996</v>
      </c>
      <c r="BK153" s="865">
        <f t="shared" si="158"/>
        <v>-1633.3721039999996</v>
      </c>
      <c r="BL153" s="865">
        <f t="shared" si="158"/>
        <v>-1633.3721039999996</v>
      </c>
      <c r="BM153" s="865">
        <f t="shared" si="158"/>
        <v>-1633.3721039999996</v>
      </c>
      <c r="BN153" s="865">
        <f t="shared" si="158"/>
        <v>-1633.3721039999996</v>
      </c>
      <c r="BO153" s="865">
        <f t="shared" si="158"/>
        <v>-1633.3721039999996</v>
      </c>
      <c r="BP153" s="865">
        <f t="shared" si="158"/>
        <v>-1633.3721039999996</v>
      </c>
      <c r="BQ153" s="865">
        <f t="shared" si="158"/>
        <v>-1633.3721039999996</v>
      </c>
      <c r="BR153" s="865">
        <f t="shared" si="158"/>
        <v>-1633.3721039999996</v>
      </c>
      <c r="BS153" s="865">
        <f t="shared" si="158"/>
        <v>-1633.3721039999996</v>
      </c>
      <c r="BT153" s="865">
        <f t="shared" ref="BT153:CY153" si="159">((BT$136-$H$4)/1000)*$P$76*(($C$8/70)^$Z$76)*IF($C$13=1,$AE$75,IF($C$13=2,$AF$75,IF($C$13=3,$AG$75,1)))</f>
        <v>-1633.3721039999996</v>
      </c>
      <c r="BU153" s="865">
        <f t="shared" si="159"/>
        <v>-1633.3721039999996</v>
      </c>
      <c r="BV153" s="865">
        <f t="shared" si="159"/>
        <v>-1633.3721039999996</v>
      </c>
      <c r="BW153" s="865">
        <f t="shared" si="159"/>
        <v>-1633.3721039999996</v>
      </c>
      <c r="BX153" s="865">
        <f t="shared" si="159"/>
        <v>-1633.3721039999996</v>
      </c>
      <c r="BY153" s="865">
        <f t="shared" si="159"/>
        <v>-1633.3721039999996</v>
      </c>
      <c r="BZ153" s="865">
        <f t="shared" si="159"/>
        <v>-1633.3721039999996</v>
      </c>
      <c r="CA153" s="865">
        <f t="shared" si="159"/>
        <v>-1633.3721039999996</v>
      </c>
      <c r="CB153" s="865">
        <f t="shared" si="159"/>
        <v>-1633.3721039999996</v>
      </c>
      <c r="CC153" s="865">
        <f t="shared" si="159"/>
        <v>-1633.3721039999996</v>
      </c>
      <c r="CD153" s="865">
        <f t="shared" si="159"/>
        <v>-1633.3721039999996</v>
      </c>
      <c r="CE153" s="865">
        <f t="shared" si="159"/>
        <v>-1633.3721039999996</v>
      </c>
      <c r="CF153" s="865">
        <f t="shared" si="159"/>
        <v>-1633.3721039999996</v>
      </c>
      <c r="CG153" s="865">
        <f t="shared" si="159"/>
        <v>-1633.3721039999996</v>
      </c>
      <c r="CH153" s="865">
        <f t="shared" si="159"/>
        <v>-1633.3721039999996</v>
      </c>
      <c r="CI153" s="865">
        <f t="shared" si="159"/>
        <v>-1633.3721039999996</v>
      </c>
      <c r="CJ153" s="865">
        <f t="shared" si="159"/>
        <v>-1633.3721039999996</v>
      </c>
      <c r="CK153" s="865">
        <f t="shared" si="159"/>
        <v>-1633.3721039999996</v>
      </c>
      <c r="CL153" s="865">
        <f t="shared" si="159"/>
        <v>-1633.3721039999996</v>
      </c>
      <c r="CM153" s="865">
        <f t="shared" si="159"/>
        <v>-1633.3721039999996</v>
      </c>
      <c r="CN153" s="865">
        <f t="shared" si="159"/>
        <v>-1633.3721039999996</v>
      </c>
      <c r="CO153" s="865">
        <f t="shared" si="159"/>
        <v>-1633.3721039999996</v>
      </c>
      <c r="CP153" s="865">
        <f t="shared" si="159"/>
        <v>-1633.3721039999996</v>
      </c>
      <c r="CQ153" s="865">
        <f t="shared" si="159"/>
        <v>-1633.3721039999996</v>
      </c>
      <c r="CR153" s="865">
        <f t="shared" si="159"/>
        <v>-1633.3721039999996</v>
      </c>
      <c r="CS153" s="865">
        <f t="shared" si="159"/>
        <v>-1633.3721039999996</v>
      </c>
      <c r="CT153" s="865">
        <f t="shared" si="159"/>
        <v>-1633.3721039999996</v>
      </c>
      <c r="CU153" s="865">
        <f t="shared" si="159"/>
        <v>-1633.3721039999996</v>
      </c>
      <c r="CV153" s="865">
        <f t="shared" si="159"/>
        <v>-1633.3721039999996</v>
      </c>
      <c r="CW153" s="865">
        <f t="shared" si="159"/>
        <v>-1633.3721039999996</v>
      </c>
      <c r="CX153" s="865">
        <f t="shared" si="159"/>
        <v>-1633.3721039999996</v>
      </c>
      <c r="CY153" s="865">
        <f t="shared" si="159"/>
        <v>-1633.3721039999996</v>
      </c>
      <c r="CZ153" s="865">
        <f t="shared" ref="CZ153:DF153" si="160">((CZ$136-$H$4)/1000)*$P$76*(($C$8/70)^$Z$76)*IF($C$13=1,$AE$75,IF($C$13=2,$AF$75,IF($C$13=3,$AG$75,1)))</f>
        <v>-1633.3721039999996</v>
      </c>
      <c r="DA153" s="865">
        <f t="shared" si="160"/>
        <v>-1633.3721039999996</v>
      </c>
      <c r="DB153" s="865">
        <f t="shared" si="160"/>
        <v>-1633.3721039999996</v>
      </c>
      <c r="DC153" s="865">
        <f t="shared" si="160"/>
        <v>-1633.3721039999996</v>
      </c>
      <c r="DD153" s="865">
        <f t="shared" si="160"/>
        <v>-1633.3721039999996</v>
      </c>
      <c r="DE153" s="865">
        <f t="shared" si="160"/>
        <v>-1633.3721039999996</v>
      </c>
      <c r="DF153" s="865">
        <f t="shared" si="160"/>
        <v>-1633.3721039999996</v>
      </c>
    </row>
  </sheetData>
  <sheetProtection algorithmName="SHA-512" hashValue="QXlpxiiNmtNas2eOXNK/w00DdfU5On/RbgWQsSVGQrLqz9IS1NzgBx0682qcAARZFwSa/NjFihmPJw80zn998g==" saltValue="xd1LpSTwfwU/G0n774nsbQ==" spinCount="100000" sheet="1" objects="1" scenarios="1"/>
  <mergeCells count="141">
    <mergeCell ref="AF38:AI38"/>
    <mergeCell ref="AF21:AI21"/>
    <mergeCell ref="U71:U72"/>
    <mergeCell ref="V71:V72"/>
    <mergeCell ref="W71:W72"/>
    <mergeCell ref="X71:Y71"/>
    <mergeCell ref="Z71:Z72"/>
    <mergeCell ref="AA71:AB71"/>
    <mergeCell ref="X38:X39"/>
    <mergeCell ref="Y38:Z38"/>
    <mergeCell ref="AC38:AD38"/>
    <mergeCell ref="T70:AB70"/>
    <mergeCell ref="U55:U56"/>
    <mergeCell ref="V55:V56"/>
    <mergeCell ref="W55:W56"/>
    <mergeCell ref="X55:Y55"/>
    <mergeCell ref="Z55:Z56"/>
    <mergeCell ref="AA55:AB55"/>
    <mergeCell ref="J53:AB53"/>
    <mergeCell ref="P71:P72"/>
    <mergeCell ref="Q71:R71"/>
    <mergeCell ref="J54:R54"/>
    <mergeCell ref="T54:AB54"/>
    <mergeCell ref="K55:K56"/>
    <mergeCell ref="J1:AE3"/>
    <mergeCell ref="K21:K22"/>
    <mergeCell ref="L21:L22"/>
    <mergeCell ref="M21:M22"/>
    <mergeCell ref="N21:O21"/>
    <mergeCell ref="R21:S21"/>
    <mergeCell ref="V21:V22"/>
    <mergeCell ref="W21:W22"/>
    <mergeCell ref="X21:X22"/>
    <mergeCell ref="Y21:Z21"/>
    <mergeCell ref="AC21:AD21"/>
    <mergeCell ref="B153:C153"/>
    <mergeCell ref="H135:BF135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35:C136"/>
    <mergeCell ref="B137:C137"/>
    <mergeCell ref="B149:C149"/>
    <mergeCell ref="B150:C150"/>
    <mergeCell ref="B151:C151"/>
    <mergeCell ref="B152:C152"/>
    <mergeCell ref="B116:C116"/>
    <mergeCell ref="B118:C118"/>
    <mergeCell ref="B117:C117"/>
    <mergeCell ref="B119:C119"/>
    <mergeCell ref="B120:C120"/>
    <mergeCell ref="B89:C89"/>
    <mergeCell ref="B125:C125"/>
    <mergeCell ref="B127:C127"/>
    <mergeCell ref="B128:C128"/>
    <mergeCell ref="B112:C112"/>
    <mergeCell ref="B102:C102"/>
    <mergeCell ref="B126:C126"/>
    <mergeCell ref="B113:C113"/>
    <mergeCell ref="B92:C92"/>
    <mergeCell ref="B93:C93"/>
    <mergeCell ref="B94:C94"/>
    <mergeCell ref="B95:C95"/>
    <mergeCell ref="B96:C96"/>
    <mergeCell ref="B103:C103"/>
    <mergeCell ref="B104:C104"/>
    <mergeCell ref="B105:C105"/>
    <mergeCell ref="B106:C106"/>
    <mergeCell ref="AD70:AG70"/>
    <mergeCell ref="AD55:AG55"/>
    <mergeCell ref="B109:C109"/>
    <mergeCell ref="B110:C110"/>
    <mergeCell ref="K71:K72"/>
    <mergeCell ref="L71:L72"/>
    <mergeCell ref="M71:M72"/>
    <mergeCell ref="B107:C107"/>
    <mergeCell ref="B108:C108"/>
    <mergeCell ref="B97:C97"/>
    <mergeCell ref="B98:C98"/>
    <mergeCell ref="B99:C99"/>
    <mergeCell ref="B90:C90"/>
    <mergeCell ref="B100:C100"/>
    <mergeCell ref="B101:C101"/>
    <mergeCell ref="J70:R70"/>
    <mergeCell ref="N71:O71"/>
    <mergeCell ref="P55:P56"/>
    <mergeCell ref="Q55:R55"/>
    <mergeCell ref="B85:C86"/>
    <mergeCell ref="B84:C84"/>
    <mergeCell ref="B82:B83"/>
    <mergeCell ref="B87:C87"/>
    <mergeCell ref="B88:C88"/>
    <mergeCell ref="A87:A126"/>
    <mergeCell ref="B147:C147"/>
    <mergeCell ref="B148:C148"/>
    <mergeCell ref="B91:C91"/>
    <mergeCell ref="D85:D86"/>
    <mergeCell ref="E85:E86"/>
    <mergeCell ref="F85:F86"/>
    <mergeCell ref="G85:G86"/>
    <mergeCell ref="H85:BF85"/>
    <mergeCell ref="B130:C131"/>
    <mergeCell ref="B132:C132"/>
    <mergeCell ref="B133:C133"/>
    <mergeCell ref="H130:BF130"/>
    <mergeCell ref="D130:D131"/>
    <mergeCell ref="E130:E131"/>
    <mergeCell ref="F130:F131"/>
    <mergeCell ref="G130:G131"/>
    <mergeCell ref="B124:C124"/>
    <mergeCell ref="B111:C111"/>
    <mergeCell ref="B121:C121"/>
    <mergeCell ref="B122:C122"/>
    <mergeCell ref="B123:C123"/>
    <mergeCell ref="B114:C114"/>
    <mergeCell ref="B115:C115"/>
    <mergeCell ref="L55:L56"/>
    <mergeCell ref="M55:M56"/>
    <mergeCell ref="N55:O55"/>
    <mergeCell ref="J36:AD36"/>
    <mergeCell ref="U37:AD37"/>
    <mergeCell ref="J37:S37"/>
    <mergeCell ref="U20:AD20"/>
    <mergeCell ref="J20:S20"/>
    <mergeCell ref="P21:Q21"/>
    <mergeCell ref="AA21:AB21"/>
    <mergeCell ref="AA38:AB38"/>
    <mergeCell ref="P38:Q38"/>
    <mergeCell ref="K38:K39"/>
    <mergeCell ref="L38:L39"/>
    <mergeCell ref="M38:M39"/>
    <mergeCell ref="N38:O38"/>
    <mergeCell ref="R38:S38"/>
    <mergeCell ref="V38:V39"/>
    <mergeCell ref="W38:W39"/>
  </mergeCells>
  <conditionalFormatting sqref="J103:BH107 J121:BH124 J109:BH111 J108:DF108 J125:K128">
    <cfRule type="cellIs" dxfId="69" priority="42" operator="between">
      <formula>$J$11</formula>
      <formula>$J$12</formula>
    </cfRule>
  </conditionalFormatting>
  <conditionalFormatting sqref="H134:BF134">
    <cfRule type="cellIs" dxfId="68" priority="27" operator="between">
      <formula>$J$11</formula>
      <formula>$J$12</formula>
    </cfRule>
  </conditionalFormatting>
  <conditionalFormatting sqref="J95:BH98">
    <cfRule type="cellIs" dxfId="67" priority="24" operator="between">
      <formula>$J$11</formula>
      <formula>$J$12</formula>
    </cfRule>
  </conditionalFormatting>
  <conditionalFormatting sqref="J91:BH94">
    <cfRule type="cellIs" dxfId="66" priority="23" operator="between">
      <formula>$J$11</formula>
      <formula>$J$12</formula>
    </cfRule>
  </conditionalFormatting>
  <conditionalFormatting sqref="J87:BH90">
    <cfRule type="cellIs" dxfId="65" priority="22" operator="between">
      <formula>$J$11</formula>
      <formula>$J$12</formula>
    </cfRule>
  </conditionalFormatting>
  <conditionalFormatting sqref="J99:BH102">
    <cfRule type="cellIs" dxfId="64" priority="21" operator="between">
      <formula>$J$11</formula>
      <formula>$J$12</formula>
    </cfRule>
  </conditionalFormatting>
  <conditionalFormatting sqref="H137:DF153">
    <cfRule type="cellIs" dxfId="63" priority="18" operator="between">
      <formula>$J$11</formula>
      <formula>$J$12</formula>
    </cfRule>
  </conditionalFormatting>
  <conditionalFormatting sqref="H132:DF133">
    <cfRule type="cellIs" dxfId="62" priority="13" operator="between">
      <formula>$J$11</formula>
      <formula>$J$12</formula>
    </cfRule>
  </conditionalFormatting>
  <conditionalFormatting sqref="J113:DF116 J117:K120 BG117:DF120">
    <cfRule type="cellIs" dxfId="61" priority="9" operator="between">
      <formula>$J$11</formula>
      <formula>$J$12</formula>
    </cfRule>
  </conditionalFormatting>
  <conditionalFormatting sqref="L127:DF128">
    <cfRule type="cellIs" dxfId="60" priority="2" operator="between">
      <formula>$J$11</formula>
      <formula>$J$12</formula>
    </cfRule>
  </conditionalFormatting>
  <conditionalFormatting sqref="L117:BF118">
    <cfRule type="cellIs" dxfId="59" priority="5" operator="between">
      <formula>$J$11</formula>
      <formula>$J$12</formula>
    </cfRule>
  </conditionalFormatting>
  <conditionalFormatting sqref="L119:BF120">
    <cfRule type="cellIs" dxfId="58" priority="4" operator="between">
      <formula>$J$11</formula>
      <formula>$J$12</formula>
    </cfRule>
  </conditionalFormatting>
  <conditionalFormatting sqref="L125:DF126">
    <cfRule type="cellIs" dxfId="57" priority="3" operator="between">
      <formula>$J$11</formula>
      <formula>$J$12</formula>
    </cfRule>
  </conditionalFormatting>
  <conditionalFormatting sqref="J112:DF112">
    <cfRule type="cellIs" dxfId="56" priority="1" operator="between">
      <formula>$J$11</formula>
      <formula>$J$12</formula>
    </cfRule>
  </conditionalFormatting>
  <dataValidations count="1">
    <dataValidation type="list" allowBlank="1" showInputMessage="1" showErrorMessage="1" sqref="D13:G18 C13" xr:uid="{00000000-0002-0000-0600-000000000000}">
      <formula1>$AF$22:$AI$22</formula1>
    </dataValidation>
  </dataValidations>
  <hyperlinks>
    <hyperlink ref="A1:I1" location="Главная!A1" display="Вернуться на главную страницу" xr:uid="{00000000-0004-0000-0600-000000000000}"/>
    <hyperlink ref="B87:C90" location="'65 ВЕНТ 24В'!R1C1" display="ВКВ.065.260.ХХХ.2ТГ" xr:uid="{00000000-0004-0000-0600-000001000000}"/>
    <hyperlink ref="B91:C94" location="'70 ВЕНТ 24В'!R1C1" display="ВКВ.070.260.ХХХ.2ТГ" xr:uid="{00000000-0004-0000-0600-000002000000}"/>
    <hyperlink ref="B95:C98" location="'75 ВЕНТ 24В'!R1C1" display="ВКВ.075.260.ХХХ.2ТГ" xr:uid="{00000000-0004-0000-0600-000003000000}"/>
    <hyperlink ref="B99:C102" location="'80 ВЕНТ 24В'!R1C1" display="ВКВ.080.260.ХХХ.2ТГ" xr:uid="{00000000-0004-0000-0600-000004000000}"/>
    <hyperlink ref="B103:C107" location="'90 ВЕНТ 24В'!R1C1" display="ВКВ.090.200.ХХХ.2ТГ" xr:uid="{00000000-0004-0000-0600-000005000000}"/>
    <hyperlink ref="B108:C111" location="'110 ВЕНТ 24В'!R1C1" display="ВКВ.110.200.ХХХ.2ТГ" xr:uid="{00000000-0004-0000-0600-000006000000}"/>
    <hyperlink ref="B137:C137" location="ВКВ.ЭКО.75!R1C1" display="ВКВ.ЭКОНОМ.075.260.ХХХ.2ТГ" xr:uid="{00000000-0004-0000-0600-000007000000}"/>
    <hyperlink ref="B142:C142" location="ВКВ.ЭКО.90!R1C1" display="ВКВ.ЭКОНОМ.090.260.ХХХ.2ТГ" xr:uid="{00000000-0004-0000-0600-000008000000}"/>
    <hyperlink ref="B132:C133" location="ВКВТХ!R1C1" display="ВКВТХ.130.260.ХХХ.4ТК" xr:uid="{00000000-0004-0000-0600-000009000000}"/>
    <hyperlink ref="B113:C118" location="'140 ВЕНТ 24В'!A1" display="ВКВ.140.160.ХХХ.2ТГ" xr:uid="{00000000-0004-0000-0600-00000A000000}"/>
    <hyperlink ref="B121:C126" location="'150 ВЕНТ 24В'!R1C1" display="ВКВ.150.160.ХХХ.2ТВ" xr:uid="{00000000-0004-0000-0600-00000B000000}"/>
    <hyperlink ref="B128:C128" location="'150 ВЕНТ 24В'!R1C1" display="ВКВ.150.160.ХХХ.2ТВ" xr:uid="{00000000-0004-0000-0600-00000C000000}"/>
    <hyperlink ref="B125:C125" location="'150 ВЕНТ 24В'!R1C1" display="ВКВ.150.160.ХХХ.2ТВ" xr:uid="{00000000-0004-0000-0600-00000D000000}"/>
    <hyperlink ref="B127:C127" location="'150 ВЕНТ 24В'!R1C1" display="ВКВ.150.160.ХХХ.2ТВ" xr:uid="{00000000-0004-0000-0600-00000E000000}"/>
    <hyperlink ref="B112:C112" location="'110 ВЕНТ 24В'!R1C1" display="ВКВ.110.200.ХХХ.2ТГ" xr:uid="{00000000-0004-0000-0600-00000F000000}"/>
  </hyperlink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71C98-53B6-40E3-B455-6CAE0378F486}">
  <dimension ref="A1:DS249"/>
  <sheetViews>
    <sheetView zoomScale="85" zoomScaleNormal="85" workbookViewId="0">
      <selection activeCell="AB24" sqref="AB24"/>
    </sheetView>
  </sheetViews>
  <sheetFormatPr defaultRowHeight="15"/>
  <cols>
    <col min="1" max="1" width="7.85546875" style="632" customWidth="1"/>
    <col min="2" max="2" width="28.28515625" style="632" customWidth="1"/>
    <col min="3" max="3" width="11.5703125" style="632" customWidth="1"/>
    <col min="4" max="4" width="9" style="632" customWidth="1"/>
    <col min="5" max="8" width="6.140625" style="632" hidden="1" customWidth="1"/>
    <col min="9" max="10" width="6.42578125" style="632" hidden="1" customWidth="1"/>
    <col min="11" max="59" width="6.42578125" style="632" customWidth="1"/>
    <col min="60" max="111" width="0" style="632" hidden="1" customWidth="1"/>
    <col min="112" max="113" width="5" style="632" customWidth="1"/>
    <col min="114" max="118" width="9.5703125" style="632" customWidth="1"/>
    <col min="119" max="16384" width="9.140625" style="632"/>
  </cols>
  <sheetData>
    <row r="1" spans="1:123" s="74" customFormat="1" ht="16.5" customHeight="1">
      <c r="A1" s="1979" t="s">
        <v>9</v>
      </c>
      <c r="B1" s="1979"/>
      <c r="C1" s="1979"/>
      <c r="D1" s="1979"/>
      <c r="E1" s="1979"/>
      <c r="F1" s="1979"/>
      <c r="G1" s="97"/>
      <c r="H1" s="1979"/>
      <c r="I1" s="1979"/>
      <c r="J1" s="1979"/>
      <c r="K1" s="2563" t="s">
        <v>5752</v>
      </c>
      <c r="L1" s="2564"/>
      <c r="M1" s="2564"/>
      <c r="N1" s="2564"/>
      <c r="O1" s="2564"/>
      <c r="P1" s="2564"/>
      <c r="Q1" s="2564"/>
      <c r="R1" s="2564"/>
      <c r="S1" s="2564"/>
      <c r="T1" s="2564"/>
      <c r="U1" s="2564"/>
      <c r="V1" s="2564"/>
      <c r="W1" s="2564"/>
      <c r="X1" s="2564"/>
      <c r="Y1" s="2564"/>
      <c r="Z1" s="2564"/>
      <c r="AA1" s="2564"/>
      <c r="AB1" s="2564"/>
      <c r="AC1" s="2564"/>
      <c r="AD1" s="2564"/>
      <c r="AE1" s="2564"/>
      <c r="AF1" s="2564"/>
      <c r="AH1" s="632"/>
      <c r="AI1" s="632"/>
      <c r="AJ1" s="632"/>
      <c r="AK1" s="632"/>
      <c r="AL1" s="632"/>
      <c r="AM1" s="632"/>
      <c r="AN1" s="632"/>
      <c r="AO1" s="632"/>
      <c r="AP1" s="632"/>
      <c r="AQ1" s="632"/>
      <c r="AR1" s="632"/>
      <c r="AS1" s="632"/>
      <c r="AT1" s="632"/>
      <c r="AU1" s="632"/>
      <c r="AV1" s="632"/>
      <c r="AW1" s="632"/>
      <c r="AX1" s="632"/>
      <c r="AY1" s="632"/>
      <c r="AZ1" s="632"/>
      <c r="BA1" s="632"/>
      <c r="BB1" s="632"/>
      <c r="BC1" s="632"/>
      <c r="BD1" s="632"/>
      <c r="BE1" s="632"/>
      <c r="BF1" s="632"/>
      <c r="BG1" s="632"/>
      <c r="BH1" s="632"/>
      <c r="BI1" s="632"/>
      <c r="BJ1" s="632"/>
      <c r="BK1" s="632"/>
      <c r="BL1" s="632"/>
      <c r="BM1" s="632"/>
      <c r="BN1" s="632"/>
      <c r="BO1" s="632"/>
      <c r="BP1" s="632"/>
      <c r="BQ1" s="632"/>
      <c r="BR1" s="632"/>
      <c r="BS1" s="632"/>
      <c r="BT1" s="632"/>
      <c r="BU1" s="632"/>
      <c r="BV1" s="632"/>
      <c r="BW1" s="632"/>
      <c r="BX1" s="632"/>
      <c r="BY1" s="632"/>
      <c r="BZ1" s="632"/>
      <c r="CA1" s="632"/>
      <c r="CB1" s="632"/>
      <c r="CC1" s="632"/>
      <c r="CD1" s="632"/>
      <c r="CE1" s="632"/>
      <c r="CF1" s="632"/>
      <c r="CG1" s="632"/>
      <c r="CH1" s="632"/>
      <c r="CI1" s="632"/>
      <c r="CJ1" s="632"/>
      <c r="CK1" s="632"/>
      <c r="CL1" s="632"/>
      <c r="CM1" s="632"/>
      <c r="CN1" s="632"/>
      <c r="CO1" s="632"/>
      <c r="CP1" s="632"/>
      <c r="CQ1" s="632"/>
      <c r="CR1" s="632"/>
      <c r="CS1" s="632"/>
      <c r="CT1" s="632"/>
      <c r="CU1" s="632"/>
      <c r="CV1" s="632"/>
      <c r="CW1" s="632"/>
      <c r="CX1" s="632"/>
      <c r="CY1" s="632"/>
      <c r="CZ1" s="632"/>
      <c r="DA1" s="632"/>
      <c r="DB1" s="632"/>
      <c r="DC1" s="632"/>
      <c r="DD1" s="632"/>
      <c r="DE1" s="632"/>
      <c r="DF1" s="632"/>
      <c r="DG1" s="632"/>
      <c r="DH1" s="632"/>
      <c r="DI1" s="632"/>
      <c r="DJ1" s="632"/>
      <c r="DK1" s="632"/>
      <c r="DL1" s="632"/>
      <c r="DM1" s="632"/>
      <c r="DN1" s="632"/>
      <c r="DO1" s="632"/>
      <c r="DP1" s="632"/>
      <c r="DQ1" s="632"/>
      <c r="DR1" s="632"/>
      <c r="DS1" s="632"/>
    </row>
    <row r="2" spans="1:123">
      <c r="K2" s="2563"/>
      <c r="L2" s="2564"/>
      <c r="M2" s="2564"/>
      <c r="N2" s="2564"/>
      <c r="O2" s="2564"/>
      <c r="P2" s="2564"/>
      <c r="Q2" s="2564"/>
      <c r="R2" s="2564"/>
      <c r="S2" s="2564"/>
      <c r="T2" s="2564"/>
      <c r="U2" s="2564"/>
      <c r="V2" s="2564"/>
      <c r="W2" s="2564"/>
      <c r="X2" s="2564"/>
      <c r="Y2" s="2564"/>
      <c r="Z2" s="2564"/>
      <c r="AA2" s="2564"/>
      <c r="AB2" s="2564"/>
      <c r="AC2" s="2564"/>
      <c r="AD2" s="2564"/>
      <c r="AE2" s="2564"/>
      <c r="AF2" s="2564"/>
    </row>
    <row r="3" spans="1:123" ht="15.75" thickBot="1">
      <c r="B3" s="633"/>
      <c r="K3" s="2564"/>
      <c r="L3" s="2564"/>
      <c r="M3" s="2564"/>
      <c r="N3" s="2564"/>
      <c r="O3" s="2564"/>
      <c r="P3" s="2564"/>
      <c r="Q3" s="2564"/>
      <c r="R3" s="2564"/>
      <c r="S3" s="2564"/>
      <c r="T3" s="2564"/>
      <c r="U3" s="2564"/>
      <c r="V3" s="2564"/>
      <c r="W3" s="2564"/>
      <c r="X3" s="2564"/>
      <c r="Y3" s="2564"/>
      <c r="Z3" s="2564"/>
      <c r="AA3" s="2564"/>
      <c r="AB3" s="2564"/>
      <c r="AC3" s="2564"/>
      <c r="AD3" s="2564"/>
      <c r="AE3" s="2564"/>
      <c r="AF3" s="2564"/>
    </row>
    <row r="4" spans="1:123" ht="16.5" hidden="1" customHeight="1">
      <c r="C4" s="634" t="s">
        <v>211</v>
      </c>
      <c r="D4" s="1404"/>
      <c r="E4" s="702"/>
      <c r="F4" s="702"/>
      <c r="G4" s="702"/>
      <c r="H4" s="702"/>
      <c r="I4" s="993">
        <v>350</v>
      </c>
    </row>
    <row r="5" spans="1:123">
      <c r="B5" s="357" t="s">
        <v>212</v>
      </c>
      <c r="C5" s="635">
        <v>95</v>
      </c>
      <c r="D5" s="1404"/>
      <c r="E5" s="1405"/>
      <c r="F5" s="1405"/>
      <c r="G5" s="1405"/>
      <c r="H5" s="1405"/>
      <c r="J5" s="1406"/>
      <c r="K5" s="637"/>
      <c r="L5" s="1406"/>
      <c r="M5" s="637"/>
      <c r="N5" s="1406"/>
      <c r="O5" s="1406"/>
      <c r="P5" s="1406"/>
      <c r="Q5" s="1406"/>
      <c r="R5" s="1406"/>
      <c r="S5" s="1406"/>
      <c r="T5" s="1406"/>
      <c r="U5" s="1406"/>
      <c r="V5" s="1406"/>
      <c r="W5" s="1406"/>
      <c r="X5" s="1406"/>
      <c r="Y5" s="1406"/>
      <c r="Z5" s="1406"/>
      <c r="AA5" s="1406"/>
      <c r="AB5" s="1406"/>
      <c r="AC5" s="1406"/>
      <c r="AD5" s="1406"/>
      <c r="AE5" s="1406"/>
      <c r="AF5" s="1406"/>
      <c r="AG5" s="1406"/>
      <c r="AH5" s="1406"/>
      <c r="AI5" s="1406"/>
      <c r="AJ5" s="1406"/>
      <c r="AK5" s="1406"/>
      <c r="AL5" s="1406"/>
      <c r="AM5" s="1406"/>
      <c r="AN5" s="1406"/>
      <c r="AO5" s="1406"/>
      <c r="AP5" s="1406"/>
      <c r="AQ5" s="1406"/>
      <c r="AR5" s="1406"/>
      <c r="AS5" s="1406"/>
      <c r="AT5" s="1406"/>
      <c r="AU5" s="1406"/>
      <c r="AV5" s="1406"/>
      <c r="AW5" s="1406"/>
      <c r="AX5" s="1406"/>
      <c r="AY5" s="1406"/>
      <c r="AZ5" s="1406"/>
      <c r="BA5" s="1406"/>
      <c r="BB5" s="1406"/>
      <c r="BC5" s="1406"/>
      <c r="BD5" s="1406"/>
      <c r="BE5" s="1406"/>
      <c r="BF5" s="705"/>
      <c r="BG5" s="705"/>
    </row>
    <row r="6" spans="1:123">
      <c r="B6" s="361" t="s">
        <v>213</v>
      </c>
      <c r="C6" s="639">
        <v>85</v>
      </c>
      <c r="D6" s="1404"/>
      <c r="E6" s="1405"/>
      <c r="F6" s="1405"/>
      <c r="G6" s="1405"/>
      <c r="H6" s="1405"/>
      <c r="J6" s="1406"/>
      <c r="K6" s="1406"/>
      <c r="L6" s="1406"/>
      <c r="M6" s="637"/>
      <c r="N6" s="1406"/>
      <c r="O6" s="1406"/>
      <c r="P6" s="1406"/>
      <c r="Q6" s="1406"/>
      <c r="R6" s="1406"/>
      <c r="S6" s="1406"/>
      <c r="T6" s="1406"/>
      <c r="U6" s="1406"/>
      <c r="V6" s="1406"/>
      <c r="W6" s="1406"/>
      <c r="X6" s="1406"/>
      <c r="Y6" s="1406"/>
      <c r="Z6" s="1406"/>
      <c r="AA6" s="1406"/>
      <c r="AB6" s="1406"/>
      <c r="AC6" s="1406"/>
      <c r="AD6" s="1406"/>
      <c r="AE6" s="1406"/>
      <c r="AF6" s="1406"/>
      <c r="AG6" s="1406"/>
      <c r="AH6" s="1406"/>
      <c r="AI6" s="1406"/>
      <c r="AJ6" s="1406"/>
      <c r="AK6" s="1406"/>
      <c r="AL6" s="1406"/>
      <c r="AM6" s="1406"/>
      <c r="AN6" s="1406"/>
      <c r="AO6" s="1406"/>
      <c r="AP6" s="1406"/>
      <c r="AQ6" s="1406"/>
      <c r="AR6" s="1406"/>
      <c r="AS6" s="1406"/>
      <c r="AT6" s="1406"/>
      <c r="AU6" s="1406"/>
      <c r="AV6" s="1406"/>
      <c r="AW6" s="1406"/>
      <c r="AX6" s="1406"/>
      <c r="AY6" s="1406"/>
      <c r="AZ6" s="1406"/>
      <c r="BA6" s="1406"/>
      <c r="BB6" s="1406"/>
      <c r="BC6" s="1406"/>
      <c r="BD6" s="1406"/>
      <c r="BE6" s="1406"/>
      <c r="BF6" s="705"/>
      <c r="BG6" s="705"/>
    </row>
    <row r="7" spans="1:123">
      <c r="B7" s="361" t="s">
        <v>214</v>
      </c>
      <c r="C7" s="639">
        <v>20</v>
      </c>
      <c r="D7" s="1404"/>
      <c r="E7" s="1405"/>
      <c r="F7" s="1405"/>
      <c r="G7" s="1405"/>
      <c r="H7" s="1405"/>
      <c r="J7" s="1406"/>
      <c r="K7" s="1406"/>
      <c r="L7" s="1406"/>
      <c r="M7" s="637"/>
      <c r="N7" s="1406"/>
      <c r="O7" s="1406"/>
      <c r="P7" s="1406"/>
      <c r="Q7" s="1406"/>
      <c r="R7" s="1406"/>
      <c r="S7" s="1406"/>
      <c r="T7" s="1406"/>
      <c r="U7" s="1406"/>
      <c r="V7" s="1406"/>
      <c r="W7" s="1406"/>
      <c r="X7" s="1406"/>
      <c r="Y7" s="1406"/>
      <c r="Z7" s="1406"/>
      <c r="AA7" s="1406"/>
      <c r="AB7" s="1406"/>
      <c r="AC7" s="1406"/>
      <c r="AD7" s="1406"/>
      <c r="AE7" s="1406"/>
      <c r="AF7" s="1406"/>
      <c r="AG7" s="1406"/>
      <c r="AH7" s="1406"/>
      <c r="AI7" s="1406"/>
      <c r="AJ7" s="1406"/>
      <c r="AK7" s="1406"/>
      <c r="AL7" s="1406"/>
      <c r="AM7" s="1406"/>
      <c r="AN7" s="1406"/>
      <c r="AO7" s="1406"/>
      <c r="AP7" s="1406"/>
      <c r="AQ7" s="1406"/>
      <c r="AR7" s="1406"/>
      <c r="AS7" s="1406"/>
      <c r="AT7" s="1406"/>
      <c r="AU7" s="1406"/>
      <c r="AV7" s="1406"/>
      <c r="AW7" s="1406"/>
      <c r="AX7" s="1406"/>
      <c r="AY7" s="1406"/>
      <c r="AZ7" s="1406"/>
      <c r="BA7" s="1406"/>
      <c r="BB7" s="1406"/>
      <c r="BC7" s="1406"/>
      <c r="BD7" s="1406"/>
      <c r="BE7" s="1406"/>
      <c r="BF7" s="705"/>
      <c r="BG7" s="705"/>
    </row>
    <row r="8" spans="1:123" ht="15.75" thickBot="1">
      <c r="B8" s="640" t="s">
        <v>215</v>
      </c>
      <c r="C8" s="641">
        <f>ABS((C5+C6)/2-C7)</f>
        <v>70</v>
      </c>
      <c r="D8" s="1404"/>
      <c r="E8" s="1407"/>
      <c r="F8" s="1407"/>
      <c r="G8" s="1407"/>
      <c r="H8" s="1407"/>
      <c r="J8" s="1406"/>
      <c r="K8" s="1406"/>
      <c r="L8" s="1406"/>
      <c r="M8" s="637"/>
      <c r="N8" s="1406"/>
      <c r="O8" s="1406"/>
      <c r="P8" s="1406"/>
      <c r="Q8" s="1406"/>
      <c r="R8" s="1406"/>
      <c r="S8" s="1406"/>
      <c r="T8" s="1406"/>
      <c r="U8" s="1406"/>
      <c r="V8" s="1406"/>
      <c r="W8" s="1406"/>
      <c r="X8" s="1406"/>
      <c r="Y8" s="1406"/>
      <c r="Z8" s="1406"/>
      <c r="AA8" s="1406"/>
      <c r="AB8" s="1406"/>
      <c r="AC8" s="1406"/>
      <c r="AD8" s="1406"/>
      <c r="AE8" s="1406"/>
      <c r="AF8" s="1406"/>
      <c r="AG8" s="1406"/>
      <c r="AH8" s="1406"/>
      <c r="AI8" s="1406"/>
      <c r="AJ8" s="1406"/>
      <c r="AK8" s="1406"/>
      <c r="AL8" s="1406"/>
      <c r="AM8" s="1406"/>
      <c r="AN8" s="1406"/>
      <c r="AO8" s="1406"/>
      <c r="AP8" s="1406"/>
      <c r="AQ8" s="1406"/>
      <c r="AR8" s="1406"/>
      <c r="AS8" s="1406"/>
      <c r="AT8" s="1406"/>
      <c r="AU8" s="1406"/>
      <c r="AV8" s="1406"/>
      <c r="AW8" s="1406"/>
      <c r="AX8" s="1406"/>
      <c r="AY8" s="1406"/>
      <c r="AZ8" s="1406"/>
      <c r="BA8" s="1406"/>
      <c r="BB8" s="1406"/>
      <c r="BC8" s="1406"/>
      <c r="BD8" s="1406"/>
      <c r="BE8" s="1406"/>
      <c r="BF8" s="705"/>
      <c r="BG8" s="705"/>
    </row>
    <row r="9" spans="1:123" ht="15.75" thickBot="1">
      <c r="B9" s="1404"/>
      <c r="C9" s="1407"/>
      <c r="D9" s="1404"/>
      <c r="E9" s="1407"/>
      <c r="F9" s="1407"/>
      <c r="G9" s="1407"/>
      <c r="H9" s="1407"/>
      <c r="J9" s="1406"/>
      <c r="K9" s="1406"/>
      <c r="L9" s="1406"/>
      <c r="M9" s="637"/>
      <c r="N9" s="1406"/>
      <c r="O9" s="1406"/>
      <c r="P9" s="1406"/>
      <c r="Q9" s="1406"/>
      <c r="R9" s="1406"/>
      <c r="S9" s="1406"/>
      <c r="T9" s="1406"/>
      <c r="U9" s="1406"/>
      <c r="V9" s="1406"/>
      <c r="W9" s="1406"/>
      <c r="X9" s="1406"/>
      <c r="Y9" s="1406"/>
      <c r="Z9" s="1406"/>
      <c r="AA9" s="1406"/>
      <c r="AB9" s="1406"/>
      <c r="AC9" s="1406"/>
      <c r="AD9" s="1406"/>
      <c r="AE9" s="1406"/>
      <c r="AF9" s="1406"/>
      <c r="AG9" s="1406"/>
      <c r="AH9" s="1406"/>
      <c r="AI9" s="1406"/>
      <c r="AJ9" s="1406"/>
      <c r="AK9" s="1406"/>
      <c r="AL9" s="1406"/>
      <c r="AM9" s="1406"/>
      <c r="AN9" s="1406"/>
      <c r="AO9" s="1406"/>
      <c r="AP9" s="1406"/>
      <c r="AQ9" s="1406"/>
      <c r="AR9" s="1406"/>
      <c r="AS9" s="1406"/>
      <c r="AT9" s="1406"/>
      <c r="AU9" s="1406"/>
      <c r="AV9" s="1406"/>
      <c r="AW9" s="1406"/>
      <c r="AX9" s="1406"/>
      <c r="AY9" s="1406"/>
      <c r="AZ9" s="1406"/>
      <c r="BA9" s="1406"/>
      <c r="BB9" s="1406"/>
      <c r="BC9" s="1406"/>
      <c r="BD9" s="1406"/>
      <c r="BE9" s="1406"/>
      <c r="BF9" s="705"/>
      <c r="BG9" s="705"/>
    </row>
    <row r="10" spans="1:123">
      <c r="B10" s="644" t="s">
        <v>314</v>
      </c>
      <c r="C10" s="358">
        <v>4000</v>
      </c>
      <c r="D10" s="1404"/>
      <c r="E10" s="1405"/>
      <c r="F10" s="1405"/>
      <c r="G10" s="1405"/>
      <c r="H10" s="1405"/>
      <c r="J10" s="637"/>
      <c r="K10" s="637"/>
      <c r="L10" s="1406"/>
      <c r="M10" s="637"/>
      <c r="N10" s="1406"/>
      <c r="O10" s="1406"/>
      <c r="P10" s="1406"/>
      <c r="Q10" s="1406"/>
      <c r="R10" s="1406"/>
      <c r="S10" s="1406"/>
      <c r="T10" s="1406"/>
      <c r="U10" s="1406"/>
      <c r="V10" s="1406"/>
      <c r="W10" s="1406"/>
      <c r="X10" s="1406"/>
      <c r="Y10" s="1406"/>
      <c r="Z10" s="1406"/>
      <c r="AA10" s="1406"/>
      <c r="AB10" s="1406"/>
      <c r="AC10" s="1406"/>
      <c r="AD10" s="1406"/>
      <c r="AE10" s="1406"/>
      <c r="AF10" s="1406"/>
      <c r="AG10" s="1406"/>
      <c r="AH10" s="1406"/>
      <c r="AI10" s="1406"/>
      <c r="AJ10" s="1406"/>
      <c r="AK10" s="1406"/>
      <c r="AL10" s="1406"/>
      <c r="AM10" s="1406"/>
      <c r="AN10" s="1406"/>
      <c r="AO10" s="1406"/>
      <c r="AP10" s="1406"/>
      <c r="AQ10" s="1406"/>
      <c r="AR10" s="1406"/>
      <c r="AS10" s="1406"/>
      <c r="AT10" s="1406"/>
      <c r="AU10" s="1406"/>
      <c r="AV10" s="1406"/>
      <c r="AW10" s="1406"/>
      <c r="AX10" s="1406"/>
      <c r="AY10" s="1406"/>
      <c r="AZ10" s="1406"/>
      <c r="BA10" s="1406"/>
      <c r="BB10" s="1406"/>
      <c r="BC10" s="1406"/>
      <c r="BD10" s="1406"/>
      <c r="BE10" s="1406"/>
      <c r="BF10" s="705"/>
      <c r="BG10" s="705"/>
    </row>
    <row r="11" spans="1:123" ht="14.25" customHeight="1">
      <c r="B11" s="645" t="s">
        <v>217</v>
      </c>
      <c r="C11" s="362">
        <v>5</v>
      </c>
      <c r="D11" s="1404"/>
      <c r="E11" s="1405"/>
      <c r="F11" s="1405"/>
      <c r="G11" s="1405"/>
      <c r="H11" s="1405"/>
      <c r="J11" s="637"/>
      <c r="K11" s="646">
        <f>C10*(C11/100+1)</f>
        <v>4200</v>
      </c>
      <c r="L11" s="1406"/>
      <c r="M11" s="637"/>
      <c r="N11" s="1406"/>
      <c r="O11" s="1406"/>
      <c r="P11" s="1406"/>
      <c r="Q11" s="1406"/>
      <c r="R11" s="1406"/>
      <c r="S11" s="1406"/>
      <c r="T11" s="1406"/>
      <c r="U11" s="1406"/>
      <c r="V11" s="1406"/>
      <c r="W11" s="1406"/>
      <c r="X11" s="1406"/>
      <c r="Y11" s="1406"/>
      <c r="Z11" s="1406"/>
      <c r="AA11" s="1406"/>
      <c r="AB11" s="1406"/>
      <c r="AC11" s="1406"/>
      <c r="AD11" s="1406"/>
      <c r="AE11" s="1406"/>
      <c r="AF11" s="1406"/>
      <c r="AG11" s="1406"/>
      <c r="AH11" s="1406"/>
      <c r="AI11" s="1406"/>
      <c r="AJ11" s="1406"/>
      <c r="AK11" s="1406"/>
      <c r="AL11" s="1406"/>
      <c r="AM11" s="1406"/>
      <c r="AN11" s="1406"/>
      <c r="AO11" s="1406"/>
      <c r="AP11" s="1406"/>
      <c r="AQ11" s="1406"/>
      <c r="AR11" s="1406"/>
      <c r="AS11" s="1406"/>
      <c r="AT11" s="1406"/>
      <c r="AU11" s="1406"/>
      <c r="AV11" s="1406"/>
      <c r="AW11" s="1406"/>
      <c r="AX11" s="1406"/>
      <c r="AY11" s="1406"/>
      <c r="AZ11" s="1406"/>
      <c r="BA11" s="1406"/>
      <c r="BB11" s="1406"/>
      <c r="BC11" s="1406"/>
      <c r="BD11" s="1406"/>
      <c r="BE11" s="1406"/>
      <c r="BF11" s="705"/>
      <c r="BG11" s="705"/>
    </row>
    <row r="12" spans="1:123" ht="14.25" customHeight="1" thickBot="1">
      <c r="B12" s="647" t="s">
        <v>218</v>
      </c>
      <c r="C12" s="370">
        <v>2</v>
      </c>
      <c r="D12" s="1404"/>
      <c r="E12" s="1405"/>
      <c r="F12" s="1405"/>
      <c r="G12" s="1405"/>
      <c r="H12" s="1405"/>
      <c r="J12" s="637"/>
      <c r="K12" s="646">
        <f>C10*ABS(C12/100-1)</f>
        <v>3920</v>
      </c>
      <c r="L12" s="1406"/>
      <c r="M12" s="637"/>
      <c r="N12" s="1406"/>
      <c r="O12" s="1406"/>
      <c r="P12" s="1406"/>
      <c r="Q12" s="1406"/>
      <c r="R12" s="1406"/>
      <c r="S12" s="1406"/>
      <c r="T12" s="1406"/>
      <c r="U12" s="1406"/>
      <c r="V12" s="1406"/>
      <c r="W12" s="1406"/>
      <c r="X12" s="1406"/>
      <c r="Y12" s="1406"/>
      <c r="Z12" s="1406"/>
      <c r="AA12" s="1406"/>
      <c r="AB12" s="1406"/>
      <c r="AC12" s="1406"/>
      <c r="AD12" s="1406"/>
      <c r="AE12" s="1406"/>
      <c r="AF12" s="1406"/>
      <c r="AG12" s="1406"/>
      <c r="AH12" s="1406"/>
      <c r="AI12" s="1406"/>
      <c r="AJ12" s="1406"/>
      <c r="AK12" s="1406"/>
      <c r="AL12" s="1406"/>
      <c r="AM12" s="1406"/>
      <c r="AN12" s="1406"/>
      <c r="AO12" s="1406"/>
      <c r="AP12" s="1406"/>
      <c r="AQ12" s="1406"/>
      <c r="AR12" s="1406"/>
      <c r="AS12" s="1406"/>
      <c r="AT12" s="1406"/>
      <c r="AU12" s="1406"/>
      <c r="AV12" s="1406"/>
      <c r="AW12" s="1406"/>
      <c r="AX12" s="1406"/>
      <c r="AY12" s="1406"/>
      <c r="AZ12" s="1406"/>
      <c r="BA12" s="1406"/>
      <c r="BB12" s="1406"/>
      <c r="BC12" s="1406"/>
      <c r="BD12" s="1406"/>
      <c r="BE12" s="1406"/>
      <c r="BF12" s="705"/>
      <c r="BG12" s="705"/>
    </row>
    <row r="13" spans="1:123" ht="15.75" hidden="1" customHeight="1">
      <c r="B13" s="648" t="s">
        <v>315</v>
      </c>
      <c r="C13" s="649">
        <v>3</v>
      </c>
      <c r="D13" s="1404"/>
      <c r="E13" s="1405"/>
      <c r="F13" s="1405"/>
      <c r="G13" s="1405"/>
      <c r="H13" s="1405"/>
      <c r="J13" s="637"/>
      <c r="K13" s="646"/>
      <c r="L13" s="1406"/>
      <c r="M13" s="637"/>
      <c r="N13" s="1406"/>
      <c r="O13" s="1406"/>
      <c r="P13" s="1406"/>
      <c r="Q13" s="1406"/>
      <c r="R13" s="1406"/>
      <c r="S13" s="1406"/>
      <c r="T13" s="1406"/>
      <c r="U13" s="1406"/>
      <c r="V13" s="1406"/>
      <c r="W13" s="1406"/>
      <c r="X13" s="1406"/>
      <c r="Y13" s="1406"/>
      <c r="Z13" s="1406"/>
      <c r="AA13" s="1406"/>
      <c r="AB13" s="1406"/>
      <c r="AC13" s="1406"/>
      <c r="AD13" s="1406"/>
      <c r="AE13" s="1406"/>
      <c r="AF13" s="1406"/>
      <c r="AG13" s="1406"/>
      <c r="AH13" s="1406"/>
      <c r="AI13" s="1406"/>
      <c r="AJ13" s="1406"/>
      <c r="AK13" s="1406"/>
      <c r="AL13" s="1406"/>
      <c r="AM13" s="1406"/>
      <c r="AN13" s="1406"/>
      <c r="AO13" s="1406"/>
      <c r="AP13" s="1406"/>
      <c r="AQ13" s="1406"/>
      <c r="AR13" s="1406"/>
      <c r="AS13" s="1406"/>
      <c r="AT13" s="1406"/>
      <c r="AU13" s="1406"/>
      <c r="AV13" s="1406"/>
      <c r="AW13" s="1406"/>
      <c r="AX13" s="1406"/>
      <c r="AY13" s="1406"/>
      <c r="AZ13" s="1406"/>
      <c r="BA13" s="1406"/>
      <c r="BB13" s="1406"/>
      <c r="BC13" s="1406"/>
      <c r="BD13" s="1406"/>
      <c r="BE13" s="1406"/>
      <c r="BF13" s="705"/>
      <c r="BG13" s="705"/>
    </row>
    <row r="14" spans="1:123" ht="15.75" customHeight="1" thickBot="1">
      <c r="B14" s="648" t="s">
        <v>5753</v>
      </c>
      <c r="C14" s="1964">
        <v>20</v>
      </c>
      <c r="D14" s="1404"/>
      <c r="E14" s="1405"/>
      <c r="F14" s="1405"/>
      <c r="G14" s="1405"/>
      <c r="H14" s="1405"/>
      <c r="J14" s="637"/>
      <c r="K14" s="646"/>
      <c r="L14" s="1406"/>
      <c r="M14" s="637"/>
      <c r="N14" s="1406"/>
      <c r="O14" s="1406"/>
      <c r="P14" s="1406"/>
      <c r="Q14" s="1406"/>
      <c r="R14" s="1406"/>
      <c r="S14" s="1406"/>
      <c r="T14" s="1406"/>
      <c r="U14" s="1406"/>
      <c r="V14" s="1406"/>
      <c r="W14" s="1406"/>
      <c r="X14" s="1406"/>
      <c r="Y14" s="1406"/>
      <c r="Z14" s="1406"/>
      <c r="AA14" s="1406"/>
      <c r="AB14" s="1406"/>
      <c r="AC14" s="1406"/>
      <c r="AD14" s="1406"/>
      <c r="AE14" s="1406"/>
      <c r="AF14" s="1406"/>
      <c r="AG14" s="1406"/>
      <c r="AH14" s="1406"/>
      <c r="AI14" s="1406"/>
      <c r="AJ14" s="1406"/>
      <c r="AK14" s="1406"/>
      <c r="AL14" s="1406"/>
      <c r="AM14" s="1406"/>
      <c r="AN14" s="1406"/>
      <c r="AO14" s="1406"/>
      <c r="AP14" s="1406"/>
      <c r="AQ14" s="1406"/>
      <c r="AR14" s="1406"/>
      <c r="AS14" s="1406"/>
      <c r="AT14" s="1406"/>
      <c r="AU14" s="1406"/>
      <c r="AV14" s="1406"/>
      <c r="AW14" s="1406"/>
      <c r="AX14" s="1406"/>
      <c r="AY14" s="1406"/>
      <c r="AZ14" s="1406"/>
      <c r="BA14" s="1406"/>
      <c r="BB14" s="1406"/>
      <c r="BC14" s="1406"/>
      <c r="BD14" s="1406"/>
      <c r="BE14" s="1406"/>
      <c r="BF14" s="705"/>
      <c r="BG14" s="705"/>
    </row>
    <row r="15" spans="1:123" ht="29.25" customHeight="1" thickBot="1">
      <c r="B15" s="1408" t="s">
        <v>5754</v>
      </c>
      <c r="C15" s="1965">
        <v>2</v>
      </c>
      <c r="D15" s="1404"/>
      <c r="E15" s="1404"/>
      <c r="F15" s="1404"/>
      <c r="G15" s="1404"/>
      <c r="H15" s="1404"/>
      <c r="I15" s="1404"/>
      <c r="J15" s="1404"/>
      <c r="K15" s="1404"/>
      <c r="L15" s="1406"/>
      <c r="M15" s="637"/>
      <c r="N15" s="1406"/>
      <c r="O15" s="1406"/>
      <c r="P15" s="1406"/>
      <c r="Q15" s="1406"/>
      <c r="R15" s="1406"/>
      <c r="S15" s="1406"/>
      <c r="T15" s="1406"/>
      <c r="U15" s="1406"/>
      <c r="V15" s="1406"/>
      <c r="W15" s="1406"/>
      <c r="X15" s="1406"/>
      <c r="Y15" s="1406"/>
      <c r="Z15" s="1406"/>
      <c r="AA15" s="1406"/>
      <c r="AB15" s="1406"/>
      <c r="AC15" s="1406"/>
      <c r="AD15" s="1406"/>
      <c r="AE15" s="1406"/>
      <c r="AF15" s="1406"/>
      <c r="AG15" s="1406"/>
      <c r="AH15" s="1406"/>
      <c r="AI15" s="1406"/>
      <c r="AJ15" s="1406"/>
      <c r="AK15" s="1406"/>
      <c r="AL15" s="1406"/>
      <c r="AM15" s="1406"/>
      <c r="AN15" s="1406"/>
      <c r="AO15" s="1406"/>
      <c r="AP15" s="1406"/>
      <c r="AQ15" s="1406"/>
      <c r="AR15" s="1406"/>
      <c r="AS15" s="1406"/>
      <c r="AT15" s="1406"/>
      <c r="AU15" s="1406"/>
      <c r="AV15" s="1406"/>
      <c r="AW15" s="1406"/>
      <c r="AX15" s="1406"/>
      <c r="AY15" s="1406"/>
      <c r="AZ15" s="1406"/>
      <c r="BA15" s="1406"/>
      <c r="BB15" s="1406"/>
      <c r="BC15" s="1406"/>
      <c r="BD15" s="1406"/>
      <c r="BE15" s="1406"/>
      <c r="BF15" s="705"/>
      <c r="BG15" s="705"/>
    </row>
    <row r="16" spans="1:123" ht="29.25" customHeight="1" thickBot="1">
      <c r="B16" s="1996"/>
      <c r="C16" s="707"/>
      <c r="D16" s="1404"/>
      <c r="E16" s="1404"/>
      <c r="F16" s="1404"/>
      <c r="G16" s="1404"/>
      <c r="H16" s="1404"/>
      <c r="I16" s="1404"/>
      <c r="J16" s="1404"/>
      <c r="K16" s="1404"/>
      <c r="L16" s="1406"/>
      <c r="M16" s="637"/>
      <c r="N16" s="1406"/>
      <c r="O16" s="1406"/>
      <c r="P16" s="1406"/>
      <c r="Q16" s="1406"/>
      <c r="R16" s="1406"/>
      <c r="S16" s="1406"/>
      <c r="T16" s="1406"/>
      <c r="U16" s="1406"/>
      <c r="V16" s="1406"/>
      <c r="W16" s="1406"/>
      <c r="X16" s="1406"/>
      <c r="Y16" s="1406"/>
      <c r="Z16" s="1406"/>
      <c r="AA16" s="1406"/>
      <c r="AB16" s="1406"/>
      <c r="AC16" s="1406"/>
      <c r="AD16" s="1406"/>
      <c r="AE16" s="1406"/>
      <c r="AF16" s="1406"/>
      <c r="AG16" s="1406"/>
      <c r="AH16" s="1406"/>
      <c r="AI16" s="1406"/>
      <c r="AJ16" s="1406"/>
      <c r="AK16" s="1406"/>
      <c r="AL16" s="1406"/>
      <c r="AM16" s="1406"/>
      <c r="AN16" s="1406"/>
      <c r="AO16" s="1406"/>
      <c r="AP16" s="1406"/>
      <c r="AQ16" s="1406"/>
      <c r="AR16" s="1406"/>
      <c r="AS16" s="1406"/>
      <c r="AT16" s="1406"/>
      <c r="AU16" s="1406"/>
      <c r="AV16" s="1406"/>
      <c r="AW16" s="1406"/>
      <c r="AX16" s="1406"/>
      <c r="AY16" s="1406"/>
      <c r="AZ16" s="1406"/>
      <c r="BA16" s="1406"/>
      <c r="BB16" s="1406"/>
      <c r="BC16" s="1406"/>
      <c r="BD16" s="1406"/>
      <c r="BE16" s="1406"/>
      <c r="BF16" s="705"/>
      <c r="BG16" s="705"/>
    </row>
    <row r="17" spans="2:59" ht="15.75" customHeight="1">
      <c r="B17" s="1404"/>
      <c r="C17" s="707"/>
      <c r="D17" s="1404"/>
      <c r="E17" s="1404"/>
      <c r="F17" s="1404"/>
      <c r="G17" s="1404"/>
      <c r="H17" s="1404"/>
      <c r="I17" s="1404"/>
      <c r="J17" s="1404"/>
      <c r="K17" s="1404"/>
      <c r="L17" s="1406"/>
      <c r="M17" s="637"/>
      <c r="N17" s="1406"/>
      <c r="O17" s="1406"/>
      <c r="P17" s="1406"/>
      <c r="Q17" s="1406"/>
      <c r="R17" s="1406"/>
      <c r="S17" s="1406"/>
      <c r="T17" s="2565" t="s">
        <v>0</v>
      </c>
      <c r="U17" s="2568" t="s">
        <v>5811</v>
      </c>
      <c r="V17" s="2569"/>
      <c r="W17" s="2569"/>
      <c r="X17" s="2569"/>
      <c r="Y17" s="2570"/>
      <c r="Z17" s="1406"/>
      <c r="AA17" s="1406"/>
      <c r="AB17" s="1406"/>
      <c r="AC17" s="1406"/>
      <c r="AD17" s="1406"/>
      <c r="AE17" s="1406"/>
      <c r="AF17" s="1406"/>
      <c r="AG17" s="1406"/>
      <c r="AH17" s="1406"/>
      <c r="AI17" s="1406"/>
      <c r="AJ17" s="1406"/>
      <c r="AK17" s="1406"/>
      <c r="AL17" s="1406"/>
      <c r="AM17" s="1406"/>
      <c r="AN17" s="1406"/>
      <c r="AO17" s="1406"/>
      <c r="AP17" s="1406"/>
      <c r="AQ17" s="1406"/>
      <c r="AR17" s="1406"/>
      <c r="AS17" s="1406"/>
      <c r="AT17" s="1406"/>
      <c r="AU17" s="1406"/>
      <c r="AV17" s="1406"/>
      <c r="AW17" s="1406"/>
      <c r="AX17" s="1406"/>
      <c r="AY17" s="1406"/>
      <c r="AZ17" s="1406"/>
      <c r="BA17" s="1406"/>
      <c r="BB17" s="1406"/>
      <c r="BC17" s="1406"/>
      <c r="BD17" s="1406"/>
      <c r="BE17" s="1406"/>
      <c r="BF17" s="705"/>
      <c r="BG17" s="705"/>
    </row>
    <row r="18" spans="2:59" ht="15.75" customHeight="1">
      <c r="B18" s="1404"/>
      <c r="C18" s="707"/>
      <c r="D18" s="1404"/>
      <c r="E18" s="1404"/>
      <c r="F18" s="1404"/>
      <c r="G18" s="1404"/>
      <c r="H18" s="1404"/>
      <c r="I18" s="1404"/>
      <c r="J18" s="1404"/>
      <c r="K18" s="1404"/>
      <c r="L18" s="1406"/>
      <c r="M18" s="637"/>
      <c r="N18" s="1406"/>
      <c r="O18" s="1406"/>
      <c r="P18" s="1406"/>
      <c r="Q18" s="1406"/>
      <c r="R18" s="1406"/>
      <c r="S18" s="1406"/>
      <c r="T18" s="2566"/>
      <c r="U18" s="2571" t="s">
        <v>18</v>
      </c>
      <c r="V18" s="2572"/>
      <c r="W18" s="2572"/>
      <c r="X18" s="2572"/>
      <c r="Y18" s="2573"/>
      <c r="Z18" s="1406"/>
      <c r="AA18" s="1406"/>
      <c r="AB18" s="1406"/>
      <c r="AC18" s="1406"/>
      <c r="AD18" s="1406"/>
      <c r="AE18" s="1406"/>
      <c r="AF18" s="1406"/>
      <c r="AG18" s="1406"/>
      <c r="AH18" s="1406"/>
      <c r="AI18" s="1406"/>
      <c r="AJ18" s="1406"/>
      <c r="AK18" s="1406"/>
      <c r="AL18" s="1406"/>
      <c r="AM18" s="1406"/>
      <c r="AN18" s="1406"/>
      <c r="AO18" s="1406"/>
      <c r="AP18" s="1406"/>
      <c r="AQ18" s="1406"/>
      <c r="AR18" s="1406"/>
      <c r="AS18" s="1406"/>
      <c r="AT18" s="1406"/>
      <c r="AU18" s="1406"/>
      <c r="AV18" s="1406"/>
      <c r="AW18" s="1406"/>
      <c r="AX18" s="1406"/>
      <c r="AY18" s="1406"/>
      <c r="AZ18" s="1406"/>
      <c r="BA18" s="1406"/>
      <c r="BB18" s="1406"/>
      <c r="BC18" s="1406"/>
      <c r="BD18" s="1406"/>
      <c r="BE18" s="1406"/>
      <c r="BF18" s="705"/>
      <c r="BG18" s="705"/>
    </row>
    <row r="19" spans="2:59" ht="33.75" customHeight="1" thickBot="1">
      <c r="B19" s="1404"/>
      <c r="C19" s="707"/>
      <c r="D19" s="1404"/>
      <c r="E19" s="1404"/>
      <c r="F19" s="1404"/>
      <c r="G19" s="1404"/>
      <c r="H19" s="1404"/>
      <c r="I19" s="1404"/>
      <c r="J19" s="1404"/>
      <c r="K19" s="1404"/>
      <c r="L19" s="1406"/>
      <c r="M19" s="637"/>
      <c r="N19" s="1406"/>
      <c r="O19" s="1406"/>
      <c r="P19" s="1406"/>
      <c r="Q19" s="1406"/>
      <c r="R19" s="1406"/>
      <c r="S19" s="1406"/>
      <c r="T19" s="2567"/>
      <c r="U19" s="1997" t="s">
        <v>5806</v>
      </c>
      <c r="V19" s="1998" t="s">
        <v>5807</v>
      </c>
      <c r="W19" s="1998" t="s">
        <v>5808</v>
      </c>
      <c r="X19" s="1998" t="s">
        <v>5809</v>
      </c>
      <c r="Y19" s="1999" t="s">
        <v>5810</v>
      </c>
      <c r="Z19" s="1406"/>
      <c r="AA19" s="1406"/>
      <c r="AB19" s="1406"/>
      <c r="AC19" s="1406"/>
      <c r="AD19" s="1406"/>
      <c r="AE19" s="1406"/>
      <c r="AF19" s="1406"/>
      <c r="AG19" s="1406"/>
      <c r="AH19" s="1406"/>
      <c r="AI19" s="1406"/>
      <c r="AJ19" s="1406"/>
      <c r="AK19" s="1406"/>
      <c r="AL19" s="1406"/>
      <c r="AM19" s="1406"/>
      <c r="AN19" s="1406"/>
      <c r="AO19" s="1406"/>
      <c r="AP19" s="1406"/>
      <c r="AQ19" s="1406"/>
      <c r="AR19" s="1406"/>
      <c r="AS19" s="1406"/>
      <c r="AT19" s="1406"/>
      <c r="AU19" s="1406"/>
      <c r="AV19" s="1406"/>
      <c r="AW19" s="1406"/>
      <c r="AX19" s="1406"/>
      <c r="AY19" s="1406"/>
      <c r="AZ19" s="1406"/>
      <c r="BA19" s="1406"/>
      <c r="BB19" s="1406"/>
      <c r="BC19" s="1406"/>
      <c r="BD19" s="1406"/>
      <c r="BE19" s="1406"/>
      <c r="BF19" s="705"/>
      <c r="BG19" s="705"/>
    </row>
    <row r="20" spans="2:59" ht="15.75" customHeight="1">
      <c r="B20" s="1404"/>
      <c r="C20" s="707"/>
      <c r="D20" s="1404"/>
      <c r="E20" s="1404"/>
      <c r="F20" s="1404"/>
      <c r="G20" s="1404"/>
      <c r="H20" s="1404"/>
      <c r="I20" s="1404"/>
      <c r="J20" s="1404"/>
      <c r="K20" s="1404"/>
      <c r="L20" s="1406"/>
      <c r="M20" s="637"/>
      <c r="N20" s="1406"/>
      <c r="O20" s="1406"/>
      <c r="P20" s="1406"/>
      <c r="Q20" s="1406"/>
      <c r="R20" s="1406"/>
      <c r="S20" s="1406"/>
      <c r="T20" s="1976">
        <v>90</v>
      </c>
      <c r="U20" s="2000">
        <f>($C$14/3600)/(PI()*($D$157/1000)^2/4)/K$136</f>
        <v>2.8294212105225838</v>
      </c>
      <c r="V20" s="2001">
        <f>($C$14/3600)/(PI()*($D$157/1000)^2/4)/W$136</f>
        <v>1.4147106052612919</v>
      </c>
      <c r="W20" s="2001">
        <f>($C$14/3600)/(PI()*($D$157/1000)^2/4)/AG$136</f>
        <v>0.94314040350752792</v>
      </c>
      <c r="X20" s="2001">
        <f>($C$14/3600)/(PI()*($D$157/1000)^2/4)/AQ$136</f>
        <v>0.70735530263064594</v>
      </c>
      <c r="Y20" s="2002">
        <f>($C$14/3600)/(PI()*($D$157/1000)^2/4)/BA$136</f>
        <v>0.56588424210451671</v>
      </c>
      <c r="Z20" s="1406"/>
      <c r="AA20" s="1406"/>
      <c r="AB20" s="1406"/>
      <c r="AC20" s="1406"/>
      <c r="AD20" s="1406"/>
      <c r="AE20" s="1406"/>
      <c r="AF20" s="1406"/>
      <c r="AG20" s="1406"/>
      <c r="AH20" s="1406"/>
      <c r="AI20" s="1406"/>
      <c r="AJ20" s="1406"/>
      <c r="AK20" s="1406"/>
      <c r="AL20" s="1406"/>
      <c r="AM20" s="1406"/>
      <c r="AN20" s="1406"/>
      <c r="AO20" s="1406"/>
      <c r="AP20" s="1406"/>
      <c r="AQ20" s="1406"/>
      <c r="AR20" s="1406"/>
      <c r="AS20" s="1406"/>
      <c r="AT20" s="1406"/>
      <c r="AU20" s="1406"/>
      <c r="AV20" s="1406"/>
      <c r="AW20" s="1406"/>
      <c r="AX20" s="1406"/>
      <c r="AY20" s="1406"/>
      <c r="AZ20" s="1406"/>
      <c r="BA20" s="1406"/>
      <c r="BB20" s="1406"/>
      <c r="BC20" s="1406"/>
      <c r="BD20" s="1406"/>
      <c r="BE20" s="1406"/>
      <c r="BF20" s="705"/>
      <c r="BG20" s="705"/>
    </row>
    <row r="21" spans="2:59" ht="15.75" customHeight="1">
      <c r="B21" s="1404"/>
      <c r="C21" s="1404"/>
      <c r="D21" s="1404"/>
      <c r="E21" s="1404"/>
      <c r="F21" s="1404"/>
      <c r="G21" s="1404"/>
      <c r="H21" s="1404"/>
      <c r="I21" s="1404"/>
      <c r="J21" s="1404"/>
      <c r="K21" s="1404"/>
      <c r="L21" s="1406"/>
      <c r="M21" s="637"/>
      <c r="N21" s="1406"/>
      <c r="O21" s="1406"/>
      <c r="P21" s="1406"/>
      <c r="Q21" s="1406"/>
      <c r="R21" s="1406"/>
      <c r="S21" s="1406"/>
      <c r="T21" s="1977">
        <v>110</v>
      </c>
      <c r="U21" s="2003">
        <f>($C$14/3600)/(PI()*($D$165/1000)^2/4)/K$136</f>
        <v>1.9648758406406834</v>
      </c>
      <c r="V21" s="1972">
        <f>($C$14/3600)/(PI()*($D$165/1000)^2/4)/W$136</f>
        <v>0.98243792032034172</v>
      </c>
      <c r="W21" s="1972">
        <f>($C$14/3600)/(PI()*($D$165/1000)^2/4)/AG$136</f>
        <v>0.65495861354689444</v>
      </c>
      <c r="X21" s="1972">
        <f>($C$14/3600)/(PI()*($D$165/1000)^2/4)/AQ$136</f>
        <v>0.49121896016017086</v>
      </c>
      <c r="Y21" s="1973">
        <f>($C$14/3600)/(PI()*($D$165/1000)^2/4)/BA$136</f>
        <v>0.39297516812813671</v>
      </c>
      <c r="Z21" s="1406"/>
      <c r="AA21" s="1406"/>
      <c r="AB21" s="1406"/>
      <c r="AC21" s="1406"/>
      <c r="AD21" s="1406"/>
      <c r="AE21" s="1406"/>
      <c r="AF21" s="1406"/>
      <c r="AG21" s="1406"/>
      <c r="AH21" s="1406"/>
      <c r="AI21" s="1406"/>
      <c r="AJ21" s="1406"/>
      <c r="AK21" s="1406"/>
      <c r="AL21" s="1406"/>
      <c r="AM21" s="1406"/>
      <c r="AN21" s="1406"/>
      <c r="AO21" s="1406"/>
      <c r="AP21" s="1406"/>
      <c r="AQ21" s="1406"/>
      <c r="AR21" s="1406"/>
      <c r="AS21" s="1406"/>
      <c r="AT21" s="1406"/>
      <c r="AU21" s="1406"/>
      <c r="AV21" s="1406"/>
      <c r="AW21" s="1406"/>
      <c r="AX21" s="1406"/>
      <c r="AY21" s="1406"/>
      <c r="AZ21" s="1406"/>
      <c r="BA21" s="1406"/>
      <c r="BB21" s="1406"/>
      <c r="BC21" s="1406"/>
      <c r="BD21" s="1406"/>
      <c r="BE21" s="1406"/>
      <c r="BF21" s="705"/>
      <c r="BG21" s="705"/>
    </row>
    <row r="22" spans="2:59" ht="15.75" customHeight="1">
      <c r="B22" s="1404"/>
      <c r="C22" s="1404"/>
      <c r="D22" s="1404"/>
      <c r="E22" s="1404"/>
      <c r="F22" s="1404"/>
      <c r="G22" s="1404"/>
      <c r="H22" s="1404"/>
      <c r="I22" s="1404"/>
      <c r="J22" s="1404"/>
      <c r="K22" s="1404"/>
      <c r="L22" s="1406"/>
      <c r="M22" s="637"/>
      <c r="P22" s="1406"/>
      <c r="Q22" s="1406"/>
      <c r="R22" s="1406"/>
      <c r="S22" s="1406"/>
      <c r="T22" s="1977">
        <v>140</v>
      </c>
      <c r="U22" s="2003">
        <f>($C$14/3600)/(PI()*($D$173/1000)^2/4)/K$136</f>
        <v>0.87327815139585929</v>
      </c>
      <c r="V22" s="1972">
        <f>($C$14/3600)/(PI()*($D$173/1000)^2/4)/W$136</f>
        <v>0.43663907569792965</v>
      </c>
      <c r="W22" s="1972">
        <f>($C$14/3600)/(PI()*($D$173/1000)^2/4)/AG$136</f>
        <v>0.29109271713195312</v>
      </c>
      <c r="X22" s="1972">
        <f>($C$14/3600)/(PI()*($D$173/1000)^2/4)/AQ$136</f>
        <v>0.21831953784896482</v>
      </c>
      <c r="Y22" s="1973">
        <f>($C$14/3600)/(PI()*($D$173/1000)^2/4)/BA$136</f>
        <v>0.17465563027917186</v>
      </c>
      <c r="AE22" s="1406"/>
      <c r="AL22" s="1406"/>
      <c r="AM22" s="1406"/>
      <c r="AN22" s="1406"/>
      <c r="AO22" s="1406"/>
      <c r="AP22" s="1406"/>
      <c r="AQ22" s="1406"/>
      <c r="AR22" s="1406"/>
      <c r="AS22" s="1406"/>
      <c r="AT22" s="1406"/>
      <c r="AU22" s="1406"/>
      <c r="AV22" s="1406"/>
      <c r="AW22" s="1406"/>
      <c r="AX22" s="1406"/>
      <c r="AY22" s="1406"/>
      <c r="AZ22" s="1406"/>
      <c r="BA22" s="1406"/>
      <c r="BB22" s="1406"/>
      <c r="BC22" s="1406"/>
      <c r="BD22" s="1406"/>
      <c r="BE22" s="1406"/>
      <c r="BF22" s="705"/>
      <c r="BG22" s="705"/>
    </row>
    <row r="23" spans="2:59" ht="15.75" customHeight="1" thickBot="1">
      <c r="B23" s="1404"/>
      <c r="P23" s="1406"/>
      <c r="Q23" s="1406"/>
      <c r="R23" s="1406"/>
      <c r="S23" s="1406"/>
      <c r="T23" s="1978">
        <v>150</v>
      </c>
      <c r="U23" s="2004">
        <f>($C$14/3600)/(PI()*($D$182/1000)^2/4)/K$136</f>
        <v>0.45270739368361346</v>
      </c>
      <c r="V23" s="1974">
        <f>($C$14/3600)/(PI()*($D$182/1000)^2/4)/W$136</f>
        <v>0.22635369684180673</v>
      </c>
      <c r="W23" s="1974">
        <f>($C$14/3600)/(PI()*($D$182/1000)^2/4)/AG$136</f>
        <v>0.15090246456120449</v>
      </c>
      <c r="X23" s="1974">
        <f>($C$14/3600)/(PI()*($D$182/1000)^2/4)/AQ$136</f>
        <v>0.11317684842090336</v>
      </c>
      <c r="Y23" s="1975">
        <f>($C$14/3600)/(PI()*($D$182/1000)^2/4)/BA$136</f>
        <v>9.0541478736722691E-2</v>
      </c>
      <c r="AE23" s="1406"/>
      <c r="AL23" s="1406"/>
      <c r="AM23" s="1406"/>
      <c r="AN23" s="1406"/>
      <c r="AO23" s="1406"/>
      <c r="AP23" s="1406"/>
      <c r="AQ23" s="1406"/>
      <c r="AR23" s="1406"/>
      <c r="AS23" s="1406"/>
      <c r="AT23" s="1406"/>
      <c r="AU23" s="1406"/>
      <c r="AV23" s="1406"/>
      <c r="AW23" s="1406"/>
      <c r="AX23" s="1406"/>
      <c r="AY23" s="1406"/>
      <c r="AZ23" s="1406"/>
      <c r="BA23" s="1406"/>
      <c r="BB23" s="1406"/>
      <c r="BC23" s="1406"/>
      <c r="BD23" s="1406"/>
      <c r="BE23" s="1406"/>
      <c r="BF23" s="705"/>
      <c r="BG23" s="705"/>
    </row>
    <row r="24" spans="2:59" ht="14.25" customHeight="1" thickBot="1">
      <c r="C24" s="1409"/>
      <c r="D24" s="1409"/>
      <c r="E24" s="1409"/>
      <c r="F24" s="1409"/>
      <c r="G24" s="1409"/>
      <c r="H24" s="1409"/>
      <c r="I24" s="1406"/>
      <c r="J24" s="1406"/>
      <c r="K24" s="1406"/>
      <c r="L24" s="1406"/>
      <c r="M24" s="1406"/>
      <c r="N24" s="1406"/>
      <c r="O24" s="1406"/>
      <c r="P24" s="1406"/>
      <c r="Q24" s="1406"/>
      <c r="R24" s="1406"/>
      <c r="S24" s="1406"/>
      <c r="T24" s="1406"/>
      <c r="U24" s="1406"/>
      <c r="AE24" s="1406"/>
      <c r="AF24" s="1406"/>
      <c r="AG24" s="1406"/>
      <c r="AH24" s="1406"/>
      <c r="AI24" s="1406"/>
      <c r="AJ24" s="1406"/>
      <c r="AK24" s="1406"/>
      <c r="AL24" s="1406"/>
      <c r="AM24" s="1406"/>
      <c r="AN24" s="1406"/>
      <c r="AO24" s="1406"/>
      <c r="AP24" s="1406"/>
      <c r="AQ24" s="1406"/>
      <c r="AR24" s="1406"/>
      <c r="AS24" s="1406"/>
      <c r="AT24" s="1406"/>
      <c r="AU24" s="1406"/>
      <c r="AV24" s="1406"/>
      <c r="AW24" s="1406"/>
      <c r="AX24" s="1406"/>
      <c r="AY24" s="1406"/>
      <c r="AZ24" s="1406"/>
      <c r="BA24" s="1406"/>
      <c r="BB24" s="1406"/>
      <c r="BC24" s="1406"/>
      <c r="BD24" s="1406"/>
      <c r="BE24" s="1406"/>
      <c r="BF24" s="705"/>
      <c r="BG24" s="705"/>
    </row>
    <row r="25" spans="2:59" ht="14.25" hidden="1" customHeight="1">
      <c r="K25" s="2300" t="s">
        <v>220</v>
      </c>
      <c r="L25" s="2301"/>
      <c r="M25" s="2301"/>
      <c r="N25" s="2301"/>
      <c r="O25" s="2301"/>
      <c r="P25" s="2301"/>
      <c r="Q25" s="2301"/>
      <c r="R25" s="2301"/>
      <c r="S25" s="2301"/>
      <c r="T25" s="2302"/>
      <c r="V25" s="2300" t="s">
        <v>221</v>
      </c>
      <c r="W25" s="2301"/>
      <c r="X25" s="2301"/>
      <c r="Y25" s="2301"/>
      <c r="Z25" s="2301"/>
      <c r="AA25" s="2301"/>
      <c r="AB25" s="2301"/>
      <c r="AC25" s="2301"/>
      <c r="AD25" s="2301"/>
      <c r="AE25" s="2302"/>
      <c r="AJ25" s="1406"/>
    </row>
    <row r="26" spans="2:59" ht="14.25" hidden="1" customHeight="1">
      <c r="K26" s="651" t="s">
        <v>1</v>
      </c>
      <c r="L26" s="2297">
        <v>160</v>
      </c>
      <c r="M26" s="2306">
        <v>200</v>
      </c>
      <c r="N26" s="2306">
        <v>260</v>
      </c>
      <c r="O26" s="2306">
        <v>300</v>
      </c>
      <c r="P26" s="2306"/>
      <c r="Q26" s="2303">
        <v>360</v>
      </c>
      <c r="R26" s="2304"/>
      <c r="S26" s="2306">
        <v>400</v>
      </c>
      <c r="T26" s="2308"/>
      <c r="V26" s="763" t="s">
        <v>1</v>
      </c>
      <c r="W26" s="2297">
        <v>160</v>
      </c>
      <c r="X26" s="2306">
        <v>200</v>
      </c>
      <c r="Y26" s="2306">
        <v>260</v>
      </c>
      <c r="Z26" s="2306">
        <v>300</v>
      </c>
      <c r="AA26" s="2306"/>
      <c r="AB26" s="2303">
        <v>360</v>
      </c>
      <c r="AC26" s="2304"/>
      <c r="AD26" s="2306">
        <v>400</v>
      </c>
      <c r="AE26" s="2308"/>
      <c r="AG26" s="2401" t="s">
        <v>316</v>
      </c>
      <c r="AH26" s="2402"/>
      <c r="AI26" s="2402"/>
      <c r="AJ26" s="2403"/>
      <c r="AK26" s="1410" t="s">
        <v>0</v>
      </c>
      <c r="AL26" s="705"/>
      <c r="AM26" s="705"/>
      <c r="AN26" s="705"/>
      <c r="AO26" s="705"/>
      <c r="AP26" s="705"/>
      <c r="AQ26" s="705"/>
      <c r="AR26" s="705"/>
      <c r="AS26" s="705"/>
      <c r="AT26" s="705"/>
      <c r="AU26" s="705"/>
    </row>
    <row r="27" spans="2:59" ht="14.25" hidden="1" customHeight="1">
      <c r="K27" s="652" t="s">
        <v>0</v>
      </c>
      <c r="L27" s="2305"/>
      <c r="M27" s="2307"/>
      <c r="N27" s="2307"/>
      <c r="O27" s="1981">
        <v>2</v>
      </c>
      <c r="P27" s="1981">
        <v>4</v>
      </c>
      <c r="Q27" s="1981" t="s">
        <v>290</v>
      </c>
      <c r="R27" s="765" t="s">
        <v>292</v>
      </c>
      <c r="S27" s="1981" t="s">
        <v>290</v>
      </c>
      <c r="T27" s="765" t="s">
        <v>292</v>
      </c>
      <c r="V27" s="760" t="s">
        <v>0</v>
      </c>
      <c r="W27" s="2305"/>
      <c r="X27" s="2307"/>
      <c r="Y27" s="2307"/>
      <c r="Z27" s="1981">
        <v>1</v>
      </c>
      <c r="AA27" s="1981">
        <v>2</v>
      </c>
      <c r="AB27" s="1981" t="s">
        <v>290</v>
      </c>
      <c r="AC27" s="765" t="s">
        <v>292</v>
      </c>
      <c r="AD27" s="1981" t="s">
        <v>290</v>
      </c>
      <c r="AE27" s="765" t="s">
        <v>292</v>
      </c>
      <c r="AG27" s="784">
        <v>0</v>
      </c>
      <c r="AH27" s="785">
        <v>1</v>
      </c>
      <c r="AI27" s="785">
        <v>2</v>
      </c>
      <c r="AJ27" s="786">
        <v>3</v>
      </c>
      <c r="AK27" s="709" t="s">
        <v>317</v>
      </c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</row>
    <row r="28" spans="2:59" ht="14.25" hidden="1" customHeight="1">
      <c r="K28" s="710">
        <v>65</v>
      </c>
      <c r="L28" s="752" t="s">
        <v>318</v>
      </c>
      <c r="M28" s="653" t="s">
        <v>318</v>
      </c>
      <c r="N28" s="653">
        <f>N30*0.71</f>
        <v>237.708</v>
      </c>
      <c r="O28" s="653">
        <f>O30*0.71</f>
        <v>263.26799999999997</v>
      </c>
      <c r="P28" s="653" t="s">
        <v>318</v>
      </c>
      <c r="Q28" s="653"/>
      <c r="R28" s="653">
        <f>R30*0.71</f>
        <v>367.21199999999993</v>
      </c>
      <c r="S28" s="653">
        <f>S30*0.71</f>
        <v>394.476</v>
      </c>
      <c r="T28" s="753" t="s">
        <v>318</v>
      </c>
      <c r="U28" s="1406"/>
      <c r="V28" s="710">
        <v>65</v>
      </c>
      <c r="W28" s="713" t="s">
        <v>318</v>
      </c>
      <c r="X28" s="714" t="s">
        <v>318</v>
      </c>
      <c r="Y28" s="1411">
        <v>1.7</v>
      </c>
      <c r="Z28" s="1411">
        <v>1.65</v>
      </c>
      <c r="AA28" s="1411"/>
      <c r="AB28" s="714" t="s">
        <v>318</v>
      </c>
      <c r="AC28" s="1411">
        <v>1.6</v>
      </c>
      <c r="AD28" s="1411">
        <v>1.55</v>
      </c>
      <c r="AE28" s="715" t="s">
        <v>318</v>
      </c>
      <c r="AF28" s="1406"/>
      <c r="AG28" s="787">
        <v>1</v>
      </c>
      <c r="AH28" s="766">
        <v>5.12</v>
      </c>
      <c r="AI28" s="766">
        <v>5.66</v>
      </c>
      <c r="AJ28" s="767">
        <v>6.53</v>
      </c>
      <c r="AK28" s="710">
        <v>65</v>
      </c>
      <c r="AL28" s="1406"/>
      <c r="AM28" s="705"/>
      <c r="AN28" s="705"/>
      <c r="AO28" s="705"/>
      <c r="AP28" s="705"/>
      <c r="AQ28" s="705"/>
      <c r="AR28" s="705"/>
      <c r="AS28" s="705"/>
      <c r="AT28" s="705"/>
      <c r="AU28" s="705"/>
      <c r="AV28" s="705"/>
      <c r="AW28" s="705"/>
    </row>
    <row r="29" spans="2:59" ht="14.25" hidden="1" customHeight="1">
      <c r="K29" s="711">
        <v>70</v>
      </c>
      <c r="L29" s="754" t="s">
        <v>318</v>
      </c>
      <c r="M29" s="654" t="s">
        <v>318</v>
      </c>
      <c r="N29" s="654">
        <f>N31*0.71</f>
        <v>292.17635999999999</v>
      </c>
      <c r="O29" s="654">
        <f>O31*0.71</f>
        <v>323.02727999999996</v>
      </c>
      <c r="P29" s="654" t="s">
        <v>318</v>
      </c>
      <c r="Q29" s="654"/>
      <c r="R29" s="654">
        <f>R31*0.71</f>
        <v>432.68056460609114</v>
      </c>
      <c r="S29" s="654">
        <f>S31*0.71</f>
        <v>471.83759999999995</v>
      </c>
      <c r="T29" s="755" t="s">
        <v>318</v>
      </c>
      <c r="U29" s="1406"/>
      <c r="V29" s="711">
        <v>70</v>
      </c>
      <c r="W29" s="717" t="s">
        <v>318</v>
      </c>
      <c r="X29" s="718" t="s">
        <v>318</v>
      </c>
      <c r="Y29" s="720">
        <v>1.65</v>
      </c>
      <c r="Z29" s="720">
        <v>1.6</v>
      </c>
      <c r="AA29" s="720"/>
      <c r="AB29" s="718" t="s">
        <v>318</v>
      </c>
      <c r="AC29" s="720">
        <v>1.55</v>
      </c>
      <c r="AD29" s="720">
        <v>1.5</v>
      </c>
      <c r="AE29" s="719" t="s">
        <v>318</v>
      </c>
      <c r="AF29" s="1406"/>
      <c r="AG29" s="788">
        <v>1</v>
      </c>
      <c r="AH29" s="768">
        <v>5.12</v>
      </c>
      <c r="AI29" s="768">
        <v>5.66</v>
      </c>
      <c r="AJ29" s="769">
        <v>6.53</v>
      </c>
      <c r="AK29" s="711">
        <v>70</v>
      </c>
      <c r="AL29" s="1406"/>
      <c r="AM29" s="705"/>
      <c r="AN29" s="705"/>
      <c r="AO29" s="705"/>
      <c r="AP29" s="705"/>
      <c r="AQ29" s="705"/>
      <c r="AR29" s="705"/>
      <c r="AS29" s="705"/>
      <c r="AT29" s="705"/>
      <c r="AU29" s="705"/>
      <c r="AV29" s="705"/>
      <c r="AW29" s="705"/>
    </row>
    <row r="30" spans="2:59" ht="14.25" hidden="1" customHeight="1">
      <c r="K30" s="711">
        <v>75</v>
      </c>
      <c r="L30" s="655">
        <f>M30*0.9</f>
        <v>233.87400000000002</v>
      </c>
      <c r="M30" s="656">
        <f>M32*0.71</f>
        <v>259.86</v>
      </c>
      <c r="N30" s="656">
        <f>279*1.2</f>
        <v>334.8</v>
      </c>
      <c r="O30" s="656">
        <f>309*1.2</f>
        <v>370.8</v>
      </c>
      <c r="P30" s="656">
        <v>0</v>
      </c>
      <c r="Q30" s="656"/>
      <c r="R30" s="656">
        <f>431*1.2</f>
        <v>517.19999999999993</v>
      </c>
      <c r="S30" s="656">
        <f>463*1.2</f>
        <v>555.6</v>
      </c>
      <c r="T30" s="657">
        <v>0</v>
      </c>
      <c r="U30" s="1406"/>
      <c r="V30" s="711">
        <v>75</v>
      </c>
      <c r="W30" s="721">
        <v>1.7</v>
      </c>
      <c r="X30" s="722">
        <v>1.65</v>
      </c>
      <c r="Y30" s="722">
        <v>1.6</v>
      </c>
      <c r="Z30" s="722">
        <v>1.55</v>
      </c>
      <c r="AA30" s="722"/>
      <c r="AB30" s="722">
        <v>1.55</v>
      </c>
      <c r="AC30" s="722">
        <v>1.5</v>
      </c>
      <c r="AD30" s="722">
        <v>1.45</v>
      </c>
      <c r="AE30" s="723">
        <v>1.45</v>
      </c>
      <c r="AF30" s="1406"/>
      <c r="AG30" s="789">
        <v>1</v>
      </c>
      <c r="AH30" s="770">
        <v>4.5999999999999996</v>
      </c>
      <c r="AI30" s="770">
        <v>5</v>
      </c>
      <c r="AJ30" s="771">
        <v>6.53</v>
      </c>
      <c r="AK30" s="711">
        <v>75</v>
      </c>
      <c r="AL30" s="1406"/>
      <c r="AM30" s="705"/>
      <c r="AN30" s="705"/>
      <c r="AO30" s="705"/>
      <c r="AP30" s="705"/>
      <c r="AQ30" s="705"/>
      <c r="AR30" s="705"/>
      <c r="AS30" s="705"/>
      <c r="AT30" s="705"/>
      <c r="AU30" s="705"/>
      <c r="AV30" s="705"/>
      <c r="AW30" s="705"/>
    </row>
    <row r="31" spans="2:59" ht="14.25" hidden="1" customHeight="1">
      <c r="K31" s="711">
        <v>80</v>
      </c>
      <c r="L31" s="756" t="s">
        <v>318</v>
      </c>
      <c r="M31" s="757" t="s">
        <v>318</v>
      </c>
      <c r="N31" s="658">
        <f>N33*0.71</f>
        <v>411.51600000000002</v>
      </c>
      <c r="O31" s="658">
        <f>O33*0.71</f>
        <v>454.96799999999996</v>
      </c>
      <c r="P31" s="757" t="s">
        <v>318</v>
      </c>
      <c r="Q31" s="757"/>
      <c r="R31" s="658">
        <f>R33*0.71</f>
        <v>609.40924592407202</v>
      </c>
      <c r="S31" s="658">
        <f>S33*0.71</f>
        <v>664.56</v>
      </c>
      <c r="T31" s="758" t="s">
        <v>318</v>
      </c>
      <c r="U31" s="1406"/>
      <c r="V31" s="711">
        <v>80</v>
      </c>
      <c r="W31" s="724" t="s">
        <v>318</v>
      </c>
      <c r="X31" s="725" t="s">
        <v>318</v>
      </c>
      <c r="Y31" s="727">
        <v>1.55</v>
      </c>
      <c r="Z31" s="727">
        <v>1.5</v>
      </c>
      <c r="AA31" s="727"/>
      <c r="AB31" s="725" t="s">
        <v>318</v>
      </c>
      <c r="AC31" s="727">
        <v>1.45</v>
      </c>
      <c r="AD31" s="727">
        <v>1.4</v>
      </c>
      <c r="AE31" s="726" t="s">
        <v>318</v>
      </c>
      <c r="AF31" s="1406"/>
      <c r="AG31" s="790">
        <v>1</v>
      </c>
      <c r="AH31" s="772">
        <v>3.92</v>
      </c>
      <c r="AI31" s="772">
        <v>4.5</v>
      </c>
      <c r="AJ31" s="773">
        <v>5.6</v>
      </c>
      <c r="AK31" s="711">
        <v>80</v>
      </c>
      <c r="AL31" s="1406"/>
      <c r="AM31" s="705"/>
      <c r="AN31" s="705"/>
      <c r="AO31" s="705"/>
      <c r="AP31" s="705"/>
      <c r="AQ31" s="705"/>
      <c r="AR31" s="705"/>
      <c r="AS31" s="705"/>
      <c r="AT31" s="705"/>
      <c r="AU31" s="705"/>
      <c r="AV31" s="705"/>
      <c r="AW31" s="705"/>
    </row>
    <row r="32" spans="2:59" ht="14.25" hidden="1" customHeight="1">
      <c r="K32" s="711">
        <v>90</v>
      </c>
      <c r="L32" s="659">
        <f>M32*0.89</f>
        <v>325.74</v>
      </c>
      <c r="M32" s="661">
        <f>305*1.2</f>
        <v>366</v>
      </c>
      <c r="N32" s="660">
        <f>404*1.2</f>
        <v>484.79999999999995</v>
      </c>
      <c r="O32" s="660">
        <f>469*1.2</f>
        <v>562.79999999999995</v>
      </c>
      <c r="P32" s="661">
        <f>O32*1.17</f>
        <v>658.47599999999989</v>
      </c>
      <c r="Q32" s="661"/>
      <c r="R32" s="660">
        <f>582*1.2</f>
        <v>698.4</v>
      </c>
      <c r="S32" s="660">
        <f>644*1.2</f>
        <v>772.8</v>
      </c>
      <c r="T32" s="759">
        <f>S32*1.23</f>
        <v>950.54399999999998</v>
      </c>
      <c r="U32" s="1406"/>
      <c r="V32" s="711">
        <v>90</v>
      </c>
      <c r="W32" s="728">
        <v>1.6</v>
      </c>
      <c r="X32" s="729">
        <v>1.55</v>
      </c>
      <c r="Y32" s="729">
        <v>1.5</v>
      </c>
      <c r="Z32" s="729">
        <v>1.45</v>
      </c>
      <c r="AA32" s="729"/>
      <c r="AB32" s="729">
        <v>1.45</v>
      </c>
      <c r="AC32" s="729">
        <v>1.4</v>
      </c>
      <c r="AD32" s="729">
        <v>1.3</v>
      </c>
      <c r="AE32" s="730">
        <v>1.3</v>
      </c>
      <c r="AF32" s="1406"/>
      <c r="AG32" s="791">
        <v>1</v>
      </c>
      <c r="AH32" s="774">
        <v>3.51</v>
      </c>
      <c r="AI32" s="774">
        <v>3.96</v>
      </c>
      <c r="AJ32" s="775">
        <v>4.93</v>
      </c>
      <c r="AK32" s="711">
        <v>90</v>
      </c>
      <c r="AL32" s="1406"/>
      <c r="AM32" s="705"/>
      <c r="AN32" s="705"/>
      <c r="AO32" s="705"/>
      <c r="AP32" s="705"/>
      <c r="AQ32" s="705"/>
      <c r="AR32" s="705"/>
      <c r="AS32" s="705"/>
      <c r="AT32" s="705"/>
      <c r="AU32" s="705"/>
      <c r="AV32" s="705"/>
      <c r="AW32" s="705"/>
    </row>
    <row r="33" spans="11:49" ht="14.25" hidden="1" customHeight="1">
      <c r="K33" s="711">
        <v>110</v>
      </c>
      <c r="L33" s="662">
        <f>M33*0.88</f>
        <v>403.91665015679996</v>
      </c>
      <c r="M33" s="663">
        <f>M32*1.25408796</f>
        <v>458.99619335999995</v>
      </c>
      <c r="N33" s="663">
        <f>483*1.2</f>
        <v>579.6</v>
      </c>
      <c r="O33" s="663">
        <f>534*1.2</f>
        <v>640.79999999999995</v>
      </c>
      <c r="P33" s="663">
        <f>O33*1.27</f>
        <v>813.81599999999992</v>
      </c>
      <c r="Q33" s="663"/>
      <c r="R33" s="663">
        <f>M33*1.87</f>
        <v>858.3228815832</v>
      </c>
      <c r="S33" s="663">
        <f>780*1.2</f>
        <v>936</v>
      </c>
      <c r="T33" s="664">
        <f>S33*1.15</f>
        <v>1076.3999999999999</v>
      </c>
      <c r="U33" s="1406"/>
      <c r="V33" s="711">
        <v>110</v>
      </c>
      <c r="W33" s="731">
        <v>1.5</v>
      </c>
      <c r="X33" s="732">
        <v>1.3</v>
      </c>
      <c r="Y33" s="732">
        <v>1.3</v>
      </c>
      <c r="Z33" s="732">
        <v>1.3</v>
      </c>
      <c r="AA33" s="732"/>
      <c r="AB33" s="732">
        <v>1.3</v>
      </c>
      <c r="AC33" s="732">
        <v>1.3</v>
      </c>
      <c r="AD33" s="732">
        <v>1.3</v>
      </c>
      <c r="AE33" s="733">
        <v>1.3</v>
      </c>
      <c r="AF33" s="1406"/>
      <c r="AG33" s="792">
        <v>1</v>
      </c>
      <c r="AH33" s="776">
        <v>3.41</v>
      </c>
      <c r="AI33" s="776">
        <v>3.96</v>
      </c>
      <c r="AJ33" s="777">
        <v>4.93</v>
      </c>
      <c r="AK33" s="711">
        <v>110</v>
      </c>
      <c r="AL33" s="1406"/>
      <c r="AM33" s="705"/>
      <c r="AN33" s="705"/>
      <c r="AO33" s="705"/>
      <c r="AP33" s="705"/>
      <c r="AQ33" s="705"/>
      <c r="AR33" s="705"/>
      <c r="AS33" s="705"/>
      <c r="AT33" s="705"/>
      <c r="AU33" s="705"/>
      <c r="AV33" s="705"/>
      <c r="AW33" s="705"/>
    </row>
    <row r="34" spans="11:49" ht="14.25" hidden="1" customHeight="1">
      <c r="K34" s="711">
        <v>140</v>
      </c>
      <c r="L34" s="1019">
        <f>M34*0.95</f>
        <v>797.40748499999984</v>
      </c>
      <c r="M34" s="1019">
        <f>N34*0.95</f>
        <v>839.3762999999999</v>
      </c>
      <c r="N34" s="1019">
        <f>N35*0.965</f>
        <v>883.55399999999997</v>
      </c>
      <c r="O34" s="1019">
        <f>Q34*0.85</f>
        <v>899.55176999999981</v>
      </c>
      <c r="P34" s="1019">
        <f>R34*0.85</f>
        <v>946.89659999999981</v>
      </c>
      <c r="Q34" s="1019">
        <f>Q35*0.965</f>
        <v>1058.2961999999998</v>
      </c>
      <c r="R34" s="1019">
        <f>R35*0.965</f>
        <v>1113.9959999999999</v>
      </c>
      <c r="S34" s="1019">
        <f>S35*0.965</f>
        <v>1095.59538</v>
      </c>
      <c r="T34" s="1019">
        <f>T35*0.965</f>
        <v>1197.3719999999998</v>
      </c>
      <c r="U34" s="1406"/>
      <c r="V34" s="711">
        <v>140</v>
      </c>
      <c r="W34" s="1020">
        <v>1.4</v>
      </c>
      <c r="X34" s="1021">
        <v>1.35</v>
      </c>
      <c r="Y34" s="1021">
        <v>1.32</v>
      </c>
      <c r="Z34" s="1268">
        <v>1.3</v>
      </c>
      <c r="AA34" s="1268">
        <v>1.3</v>
      </c>
      <c r="AB34" s="1021">
        <v>1.28</v>
      </c>
      <c r="AC34" s="1021">
        <v>1.28</v>
      </c>
      <c r="AD34" s="1021"/>
      <c r="AE34" s="1022">
        <v>1.25</v>
      </c>
      <c r="AF34" s="1406"/>
      <c r="AG34" s="1023">
        <v>1</v>
      </c>
      <c r="AH34" s="1024">
        <v>3.41</v>
      </c>
      <c r="AI34" s="1024">
        <v>3.96</v>
      </c>
      <c r="AJ34" s="1025">
        <v>4.93</v>
      </c>
      <c r="AK34" s="711">
        <v>140</v>
      </c>
      <c r="AL34" s="1406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</row>
    <row r="35" spans="11:49" ht="14.25" hidden="1" customHeight="1">
      <c r="K35" s="711">
        <v>150</v>
      </c>
      <c r="L35" s="665">
        <f>M35*0.95</f>
        <v>826.32899999999995</v>
      </c>
      <c r="M35" s="665">
        <f>N35*0.95</f>
        <v>869.81999999999994</v>
      </c>
      <c r="N35" s="666">
        <f>763*1.2</f>
        <v>915.6</v>
      </c>
      <c r="O35" s="665">
        <f>Q35*0.85</f>
        <v>932.17799999999988</v>
      </c>
      <c r="P35" s="665">
        <f>R35*0.85</f>
        <v>981.2399999999999</v>
      </c>
      <c r="Q35" s="668">
        <f>R35*0.95</f>
        <v>1096.6799999999998</v>
      </c>
      <c r="R35" s="668">
        <f>962*1.2</f>
        <v>1154.3999999999999</v>
      </c>
      <c r="S35" s="668">
        <f>T35*0.915</f>
        <v>1135.3320000000001</v>
      </c>
      <c r="T35" s="668">
        <f>1034*1.2</f>
        <v>1240.8</v>
      </c>
      <c r="U35" s="1406"/>
      <c r="V35" s="711">
        <v>150</v>
      </c>
      <c r="W35" s="734">
        <v>1.4</v>
      </c>
      <c r="X35" s="735">
        <v>1.35</v>
      </c>
      <c r="Y35" s="735">
        <v>1.32</v>
      </c>
      <c r="Z35" s="1269">
        <v>1.3</v>
      </c>
      <c r="AA35" s="1269">
        <v>1.3</v>
      </c>
      <c r="AB35" s="735">
        <v>1.28</v>
      </c>
      <c r="AC35" s="735">
        <v>1.28</v>
      </c>
      <c r="AD35" s="735"/>
      <c r="AE35" s="736">
        <v>1.25</v>
      </c>
      <c r="AF35" s="1406"/>
      <c r="AG35" s="793">
        <v>1</v>
      </c>
      <c r="AH35" s="778">
        <v>3.41</v>
      </c>
      <c r="AI35" s="778">
        <v>3.96</v>
      </c>
      <c r="AJ35" s="779">
        <v>4.93</v>
      </c>
      <c r="AK35" s="711">
        <v>150</v>
      </c>
      <c r="AL35" s="1406"/>
      <c r="AM35" s="705"/>
      <c r="AN35" s="705"/>
      <c r="AO35" s="705">
        <v>325.74</v>
      </c>
      <c r="AP35" s="705">
        <v>366</v>
      </c>
      <c r="AQ35" s="705">
        <v>484.79999999999995</v>
      </c>
      <c r="AR35" s="705">
        <v>562.79999999999995</v>
      </c>
      <c r="AS35" s="705">
        <v>0</v>
      </c>
      <c r="AT35" s="705">
        <v>698.4</v>
      </c>
      <c r="AU35" s="705">
        <v>772.8</v>
      </c>
      <c r="AV35" s="705">
        <v>0</v>
      </c>
      <c r="AW35" s="705"/>
    </row>
    <row r="36" spans="11:49" ht="14.25" hidden="1" customHeight="1">
      <c r="K36" s="711">
        <v>200</v>
      </c>
      <c r="L36" s="670">
        <f>M36*0.88</f>
        <v>959.93109464313579</v>
      </c>
      <c r="M36" s="671">
        <f>M35*1.25408796</f>
        <v>1090.8307893671997</v>
      </c>
      <c r="N36" s="671">
        <f>M36*1.26352614</f>
        <v>1378.2932166822909</v>
      </c>
      <c r="O36" s="671">
        <f>N36*1.07113641</f>
        <v>1476.3400480444213</v>
      </c>
      <c r="P36" s="671">
        <f>P35*1.24695214</f>
        <v>1223.5593178536001</v>
      </c>
      <c r="Q36" s="671"/>
      <c r="R36" s="671">
        <f>M36*1.87</f>
        <v>2039.8535761166636</v>
      </c>
      <c r="S36" s="671"/>
      <c r="T36" s="671">
        <f>M36*1.95542361</f>
        <v>2133.0362800435591</v>
      </c>
      <c r="U36" s="1406"/>
      <c r="V36" s="711">
        <v>200</v>
      </c>
      <c r="W36" s="737"/>
      <c r="X36" s="738"/>
      <c r="Y36" s="738"/>
      <c r="Z36" s="738"/>
      <c r="AA36" s="738"/>
      <c r="AB36" s="738"/>
      <c r="AC36" s="738"/>
      <c r="AD36" s="738"/>
      <c r="AE36" s="739"/>
      <c r="AF36" s="1406"/>
      <c r="AG36" s="793">
        <v>1</v>
      </c>
      <c r="AH36" s="778">
        <v>2.73</v>
      </c>
      <c r="AI36" s="778">
        <v>3.11</v>
      </c>
      <c r="AJ36" s="779">
        <v>3.89</v>
      </c>
      <c r="AK36" s="711">
        <v>150.16</v>
      </c>
      <c r="AL36" s="1406"/>
      <c r="AM36" s="705"/>
      <c r="AN36" s="705"/>
      <c r="AO36" s="705">
        <v>403.91665015679996</v>
      </c>
      <c r="AP36" s="705">
        <v>458.99619335999995</v>
      </c>
      <c r="AQ36" s="705">
        <v>579.6</v>
      </c>
      <c r="AR36" s="705">
        <v>640.79999999999995</v>
      </c>
      <c r="AS36" s="705">
        <v>0</v>
      </c>
      <c r="AT36" s="705">
        <v>858.3228815832</v>
      </c>
      <c r="AU36" s="705">
        <v>936</v>
      </c>
      <c r="AV36" s="705">
        <v>0</v>
      </c>
      <c r="AW36" s="705"/>
    </row>
    <row r="37" spans="11:49" ht="14.25" hidden="1" customHeight="1">
      <c r="K37" s="711">
        <v>300</v>
      </c>
      <c r="L37" s="673">
        <f>M37*0.88</f>
        <v>1203.8380282215769</v>
      </c>
      <c r="M37" s="674">
        <f>M36*1.25408796</f>
        <v>1367.9977593427011</v>
      </c>
      <c r="N37" s="674">
        <f>M37*1.26352614</f>
        <v>1728.5009283909319</v>
      </c>
      <c r="O37" s="674">
        <f>N37*1.07113641</f>
        <v>1851.4602791183299</v>
      </c>
      <c r="P37" s="674">
        <f>P36*1.24695214</f>
        <v>1525.719909814487</v>
      </c>
      <c r="Q37" s="674"/>
      <c r="R37" s="674">
        <f>M37*1.87</f>
        <v>2558.1558099708514</v>
      </c>
      <c r="S37" s="674"/>
      <c r="T37" s="674">
        <f>M37*1.95542361</f>
        <v>2675.0151170458157</v>
      </c>
      <c r="U37" s="1406"/>
      <c r="V37" s="711">
        <v>300</v>
      </c>
      <c r="W37" s="740"/>
      <c r="X37" s="741"/>
      <c r="Y37" s="741"/>
      <c r="Z37" s="741"/>
      <c r="AA37" s="741"/>
      <c r="AB37" s="741"/>
      <c r="AC37" s="741"/>
      <c r="AD37" s="741"/>
      <c r="AE37" s="742"/>
      <c r="AF37" s="1406"/>
      <c r="AG37" s="793">
        <v>1</v>
      </c>
      <c r="AH37" s="735">
        <v>2.73</v>
      </c>
      <c r="AI37" s="735">
        <v>2.83</v>
      </c>
      <c r="AJ37" s="1412">
        <v>3.66</v>
      </c>
      <c r="AK37" s="712" t="s">
        <v>319</v>
      </c>
      <c r="AL37" s="1406"/>
      <c r="AM37" s="705" t="s">
        <v>320</v>
      </c>
      <c r="AN37" s="705"/>
      <c r="AO37" s="705">
        <v>438</v>
      </c>
      <c r="AP37" s="705">
        <v>550.79999999999995</v>
      </c>
      <c r="AQ37" s="705">
        <v>915.6</v>
      </c>
      <c r="AR37" s="705">
        <v>0</v>
      </c>
      <c r="AS37" s="705">
        <v>949.19999999999993</v>
      </c>
      <c r="AT37" s="705">
        <v>1154.3999999999999</v>
      </c>
      <c r="AU37" s="705">
        <v>1240.8</v>
      </c>
      <c r="AV37" s="705">
        <v>0</v>
      </c>
      <c r="AW37" s="705"/>
    </row>
    <row r="38" spans="11:49" ht="14.25" hidden="1" customHeight="1">
      <c r="K38" s="711">
        <v>400</v>
      </c>
      <c r="L38" s="676">
        <f>M38*0.88</f>
        <v>1509.7187769828197</v>
      </c>
      <c r="M38" s="677">
        <f>M37*1.25408796</f>
        <v>1715.5895192986588</v>
      </c>
      <c r="N38" s="677">
        <f>M38*1.26352614</f>
        <v>2167.6922031438899</v>
      </c>
      <c r="O38" s="677">
        <f>N38*1.07113641</f>
        <v>2321.8940444605369</v>
      </c>
      <c r="P38" s="677">
        <f>P37*1.24695214</f>
        <v>1902.4997065837817</v>
      </c>
      <c r="Q38" s="677"/>
      <c r="R38" s="677">
        <f>M38*1.87</f>
        <v>3208.1524010884923</v>
      </c>
      <c r="S38" s="677"/>
      <c r="T38" s="677">
        <f>M38*1.95542361</f>
        <v>3354.7042511051482</v>
      </c>
      <c r="U38" s="1406"/>
      <c r="V38" s="711">
        <v>400</v>
      </c>
      <c r="W38" s="743"/>
      <c r="X38" s="744"/>
      <c r="Y38" s="744"/>
      <c r="Z38" s="744"/>
      <c r="AA38" s="744"/>
      <c r="AB38" s="744"/>
      <c r="AC38" s="744"/>
      <c r="AD38" s="744"/>
      <c r="AE38" s="745"/>
      <c r="AF38" s="1406"/>
      <c r="AG38" s="793">
        <v>1</v>
      </c>
      <c r="AH38" s="1413">
        <v>3.41</v>
      </c>
      <c r="AI38" s="1413">
        <v>3.86</v>
      </c>
      <c r="AJ38" s="1414">
        <v>4.63</v>
      </c>
      <c r="AK38" s="679" t="s">
        <v>321</v>
      </c>
      <c r="AL38" s="1406"/>
      <c r="AM38" s="705"/>
      <c r="AN38" s="705"/>
      <c r="AO38" s="705">
        <v>607.86145056383987</v>
      </c>
      <c r="AP38" s="705">
        <v>690.75164836799991</v>
      </c>
      <c r="AQ38" s="705">
        <v>872.78276396105616</v>
      </c>
      <c r="AR38" s="705">
        <v>934.86939649912313</v>
      </c>
      <c r="AS38" s="705">
        <v>1183.6069712880001</v>
      </c>
      <c r="AT38" s="705">
        <v>1291.7055824481599</v>
      </c>
      <c r="AU38" s="705">
        <v>1350.7120818652049</v>
      </c>
      <c r="AV38" s="705">
        <v>0</v>
      </c>
      <c r="AW38" s="705"/>
    </row>
    <row r="39" spans="11:49" ht="14.25" hidden="1" customHeight="1">
      <c r="K39" s="711">
        <v>500</v>
      </c>
      <c r="L39" s="680">
        <f>M39*0.88</f>
        <v>1893.3201412000792</v>
      </c>
      <c r="M39" s="681">
        <f>M38*1.25408796</f>
        <v>2151.5001604546355</v>
      </c>
      <c r="N39" s="681">
        <f>M39*1.26352614</f>
        <v>2718.4766929486264</v>
      </c>
      <c r="O39" s="681">
        <f>N39*1.07113641</f>
        <v>2911.8593655536642</v>
      </c>
      <c r="P39" s="681">
        <f>P38*1.24695214</f>
        <v>2372.3260804740189</v>
      </c>
      <c r="Q39" s="681"/>
      <c r="R39" s="681">
        <f>M39*1.87</f>
        <v>4023.3053000501686</v>
      </c>
      <c r="S39" s="681"/>
      <c r="T39" s="681">
        <f>M39*1.95542361</f>
        <v>4207.094210671783</v>
      </c>
      <c r="U39" s="1406"/>
      <c r="V39" s="711">
        <v>500</v>
      </c>
      <c r="W39" s="746"/>
      <c r="X39" s="747"/>
      <c r="Y39" s="747"/>
      <c r="Z39" s="747"/>
      <c r="AA39" s="747"/>
      <c r="AB39" s="747"/>
      <c r="AC39" s="747"/>
      <c r="AD39" s="747"/>
      <c r="AE39" s="748"/>
      <c r="AF39" s="1406"/>
      <c r="AG39" s="882"/>
      <c r="AH39" s="882"/>
      <c r="AI39" s="882"/>
      <c r="AJ39" s="882"/>
      <c r="AK39" s="882"/>
      <c r="AL39" s="1406"/>
      <c r="AM39" s="705"/>
      <c r="AN39" s="705"/>
      <c r="AO39" s="705">
        <v>663.99145056383998</v>
      </c>
      <c r="AP39" s="705">
        <v>783.151648368</v>
      </c>
      <c r="AQ39" s="705">
        <v>1088.1827639610599</v>
      </c>
      <c r="AR39" s="705">
        <v>653.46939649912304</v>
      </c>
      <c r="AS39" s="705">
        <v>1658.206971288</v>
      </c>
      <c r="AT39" s="705">
        <v>1519.7055824481599</v>
      </c>
      <c r="AU39" s="705">
        <v>1584.7120818652099</v>
      </c>
      <c r="AV39" s="705">
        <v>0</v>
      </c>
      <c r="AW39" s="705"/>
    </row>
    <row r="40" spans="11:49" ht="14.25" hidden="1" customHeight="1">
      <c r="K40" s="1000">
        <v>600</v>
      </c>
      <c r="L40" s="998">
        <f>M40*0.88</f>
        <v>2374.3899935045192</v>
      </c>
      <c r="M40" s="999">
        <f>M39*1.25408796</f>
        <v>2698.1704471642265</v>
      </c>
      <c r="N40" s="999">
        <f>M40*1.26352614</f>
        <v>3409.2088901674888</v>
      </c>
      <c r="O40" s="999">
        <f>N40*1.07113641</f>
        <v>3651.7277715540886</v>
      </c>
      <c r="P40" s="999">
        <f>P39*1.24695214</f>
        <v>2958.1770828248905</v>
      </c>
      <c r="Q40" s="999"/>
      <c r="R40" s="999">
        <f>M40*1.87</f>
        <v>5045.5787361971043</v>
      </c>
      <c r="S40" s="999"/>
      <c r="T40" s="999">
        <f>M40*1.95542361</f>
        <v>5276.0661961891856</v>
      </c>
      <c r="U40" s="1406"/>
      <c r="V40" s="1000">
        <v>600</v>
      </c>
      <c r="W40" s="1001"/>
      <c r="X40" s="1002"/>
      <c r="Y40" s="1002"/>
      <c r="Z40" s="1002"/>
      <c r="AA40" s="1002"/>
      <c r="AB40" s="1002"/>
      <c r="AC40" s="1002"/>
      <c r="AD40" s="1002"/>
      <c r="AE40" s="1003"/>
      <c r="AF40" s="1406"/>
      <c r="AG40" s="882"/>
      <c r="AH40" s="882"/>
      <c r="AI40" s="882"/>
      <c r="AJ40" s="882"/>
      <c r="AK40" s="882"/>
      <c r="AL40" s="1406"/>
      <c r="AM40" s="705"/>
      <c r="AN40" s="705"/>
      <c r="AO40" s="705">
        <v>752.03622071731195</v>
      </c>
      <c r="AP40" s="705">
        <v>889.75752354240001</v>
      </c>
      <c r="AQ40" s="705">
        <v>1238.1775931493701</v>
      </c>
      <c r="AR40" s="705">
        <v>701.01021544885998</v>
      </c>
      <c r="AS40" s="705">
        <v>2108.2090626743998</v>
      </c>
      <c r="AT40" s="705">
        <v>1727.3049690242899</v>
      </c>
      <c r="AU40" s="705">
        <v>1788.56570642477</v>
      </c>
      <c r="AV40" s="705">
        <v>0</v>
      </c>
      <c r="AW40" s="705"/>
    </row>
    <row r="41" spans="11:49" ht="34.5" hidden="1" customHeight="1">
      <c r="K41" s="2574" t="s">
        <v>410</v>
      </c>
      <c r="L41" s="2575"/>
      <c r="M41" s="2575"/>
      <c r="N41" s="2575"/>
      <c r="O41" s="2575"/>
      <c r="P41" s="2575"/>
      <c r="Q41" s="2575"/>
      <c r="R41" s="2575"/>
      <c r="S41" s="2575"/>
      <c r="T41" s="2575"/>
      <c r="U41" s="2575"/>
      <c r="V41" s="2575"/>
      <c r="W41" s="2575"/>
      <c r="X41" s="2575"/>
      <c r="Y41" s="2575"/>
      <c r="Z41" s="2575"/>
      <c r="AA41" s="2575"/>
      <c r="AB41" s="2575"/>
      <c r="AC41" s="2575"/>
      <c r="AD41" s="2575"/>
      <c r="AE41" s="2576"/>
      <c r="AJ41" s="1406"/>
      <c r="AK41" s="705"/>
      <c r="AL41" s="705"/>
      <c r="AM41" s="705"/>
      <c r="AN41" s="705"/>
      <c r="AO41" s="705"/>
      <c r="AP41" s="705"/>
      <c r="AQ41" s="705"/>
      <c r="AR41" s="705"/>
      <c r="AS41" s="705"/>
      <c r="AT41" s="705"/>
      <c r="AU41" s="705"/>
    </row>
    <row r="42" spans="11:49" ht="14.25" hidden="1" customHeight="1">
      <c r="K42" s="2577" t="s">
        <v>220</v>
      </c>
      <c r="L42" s="2578"/>
      <c r="M42" s="2578"/>
      <c r="N42" s="2578"/>
      <c r="O42" s="2578"/>
      <c r="P42" s="2578"/>
      <c r="Q42" s="2578"/>
      <c r="R42" s="2578"/>
      <c r="S42" s="2578"/>
      <c r="T42" s="2578"/>
      <c r="V42" s="2577" t="s">
        <v>221</v>
      </c>
      <c r="W42" s="2578"/>
      <c r="X42" s="2578"/>
      <c r="Y42" s="2578"/>
      <c r="Z42" s="2578"/>
      <c r="AA42" s="2578"/>
      <c r="AB42" s="2578"/>
      <c r="AC42" s="2578"/>
      <c r="AD42" s="2578"/>
      <c r="AE42" s="2579"/>
      <c r="AJ42" s="1406"/>
      <c r="AK42" s="705"/>
      <c r="AL42" s="705"/>
      <c r="AM42" s="705"/>
      <c r="AN42" s="705"/>
      <c r="AO42" s="705"/>
      <c r="AP42" s="705"/>
      <c r="AQ42" s="705"/>
      <c r="AR42" s="705"/>
      <c r="AS42" s="705"/>
      <c r="AT42" s="705"/>
      <c r="AU42" s="705"/>
    </row>
    <row r="43" spans="11:49" ht="14.25" hidden="1" customHeight="1">
      <c r="K43" s="763" t="s">
        <v>1</v>
      </c>
      <c r="L43" s="2297">
        <v>160</v>
      </c>
      <c r="M43" s="2306">
        <v>200</v>
      </c>
      <c r="N43" s="2306">
        <v>260</v>
      </c>
      <c r="O43" s="2306">
        <v>300</v>
      </c>
      <c r="P43" s="2306"/>
      <c r="Q43" s="2303">
        <v>360</v>
      </c>
      <c r="R43" s="2304"/>
      <c r="S43" s="2306">
        <v>400</v>
      </c>
      <c r="T43" s="2308"/>
      <c r="V43" s="763" t="s">
        <v>1</v>
      </c>
      <c r="W43" s="2297">
        <v>160</v>
      </c>
      <c r="X43" s="2306">
        <v>200</v>
      </c>
      <c r="Y43" s="2306">
        <v>260</v>
      </c>
      <c r="Z43" s="2306">
        <v>300</v>
      </c>
      <c r="AA43" s="2306"/>
      <c r="AB43" s="2303">
        <v>360</v>
      </c>
      <c r="AC43" s="2304"/>
      <c r="AD43" s="2306">
        <v>400</v>
      </c>
      <c r="AE43" s="2308"/>
      <c r="AG43" s="2401" t="s">
        <v>316</v>
      </c>
      <c r="AH43" s="2402"/>
      <c r="AI43" s="2402"/>
      <c r="AJ43" s="2403"/>
      <c r="AK43" s="1410" t="s">
        <v>0</v>
      </c>
      <c r="AL43" s="705"/>
      <c r="AM43" s="705"/>
      <c r="AN43" s="705"/>
      <c r="AO43" s="705"/>
      <c r="AP43" s="705"/>
      <c r="AQ43" s="705"/>
      <c r="AR43" s="705"/>
      <c r="AS43" s="705"/>
      <c r="AT43" s="705"/>
      <c r="AU43" s="705"/>
    </row>
    <row r="44" spans="11:49" ht="14.25" hidden="1" customHeight="1">
      <c r="K44" s="760" t="s">
        <v>0</v>
      </c>
      <c r="L44" s="2305"/>
      <c r="M44" s="2307"/>
      <c r="N44" s="2307"/>
      <c r="O44" s="1981">
        <v>2</v>
      </c>
      <c r="P44" s="1981">
        <v>4</v>
      </c>
      <c r="Q44" s="1981" t="s">
        <v>290</v>
      </c>
      <c r="R44" s="765" t="s">
        <v>292</v>
      </c>
      <c r="S44" s="1981" t="s">
        <v>290</v>
      </c>
      <c r="T44" s="765" t="s">
        <v>292</v>
      </c>
      <c r="V44" s="760" t="s">
        <v>0</v>
      </c>
      <c r="W44" s="2305"/>
      <c r="X44" s="2307"/>
      <c r="Y44" s="2307"/>
      <c r="Z44" s="1981">
        <v>1</v>
      </c>
      <c r="AA44" s="1981">
        <v>2</v>
      </c>
      <c r="AB44" s="1981" t="s">
        <v>290</v>
      </c>
      <c r="AC44" s="765" t="s">
        <v>292</v>
      </c>
      <c r="AD44" s="1981" t="s">
        <v>290</v>
      </c>
      <c r="AE44" s="765" t="s">
        <v>292</v>
      </c>
      <c r="AG44" s="784">
        <v>0</v>
      </c>
      <c r="AH44" s="785">
        <v>1</v>
      </c>
      <c r="AI44" s="785">
        <v>2</v>
      </c>
      <c r="AJ44" s="786">
        <v>3</v>
      </c>
      <c r="AK44" s="708" t="s">
        <v>317</v>
      </c>
      <c r="AL44" s="705"/>
      <c r="AM44" s="705"/>
      <c r="AN44" s="705"/>
      <c r="AO44" s="705">
        <f>(237.708)*1.3</f>
        <v>309.0204</v>
      </c>
      <c r="AP44" s="705">
        <f>(263.268)*1.3</f>
        <v>342.2484</v>
      </c>
      <c r="AQ44" s="705">
        <f>(263.268)*1.3</f>
        <v>342.2484</v>
      </c>
      <c r="AR44" s="705">
        <f>(367.212)*1.3</f>
        <v>477.37560000000002</v>
      </c>
      <c r="AS44" s="705">
        <f>(394.476)*1.3</f>
        <v>512.81880000000001</v>
      </c>
      <c r="AT44" s="705">
        <f>(394.476)*1.3</f>
        <v>512.81880000000001</v>
      </c>
      <c r="AU44" s="705"/>
    </row>
    <row r="45" spans="11:49" ht="14.25" hidden="1" customHeight="1">
      <c r="K45" s="763">
        <v>65</v>
      </c>
      <c r="L45" s="1415"/>
      <c r="M45" s="1416"/>
      <c r="N45" s="1416">
        <v>309.0204</v>
      </c>
      <c r="O45" s="1416">
        <v>342.2484</v>
      </c>
      <c r="P45" s="1416">
        <v>342.2484</v>
      </c>
      <c r="Q45" s="1416"/>
      <c r="R45" s="1416">
        <v>477.37560000000002</v>
      </c>
      <c r="S45" s="1416">
        <v>512.81880000000001</v>
      </c>
      <c r="T45" s="1417">
        <v>512.81880000000001</v>
      </c>
      <c r="U45" s="1406"/>
      <c r="V45" s="710">
        <v>65</v>
      </c>
      <c r="W45" s="1418" t="s">
        <v>318</v>
      </c>
      <c r="X45" s="1419" t="s">
        <v>318</v>
      </c>
      <c r="Y45" s="1420">
        <v>1.7</v>
      </c>
      <c r="Z45" s="1420">
        <v>1.65</v>
      </c>
      <c r="AA45" s="1419" t="s">
        <v>318</v>
      </c>
      <c r="AB45" s="1420"/>
      <c r="AC45" s="1420">
        <v>1.6</v>
      </c>
      <c r="AD45" s="1420">
        <v>1.55</v>
      </c>
      <c r="AE45" s="1421" t="s">
        <v>318</v>
      </c>
      <c r="AF45" s="1406"/>
      <c r="AG45" s="787">
        <v>1</v>
      </c>
      <c r="AH45" s="766">
        <v>5.12</v>
      </c>
      <c r="AI45" s="766">
        <v>5.66</v>
      </c>
      <c r="AJ45" s="767">
        <v>6.53</v>
      </c>
      <c r="AK45" s="710">
        <v>65</v>
      </c>
      <c r="AL45" s="1406"/>
      <c r="AM45" s="705"/>
      <c r="AN45" s="705"/>
      <c r="AO45" s="705">
        <f>(394.476)*1.3</f>
        <v>512.81880000000001</v>
      </c>
      <c r="AP45" s="705">
        <f>(394.476)*1.3</f>
        <v>512.81880000000001</v>
      </c>
      <c r="AQ45" s="705">
        <f>(292.17636)*1.3</f>
        <v>379.82926800000001</v>
      </c>
      <c r="AR45" s="705">
        <f>(323.02728)*1.3</f>
        <v>419.93546400000002</v>
      </c>
      <c r="AS45" s="705">
        <f>(323.02728)*1.3</f>
        <v>419.93546400000002</v>
      </c>
      <c r="AT45" s="705">
        <f>(432.680564606091)*1.3</f>
        <v>562.48473398791839</v>
      </c>
      <c r="AU45" s="705">
        <f>(471.8376)*1.3</f>
        <v>613.38888000000009</v>
      </c>
      <c r="AV45" s="705">
        <f>(471.8376)*1.3</f>
        <v>613.38888000000009</v>
      </c>
      <c r="AW45" s="705"/>
    </row>
    <row r="46" spans="11:49" ht="14.25" hidden="1" customHeight="1">
      <c r="K46" s="711">
        <v>70</v>
      </c>
      <c r="L46" s="1422">
        <v>512.81880000000001</v>
      </c>
      <c r="M46" s="1423">
        <v>512.81880000000001</v>
      </c>
      <c r="N46" s="1423">
        <v>379.82926800000001</v>
      </c>
      <c r="O46" s="1423">
        <v>419.93546400000002</v>
      </c>
      <c r="P46" s="1423">
        <v>419.93546400000002</v>
      </c>
      <c r="Q46" s="1423"/>
      <c r="R46" s="1423">
        <v>562.48473398791839</v>
      </c>
      <c r="S46" s="1423">
        <v>613.38888000000009</v>
      </c>
      <c r="T46" s="1424">
        <v>613.38888000000009</v>
      </c>
      <c r="U46" s="1406"/>
      <c r="V46" s="711">
        <v>70</v>
      </c>
      <c r="W46" s="1425" t="s">
        <v>318</v>
      </c>
      <c r="X46" s="1426" t="s">
        <v>318</v>
      </c>
      <c r="Y46" s="1427">
        <v>1.65</v>
      </c>
      <c r="Z46" s="1427">
        <v>1.6</v>
      </c>
      <c r="AA46" s="1426" t="s">
        <v>318</v>
      </c>
      <c r="AB46" s="1427"/>
      <c r="AC46" s="1427">
        <v>1.55</v>
      </c>
      <c r="AD46" s="1427">
        <v>1.5</v>
      </c>
      <c r="AE46" s="1428" t="s">
        <v>318</v>
      </c>
      <c r="AF46" s="1406"/>
      <c r="AG46" s="788">
        <v>1</v>
      </c>
      <c r="AH46" s="768">
        <v>5.12</v>
      </c>
      <c r="AI46" s="768">
        <v>5.66</v>
      </c>
      <c r="AJ46" s="769">
        <v>6.53</v>
      </c>
      <c r="AK46" s="711">
        <v>70</v>
      </c>
      <c r="AL46" s="1406"/>
      <c r="AM46" s="705"/>
      <c r="AN46" s="705"/>
      <c r="AO46" s="705">
        <f>(233.874)*1.3</f>
        <v>304.03620000000001</v>
      </c>
      <c r="AP46" s="705">
        <f>(259.86)*1.3</f>
        <v>337.81800000000004</v>
      </c>
      <c r="AQ46" s="705">
        <f>(334.8)*1.3</f>
        <v>435.24</v>
      </c>
      <c r="AR46" s="705">
        <f>(370.8)*1.3</f>
        <v>482.04</v>
      </c>
      <c r="AS46" s="705">
        <f>0*1.3</f>
        <v>0</v>
      </c>
      <c r="AT46" s="705">
        <f>(517.2)*1.3</f>
        <v>672.36000000000013</v>
      </c>
      <c r="AU46" s="705">
        <f>(555.6)*1.3</f>
        <v>722.28000000000009</v>
      </c>
      <c r="AV46" s="705">
        <f>0*1.3</f>
        <v>0</v>
      </c>
      <c r="AW46" s="705"/>
    </row>
    <row r="47" spans="11:49" ht="14.25" hidden="1" customHeight="1">
      <c r="K47" s="711">
        <v>75</v>
      </c>
      <c r="L47" s="1429">
        <v>304.03620000000001</v>
      </c>
      <c r="M47" s="1430">
        <v>337.81800000000004</v>
      </c>
      <c r="N47" s="1430">
        <v>435.24</v>
      </c>
      <c r="O47" s="1430">
        <v>482.04</v>
      </c>
      <c r="P47" s="1430">
        <v>0</v>
      </c>
      <c r="Q47" s="1430"/>
      <c r="R47" s="1430">
        <v>672.36000000000013</v>
      </c>
      <c r="S47" s="1430">
        <v>722.28000000000009</v>
      </c>
      <c r="T47" s="1431">
        <v>0</v>
      </c>
      <c r="U47" s="1406"/>
      <c r="V47" s="711">
        <v>75</v>
      </c>
      <c r="W47" s="1432">
        <v>1.7</v>
      </c>
      <c r="X47" s="1433">
        <v>1.65</v>
      </c>
      <c r="Y47" s="1433">
        <v>1.6</v>
      </c>
      <c r="Z47" s="1433">
        <v>1.55</v>
      </c>
      <c r="AA47" s="1433">
        <v>1.55</v>
      </c>
      <c r="AB47" s="1433"/>
      <c r="AC47" s="1433">
        <v>1.5</v>
      </c>
      <c r="AD47" s="1433">
        <v>1.45</v>
      </c>
      <c r="AE47" s="1434">
        <v>1.45</v>
      </c>
      <c r="AF47" s="1406"/>
      <c r="AG47" s="789">
        <v>1</v>
      </c>
      <c r="AH47" s="770">
        <v>4.5999999999999996</v>
      </c>
      <c r="AI47" s="770">
        <v>5</v>
      </c>
      <c r="AJ47" s="771">
        <v>6.53</v>
      </c>
      <c r="AK47" s="711">
        <v>75</v>
      </c>
      <c r="AL47" s="1406"/>
      <c r="AM47" s="705"/>
      <c r="AN47" s="705"/>
      <c r="AO47" s="705">
        <f>0*1.3</f>
        <v>0</v>
      </c>
      <c r="AP47" s="705">
        <f>0*1.3</f>
        <v>0</v>
      </c>
      <c r="AQ47" s="705">
        <f>(411.516)*1.3</f>
        <v>534.97080000000005</v>
      </c>
      <c r="AR47" s="705">
        <f>(454.968)*1.3</f>
        <v>591.4584000000001</v>
      </c>
      <c r="AS47" s="705">
        <f>(454.968)*1.3</f>
        <v>591.4584000000001</v>
      </c>
      <c r="AT47" s="705">
        <f>(609.409245924072)*1.3</f>
        <v>792.23201970129367</v>
      </c>
      <c r="AU47" s="705">
        <f>(664.56)*1.3</f>
        <v>863.928</v>
      </c>
      <c r="AV47" s="705">
        <f>(664.56)*1.3</f>
        <v>863.928</v>
      </c>
      <c r="AW47" s="705"/>
    </row>
    <row r="48" spans="11:49" ht="14.25" hidden="1" customHeight="1">
      <c r="K48" s="711">
        <v>80</v>
      </c>
      <c r="L48" s="1435">
        <v>0</v>
      </c>
      <c r="M48" s="658">
        <v>0</v>
      </c>
      <c r="N48" s="658">
        <v>534.97080000000005</v>
      </c>
      <c r="O48" s="658">
        <v>591.4584000000001</v>
      </c>
      <c r="P48" s="658">
        <v>591.4584000000001</v>
      </c>
      <c r="Q48" s="658"/>
      <c r="R48" s="658">
        <v>792.23201970129367</v>
      </c>
      <c r="S48" s="658">
        <v>863.928</v>
      </c>
      <c r="T48" s="1436">
        <v>863.928</v>
      </c>
      <c r="U48" s="1406"/>
      <c r="V48" s="711">
        <v>80</v>
      </c>
      <c r="W48" s="1437" t="s">
        <v>318</v>
      </c>
      <c r="X48" s="1438" t="s">
        <v>318</v>
      </c>
      <c r="Y48" s="727">
        <v>1.55</v>
      </c>
      <c r="Z48" s="727">
        <v>1.5</v>
      </c>
      <c r="AA48" s="1438" t="s">
        <v>318</v>
      </c>
      <c r="AB48" s="727"/>
      <c r="AC48" s="727">
        <v>1.45</v>
      </c>
      <c r="AD48" s="727">
        <v>1.4</v>
      </c>
      <c r="AE48" s="1439" t="s">
        <v>318</v>
      </c>
      <c r="AF48" s="1406"/>
      <c r="AG48" s="790">
        <v>1</v>
      </c>
      <c r="AH48" s="772">
        <v>3.92</v>
      </c>
      <c r="AI48" s="772">
        <v>4.5</v>
      </c>
      <c r="AJ48" s="773">
        <v>5.6</v>
      </c>
      <c r="AK48" s="711">
        <v>80</v>
      </c>
      <c r="AL48" s="1406"/>
      <c r="AM48" s="705"/>
      <c r="AN48" s="705"/>
      <c r="AO48" s="705">
        <f>(325.74)*1.3</f>
        <v>423.46200000000005</v>
      </c>
      <c r="AP48" s="705">
        <f>(366)*1.3</f>
        <v>475.8</v>
      </c>
      <c r="AQ48" s="705">
        <f>(484.8)*1.3</f>
        <v>630.24</v>
      </c>
      <c r="AR48" s="705">
        <f>(562.8)*1.3</f>
        <v>731.64</v>
      </c>
      <c r="AS48" s="705">
        <f>0*1.3</f>
        <v>0</v>
      </c>
      <c r="AT48" s="705">
        <f>(698.4)*1.3</f>
        <v>907.92</v>
      </c>
      <c r="AU48" s="705">
        <f>(772.8)*1.3</f>
        <v>1004.64</v>
      </c>
      <c r="AV48" s="705">
        <f t="shared" ref="AV48:AV56" si="0">0*1.3</f>
        <v>0</v>
      </c>
      <c r="AW48" s="705"/>
    </row>
    <row r="49" spans="11:49" ht="14.25" hidden="1" customHeight="1">
      <c r="K49" s="711">
        <v>90</v>
      </c>
      <c r="L49" s="1440">
        <v>423.46200000000005</v>
      </c>
      <c r="M49" s="1441">
        <v>475.8</v>
      </c>
      <c r="N49" s="1442">
        <v>630.24</v>
      </c>
      <c r="O49" s="1442">
        <v>731.64</v>
      </c>
      <c r="P49" s="1441">
        <f>O49*1.17</f>
        <v>856.01879999999994</v>
      </c>
      <c r="Q49" s="1441"/>
      <c r="R49" s="1442">
        <v>907.92</v>
      </c>
      <c r="S49" s="1442">
        <v>1004.64</v>
      </c>
      <c r="T49" s="1443">
        <f>S49*1.23</f>
        <v>1235.7072000000001</v>
      </c>
      <c r="U49" s="1406"/>
      <c r="V49" s="711">
        <v>90</v>
      </c>
      <c r="W49" s="1444">
        <v>1.6</v>
      </c>
      <c r="X49" s="1445">
        <v>1.55</v>
      </c>
      <c r="Y49" s="1445">
        <v>1.5</v>
      </c>
      <c r="Z49" s="1445">
        <v>1.45</v>
      </c>
      <c r="AA49" s="1445">
        <v>1.45</v>
      </c>
      <c r="AB49" s="1445"/>
      <c r="AC49" s="1445">
        <v>1.4</v>
      </c>
      <c r="AD49" s="1445">
        <v>1.3</v>
      </c>
      <c r="AE49" s="1446">
        <v>1.3</v>
      </c>
      <c r="AF49" s="1406"/>
      <c r="AG49" s="791">
        <v>1</v>
      </c>
      <c r="AH49" s="774">
        <v>3.51</v>
      </c>
      <c r="AI49" s="774">
        <v>3.96</v>
      </c>
      <c r="AJ49" s="775">
        <v>4.93</v>
      </c>
      <c r="AK49" s="711">
        <v>90</v>
      </c>
      <c r="AL49" s="1406"/>
      <c r="AM49" s="705"/>
      <c r="AN49" s="705"/>
      <c r="AO49" s="705">
        <f>(403.9166501568)*1.3</f>
        <v>525.09164520384002</v>
      </c>
      <c r="AP49" s="705">
        <f>(458.99619336)*1.3</f>
        <v>596.69505136800001</v>
      </c>
      <c r="AQ49" s="705">
        <f>(579.6)*1.3</f>
        <v>753.48</v>
      </c>
      <c r="AR49" s="705">
        <f>(640.8)*1.3</f>
        <v>833.04</v>
      </c>
      <c r="AS49" s="705">
        <f>0*1.3</f>
        <v>0</v>
      </c>
      <c r="AT49" s="705">
        <f>(858.3228815832)*1.3</f>
        <v>1115.81974605816</v>
      </c>
      <c r="AU49" s="705">
        <f>(936)*1.3</f>
        <v>1216.8</v>
      </c>
      <c r="AV49" s="705">
        <f t="shared" si="0"/>
        <v>0</v>
      </c>
      <c r="AW49" s="705"/>
    </row>
    <row r="50" spans="11:49" ht="14.25" hidden="1" customHeight="1">
      <c r="K50" s="711">
        <v>110</v>
      </c>
      <c r="L50" s="1447">
        <v>525.09164520384002</v>
      </c>
      <c r="M50" s="1448">
        <v>596.69505136800001</v>
      </c>
      <c r="N50" s="1448">
        <v>753.48</v>
      </c>
      <c r="O50" s="1448">
        <v>833.04</v>
      </c>
      <c r="P50" s="1448">
        <f>O50*1.27</f>
        <v>1057.9608000000001</v>
      </c>
      <c r="Q50" s="1448"/>
      <c r="R50" s="1448">
        <v>1115.81974605816</v>
      </c>
      <c r="S50" s="1448">
        <v>1216.8</v>
      </c>
      <c r="T50" s="1449">
        <f>S50*1.15</f>
        <v>1399.32</v>
      </c>
      <c r="U50" s="1406"/>
      <c r="V50" s="711">
        <v>110</v>
      </c>
      <c r="W50" s="1450">
        <v>1.5</v>
      </c>
      <c r="X50" s="1451">
        <v>1.3</v>
      </c>
      <c r="Y50" s="1451">
        <v>1.3</v>
      </c>
      <c r="Z50" s="1451">
        <v>1.3</v>
      </c>
      <c r="AA50" s="1451">
        <v>1.3</v>
      </c>
      <c r="AB50" s="1451"/>
      <c r="AC50" s="1451">
        <v>1.3</v>
      </c>
      <c r="AD50" s="1451">
        <v>1.3</v>
      </c>
      <c r="AE50" s="1452">
        <v>1.3</v>
      </c>
      <c r="AF50" s="1406"/>
      <c r="AG50" s="792">
        <v>1</v>
      </c>
      <c r="AH50" s="776">
        <v>3.41</v>
      </c>
      <c r="AI50" s="776">
        <v>3.96</v>
      </c>
      <c r="AJ50" s="777">
        <v>4.93</v>
      </c>
      <c r="AK50" s="711">
        <v>110</v>
      </c>
      <c r="AL50" s="1406"/>
      <c r="AM50" s="705"/>
      <c r="AN50" s="705"/>
      <c r="AO50" s="705">
        <f>(438)*1.3</f>
        <v>569.4</v>
      </c>
      <c r="AP50" s="705">
        <f>(550.8)*1.3</f>
        <v>716.04</v>
      </c>
      <c r="AQ50" s="705">
        <f>(915.6)*1.3</f>
        <v>1190.28</v>
      </c>
      <c r="AR50" s="705">
        <f>0*1.3</f>
        <v>0</v>
      </c>
      <c r="AS50" s="705">
        <f>(949.2)*1.3</f>
        <v>1233.96</v>
      </c>
      <c r="AT50" s="705">
        <f>(1154.4)*1.3</f>
        <v>1500.7200000000003</v>
      </c>
      <c r="AU50" s="705">
        <f>(1240.8)*1.3</f>
        <v>1613.04</v>
      </c>
      <c r="AV50" s="705">
        <f t="shared" si="0"/>
        <v>0</v>
      </c>
      <c r="AW50" s="705"/>
    </row>
    <row r="51" spans="11:49" ht="14.25" hidden="1" customHeight="1">
      <c r="K51" s="711">
        <v>140</v>
      </c>
      <c r="L51" s="1266">
        <f>M51*0.95</f>
        <v>1036.6297304999998</v>
      </c>
      <c r="M51" s="1266">
        <f>N51*0.95</f>
        <v>1091.1891899999998</v>
      </c>
      <c r="N51" s="1266">
        <f>N52*0.965</f>
        <v>1148.6201999999998</v>
      </c>
      <c r="O51" s="1266">
        <f>Q51*0.85</f>
        <v>1169.4173010000002</v>
      </c>
      <c r="P51" s="1266">
        <f>R51*0.85</f>
        <v>1230.96558</v>
      </c>
      <c r="Q51" s="1266">
        <f>Q52*0.965</f>
        <v>1375.7850600000002</v>
      </c>
      <c r="R51" s="1266">
        <f>R52*0.965</f>
        <v>1448.1948000000002</v>
      </c>
      <c r="S51" s="1266">
        <f>S52*0.965</f>
        <v>1424.2739940000001</v>
      </c>
      <c r="T51" s="1273">
        <f>T52*0.965</f>
        <v>1556.5835999999999</v>
      </c>
      <c r="U51" s="1406"/>
      <c r="V51" s="711">
        <v>140</v>
      </c>
      <c r="W51" s="1453">
        <v>1.4</v>
      </c>
      <c r="X51" s="1268">
        <v>1.35</v>
      </c>
      <c r="Y51" s="1268">
        <v>1.32</v>
      </c>
      <c r="Z51" s="1268">
        <v>1.3</v>
      </c>
      <c r="AA51" s="1268">
        <v>1.3</v>
      </c>
      <c r="AB51" s="1268">
        <v>1.28</v>
      </c>
      <c r="AC51" s="1268">
        <v>1.28</v>
      </c>
      <c r="AD51" s="1454">
        <v>1.25</v>
      </c>
      <c r="AE51" s="1454">
        <v>1.25</v>
      </c>
      <c r="AF51" s="1406"/>
      <c r="AG51" s="1023">
        <v>1</v>
      </c>
      <c r="AH51" s="1024">
        <v>3.41</v>
      </c>
      <c r="AI51" s="1024">
        <v>3.96</v>
      </c>
      <c r="AJ51" s="1025">
        <v>4.93</v>
      </c>
      <c r="AK51" s="711">
        <v>140</v>
      </c>
      <c r="AL51" s="1406"/>
      <c r="AM51" s="705"/>
      <c r="AN51" s="705"/>
      <c r="AO51" s="705"/>
      <c r="AP51" s="705"/>
      <c r="AQ51" s="705"/>
      <c r="AR51" s="705"/>
      <c r="AS51" s="705"/>
      <c r="AT51" s="705"/>
      <c r="AU51" s="705"/>
      <c r="AV51" s="705"/>
      <c r="AW51" s="705"/>
    </row>
    <row r="52" spans="11:49" ht="14.25" hidden="1" customHeight="1">
      <c r="K52" s="711">
        <v>150</v>
      </c>
      <c r="L52" s="1455">
        <f>M52*0.95</f>
        <v>1074.2276999999999</v>
      </c>
      <c r="M52" s="1456">
        <f>N52*0.95</f>
        <v>1130.7659999999998</v>
      </c>
      <c r="N52" s="1457">
        <v>1190.28</v>
      </c>
      <c r="O52" s="1267">
        <f>Q52*0.9</f>
        <v>1283.1156000000003</v>
      </c>
      <c r="P52" s="1456">
        <f>R52*0.9</f>
        <v>1350.6480000000004</v>
      </c>
      <c r="Q52" s="1267">
        <f>R52*0.95</f>
        <v>1425.6840000000002</v>
      </c>
      <c r="R52" s="1267">
        <v>1500.7200000000003</v>
      </c>
      <c r="S52" s="1267">
        <f>T52*0.915</f>
        <v>1475.9316000000001</v>
      </c>
      <c r="T52" s="1274">
        <v>1613.04</v>
      </c>
      <c r="U52" s="1406"/>
      <c r="V52" s="711">
        <v>150</v>
      </c>
      <c r="W52" s="1458">
        <v>1.4</v>
      </c>
      <c r="X52" s="1269">
        <v>1.35</v>
      </c>
      <c r="Y52" s="1269">
        <v>1.32</v>
      </c>
      <c r="Z52" s="1269">
        <v>1.3</v>
      </c>
      <c r="AA52" s="1269">
        <v>1.3</v>
      </c>
      <c r="AB52" s="1269">
        <v>1.28</v>
      </c>
      <c r="AC52" s="1269">
        <v>1.28</v>
      </c>
      <c r="AD52" s="1459">
        <v>1.25</v>
      </c>
      <c r="AE52" s="1459">
        <v>1.25</v>
      </c>
      <c r="AF52" s="1406"/>
      <c r="AG52" s="793">
        <v>1</v>
      </c>
      <c r="AH52" s="778">
        <v>3.41</v>
      </c>
      <c r="AI52" s="778">
        <v>3.96</v>
      </c>
      <c r="AJ52" s="779">
        <v>4.93</v>
      </c>
      <c r="AK52" s="711">
        <v>150</v>
      </c>
      <c r="AL52" s="1406"/>
      <c r="AM52" s="705"/>
      <c r="AN52" s="705"/>
      <c r="AO52" s="705">
        <f>(607.86145056384)*1.3</f>
        <v>790.219885732992</v>
      </c>
      <c r="AP52" s="705">
        <f>(690.751648368)*1.3</f>
        <v>897.97714287840006</v>
      </c>
      <c r="AQ52" s="705">
        <f>(872.782763961056)*1.3</f>
        <v>1134.6175931493729</v>
      </c>
      <c r="AR52" s="705">
        <f>(934.869396499123)*1.3</f>
        <v>1215.3302154488599</v>
      </c>
      <c r="AS52" s="705">
        <f>(1183.606971288)*1.3</f>
        <v>1538.6890626744002</v>
      </c>
      <c r="AT52" s="705">
        <f>(1291.70558244816)*1.3</f>
        <v>1679.2172571826079</v>
      </c>
      <c r="AU52" s="705">
        <f>(1350.7120818652)*1.3</f>
        <v>1755.9257064247599</v>
      </c>
      <c r="AV52" s="705">
        <f t="shared" si="0"/>
        <v>0</v>
      </c>
      <c r="AW52" s="705"/>
    </row>
    <row r="53" spans="11:49" ht="14.25" hidden="1" customHeight="1">
      <c r="K53" s="711">
        <v>200</v>
      </c>
      <c r="L53" s="1460">
        <v>790.219885732992</v>
      </c>
      <c r="M53" s="1275">
        <v>897.97714287840006</v>
      </c>
      <c r="N53" s="1275">
        <v>1134.6175931493729</v>
      </c>
      <c r="O53" s="1275">
        <v>1215.3302154488599</v>
      </c>
      <c r="P53" s="1275">
        <v>1538.6890626744002</v>
      </c>
      <c r="Q53" s="1275"/>
      <c r="R53" s="1275">
        <v>1679.2172571826079</v>
      </c>
      <c r="S53" s="1275"/>
      <c r="T53" s="1276">
        <v>1755.9257064247599</v>
      </c>
      <c r="U53" s="1406"/>
      <c r="V53" s="711">
        <v>200</v>
      </c>
      <c r="W53" s="1461"/>
      <c r="X53" s="1462"/>
      <c r="Y53" s="1462"/>
      <c r="Z53" s="1462"/>
      <c r="AA53" s="1462"/>
      <c r="AB53" s="1462"/>
      <c r="AC53" s="1462"/>
      <c r="AD53" s="1462"/>
      <c r="AE53" s="1463"/>
      <c r="AF53" s="1406"/>
      <c r="AG53" s="793">
        <v>1</v>
      </c>
      <c r="AH53" s="778">
        <v>2.73</v>
      </c>
      <c r="AI53" s="778">
        <v>3.11</v>
      </c>
      <c r="AJ53" s="779">
        <v>3.89</v>
      </c>
      <c r="AK53" s="711">
        <v>150.16</v>
      </c>
      <c r="AL53" s="1406"/>
      <c r="AM53" s="705"/>
      <c r="AN53" s="705"/>
      <c r="AO53" s="705">
        <f>(762.311726500247)*1.3</f>
        <v>991.00524445032113</v>
      </c>
      <c r="AP53" s="705">
        <f>(866.263325568462)*1.3</f>
        <v>1126.1423232390007</v>
      </c>
      <c r="AQ53" s="705">
        <f>(1094.54635597908)*1.3</f>
        <v>1422.9102627728041</v>
      </c>
      <c r="AR53" s="705">
        <f>(1172.40845432202)*1.3</f>
        <v>1524.1309906186259</v>
      </c>
      <c r="AS53" s="705">
        <f>(1475.90124576649)*1.3</f>
        <v>1918.6716194964372</v>
      </c>
      <c r="AT53" s="705">
        <f>(1619.91241881302)*1.3</f>
        <v>2105.8861444569261</v>
      </c>
      <c r="AU53" s="705">
        <f>(1693.91175929369)*1.3</f>
        <v>2202.0852870817971</v>
      </c>
      <c r="AV53" s="705">
        <f t="shared" si="0"/>
        <v>0</v>
      </c>
      <c r="AW53" s="705"/>
    </row>
    <row r="54" spans="11:49" ht="14.25" hidden="1" customHeight="1">
      <c r="K54" s="711">
        <v>300</v>
      </c>
      <c r="L54" s="1464">
        <v>991.00524445032113</v>
      </c>
      <c r="M54" s="1277">
        <v>1126.1423232390007</v>
      </c>
      <c r="N54" s="1277">
        <v>1422.9102627728041</v>
      </c>
      <c r="O54" s="1277">
        <v>1524.1309906186259</v>
      </c>
      <c r="P54" s="1277">
        <v>1918.6716194964372</v>
      </c>
      <c r="Q54" s="1277"/>
      <c r="R54" s="1277">
        <v>2105.8861444569261</v>
      </c>
      <c r="S54" s="1277"/>
      <c r="T54" s="1278">
        <v>2202.0852870817971</v>
      </c>
      <c r="U54" s="1406"/>
      <c r="V54" s="711">
        <v>300</v>
      </c>
      <c r="W54" s="1465"/>
      <c r="X54" s="1466"/>
      <c r="Y54" s="1466"/>
      <c r="Z54" s="1466"/>
      <c r="AA54" s="1466"/>
      <c r="AB54" s="1466"/>
      <c r="AC54" s="1466"/>
      <c r="AD54" s="1466"/>
      <c r="AE54" s="1467"/>
      <c r="AF54" s="1406"/>
      <c r="AG54" s="793">
        <v>1</v>
      </c>
      <c r="AH54" s="735">
        <v>2.73</v>
      </c>
      <c r="AI54" s="735">
        <v>2.83</v>
      </c>
      <c r="AJ54" s="1412">
        <v>3.66</v>
      </c>
      <c r="AK54" s="712" t="s">
        <v>319</v>
      </c>
      <c r="AL54" s="1406"/>
      <c r="AM54" s="705"/>
      <c r="AN54" s="705"/>
      <c r="AO54" s="705">
        <f>(956.005957970772)*1.3</f>
        <v>1242.8077453620035</v>
      </c>
      <c r="AP54" s="705">
        <f>(1086.37040678497)*1.3</f>
        <v>1412.2815288204613</v>
      </c>
      <c r="AQ54" s="705">
        <f>(1372.65740669524)*1.3</f>
        <v>1784.4546287038122</v>
      </c>
      <c r="AR54" s="705">
        <f>(1470.30332676745)*1.3</f>
        <v>1911.3943247976852</v>
      </c>
      <c r="AS54" s="705">
        <f>(1840.37821683719)*1.3</f>
        <v>2392.4916818883471</v>
      </c>
      <c r="AT54" s="705">
        <f>(2031.51266068789)*1.3</f>
        <v>2640.9664588942574</v>
      </c>
      <c r="AU54" s="705">
        <f>(2124.31434263263)*1.3</f>
        <v>2761.6086454224192</v>
      </c>
      <c r="AV54" s="705">
        <f t="shared" si="0"/>
        <v>0</v>
      </c>
      <c r="AW54" s="705"/>
    </row>
    <row r="55" spans="11:49" ht="14.25" hidden="1" customHeight="1">
      <c r="K55" s="711">
        <v>400</v>
      </c>
      <c r="L55" s="1468">
        <v>1242.8077453620035</v>
      </c>
      <c r="M55" s="1279">
        <v>1412.2815288204613</v>
      </c>
      <c r="N55" s="1279">
        <v>1784.4546287038122</v>
      </c>
      <c r="O55" s="1279">
        <v>1911.3943247976852</v>
      </c>
      <c r="P55" s="1279">
        <v>2392.4916818883471</v>
      </c>
      <c r="Q55" s="1279"/>
      <c r="R55" s="1279">
        <v>2640.9664588942574</v>
      </c>
      <c r="S55" s="1279"/>
      <c r="T55" s="1280">
        <v>2761.6086454224192</v>
      </c>
      <c r="U55" s="1406"/>
      <c r="V55" s="711">
        <v>400</v>
      </c>
      <c r="W55" s="1469"/>
      <c r="X55" s="1470"/>
      <c r="Y55" s="1470"/>
      <c r="Z55" s="1470"/>
      <c r="AA55" s="1470"/>
      <c r="AB55" s="1470"/>
      <c r="AC55" s="1470"/>
      <c r="AD55" s="1470"/>
      <c r="AE55" s="1471"/>
      <c r="AF55" s="1406"/>
      <c r="AG55" s="793">
        <v>1</v>
      </c>
      <c r="AH55" s="1413">
        <v>3.41</v>
      </c>
      <c r="AI55" s="1413">
        <v>3.86</v>
      </c>
      <c r="AJ55" s="1414">
        <v>4.63</v>
      </c>
      <c r="AK55" s="679" t="s">
        <v>321</v>
      </c>
      <c r="AL55" s="1406"/>
      <c r="AM55" s="705"/>
      <c r="AN55" s="705"/>
      <c r="AO55" s="705">
        <f>(1198.91556157941)*1.3</f>
        <v>1558.590230053233</v>
      </c>
      <c r="AP55" s="705">
        <f>(1362.40404724933)*1.3</f>
        <v>1771.1252614241291</v>
      </c>
      <c r="AQ55" s="705">
        <f>(1721.43312694132)*1.3</f>
        <v>2237.863065023716</v>
      </c>
      <c r="AR55" s="705">
        <f>(1843.88969964701)*1.3</f>
        <v>2397.0566095411132</v>
      </c>
      <c r="AS55" s="705">
        <f>(2294.86355589452)*1.3</f>
        <v>2983.3226226628758</v>
      </c>
      <c r="AT55" s="705">
        <f>(2547.69556835625)*1.3</f>
        <v>3312.004238863125</v>
      </c>
      <c r="AU55" s="705">
        <f>(2664.0770403509)*1.3</f>
        <v>3463.3001524561701</v>
      </c>
      <c r="AV55" s="705">
        <f t="shared" si="0"/>
        <v>0</v>
      </c>
      <c r="AW55" s="705"/>
    </row>
    <row r="56" spans="11:49" ht="14.25" hidden="1" customHeight="1">
      <c r="K56" s="711">
        <v>500</v>
      </c>
      <c r="L56" s="1472">
        <v>1558.590230053233</v>
      </c>
      <c r="M56" s="1281">
        <v>1771.1252614241291</v>
      </c>
      <c r="N56" s="1281">
        <v>2237.863065023716</v>
      </c>
      <c r="O56" s="1281">
        <v>2397.0566095411132</v>
      </c>
      <c r="P56" s="1281">
        <v>2983.3226226628758</v>
      </c>
      <c r="Q56" s="1281"/>
      <c r="R56" s="1281">
        <v>3312.004238863125</v>
      </c>
      <c r="S56" s="1281"/>
      <c r="T56" s="1282">
        <v>3463.3001524561701</v>
      </c>
      <c r="U56" s="1406"/>
      <c r="V56" s="711">
        <v>500</v>
      </c>
      <c r="W56" s="1473"/>
      <c r="X56" s="1474"/>
      <c r="Y56" s="1474"/>
      <c r="Z56" s="1474"/>
      <c r="AA56" s="1474"/>
      <c r="AB56" s="1474"/>
      <c r="AC56" s="1474"/>
      <c r="AD56" s="1474"/>
      <c r="AE56" s="1475"/>
      <c r="AF56" s="1406"/>
      <c r="AG56" s="793">
        <v>1</v>
      </c>
      <c r="AH56" s="735">
        <v>3.05</v>
      </c>
      <c r="AI56" s="735">
        <v>3.25</v>
      </c>
      <c r="AJ56" s="1412">
        <v>4.0999999999999996</v>
      </c>
      <c r="AK56" s="712" t="s">
        <v>544</v>
      </c>
      <c r="AL56" s="1406"/>
      <c r="AM56" s="705"/>
      <c r="AN56" s="705"/>
      <c r="AO56" s="705">
        <f>(1503.54557083338)*1.3</f>
        <v>1954.6092420833941</v>
      </c>
      <c r="AP56" s="705">
        <f>(1708.57451231066)*1.3</f>
        <v>2221.1468660038581</v>
      </c>
      <c r="AQ56" s="705">
        <f>(2158.82855844227)*1.3</f>
        <v>2806.4771259749514</v>
      </c>
      <c r="AR56" s="705">
        <f>(2312.39987189533)*1.3</f>
        <v>3006.1198334639289</v>
      </c>
      <c r="AS56" s="705">
        <f>(2861.58502203068)*1.3</f>
        <v>3720.0605286398845</v>
      </c>
      <c r="AT56" s="705">
        <f>(3195.03433802093)*1.3</f>
        <v>4153.5446394272094</v>
      </c>
      <c r="AU56" s="705">
        <f>(3340.98694081649)*1.3</f>
        <v>4343.2830230614372</v>
      </c>
      <c r="AV56" s="705">
        <f t="shared" si="0"/>
        <v>0</v>
      </c>
      <c r="AW56" s="705"/>
    </row>
    <row r="57" spans="11:49" ht="14.25" hidden="1" customHeight="1">
      <c r="K57" s="760">
        <v>600</v>
      </c>
      <c r="L57" s="1476">
        <v>1954.6092420833941</v>
      </c>
      <c r="M57" s="1283">
        <v>2221.1468660038581</v>
      </c>
      <c r="N57" s="1283">
        <v>2806.4771259749514</v>
      </c>
      <c r="O57" s="1283">
        <v>3006.1198334639289</v>
      </c>
      <c r="P57" s="1283">
        <v>3720.0605286398845</v>
      </c>
      <c r="Q57" s="1283"/>
      <c r="R57" s="1283">
        <v>4153.5446394272094</v>
      </c>
      <c r="S57" s="1283"/>
      <c r="T57" s="1284">
        <v>4343.2830230614372</v>
      </c>
      <c r="U57" s="1477"/>
      <c r="V57" s="760">
        <v>600</v>
      </c>
      <c r="W57" s="1478"/>
      <c r="X57" s="1479"/>
      <c r="Y57" s="1479"/>
      <c r="Z57" s="1479"/>
      <c r="AA57" s="1479"/>
      <c r="AB57" s="1479"/>
      <c r="AC57" s="1479"/>
      <c r="AD57" s="1479"/>
      <c r="AE57" s="1480"/>
      <c r="AF57" s="1406"/>
      <c r="AG57" s="882"/>
      <c r="AH57" s="882"/>
      <c r="AI57" s="882"/>
      <c r="AJ57" s="882"/>
      <c r="AK57" s="882"/>
      <c r="AL57" s="1406"/>
      <c r="AM57" s="705"/>
      <c r="AN57" s="705"/>
      <c r="AO57" s="705"/>
      <c r="AP57" s="705"/>
      <c r="AQ57" s="705"/>
      <c r="AR57" s="705"/>
      <c r="AS57" s="705"/>
      <c r="AT57" s="705"/>
      <c r="AU57" s="705"/>
      <c r="AV57" s="705"/>
      <c r="AW57" s="705"/>
    </row>
    <row r="58" spans="11:49" ht="14.25" hidden="1" customHeight="1">
      <c r="K58" s="1409"/>
      <c r="L58" s="1406"/>
      <c r="M58" s="1481"/>
      <c r="N58" s="1481"/>
      <c r="O58" s="1481"/>
      <c r="P58" s="1481"/>
      <c r="Q58" s="1481"/>
      <c r="R58" s="1481"/>
      <c r="S58" s="1481"/>
      <c r="T58" s="1406"/>
      <c r="U58" s="1409"/>
      <c r="V58" s="637"/>
      <c r="W58" s="637"/>
      <c r="X58" s="637"/>
      <c r="Y58" s="637"/>
      <c r="Z58" s="637"/>
      <c r="AA58" s="637"/>
      <c r="AB58" s="637"/>
      <c r="AC58" s="637"/>
      <c r="AD58" s="1406"/>
      <c r="AE58" s="882"/>
      <c r="AF58" s="882"/>
      <c r="AG58" s="882"/>
      <c r="AH58" s="882"/>
      <c r="AI58" s="882"/>
      <c r="AJ58" s="1406"/>
      <c r="AK58" s="1406"/>
      <c r="AL58" s="1481"/>
      <c r="AM58" s="705"/>
      <c r="AN58" s="705"/>
      <c r="AO58" s="705"/>
      <c r="AP58" s="705"/>
      <c r="AQ58" s="705"/>
      <c r="AR58" s="705"/>
      <c r="AS58" s="705"/>
      <c r="AT58" s="705"/>
      <c r="AU58" s="705"/>
    </row>
    <row r="59" spans="11:49" ht="21.75" hidden="1" customHeight="1">
      <c r="K59" s="2560" t="s">
        <v>5755</v>
      </c>
      <c r="L59" s="2561"/>
      <c r="M59" s="2561"/>
      <c r="N59" s="2561"/>
      <c r="O59" s="2561"/>
      <c r="P59" s="2561"/>
      <c r="Q59" s="2561"/>
      <c r="R59" s="2561"/>
      <c r="S59" s="2561"/>
      <c r="T59" s="2561"/>
      <c r="U59" s="2561"/>
      <c r="V59" s="2561"/>
      <c r="W59" s="2561"/>
      <c r="X59" s="2561"/>
      <c r="Y59" s="2561"/>
      <c r="Z59" s="2561"/>
      <c r="AA59" s="2561"/>
      <c r="AB59" s="2561"/>
      <c r="AC59" s="2562"/>
      <c r="AD59" s="1482"/>
      <c r="AE59" s="1483"/>
      <c r="AF59" s="1483"/>
      <c r="AG59" s="1483"/>
      <c r="AH59" s="1483"/>
      <c r="AI59" s="1483"/>
      <c r="AJ59" s="1406"/>
      <c r="AK59" s="1406"/>
      <c r="AL59" s="1481"/>
      <c r="AM59" s="705"/>
      <c r="AN59" s="705"/>
      <c r="AO59" s="705"/>
      <c r="AP59" s="705"/>
      <c r="AQ59" s="705"/>
      <c r="AR59" s="705"/>
      <c r="AS59" s="705"/>
      <c r="AT59" s="705"/>
      <c r="AU59" s="705"/>
    </row>
    <row r="60" spans="11:49" ht="14.25" hidden="1" customHeight="1">
      <c r="K60" s="2557" t="s">
        <v>220</v>
      </c>
      <c r="L60" s="2558"/>
      <c r="M60" s="2558"/>
      <c r="N60" s="2558"/>
      <c r="O60" s="2558"/>
      <c r="P60" s="2558"/>
      <c r="Q60" s="2558"/>
      <c r="R60" s="2558"/>
      <c r="S60" s="2559"/>
      <c r="T60" s="1482"/>
      <c r="U60" s="2557" t="s">
        <v>221</v>
      </c>
      <c r="V60" s="2558"/>
      <c r="W60" s="2558"/>
      <c r="X60" s="2558"/>
      <c r="Y60" s="2558"/>
      <c r="Z60" s="2558"/>
      <c r="AA60" s="2558"/>
      <c r="AB60" s="2558"/>
      <c r="AC60" s="2559"/>
      <c r="AD60" s="1482"/>
      <c r="AE60" s="1484"/>
      <c r="AF60" s="1484"/>
      <c r="AG60" s="1484"/>
      <c r="AH60" s="1484"/>
      <c r="AI60" s="1484"/>
      <c r="AJ60" s="1406"/>
      <c r="AK60" s="1406"/>
      <c r="AL60" s="1481">
        <v>563</v>
      </c>
      <c r="AM60" s="705"/>
      <c r="AN60" s="705"/>
      <c r="AO60" s="705"/>
      <c r="AP60" s="705"/>
      <c r="AQ60" s="705"/>
      <c r="AR60" s="705"/>
      <c r="AS60" s="705"/>
      <c r="AT60" s="705"/>
      <c r="AU60" s="705"/>
    </row>
    <row r="61" spans="11:49" ht="14.25" hidden="1" customHeight="1">
      <c r="K61" s="1485" t="s">
        <v>1</v>
      </c>
      <c r="L61" s="2550">
        <v>160</v>
      </c>
      <c r="M61" s="2537">
        <v>200</v>
      </c>
      <c r="N61" s="2537">
        <v>260</v>
      </c>
      <c r="O61" s="2537">
        <v>300</v>
      </c>
      <c r="P61" s="2537"/>
      <c r="Q61" s="2537">
        <v>360</v>
      </c>
      <c r="R61" s="2537">
        <v>400</v>
      </c>
      <c r="S61" s="2540"/>
      <c r="T61" s="1482"/>
      <c r="U61" s="1486" t="s">
        <v>1</v>
      </c>
      <c r="V61" s="2550">
        <v>160</v>
      </c>
      <c r="W61" s="2537">
        <v>200</v>
      </c>
      <c r="X61" s="2537">
        <v>260</v>
      </c>
      <c r="Y61" s="2537">
        <v>300</v>
      </c>
      <c r="Z61" s="2537"/>
      <c r="AA61" s="2537">
        <v>360</v>
      </c>
      <c r="AB61" s="2537">
        <v>400</v>
      </c>
      <c r="AC61" s="2540"/>
      <c r="AD61" s="1482"/>
      <c r="AE61" s="2551" t="s">
        <v>316</v>
      </c>
      <c r="AF61" s="2552"/>
      <c r="AG61" s="2552"/>
      <c r="AH61" s="2553"/>
      <c r="AI61" s="1487" t="s">
        <v>0</v>
      </c>
      <c r="AJ61" s="705"/>
      <c r="AK61" s="1406"/>
      <c r="AL61" s="1481">
        <v>641</v>
      </c>
      <c r="AM61" s="705"/>
      <c r="AN61" s="705"/>
      <c r="AO61" s="705"/>
      <c r="AP61" s="705"/>
      <c r="AQ61" s="705"/>
      <c r="AR61" s="705"/>
      <c r="AS61" s="705"/>
      <c r="AT61" s="705"/>
      <c r="AU61" s="705"/>
    </row>
    <row r="62" spans="11:49" ht="14.25" hidden="1" customHeight="1">
      <c r="K62" s="1488" t="s">
        <v>0</v>
      </c>
      <c r="L62" s="2538"/>
      <c r="M62" s="2539"/>
      <c r="N62" s="2539"/>
      <c r="O62" s="1988">
        <v>1</v>
      </c>
      <c r="P62" s="1988">
        <v>2</v>
      </c>
      <c r="Q62" s="2539"/>
      <c r="R62" s="1988">
        <v>1</v>
      </c>
      <c r="S62" s="1489">
        <v>2</v>
      </c>
      <c r="T62" s="1482"/>
      <c r="U62" s="1490" t="s">
        <v>0</v>
      </c>
      <c r="V62" s="2538"/>
      <c r="W62" s="2539"/>
      <c r="X62" s="2539"/>
      <c r="Y62" s="1988">
        <v>1</v>
      </c>
      <c r="Z62" s="1988">
        <v>2</v>
      </c>
      <c r="AA62" s="2539"/>
      <c r="AB62" s="1988">
        <v>1</v>
      </c>
      <c r="AC62" s="1489">
        <v>2</v>
      </c>
      <c r="AD62" s="1482"/>
      <c r="AE62" s="1491">
        <v>0</v>
      </c>
      <c r="AF62" s="1492">
        <v>1</v>
      </c>
      <c r="AG62" s="1492">
        <v>2</v>
      </c>
      <c r="AH62" s="1493">
        <v>3</v>
      </c>
      <c r="AI62" s="1494" t="s">
        <v>317</v>
      </c>
      <c r="AJ62" s="705"/>
      <c r="AK62" s="1406"/>
      <c r="AL62" s="1481">
        <v>719</v>
      </c>
      <c r="AM62" s="705"/>
      <c r="AN62" s="705"/>
      <c r="AO62" s="705"/>
      <c r="AP62" s="705"/>
      <c r="AQ62" s="705"/>
      <c r="AR62" s="705"/>
      <c r="AS62" s="705"/>
      <c r="AT62" s="705"/>
      <c r="AU62" s="705"/>
    </row>
    <row r="63" spans="11:49" ht="14.25" hidden="1" customHeight="1">
      <c r="K63" s="1495">
        <v>65</v>
      </c>
      <c r="L63" s="1496"/>
      <c r="M63" s="1497"/>
      <c r="N63" s="1497"/>
      <c r="O63" s="1497"/>
      <c r="P63" s="1497"/>
      <c r="Q63" s="1497"/>
      <c r="R63" s="1497"/>
      <c r="S63" s="1498"/>
      <c r="T63" s="1482"/>
      <c r="U63" s="1495">
        <v>65</v>
      </c>
      <c r="V63" s="1499"/>
      <c r="W63" s="1500"/>
      <c r="X63" s="1501"/>
      <c r="Y63" s="1501"/>
      <c r="Z63" s="1500"/>
      <c r="AA63" s="1501"/>
      <c r="AB63" s="1501"/>
      <c r="AC63" s="1502"/>
      <c r="AD63" s="1482"/>
      <c r="AE63" s="1503">
        <v>1</v>
      </c>
      <c r="AF63" s="1504">
        <v>5.12</v>
      </c>
      <c r="AG63" s="1504">
        <v>5.66</v>
      </c>
      <c r="AH63" s="1505">
        <v>6.53</v>
      </c>
      <c r="AI63" s="1495">
        <v>65</v>
      </c>
      <c r="AJ63" s="705"/>
      <c r="AK63" s="1406"/>
      <c r="AL63" s="1481"/>
      <c r="AM63" s="705"/>
      <c r="AN63" s="705"/>
      <c r="AO63" s="705"/>
      <c r="AP63" s="705"/>
      <c r="AQ63" s="705"/>
      <c r="AR63" s="705"/>
      <c r="AS63" s="705"/>
      <c r="AT63" s="705"/>
      <c r="AU63" s="705"/>
    </row>
    <row r="64" spans="11:49" ht="14.25" hidden="1" customHeight="1">
      <c r="K64" s="1506">
        <v>70</v>
      </c>
      <c r="L64" s="1507"/>
      <c r="M64" s="1508"/>
      <c r="N64" s="1508"/>
      <c r="O64" s="1508"/>
      <c r="P64" s="1508"/>
      <c r="Q64" s="1508"/>
      <c r="R64" s="1508"/>
      <c r="S64" s="1509"/>
      <c r="T64" s="1482"/>
      <c r="U64" s="1506">
        <v>70</v>
      </c>
      <c r="V64" s="1510"/>
      <c r="W64" s="1511"/>
      <c r="X64" s="1512"/>
      <c r="Y64" s="1512"/>
      <c r="Z64" s="1511"/>
      <c r="AA64" s="1512"/>
      <c r="AB64" s="1512"/>
      <c r="AC64" s="1513"/>
      <c r="AD64" s="1482"/>
      <c r="AE64" s="1514">
        <v>1</v>
      </c>
      <c r="AF64" s="1515">
        <v>5.12</v>
      </c>
      <c r="AG64" s="1515">
        <v>5.66</v>
      </c>
      <c r="AH64" s="1516">
        <v>6.53</v>
      </c>
      <c r="AI64" s="1506">
        <v>70</v>
      </c>
      <c r="AJ64" s="705"/>
      <c r="AK64" s="1406"/>
      <c r="AL64" s="1481"/>
      <c r="AM64" s="705"/>
      <c r="AN64" s="705"/>
      <c r="AO64" s="705"/>
      <c r="AP64" s="705"/>
      <c r="AQ64" s="705"/>
      <c r="AR64" s="705"/>
      <c r="AS64" s="705"/>
      <c r="AT64" s="705"/>
      <c r="AU64" s="705"/>
    </row>
    <row r="65" spans="11:62" ht="14.25" hidden="1" customHeight="1">
      <c r="K65" s="1506">
        <v>75</v>
      </c>
      <c r="L65" s="1517"/>
      <c r="M65" s="1518"/>
      <c r="N65" s="1518"/>
      <c r="O65" s="1518"/>
      <c r="P65" s="1518"/>
      <c r="Q65" s="1518"/>
      <c r="R65" s="1518"/>
      <c r="S65" s="1519"/>
      <c r="T65" s="1482"/>
      <c r="U65" s="1506">
        <v>75</v>
      </c>
      <c r="V65" s="1520"/>
      <c r="W65" s="1521"/>
      <c r="X65" s="1521"/>
      <c r="Y65" s="1521"/>
      <c r="Z65" s="1521"/>
      <c r="AA65" s="1521"/>
      <c r="AB65" s="1521"/>
      <c r="AC65" s="1522"/>
      <c r="AD65" s="1482"/>
      <c r="AE65" s="1523">
        <v>1</v>
      </c>
      <c r="AF65" s="1524">
        <v>4.5999999999999996</v>
      </c>
      <c r="AG65" s="1524">
        <v>5</v>
      </c>
      <c r="AH65" s="1525">
        <v>6.53</v>
      </c>
      <c r="AI65" s="1506">
        <v>75</v>
      </c>
      <c r="AJ65" s="705"/>
      <c r="AK65" s="1406"/>
      <c r="AL65" s="1481"/>
      <c r="AM65" s="705"/>
      <c r="AN65" s="705"/>
      <c r="AO65" s="705"/>
      <c r="AP65" s="705"/>
      <c r="AQ65" s="705"/>
      <c r="AR65" s="705"/>
      <c r="AS65" s="705"/>
      <c r="AT65" s="705"/>
      <c r="AU65" s="705"/>
    </row>
    <row r="66" spans="11:62" ht="14.25" hidden="1" customHeight="1">
      <c r="K66" s="1506">
        <v>80</v>
      </c>
      <c r="L66" s="1507"/>
      <c r="M66" s="1508"/>
      <c r="N66" s="1526"/>
      <c r="O66" s="1526"/>
      <c r="P66" s="1508"/>
      <c r="Q66" s="1526"/>
      <c r="R66" s="1526"/>
      <c r="S66" s="1509"/>
      <c r="T66" s="1482"/>
      <c r="U66" s="1506">
        <v>80</v>
      </c>
      <c r="V66" s="1510"/>
      <c r="W66" s="1511"/>
      <c r="X66" s="1527"/>
      <c r="Y66" s="1527"/>
      <c r="Z66" s="1511"/>
      <c r="AA66" s="1527"/>
      <c r="AB66" s="1527"/>
      <c r="AC66" s="1513"/>
      <c r="AD66" s="1482"/>
      <c r="AE66" s="1528">
        <v>1</v>
      </c>
      <c r="AF66" s="1529">
        <v>3.92</v>
      </c>
      <c r="AG66" s="1529">
        <v>4.5</v>
      </c>
      <c r="AH66" s="1530">
        <v>5.6</v>
      </c>
      <c r="AI66" s="1506">
        <v>80</v>
      </c>
      <c r="AJ66" s="705"/>
      <c r="AK66" s="1406"/>
      <c r="AL66" s="1481"/>
      <c r="AM66" s="705"/>
      <c r="AN66" s="705"/>
      <c r="AO66" s="705"/>
      <c r="AP66" s="705"/>
      <c r="AQ66" s="705"/>
      <c r="AR66" s="705"/>
      <c r="AS66" s="705"/>
      <c r="AT66" s="705"/>
      <c r="AU66" s="705"/>
    </row>
    <row r="67" spans="11:62" ht="14.25" hidden="1" customHeight="1">
      <c r="K67" s="1506">
        <v>90</v>
      </c>
      <c r="L67" s="1531">
        <f t="shared" ref="L67:S68" si="1">L74*1.2</f>
        <v>0</v>
      </c>
      <c r="M67" s="1531">
        <f t="shared" si="1"/>
        <v>0</v>
      </c>
      <c r="N67" s="1531">
        <f t="shared" si="1"/>
        <v>580.79999999999995</v>
      </c>
      <c r="O67" s="1531">
        <f t="shared" si="1"/>
        <v>675.3599999999999</v>
      </c>
      <c r="P67" s="1531">
        <f t="shared" si="1"/>
        <v>0</v>
      </c>
      <c r="Q67" s="1531">
        <f t="shared" si="1"/>
        <v>722.63520000000005</v>
      </c>
      <c r="R67" s="1531">
        <f t="shared" si="1"/>
        <v>776.66399999999987</v>
      </c>
      <c r="S67" s="1531">
        <f t="shared" si="1"/>
        <v>0</v>
      </c>
      <c r="T67" s="1482"/>
      <c r="U67" s="1506">
        <v>90</v>
      </c>
      <c r="V67" s="1532">
        <v>1.6</v>
      </c>
      <c r="W67" s="1533">
        <v>1.55</v>
      </c>
      <c r="X67" s="1533">
        <v>1.5</v>
      </c>
      <c r="Y67" s="1533">
        <v>1.45</v>
      </c>
      <c r="Z67" s="1533">
        <v>1.45</v>
      </c>
      <c r="AA67" s="1533">
        <v>1.4</v>
      </c>
      <c r="AB67" s="1533">
        <v>1.3</v>
      </c>
      <c r="AC67" s="1534">
        <v>1.3</v>
      </c>
      <c r="AD67" s="1482"/>
      <c r="AE67" s="1535">
        <v>1</v>
      </c>
      <c r="AF67" s="1536">
        <v>3.51</v>
      </c>
      <c r="AG67" s="1536">
        <v>3.96</v>
      </c>
      <c r="AH67" s="1537">
        <v>4.93</v>
      </c>
      <c r="AI67" s="1506">
        <v>90</v>
      </c>
      <c r="AJ67" s="705"/>
      <c r="AK67" s="1406"/>
      <c r="AL67" s="1481"/>
      <c r="AM67" s="705"/>
      <c r="AN67" s="705"/>
      <c r="AO67" s="705"/>
      <c r="AP67" s="705"/>
      <c r="AQ67" s="705"/>
      <c r="AR67" s="705"/>
      <c r="AS67" s="705"/>
      <c r="AT67" s="705"/>
      <c r="AU67" s="705"/>
    </row>
    <row r="68" spans="11:62" ht="14.25" hidden="1" customHeight="1">
      <c r="K68" s="1506">
        <v>110</v>
      </c>
      <c r="L68" s="1538">
        <f t="shared" si="1"/>
        <v>0</v>
      </c>
      <c r="M68" s="1538">
        <f t="shared" si="1"/>
        <v>0</v>
      </c>
      <c r="N68" s="1538">
        <f t="shared" si="1"/>
        <v>637.19999999999993</v>
      </c>
      <c r="O68" s="1538">
        <f t="shared" si="1"/>
        <v>768.95999999999992</v>
      </c>
      <c r="P68" s="1538">
        <f t="shared" si="1"/>
        <v>0</v>
      </c>
      <c r="Q68" s="1538">
        <f t="shared" si="1"/>
        <v>822.78719999999987</v>
      </c>
      <c r="R68" s="1538">
        <f t="shared" si="1"/>
        <v>884.30399999999975</v>
      </c>
      <c r="S68" s="1538">
        <f t="shared" si="1"/>
        <v>0</v>
      </c>
      <c r="T68" s="1482"/>
      <c r="U68" s="1506">
        <v>110</v>
      </c>
      <c r="V68" s="1539">
        <v>1.5</v>
      </c>
      <c r="W68" s="1540">
        <v>1.3</v>
      </c>
      <c r="X68" s="1540">
        <v>1.3</v>
      </c>
      <c r="Y68" s="1540">
        <v>1.3</v>
      </c>
      <c r="Z68" s="1540">
        <v>1.3</v>
      </c>
      <c r="AA68" s="1540">
        <v>1.3</v>
      </c>
      <c r="AB68" s="1540">
        <v>1.3</v>
      </c>
      <c r="AC68" s="1541">
        <v>1.3</v>
      </c>
      <c r="AD68" s="1482"/>
      <c r="AE68" s="1542">
        <v>1</v>
      </c>
      <c r="AF68" s="1543">
        <v>3.41</v>
      </c>
      <c r="AG68" s="1543">
        <v>3.96</v>
      </c>
      <c r="AH68" s="1544">
        <v>4.93</v>
      </c>
      <c r="AI68" s="1506">
        <v>110</v>
      </c>
      <c r="AJ68" s="705"/>
      <c r="AK68" s="1406"/>
      <c r="AL68" s="1481"/>
      <c r="AM68" s="705"/>
      <c r="AN68" s="705"/>
      <c r="AO68" s="705"/>
      <c r="AP68" s="705"/>
      <c r="AQ68" s="705"/>
      <c r="AR68" s="705"/>
      <c r="AS68" s="705"/>
      <c r="AT68" s="705"/>
      <c r="AU68" s="705"/>
    </row>
    <row r="69" spans="11:62" ht="14.25" hidden="1" customHeight="1">
      <c r="K69" s="1506">
        <v>150</v>
      </c>
      <c r="L69" s="1545">
        <f t="shared" ref="L69:S69" si="2">L77*1.2</f>
        <v>0</v>
      </c>
      <c r="M69" s="1545">
        <f t="shared" si="2"/>
        <v>660.95999999999992</v>
      </c>
      <c r="N69" s="1545">
        <f t="shared" si="2"/>
        <v>684.09359999999981</v>
      </c>
      <c r="O69" s="1545">
        <f t="shared" si="2"/>
        <v>862.8</v>
      </c>
      <c r="P69" s="1545">
        <f t="shared" si="2"/>
        <v>0</v>
      </c>
      <c r="Q69" s="1545">
        <f t="shared" si="2"/>
        <v>923.19600000000003</v>
      </c>
      <c r="R69" s="1545">
        <f t="shared" si="2"/>
        <v>0</v>
      </c>
      <c r="S69" s="1545">
        <f t="shared" si="2"/>
        <v>0</v>
      </c>
      <c r="T69" s="1482"/>
      <c r="U69" s="1506">
        <v>150</v>
      </c>
      <c r="V69" s="1546">
        <v>1.4</v>
      </c>
      <c r="W69" s="1547">
        <v>1.35</v>
      </c>
      <c r="X69" s="1547">
        <v>1.32</v>
      </c>
      <c r="Y69" s="1547"/>
      <c r="Z69" s="1547">
        <v>1.3</v>
      </c>
      <c r="AA69" s="1547">
        <v>1.28</v>
      </c>
      <c r="AB69" s="1547"/>
      <c r="AC69" s="1548">
        <v>1.25</v>
      </c>
      <c r="AD69" s="1482"/>
      <c r="AE69" s="1549">
        <v>1</v>
      </c>
      <c r="AF69" s="1550">
        <v>3.41</v>
      </c>
      <c r="AG69" s="1550">
        <v>3.96</v>
      </c>
      <c r="AH69" s="1551">
        <v>4.93</v>
      </c>
      <c r="AI69" s="1506">
        <v>150</v>
      </c>
      <c r="AJ69" s="705"/>
      <c r="AK69" s="1406"/>
      <c r="AL69" s="1481"/>
      <c r="AM69" s="705"/>
      <c r="AN69" s="705"/>
      <c r="AO69" s="705"/>
      <c r="AP69" s="705"/>
      <c r="AQ69" s="705"/>
      <c r="AR69" s="705"/>
      <c r="AS69" s="705"/>
      <c r="AT69" s="705"/>
      <c r="AU69" s="705"/>
    </row>
    <row r="70" spans="11:62" ht="14.25" hidden="1" customHeight="1">
      <c r="K70" s="1506">
        <v>200</v>
      </c>
      <c r="L70" s="1552">
        <f t="shared" ref="L70:S70" si="3">L98*1.2</f>
        <v>0</v>
      </c>
      <c r="M70" s="1552">
        <f t="shared" si="3"/>
        <v>0</v>
      </c>
      <c r="N70" s="1552">
        <f t="shared" si="3"/>
        <v>0</v>
      </c>
      <c r="O70" s="1552">
        <f t="shared" si="3"/>
        <v>0</v>
      </c>
      <c r="P70" s="1552">
        <f t="shared" si="3"/>
        <v>0</v>
      </c>
      <c r="Q70" s="1552">
        <f t="shared" si="3"/>
        <v>0</v>
      </c>
      <c r="R70" s="1552">
        <f t="shared" si="3"/>
        <v>0</v>
      </c>
      <c r="S70" s="1552">
        <f t="shared" si="3"/>
        <v>0</v>
      </c>
      <c r="T70" s="1482"/>
      <c r="U70" s="1506">
        <v>200</v>
      </c>
      <c r="V70" s="1553">
        <v>1.35</v>
      </c>
      <c r="W70" s="1554">
        <v>1.3</v>
      </c>
      <c r="X70" s="1554">
        <v>1.27</v>
      </c>
      <c r="Y70" s="1554"/>
      <c r="Z70" s="1554">
        <v>1.28</v>
      </c>
      <c r="AA70" s="1554">
        <v>1.26</v>
      </c>
      <c r="AB70" s="1554"/>
      <c r="AC70" s="1555">
        <v>1.2</v>
      </c>
      <c r="AD70" s="1482"/>
      <c r="AE70" s="1549">
        <v>1</v>
      </c>
      <c r="AF70" s="1550">
        <v>2.73</v>
      </c>
      <c r="AG70" s="1550">
        <v>3.11</v>
      </c>
      <c r="AH70" s="1551">
        <v>3.89</v>
      </c>
      <c r="AI70" s="1506">
        <v>150.16</v>
      </c>
      <c r="AJ70" s="705"/>
      <c r="AK70" s="1406"/>
      <c r="AL70" s="1481"/>
      <c r="AM70" s="705"/>
      <c r="AN70" s="705"/>
      <c r="AO70" s="705"/>
      <c r="AP70" s="705"/>
      <c r="AQ70" s="705"/>
      <c r="AR70" s="705"/>
      <c r="AS70" s="705"/>
      <c r="AT70" s="705"/>
      <c r="AU70" s="705"/>
    </row>
    <row r="71" spans="11:62" ht="14.25" hidden="1" customHeight="1">
      <c r="K71" s="1506">
        <v>300</v>
      </c>
      <c r="L71" s="1517"/>
      <c r="M71" s="1518"/>
      <c r="N71" s="1518"/>
      <c r="O71" s="1518"/>
      <c r="P71" s="1518"/>
      <c r="Q71" s="1518"/>
      <c r="R71" s="1518"/>
      <c r="S71" s="1519"/>
      <c r="T71" s="1482"/>
      <c r="U71" s="1506">
        <v>300</v>
      </c>
      <c r="V71" s="1520"/>
      <c r="W71" s="1521"/>
      <c r="X71" s="1521"/>
      <c r="Y71" s="1521"/>
      <c r="Z71" s="1521"/>
      <c r="AA71" s="1521"/>
      <c r="AB71" s="1521"/>
      <c r="AC71" s="1522"/>
      <c r="AD71" s="1482"/>
      <c r="AE71" s="1549">
        <v>1</v>
      </c>
      <c r="AF71" s="1547">
        <v>2.73</v>
      </c>
      <c r="AG71" s="1547">
        <v>2.83</v>
      </c>
      <c r="AH71" s="1556">
        <v>3.66</v>
      </c>
      <c r="AI71" s="1557" t="s">
        <v>319</v>
      </c>
      <c r="AJ71" s="705"/>
      <c r="AK71" s="1406"/>
      <c r="AL71" s="1481"/>
      <c r="AM71" s="705"/>
      <c r="AN71" s="705"/>
      <c r="AO71" s="705"/>
      <c r="AP71" s="705"/>
      <c r="AQ71" s="705"/>
      <c r="AR71" s="705"/>
      <c r="AS71" s="705"/>
      <c r="AT71" s="705"/>
      <c r="AU71" s="705"/>
    </row>
    <row r="72" spans="11:62" ht="14.25" hidden="1" customHeight="1">
      <c r="K72" s="1506">
        <v>400</v>
      </c>
      <c r="L72" s="1517"/>
      <c r="M72" s="1518"/>
      <c r="N72" s="1518"/>
      <c r="O72" s="1518"/>
      <c r="P72" s="1518"/>
      <c r="Q72" s="1518"/>
      <c r="R72" s="1518"/>
      <c r="S72" s="1519"/>
      <c r="T72" s="1482"/>
      <c r="U72" s="1506">
        <v>400</v>
      </c>
      <c r="V72" s="1520"/>
      <c r="W72" s="1521"/>
      <c r="X72" s="1521"/>
      <c r="Y72" s="1521"/>
      <c r="Z72" s="1521"/>
      <c r="AA72" s="1521"/>
      <c r="AB72" s="1521"/>
      <c r="AC72" s="1522"/>
      <c r="AD72" s="1482"/>
      <c r="AE72" s="1549">
        <v>1</v>
      </c>
      <c r="AF72" s="1558">
        <v>3.41</v>
      </c>
      <c r="AG72" s="1558">
        <v>3.86</v>
      </c>
      <c r="AH72" s="1559">
        <v>4.63</v>
      </c>
      <c r="AI72" s="1560" t="s">
        <v>321</v>
      </c>
      <c r="AJ72" s="705"/>
      <c r="AK72" s="1406"/>
      <c r="AL72" s="1481"/>
      <c r="AM72" s="1406"/>
      <c r="AN72" s="1481"/>
      <c r="AO72" s="1481"/>
      <c r="AP72" s="1481"/>
      <c r="AQ72" s="1481"/>
      <c r="AR72" s="1481"/>
      <c r="AS72" s="1481"/>
      <c r="AT72" s="1481"/>
      <c r="AU72" s="1406"/>
      <c r="AV72" s="1409"/>
      <c r="AW72" s="637"/>
      <c r="AX72" s="637"/>
      <c r="AY72" s="637"/>
      <c r="AZ72" s="637"/>
      <c r="BA72" s="637"/>
      <c r="BB72" s="637"/>
      <c r="BC72" s="637"/>
      <c r="BD72" s="637"/>
      <c r="BE72" s="1406"/>
      <c r="BF72" s="1406"/>
      <c r="BG72" s="1406"/>
      <c r="BH72" s="1406"/>
      <c r="BI72" s="1406"/>
      <c r="BJ72" s="1406"/>
    </row>
    <row r="73" spans="11:62" ht="14.25" hidden="1" customHeight="1">
      <c r="K73" s="1506">
        <v>500</v>
      </c>
      <c r="L73" s="1517"/>
      <c r="M73" s="1518"/>
      <c r="N73" s="1518"/>
      <c r="O73" s="1518"/>
      <c r="P73" s="1518"/>
      <c r="Q73" s="1518"/>
      <c r="R73" s="1518"/>
      <c r="S73" s="1519"/>
      <c r="T73" s="1482"/>
      <c r="U73" s="1506">
        <v>500</v>
      </c>
      <c r="V73" s="1520"/>
      <c r="W73" s="1521"/>
      <c r="X73" s="1521"/>
      <c r="Y73" s="1521"/>
      <c r="Z73" s="1521"/>
      <c r="AA73" s="1521"/>
      <c r="AB73" s="1521"/>
      <c r="AC73" s="1522"/>
      <c r="AD73" s="1482"/>
      <c r="AE73" s="1482"/>
      <c r="AF73" s="1482"/>
      <c r="AG73" s="1482"/>
      <c r="AH73" s="1482"/>
      <c r="AI73" s="1482"/>
      <c r="AK73" s="1406"/>
      <c r="AL73" s="1409"/>
      <c r="AM73" s="1406"/>
      <c r="AN73" s="1481"/>
      <c r="AO73" s="1481"/>
      <c r="AP73" s="1481"/>
      <c r="AQ73" s="1481"/>
      <c r="AR73" s="1481"/>
      <c r="AS73" s="1481"/>
      <c r="AT73" s="1481"/>
      <c r="AU73" s="1406"/>
      <c r="AV73" s="1409"/>
      <c r="AW73" s="637"/>
      <c r="AX73" s="637"/>
      <c r="AY73" s="637"/>
      <c r="AZ73" s="637"/>
      <c r="BA73" s="637"/>
      <c r="BB73" s="637"/>
      <c r="BC73" s="637"/>
      <c r="BD73" s="637"/>
      <c r="BE73" s="1406"/>
      <c r="BF73" s="1406"/>
      <c r="BG73" s="1406"/>
      <c r="BH73" s="1406"/>
      <c r="BI73" s="1406"/>
      <c r="BJ73" s="1406"/>
    </row>
    <row r="74" spans="11:62" ht="14.25" hidden="1" customHeight="1">
      <c r="K74" s="1561">
        <v>90</v>
      </c>
      <c r="L74" s="1562"/>
      <c r="M74" s="1562"/>
      <c r="N74" s="1562">
        <v>484</v>
      </c>
      <c r="O74" s="1562">
        <v>562.79999999999995</v>
      </c>
      <c r="P74" s="1562"/>
      <c r="Q74" s="1562">
        <v>602.19600000000003</v>
      </c>
      <c r="R74" s="1562">
        <v>647.21999999999991</v>
      </c>
      <c r="S74" s="1562"/>
      <c r="T74" s="1563"/>
      <c r="U74" s="1563"/>
      <c r="V74" s="1563"/>
      <c r="W74" s="1563"/>
      <c r="X74" s="1563"/>
      <c r="Y74" s="1563"/>
      <c r="Z74" s="1563"/>
      <c r="AA74" s="1563"/>
      <c r="AB74" s="1563"/>
      <c r="AC74" s="1563"/>
      <c r="AD74" s="1563"/>
      <c r="AE74" s="1563"/>
      <c r="AF74" s="1563"/>
      <c r="AG74" s="1563"/>
      <c r="AH74" s="1563"/>
      <c r="AI74" s="1563"/>
      <c r="AK74" s="1406"/>
      <c r="AL74" s="1409"/>
      <c r="AM74" s="1406"/>
      <c r="AN74" s="1481"/>
      <c r="AO74" s="1481"/>
      <c r="AP74" s="1481"/>
      <c r="AQ74" s="1481"/>
      <c r="AR74" s="1481"/>
      <c r="AS74" s="1481"/>
      <c r="AT74" s="1481"/>
      <c r="AU74" s="1406"/>
      <c r="AV74" s="1409"/>
      <c r="AW74" s="637"/>
      <c r="AX74" s="637"/>
      <c r="AY74" s="637"/>
      <c r="AZ74" s="637"/>
      <c r="BA74" s="637"/>
      <c r="BB74" s="637"/>
      <c r="BC74" s="637"/>
      <c r="BD74" s="637"/>
      <c r="BE74" s="1406"/>
      <c r="BF74" s="1406"/>
      <c r="BG74" s="1406"/>
      <c r="BH74" s="1406"/>
      <c r="BI74" s="1406"/>
      <c r="BJ74" s="1406"/>
    </row>
    <row r="75" spans="11:62" ht="14.25" hidden="1" customHeight="1">
      <c r="K75" s="1564">
        <v>110</v>
      </c>
      <c r="L75" s="1562"/>
      <c r="M75" s="1565"/>
      <c r="N75" s="1565">
        <v>531</v>
      </c>
      <c r="O75" s="1565">
        <v>640.79999999999995</v>
      </c>
      <c r="P75" s="1565"/>
      <c r="Q75" s="1565">
        <v>685.65599999999995</v>
      </c>
      <c r="R75" s="1565">
        <v>736.91999999999985</v>
      </c>
      <c r="S75" s="1565"/>
      <c r="T75" s="1482"/>
      <c r="U75" s="1566"/>
      <c r="V75" s="1567"/>
      <c r="W75" s="1567"/>
      <c r="X75" s="1567"/>
      <c r="Y75" s="1567"/>
      <c r="Z75" s="1567"/>
      <c r="AA75" s="1567"/>
      <c r="AB75" s="1567"/>
      <c r="AC75" s="1567"/>
      <c r="AD75" s="1482"/>
      <c r="AE75" s="1482"/>
      <c r="AF75" s="1482"/>
      <c r="AG75" s="1482"/>
      <c r="AH75" s="1482"/>
      <c r="AI75" s="1482"/>
      <c r="AJ75" s="1406"/>
      <c r="AK75" s="1406"/>
      <c r="AL75" s="1406"/>
      <c r="AM75" s="1406"/>
      <c r="AN75" s="1406"/>
      <c r="AO75" s="1406"/>
      <c r="AP75" s="1406"/>
      <c r="AQ75" s="1406"/>
      <c r="AR75" s="1406"/>
      <c r="AS75" s="1406"/>
      <c r="AT75" s="1406"/>
      <c r="AU75" s="1406"/>
      <c r="AV75" s="1406"/>
      <c r="AW75" s="1406"/>
      <c r="AX75" s="1406"/>
      <c r="AY75" s="1406"/>
      <c r="AZ75" s="1406"/>
      <c r="BA75" s="1406"/>
      <c r="BB75" s="1406"/>
      <c r="BC75" s="1406"/>
      <c r="BD75" s="1406"/>
      <c r="BE75" s="1406"/>
      <c r="BF75" s="1406"/>
      <c r="BG75" s="1406"/>
      <c r="BH75" s="1406"/>
      <c r="BI75" s="705"/>
      <c r="BJ75" s="705"/>
    </row>
    <row r="76" spans="11:62" ht="14.25" hidden="1" customHeight="1">
      <c r="K76" s="1564"/>
      <c r="L76" s="1562"/>
      <c r="M76" s="1565"/>
      <c r="N76" s="1565"/>
      <c r="O76" s="1565"/>
      <c r="P76" s="1565"/>
      <c r="Q76" s="1565"/>
      <c r="R76" s="1565"/>
      <c r="S76" s="1565"/>
      <c r="T76" s="1482"/>
      <c r="U76" s="1566"/>
      <c r="V76" s="1567"/>
      <c r="W76" s="1567"/>
      <c r="X76" s="1567"/>
      <c r="Y76" s="1567"/>
      <c r="Z76" s="1567"/>
      <c r="AA76" s="1567"/>
      <c r="AB76" s="1567"/>
      <c r="AC76" s="1567"/>
      <c r="AD76" s="1482"/>
      <c r="AE76" s="1482"/>
      <c r="AF76" s="1482"/>
      <c r="AG76" s="1482"/>
      <c r="AH76" s="1482"/>
      <c r="AI76" s="1482"/>
      <c r="AJ76" s="1406"/>
      <c r="AK76" s="1406"/>
      <c r="AL76" s="1406"/>
      <c r="AM76" s="1406"/>
      <c r="AN76" s="1406"/>
      <c r="AO76" s="1406"/>
      <c r="AP76" s="1406"/>
      <c r="AQ76" s="1406"/>
      <c r="AR76" s="1406"/>
      <c r="AS76" s="1406"/>
      <c r="AT76" s="1406"/>
      <c r="AU76" s="1406"/>
      <c r="AV76" s="1406"/>
      <c r="AW76" s="1406"/>
      <c r="AX76" s="1406"/>
      <c r="AY76" s="1406"/>
      <c r="AZ76" s="1406"/>
      <c r="BA76" s="1406"/>
      <c r="BB76" s="1406"/>
      <c r="BC76" s="1406"/>
      <c r="BD76" s="1406"/>
      <c r="BE76" s="1406"/>
      <c r="BF76" s="1406"/>
      <c r="BG76" s="1406"/>
      <c r="BH76" s="1406"/>
      <c r="BI76" s="705"/>
      <c r="BJ76" s="705"/>
    </row>
    <row r="77" spans="11:62" ht="14.25" hidden="1" customHeight="1">
      <c r="K77" s="1562">
        <v>150</v>
      </c>
      <c r="L77" s="1562"/>
      <c r="M77" s="1565">
        <v>550.79999999999995</v>
      </c>
      <c r="N77" s="1565">
        <v>570.07799999999986</v>
      </c>
      <c r="O77" s="1565">
        <v>719</v>
      </c>
      <c r="P77" s="1565"/>
      <c r="Q77" s="1565">
        <v>769.33</v>
      </c>
      <c r="R77" s="1565"/>
      <c r="S77" s="1565"/>
      <c r="T77" s="1482"/>
      <c r="U77" s="1566"/>
      <c r="V77" s="1567"/>
      <c r="W77" s="1567"/>
      <c r="X77" s="1567"/>
      <c r="Y77" s="1567"/>
      <c r="Z77" s="1567"/>
      <c r="AA77" s="1567"/>
      <c r="AB77" s="1567"/>
      <c r="AC77" s="1567"/>
      <c r="AD77" s="1482"/>
      <c r="AE77" s="1482"/>
      <c r="AF77" s="1482"/>
      <c r="AG77" s="1482"/>
      <c r="AH77" s="1482"/>
      <c r="AI77" s="1482"/>
      <c r="AJ77" s="1406"/>
      <c r="AK77" s="1406"/>
      <c r="AL77" s="1406"/>
      <c r="AM77" s="1406"/>
      <c r="AN77" s="1406"/>
      <c r="AO77" s="1406"/>
      <c r="AP77" s="1406"/>
      <c r="AQ77" s="1406"/>
      <c r="AR77" s="1406"/>
      <c r="AS77" s="1406"/>
      <c r="AT77" s="1406"/>
      <c r="AU77" s="1406"/>
      <c r="AV77" s="1406"/>
      <c r="AW77" s="1406"/>
      <c r="AX77" s="1406"/>
      <c r="AY77" s="1406"/>
      <c r="AZ77" s="1406"/>
      <c r="BA77" s="1406"/>
      <c r="BB77" s="1406"/>
      <c r="BC77" s="1406"/>
      <c r="BD77" s="1406"/>
      <c r="BE77" s="1406"/>
      <c r="BF77" s="1406"/>
      <c r="BG77" s="1406"/>
      <c r="BH77" s="1406"/>
      <c r="BI77" s="705"/>
      <c r="BJ77" s="705"/>
    </row>
    <row r="78" spans="11:62" ht="24.75" hidden="1" customHeight="1">
      <c r="K78" s="2560" t="s">
        <v>5756</v>
      </c>
      <c r="L78" s="2561"/>
      <c r="M78" s="2561"/>
      <c r="N78" s="2561"/>
      <c r="O78" s="2561"/>
      <c r="P78" s="2561"/>
      <c r="Q78" s="2561"/>
      <c r="R78" s="2561"/>
      <c r="S78" s="2561"/>
      <c r="T78" s="2561"/>
      <c r="U78" s="2561"/>
      <c r="V78" s="2561"/>
      <c r="W78" s="2561"/>
      <c r="X78" s="2561"/>
      <c r="Y78" s="2561"/>
      <c r="Z78" s="2561"/>
      <c r="AA78" s="2561"/>
      <c r="AB78" s="2561"/>
      <c r="AC78" s="2562"/>
      <c r="AD78" s="1482"/>
      <c r="AE78" s="1483"/>
      <c r="AF78" s="1483"/>
      <c r="AG78" s="1483"/>
      <c r="AH78" s="1483"/>
      <c r="AI78" s="1483"/>
      <c r="AJ78" s="1406"/>
      <c r="AK78" s="1406"/>
      <c r="AL78" s="1406"/>
      <c r="AM78" s="1406"/>
      <c r="AN78" s="1406"/>
      <c r="AO78" s="1406"/>
      <c r="AP78" s="1406"/>
      <c r="AQ78" s="1406"/>
      <c r="AR78" s="1406"/>
      <c r="AS78" s="1406"/>
      <c r="AT78" s="1406"/>
      <c r="AU78" s="1406"/>
      <c r="AV78" s="1406"/>
      <c r="AW78" s="1406"/>
      <c r="AX78" s="1406"/>
      <c r="AY78" s="1406"/>
      <c r="AZ78" s="1406"/>
      <c r="BA78" s="1406"/>
      <c r="BB78" s="1406"/>
      <c r="BC78" s="1406"/>
      <c r="BD78" s="1406"/>
      <c r="BE78" s="1406"/>
      <c r="BF78" s="1406"/>
      <c r="BG78" s="1406"/>
      <c r="BH78" s="1406"/>
      <c r="BI78" s="705"/>
      <c r="BJ78" s="705"/>
    </row>
    <row r="79" spans="11:62" ht="14.25" hidden="1" customHeight="1">
      <c r="K79" s="2557" t="s">
        <v>220</v>
      </c>
      <c r="L79" s="2558"/>
      <c r="M79" s="2558"/>
      <c r="N79" s="2558"/>
      <c r="O79" s="2558"/>
      <c r="P79" s="2558"/>
      <c r="Q79" s="2558"/>
      <c r="R79" s="2558"/>
      <c r="S79" s="2559"/>
      <c r="T79" s="1482"/>
      <c r="U79" s="2557" t="s">
        <v>221</v>
      </c>
      <c r="V79" s="2558"/>
      <c r="W79" s="2558"/>
      <c r="X79" s="2558"/>
      <c r="Y79" s="2558"/>
      <c r="Z79" s="2558"/>
      <c r="AA79" s="2558"/>
      <c r="AB79" s="2558"/>
      <c r="AC79" s="2559"/>
      <c r="AD79" s="1482"/>
      <c r="AE79" s="1484"/>
      <c r="AF79" s="1484"/>
      <c r="AG79" s="1484"/>
      <c r="AH79" s="1484"/>
      <c r="AI79" s="1484"/>
      <c r="AJ79" s="1406"/>
      <c r="AK79" s="1406"/>
      <c r="AL79" s="1406"/>
      <c r="AM79" s="1406"/>
      <c r="AN79" s="1406"/>
      <c r="AO79" s="1406"/>
      <c r="AP79" s="1406"/>
      <c r="AQ79" s="1406"/>
      <c r="AR79" s="1406"/>
      <c r="AS79" s="1406"/>
      <c r="AT79" s="1406"/>
      <c r="AU79" s="1406"/>
      <c r="AV79" s="1406"/>
      <c r="AW79" s="1406"/>
      <c r="AX79" s="1406"/>
      <c r="AY79" s="1406"/>
      <c r="AZ79" s="1406"/>
      <c r="BA79" s="1406"/>
      <c r="BB79" s="1406"/>
      <c r="BC79" s="1406"/>
      <c r="BD79" s="1406"/>
      <c r="BE79" s="1406"/>
      <c r="BF79" s="1406"/>
      <c r="BG79" s="1406"/>
      <c r="BH79" s="1406"/>
      <c r="BI79" s="705"/>
      <c r="BJ79" s="705"/>
    </row>
    <row r="80" spans="11:62" ht="14.25" hidden="1" customHeight="1">
      <c r="K80" s="1485" t="s">
        <v>1</v>
      </c>
      <c r="L80" s="2550">
        <v>160</v>
      </c>
      <c r="M80" s="2537">
        <v>200</v>
      </c>
      <c r="N80" s="2537">
        <v>260</v>
      </c>
      <c r="O80" s="2537">
        <v>300</v>
      </c>
      <c r="P80" s="2537"/>
      <c r="Q80" s="2537">
        <v>360</v>
      </c>
      <c r="R80" s="2537">
        <v>400</v>
      </c>
      <c r="S80" s="2540"/>
      <c r="T80" s="1482"/>
      <c r="U80" s="1486" t="s">
        <v>1</v>
      </c>
      <c r="V80" s="2550">
        <v>160</v>
      </c>
      <c r="W80" s="2537">
        <v>200</v>
      </c>
      <c r="X80" s="2537">
        <v>260</v>
      </c>
      <c r="Y80" s="2537">
        <v>300</v>
      </c>
      <c r="Z80" s="2537"/>
      <c r="AA80" s="2537">
        <v>360</v>
      </c>
      <c r="AB80" s="2537">
        <v>400</v>
      </c>
      <c r="AC80" s="2540"/>
      <c r="AD80" s="1482"/>
      <c r="AE80" s="2551" t="s">
        <v>316</v>
      </c>
      <c r="AF80" s="2552"/>
      <c r="AG80" s="2552"/>
      <c r="AH80" s="2553"/>
      <c r="AI80" s="1487" t="s">
        <v>0</v>
      </c>
      <c r="AJ80" s="705"/>
      <c r="AK80" s="1406"/>
      <c r="AL80" s="1406"/>
      <c r="AM80" s="1406"/>
      <c r="AN80" s="1406"/>
      <c r="AO80" s="1406"/>
      <c r="AP80" s="1406"/>
      <c r="AQ80" s="1406"/>
      <c r="AR80" s="1406"/>
      <c r="AS80" s="1406"/>
      <c r="AT80" s="1406"/>
      <c r="AU80" s="1406"/>
      <c r="AV80" s="1406"/>
      <c r="AW80" s="1406"/>
      <c r="AX80" s="1406"/>
      <c r="AY80" s="1406"/>
      <c r="AZ80" s="1406"/>
      <c r="BA80" s="1406"/>
      <c r="BB80" s="1406"/>
      <c r="BC80" s="1406"/>
      <c r="BD80" s="1406"/>
      <c r="BE80" s="1406"/>
      <c r="BF80" s="1406"/>
      <c r="BG80" s="1406"/>
      <c r="BH80" s="1406"/>
      <c r="BI80" s="705"/>
      <c r="BJ80" s="705"/>
    </row>
    <row r="81" spans="11:62" ht="14.25" hidden="1" customHeight="1">
      <c r="K81" s="1488" t="s">
        <v>0</v>
      </c>
      <c r="L81" s="2538"/>
      <c r="M81" s="2539"/>
      <c r="N81" s="2539"/>
      <c r="O81" s="1988">
        <v>1</v>
      </c>
      <c r="P81" s="1988">
        <v>2</v>
      </c>
      <c r="Q81" s="2539"/>
      <c r="R81" s="1988">
        <v>1</v>
      </c>
      <c r="S81" s="1489">
        <v>2</v>
      </c>
      <c r="T81" s="1482"/>
      <c r="U81" s="1490" t="s">
        <v>0</v>
      </c>
      <c r="V81" s="2538"/>
      <c r="W81" s="2539"/>
      <c r="X81" s="2539"/>
      <c r="Y81" s="1988">
        <v>1</v>
      </c>
      <c r="Z81" s="1988">
        <v>2</v>
      </c>
      <c r="AA81" s="2539"/>
      <c r="AB81" s="1988">
        <v>1</v>
      </c>
      <c r="AC81" s="1489">
        <v>2</v>
      </c>
      <c r="AD81" s="1482"/>
      <c r="AE81" s="1491">
        <v>0</v>
      </c>
      <c r="AF81" s="1492">
        <v>1</v>
      </c>
      <c r="AG81" s="1492">
        <v>2</v>
      </c>
      <c r="AH81" s="1493">
        <v>3</v>
      </c>
      <c r="AI81" s="1494" t="s">
        <v>317</v>
      </c>
      <c r="AJ81" s="705"/>
      <c r="AK81" s="1406"/>
      <c r="AL81" s="1406"/>
      <c r="AM81" s="1406"/>
      <c r="AN81" s="1406"/>
      <c r="AO81" s="1406"/>
      <c r="AP81" s="1406"/>
      <c r="AQ81" s="1406"/>
      <c r="AR81" s="1406"/>
      <c r="AS81" s="1406"/>
      <c r="AT81" s="1406"/>
      <c r="AU81" s="1406"/>
      <c r="AV81" s="1406"/>
      <c r="AW81" s="1406"/>
      <c r="AX81" s="1406"/>
      <c r="AY81" s="1406"/>
      <c r="AZ81" s="1406"/>
      <c r="BA81" s="1406"/>
      <c r="BB81" s="1406"/>
      <c r="BC81" s="1406"/>
      <c r="BD81" s="1406"/>
      <c r="BE81" s="1406"/>
      <c r="BF81" s="1406"/>
      <c r="BG81" s="1406"/>
      <c r="BH81" s="1406"/>
      <c r="BI81" s="705"/>
      <c r="BJ81" s="705"/>
    </row>
    <row r="82" spans="11:62" ht="14.25" hidden="1" customHeight="1">
      <c r="K82" s="1495">
        <v>65</v>
      </c>
      <c r="L82" s="1496"/>
      <c r="M82" s="1497"/>
      <c r="N82" s="1497"/>
      <c r="O82" s="1497"/>
      <c r="P82" s="1497"/>
      <c r="Q82" s="1497"/>
      <c r="R82" s="1497"/>
      <c r="S82" s="1498"/>
      <c r="T82" s="1482"/>
      <c r="U82" s="1495">
        <v>65</v>
      </c>
      <c r="V82" s="1499"/>
      <c r="W82" s="1500"/>
      <c r="X82" s="1501"/>
      <c r="Y82" s="1501"/>
      <c r="Z82" s="1500"/>
      <c r="AA82" s="1501"/>
      <c r="AB82" s="1501"/>
      <c r="AC82" s="1502"/>
      <c r="AD82" s="1482"/>
      <c r="AE82" s="1503">
        <v>1</v>
      </c>
      <c r="AF82" s="1504">
        <v>5.12</v>
      </c>
      <c r="AG82" s="1504">
        <v>5.66</v>
      </c>
      <c r="AH82" s="1505">
        <v>6.53</v>
      </c>
      <c r="AI82" s="1495">
        <v>65</v>
      </c>
      <c r="AJ82" s="705"/>
      <c r="AK82" s="1406"/>
      <c r="AL82" s="1406"/>
      <c r="AM82" s="1406"/>
      <c r="AN82" s="1406"/>
      <c r="AO82" s="1406"/>
      <c r="AP82" s="1406"/>
      <c r="AQ82" s="1406"/>
      <c r="AR82" s="1406"/>
      <c r="AS82" s="1406"/>
      <c r="AT82" s="1406"/>
      <c r="AU82" s="1406"/>
      <c r="AV82" s="1406"/>
      <c r="AW82" s="1406"/>
      <c r="AX82" s="1406"/>
      <c r="AY82" s="1406"/>
      <c r="AZ82" s="1406"/>
      <c r="BA82" s="1406"/>
      <c r="BB82" s="1406"/>
      <c r="BC82" s="1406"/>
      <c r="BD82" s="1406"/>
      <c r="BE82" s="1406"/>
      <c r="BF82" s="1406"/>
      <c r="BG82" s="1406"/>
      <c r="BH82" s="1406"/>
      <c r="BI82" s="705"/>
      <c r="BJ82" s="705"/>
    </row>
    <row r="83" spans="11:62" ht="14.25" hidden="1" customHeight="1">
      <c r="K83" s="1506">
        <v>70</v>
      </c>
      <c r="L83" s="1507"/>
      <c r="M83" s="1508"/>
      <c r="N83" s="1508"/>
      <c r="O83" s="1508"/>
      <c r="P83" s="1508"/>
      <c r="Q83" s="1508"/>
      <c r="R83" s="1508"/>
      <c r="S83" s="1509"/>
      <c r="T83" s="1482"/>
      <c r="U83" s="1506">
        <v>70</v>
      </c>
      <c r="V83" s="1510"/>
      <c r="W83" s="1511"/>
      <c r="X83" s="1512"/>
      <c r="Y83" s="1512"/>
      <c r="Z83" s="1511"/>
      <c r="AA83" s="1512"/>
      <c r="AB83" s="1512"/>
      <c r="AC83" s="1513"/>
      <c r="AD83" s="1482"/>
      <c r="AE83" s="1514">
        <v>1</v>
      </c>
      <c r="AF83" s="1515">
        <v>5.12</v>
      </c>
      <c r="AG83" s="1515">
        <v>5.66</v>
      </c>
      <c r="AH83" s="1516">
        <v>6.53</v>
      </c>
      <c r="AI83" s="1506">
        <v>70</v>
      </c>
      <c r="AJ83" s="705"/>
      <c r="AK83" s="1406"/>
      <c r="AL83" s="1406"/>
      <c r="AM83" s="1406"/>
      <c r="AN83" s="1406"/>
      <c r="AO83" s="1406"/>
      <c r="AP83" s="1406"/>
      <c r="AQ83" s="1406"/>
      <c r="AR83" s="1406"/>
      <c r="AS83" s="1406"/>
      <c r="AT83" s="1406"/>
      <c r="AU83" s="1406"/>
      <c r="AV83" s="1406"/>
      <c r="AW83" s="1406"/>
      <c r="AX83" s="1406"/>
      <c r="AY83" s="1406"/>
      <c r="AZ83" s="1406"/>
      <c r="BA83" s="1406"/>
      <c r="BB83" s="1406"/>
      <c r="BC83" s="1406"/>
      <c r="BD83" s="1406"/>
      <c r="BE83" s="1406"/>
      <c r="BF83" s="1406"/>
      <c r="BG83" s="1406"/>
      <c r="BH83" s="1406"/>
      <c r="BI83" s="705"/>
      <c r="BJ83" s="705"/>
    </row>
    <row r="84" spans="11:62" ht="14.25" hidden="1" customHeight="1">
      <c r="K84" s="1506">
        <v>75</v>
      </c>
      <c r="L84" s="1517"/>
      <c r="M84" s="1518"/>
      <c r="N84" s="1518"/>
      <c r="O84" s="1518"/>
      <c r="P84" s="1518"/>
      <c r="Q84" s="1518"/>
      <c r="R84" s="1518"/>
      <c r="S84" s="1519"/>
      <c r="T84" s="1482"/>
      <c r="U84" s="1506">
        <v>75</v>
      </c>
      <c r="V84" s="1520"/>
      <c r="W84" s="1521"/>
      <c r="X84" s="1521"/>
      <c r="Y84" s="1521"/>
      <c r="Z84" s="1521"/>
      <c r="AA84" s="1521"/>
      <c r="AB84" s="1521"/>
      <c r="AC84" s="1522"/>
      <c r="AD84" s="1482"/>
      <c r="AE84" s="1523">
        <v>1</v>
      </c>
      <c r="AF84" s="1524">
        <v>4.5999999999999996</v>
      </c>
      <c r="AG84" s="1524">
        <v>5</v>
      </c>
      <c r="AH84" s="1525">
        <v>6.53</v>
      </c>
      <c r="AI84" s="1506">
        <v>75</v>
      </c>
      <c r="AJ84" s="705"/>
      <c r="AK84" s="1406"/>
      <c r="AL84" s="1406"/>
      <c r="AM84" s="1406"/>
      <c r="AN84" s="1406"/>
      <c r="AO84" s="1406"/>
      <c r="AP84" s="1406"/>
      <c r="AQ84" s="1406"/>
      <c r="AR84" s="1406"/>
      <c r="AS84" s="1406"/>
      <c r="AT84" s="1406"/>
      <c r="AU84" s="1406"/>
      <c r="AV84" s="1406"/>
      <c r="AW84" s="1406"/>
      <c r="AX84" s="1406"/>
      <c r="AY84" s="1406"/>
      <c r="AZ84" s="1406"/>
      <c r="BA84" s="1406"/>
      <c r="BB84" s="1406"/>
      <c r="BC84" s="1406"/>
      <c r="BD84" s="1406"/>
      <c r="BE84" s="1406"/>
      <c r="BF84" s="1406"/>
      <c r="BG84" s="1406"/>
      <c r="BH84" s="1406"/>
      <c r="BI84" s="705"/>
      <c r="BJ84" s="705"/>
    </row>
    <row r="85" spans="11:62" ht="14.25" hidden="1" customHeight="1">
      <c r="K85" s="1506">
        <v>80</v>
      </c>
      <c r="L85" s="1507"/>
      <c r="M85" s="1508"/>
      <c r="N85" s="1526"/>
      <c r="O85" s="1526"/>
      <c r="P85" s="1508"/>
      <c r="Q85" s="1526"/>
      <c r="R85" s="1526"/>
      <c r="S85" s="1509"/>
      <c r="T85" s="1482"/>
      <c r="U85" s="1506">
        <v>80</v>
      </c>
      <c r="V85" s="1510"/>
      <c r="W85" s="1511"/>
      <c r="X85" s="1527"/>
      <c r="Y85" s="1527"/>
      <c r="Z85" s="1511"/>
      <c r="AA85" s="1527"/>
      <c r="AB85" s="1527"/>
      <c r="AC85" s="1513"/>
      <c r="AD85" s="1482"/>
      <c r="AE85" s="1528">
        <v>1</v>
      </c>
      <c r="AF85" s="1529">
        <v>3.92</v>
      </c>
      <c r="AG85" s="1529">
        <v>4.5</v>
      </c>
      <c r="AH85" s="1530">
        <v>5.6</v>
      </c>
      <c r="AI85" s="1506">
        <v>80</v>
      </c>
      <c r="AJ85" s="705"/>
      <c r="AK85" s="1406"/>
      <c r="AL85" s="1406"/>
      <c r="AM85" s="1406"/>
      <c r="AN85" s="1406"/>
      <c r="AO85" s="1406"/>
      <c r="AP85" s="1406"/>
      <c r="AQ85" s="1406"/>
      <c r="AR85" s="1406"/>
      <c r="AS85" s="1406"/>
      <c r="AT85" s="1406"/>
      <c r="AU85" s="1406"/>
      <c r="AV85" s="1406"/>
      <c r="AW85" s="1406"/>
      <c r="AX85" s="1406"/>
      <c r="AY85" s="1406"/>
      <c r="AZ85" s="1406"/>
      <c r="BA85" s="1406"/>
      <c r="BB85" s="1406"/>
      <c r="BC85" s="1406"/>
      <c r="BD85" s="1406"/>
      <c r="BE85" s="1406"/>
      <c r="BF85" s="1406"/>
      <c r="BG85" s="1406"/>
      <c r="BH85" s="1406"/>
      <c r="BI85" s="705"/>
      <c r="BJ85" s="705"/>
    </row>
    <row r="86" spans="11:62" ht="14.25" hidden="1" customHeight="1">
      <c r="K86" s="1506">
        <v>90</v>
      </c>
      <c r="L86" s="1531">
        <f t="shared" ref="L86:S87" si="4">L93*1.2</f>
        <v>0</v>
      </c>
      <c r="M86" s="1531">
        <f t="shared" si="4"/>
        <v>0</v>
      </c>
      <c r="N86" s="1531">
        <f>N93*1.2*1.3</f>
        <v>755.04</v>
      </c>
      <c r="O86" s="1531">
        <f>O93*1.2*1.3</f>
        <v>877.96799999999985</v>
      </c>
      <c r="P86" s="1531">
        <f t="shared" si="4"/>
        <v>0</v>
      </c>
      <c r="Q86" s="1531">
        <f>Q93*1.2*1.3</f>
        <v>939.42576000000008</v>
      </c>
      <c r="R86" s="1531">
        <f>R93*1.2*1.3</f>
        <v>1009.6631999999998</v>
      </c>
      <c r="S86" s="1531">
        <f t="shared" si="4"/>
        <v>0</v>
      </c>
      <c r="T86" s="1482"/>
      <c r="U86" s="1506">
        <v>90</v>
      </c>
      <c r="V86" s="1532">
        <v>1.6</v>
      </c>
      <c r="W86" s="1533">
        <v>1.55</v>
      </c>
      <c r="X86" s="1533">
        <v>1.5</v>
      </c>
      <c r="Y86" s="1533">
        <v>1.45</v>
      </c>
      <c r="Z86" s="1533">
        <v>1.45</v>
      </c>
      <c r="AA86" s="1533">
        <v>1.4</v>
      </c>
      <c r="AB86" s="1533">
        <v>1.3</v>
      </c>
      <c r="AC86" s="1534">
        <v>1.3</v>
      </c>
      <c r="AD86" s="1482"/>
      <c r="AE86" s="1535">
        <v>1</v>
      </c>
      <c r="AF86" s="1536">
        <v>3.51</v>
      </c>
      <c r="AG86" s="1536">
        <v>3.96</v>
      </c>
      <c r="AH86" s="1537">
        <v>4.93</v>
      </c>
      <c r="AI86" s="1506">
        <v>90</v>
      </c>
      <c r="AJ86" s="705"/>
      <c r="AK86" s="1406"/>
      <c r="AL86" s="1406"/>
      <c r="AM86" s="1406"/>
      <c r="AN86" s="1406"/>
      <c r="AO86" s="1406"/>
      <c r="AP86" s="1406"/>
      <c r="AQ86" s="1406"/>
      <c r="AR86" s="1406"/>
      <c r="AS86" s="1406"/>
      <c r="AT86" s="1406"/>
      <c r="AU86" s="1406"/>
      <c r="AV86" s="1406"/>
      <c r="AW86" s="1406"/>
      <c r="AX86" s="1406"/>
      <c r="AY86" s="1406"/>
      <c r="AZ86" s="1406"/>
      <c r="BA86" s="1406"/>
      <c r="BB86" s="1406"/>
      <c r="BC86" s="1406"/>
      <c r="BD86" s="1406"/>
      <c r="BE86" s="1406"/>
      <c r="BF86" s="1406"/>
      <c r="BG86" s="1406"/>
      <c r="BH86" s="1406"/>
      <c r="BI86" s="705"/>
      <c r="BJ86" s="705"/>
    </row>
    <row r="87" spans="11:62" ht="14.25" hidden="1" customHeight="1">
      <c r="K87" s="1506">
        <v>110</v>
      </c>
      <c r="L87" s="1538">
        <f t="shared" si="4"/>
        <v>0</v>
      </c>
      <c r="M87" s="1538">
        <f t="shared" si="4"/>
        <v>0</v>
      </c>
      <c r="N87" s="1538">
        <f>N94*1.2*1.3</f>
        <v>828.3599999999999</v>
      </c>
      <c r="O87" s="1538">
        <f>O94*1.2*1.3</f>
        <v>999.64799999999991</v>
      </c>
      <c r="P87" s="1538">
        <f t="shared" si="4"/>
        <v>0</v>
      </c>
      <c r="Q87" s="1538">
        <f>Q94*1.2*1.3</f>
        <v>1069.6233599999998</v>
      </c>
      <c r="R87" s="1538">
        <f>R94*1.2*1.3</f>
        <v>1149.5951999999997</v>
      </c>
      <c r="S87" s="1538">
        <f t="shared" si="4"/>
        <v>0</v>
      </c>
      <c r="T87" s="1482"/>
      <c r="U87" s="1506">
        <v>110</v>
      </c>
      <c r="V87" s="1539">
        <v>1.5</v>
      </c>
      <c r="W87" s="1540">
        <v>1.3</v>
      </c>
      <c r="X87" s="1540">
        <v>1.3</v>
      </c>
      <c r="Y87" s="1540">
        <v>1.3</v>
      </c>
      <c r="Z87" s="1540">
        <v>1.3</v>
      </c>
      <c r="AA87" s="1540">
        <v>1.3</v>
      </c>
      <c r="AB87" s="1540">
        <v>1.3</v>
      </c>
      <c r="AC87" s="1541">
        <v>1.3</v>
      </c>
      <c r="AD87" s="1482"/>
      <c r="AE87" s="1542">
        <v>1</v>
      </c>
      <c r="AF87" s="1543">
        <v>3.41</v>
      </c>
      <c r="AG87" s="1543">
        <v>3.96</v>
      </c>
      <c r="AH87" s="1544">
        <v>4.93</v>
      </c>
      <c r="AI87" s="1506">
        <v>110</v>
      </c>
      <c r="AJ87" s="705"/>
      <c r="AK87" s="1406"/>
      <c r="AL87" s="1406"/>
      <c r="AM87" s="1406"/>
      <c r="AN87" s="1406"/>
      <c r="AO87" s="1406"/>
      <c r="AP87" s="1406"/>
      <c r="AQ87" s="1406"/>
      <c r="AR87" s="1406"/>
      <c r="AS87" s="1406"/>
      <c r="AT87" s="1406"/>
      <c r="AU87" s="1406"/>
      <c r="AV87" s="1406"/>
      <c r="AW87" s="1406"/>
      <c r="AX87" s="1406"/>
      <c r="AY87" s="1406"/>
      <c r="AZ87" s="1406"/>
      <c r="BA87" s="1406"/>
      <c r="BB87" s="1406"/>
      <c r="BC87" s="1406"/>
      <c r="BD87" s="1406"/>
      <c r="BE87" s="1406"/>
      <c r="BF87" s="1406"/>
      <c r="BG87" s="1406"/>
      <c r="BH87" s="1406"/>
      <c r="BI87" s="705"/>
      <c r="BJ87" s="705"/>
    </row>
    <row r="88" spans="11:62" ht="14.25" hidden="1" customHeight="1">
      <c r="K88" s="1506">
        <v>150</v>
      </c>
      <c r="L88" s="1545">
        <f t="shared" ref="L88:S88" si="5">L96*1.2</f>
        <v>0</v>
      </c>
      <c r="M88" s="1545">
        <f>M96*1.2*1.3</f>
        <v>859.24799999999993</v>
      </c>
      <c r="N88" s="1545">
        <f>N96*1.2*1.3</f>
        <v>889.32167999999979</v>
      </c>
      <c r="O88" s="1545">
        <f>O96*1.2*1.3</f>
        <v>1121.6399999999999</v>
      </c>
      <c r="P88" s="1545">
        <f t="shared" si="5"/>
        <v>0</v>
      </c>
      <c r="Q88" s="1545">
        <f>Q96*1.2*1.3</f>
        <v>1200.1548</v>
      </c>
      <c r="R88" s="1545">
        <f t="shared" si="5"/>
        <v>0</v>
      </c>
      <c r="S88" s="1545">
        <f t="shared" si="5"/>
        <v>0</v>
      </c>
      <c r="T88" s="1482"/>
      <c r="U88" s="1506">
        <v>150</v>
      </c>
      <c r="V88" s="1546">
        <v>1.4</v>
      </c>
      <c r="W88" s="1547">
        <v>1.35</v>
      </c>
      <c r="X88" s="1547">
        <v>1.32</v>
      </c>
      <c r="Y88" s="1547"/>
      <c r="Z88" s="1547">
        <v>1.3</v>
      </c>
      <c r="AA88" s="1547">
        <v>1.28</v>
      </c>
      <c r="AB88" s="1547"/>
      <c r="AC88" s="1548">
        <v>1.25</v>
      </c>
      <c r="AD88" s="1482"/>
      <c r="AE88" s="1549">
        <v>1</v>
      </c>
      <c r="AF88" s="1550">
        <v>3.41</v>
      </c>
      <c r="AG88" s="1550">
        <v>3.96</v>
      </c>
      <c r="AH88" s="1551">
        <v>4.93</v>
      </c>
      <c r="AI88" s="1506">
        <v>150</v>
      </c>
      <c r="AJ88" s="705"/>
      <c r="AK88" s="1406"/>
      <c r="AL88" s="1406"/>
      <c r="AM88" s="1406"/>
      <c r="AN88" s="1406"/>
      <c r="AO88" s="1406"/>
      <c r="AP88" s="1406"/>
      <c r="AQ88" s="1406"/>
      <c r="AR88" s="1406"/>
      <c r="AS88" s="1406"/>
      <c r="AT88" s="1406"/>
      <c r="AU88" s="1406"/>
      <c r="AV88" s="1406"/>
      <c r="AW88" s="1406"/>
      <c r="AX88" s="1406"/>
      <c r="AY88" s="1406"/>
      <c r="AZ88" s="1406"/>
      <c r="BA88" s="1406"/>
      <c r="BB88" s="1406"/>
      <c r="BC88" s="1406"/>
      <c r="BD88" s="1406"/>
      <c r="BE88" s="1406"/>
      <c r="BF88" s="1406"/>
      <c r="BG88" s="1406"/>
      <c r="BH88" s="1406"/>
      <c r="BI88" s="705"/>
      <c r="BJ88" s="705"/>
    </row>
    <row r="89" spans="11:62" ht="14.25" hidden="1" customHeight="1">
      <c r="K89" s="1506">
        <v>200</v>
      </c>
      <c r="L89" s="1552">
        <f>L117*1.2</f>
        <v>0</v>
      </c>
      <c r="M89" s="1552">
        <f>M117*1.2</f>
        <v>0</v>
      </c>
      <c r="N89" s="1552">
        <f>N117*1.2</f>
        <v>0</v>
      </c>
      <c r="O89" s="1552">
        <v>0</v>
      </c>
      <c r="P89" s="1552">
        <v>0</v>
      </c>
      <c r="Q89" s="1552">
        <f>Q117*1.2</f>
        <v>0</v>
      </c>
      <c r="R89" s="1552">
        <v>0</v>
      </c>
      <c r="S89" s="1552">
        <v>0</v>
      </c>
      <c r="T89" s="1482"/>
      <c r="U89" s="1506">
        <v>200</v>
      </c>
      <c r="V89" s="1553">
        <v>1.35</v>
      </c>
      <c r="W89" s="1554">
        <v>1.3</v>
      </c>
      <c r="X89" s="1554">
        <v>1.27</v>
      </c>
      <c r="Y89" s="1554"/>
      <c r="Z89" s="1554">
        <v>1.28</v>
      </c>
      <c r="AA89" s="1554">
        <v>1.26</v>
      </c>
      <c r="AB89" s="1554"/>
      <c r="AC89" s="1555">
        <v>1.2</v>
      </c>
      <c r="AD89" s="1482"/>
      <c r="AE89" s="1549">
        <v>1</v>
      </c>
      <c r="AF89" s="1550">
        <v>2.73</v>
      </c>
      <c r="AG89" s="1550">
        <v>3.11</v>
      </c>
      <c r="AH89" s="1551">
        <v>3.89</v>
      </c>
      <c r="AI89" s="1506">
        <v>150.16</v>
      </c>
      <c r="AJ89" s="705"/>
      <c r="AK89" s="1406"/>
      <c r="AL89" s="1406"/>
      <c r="AM89" s="1406"/>
      <c r="AN89" s="1406"/>
      <c r="AO89" s="1406"/>
      <c r="AP89" s="1406"/>
      <c r="AQ89" s="1406"/>
      <c r="AR89" s="1406"/>
      <c r="AS89" s="1406"/>
      <c r="AT89" s="1406"/>
      <c r="AU89" s="1406"/>
      <c r="AV89" s="1406"/>
      <c r="AW89" s="1406"/>
      <c r="AX89" s="1406"/>
      <c r="AY89" s="1406"/>
      <c r="AZ89" s="1406"/>
      <c r="BA89" s="1406"/>
      <c r="BB89" s="1406"/>
      <c r="BC89" s="1406"/>
      <c r="BD89" s="1406"/>
      <c r="BE89" s="1406"/>
      <c r="BF89" s="1406"/>
      <c r="BG89" s="1406"/>
      <c r="BH89" s="1406"/>
      <c r="BI89" s="705"/>
      <c r="BJ89" s="705"/>
    </row>
    <row r="90" spans="11:62" ht="14.25" hidden="1" customHeight="1">
      <c r="K90" s="1506">
        <v>300</v>
      </c>
      <c r="L90" s="1517"/>
      <c r="M90" s="1518"/>
      <c r="N90" s="1518"/>
      <c r="O90" s="1518"/>
      <c r="P90" s="1518"/>
      <c r="Q90" s="1518"/>
      <c r="R90" s="1518"/>
      <c r="S90" s="1519"/>
      <c r="T90" s="1482"/>
      <c r="U90" s="1506">
        <v>300</v>
      </c>
      <c r="V90" s="1520"/>
      <c r="W90" s="1521"/>
      <c r="X90" s="1521"/>
      <c r="Y90" s="1521"/>
      <c r="Z90" s="1521"/>
      <c r="AA90" s="1521"/>
      <c r="AB90" s="1521"/>
      <c r="AC90" s="1522"/>
      <c r="AD90" s="1482"/>
      <c r="AE90" s="1549">
        <v>1</v>
      </c>
      <c r="AF90" s="1547">
        <v>2.73</v>
      </c>
      <c r="AG90" s="1547">
        <v>2.83</v>
      </c>
      <c r="AH90" s="1556">
        <v>3.66</v>
      </c>
      <c r="AI90" s="1557" t="s">
        <v>319</v>
      </c>
      <c r="AJ90" s="705"/>
      <c r="AK90" s="1406"/>
      <c r="AL90" s="1406"/>
      <c r="AM90" s="1406"/>
      <c r="AN90" s="1406"/>
      <c r="AO90" s="1406"/>
      <c r="AP90" s="1406"/>
      <c r="AQ90" s="1406"/>
      <c r="AR90" s="1406"/>
      <c r="AS90" s="1406"/>
      <c r="AT90" s="1406"/>
      <c r="AU90" s="1406"/>
      <c r="AV90" s="1406"/>
      <c r="AW90" s="1406"/>
      <c r="AX90" s="1406"/>
      <c r="AY90" s="1406"/>
      <c r="AZ90" s="1406"/>
      <c r="BA90" s="1406"/>
      <c r="BB90" s="1406"/>
      <c r="BC90" s="1406"/>
      <c r="BD90" s="1406"/>
      <c r="BE90" s="1406"/>
      <c r="BF90" s="1406"/>
      <c r="BG90" s="1406"/>
      <c r="BH90" s="1406"/>
      <c r="BI90" s="705"/>
      <c r="BJ90" s="705"/>
    </row>
    <row r="91" spans="11:62" ht="14.25" hidden="1" customHeight="1">
      <c r="K91" s="1506">
        <v>400</v>
      </c>
      <c r="L91" s="1517"/>
      <c r="M91" s="1518"/>
      <c r="N91" s="1518"/>
      <c r="O91" s="1518"/>
      <c r="P91" s="1518"/>
      <c r="Q91" s="1518"/>
      <c r="R91" s="1518"/>
      <c r="S91" s="1519"/>
      <c r="T91" s="1482"/>
      <c r="U91" s="1506">
        <v>400</v>
      </c>
      <c r="V91" s="1520"/>
      <c r="W91" s="1521"/>
      <c r="X91" s="1521"/>
      <c r="Y91" s="1521"/>
      <c r="Z91" s="1521"/>
      <c r="AA91" s="1521"/>
      <c r="AB91" s="1521"/>
      <c r="AC91" s="1522"/>
      <c r="AD91" s="1482"/>
      <c r="AE91" s="1549">
        <v>1</v>
      </c>
      <c r="AF91" s="1558">
        <v>3.41</v>
      </c>
      <c r="AG91" s="1558">
        <v>3.86</v>
      </c>
      <c r="AH91" s="1559">
        <v>4.63</v>
      </c>
      <c r="AI91" s="1560" t="s">
        <v>321</v>
      </c>
      <c r="AJ91" s="705"/>
      <c r="AK91" s="1406"/>
      <c r="AL91" s="1406"/>
      <c r="AM91" s="1406"/>
      <c r="AN91" s="1406"/>
      <c r="AO91" s="1406"/>
      <c r="AP91" s="1406"/>
      <c r="AQ91" s="1406"/>
      <c r="AR91" s="1406"/>
      <c r="AS91" s="1406"/>
      <c r="AT91" s="1406"/>
      <c r="AU91" s="1406"/>
      <c r="AV91" s="1406"/>
      <c r="AW91" s="1406"/>
      <c r="AX91" s="1406"/>
      <c r="AY91" s="1406"/>
      <c r="AZ91" s="1406"/>
      <c r="BA91" s="1406"/>
      <c r="BB91" s="1406"/>
      <c r="BC91" s="1406"/>
      <c r="BD91" s="1406"/>
      <c r="BE91" s="1406"/>
      <c r="BF91" s="1406"/>
      <c r="BG91" s="1406"/>
      <c r="BH91" s="1406"/>
      <c r="BI91" s="705"/>
      <c r="BJ91" s="705"/>
    </row>
    <row r="92" spans="11:62" ht="14.25" hidden="1" customHeight="1">
      <c r="K92" s="1506">
        <v>500</v>
      </c>
      <c r="L92" s="1517"/>
      <c r="M92" s="1518"/>
      <c r="N92" s="1518"/>
      <c r="O92" s="1518"/>
      <c r="P92" s="1518"/>
      <c r="Q92" s="1518"/>
      <c r="R92" s="1518"/>
      <c r="S92" s="1519"/>
      <c r="T92" s="1482"/>
      <c r="U92" s="1506">
        <v>500</v>
      </c>
      <c r="V92" s="1520"/>
      <c r="W92" s="1521"/>
      <c r="X92" s="1521"/>
      <c r="Y92" s="1521"/>
      <c r="Z92" s="1521"/>
      <c r="AA92" s="1521"/>
      <c r="AB92" s="1521"/>
      <c r="AC92" s="1522"/>
      <c r="AD92" s="1482"/>
      <c r="AE92" s="1482"/>
      <c r="AF92" s="1482"/>
      <c r="AG92" s="1482"/>
      <c r="AH92" s="1482"/>
      <c r="AI92" s="1482"/>
      <c r="AK92" s="1406"/>
      <c r="AL92" s="1406"/>
      <c r="AM92" s="1406"/>
      <c r="AN92" s="1406"/>
      <c r="AO92" s="1406"/>
      <c r="AP92" s="1406"/>
      <c r="AQ92" s="1406"/>
      <c r="AR92" s="1406"/>
      <c r="AS92" s="1406"/>
      <c r="AT92" s="1406"/>
      <c r="AU92" s="1406"/>
      <c r="AV92" s="1406"/>
      <c r="AW92" s="1406"/>
      <c r="AX92" s="1406"/>
      <c r="AY92" s="1406"/>
      <c r="AZ92" s="1406"/>
      <c r="BA92" s="1406"/>
      <c r="BB92" s="1406"/>
      <c r="BC92" s="1406"/>
      <c r="BD92" s="1406"/>
      <c r="BE92" s="1406"/>
      <c r="BF92" s="1406"/>
      <c r="BG92" s="1406"/>
      <c r="BH92" s="1406"/>
      <c r="BI92" s="705"/>
      <c r="BJ92" s="705"/>
    </row>
    <row r="93" spans="11:62" ht="14.25" hidden="1" customHeight="1">
      <c r="K93" s="1561">
        <v>90</v>
      </c>
      <c r="L93" s="1562"/>
      <c r="M93" s="1562"/>
      <c r="N93" s="1562">
        <v>484</v>
      </c>
      <c r="O93" s="1562">
        <v>562.79999999999995</v>
      </c>
      <c r="P93" s="1562"/>
      <c r="Q93" s="1562">
        <v>602.19600000000003</v>
      </c>
      <c r="R93" s="1562">
        <v>647.21999999999991</v>
      </c>
      <c r="S93" s="1562"/>
      <c r="T93" s="1563"/>
      <c r="U93" s="1563"/>
      <c r="V93" s="1563"/>
      <c r="W93" s="1563"/>
      <c r="X93" s="1563"/>
      <c r="Y93" s="1563"/>
      <c r="Z93" s="1563"/>
      <c r="AA93" s="1563"/>
      <c r="AB93" s="1563"/>
      <c r="AC93" s="1563"/>
      <c r="AD93" s="1563"/>
      <c r="AE93" s="1563"/>
      <c r="AF93" s="1563"/>
      <c r="AG93" s="1563"/>
      <c r="AH93" s="1563"/>
      <c r="AI93" s="1563"/>
      <c r="AK93" s="1406"/>
      <c r="AL93" s="1406"/>
      <c r="AM93" s="1406"/>
      <c r="AN93" s="1406"/>
      <c r="AO93" s="1406"/>
      <c r="AP93" s="1406"/>
      <c r="AQ93" s="1406"/>
      <c r="AR93" s="1406"/>
      <c r="AS93" s="1406"/>
      <c r="AT93" s="1406"/>
      <c r="AU93" s="1406"/>
      <c r="AV93" s="1406"/>
      <c r="AW93" s="1406"/>
      <c r="AX93" s="1406"/>
      <c r="AY93" s="1406"/>
      <c r="AZ93" s="1406"/>
      <c r="BA93" s="1406"/>
      <c r="BB93" s="1406"/>
      <c r="BC93" s="1406"/>
      <c r="BD93" s="1406"/>
      <c r="BE93" s="1406"/>
      <c r="BF93" s="1406"/>
      <c r="BG93" s="1406"/>
      <c r="BH93" s="1406"/>
      <c r="BI93" s="705"/>
      <c r="BJ93" s="705"/>
    </row>
    <row r="94" spans="11:62" ht="14.25" hidden="1" customHeight="1">
      <c r="K94" s="1564">
        <v>110</v>
      </c>
      <c r="L94" s="1562"/>
      <c r="M94" s="1565"/>
      <c r="N94" s="1565">
        <v>531</v>
      </c>
      <c r="O94" s="1565">
        <v>640.79999999999995</v>
      </c>
      <c r="P94" s="1565"/>
      <c r="Q94" s="1565">
        <v>685.65599999999995</v>
      </c>
      <c r="R94" s="1565">
        <v>736.91999999999985</v>
      </c>
      <c r="S94" s="1565"/>
      <c r="T94" s="1482"/>
      <c r="U94" s="1566"/>
      <c r="V94" s="1567"/>
      <c r="W94" s="1567"/>
      <c r="X94" s="1567"/>
      <c r="Y94" s="1567"/>
      <c r="Z94" s="1567"/>
      <c r="AA94" s="1567"/>
      <c r="AB94" s="1567"/>
      <c r="AC94" s="1567"/>
      <c r="AD94" s="1482"/>
      <c r="AE94" s="1482"/>
      <c r="AF94" s="1482"/>
      <c r="AG94" s="1482"/>
      <c r="AH94" s="1482"/>
      <c r="AI94" s="1482"/>
      <c r="AJ94" s="1406"/>
      <c r="AK94" s="1406"/>
      <c r="AL94" s="1406"/>
      <c r="AM94" s="1406"/>
      <c r="AN94" s="1406"/>
      <c r="AO94" s="1406"/>
      <c r="AP94" s="1406"/>
      <c r="AQ94" s="1406"/>
      <c r="AR94" s="1406"/>
      <c r="AS94" s="1406"/>
      <c r="AT94" s="1406"/>
      <c r="AU94" s="1406"/>
      <c r="AV94" s="1406"/>
      <c r="AW94" s="1406"/>
      <c r="AX94" s="1406"/>
      <c r="AY94" s="1406"/>
      <c r="AZ94" s="1406"/>
      <c r="BA94" s="1406"/>
      <c r="BB94" s="1406"/>
      <c r="BC94" s="1406"/>
      <c r="BD94" s="1406"/>
      <c r="BE94" s="1406"/>
      <c r="BF94" s="1406"/>
      <c r="BG94" s="1406"/>
      <c r="BH94" s="1406"/>
      <c r="BI94" s="705"/>
      <c r="BJ94" s="705"/>
    </row>
    <row r="95" spans="11:62" ht="14.25" hidden="1" customHeight="1">
      <c r="K95" s="1564"/>
      <c r="L95" s="1562"/>
      <c r="M95" s="1565"/>
      <c r="N95" s="1565"/>
      <c r="O95" s="1565"/>
      <c r="P95" s="1565"/>
      <c r="Q95" s="1565"/>
      <c r="R95" s="1565"/>
      <c r="S95" s="1565"/>
      <c r="T95" s="1482"/>
      <c r="U95" s="1566"/>
      <c r="V95" s="1567"/>
      <c r="W95" s="1567"/>
      <c r="X95" s="1567"/>
      <c r="Y95" s="1567"/>
      <c r="Z95" s="1567"/>
      <c r="AA95" s="1567"/>
      <c r="AB95" s="1567"/>
      <c r="AC95" s="1567"/>
      <c r="AD95" s="1482"/>
      <c r="AE95" s="1482"/>
      <c r="AF95" s="1482"/>
      <c r="AG95" s="1482"/>
      <c r="AH95" s="1482"/>
      <c r="AI95" s="1482"/>
      <c r="AJ95" s="1406"/>
      <c r="AK95" s="1406"/>
      <c r="AL95" s="1406"/>
      <c r="AM95" s="1406"/>
      <c r="AN95" s="1406"/>
      <c r="AO95" s="1406"/>
      <c r="AP95" s="1406"/>
      <c r="AQ95" s="1406"/>
      <c r="AR95" s="1406"/>
      <c r="AS95" s="1406"/>
      <c r="AT95" s="1406"/>
      <c r="AU95" s="1406"/>
      <c r="AV95" s="1406"/>
      <c r="AW95" s="1406"/>
      <c r="AX95" s="1406"/>
      <c r="AY95" s="1406"/>
      <c r="AZ95" s="1406"/>
      <c r="BA95" s="1406"/>
      <c r="BB95" s="1406"/>
      <c r="BC95" s="1406"/>
      <c r="BD95" s="1406"/>
      <c r="BE95" s="1406"/>
      <c r="BF95" s="1406"/>
      <c r="BG95" s="1406"/>
      <c r="BH95" s="1406"/>
      <c r="BI95" s="705"/>
      <c r="BJ95" s="705"/>
    </row>
    <row r="96" spans="11:62" ht="14.25" hidden="1" customHeight="1">
      <c r="K96" s="1562">
        <v>150</v>
      </c>
      <c r="L96" s="1562"/>
      <c r="M96" s="1565">
        <v>550.79999999999995</v>
      </c>
      <c r="N96" s="1565">
        <v>570.07799999999986</v>
      </c>
      <c r="O96" s="1565">
        <v>719</v>
      </c>
      <c r="P96" s="1565"/>
      <c r="Q96" s="1565">
        <v>769.33</v>
      </c>
      <c r="R96" s="1565"/>
      <c r="S96" s="1565"/>
      <c r="T96" s="1482"/>
      <c r="U96" s="1566"/>
      <c r="V96" s="1567"/>
      <c r="W96" s="1567"/>
      <c r="X96" s="1567"/>
      <c r="Y96" s="1567"/>
      <c r="Z96" s="1567"/>
      <c r="AA96" s="1567"/>
      <c r="AB96" s="1567"/>
      <c r="AC96" s="1567"/>
      <c r="AD96" s="1482"/>
      <c r="AE96" s="1482"/>
      <c r="AF96" s="1482"/>
      <c r="AG96" s="1482"/>
      <c r="AH96" s="1482"/>
      <c r="AI96" s="1482"/>
      <c r="AJ96" s="1406"/>
      <c r="AK96" s="1406"/>
      <c r="AL96" s="1406"/>
      <c r="AM96" s="1406"/>
      <c r="AN96" s="1406"/>
      <c r="AO96" s="1406"/>
      <c r="AP96" s="1406"/>
      <c r="AQ96" s="1406"/>
      <c r="AR96" s="1406"/>
      <c r="AS96" s="1406"/>
      <c r="AT96" s="1406"/>
      <c r="AU96" s="1406"/>
      <c r="AV96" s="1406"/>
      <c r="AW96" s="1406"/>
      <c r="AX96" s="1406"/>
      <c r="AY96" s="1406"/>
      <c r="AZ96" s="1406"/>
      <c r="BA96" s="1406"/>
      <c r="BB96" s="1406"/>
      <c r="BC96" s="1406"/>
      <c r="BD96" s="1406"/>
      <c r="BE96" s="1406"/>
      <c r="BF96" s="1406"/>
      <c r="BG96" s="1406"/>
      <c r="BH96" s="1406"/>
      <c r="BI96" s="705"/>
      <c r="BJ96" s="705"/>
    </row>
    <row r="97" spans="11:62" ht="14.25" hidden="1" customHeight="1">
      <c r="K97" s="1562"/>
      <c r="L97" s="1562"/>
      <c r="M97" s="1565"/>
      <c r="N97" s="1565"/>
      <c r="O97" s="1565"/>
      <c r="P97" s="1565"/>
      <c r="Q97" s="1565"/>
      <c r="R97" s="1565"/>
      <c r="S97" s="1565"/>
      <c r="T97" s="1482"/>
      <c r="U97" s="1566"/>
      <c r="V97" s="1567"/>
      <c r="W97" s="1567"/>
      <c r="X97" s="1567"/>
      <c r="Y97" s="1567"/>
      <c r="Z97" s="1567"/>
      <c r="AA97" s="1567"/>
      <c r="AB97" s="1567"/>
      <c r="AC97" s="1567"/>
      <c r="AD97" s="1482"/>
      <c r="AE97" s="1482"/>
      <c r="AF97" s="1482"/>
      <c r="AG97" s="1482"/>
      <c r="AH97" s="1482"/>
      <c r="AI97" s="1482"/>
      <c r="AJ97" s="1406"/>
      <c r="AK97" s="1406"/>
      <c r="AL97" s="1406"/>
      <c r="AM97" s="1406"/>
      <c r="AN97" s="1406"/>
      <c r="AO97" s="1406"/>
      <c r="AP97" s="1406"/>
      <c r="AQ97" s="1406"/>
      <c r="AR97" s="1406"/>
      <c r="AS97" s="1406"/>
      <c r="AT97" s="1406"/>
      <c r="AU97" s="1406"/>
      <c r="AV97" s="1406"/>
      <c r="AW97" s="1406"/>
      <c r="AX97" s="1406"/>
      <c r="AY97" s="1406"/>
      <c r="AZ97" s="1406"/>
      <c r="BA97" s="1406"/>
      <c r="BB97" s="1406"/>
      <c r="BC97" s="1406"/>
      <c r="BD97" s="1406"/>
      <c r="BE97" s="1406"/>
      <c r="BF97" s="1406"/>
      <c r="BG97" s="1406"/>
      <c r="BH97" s="1406"/>
      <c r="BI97" s="705"/>
      <c r="BJ97" s="705"/>
    </row>
    <row r="98" spans="11:62" ht="23.25" hidden="1" customHeight="1">
      <c r="K98" s="2554" t="s">
        <v>5757</v>
      </c>
      <c r="L98" s="2555"/>
      <c r="M98" s="2555"/>
      <c r="N98" s="2555"/>
      <c r="O98" s="2555"/>
      <c r="P98" s="2555"/>
      <c r="Q98" s="2555"/>
      <c r="R98" s="2555"/>
      <c r="S98" s="2555"/>
      <c r="T98" s="2555"/>
      <c r="U98" s="2555"/>
      <c r="V98" s="2555"/>
      <c r="W98" s="2555"/>
      <c r="X98" s="2555"/>
      <c r="Y98" s="2555"/>
      <c r="Z98" s="2555"/>
      <c r="AA98" s="2555"/>
      <c r="AB98" s="2555"/>
      <c r="AC98" s="2556"/>
      <c r="AD98" s="1482"/>
      <c r="AE98" s="1482"/>
      <c r="AF98" s="1482"/>
      <c r="AG98" s="1482"/>
      <c r="AH98" s="1482"/>
      <c r="AI98" s="1482"/>
      <c r="AJ98" s="1406"/>
      <c r="AK98" s="1406"/>
      <c r="AL98" s="1406"/>
      <c r="AM98" s="1406"/>
      <c r="AN98" s="1406"/>
      <c r="AO98" s="1406"/>
      <c r="AP98" s="1406"/>
      <c r="AQ98" s="1406"/>
      <c r="AR98" s="1406"/>
      <c r="AS98" s="1406"/>
      <c r="AT98" s="1406"/>
      <c r="AU98" s="1406"/>
      <c r="AV98" s="1406"/>
      <c r="AW98" s="1406"/>
      <c r="AX98" s="1406"/>
      <c r="AY98" s="1406"/>
      <c r="AZ98" s="1406"/>
      <c r="BA98" s="1406"/>
      <c r="BB98" s="1406"/>
      <c r="BC98" s="1406"/>
      <c r="BD98" s="1406"/>
      <c r="BE98" s="1406"/>
      <c r="BF98" s="1406"/>
      <c r="BG98" s="1406"/>
      <c r="BH98" s="1406"/>
      <c r="BI98" s="705"/>
      <c r="BJ98" s="705"/>
    </row>
    <row r="99" spans="11:62" ht="14.25" hidden="1" customHeight="1">
      <c r="K99" s="2557" t="s">
        <v>220</v>
      </c>
      <c r="L99" s="2558"/>
      <c r="M99" s="2558"/>
      <c r="N99" s="2558"/>
      <c r="O99" s="2558"/>
      <c r="P99" s="2558"/>
      <c r="Q99" s="2558"/>
      <c r="R99" s="2558"/>
      <c r="S99" s="2559"/>
      <c r="T99" s="1482"/>
      <c r="U99" s="2557" t="s">
        <v>221</v>
      </c>
      <c r="V99" s="2558"/>
      <c r="W99" s="2558"/>
      <c r="X99" s="2558"/>
      <c r="Y99" s="2558"/>
      <c r="Z99" s="2558"/>
      <c r="AA99" s="2558"/>
      <c r="AB99" s="2558"/>
      <c r="AC99" s="2559"/>
      <c r="AD99" s="1482"/>
      <c r="AE99" s="1563"/>
      <c r="AF99" s="1563"/>
      <c r="AG99" s="1563"/>
      <c r="AH99" s="1563"/>
      <c r="AI99" s="1563"/>
      <c r="AJ99" s="1406"/>
      <c r="AK99" s="1406"/>
      <c r="AL99" s="1406"/>
      <c r="AM99" s="1406"/>
      <c r="AN99" s="1406"/>
      <c r="AO99" s="1406"/>
      <c r="AP99" s="1406"/>
      <c r="AQ99" s="1406"/>
      <c r="AR99" s="1406"/>
      <c r="AS99" s="1406"/>
      <c r="AT99" s="1406"/>
      <c r="AU99" s="1406"/>
      <c r="AV99" s="1406"/>
      <c r="AW99" s="1406"/>
      <c r="AX99" s="1406"/>
      <c r="AY99" s="1406"/>
      <c r="AZ99" s="1406"/>
      <c r="BA99" s="1406"/>
      <c r="BB99" s="1406"/>
      <c r="BC99" s="1406"/>
      <c r="BD99" s="1406"/>
      <c r="BE99" s="1406"/>
      <c r="BF99" s="1406"/>
      <c r="BG99" s="1406"/>
      <c r="BH99" s="1406"/>
      <c r="BI99" s="705"/>
      <c r="BJ99" s="705"/>
    </row>
    <row r="100" spans="11:62" ht="14.25" hidden="1" customHeight="1">
      <c r="K100" s="1485" t="s">
        <v>1</v>
      </c>
      <c r="L100" s="2550">
        <v>160</v>
      </c>
      <c r="M100" s="2537">
        <v>200</v>
      </c>
      <c r="N100" s="2537">
        <v>260</v>
      </c>
      <c r="O100" s="2537">
        <v>300</v>
      </c>
      <c r="P100" s="2537"/>
      <c r="Q100" s="2537">
        <v>360</v>
      </c>
      <c r="R100" s="2537">
        <v>400</v>
      </c>
      <c r="S100" s="2540"/>
      <c r="T100" s="1482"/>
      <c r="U100" s="1485" t="s">
        <v>1</v>
      </c>
      <c r="V100" s="2550">
        <v>160</v>
      </c>
      <c r="W100" s="2537">
        <v>200</v>
      </c>
      <c r="X100" s="2537">
        <v>260</v>
      </c>
      <c r="Y100" s="2537">
        <v>300</v>
      </c>
      <c r="Z100" s="2537"/>
      <c r="AA100" s="2537">
        <v>360</v>
      </c>
      <c r="AB100" s="2537">
        <v>400</v>
      </c>
      <c r="AC100" s="2540"/>
      <c r="AD100" s="1482"/>
      <c r="AE100" s="2541" t="s">
        <v>316</v>
      </c>
      <c r="AF100" s="2542"/>
      <c r="AG100" s="2542"/>
      <c r="AH100" s="2543"/>
      <c r="AI100" s="1568" t="s">
        <v>0</v>
      </c>
      <c r="AJ100" s="1406"/>
      <c r="AK100" s="1406"/>
      <c r="AL100" s="1406"/>
      <c r="AM100" s="1406"/>
      <c r="AN100" s="1406"/>
      <c r="AO100" s="1406"/>
      <c r="AP100" s="1406"/>
      <c r="AQ100" s="1406"/>
      <c r="AR100" s="1406"/>
      <c r="AS100" s="1406"/>
      <c r="AT100" s="1406"/>
      <c r="AU100" s="1406"/>
      <c r="AV100" s="1406"/>
      <c r="AW100" s="1406"/>
      <c r="AX100" s="1406"/>
      <c r="AY100" s="1406"/>
      <c r="AZ100" s="1406"/>
      <c r="BA100" s="1406"/>
      <c r="BB100" s="1406"/>
      <c r="BC100" s="1406"/>
      <c r="BD100" s="1406"/>
      <c r="BE100" s="1406"/>
      <c r="BF100" s="1406"/>
      <c r="BG100" s="1406"/>
      <c r="BH100" s="1406"/>
      <c r="BI100" s="705"/>
      <c r="BJ100" s="705"/>
    </row>
    <row r="101" spans="11:62" ht="14.25" hidden="1" customHeight="1">
      <c r="K101" s="1488" t="s">
        <v>0</v>
      </c>
      <c r="L101" s="2538"/>
      <c r="M101" s="2539"/>
      <c r="N101" s="2539"/>
      <c r="O101" s="1988">
        <v>2</v>
      </c>
      <c r="P101" s="1988">
        <v>4</v>
      </c>
      <c r="Q101" s="2539"/>
      <c r="R101" s="1988">
        <v>1</v>
      </c>
      <c r="S101" s="1489">
        <v>2</v>
      </c>
      <c r="T101" s="1482"/>
      <c r="U101" s="1488" t="s">
        <v>0</v>
      </c>
      <c r="V101" s="2538"/>
      <c r="W101" s="2539"/>
      <c r="X101" s="2539"/>
      <c r="Y101" s="1988">
        <v>1</v>
      </c>
      <c r="Z101" s="1988">
        <v>2</v>
      </c>
      <c r="AA101" s="2539"/>
      <c r="AB101" s="1988">
        <v>1</v>
      </c>
      <c r="AC101" s="1489">
        <v>2</v>
      </c>
      <c r="AD101" s="1482"/>
      <c r="AE101" s="1491">
        <v>0</v>
      </c>
      <c r="AF101" s="1492">
        <v>1</v>
      </c>
      <c r="AG101" s="1492">
        <v>2</v>
      </c>
      <c r="AH101" s="1493">
        <v>3</v>
      </c>
      <c r="AI101" s="1494" t="s">
        <v>317</v>
      </c>
      <c r="AJ101" s="1406"/>
      <c r="AK101" s="1406"/>
      <c r="AL101" s="1406"/>
      <c r="AM101" s="1406"/>
      <c r="AN101" s="1406"/>
      <c r="AO101" s="1406"/>
      <c r="AP101" s="1406"/>
      <c r="AQ101" s="1406"/>
      <c r="AR101" s="1406"/>
      <c r="AS101" s="1406"/>
      <c r="AT101" s="1406"/>
      <c r="AU101" s="1406"/>
      <c r="AV101" s="1406"/>
      <c r="AW101" s="1406"/>
      <c r="AX101" s="1406"/>
      <c r="AY101" s="1406"/>
      <c r="AZ101" s="1406"/>
      <c r="BA101" s="1406"/>
      <c r="BB101" s="1406"/>
      <c r="BC101" s="1406"/>
      <c r="BD101" s="1406"/>
      <c r="BE101" s="1406"/>
      <c r="BF101" s="1406"/>
      <c r="BG101" s="1406"/>
      <c r="BH101" s="1406"/>
      <c r="BI101" s="705"/>
      <c r="BJ101" s="705"/>
    </row>
    <row r="102" spans="11:62" ht="14.25" hidden="1" customHeight="1">
      <c r="K102" s="1495">
        <v>65</v>
      </c>
      <c r="L102" s="1569" t="s">
        <v>318</v>
      </c>
      <c r="M102" s="1570" t="s">
        <v>318</v>
      </c>
      <c r="N102" s="1570">
        <f>N104*0.71</f>
        <v>237.708</v>
      </c>
      <c r="O102" s="1570">
        <f>O104*0.71</f>
        <v>263.26799999999997</v>
      </c>
      <c r="P102" s="1570" t="s">
        <v>318</v>
      </c>
      <c r="Q102" s="1570">
        <f>Q104*0.71</f>
        <v>367.21199999999993</v>
      </c>
      <c r="R102" s="1570">
        <f>R104*0.71</f>
        <v>394.476</v>
      </c>
      <c r="S102" s="1571" t="s">
        <v>318</v>
      </c>
      <c r="T102" s="1482"/>
      <c r="U102" s="1495">
        <v>65</v>
      </c>
      <c r="V102" s="1572" t="s">
        <v>318</v>
      </c>
      <c r="W102" s="1573" t="s">
        <v>318</v>
      </c>
      <c r="X102" s="1574">
        <v>1.7</v>
      </c>
      <c r="Y102" s="1574">
        <v>1.65</v>
      </c>
      <c r="Z102" s="1573" t="s">
        <v>318</v>
      </c>
      <c r="AA102" s="1574">
        <v>1.6</v>
      </c>
      <c r="AB102" s="1574">
        <v>1.55</v>
      </c>
      <c r="AC102" s="1575" t="s">
        <v>318</v>
      </c>
      <c r="AD102" s="1482"/>
      <c r="AE102" s="1576">
        <v>1</v>
      </c>
      <c r="AF102" s="1504">
        <v>5.12</v>
      </c>
      <c r="AG102" s="1504">
        <v>5.66</v>
      </c>
      <c r="AH102" s="1505">
        <v>6.53</v>
      </c>
      <c r="AI102" s="1495">
        <v>65</v>
      </c>
      <c r="AJ102" s="1406"/>
      <c r="AK102" s="1406"/>
      <c r="AL102" s="1406"/>
      <c r="AM102" s="1406"/>
      <c r="AN102" s="1406"/>
      <c r="AO102" s="1406"/>
      <c r="AP102" s="1406"/>
      <c r="AQ102" s="1406"/>
      <c r="AR102" s="1406"/>
      <c r="AS102" s="1406"/>
      <c r="AT102" s="1406"/>
      <c r="AU102" s="1406"/>
      <c r="AV102" s="1406"/>
      <c r="AW102" s="1406"/>
      <c r="AX102" s="1406"/>
      <c r="AY102" s="1406"/>
      <c r="AZ102" s="1406"/>
      <c r="BA102" s="1406"/>
      <c r="BB102" s="1406"/>
      <c r="BC102" s="1406"/>
      <c r="BD102" s="1406"/>
      <c r="BE102" s="1406"/>
      <c r="BF102" s="1406"/>
      <c r="BG102" s="1406"/>
      <c r="BH102" s="1406"/>
      <c r="BI102" s="705"/>
      <c r="BJ102" s="705"/>
    </row>
    <row r="103" spans="11:62" ht="14.25" hidden="1" customHeight="1">
      <c r="K103" s="1506">
        <v>70</v>
      </c>
      <c r="L103" s="1577" t="s">
        <v>318</v>
      </c>
      <c r="M103" s="1578" t="s">
        <v>318</v>
      </c>
      <c r="N103" s="1578">
        <f>N105*0.71</f>
        <v>292.17635999999999</v>
      </c>
      <c r="O103" s="1578">
        <f>O105*0.71</f>
        <v>323.02727999999996</v>
      </c>
      <c r="P103" s="1578" t="s">
        <v>318</v>
      </c>
      <c r="Q103" s="1578">
        <f>Q105*0.71</f>
        <v>432.68056460609114</v>
      </c>
      <c r="R103" s="1578">
        <f>R105*0.71</f>
        <v>471.83759999999995</v>
      </c>
      <c r="S103" s="1579" t="s">
        <v>318</v>
      </c>
      <c r="T103" s="1482"/>
      <c r="U103" s="1506">
        <v>70</v>
      </c>
      <c r="V103" s="1580" t="s">
        <v>318</v>
      </c>
      <c r="W103" s="1581" t="s">
        <v>318</v>
      </c>
      <c r="X103" s="1582">
        <v>1.65</v>
      </c>
      <c r="Y103" s="1582">
        <v>1.6</v>
      </c>
      <c r="Z103" s="1581" t="s">
        <v>318</v>
      </c>
      <c r="AA103" s="1582">
        <v>1.55</v>
      </c>
      <c r="AB103" s="1582">
        <v>1.5</v>
      </c>
      <c r="AC103" s="1583" t="s">
        <v>318</v>
      </c>
      <c r="AD103" s="1482"/>
      <c r="AE103" s="1584">
        <v>1</v>
      </c>
      <c r="AF103" s="1515">
        <v>5.12</v>
      </c>
      <c r="AG103" s="1515">
        <v>5.66</v>
      </c>
      <c r="AH103" s="1516">
        <v>6.53</v>
      </c>
      <c r="AI103" s="1506">
        <v>70</v>
      </c>
      <c r="AJ103" s="1406"/>
      <c r="AK103" s="1406"/>
      <c r="AL103" s="1406"/>
      <c r="AM103" s="1406"/>
      <c r="AN103" s="1406"/>
      <c r="AO103" s="1406"/>
      <c r="AP103" s="1406"/>
      <c r="AQ103" s="1406"/>
      <c r="AR103" s="1406"/>
      <c r="AS103" s="1406"/>
      <c r="AT103" s="1406"/>
      <c r="AU103" s="1406"/>
      <c r="AV103" s="1406"/>
      <c r="AW103" s="1406"/>
      <c r="AX103" s="1406"/>
      <c r="AY103" s="1406"/>
      <c r="AZ103" s="1406"/>
      <c r="BA103" s="1406"/>
      <c r="BB103" s="1406"/>
      <c r="BC103" s="1406"/>
      <c r="BD103" s="1406"/>
      <c r="BE103" s="1406"/>
      <c r="BF103" s="1406"/>
      <c r="BG103" s="1406"/>
      <c r="BH103" s="1406"/>
      <c r="BI103" s="705"/>
      <c r="BJ103" s="705"/>
    </row>
    <row r="104" spans="11:62" ht="14.25" hidden="1" customHeight="1">
      <c r="K104" s="1506">
        <v>75</v>
      </c>
      <c r="L104" s="1585">
        <f>M104*0.9</f>
        <v>233.87400000000002</v>
      </c>
      <c r="M104" s="1586">
        <f>M106*0.71</f>
        <v>259.86</v>
      </c>
      <c r="N104" s="1586">
        <f>279*1.2</f>
        <v>334.8</v>
      </c>
      <c r="O104" s="1586">
        <f>309*1.2</f>
        <v>370.8</v>
      </c>
      <c r="P104" s="1586">
        <v>0</v>
      </c>
      <c r="Q104" s="1586">
        <f>431*1.2</f>
        <v>517.19999999999993</v>
      </c>
      <c r="R104" s="1586">
        <f>463*1.2</f>
        <v>555.6</v>
      </c>
      <c r="S104" s="1587">
        <v>0</v>
      </c>
      <c r="T104" s="1482"/>
      <c r="U104" s="1506">
        <v>75</v>
      </c>
      <c r="V104" s="1588">
        <v>1.7</v>
      </c>
      <c r="W104" s="1589">
        <v>1.65</v>
      </c>
      <c r="X104" s="1589">
        <v>1.6</v>
      </c>
      <c r="Y104" s="1589">
        <v>1.55</v>
      </c>
      <c r="Z104" s="1589">
        <v>1.55</v>
      </c>
      <c r="AA104" s="1589">
        <v>1.5</v>
      </c>
      <c r="AB104" s="1589">
        <v>1.45</v>
      </c>
      <c r="AC104" s="1590">
        <v>1.45</v>
      </c>
      <c r="AD104" s="1482"/>
      <c r="AE104" s="1591">
        <v>1</v>
      </c>
      <c r="AF104" s="1524">
        <v>4.5999999999999996</v>
      </c>
      <c r="AG104" s="1524">
        <v>5</v>
      </c>
      <c r="AH104" s="1525">
        <v>6.53</v>
      </c>
      <c r="AI104" s="1506">
        <v>75</v>
      </c>
      <c r="AJ104" s="1406"/>
      <c r="AK104" s="1406"/>
      <c r="AL104" s="1406"/>
      <c r="AM104" s="1406"/>
      <c r="AN104" s="1406"/>
      <c r="AO104" s="1406"/>
      <c r="AP104" s="1406"/>
      <c r="AQ104" s="1406"/>
      <c r="AR104" s="1406"/>
      <c r="AS104" s="1406"/>
      <c r="AT104" s="1406"/>
      <c r="AU104" s="1406"/>
      <c r="AV104" s="1406"/>
      <c r="AW104" s="1406"/>
      <c r="AX104" s="1406"/>
      <c r="AY104" s="1406"/>
      <c r="AZ104" s="1406"/>
      <c r="BA104" s="1406"/>
      <c r="BB104" s="1406"/>
      <c r="BC104" s="1406"/>
      <c r="BD104" s="1406"/>
      <c r="BE104" s="1406"/>
      <c r="BF104" s="1406"/>
      <c r="BG104" s="1406"/>
      <c r="BH104" s="1406"/>
      <c r="BI104" s="705"/>
      <c r="BJ104" s="705"/>
    </row>
    <row r="105" spans="11:62" ht="14.25" hidden="1" customHeight="1">
      <c r="K105" s="1506">
        <v>80</v>
      </c>
      <c r="L105" s="1592" t="s">
        <v>318</v>
      </c>
      <c r="M105" s="1593" t="s">
        <v>318</v>
      </c>
      <c r="N105" s="1594">
        <f>N107*0.71</f>
        <v>411.51600000000002</v>
      </c>
      <c r="O105" s="1594">
        <f>O107*0.71</f>
        <v>454.96799999999996</v>
      </c>
      <c r="P105" s="1593" t="s">
        <v>318</v>
      </c>
      <c r="Q105" s="1594">
        <f>Q107*0.71</f>
        <v>609.40924592407202</v>
      </c>
      <c r="R105" s="1594">
        <f>R107*0.71</f>
        <v>664.56</v>
      </c>
      <c r="S105" s="1595" t="s">
        <v>318</v>
      </c>
      <c r="T105" s="1482"/>
      <c r="U105" s="1506">
        <v>80</v>
      </c>
      <c r="V105" s="1596" t="s">
        <v>318</v>
      </c>
      <c r="W105" s="1597" t="s">
        <v>318</v>
      </c>
      <c r="X105" s="1598">
        <v>1.55</v>
      </c>
      <c r="Y105" s="1598">
        <v>1.5</v>
      </c>
      <c r="Z105" s="1597" t="s">
        <v>318</v>
      </c>
      <c r="AA105" s="1598">
        <v>1.45</v>
      </c>
      <c r="AB105" s="1598">
        <v>1.4</v>
      </c>
      <c r="AC105" s="1599" t="s">
        <v>318</v>
      </c>
      <c r="AD105" s="1482"/>
      <c r="AE105" s="1600">
        <v>1</v>
      </c>
      <c r="AF105" s="1529">
        <v>3.92</v>
      </c>
      <c r="AG105" s="1529">
        <v>4.5</v>
      </c>
      <c r="AH105" s="1530">
        <v>5.6</v>
      </c>
      <c r="AI105" s="1506">
        <v>80</v>
      </c>
      <c r="AJ105" s="1406"/>
      <c r="AK105" s="1406"/>
      <c r="AL105" s="1406"/>
      <c r="AM105" s="1406"/>
      <c r="AN105" s="1406"/>
      <c r="AO105" s="1406"/>
      <c r="AP105" s="1406"/>
      <c r="AQ105" s="1406"/>
      <c r="AR105" s="1406"/>
      <c r="AS105" s="1406"/>
      <c r="AT105" s="1406"/>
      <c r="AU105" s="1406"/>
      <c r="AV105" s="1406"/>
      <c r="AW105" s="1406"/>
      <c r="AX105" s="1406"/>
      <c r="AY105" s="1406"/>
      <c r="AZ105" s="1406"/>
      <c r="BA105" s="1406"/>
      <c r="BB105" s="1406"/>
      <c r="BC105" s="1406"/>
      <c r="BD105" s="1406"/>
      <c r="BE105" s="1406"/>
      <c r="BF105" s="1406"/>
      <c r="BG105" s="1406"/>
      <c r="BH105" s="1406"/>
      <c r="BI105" s="705"/>
      <c r="BJ105" s="705"/>
    </row>
    <row r="106" spans="11:62" ht="14.25" hidden="1" customHeight="1">
      <c r="K106" s="1506">
        <v>90</v>
      </c>
      <c r="L106" s="1531">
        <f>M106*0.89</f>
        <v>325.74</v>
      </c>
      <c r="M106" s="1601">
        <f>305*1.2</f>
        <v>366</v>
      </c>
      <c r="N106" s="1601">
        <f>404*1.2</f>
        <v>484.79999999999995</v>
      </c>
      <c r="O106" s="1601">
        <f>469*1.2</f>
        <v>562.79999999999995</v>
      </c>
      <c r="P106" s="1601">
        <v>0</v>
      </c>
      <c r="Q106" s="1602">
        <f>582*1.2</f>
        <v>698.4</v>
      </c>
      <c r="R106" s="1602">
        <f>644*1.2</f>
        <v>772.8</v>
      </c>
      <c r="S106" s="1603">
        <v>0</v>
      </c>
      <c r="T106" s="1482"/>
      <c r="U106" s="1506">
        <v>90</v>
      </c>
      <c r="V106" s="1532">
        <v>1.6</v>
      </c>
      <c r="W106" s="1533">
        <v>1.55</v>
      </c>
      <c r="X106" s="1533">
        <v>1.5</v>
      </c>
      <c r="Y106" s="1533">
        <v>1.45</v>
      </c>
      <c r="Z106" s="1533">
        <v>1.45</v>
      </c>
      <c r="AA106" s="1533">
        <v>1.4</v>
      </c>
      <c r="AB106" s="1533">
        <v>1.3</v>
      </c>
      <c r="AC106" s="1534">
        <v>1.3</v>
      </c>
      <c r="AD106" s="1482"/>
      <c r="AE106" s="1604">
        <v>1</v>
      </c>
      <c r="AF106" s="1536">
        <v>3.51</v>
      </c>
      <c r="AG106" s="1536">
        <v>3.96</v>
      </c>
      <c r="AH106" s="1537">
        <v>4.93</v>
      </c>
      <c r="AI106" s="1506">
        <v>90</v>
      </c>
      <c r="AJ106" s="1406"/>
      <c r="AK106" s="1406"/>
      <c r="AL106" s="1406"/>
      <c r="AM106" s="1406"/>
      <c r="AN106" s="1406"/>
      <c r="AO106" s="1406"/>
      <c r="AP106" s="1406"/>
      <c r="AQ106" s="1406"/>
      <c r="AR106" s="1406"/>
      <c r="AS106" s="1406"/>
      <c r="AT106" s="1406"/>
      <c r="AU106" s="1406"/>
      <c r="AV106" s="1406"/>
      <c r="AW106" s="1406"/>
      <c r="AX106" s="1406"/>
      <c r="AY106" s="1406"/>
      <c r="AZ106" s="1406"/>
      <c r="BA106" s="1406"/>
      <c r="BB106" s="1406"/>
      <c r="BC106" s="1406"/>
      <c r="BD106" s="1406"/>
      <c r="BE106" s="1406"/>
      <c r="BF106" s="1406"/>
      <c r="BG106" s="1406"/>
      <c r="BH106" s="1406"/>
      <c r="BI106" s="705"/>
      <c r="BJ106" s="705"/>
    </row>
    <row r="107" spans="11:62" ht="14.25" hidden="1" customHeight="1">
      <c r="K107" s="1506">
        <v>110</v>
      </c>
      <c r="L107" s="1538">
        <f>M107*0.88</f>
        <v>403.91665015679996</v>
      </c>
      <c r="M107" s="1605">
        <f>M106*1.25408796</f>
        <v>458.99619335999995</v>
      </c>
      <c r="N107" s="1605">
        <f>483*1.2</f>
        <v>579.6</v>
      </c>
      <c r="O107" s="1605">
        <f>534*1.2</f>
        <v>640.79999999999995</v>
      </c>
      <c r="P107" s="1605">
        <v>0</v>
      </c>
      <c r="Q107" s="1606">
        <f>M107*1.87</f>
        <v>858.3228815832</v>
      </c>
      <c r="R107" s="1606">
        <f>780*1.2</f>
        <v>936</v>
      </c>
      <c r="S107" s="1607">
        <v>0</v>
      </c>
      <c r="T107" s="1482"/>
      <c r="U107" s="1506">
        <v>110</v>
      </c>
      <c r="V107" s="1539">
        <v>1.5</v>
      </c>
      <c r="W107" s="1540">
        <v>1.3</v>
      </c>
      <c r="X107" s="1540">
        <v>1.3</v>
      </c>
      <c r="Y107" s="1540">
        <v>1.3</v>
      </c>
      <c r="Z107" s="1540">
        <v>1.3</v>
      </c>
      <c r="AA107" s="1540">
        <v>1.3</v>
      </c>
      <c r="AB107" s="1540">
        <v>1.3</v>
      </c>
      <c r="AC107" s="1541">
        <v>1.3</v>
      </c>
      <c r="AD107" s="1482"/>
      <c r="AE107" s="1608">
        <v>1</v>
      </c>
      <c r="AF107" s="1543">
        <v>3.41</v>
      </c>
      <c r="AG107" s="1543">
        <v>3.96</v>
      </c>
      <c r="AH107" s="1544">
        <v>4.93</v>
      </c>
      <c r="AI107" s="1506">
        <v>110</v>
      </c>
      <c r="AJ107" s="1406"/>
      <c r="AK107" s="1406"/>
      <c r="AL107" s="1406"/>
      <c r="AM107" s="1406"/>
      <c r="AN107" s="1406"/>
      <c r="AO107" s="1406"/>
      <c r="AP107" s="1406"/>
      <c r="AQ107" s="1406"/>
      <c r="AR107" s="1406"/>
      <c r="AS107" s="1406"/>
      <c r="AT107" s="1406"/>
      <c r="AU107" s="1406"/>
      <c r="AV107" s="1406"/>
      <c r="AW107" s="1406"/>
      <c r="AX107" s="1406"/>
      <c r="AY107" s="1406"/>
      <c r="AZ107" s="1406"/>
      <c r="BA107" s="1406"/>
      <c r="BB107" s="1406"/>
      <c r="BC107" s="1406"/>
      <c r="BD107" s="1406"/>
      <c r="BE107" s="1406"/>
      <c r="BF107" s="1406"/>
      <c r="BG107" s="1406"/>
      <c r="BH107" s="1406"/>
      <c r="BI107" s="705"/>
      <c r="BJ107" s="705"/>
    </row>
    <row r="108" spans="11:62" ht="14.25" hidden="1" customHeight="1">
      <c r="K108" s="1506">
        <v>150</v>
      </c>
      <c r="L108" s="1545">
        <f>365*1.2</f>
        <v>438</v>
      </c>
      <c r="M108" s="1609">
        <f>1.2*459</f>
        <v>550.79999999999995</v>
      </c>
      <c r="N108" s="1610">
        <f>763*1*IF((C5-C6)&gt;=0,1,1.9)*1.3</f>
        <v>991.9</v>
      </c>
      <c r="O108" s="1609">
        <v>0</v>
      </c>
      <c r="P108" s="1610">
        <f>791*1.1*IF((C5-C6)&gt;=0,1,2.175)*1.3</f>
        <v>1131.1300000000001</v>
      </c>
      <c r="Q108" s="1611">
        <f>962*1.2</f>
        <v>1154.3999999999999</v>
      </c>
      <c r="R108" s="1611">
        <f>1034*1.2</f>
        <v>1240.8</v>
      </c>
      <c r="S108" s="1612">
        <v>0</v>
      </c>
      <c r="T108" s="1482"/>
      <c r="U108" s="1506">
        <v>150</v>
      </c>
      <c r="V108" s="1546">
        <v>1.4</v>
      </c>
      <c r="W108" s="1547">
        <v>1.35</v>
      </c>
      <c r="X108" s="1547">
        <v>1.32</v>
      </c>
      <c r="Y108" s="1547"/>
      <c r="Z108" s="1547">
        <v>1.3</v>
      </c>
      <c r="AA108" s="1547">
        <v>1.28</v>
      </c>
      <c r="AB108" s="1547"/>
      <c r="AC108" s="1548">
        <v>1.25</v>
      </c>
      <c r="AD108" s="1482"/>
      <c r="AE108" s="1613">
        <v>1</v>
      </c>
      <c r="AF108" s="1550">
        <v>3.41</v>
      </c>
      <c r="AG108" s="1550">
        <v>3.96</v>
      </c>
      <c r="AH108" s="1551">
        <v>4.93</v>
      </c>
      <c r="AI108" s="1506">
        <v>150</v>
      </c>
      <c r="AJ108" s="1406"/>
      <c r="AK108" s="1406"/>
      <c r="AL108" s="1406"/>
      <c r="AM108" s="1406"/>
      <c r="AN108" s="1406"/>
      <c r="AO108" s="1406"/>
      <c r="AP108" s="1406"/>
      <c r="AQ108" s="1406"/>
      <c r="AR108" s="1406"/>
      <c r="AS108" s="1406"/>
      <c r="AT108" s="1406"/>
      <c r="AU108" s="1406"/>
      <c r="AV108" s="1406"/>
      <c r="AW108" s="1406"/>
      <c r="AX108" s="1406"/>
      <c r="AY108" s="1406"/>
      <c r="AZ108" s="1406"/>
      <c r="BA108" s="1406"/>
      <c r="BB108" s="1406"/>
      <c r="BC108" s="1406"/>
      <c r="BD108" s="1406"/>
      <c r="BE108" s="1406"/>
      <c r="BF108" s="1406"/>
      <c r="BG108" s="1406"/>
      <c r="BH108" s="1406"/>
      <c r="BI108" s="705"/>
      <c r="BJ108" s="705"/>
    </row>
    <row r="109" spans="11:62" ht="14.25" hidden="1" customHeight="1">
      <c r="K109" s="1506">
        <v>200</v>
      </c>
      <c r="L109" s="1552">
        <f>M109*0.88</f>
        <v>607.86145056383987</v>
      </c>
      <c r="M109" s="1614">
        <f>M108*1.25408796</f>
        <v>690.75164836799991</v>
      </c>
      <c r="N109" s="1614">
        <f>M109*1.26352614</f>
        <v>872.78276396105616</v>
      </c>
      <c r="O109" s="1614">
        <f>N109*1.07113641</f>
        <v>934.86939649912313</v>
      </c>
      <c r="P109" s="1614">
        <f>P108*1.24695214</f>
        <v>1410.4649741182002</v>
      </c>
      <c r="Q109" s="1614">
        <f>M109*1.87</f>
        <v>1291.7055824481599</v>
      </c>
      <c r="R109" s="1614">
        <f>M109*1.95542361</f>
        <v>1350.7120818652049</v>
      </c>
      <c r="S109" s="1615">
        <f>S108*1.12435712</f>
        <v>0</v>
      </c>
      <c r="T109" s="1482"/>
      <c r="U109" s="1506">
        <v>200</v>
      </c>
      <c r="V109" s="1553"/>
      <c r="W109" s="1554"/>
      <c r="X109" s="1554"/>
      <c r="Y109" s="1554"/>
      <c r="Z109" s="1554"/>
      <c r="AA109" s="1554"/>
      <c r="AB109" s="1554"/>
      <c r="AC109" s="1555"/>
      <c r="AD109" s="1482"/>
      <c r="AE109" s="1613">
        <v>1</v>
      </c>
      <c r="AF109" s="1550">
        <v>2.73</v>
      </c>
      <c r="AG109" s="1550">
        <v>3.11</v>
      </c>
      <c r="AH109" s="1551">
        <v>3.89</v>
      </c>
      <c r="AI109" s="1506">
        <v>150.16</v>
      </c>
      <c r="AJ109" s="1406"/>
      <c r="AK109" s="1406"/>
      <c r="AL109" s="1406"/>
      <c r="AM109" s="1406"/>
      <c r="AN109" s="1406"/>
      <c r="AO109" s="1406"/>
      <c r="AP109" s="1406"/>
      <c r="AQ109" s="1406"/>
      <c r="AR109" s="1406"/>
      <c r="AS109" s="1406"/>
      <c r="AT109" s="1406"/>
      <c r="AU109" s="1406"/>
      <c r="AV109" s="1406"/>
      <c r="AW109" s="1406"/>
      <c r="AX109" s="1406"/>
      <c r="AY109" s="1406"/>
      <c r="AZ109" s="1406"/>
      <c r="BA109" s="1406"/>
      <c r="BB109" s="1406"/>
      <c r="BC109" s="1406"/>
      <c r="BD109" s="1406"/>
      <c r="BE109" s="1406"/>
      <c r="BF109" s="1406"/>
      <c r="BG109" s="1406"/>
      <c r="BH109" s="1406"/>
      <c r="BI109" s="705"/>
      <c r="BJ109" s="705"/>
    </row>
    <row r="110" spans="11:62" ht="14.25" hidden="1" customHeight="1">
      <c r="K110" s="1506">
        <v>300</v>
      </c>
      <c r="L110" s="1616">
        <f>M110*0.88</f>
        <v>762.31172650024678</v>
      </c>
      <c r="M110" s="1617">
        <f>M109*1.25408796</f>
        <v>866.26332556846228</v>
      </c>
      <c r="N110" s="1617">
        <f>M110*1.26352614</f>
        <v>1094.5463559790824</v>
      </c>
      <c r="O110" s="1617">
        <f>N110*1.07113641</f>
        <v>1172.4084543220163</v>
      </c>
      <c r="P110" s="1617">
        <f>P109*1.24695214</f>
        <v>1758.7823178717344</v>
      </c>
      <c r="Q110" s="1617">
        <f>M110*1.87</f>
        <v>1619.9124188130245</v>
      </c>
      <c r="R110" s="1617">
        <f>M110*1.95542361</f>
        <v>1693.9117592936877</v>
      </c>
      <c r="S110" s="1618">
        <f>S109*1.12435712</f>
        <v>0</v>
      </c>
      <c r="T110" s="1482"/>
      <c r="U110" s="1506">
        <v>300</v>
      </c>
      <c r="V110" s="1619"/>
      <c r="W110" s="1620"/>
      <c r="X110" s="1620"/>
      <c r="Y110" s="1620"/>
      <c r="Z110" s="1620"/>
      <c r="AA110" s="1620"/>
      <c r="AB110" s="1620"/>
      <c r="AC110" s="1621"/>
      <c r="AD110" s="1482"/>
      <c r="AE110" s="1613">
        <v>1</v>
      </c>
      <c r="AF110" s="1547">
        <v>2.73</v>
      </c>
      <c r="AG110" s="1547">
        <v>2.83</v>
      </c>
      <c r="AH110" s="1556">
        <v>3.66</v>
      </c>
      <c r="AI110" s="1557" t="s">
        <v>319</v>
      </c>
      <c r="AJ110" s="1406"/>
      <c r="AK110" s="1406"/>
      <c r="AL110" s="1406"/>
      <c r="AM110" s="1406"/>
      <c r="AN110" s="1406"/>
      <c r="AO110" s="1406"/>
      <c r="AP110" s="1406"/>
      <c r="AQ110" s="1406"/>
      <c r="AR110" s="1406"/>
      <c r="AS110" s="1406"/>
      <c r="AT110" s="1406"/>
      <c r="AU110" s="1406"/>
      <c r="AV110" s="1406"/>
      <c r="AW110" s="1406"/>
      <c r="AX110" s="1406"/>
      <c r="AY110" s="1406"/>
      <c r="AZ110" s="1406"/>
      <c r="BA110" s="1406"/>
      <c r="BB110" s="1406"/>
      <c r="BC110" s="1406"/>
      <c r="BD110" s="1406"/>
      <c r="BE110" s="1406"/>
      <c r="BF110" s="1406"/>
      <c r="BG110" s="1406"/>
      <c r="BH110" s="1406"/>
      <c r="BI110" s="705"/>
      <c r="BJ110" s="705"/>
    </row>
    <row r="111" spans="11:62" ht="14.25" hidden="1" customHeight="1">
      <c r="K111" s="1506">
        <v>400</v>
      </c>
      <c r="L111" s="1622">
        <f>M111*0.88</f>
        <v>956.00595797077233</v>
      </c>
      <c r="M111" s="1623">
        <f>M110*1.25408796</f>
        <v>1086.3704067849685</v>
      </c>
      <c r="N111" s="1623">
        <f>M111*1.26352614</f>
        <v>1372.657406695241</v>
      </c>
      <c r="O111" s="1623">
        <f>N111*1.07113641</f>
        <v>1470.3033267674505</v>
      </c>
      <c r="P111" s="1623">
        <f>P110*1.24695214</f>
        <v>2193.1173750643197</v>
      </c>
      <c r="Q111" s="1623">
        <f>M111*1.87</f>
        <v>2031.5126606878912</v>
      </c>
      <c r="R111" s="1623">
        <f>M111*1.95542361</f>
        <v>2124.3143426326315</v>
      </c>
      <c r="S111" s="1624">
        <f>S110*1.12435712</f>
        <v>0</v>
      </c>
      <c r="T111" s="1482"/>
      <c r="U111" s="1506">
        <v>400</v>
      </c>
      <c r="V111" s="1625"/>
      <c r="W111" s="1626"/>
      <c r="X111" s="1626"/>
      <c r="Y111" s="1626"/>
      <c r="Z111" s="1626"/>
      <c r="AA111" s="1626"/>
      <c r="AB111" s="1626"/>
      <c r="AC111" s="1627"/>
      <c r="AD111" s="1482"/>
      <c r="AE111" s="1613">
        <v>1</v>
      </c>
      <c r="AF111" s="1558">
        <v>3.41</v>
      </c>
      <c r="AG111" s="1558">
        <v>3.86</v>
      </c>
      <c r="AH111" s="1559">
        <v>4.63</v>
      </c>
      <c r="AI111" s="1560" t="s">
        <v>321</v>
      </c>
      <c r="AJ111" s="1406"/>
      <c r="AK111" s="1406"/>
      <c r="AL111" s="1406"/>
      <c r="AM111" s="1406"/>
      <c r="AN111" s="1406"/>
      <c r="AO111" s="1406"/>
      <c r="AP111" s="1406"/>
      <c r="AQ111" s="1406"/>
      <c r="AR111" s="1406"/>
      <c r="AS111" s="1406"/>
      <c r="AT111" s="1406"/>
      <c r="AU111" s="1406"/>
      <c r="AV111" s="1406"/>
      <c r="AW111" s="1406"/>
      <c r="AX111" s="1406"/>
      <c r="AY111" s="1406"/>
      <c r="AZ111" s="1406"/>
      <c r="BA111" s="1406"/>
      <c r="BB111" s="1406"/>
      <c r="BC111" s="1406"/>
      <c r="BD111" s="1406"/>
      <c r="BE111" s="1406"/>
      <c r="BF111" s="1406"/>
      <c r="BG111" s="1406"/>
      <c r="BH111" s="1406"/>
      <c r="BI111" s="705"/>
      <c r="BJ111" s="705"/>
    </row>
    <row r="112" spans="11:62" ht="14.25" hidden="1" customHeight="1">
      <c r="K112" s="1506">
        <v>500</v>
      </c>
      <c r="L112" s="1628">
        <f>M112*0.88</f>
        <v>1198.9155615794114</v>
      </c>
      <c r="M112" s="1629">
        <f>M111*1.25408796</f>
        <v>1362.4040472493311</v>
      </c>
      <c r="N112" s="1629">
        <f>M112*1.26352614</f>
        <v>1721.4331269413249</v>
      </c>
      <c r="O112" s="1629">
        <f>N112*1.07113641</f>
        <v>1843.889699647005</v>
      </c>
      <c r="P112" s="1629">
        <f>P111*1.24695214</f>
        <v>2734.7124041076363</v>
      </c>
      <c r="Q112" s="1629">
        <f>M112*1.87</f>
        <v>2547.6955683562492</v>
      </c>
      <c r="R112" s="1629">
        <f>M112*1.95542361</f>
        <v>2664.0770403508977</v>
      </c>
      <c r="S112" s="1630">
        <f>S111*1.12435712</f>
        <v>0</v>
      </c>
      <c r="T112" s="1482"/>
      <c r="U112" s="1506">
        <v>500</v>
      </c>
      <c r="V112" s="1631"/>
      <c r="W112" s="1632"/>
      <c r="X112" s="1632"/>
      <c r="Y112" s="1632"/>
      <c r="Z112" s="1632"/>
      <c r="AA112" s="1632"/>
      <c r="AB112" s="1632"/>
      <c r="AC112" s="1633"/>
      <c r="AD112" s="1482"/>
      <c r="AE112" s="1482"/>
      <c r="AF112" s="1482"/>
      <c r="AG112" s="1482"/>
      <c r="AH112" s="1482"/>
      <c r="AI112" s="1482"/>
      <c r="AJ112" s="1406"/>
      <c r="AK112" s="1406"/>
      <c r="AL112" s="1406"/>
      <c r="AM112" s="1406"/>
      <c r="AN112" s="1406"/>
      <c r="AO112" s="1406"/>
      <c r="AP112" s="1406"/>
      <c r="AQ112" s="1406"/>
      <c r="AR112" s="1406"/>
      <c r="AS112" s="1406"/>
      <c r="AT112" s="1406"/>
      <c r="AU112" s="1406"/>
      <c r="AV112" s="1406"/>
      <c r="AW112" s="1406"/>
      <c r="AX112" s="1406"/>
      <c r="AY112" s="1406"/>
      <c r="AZ112" s="1406"/>
      <c r="BA112" s="1406"/>
      <c r="BB112" s="1406"/>
      <c r="BC112" s="1406"/>
      <c r="BD112" s="1406"/>
      <c r="BE112" s="1406"/>
      <c r="BF112" s="1406"/>
      <c r="BG112" s="1406"/>
      <c r="BH112" s="1406"/>
      <c r="BI112" s="705"/>
      <c r="BJ112" s="705"/>
    </row>
    <row r="113" spans="11:62" ht="14.25" hidden="1" customHeight="1">
      <c r="K113" s="1490">
        <v>600</v>
      </c>
      <c r="L113" s="1634">
        <f>M113*0.88</f>
        <v>1503.5455708333784</v>
      </c>
      <c r="M113" s="1635">
        <f>M112*1.25408796</f>
        <v>1708.5745123106572</v>
      </c>
      <c r="N113" s="1635">
        <f>M113*1.26352614</f>
        <v>2158.828558442267</v>
      </c>
      <c r="O113" s="1635">
        <f>N113*1.07113641</f>
        <v>2312.3998718953253</v>
      </c>
      <c r="P113" s="1635">
        <f>P112*1.24695214</f>
        <v>3410.0554845865622</v>
      </c>
      <c r="Q113" s="1635">
        <f>M113*1.87</f>
        <v>3195.0343380209292</v>
      </c>
      <c r="R113" s="1635">
        <f>M113*1.95542361</f>
        <v>3340.9869408164946</v>
      </c>
      <c r="S113" s="1636">
        <f>S112*1.12435712</f>
        <v>0</v>
      </c>
      <c r="T113" s="1482"/>
      <c r="U113" s="1490">
        <v>600</v>
      </c>
      <c r="V113" s="1637"/>
      <c r="W113" s="1638"/>
      <c r="X113" s="1638"/>
      <c r="Y113" s="1638"/>
      <c r="Z113" s="1638"/>
      <c r="AA113" s="1638"/>
      <c r="AB113" s="1638"/>
      <c r="AC113" s="1639"/>
      <c r="AD113" s="1482"/>
      <c r="AE113" s="1482"/>
      <c r="AF113" s="1482"/>
      <c r="AG113" s="1482"/>
      <c r="AH113" s="1482"/>
      <c r="AI113" s="1482"/>
      <c r="AJ113" s="1406"/>
      <c r="AK113" s="1406"/>
      <c r="AL113" s="1406"/>
      <c r="AM113" s="1406"/>
      <c r="AN113" s="1406"/>
      <c r="AO113" s="1406"/>
      <c r="AP113" s="1406"/>
      <c r="AQ113" s="1406"/>
      <c r="AR113" s="1406"/>
      <c r="AS113" s="1406"/>
      <c r="AT113" s="1406"/>
      <c r="AU113" s="1406"/>
      <c r="AV113" s="1406"/>
      <c r="AW113" s="1406"/>
      <c r="AX113" s="1406"/>
      <c r="AY113" s="1406"/>
      <c r="AZ113" s="1406"/>
      <c r="BA113" s="1406"/>
      <c r="BB113" s="1406"/>
      <c r="BC113" s="1406"/>
      <c r="BD113" s="1406"/>
      <c r="BE113" s="1406"/>
      <c r="BF113" s="1406"/>
      <c r="BG113" s="1406"/>
      <c r="BH113" s="1406"/>
      <c r="BI113" s="705"/>
      <c r="BJ113" s="705"/>
    </row>
    <row r="114" spans="11:62" ht="14.25" hidden="1" customHeight="1">
      <c r="K114" s="1562"/>
      <c r="L114" s="1562"/>
      <c r="M114" s="1565"/>
      <c r="N114" s="1565"/>
      <c r="O114" s="1565"/>
      <c r="P114" s="1565"/>
      <c r="Q114" s="1565"/>
      <c r="R114" s="1565"/>
      <c r="S114" s="1565"/>
      <c r="T114" s="1482"/>
      <c r="U114" s="1566"/>
      <c r="V114" s="1567"/>
      <c r="W114" s="1567"/>
      <c r="X114" s="1567"/>
      <c r="Y114" s="1567"/>
      <c r="Z114" s="1567"/>
      <c r="AA114" s="1567"/>
      <c r="AB114" s="1567"/>
      <c r="AC114" s="1567"/>
      <c r="AD114" s="1482"/>
      <c r="AE114" s="1482"/>
      <c r="AF114" s="1482"/>
      <c r="AG114" s="1482"/>
      <c r="AH114" s="1482"/>
      <c r="AI114" s="1482"/>
      <c r="AJ114" s="1406"/>
      <c r="AK114" s="1406"/>
      <c r="AL114" s="1406"/>
      <c r="AM114" s="1406"/>
      <c r="AN114" s="1406"/>
      <c r="AO114" s="1406"/>
      <c r="AP114" s="1406"/>
      <c r="AQ114" s="1406"/>
      <c r="AR114" s="1406"/>
      <c r="AS114" s="1406"/>
      <c r="AT114" s="1406"/>
      <c r="AU114" s="1406"/>
      <c r="AV114" s="1406"/>
      <c r="AW114" s="1406"/>
      <c r="AX114" s="1406"/>
      <c r="AY114" s="1406"/>
      <c r="AZ114" s="1406"/>
      <c r="BA114" s="1406"/>
      <c r="BB114" s="1406"/>
      <c r="BC114" s="1406"/>
      <c r="BD114" s="1406"/>
      <c r="BE114" s="1406"/>
      <c r="BF114" s="1406"/>
      <c r="BG114" s="1406"/>
      <c r="BH114" s="1406"/>
      <c r="BI114" s="705"/>
      <c r="BJ114" s="705"/>
    </row>
    <row r="115" spans="11:62" ht="14.25" hidden="1" customHeight="1">
      <c r="K115" s="2544" t="s">
        <v>220</v>
      </c>
      <c r="L115" s="2545"/>
      <c r="M115" s="2545"/>
      <c r="N115" s="2545"/>
      <c r="O115" s="2545"/>
      <c r="P115" s="2545"/>
      <c r="Q115" s="2545"/>
      <c r="R115" s="2545"/>
      <c r="S115" s="2546"/>
      <c r="T115" s="1482"/>
      <c r="U115" s="2544" t="s">
        <v>221</v>
      </c>
      <c r="V115" s="2545"/>
      <c r="W115" s="2545"/>
      <c r="X115" s="2545"/>
      <c r="Y115" s="2545"/>
      <c r="Z115" s="2545"/>
      <c r="AA115" s="2545"/>
      <c r="AB115" s="2545"/>
      <c r="AC115" s="2546"/>
      <c r="AD115" s="1482"/>
      <c r="AE115" s="2544" t="s">
        <v>316</v>
      </c>
      <c r="AF115" s="2545"/>
      <c r="AG115" s="2545"/>
      <c r="AH115" s="2546"/>
      <c r="AI115" s="1640" t="s">
        <v>0</v>
      </c>
      <c r="AJ115" s="1406"/>
      <c r="AK115" s="1406"/>
      <c r="AL115" s="1406"/>
      <c r="AM115" s="1406"/>
      <c r="AN115" s="1406"/>
      <c r="AO115" s="1406"/>
      <c r="AP115" s="1406"/>
      <c r="AQ115" s="1406"/>
      <c r="AR115" s="1406"/>
      <c r="AS115" s="1406"/>
      <c r="AT115" s="1406"/>
      <c r="AU115" s="1406"/>
      <c r="AV115" s="1406"/>
      <c r="AW115" s="1406"/>
      <c r="AX115" s="1406"/>
      <c r="AY115" s="1406"/>
      <c r="AZ115" s="1406"/>
      <c r="BA115" s="1406"/>
      <c r="BB115" s="1406"/>
      <c r="BC115" s="1406"/>
      <c r="BD115" s="1406"/>
      <c r="BE115" s="1406"/>
      <c r="BF115" s="1406"/>
      <c r="BG115" s="1406"/>
      <c r="BH115" s="1406"/>
      <c r="BI115" s="705"/>
      <c r="BJ115" s="705"/>
    </row>
    <row r="116" spans="11:62" ht="14.25" hidden="1" customHeight="1">
      <c r="K116" s="1995" t="s">
        <v>1</v>
      </c>
      <c r="L116" s="2535">
        <v>160</v>
      </c>
      <c r="M116" s="2537">
        <v>200</v>
      </c>
      <c r="N116" s="2537">
        <v>260</v>
      </c>
      <c r="O116" s="2537">
        <v>300</v>
      </c>
      <c r="P116" s="2537"/>
      <c r="Q116" s="2537">
        <v>360</v>
      </c>
      <c r="R116" s="2537">
        <v>400</v>
      </c>
      <c r="S116" s="2540"/>
      <c r="T116" s="1482"/>
      <c r="U116" s="1995" t="s">
        <v>1</v>
      </c>
      <c r="V116" s="2535">
        <v>160</v>
      </c>
      <c r="W116" s="2537">
        <v>200</v>
      </c>
      <c r="X116" s="2537">
        <v>260</v>
      </c>
      <c r="Y116" s="2537">
        <v>300</v>
      </c>
      <c r="Z116" s="2537"/>
      <c r="AA116" s="2537">
        <v>360</v>
      </c>
      <c r="AB116" s="2537">
        <v>400</v>
      </c>
      <c r="AC116" s="2540"/>
      <c r="AD116" s="1482"/>
      <c r="AE116" s="1641">
        <v>0</v>
      </c>
      <c r="AF116" s="1642">
        <v>1</v>
      </c>
      <c r="AG116" s="1487">
        <v>2</v>
      </c>
      <c r="AH116" s="1643">
        <v>3</v>
      </c>
      <c r="AI116" s="1644" t="s">
        <v>317</v>
      </c>
      <c r="AJ116" s="1406"/>
      <c r="AK116" s="1406"/>
      <c r="AL116" s="1406"/>
      <c r="AM116" s="1406"/>
      <c r="AN116" s="1406"/>
      <c r="AO116" s="1406"/>
      <c r="AP116" s="1406"/>
      <c r="AQ116" s="1406"/>
      <c r="AR116" s="1406"/>
      <c r="AS116" s="1406"/>
      <c r="AT116" s="1406"/>
      <c r="AU116" s="1406"/>
      <c r="AV116" s="1406"/>
      <c r="AW116" s="1406"/>
      <c r="AX116" s="1406"/>
      <c r="AY116" s="1406"/>
      <c r="AZ116" s="1406"/>
      <c r="BA116" s="1406"/>
      <c r="BB116" s="1406"/>
      <c r="BC116" s="1406"/>
      <c r="BD116" s="1406"/>
      <c r="BE116" s="1406"/>
      <c r="BF116" s="1406"/>
      <c r="BG116" s="1406"/>
      <c r="BH116" s="1406"/>
      <c r="BI116" s="705"/>
      <c r="BJ116" s="705"/>
    </row>
    <row r="117" spans="11:62" ht="14.25" hidden="1" customHeight="1">
      <c r="K117" s="1645" t="s">
        <v>0</v>
      </c>
      <c r="L117" s="2547"/>
      <c r="M117" s="2548"/>
      <c r="N117" s="2549"/>
      <c r="O117" s="1990">
        <v>2</v>
      </c>
      <c r="P117" s="1990">
        <v>4</v>
      </c>
      <c r="Q117" s="2549"/>
      <c r="R117" s="1990">
        <v>1</v>
      </c>
      <c r="S117" s="1646">
        <v>2</v>
      </c>
      <c r="T117" s="1482"/>
      <c r="U117" s="1645" t="s">
        <v>0</v>
      </c>
      <c r="V117" s="2536"/>
      <c r="W117" s="2538"/>
      <c r="X117" s="2539"/>
      <c r="Y117" s="1988">
        <v>1</v>
      </c>
      <c r="Z117" s="1988">
        <v>2</v>
      </c>
      <c r="AA117" s="2539"/>
      <c r="AB117" s="1988">
        <v>1</v>
      </c>
      <c r="AC117" s="1489">
        <v>2</v>
      </c>
      <c r="AD117" s="1482"/>
      <c r="AE117" s="1647">
        <v>1</v>
      </c>
      <c r="AF117" s="1647">
        <v>4.75</v>
      </c>
      <c r="AG117" s="1647">
        <v>5.66</v>
      </c>
      <c r="AH117" s="1647">
        <v>6.53</v>
      </c>
      <c r="AI117" s="1647">
        <v>75</v>
      </c>
      <c r="AJ117" s="1406"/>
      <c r="AK117" s="1406"/>
      <c r="AL117" s="1406"/>
      <c r="AM117" s="1406"/>
      <c r="AN117" s="1406"/>
      <c r="AO117" s="1406"/>
      <c r="AP117" s="1406"/>
      <c r="AQ117" s="1406"/>
      <c r="AR117" s="1406"/>
      <c r="AS117" s="1406"/>
      <c r="AT117" s="1406"/>
      <c r="AU117" s="1406"/>
      <c r="AV117" s="1406"/>
      <c r="AW117" s="1406"/>
      <c r="AX117" s="1406"/>
      <c r="AY117" s="1406"/>
      <c r="AZ117" s="1406"/>
      <c r="BA117" s="1406"/>
      <c r="BB117" s="1406"/>
      <c r="BC117" s="1406"/>
      <c r="BD117" s="1406"/>
      <c r="BE117" s="1406"/>
      <c r="BF117" s="1406"/>
      <c r="BG117" s="1406"/>
      <c r="BH117" s="1406"/>
      <c r="BI117" s="705"/>
      <c r="BJ117" s="705"/>
    </row>
    <row r="118" spans="11:62" ht="14.25" hidden="1" customHeight="1">
      <c r="K118" s="1648">
        <v>75</v>
      </c>
      <c r="L118" s="1649">
        <f>M118*0.9</f>
        <v>191.77668</v>
      </c>
      <c r="M118" s="1650">
        <f>M119*0.71</f>
        <v>213.08519999999999</v>
      </c>
      <c r="N118" s="1651">
        <f>279*0.82*1.2</f>
        <v>274.53599999999994</v>
      </c>
      <c r="O118" s="1651">
        <f>309*0.82*1.2</f>
        <v>304.05599999999998</v>
      </c>
      <c r="P118" s="1987">
        <v>0</v>
      </c>
      <c r="Q118" s="1651">
        <f>431*0.82*1.2</f>
        <v>424.10399999999993</v>
      </c>
      <c r="R118" s="1651">
        <f>463*0.82*1.2</f>
        <v>455.59199999999993</v>
      </c>
      <c r="S118" s="1989">
        <v>0</v>
      </c>
      <c r="T118" s="1482"/>
      <c r="U118" s="1648">
        <v>75</v>
      </c>
      <c r="V118" s="1652">
        <v>1.7</v>
      </c>
      <c r="W118" s="1653">
        <v>1.65</v>
      </c>
      <c r="X118" s="1653">
        <v>1.6</v>
      </c>
      <c r="Y118" s="1653">
        <v>1.55</v>
      </c>
      <c r="Z118" s="1653">
        <v>1.55</v>
      </c>
      <c r="AA118" s="1653">
        <v>1.5</v>
      </c>
      <c r="AB118" s="1653">
        <v>1.45</v>
      </c>
      <c r="AC118" s="1654">
        <v>1.45</v>
      </c>
      <c r="AD118" s="1482"/>
      <c r="AE118" s="1655">
        <v>1</v>
      </c>
      <c r="AF118" s="1655">
        <v>3.41</v>
      </c>
      <c r="AG118" s="1655">
        <v>3.96</v>
      </c>
      <c r="AH118" s="1655">
        <v>4.72</v>
      </c>
      <c r="AI118" s="1655">
        <v>90</v>
      </c>
      <c r="AJ118" s="1406"/>
      <c r="AK118" s="1406"/>
      <c r="AL118" s="1406"/>
      <c r="AM118" s="1406"/>
      <c r="AN118" s="1406"/>
      <c r="AO118" s="1406"/>
      <c r="AP118" s="1406"/>
      <c r="AQ118" s="1406"/>
      <c r="AR118" s="1406"/>
      <c r="AS118" s="1406"/>
      <c r="AT118" s="1406"/>
      <c r="AU118" s="1406"/>
      <c r="AV118" s="1406"/>
      <c r="AW118" s="1406"/>
      <c r="AX118" s="1406"/>
      <c r="AY118" s="1406"/>
      <c r="AZ118" s="1406"/>
      <c r="BA118" s="1406"/>
      <c r="BB118" s="1406"/>
      <c r="BC118" s="1406"/>
      <c r="BD118" s="1406"/>
      <c r="BE118" s="1406"/>
      <c r="BF118" s="1406"/>
      <c r="BG118" s="1406"/>
      <c r="BH118" s="1406"/>
      <c r="BI118" s="705"/>
      <c r="BJ118" s="705"/>
    </row>
    <row r="119" spans="11:62" ht="14.25" hidden="1" customHeight="1">
      <c r="K119" s="1656">
        <v>90</v>
      </c>
      <c r="L119" s="1557">
        <f>M119*0.89</f>
        <v>267.10680000000002</v>
      </c>
      <c r="M119" s="1657">
        <f>305*0.82*1.2</f>
        <v>300.12</v>
      </c>
      <c r="N119" s="1658">
        <f>404*0.82*1.2</f>
        <v>397.53599999999994</v>
      </c>
      <c r="O119" s="1658">
        <f>469*0.82*1.2</f>
        <v>461.49599999999998</v>
      </c>
      <c r="P119" s="1658">
        <v>0</v>
      </c>
      <c r="Q119" s="1658">
        <f>582*0.82*1.2</f>
        <v>572.68799999999987</v>
      </c>
      <c r="R119" s="1658">
        <f>644*0.82*1.2</f>
        <v>633.69599999999991</v>
      </c>
      <c r="S119" s="1659">
        <v>0</v>
      </c>
      <c r="T119" s="1482"/>
      <c r="U119" s="1656">
        <v>90</v>
      </c>
      <c r="V119" s="1660">
        <v>1.6</v>
      </c>
      <c r="W119" s="1661">
        <v>1.55</v>
      </c>
      <c r="X119" s="1661">
        <v>1.5</v>
      </c>
      <c r="Y119" s="1661">
        <v>1.45</v>
      </c>
      <c r="Z119" s="1661">
        <v>1.45</v>
      </c>
      <c r="AA119" s="1661">
        <v>1.4</v>
      </c>
      <c r="AB119" s="1661">
        <v>1.3</v>
      </c>
      <c r="AC119" s="1662">
        <v>1.3</v>
      </c>
      <c r="AD119" s="1482"/>
      <c r="AE119" s="1655">
        <v>1</v>
      </c>
      <c r="AF119" s="1655">
        <v>3.41</v>
      </c>
      <c r="AG119" s="1655">
        <v>3.96</v>
      </c>
      <c r="AH119" s="1655">
        <v>4.93</v>
      </c>
      <c r="AI119" s="1655">
        <v>110</v>
      </c>
      <c r="AJ119" s="1406"/>
      <c r="AK119" s="1406"/>
      <c r="AL119" s="1406"/>
      <c r="AM119" s="1406"/>
      <c r="AN119" s="1406"/>
      <c r="AO119" s="1406"/>
      <c r="AP119" s="1406"/>
      <c r="AQ119" s="1406"/>
      <c r="AR119" s="1406"/>
      <c r="AS119" s="1406"/>
      <c r="AT119" s="1406"/>
      <c r="AU119" s="1406"/>
      <c r="AV119" s="1406"/>
      <c r="AW119" s="1406"/>
      <c r="AX119" s="1406"/>
      <c r="AY119" s="1406"/>
      <c r="AZ119" s="1406"/>
      <c r="BA119" s="1406"/>
      <c r="BB119" s="1406"/>
      <c r="BC119" s="1406"/>
      <c r="BD119" s="1406"/>
      <c r="BE119" s="1406"/>
      <c r="BF119" s="1406"/>
      <c r="BG119" s="1406"/>
      <c r="BH119" s="1406"/>
      <c r="BI119" s="705"/>
      <c r="BJ119" s="705"/>
    </row>
    <row r="120" spans="11:62" ht="14.25" hidden="1" customHeight="1">
      <c r="K120" s="1656">
        <v>110</v>
      </c>
      <c r="L120" s="1557">
        <f>M120*0.88</f>
        <v>331.21165312857602</v>
      </c>
      <c r="M120" s="1663">
        <f>M119*1.25408796</f>
        <v>376.37687855519999</v>
      </c>
      <c r="N120" s="1658">
        <f>483*0.82</f>
        <v>396.06</v>
      </c>
      <c r="O120" s="1658">
        <f>534*0.82</f>
        <v>437.88</v>
      </c>
      <c r="P120" s="1518">
        <v>0</v>
      </c>
      <c r="Q120" s="1518">
        <f>M120*1.87</f>
        <v>703.82476289822398</v>
      </c>
      <c r="R120" s="1658">
        <f>780*0.82*1.2</f>
        <v>767.51999999999987</v>
      </c>
      <c r="S120" s="1519">
        <v>0</v>
      </c>
      <c r="T120" s="1482"/>
      <c r="U120" s="1656">
        <v>110</v>
      </c>
      <c r="V120" s="1660">
        <v>1.5</v>
      </c>
      <c r="W120" s="1661">
        <v>1.3</v>
      </c>
      <c r="X120" s="1661">
        <v>1.3</v>
      </c>
      <c r="Y120" s="1661">
        <v>1.3</v>
      </c>
      <c r="Z120" s="1661">
        <v>1.3</v>
      </c>
      <c r="AA120" s="1661">
        <v>1.3</v>
      </c>
      <c r="AB120" s="1661">
        <v>1.3</v>
      </c>
      <c r="AC120" s="1662">
        <v>1.3</v>
      </c>
      <c r="AD120" s="1482"/>
      <c r="AE120" s="1655">
        <v>1</v>
      </c>
      <c r="AF120" s="1655">
        <v>3.41</v>
      </c>
      <c r="AG120" s="1655">
        <v>3.96</v>
      </c>
      <c r="AH120" s="1655">
        <v>4.93</v>
      </c>
      <c r="AI120" s="1655">
        <v>150</v>
      </c>
      <c r="AJ120" s="1406"/>
      <c r="AK120" s="1406"/>
      <c r="AL120" s="1406"/>
      <c r="AM120" s="1406"/>
      <c r="AN120" s="1406"/>
      <c r="AO120" s="1406"/>
      <c r="AP120" s="1406"/>
      <c r="AQ120" s="1406"/>
      <c r="AR120" s="1406"/>
      <c r="AS120" s="1406"/>
      <c r="AT120" s="1406"/>
      <c r="AU120" s="1406"/>
      <c r="AV120" s="1406"/>
      <c r="AW120" s="1406"/>
      <c r="AX120" s="1406"/>
      <c r="AY120" s="1406"/>
      <c r="AZ120" s="1406"/>
      <c r="BA120" s="1406"/>
      <c r="BB120" s="1406"/>
      <c r="BC120" s="1406"/>
      <c r="BD120" s="1406"/>
      <c r="BE120" s="1406"/>
      <c r="BF120" s="1406"/>
      <c r="BG120" s="1406"/>
      <c r="BH120" s="1406"/>
      <c r="BI120" s="705"/>
      <c r="BJ120" s="705"/>
    </row>
    <row r="121" spans="11:62" ht="14.25" hidden="1" customHeight="1">
      <c r="K121" s="1664">
        <v>150</v>
      </c>
      <c r="L121" s="1665">
        <f>365*0.82*1.2</f>
        <v>359.15999999999991</v>
      </c>
      <c r="M121" s="1666">
        <f>459*0.82*1.2</f>
        <v>451.65600000000001</v>
      </c>
      <c r="N121" s="1667">
        <f>763*0.82*1.2</f>
        <v>750.79199999999992</v>
      </c>
      <c r="O121" s="1990">
        <v>0</v>
      </c>
      <c r="P121" s="1667">
        <f>791*0.82*1.2</f>
        <v>778.34399999999994</v>
      </c>
      <c r="Q121" s="1667">
        <f>962*0.82*1.2</f>
        <v>946.60799999999983</v>
      </c>
      <c r="R121" s="1667">
        <f>1034*0.82*1.2</f>
        <v>1017.4559999999999</v>
      </c>
      <c r="S121" s="1668">
        <v>0</v>
      </c>
      <c r="T121" s="1482"/>
      <c r="U121" s="1664">
        <v>150</v>
      </c>
      <c r="V121" s="1660">
        <v>1.4</v>
      </c>
      <c r="W121" s="1661">
        <v>1.35</v>
      </c>
      <c r="X121" s="1661">
        <v>1.32</v>
      </c>
      <c r="Y121" s="1661"/>
      <c r="Z121" s="1661">
        <v>1.3</v>
      </c>
      <c r="AA121" s="1661">
        <v>1.28</v>
      </c>
      <c r="AB121" s="1661"/>
      <c r="AC121" s="1662">
        <v>1.25</v>
      </c>
      <c r="AD121" s="1482"/>
      <c r="AE121" s="1655">
        <v>1</v>
      </c>
      <c r="AF121" s="1655">
        <v>2.73</v>
      </c>
      <c r="AG121" s="1655">
        <v>3.11</v>
      </c>
      <c r="AH121" s="1655">
        <v>3.89</v>
      </c>
      <c r="AI121" s="1655">
        <v>150.16</v>
      </c>
      <c r="AJ121" s="1406"/>
      <c r="AK121" s="1406"/>
      <c r="AL121" s="1406"/>
      <c r="AM121" s="1406"/>
      <c r="AN121" s="1406"/>
      <c r="AO121" s="1406"/>
      <c r="AP121" s="1406"/>
      <c r="AQ121" s="1406"/>
      <c r="AR121" s="1406"/>
      <c r="AS121" s="1406"/>
      <c r="AT121" s="1406"/>
      <c r="AU121" s="1406"/>
      <c r="AV121" s="1406"/>
      <c r="AW121" s="1406"/>
      <c r="AX121" s="1406"/>
      <c r="AY121" s="1406"/>
      <c r="AZ121" s="1406"/>
      <c r="BA121" s="1406"/>
      <c r="BB121" s="1406"/>
      <c r="BC121" s="1406"/>
      <c r="BD121" s="1406"/>
      <c r="BE121" s="1406"/>
      <c r="BF121" s="1406"/>
      <c r="BG121" s="1406"/>
      <c r="BH121" s="1406"/>
      <c r="BI121" s="705"/>
      <c r="BJ121" s="705"/>
    </row>
    <row r="122" spans="11:62" ht="14.25" hidden="1" customHeight="1">
      <c r="K122" s="1663">
        <v>200</v>
      </c>
      <c r="L122" s="1557">
        <f>M122*0.88</f>
        <v>498.44638946234869</v>
      </c>
      <c r="M122" s="1663">
        <f>M121*1.25408796</f>
        <v>566.4163516617599</v>
      </c>
      <c r="N122" s="1518">
        <f>M122*1.26352614</f>
        <v>715.6818664480661</v>
      </c>
      <c r="O122" s="1518">
        <f>N122*1.07113641</f>
        <v>766.59290512928101</v>
      </c>
      <c r="P122" s="1518">
        <f>P121*1.24695214</f>
        <v>970.55771645616005</v>
      </c>
      <c r="Q122" s="1518">
        <f>M122*1.87</f>
        <v>1059.1985776074912</v>
      </c>
      <c r="R122" s="1518">
        <f>M122*1.95542361</f>
        <v>1107.5839071294681</v>
      </c>
      <c r="S122" s="1519">
        <f>S121*1.12435712</f>
        <v>0</v>
      </c>
      <c r="T122" s="1482"/>
      <c r="U122" s="1656">
        <v>200</v>
      </c>
      <c r="V122" s="1660"/>
      <c r="W122" s="1661"/>
      <c r="X122" s="1661"/>
      <c r="Y122" s="1661"/>
      <c r="Z122" s="1661"/>
      <c r="AA122" s="1661"/>
      <c r="AB122" s="1661"/>
      <c r="AC122" s="1662"/>
      <c r="AD122" s="1482"/>
      <c r="AE122" s="1482"/>
      <c r="AF122" s="1483">
        <v>2.73</v>
      </c>
      <c r="AG122" s="1483">
        <v>2.83</v>
      </c>
      <c r="AH122" s="1483">
        <v>3.66</v>
      </c>
      <c r="AI122" s="1483" t="s">
        <v>319</v>
      </c>
      <c r="AJ122" s="1406"/>
      <c r="AK122" s="1406"/>
      <c r="AL122" s="1406"/>
      <c r="AM122" s="1406"/>
      <c r="AN122" s="1406"/>
      <c r="AO122" s="1406"/>
      <c r="AP122" s="1406"/>
      <c r="AQ122" s="1406"/>
      <c r="AR122" s="1406"/>
      <c r="AS122" s="1406"/>
      <c r="AT122" s="1406"/>
      <c r="AU122" s="1406"/>
      <c r="AV122" s="1406"/>
      <c r="AW122" s="1406"/>
      <c r="AX122" s="1406"/>
      <c r="AY122" s="1406"/>
      <c r="AZ122" s="1406"/>
      <c r="BA122" s="1406"/>
      <c r="BB122" s="1406"/>
      <c r="BC122" s="1406"/>
      <c r="BD122" s="1406"/>
      <c r="BE122" s="1406"/>
      <c r="BF122" s="1406"/>
      <c r="BG122" s="1406"/>
      <c r="BH122" s="1406"/>
      <c r="BI122" s="705"/>
      <c r="BJ122" s="705"/>
    </row>
    <row r="123" spans="11:62" ht="14.25" hidden="1" customHeight="1">
      <c r="K123" s="1663">
        <v>300</v>
      </c>
      <c r="L123" s="1557">
        <f>M123*0.88</f>
        <v>625.09561573020233</v>
      </c>
      <c r="M123" s="1663">
        <f>M122*1.25408796</f>
        <v>710.33592696613903</v>
      </c>
      <c r="N123" s="1518">
        <f>M123*1.26352614</f>
        <v>897.52801190284754</v>
      </c>
      <c r="O123" s="1518">
        <f>N123*1.07113641</f>
        <v>961.37493254405342</v>
      </c>
      <c r="P123" s="1518">
        <f>P122*1.24695214</f>
        <v>1210.239021528522</v>
      </c>
      <c r="Q123" s="1518">
        <f>M123*1.87</f>
        <v>1328.32818342668</v>
      </c>
      <c r="R123" s="1518">
        <f>M123*1.95542361</f>
        <v>1389.0076426208238</v>
      </c>
      <c r="S123" s="1519">
        <f>S122*1.12435712</f>
        <v>0</v>
      </c>
      <c r="T123" s="1482"/>
      <c r="U123" s="1656">
        <v>300</v>
      </c>
      <c r="V123" s="1660"/>
      <c r="W123" s="1661"/>
      <c r="X123" s="1661"/>
      <c r="Y123" s="1661"/>
      <c r="Z123" s="1661"/>
      <c r="AA123" s="1661"/>
      <c r="AB123" s="1661"/>
      <c r="AC123" s="1662"/>
      <c r="AD123" s="1482"/>
      <c r="AE123" s="1482"/>
      <c r="AF123" s="1483">
        <v>3.41</v>
      </c>
      <c r="AG123" s="1483">
        <v>3.86</v>
      </c>
      <c r="AH123" s="1483">
        <v>4.63</v>
      </c>
      <c r="AI123" s="1483" t="s">
        <v>321</v>
      </c>
      <c r="AJ123" s="1406"/>
      <c r="AK123" s="1406"/>
      <c r="AL123" s="1406"/>
      <c r="AM123" s="1406"/>
      <c r="AN123" s="1406"/>
      <c r="AO123" s="1406"/>
      <c r="AP123" s="1406"/>
      <c r="AQ123" s="1406"/>
      <c r="AR123" s="1406"/>
      <c r="AS123" s="1406"/>
      <c r="AT123" s="1406"/>
      <c r="AU123" s="1406"/>
      <c r="AV123" s="1406"/>
      <c r="AW123" s="1406"/>
      <c r="AX123" s="1406"/>
      <c r="AY123" s="1406"/>
      <c r="AZ123" s="1406"/>
      <c r="BA123" s="1406"/>
      <c r="BB123" s="1406"/>
      <c r="BC123" s="1406"/>
      <c r="BD123" s="1406"/>
      <c r="BE123" s="1406"/>
      <c r="BF123" s="1406"/>
      <c r="BG123" s="1406"/>
      <c r="BH123" s="1406"/>
      <c r="BI123" s="705"/>
      <c r="BJ123" s="705"/>
    </row>
    <row r="124" spans="11:62" ht="14.25" hidden="1" customHeight="1">
      <c r="K124" s="1663">
        <v>400</v>
      </c>
      <c r="L124" s="1557">
        <f>M124*0.88</f>
        <v>783.92488553603323</v>
      </c>
      <c r="M124" s="1663">
        <f>M123*1.25408796</f>
        <v>890.82373356367418</v>
      </c>
      <c r="N124" s="1518">
        <f>M124*1.26352614</f>
        <v>1125.5790734900977</v>
      </c>
      <c r="O124" s="1518">
        <f>N124*1.07113641</f>
        <v>1205.6487279493094</v>
      </c>
      <c r="P124" s="1518">
        <f>P123*1.24695214</f>
        <v>1509.1101378064968</v>
      </c>
      <c r="Q124" s="1518">
        <f>M124*1.87</f>
        <v>1665.8403817640708</v>
      </c>
      <c r="R124" s="1518">
        <f>M124*1.95542361</f>
        <v>1741.937760958758</v>
      </c>
      <c r="S124" s="1519">
        <f>S123*1.12435712</f>
        <v>0</v>
      </c>
      <c r="T124" s="1482"/>
      <c r="U124" s="1656">
        <v>400</v>
      </c>
      <c r="V124" s="1660"/>
      <c r="W124" s="1661"/>
      <c r="X124" s="1661"/>
      <c r="Y124" s="1661"/>
      <c r="Z124" s="1661"/>
      <c r="AA124" s="1661"/>
      <c r="AB124" s="1661"/>
      <c r="AC124" s="1662"/>
      <c r="AD124" s="1482"/>
      <c r="AE124" s="1482"/>
      <c r="AF124" s="1482"/>
      <c r="AG124" s="1482"/>
      <c r="AH124" s="1482"/>
      <c r="AI124" s="1482"/>
      <c r="AJ124" s="1406"/>
      <c r="AK124" s="1406"/>
      <c r="AL124" s="1406"/>
      <c r="AM124" s="1406"/>
      <c r="AN124" s="1406"/>
      <c r="AO124" s="1406"/>
      <c r="AP124" s="1406"/>
      <c r="AQ124" s="1406"/>
      <c r="AR124" s="1406"/>
      <c r="AS124" s="1406"/>
      <c r="AT124" s="1406"/>
      <c r="AU124" s="1406"/>
      <c r="AV124" s="1406"/>
      <c r="AW124" s="1406"/>
      <c r="AX124" s="1406"/>
      <c r="AY124" s="1406"/>
      <c r="AZ124" s="1406"/>
      <c r="BA124" s="1406"/>
      <c r="BB124" s="1406"/>
      <c r="BC124" s="1406"/>
      <c r="BD124" s="1406"/>
      <c r="BE124" s="1406"/>
      <c r="BF124" s="1406"/>
      <c r="BG124" s="1406"/>
      <c r="BH124" s="1406"/>
      <c r="BI124" s="705"/>
      <c r="BJ124" s="705"/>
    </row>
    <row r="125" spans="11:62" ht="14.25" hidden="1" customHeight="1">
      <c r="K125" s="1663">
        <v>500</v>
      </c>
      <c r="L125" s="1557">
        <f>M125*0.88</f>
        <v>983.11076049511735</v>
      </c>
      <c r="M125" s="1663">
        <f>M124*1.25408796</f>
        <v>1117.1713187444516</v>
      </c>
      <c r="N125" s="1518">
        <f>M125*1.26352614</f>
        <v>1411.5751640918866</v>
      </c>
      <c r="O125" s="1518">
        <f>N125*1.07113641</f>
        <v>1511.9895537105444</v>
      </c>
      <c r="P125" s="1518">
        <f>P124*1.24695214</f>
        <v>1881.7881158335063</v>
      </c>
      <c r="Q125" s="1518">
        <f>M125*1.87</f>
        <v>2089.1103660521244</v>
      </c>
      <c r="R125" s="1518">
        <f>M125*1.95542361</f>
        <v>2184.5431730877362</v>
      </c>
      <c r="S125" s="1519">
        <f>S124*1.12435712</f>
        <v>0</v>
      </c>
      <c r="T125" s="1482"/>
      <c r="U125" s="1656">
        <v>500</v>
      </c>
      <c r="V125" s="1660"/>
      <c r="W125" s="1661"/>
      <c r="X125" s="1661"/>
      <c r="Y125" s="1661"/>
      <c r="Z125" s="1661"/>
      <c r="AA125" s="1661"/>
      <c r="AB125" s="1661"/>
      <c r="AC125" s="1662"/>
      <c r="AD125" s="1482"/>
      <c r="AE125" s="1482"/>
      <c r="AF125" s="1482"/>
      <c r="AG125" s="1482"/>
      <c r="AH125" s="1482"/>
      <c r="AI125" s="1482"/>
      <c r="AJ125" s="1406"/>
      <c r="AK125" s="1406"/>
      <c r="AL125" s="1406"/>
      <c r="AM125" s="1406"/>
      <c r="AN125" s="1406"/>
      <c r="AO125" s="1406"/>
      <c r="AP125" s="1406"/>
      <c r="AQ125" s="1406"/>
      <c r="AR125" s="1406"/>
      <c r="AS125" s="1406"/>
      <c r="AT125" s="1406"/>
      <c r="AU125" s="1406"/>
      <c r="AV125" s="1406"/>
      <c r="AW125" s="1406"/>
      <c r="AX125" s="1406"/>
      <c r="AY125" s="1406"/>
      <c r="AZ125" s="1406"/>
      <c r="BA125" s="1406"/>
      <c r="BB125" s="1406"/>
      <c r="BC125" s="1406"/>
      <c r="BD125" s="1406"/>
      <c r="BE125" s="1406"/>
      <c r="BF125" s="1406"/>
      <c r="BG125" s="1406"/>
      <c r="BH125" s="1406"/>
      <c r="BI125" s="705"/>
      <c r="BJ125" s="705"/>
    </row>
    <row r="126" spans="11:62" ht="14.25" hidden="1" customHeight="1">
      <c r="K126" s="1669">
        <v>600</v>
      </c>
      <c r="L126" s="1560">
        <f>M126*0.88</f>
        <v>1232.9073680833703</v>
      </c>
      <c r="M126" s="1669">
        <f>M125*1.25408796</f>
        <v>1401.031100094739</v>
      </c>
      <c r="N126" s="1988">
        <f>M126*1.26352614</f>
        <v>1770.2394179226592</v>
      </c>
      <c r="O126" s="1988">
        <f>N126*1.07113641</f>
        <v>1896.167894954167</v>
      </c>
      <c r="P126" s="1988">
        <f>P125*1.24695214</f>
        <v>2346.4997180651585</v>
      </c>
      <c r="Q126" s="1988">
        <f>M126*1.87</f>
        <v>2619.9281571771621</v>
      </c>
      <c r="R126" s="1988">
        <f>M126*1.95542361</f>
        <v>2739.6092914695259</v>
      </c>
      <c r="S126" s="1489">
        <f>S125*1.12435712</f>
        <v>0</v>
      </c>
      <c r="T126" s="1482"/>
      <c r="U126" s="1670">
        <v>600</v>
      </c>
      <c r="V126" s="1671"/>
      <c r="W126" s="1672"/>
      <c r="X126" s="1672"/>
      <c r="Y126" s="1672"/>
      <c r="Z126" s="1672"/>
      <c r="AA126" s="1672"/>
      <c r="AB126" s="1672"/>
      <c r="AC126" s="1673"/>
      <c r="AD126" s="1482"/>
      <c r="AE126" s="1482"/>
      <c r="AF126" s="1482"/>
      <c r="AG126" s="1482"/>
      <c r="AH126" s="1482"/>
      <c r="AI126" s="1482"/>
      <c r="AJ126" s="1406"/>
      <c r="AK126" s="1406"/>
      <c r="AL126" s="1406"/>
      <c r="AM126" s="1406"/>
      <c r="AN126" s="1406"/>
      <c r="AO126" s="1406"/>
      <c r="AP126" s="1406"/>
      <c r="AQ126" s="1406"/>
      <c r="AR126" s="1406"/>
      <c r="AS126" s="1406"/>
      <c r="AT126" s="1406"/>
      <c r="AU126" s="1406"/>
      <c r="AV126" s="1406"/>
      <c r="AW126" s="1406"/>
      <c r="AX126" s="1406"/>
      <c r="AY126" s="1406"/>
      <c r="AZ126" s="1406"/>
      <c r="BA126" s="1406"/>
      <c r="BB126" s="1406"/>
      <c r="BC126" s="1406"/>
      <c r="BD126" s="1406"/>
      <c r="BE126" s="1406"/>
      <c r="BF126" s="1406"/>
      <c r="BG126" s="1406"/>
      <c r="BH126" s="1406"/>
      <c r="BI126" s="705"/>
      <c r="BJ126" s="705"/>
    </row>
    <row r="127" spans="11:62" ht="14.25" hidden="1" customHeight="1">
      <c r="K127" s="1481"/>
      <c r="L127" s="1406"/>
      <c r="M127" s="1481"/>
      <c r="N127" s="1481"/>
      <c r="O127" s="1481"/>
      <c r="P127" s="1481"/>
      <c r="Q127" s="1481"/>
      <c r="R127" s="1481"/>
      <c r="S127" s="1481"/>
      <c r="T127" s="1406"/>
      <c r="AA127" s="882"/>
      <c r="AB127" s="882"/>
      <c r="AC127" s="882"/>
      <c r="AD127" s="1406"/>
      <c r="AE127" s="1406"/>
      <c r="AF127" s="1406"/>
      <c r="AG127" s="1406"/>
      <c r="AH127" s="1406"/>
      <c r="AI127" s="1406"/>
      <c r="AJ127" s="1406"/>
      <c r="AK127" s="1406"/>
      <c r="AL127" s="1406"/>
      <c r="AM127" s="1406"/>
      <c r="AN127" s="1406"/>
      <c r="AO127" s="1406"/>
      <c r="AP127" s="1406"/>
      <c r="AQ127" s="1406"/>
      <c r="AR127" s="1406"/>
      <c r="AS127" s="1406"/>
      <c r="AT127" s="1406"/>
      <c r="AU127" s="1406"/>
      <c r="AV127" s="1406"/>
      <c r="AW127" s="1406"/>
      <c r="AX127" s="1406"/>
      <c r="AY127" s="1406"/>
      <c r="AZ127" s="1406"/>
      <c r="BA127" s="1406"/>
      <c r="BB127" s="1406"/>
      <c r="BC127" s="1406"/>
      <c r="BD127" s="1406"/>
      <c r="BE127" s="1406"/>
      <c r="BF127" s="1406"/>
      <c r="BG127" s="1406"/>
      <c r="BH127" s="1406"/>
      <c r="BI127" s="705"/>
      <c r="BJ127" s="705"/>
    </row>
    <row r="128" spans="11:62" ht="14.25" hidden="1" customHeight="1">
      <c r="K128" s="1481"/>
      <c r="L128" s="1406"/>
      <c r="M128" s="1481"/>
      <c r="N128" s="1481"/>
      <c r="O128" s="1481"/>
      <c r="P128" s="1481"/>
      <c r="Q128" s="1481"/>
      <c r="R128" s="1481"/>
      <c r="S128" s="1481"/>
      <c r="T128" s="1406"/>
      <c r="AA128" s="882"/>
      <c r="AB128" s="882"/>
      <c r="AC128" s="882"/>
      <c r="AJ128" s="1406"/>
      <c r="AK128" s="1406"/>
      <c r="AL128" s="1406"/>
      <c r="AM128" s="1406"/>
      <c r="AN128" s="1406"/>
      <c r="AO128" s="1406"/>
      <c r="AP128" s="1406"/>
      <c r="AQ128" s="1406"/>
      <c r="AR128" s="1406"/>
      <c r="AS128" s="1406"/>
      <c r="AT128" s="1406"/>
      <c r="AU128" s="1406"/>
      <c r="AV128" s="1406"/>
      <c r="AW128" s="1406"/>
      <c r="AX128" s="1406"/>
      <c r="AY128" s="1406"/>
      <c r="AZ128" s="1406"/>
      <c r="BA128" s="1406"/>
      <c r="BB128" s="1406"/>
      <c r="BC128" s="1406"/>
      <c r="BD128" s="1406"/>
      <c r="BE128" s="1406"/>
      <c r="BF128" s="1406"/>
      <c r="BG128" s="1406"/>
      <c r="BH128" s="1406"/>
      <c r="BI128" s="705"/>
      <c r="BJ128" s="705"/>
    </row>
    <row r="129" spans="1:111" ht="14.25" hidden="1" customHeight="1">
      <c r="K129" s="1481"/>
      <c r="L129" s="1406"/>
      <c r="M129" s="1481"/>
      <c r="N129" s="1481"/>
      <c r="O129" s="1481"/>
      <c r="P129" s="1481"/>
      <c r="Q129" s="1481"/>
      <c r="R129" s="1481"/>
      <c r="S129" s="1481"/>
      <c r="T129" s="1406"/>
      <c r="AA129" s="882"/>
      <c r="AB129" s="882"/>
      <c r="AC129" s="882"/>
      <c r="AJ129" s="1406"/>
      <c r="AK129" s="1406"/>
      <c r="AL129" s="1406"/>
      <c r="AM129" s="1406"/>
      <c r="AN129" s="1406"/>
      <c r="AO129" s="1406"/>
      <c r="AP129" s="1406"/>
      <c r="AQ129" s="1406"/>
      <c r="AR129" s="1406"/>
      <c r="AS129" s="1406"/>
      <c r="AT129" s="1406"/>
      <c r="AU129" s="1406"/>
      <c r="AV129" s="1406"/>
      <c r="AW129" s="1406"/>
      <c r="AX129" s="1406"/>
      <c r="AY129" s="1406"/>
      <c r="AZ129" s="1406"/>
      <c r="BA129" s="1406"/>
      <c r="BB129" s="1406"/>
      <c r="BC129" s="1406"/>
      <c r="BD129" s="1406"/>
      <c r="BE129" s="1406"/>
      <c r="BF129" s="1406"/>
      <c r="BG129" s="1406"/>
      <c r="BH129" s="1406"/>
      <c r="BI129" s="705"/>
      <c r="BJ129" s="705"/>
    </row>
    <row r="130" spans="1:111" ht="14.25" hidden="1" customHeight="1">
      <c r="K130" s="1481"/>
      <c r="L130" s="1406"/>
      <c r="M130" s="1481"/>
      <c r="N130" s="1481"/>
      <c r="O130" s="1481"/>
      <c r="P130" s="1481"/>
      <c r="Q130" s="1481"/>
      <c r="R130" s="1481"/>
      <c r="S130" s="1481"/>
      <c r="T130" s="1406"/>
      <c r="AA130" s="882"/>
      <c r="AB130" s="882"/>
      <c r="AC130" s="882"/>
      <c r="AJ130" s="1406"/>
      <c r="AK130" s="1406"/>
      <c r="AL130" s="1406"/>
      <c r="AM130" s="1406"/>
      <c r="AN130" s="1406"/>
      <c r="AO130" s="1406"/>
      <c r="AP130" s="1406"/>
      <c r="AQ130" s="1406"/>
      <c r="AR130" s="1406"/>
      <c r="AS130" s="1406"/>
      <c r="AT130" s="1406"/>
      <c r="AU130" s="1406"/>
      <c r="AV130" s="1406"/>
      <c r="AW130" s="1406"/>
      <c r="AX130" s="1406"/>
      <c r="AY130" s="1406"/>
      <c r="AZ130" s="1406"/>
      <c r="BA130" s="1406"/>
      <c r="BB130" s="1406"/>
      <c r="BC130" s="1406"/>
      <c r="BD130" s="1406"/>
      <c r="BE130" s="1406"/>
      <c r="BF130" s="1406"/>
      <c r="BG130" s="1406"/>
      <c r="BH130" s="1406"/>
      <c r="BI130" s="705"/>
      <c r="BJ130" s="705"/>
    </row>
    <row r="131" spans="1:111" ht="14.25" hidden="1" customHeight="1">
      <c r="K131" s="1481"/>
      <c r="L131" s="1406"/>
      <c r="M131" s="1481"/>
      <c r="N131" s="1481"/>
      <c r="O131" s="1481"/>
      <c r="P131" s="1481"/>
      <c r="Q131" s="1481"/>
      <c r="R131" s="1481"/>
      <c r="S131" s="1481"/>
      <c r="T131" s="1406"/>
      <c r="AA131" s="882"/>
      <c r="AB131" s="882"/>
      <c r="AC131" s="882"/>
      <c r="AJ131" s="1406"/>
      <c r="AK131" s="1406"/>
      <c r="AL131" s="1406"/>
      <c r="AM131" s="1406"/>
      <c r="AN131" s="1406"/>
      <c r="AO131" s="1406"/>
      <c r="AP131" s="1406"/>
      <c r="AQ131" s="1406"/>
      <c r="AR131" s="1406"/>
      <c r="AS131" s="1406"/>
      <c r="AT131" s="1406"/>
      <c r="AU131" s="1406"/>
      <c r="AV131" s="1406"/>
      <c r="AW131" s="1406"/>
      <c r="AX131" s="1406"/>
      <c r="AY131" s="1406"/>
      <c r="AZ131" s="1406"/>
      <c r="BA131" s="1406"/>
      <c r="BB131" s="1406"/>
      <c r="BC131" s="1406"/>
      <c r="BD131" s="1406"/>
      <c r="BE131" s="1406"/>
      <c r="BF131" s="1406"/>
      <c r="BG131" s="1406"/>
      <c r="BH131" s="1406"/>
      <c r="BI131" s="705"/>
      <c r="BJ131" s="705"/>
    </row>
    <row r="132" spans="1:111" ht="14.25" hidden="1" customHeight="1">
      <c r="K132" s="1481"/>
      <c r="L132" s="1406"/>
      <c r="M132" s="1481"/>
      <c r="N132" s="1481"/>
      <c r="O132" s="1481"/>
      <c r="P132" s="1481"/>
      <c r="Q132" s="1481"/>
      <c r="R132" s="1481"/>
      <c r="S132" s="1481"/>
      <c r="T132" s="1406"/>
      <c r="AA132" s="882"/>
      <c r="AB132" s="882"/>
      <c r="AC132" s="882"/>
      <c r="AD132" s="1406"/>
      <c r="AE132" s="1406"/>
      <c r="AF132" s="1406"/>
      <c r="AG132" s="1406"/>
      <c r="AH132" s="1406"/>
      <c r="AI132" s="1406"/>
      <c r="AJ132" s="1406"/>
      <c r="AK132" s="1406"/>
      <c r="AL132" s="1406"/>
      <c r="AM132" s="1406"/>
      <c r="AN132" s="1406"/>
      <c r="AO132" s="1406"/>
      <c r="AP132" s="1406"/>
      <c r="AQ132" s="1406"/>
      <c r="AR132" s="1406"/>
      <c r="AS132" s="1406"/>
      <c r="AT132" s="1406"/>
      <c r="AU132" s="1406"/>
      <c r="AV132" s="1406"/>
      <c r="AW132" s="1406"/>
      <c r="AX132" s="1406"/>
      <c r="AY132" s="1406"/>
      <c r="AZ132" s="1406"/>
      <c r="BA132" s="1406"/>
      <c r="BB132" s="1406"/>
      <c r="BC132" s="1406"/>
      <c r="BD132" s="1406"/>
      <c r="BE132" s="1406"/>
      <c r="BF132" s="1406"/>
      <c r="BG132" s="1406"/>
      <c r="BH132" s="1406"/>
      <c r="BI132" s="705"/>
      <c r="BJ132" s="705"/>
    </row>
    <row r="133" spans="1:111" ht="14.25" hidden="1" customHeight="1">
      <c r="B133" s="2513" t="s">
        <v>223</v>
      </c>
      <c r="K133" s="705"/>
      <c r="L133" s="705"/>
      <c r="M133" s="1674"/>
      <c r="N133" s="1674"/>
      <c r="O133" s="1674"/>
      <c r="P133" s="1674"/>
      <c r="Q133" s="1674"/>
      <c r="R133" s="1674"/>
      <c r="S133" s="1674"/>
      <c r="T133" s="1406"/>
      <c r="AA133" s="637"/>
      <c r="AB133" s="637"/>
      <c r="AC133" s="637"/>
      <c r="AD133" s="1406"/>
      <c r="AE133" s="1406"/>
      <c r="AF133" s="1406"/>
      <c r="AG133" s="1406"/>
      <c r="AH133" s="1406"/>
      <c r="AI133" s="1406"/>
      <c r="AJ133" s="1406"/>
      <c r="AK133" s="1406"/>
      <c r="AL133" s="1406"/>
      <c r="AM133" s="1406"/>
      <c r="AN133" s="1406"/>
      <c r="AO133" s="1406"/>
      <c r="AP133" s="1406"/>
      <c r="AQ133" s="1406"/>
      <c r="AR133" s="1406"/>
      <c r="AS133" s="1406"/>
      <c r="AT133" s="1406"/>
      <c r="AU133" s="1406"/>
      <c r="AV133" s="1406"/>
      <c r="AW133" s="1406"/>
      <c r="AX133" s="1406"/>
      <c r="AY133" s="1406"/>
      <c r="AZ133" s="1406"/>
      <c r="BA133" s="1406"/>
      <c r="BB133" s="1406"/>
      <c r="BC133" s="1406"/>
      <c r="BD133" s="1406"/>
      <c r="BE133" s="1406"/>
      <c r="BF133" s="1406"/>
      <c r="BG133" s="1406"/>
      <c r="BH133" s="1406"/>
      <c r="BI133" s="705"/>
      <c r="BJ133" s="705"/>
    </row>
    <row r="134" spans="1:111" ht="20.25" customHeight="1" thickBot="1">
      <c r="B134" s="2513"/>
      <c r="I134" s="882"/>
      <c r="J134" s="1481"/>
      <c r="K134" s="2514" t="s">
        <v>5758</v>
      </c>
      <c r="L134" s="2515"/>
      <c r="M134" s="2515"/>
      <c r="N134" s="2515"/>
      <c r="O134" s="2515"/>
      <c r="P134" s="2515"/>
      <c r="Q134" s="2515"/>
      <c r="R134" s="2515"/>
      <c r="S134" s="2515"/>
      <c r="T134" s="2515"/>
      <c r="U134" s="2515"/>
      <c r="V134" s="2515"/>
      <c r="W134" s="2515"/>
      <c r="X134" s="2515"/>
      <c r="Y134" s="2515"/>
      <c r="Z134" s="2515"/>
      <c r="AA134" s="2515"/>
      <c r="AB134" s="2515"/>
      <c r="AC134" s="2515"/>
      <c r="AD134" s="2515"/>
      <c r="AE134" s="2515"/>
      <c r="AF134" s="2515"/>
      <c r="AG134" s="2515"/>
      <c r="AH134" s="2515"/>
      <c r="AI134" s="2515"/>
      <c r="AJ134" s="2515"/>
      <c r="AK134" s="2515"/>
      <c r="AL134" s="2515"/>
      <c r="AM134" s="2515"/>
      <c r="AN134" s="2515"/>
      <c r="AO134" s="2515"/>
      <c r="AP134" s="2515"/>
      <c r="AQ134" s="2515"/>
      <c r="AR134" s="2515"/>
      <c r="AS134" s="2515"/>
      <c r="AT134" s="2515"/>
      <c r="AU134" s="2515"/>
      <c r="AV134" s="2515"/>
      <c r="AW134" s="2515"/>
      <c r="AX134" s="2515"/>
      <c r="AY134" s="2515"/>
      <c r="AZ134" s="2515"/>
      <c r="BA134" s="2515"/>
      <c r="BB134" s="2515"/>
      <c r="BC134" s="2515"/>
      <c r="BD134" s="2515"/>
      <c r="BE134" s="2515"/>
      <c r="BF134" s="2515"/>
      <c r="BG134" s="2515"/>
      <c r="BH134" s="2515"/>
      <c r="BI134" s="2516"/>
    </row>
    <row r="135" spans="1:111" ht="31.5" hidden="1" customHeight="1">
      <c r="B135" s="2358"/>
      <c r="C135" s="2358"/>
      <c r="D135" s="1984"/>
      <c r="E135" s="698"/>
      <c r="F135" s="703"/>
      <c r="G135" s="703"/>
      <c r="H135" s="699"/>
      <c r="I135" s="1984"/>
      <c r="J135" s="1984"/>
      <c r="K135" s="1675">
        <f t="shared" ref="K135:AP135" si="6">IF(AND($C$14&gt;=K139,$C$14&lt;=K140),((($AI$49-$AH$49)/(K140-K139))*$C$14+($AH$49-(($AI$49-$AH$49)/(K140-K139))*K139)),2)</f>
        <v>3.6385714285714283</v>
      </c>
      <c r="L135" s="1675">
        <f t="shared" si="6"/>
        <v>3.6385714285714283</v>
      </c>
      <c r="M135" s="1675">
        <f t="shared" si="6"/>
        <v>3.6385714285714283</v>
      </c>
      <c r="N135" s="1675">
        <f t="shared" si="6"/>
        <v>3.6385714285714283</v>
      </c>
      <c r="O135" s="1675">
        <f t="shared" si="6"/>
        <v>3.6385714285714283</v>
      </c>
      <c r="P135" s="1675">
        <f t="shared" si="6"/>
        <v>3.6385714285714283</v>
      </c>
      <c r="Q135" s="1675">
        <f t="shared" si="6"/>
        <v>3.6385714285714283</v>
      </c>
      <c r="R135" s="1675">
        <f t="shared" si="6"/>
        <v>3.5599999999999996</v>
      </c>
      <c r="S135" s="1675">
        <f t="shared" si="6"/>
        <v>3.5599999999999996</v>
      </c>
      <c r="T135" s="1675">
        <f t="shared" si="6"/>
        <v>3.5599999999999996</v>
      </c>
      <c r="U135" s="1675">
        <f t="shared" si="6"/>
        <v>3.5314285714285711</v>
      </c>
      <c r="V135" s="1675">
        <f t="shared" si="6"/>
        <v>3.5314285714285711</v>
      </c>
      <c r="W135" s="1675">
        <f t="shared" si="6"/>
        <v>3.5314285714285711</v>
      </c>
      <c r="X135" s="1675">
        <f t="shared" si="6"/>
        <v>2</v>
      </c>
      <c r="Y135" s="1675">
        <f t="shared" si="6"/>
        <v>2</v>
      </c>
      <c r="Z135" s="1675">
        <f t="shared" si="6"/>
        <v>2</v>
      </c>
      <c r="AA135" s="1675">
        <f t="shared" si="6"/>
        <v>2</v>
      </c>
      <c r="AB135" s="1675">
        <f t="shared" si="6"/>
        <v>2</v>
      </c>
      <c r="AC135" s="1675">
        <f t="shared" si="6"/>
        <v>2</v>
      </c>
      <c r="AD135" s="1675">
        <f t="shared" si="6"/>
        <v>2</v>
      </c>
      <c r="AE135" s="1675">
        <f t="shared" si="6"/>
        <v>2</v>
      </c>
      <c r="AF135" s="1675">
        <f t="shared" si="6"/>
        <v>2</v>
      </c>
      <c r="AG135" s="1675">
        <f t="shared" si="6"/>
        <v>2</v>
      </c>
      <c r="AH135" s="1675">
        <f t="shared" si="6"/>
        <v>2</v>
      </c>
      <c r="AI135" s="1675">
        <f t="shared" si="6"/>
        <v>2</v>
      </c>
      <c r="AJ135" s="1675">
        <f t="shared" si="6"/>
        <v>2</v>
      </c>
      <c r="AK135" s="1675">
        <f t="shared" si="6"/>
        <v>2</v>
      </c>
      <c r="AL135" s="1675">
        <f t="shared" si="6"/>
        <v>2</v>
      </c>
      <c r="AM135" s="1675">
        <f t="shared" si="6"/>
        <v>2</v>
      </c>
      <c r="AN135" s="1675">
        <f t="shared" si="6"/>
        <v>2</v>
      </c>
      <c r="AO135" s="1675">
        <f t="shared" si="6"/>
        <v>2</v>
      </c>
      <c r="AP135" s="1675">
        <f t="shared" si="6"/>
        <v>2</v>
      </c>
      <c r="AQ135" s="1675">
        <f t="shared" ref="AQ135:BV135" si="7">IF(AND($C$14&gt;=AQ139,$C$14&lt;=AQ140),((($AI$49-$AH$49)/(AQ140-AQ139))*$C$14+($AH$49-(($AI$49-$AH$49)/(AQ140-AQ139))*AQ139)),2)</f>
        <v>2</v>
      </c>
      <c r="AR135" s="1675">
        <f t="shared" si="7"/>
        <v>2</v>
      </c>
      <c r="AS135" s="1675">
        <f t="shared" si="7"/>
        <v>2</v>
      </c>
      <c r="AT135" s="1675">
        <f t="shared" si="7"/>
        <v>2</v>
      </c>
      <c r="AU135" s="1675">
        <f t="shared" si="7"/>
        <v>2</v>
      </c>
      <c r="AV135" s="1675">
        <f t="shared" si="7"/>
        <v>2</v>
      </c>
      <c r="AW135" s="1675">
        <f t="shared" si="7"/>
        <v>2</v>
      </c>
      <c r="AX135" s="1675">
        <f t="shared" si="7"/>
        <v>2</v>
      </c>
      <c r="AY135" s="1675">
        <f t="shared" si="7"/>
        <v>2</v>
      </c>
      <c r="AZ135" s="1675">
        <f t="shared" si="7"/>
        <v>2</v>
      </c>
      <c r="BA135" s="1675">
        <f t="shared" si="7"/>
        <v>2</v>
      </c>
      <c r="BB135" s="1675">
        <f t="shared" si="7"/>
        <v>2</v>
      </c>
      <c r="BC135" s="1675">
        <f t="shared" si="7"/>
        <v>2</v>
      </c>
      <c r="BD135" s="1675">
        <f t="shared" si="7"/>
        <v>2</v>
      </c>
      <c r="BE135" s="1675">
        <f t="shared" si="7"/>
        <v>2</v>
      </c>
      <c r="BF135" s="1675">
        <f t="shared" si="7"/>
        <v>2</v>
      </c>
      <c r="BG135" s="1675">
        <f t="shared" si="7"/>
        <v>2</v>
      </c>
      <c r="BH135" s="1675">
        <f t="shared" si="7"/>
        <v>2</v>
      </c>
      <c r="BI135" s="1675">
        <f t="shared" si="7"/>
        <v>2</v>
      </c>
      <c r="BJ135" s="1675">
        <f t="shared" si="7"/>
        <v>2</v>
      </c>
      <c r="BK135" s="1675">
        <f t="shared" si="7"/>
        <v>2</v>
      </c>
      <c r="BL135" s="1675">
        <f t="shared" si="7"/>
        <v>2</v>
      </c>
      <c r="BM135" s="1675">
        <f t="shared" si="7"/>
        <v>2</v>
      </c>
      <c r="BN135" s="1675">
        <f t="shared" si="7"/>
        <v>2</v>
      </c>
      <c r="BO135" s="1675">
        <f t="shared" si="7"/>
        <v>2</v>
      </c>
      <c r="BP135" s="1675">
        <f t="shared" si="7"/>
        <v>2</v>
      </c>
      <c r="BQ135" s="1675">
        <f t="shared" si="7"/>
        <v>2</v>
      </c>
      <c r="BR135" s="1675">
        <f t="shared" si="7"/>
        <v>2</v>
      </c>
      <c r="BS135" s="1675">
        <f t="shared" si="7"/>
        <v>2</v>
      </c>
      <c r="BT135" s="1675">
        <f t="shared" si="7"/>
        <v>2</v>
      </c>
      <c r="BU135" s="1675">
        <f t="shared" si="7"/>
        <v>2</v>
      </c>
      <c r="BV135" s="1675">
        <f t="shared" si="7"/>
        <v>2</v>
      </c>
      <c r="BW135" s="1675">
        <f t="shared" ref="BW135:DG135" si="8">IF(AND($C$14&gt;=BW139,$C$14&lt;=BW140),((($AI$49-$AH$49)/(BW140-BW139))*$C$14+($AH$49-(($AI$49-$AH$49)/(BW140-BW139))*BW139)),2)</f>
        <v>2</v>
      </c>
      <c r="BX135" s="1675">
        <f t="shared" si="8"/>
        <v>2</v>
      </c>
      <c r="BY135" s="1675">
        <f t="shared" si="8"/>
        <v>2</v>
      </c>
      <c r="BZ135" s="1675">
        <f t="shared" si="8"/>
        <v>2</v>
      </c>
      <c r="CA135" s="1675">
        <f t="shared" si="8"/>
        <v>2</v>
      </c>
      <c r="CB135" s="1675">
        <f t="shared" si="8"/>
        <v>2</v>
      </c>
      <c r="CC135" s="1675">
        <f t="shared" si="8"/>
        <v>2</v>
      </c>
      <c r="CD135" s="1675">
        <f t="shared" si="8"/>
        <v>2</v>
      </c>
      <c r="CE135" s="1675">
        <f t="shared" si="8"/>
        <v>2</v>
      </c>
      <c r="CF135" s="1675">
        <f t="shared" si="8"/>
        <v>2</v>
      </c>
      <c r="CG135" s="1675">
        <f t="shared" si="8"/>
        <v>2</v>
      </c>
      <c r="CH135" s="1675">
        <f t="shared" si="8"/>
        <v>2</v>
      </c>
      <c r="CI135" s="1675">
        <f t="shared" si="8"/>
        <v>2</v>
      </c>
      <c r="CJ135" s="1675">
        <f t="shared" si="8"/>
        <v>2</v>
      </c>
      <c r="CK135" s="1675">
        <f t="shared" si="8"/>
        <v>2</v>
      </c>
      <c r="CL135" s="1675">
        <f t="shared" si="8"/>
        <v>2</v>
      </c>
      <c r="CM135" s="1675">
        <f t="shared" si="8"/>
        <v>2</v>
      </c>
      <c r="CN135" s="1675">
        <f t="shared" si="8"/>
        <v>2</v>
      </c>
      <c r="CO135" s="1675">
        <f t="shared" si="8"/>
        <v>2</v>
      </c>
      <c r="CP135" s="1675">
        <f t="shared" si="8"/>
        <v>2</v>
      </c>
      <c r="CQ135" s="1675">
        <f t="shared" si="8"/>
        <v>2</v>
      </c>
      <c r="CR135" s="1675">
        <f t="shared" si="8"/>
        <v>2</v>
      </c>
      <c r="CS135" s="1675">
        <f t="shared" si="8"/>
        <v>2</v>
      </c>
      <c r="CT135" s="1675">
        <f t="shared" si="8"/>
        <v>2</v>
      </c>
      <c r="CU135" s="1675">
        <f t="shared" si="8"/>
        <v>2</v>
      </c>
      <c r="CV135" s="1675">
        <f t="shared" si="8"/>
        <v>2</v>
      </c>
      <c r="CW135" s="1675">
        <f t="shared" si="8"/>
        <v>2</v>
      </c>
      <c r="CX135" s="1675">
        <f t="shared" si="8"/>
        <v>2</v>
      </c>
      <c r="CY135" s="1675">
        <f t="shared" si="8"/>
        <v>2</v>
      </c>
      <c r="CZ135" s="1675">
        <f t="shared" si="8"/>
        <v>2</v>
      </c>
      <c r="DA135" s="1675">
        <f t="shared" si="8"/>
        <v>2</v>
      </c>
      <c r="DB135" s="1675">
        <f t="shared" si="8"/>
        <v>2</v>
      </c>
      <c r="DC135" s="1675">
        <f t="shared" si="8"/>
        <v>2</v>
      </c>
      <c r="DD135" s="1675">
        <f t="shared" si="8"/>
        <v>2</v>
      </c>
      <c r="DE135" s="1675">
        <f t="shared" si="8"/>
        <v>2</v>
      </c>
      <c r="DF135" s="1675">
        <f t="shared" si="8"/>
        <v>2</v>
      </c>
      <c r="DG135" s="1675">
        <f t="shared" si="8"/>
        <v>2</v>
      </c>
    </row>
    <row r="136" spans="1:111" ht="20.25" customHeight="1" thickBot="1">
      <c r="A136" s="1984"/>
      <c r="B136" s="2354" t="s">
        <v>375</v>
      </c>
      <c r="C136" s="2355"/>
      <c r="D136" s="2519" t="s">
        <v>5759</v>
      </c>
      <c r="E136" s="2140" t="s">
        <v>224</v>
      </c>
      <c r="F136" s="2142" t="s">
        <v>0</v>
      </c>
      <c r="G136" s="2142" t="s">
        <v>1</v>
      </c>
      <c r="H136" s="2144" t="s">
        <v>185</v>
      </c>
      <c r="K136" s="2483">
        <v>1</v>
      </c>
      <c r="L136" s="2482"/>
      <c r="M136" s="2482"/>
      <c r="N136" s="2482"/>
      <c r="O136" s="2482"/>
      <c r="P136" s="2482"/>
      <c r="Q136" s="2482"/>
      <c r="R136" s="2482"/>
      <c r="S136" s="2482"/>
      <c r="T136" s="2482"/>
      <c r="U136" s="2482"/>
      <c r="V136" s="2484"/>
      <c r="W136" s="2483">
        <v>2</v>
      </c>
      <c r="X136" s="2482"/>
      <c r="Y136" s="2482"/>
      <c r="Z136" s="2482"/>
      <c r="AA136" s="2482"/>
      <c r="AB136" s="2482"/>
      <c r="AC136" s="2482"/>
      <c r="AD136" s="2482"/>
      <c r="AE136" s="2482"/>
      <c r="AF136" s="2484"/>
      <c r="AG136" s="2482">
        <v>3</v>
      </c>
      <c r="AH136" s="2482"/>
      <c r="AI136" s="2482"/>
      <c r="AJ136" s="2482"/>
      <c r="AK136" s="2482"/>
      <c r="AL136" s="2482"/>
      <c r="AM136" s="2482"/>
      <c r="AN136" s="2482"/>
      <c r="AO136" s="2482"/>
      <c r="AP136" s="2482"/>
      <c r="AQ136" s="2483">
        <v>4</v>
      </c>
      <c r="AR136" s="2482"/>
      <c r="AS136" s="2482"/>
      <c r="AT136" s="2482"/>
      <c r="AU136" s="2482"/>
      <c r="AV136" s="2482"/>
      <c r="AW136" s="2482"/>
      <c r="AX136" s="2482"/>
      <c r="AY136" s="2482"/>
      <c r="AZ136" s="2484"/>
      <c r="BA136" s="2483">
        <v>5</v>
      </c>
      <c r="BB136" s="2482"/>
      <c r="BC136" s="2482"/>
      <c r="BD136" s="2482"/>
      <c r="BE136" s="2482"/>
      <c r="BF136" s="2482"/>
      <c r="BG136" s="2484"/>
    </row>
    <row r="137" spans="1:111" ht="20.25" customHeight="1" thickBot="1">
      <c r="A137" s="1984"/>
      <c r="B137" s="2517"/>
      <c r="C137" s="2518"/>
      <c r="D137" s="2520"/>
      <c r="E137" s="2522"/>
      <c r="F137" s="2523"/>
      <c r="G137" s="2523"/>
      <c r="H137" s="2524"/>
      <c r="I137" s="2503" t="s">
        <v>18</v>
      </c>
      <c r="J137" s="2504"/>
      <c r="K137" s="2504"/>
      <c r="L137" s="2504"/>
      <c r="M137" s="2504"/>
      <c r="N137" s="2504"/>
      <c r="O137" s="2504"/>
      <c r="P137" s="2504"/>
      <c r="Q137" s="2504"/>
      <c r="R137" s="2504"/>
      <c r="S137" s="2504"/>
      <c r="T137" s="2504"/>
      <c r="U137" s="2504"/>
      <c r="V137" s="2504"/>
      <c r="W137" s="2504"/>
      <c r="X137" s="2504"/>
      <c r="Y137" s="2504"/>
      <c r="Z137" s="2504"/>
      <c r="AA137" s="2504"/>
      <c r="AB137" s="2504"/>
      <c r="AC137" s="2504"/>
      <c r="AD137" s="2504"/>
      <c r="AE137" s="2504"/>
      <c r="AF137" s="2504"/>
      <c r="AG137" s="2504"/>
      <c r="AH137" s="2504"/>
      <c r="AI137" s="2504"/>
      <c r="AJ137" s="2504"/>
      <c r="AK137" s="2504"/>
      <c r="AL137" s="2504"/>
      <c r="AM137" s="2504"/>
      <c r="AN137" s="2504"/>
      <c r="AO137" s="2504"/>
      <c r="AP137" s="2504"/>
      <c r="AQ137" s="2504"/>
      <c r="AR137" s="2504"/>
      <c r="AS137" s="2504"/>
      <c r="AT137" s="2504"/>
      <c r="AU137" s="2504"/>
      <c r="AV137" s="2504"/>
      <c r="AW137" s="2504"/>
      <c r="AX137" s="2504"/>
      <c r="AY137" s="2504"/>
      <c r="AZ137" s="2504"/>
      <c r="BA137" s="2504"/>
      <c r="BB137" s="2504"/>
      <c r="BC137" s="2504"/>
      <c r="BD137" s="2504"/>
      <c r="BE137" s="2504"/>
      <c r="BF137" s="2504"/>
      <c r="BG137" s="2505"/>
    </row>
    <row r="138" spans="1:111" ht="24" customHeight="1" thickBot="1">
      <c r="A138" s="1984"/>
      <c r="B138" s="2356"/>
      <c r="C138" s="2357"/>
      <c r="D138" s="2521"/>
      <c r="E138" s="2141"/>
      <c r="F138" s="2143"/>
      <c r="G138" s="2143"/>
      <c r="H138" s="2145"/>
      <c r="I138" s="795">
        <v>500</v>
      </c>
      <c r="J138" s="1676">
        <v>550</v>
      </c>
      <c r="K138" s="1677">
        <v>600</v>
      </c>
      <c r="L138" s="795">
        <v>650</v>
      </c>
      <c r="M138" s="795">
        <v>700</v>
      </c>
      <c r="N138" s="795">
        <v>750</v>
      </c>
      <c r="O138" s="795">
        <v>800</v>
      </c>
      <c r="P138" s="795">
        <v>850</v>
      </c>
      <c r="Q138" s="795">
        <v>900</v>
      </c>
      <c r="R138" s="795">
        <v>950</v>
      </c>
      <c r="S138" s="795">
        <v>1000</v>
      </c>
      <c r="T138" s="795">
        <v>1050</v>
      </c>
      <c r="U138" s="795">
        <v>1100</v>
      </c>
      <c r="V138" s="1678">
        <v>1150</v>
      </c>
      <c r="W138" s="1677">
        <v>1200</v>
      </c>
      <c r="X138" s="795">
        <v>1250</v>
      </c>
      <c r="Y138" s="795">
        <v>1300</v>
      </c>
      <c r="Z138" s="795">
        <v>1350</v>
      </c>
      <c r="AA138" s="795">
        <v>1400</v>
      </c>
      <c r="AB138" s="795">
        <v>1450</v>
      </c>
      <c r="AC138" s="795">
        <v>1500</v>
      </c>
      <c r="AD138" s="795">
        <v>1550</v>
      </c>
      <c r="AE138" s="795">
        <v>1600</v>
      </c>
      <c r="AF138" s="1678">
        <v>1650</v>
      </c>
      <c r="AG138" s="1679">
        <v>1700</v>
      </c>
      <c r="AH138" s="795">
        <v>1750</v>
      </c>
      <c r="AI138" s="795">
        <v>1800</v>
      </c>
      <c r="AJ138" s="795">
        <v>1850</v>
      </c>
      <c r="AK138" s="795">
        <v>1900</v>
      </c>
      <c r="AL138" s="795">
        <v>1950</v>
      </c>
      <c r="AM138" s="795">
        <v>2000</v>
      </c>
      <c r="AN138" s="795">
        <v>2050</v>
      </c>
      <c r="AO138" s="795">
        <v>2100</v>
      </c>
      <c r="AP138" s="1676">
        <v>2150</v>
      </c>
      <c r="AQ138" s="1677">
        <v>2200</v>
      </c>
      <c r="AR138" s="795">
        <v>2250</v>
      </c>
      <c r="AS138" s="795">
        <v>2300</v>
      </c>
      <c r="AT138" s="795">
        <v>2350</v>
      </c>
      <c r="AU138" s="795">
        <v>2400</v>
      </c>
      <c r="AV138" s="795">
        <v>2450</v>
      </c>
      <c r="AW138" s="795">
        <v>2500</v>
      </c>
      <c r="AX138" s="795">
        <v>2550</v>
      </c>
      <c r="AY138" s="795">
        <v>2600</v>
      </c>
      <c r="AZ138" s="1678">
        <v>2650</v>
      </c>
      <c r="BA138" s="1677">
        <v>2700</v>
      </c>
      <c r="BB138" s="795">
        <v>2750</v>
      </c>
      <c r="BC138" s="795">
        <v>2800</v>
      </c>
      <c r="BD138" s="795">
        <v>2850</v>
      </c>
      <c r="BE138" s="795">
        <v>2900</v>
      </c>
      <c r="BF138" s="796">
        <v>2950</v>
      </c>
      <c r="BG138" s="1680">
        <v>3000</v>
      </c>
      <c r="BH138" s="1984"/>
      <c r="BI138" s="1984"/>
      <c r="BK138" s="1980">
        <v>500</v>
      </c>
      <c r="BL138" s="693">
        <v>550</v>
      </c>
      <c r="BM138" s="694">
        <v>600</v>
      </c>
      <c r="BN138" s="695">
        <v>650</v>
      </c>
      <c r="BO138" s="695">
        <v>700</v>
      </c>
      <c r="BP138" s="695">
        <v>750</v>
      </c>
      <c r="BQ138" s="695">
        <v>800</v>
      </c>
      <c r="BR138" s="695">
        <v>850</v>
      </c>
      <c r="BS138" s="695">
        <v>900</v>
      </c>
      <c r="BT138" s="695">
        <v>950</v>
      </c>
      <c r="BU138" s="695">
        <v>1000</v>
      </c>
      <c r="BV138" s="695">
        <v>1050</v>
      </c>
      <c r="BW138" s="695">
        <v>1100</v>
      </c>
      <c r="BX138" s="695">
        <v>1150</v>
      </c>
      <c r="BY138" s="695">
        <v>1200</v>
      </c>
      <c r="BZ138" s="695">
        <v>1250</v>
      </c>
      <c r="CA138" s="695">
        <v>1300</v>
      </c>
      <c r="CB138" s="695">
        <v>1350</v>
      </c>
      <c r="CC138" s="695">
        <v>1400</v>
      </c>
      <c r="CD138" s="695">
        <v>1450</v>
      </c>
      <c r="CE138" s="695">
        <v>1500</v>
      </c>
      <c r="CF138" s="695">
        <v>1550</v>
      </c>
      <c r="CG138" s="695">
        <v>1600</v>
      </c>
      <c r="CH138" s="695">
        <v>1650</v>
      </c>
      <c r="CI138" s="695">
        <v>1700</v>
      </c>
      <c r="CJ138" s="695">
        <v>1750</v>
      </c>
      <c r="CK138" s="695">
        <v>1800</v>
      </c>
      <c r="CL138" s="695">
        <v>1850</v>
      </c>
      <c r="CM138" s="695">
        <v>1900</v>
      </c>
      <c r="CN138" s="695">
        <v>1950</v>
      </c>
      <c r="CO138" s="695">
        <v>2000</v>
      </c>
      <c r="CP138" s="695">
        <v>2050</v>
      </c>
      <c r="CQ138" s="695">
        <v>2100</v>
      </c>
      <c r="CR138" s="695">
        <v>2150</v>
      </c>
      <c r="CS138" s="695">
        <v>2200</v>
      </c>
      <c r="CT138" s="695">
        <v>2250</v>
      </c>
      <c r="CU138" s="695">
        <v>2300</v>
      </c>
      <c r="CV138" s="695">
        <v>2350</v>
      </c>
      <c r="CW138" s="695">
        <v>2400</v>
      </c>
      <c r="CX138" s="695">
        <v>2450</v>
      </c>
      <c r="CY138" s="695">
        <v>2500</v>
      </c>
      <c r="CZ138" s="695">
        <v>2550</v>
      </c>
      <c r="DA138" s="695">
        <v>2600</v>
      </c>
      <c r="DB138" s="695">
        <v>2650</v>
      </c>
      <c r="DC138" s="695">
        <v>2700</v>
      </c>
      <c r="DD138" s="695">
        <v>2750</v>
      </c>
      <c r="DE138" s="695">
        <v>2800</v>
      </c>
      <c r="DF138" s="695">
        <v>2850</v>
      </c>
      <c r="DG138" s="695">
        <v>2900</v>
      </c>
    </row>
    <row r="139" spans="1:111" ht="15.75" hidden="1" customHeight="1">
      <c r="A139" s="1984"/>
      <c r="B139" s="1991"/>
      <c r="C139" s="1992"/>
      <c r="D139" s="1681"/>
      <c r="E139" s="1682"/>
      <c r="F139" s="1683"/>
      <c r="G139" s="1683"/>
      <c r="H139" s="1684"/>
      <c r="I139" s="1685"/>
      <c r="J139" s="1685"/>
      <c r="K139" s="1686">
        <v>8</v>
      </c>
      <c r="L139" s="1685">
        <v>8</v>
      </c>
      <c r="M139" s="1685">
        <v>8</v>
      </c>
      <c r="N139" s="1685">
        <v>8</v>
      </c>
      <c r="O139" s="1685">
        <v>8</v>
      </c>
      <c r="P139" s="1685">
        <v>8</v>
      </c>
      <c r="Q139" s="1685">
        <v>8</v>
      </c>
      <c r="R139" s="1685">
        <v>12.5</v>
      </c>
      <c r="S139" s="1685">
        <v>12.5</v>
      </c>
      <c r="T139" s="1685">
        <v>12.5</v>
      </c>
      <c r="U139" s="1685">
        <v>16</v>
      </c>
      <c r="V139" s="1687">
        <v>16</v>
      </c>
      <c r="W139" s="1686">
        <v>16</v>
      </c>
      <c r="X139" s="1685">
        <v>20.5</v>
      </c>
      <c r="Y139" s="1685">
        <v>20.5</v>
      </c>
      <c r="Z139" s="1685">
        <v>30</v>
      </c>
      <c r="AA139" s="1685">
        <v>30</v>
      </c>
      <c r="AB139" s="1685">
        <v>30</v>
      </c>
      <c r="AC139" s="1685">
        <v>30</v>
      </c>
      <c r="AD139" s="1685">
        <v>30</v>
      </c>
      <c r="AE139" s="1685">
        <v>30</v>
      </c>
      <c r="AF139" s="1687">
        <v>38</v>
      </c>
      <c r="AG139" s="1685">
        <v>38</v>
      </c>
      <c r="AH139" s="1685">
        <v>45</v>
      </c>
      <c r="AI139" s="1685">
        <v>45</v>
      </c>
      <c r="AJ139" s="1685">
        <v>45</v>
      </c>
      <c r="AK139" s="1685">
        <v>45</v>
      </c>
      <c r="AL139" s="1685">
        <v>45</v>
      </c>
      <c r="AM139" s="1685">
        <v>53</v>
      </c>
      <c r="AN139" s="1685">
        <v>53</v>
      </c>
      <c r="AO139" s="1685">
        <v>53</v>
      </c>
      <c r="AP139" s="1685">
        <v>53</v>
      </c>
      <c r="AQ139" s="1686">
        <v>60</v>
      </c>
      <c r="AR139" s="1685">
        <v>60</v>
      </c>
      <c r="AS139" s="1685">
        <v>60</v>
      </c>
      <c r="AT139" s="1685">
        <v>60</v>
      </c>
      <c r="AU139" s="1685">
        <v>60</v>
      </c>
      <c r="AV139" s="1685">
        <v>60</v>
      </c>
      <c r="AW139" s="1685">
        <v>60</v>
      </c>
      <c r="AX139" s="1685">
        <v>75</v>
      </c>
      <c r="AY139" s="1685">
        <v>75</v>
      </c>
      <c r="AZ139" s="1687">
        <v>75</v>
      </c>
      <c r="BA139" s="1686">
        <v>75</v>
      </c>
      <c r="BB139" s="1685">
        <v>75</v>
      </c>
      <c r="BC139" s="1685">
        <v>75</v>
      </c>
      <c r="BD139" s="1685">
        <v>75</v>
      </c>
      <c r="BE139" s="1685">
        <v>75</v>
      </c>
      <c r="BF139" s="1688">
        <v>90</v>
      </c>
      <c r="BG139" s="1689">
        <v>90</v>
      </c>
      <c r="BH139" s="1984">
        <v>90</v>
      </c>
      <c r="BI139" s="1984">
        <v>90</v>
      </c>
      <c r="BJ139" s="632">
        <v>90</v>
      </c>
      <c r="BK139" s="1409">
        <v>90</v>
      </c>
      <c r="BL139" s="1409">
        <v>90</v>
      </c>
      <c r="BM139" s="1690">
        <v>90</v>
      </c>
      <c r="BN139" s="1690"/>
      <c r="BO139" s="1690"/>
      <c r="BP139" s="1690"/>
      <c r="BQ139" s="1690"/>
      <c r="BR139" s="1690"/>
      <c r="BS139" s="1690"/>
      <c r="BT139" s="1690"/>
      <c r="BU139" s="1690"/>
      <c r="BV139" s="1690"/>
      <c r="BW139" s="1690"/>
      <c r="BX139" s="1690"/>
      <c r="BY139" s="1690"/>
      <c r="BZ139" s="1690"/>
      <c r="CA139" s="1690"/>
      <c r="CB139" s="1690"/>
      <c r="CC139" s="1690"/>
      <c r="CD139" s="1690"/>
      <c r="CE139" s="1690"/>
      <c r="CF139" s="1690"/>
      <c r="CG139" s="1690"/>
      <c r="CH139" s="1690"/>
      <c r="CI139" s="1690"/>
      <c r="CJ139" s="1690"/>
      <c r="CK139" s="1690"/>
      <c r="CL139" s="1690"/>
      <c r="CM139" s="1690"/>
      <c r="CN139" s="1690"/>
      <c r="CO139" s="1690"/>
      <c r="CP139" s="1690"/>
      <c r="CQ139" s="1690"/>
      <c r="CR139" s="1690"/>
      <c r="CS139" s="1690"/>
      <c r="CT139" s="1690"/>
      <c r="CU139" s="1690"/>
      <c r="CV139" s="1690"/>
      <c r="CW139" s="1690"/>
      <c r="CX139" s="1690"/>
      <c r="CY139" s="1690"/>
      <c r="CZ139" s="1690"/>
      <c r="DA139" s="1690"/>
      <c r="DB139" s="1690"/>
      <c r="DC139" s="1690"/>
      <c r="DD139" s="1690"/>
      <c r="DE139" s="1690"/>
      <c r="DF139" s="1690"/>
      <c r="DG139" s="1690"/>
    </row>
    <row r="140" spans="1:111" ht="15.75" hidden="1" customHeight="1">
      <c r="A140" s="1984"/>
      <c r="B140" s="1991"/>
      <c r="C140" s="1992"/>
      <c r="D140" s="1681"/>
      <c r="E140" s="1682"/>
      <c r="F140" s="1683"/>
      <c r="G140" s="1683"/>
      <c r="H140" s="1684"/>
      <c r="I140" s="1685"/>
      <c r="J140" s="1685"/>
      <c r="K140" s="1686">
        <v>50</v>
      </c>
      <c r="L140" s="1685">
        <v>50</v>
      </c>
      <c r="M140" s="1685">
        <v>50</v>
      </c>
      <c r="N140" s="1685">
        <v>50</v>
      </c>
      <c r="O140" s="1685">
        <v>50</v>
      </c>
      <c r="P140" s="1685">
        <v>50</v>
      </c>
      <c r="Q140" s="1685">
        <v>50</v>
      </c>
      <c r="R140" s="1685">
        <v>80</v>
      </c>
      <c r="S140" s="1685">
        <v>80</v>
      </c>
      <c r="T140" s="1685">
        <v>80</v>
      </c>
      <c r="U140" s="1685">
        <v>100</v>
      </c>
      <c r="V140" s="1687">
        <v>100</v>
      </c>
      <c r="W140" s="1686">
        <v>100</v>
      </c>
      <c r="X140" s="1685">
        <v>130</v>
      </c>
      <c r="Y140" s="1685">
        <v>130</v>
      </c>
      <c r="Z140" s="1685">
        <v>160</v>
      </c>
      <c r="AA140" s="1685">
        <v>160</v>
      </c>
      <c r="AB140" s="1685">
        <v>160</v>
      </c>
      <c r="AC140" s="1685">
        <v>160</v>
      </c>
      <c r="AD140" s="1685">
        <v>160</v>
      </c>
      <c r="AE140" s="1685">
        <v>160</v>
      </c>
      <c r="AF140" s="1687">
        <v>210</v>
      </c>
      <c r="AG140" s="1685">
        <v>210</v>
      </c>
      <c r="AH140" s="1685">
        <v>235</v>
      </c>
      <c r="AI140" s="1685">
        <v>235</v>
      </c>
      <c r="AJ140" s="1685">
        <v>235</v>
      </c>
      <c r="AK140" s="1685">
        <v>235</v>
      </c>
      <c r="AL140" s="1685">
        <v>235</v>
      </c>
      <c r="AM140" s="1685">
        <v>285</v>
      </c>
      <c r="AN140" s="1685">
        <v>285</v>
      </c>
      <c r="AO140" s="1685">
        <v>285</v>
      </c>
      <c r="AP140" s="1685">
        <v>285</v>
      </c>
      <c r="AQ140" s="1686">
        <v>320</v>
      </c>
      <c r="AR140" s="1685">
        <v>320</v>
      </c>
      <c r="AS140" s="1685">
        <v>320</v>
      </c>
      <c r="AT140" s="1685">
        <v>320</v>
      </c>
      <c r="AU140" s="1685">
        <v>320</v>
      </c>
      <c r="AV140" s="1685">
        <v>320</v>
      </c>
      <c r="AW140" s="1685">
        <v>320</v>
      </c>
      <c r="AX140" s="1685">
        <v>395</v>
      </c>
      <c r="AY140" s="1685">
        <v>395</v>
      </c>
      <c r="AZ140" s="1687">
        <v>395</v>
      </c>
      <c r="BA140" s="1686">
        <v>395</v>
      </c>
      <c r="BB140" s="1685">
        <v>395</v>
      </c>
      <c r="BC140" s="1685">
        <v>395</v>
      </c>
      <c r="BD140" s="1685">
        <v>395</v>
      </c>
      <c r="BE140" s="1685">
        <v>395</v>
      </c>
      <c r="BF140" s="1688">
        <v>470</v>
      </c>
      <c r="BG140" s="1689">
        <v>470</v>
      </c>
      <c r="BH140" s="1984">
        <v>470</v>
      </c>
      <c r="BI140" s="1984">
        <v>470</v>
      </c>
      <c r="BJ140" s="632">
        <v>470</v>
      </c>
      <c r="BK140" s="1409">
        <v>470</v>
      </c>
      <c r="BL140" s="1409">
        <v>470</v>
      </c>
      <c r="BM140" s="1690">
        <v>470</v>
      </c>
      <c r="BN140" s="1690"/>
      <c r="BO140" s="1690"/>
      <c r="BP140" s="1690"/>
      <c r="BQ140" s="1690"/>
      <c r="BR140" s="1690"/>
      <c r="BS140" s="1690"/>
      <c r="BT140" s="1690"/>
      <c r="BU140" s="1690"/>
      <c r="BV140" s="1690"/>
      <c r="BW140" s="1690"/>
      <c r="BX140" s="1690"/>
      <c r="BY140" s="1690"/>
      <c r="BZ140" s="1690"/>
      <c r="CA140" s="1690"/>
      <c r="CB140" s="1690"/>
      <c r="CC140" s="1690"/>
      <c r="CD140" s="1690"/>
      <c r="CE140" s="1690"/>
      <c r="CF140" s="1690"/>
      <c r="CG140" s="1690"/>
      <c r="CH140" s="1690"/>
      <c r="CI140" s="1690"/>
      <c r="CJ140" s="1690"/>
      <c r="CK140" s="1690"/>
      <c r="CL140" s="1690"/>
      <c r="CM140" s="1690"/>
      <c r="CN140" s="1690"/>
      <c r="CO140" s="1690"/>
      <c r="CP140" s="1690"/>
      <c r="CQ140" s="1690"/>
      <c r="CR140" s="1690"/>
      <c r="CS140" s="1690"/>
      <c r="CT140" s="1690"/>
      <c r="CU140" s="1690"/>
      <c r="CV140" s="1690"/>
      <c r="CW140" s="1690"/>
      <c r="CX140" s="1690"/>
      <c r="CY140" s="1690"/>
      <c r="CZ140" s="1690"/>
      <c r="DA140" s="1690"/>
      <c r="DB140" s="1690"/>
      <c r="DC140" s="1690"/>
      <c r="DD140" s="1690"/>
      <c r="DE140" s="1690"/>
      <c r="DF140" s="1690"/>
      <c r="DG140" s="1690"/>
    </row>
    <row r="141" spans="1:111" ht="15.75" hidden="1" customHeight="1">
      <c r="A141" s="2309" t="s">
        <v>226</v>
      </c>
      <c r="B141" s="2507" t="s">
        <v>5760</v>
      </c>
      <c r="C141" s="2508"/>
      <c r="D141" s="2509"/>
      <c r="E141" s="1691" t="s">
        <v>226</v>
      </c>
      <c r="F141" s="1692">
        <v>65</v>
      </c>
      <c r="G141" s="1692">
        <v>260</v>
      </c>
      <c r="H141" s="1692">
        <v>2</v>
      </c>
      <c r="I141" s="1693"/>
      <c r="J141" s="1694"/>
      <c r="K141" s="1695">
        <f t="shared" ref="K141:AP141" si="9">((K$138-$I$4)/1000)*IF($C$13=0,$N$28,$N$45)*(($C$8/70)^$Y$45)*IF($C$13=1,$AH$45,IF($C$13=2,$AI$45,IF($C$13=3,$AJ$45,1)))</f>
        <v>504.47580299999998</v>
      </c>
      <c r="L141" s="1696">
        <f t="shared" si="9"/>
        <v>605.37096359999998</v>
      </c>
      <c r="M141" s="1696">
        <f t="shared" si="9"/>
        <v>706.26612420000004</v>
      </c>
      <c r="N141" s="1696">
        <f t="shared" si="9"/>
        <v>807.16128479999998</v>
      </c>
      <c r="O141" s="1696">
        <f t="shared" si="9"/>
        <v>908.05644540000003</v>
      </c>
      <c r="P141" s="1696">
        <f t="shared" si="9"/>
        <v>1008.951606</v>
      </c>
      <c r="Q141" s="1696">
        <f t="shared" si="9"/>
        <v>1109.8467666000001</v>
      </c>
      <c r="R141" s="1696">
        <f t="shared" si="9"/>
        <v>1210.7419272</v>
      </c>
      <c r="S141" s="1696">
        <f t="shared" si="9"/>
        <v>1311.6370878</v>
      </c>
      <c r="T141" s="1696">
        <f t="shared" si="9"/>
        <v>1412.5322484000001</v>
      </c>
      <c r="U141" s="1696">
        <f t="shared" si="9"/>
        <v>1513.4274090000001</v>
      </c>
      <c r="V141" s="1697">
        <f t="shared" si="9"/>
        <v>1614.3225696</v>
      </c>
      <c r="W141" s="1695">
        <f t="shared" si="9"/>
        <v>1715.2177301999998</v>
      </c>
      <c r="X141" s="1696">
        <f t="shared" si="9"/>
        <v>1816.1128908000001</v>
      </c>
      <c r="Y141" s="1696">
        <f t="shared" si="9"/>
        <v>1917.0080513999999</v>
      </c>
      <c r="Z141" s="1696">
        <f t="shared" si="9"/>
        <v>2017.9032119999999</v>
      </c>
      <c r="AA141" s="1696">
        <f t="shared" si="9"/>
        <v>2118.7983726000002</v>
      </c>
      <c r="AB141" s="1696">
        <f t="shared" si="9"/>
        <v>2219.6935332000003</v>
      </c>
      <c r="AC141" s="1696">
        <f t="shared" si="9"/>
        <v>2320.5886937999999</v>
      </c>
      <c r="AD141" s="1696">
        <f t="shared" si="9"/>
        <v>2421.4838543999999</v>
      </c>
      <c r="AE141" s="1696">
        <f t="shared" si="9"/>
        <v>2522.379015</v>
      </c>
      <c r="AF141" s="1697">
        <f t="shared" si="9"/>
        <v>2623.2741756</v>
      </c>
      <c r="AG141" s="1698">
        <f t="shared" si="9"/>
        <v>2724.1693362000001</v>
      </c>
      <c r="AH141" s="1696">
        <f t="shared" si="9"/>
        <v>2825.0644968000001</v>
      </c>
      <c r="AI141" s="1696">
        <f t="shared" si="9"/>
        <v>2925.9596573999997</v>
      </c>
      <c r="AJ141" s="1696">
        <f t="shared" si="9"/>
        <v>3026.8548180000003</v>
      </c>
      <c r="AK141" s="1696">
        <f t="shared" si="9"/>
        <v>3127.7499786000003</v>
      </c>
      <c r="AL141" s="1696">
        <f t="shared" si="9"/>
        <v>3228.6451391999999</v>
      </c>
      <c r="AM141" s="1696">
        <f t="shared" si="9"/>
        <v>3329.5402998</v>
      </c>
      <c r="AN141" s="1696">
        <f t="shared" si="9"/>
        <v>3430.4354603999996</v>
      </c>
      <c r="AO141" s="1696">
        <f t="shared" si="9"/>
        <v>3531.3306210000001</v>
      </c>
      <c r="AP141" s="1699">
        <f t="shared" si="9"/>
        <v>3632.2257816000001</v>
      </c>
      <c r="AQ141" s="1695">
        <f t="shared" ref="AQ141:BG141" si="10">((AQ$138-$I$4)/1000)*IF($C$13=0,$N$28,$N$45)*(($C$8/70)^$Y$45)*IF($C$13=1,$AH$45,IF($C$13=2,$AI$45,IF($C$13=3,$AJ$45,1)))</f>
        <v>3733.1209421999997</v>
      </c>
      <c r="AR141" s="1696">
        <f t="shared" si="10"/>
        <v>3834.0161027999998</v>
      </c>
      <c r="AS141" s="1696">
        <f t="shared" si="10"/>
        <v>3934.9112634000003</v>
      </c>
      <c r="AT141" s="1696">
        <f t="shared" si="10"/>
        <v>4035.8064239999999</v>
      </c>
      <c r="AU141" s="1696">
        <f t="shared" si="10"/>
        <v>4136.7015845999995</v>
      </c>
      <c r="AV141" s="1696">
        <f t="shared" si="10"/>
        <v>4237.5967452000004</v>
      </c>
      <c r="AW141" s="1696">
        <f t="shared" si="10"/>
        <v>4338.4919058000005</v>
      </c>
      <c r="AX141" s="1696">
        <f t="shared" si="10"/>
        <v>4439.3870664000005</v>
      </c>
      <c r="AY141" s="1696">
        <f t="shared" si="10"/>
        <v>4540.2822269999997</v>
      </c>
      <c r="AZ141" s="1697">
        <f t="shared" si="10"/>
        <v>4641.1773875999997</v>
      </c>
      <c r="BA141" s="1695">
        <f t="shared" si="10"/>
        <v>4742.0725482000007</v>
      </c>
      <c r="BB141" s="1696">
        <f t="shared" si="10"/>
        <v>4842.9677087999999</v>
      </c>
      <c r="BC141" s="1696">
        <f t="shared" si="10"/>
        <v>4943.8628694000008</v>
      </c>
      <c r="BD141" s="1696">
        <f t="shared" si="10"/>
        <v>5044.75803</v>
      </c>
      <c r="BE141" s="1696">
        <f t="shared" si="10"/>
        <v>5145.6531905999991</v>
      </c>
      <c r="BF141" s="1696">
        <f t="shared" si="10"/>
        <v>5246.5483512000001</v>
      </c>
      <c r="BG141" s="1697">
        <f t="shared" si="10"/>
        <v>5347.4435118000001</v>
      </c>
      <c r="BH141" s="1984"/>
      <c r="BI141" s="1984"/>
      <c r="BK141" s="632">
        <f t="shared" ref="BK141:BZ152" si="11">K145/K141</f>
        <v>1.2291397849462367</v>
      </c>
      <c r="BL141" s="632">
        <f t="shared" si="11"/>
        <v>1.2291397849462367</v>
      </c>
      <c r="BM141" s="632">
        <f t="shared" si="11"/>
        <v>1.2291397849462364</v>
      </c>
      <c r="BN141" s="632">
        <f t="shared" si="11"/>
        <v>1.2291397849462367</v>
      </c>
      <c r="BO141" s="632">
        <f t="shared" si="11"/>
        <v>1.2291397849462367</v>
      </c>
      <c r="BP141" s="632">
        <f t="shared" si="11"/>
        <v>1.2291397849462367</v>
      </c>
      <c r="BQ141" s="632">
        <f t="shared" si="11"/>
        <v>1.2291397849462367</v>
      </c>
      <c r="BR141" s="632">
        <f t="shared" si="11"/>
        <v>1.2291397849462367</v>
      </c>
      <c r="BS141" s="632">
        <f t="shared" si="11"/>
        <v>1.2291397849462367</v>
      </c>
      <c r="BT141" s="632">
        <f t="shared" si="11"/>
        <v>1.2291397849462364</v>
      </c>
      <c r="BU141" s="632">
        <f t="shared" si="11"/>
        <v>1.2291397849462367</v>
      </c>
      <c r="BV141" s="632">
        <f t="shared" si="11"/>
        <v>1.2291397849462367</v>
      </c>
      <c r="BW141" s="632">
        <f t="shared" si="11"/>
        <v>1.2291397849462367</v>
      </c>
      <c r="BX141" s="632">
        <f t="shared" si="11"/>
        <v>1.2291397849462367</v>
      </c>
      <c r="BY141" s="632">
        <f t="shared" si="11"/>
        <v>1.2291397849462364</v>
      </c>
      <c r="BZ141" s="632">
        <f t="shared" si="11"/>
        <v>1.2291397849462367</v>
      </c>
      <c r="CA141" s="632">
        <f t="shared" ref="CA141:CP152" si="12">AA145/AA141</f>
        <v>1.2291397849462367</v>
      </c>
      <c r="CB141" s="632">
        <f t="shared" si="12"/>
        <v>1.2291397849462367</v>
      </c>
      <c r="CC141" s="632">
        <f t="shared" si="12"/>
        <v>1.2291397849462364</v>
      </c>
      <c r="CD141" s="632">
        <f t="shared" si="12"/>
        <v>1.2291397849462367</v>
      </c>
      <c r="CE141" s="632">
        <f t="shared" si="12"/>
        <v>1.2291397849462367</v>
      </c>
      <c r="CF141" s="632">
        <f t="shared" si="12"/>
        <v>1.2291397849462367</v>
      </c>
      <c r="CG141" s="632">
        <f t="shared" si="12"/>
        <v>1.2291397849462367</v>
      </c>
      <c r="CH141" s="632">
        <f t="shared" si="12"/>
        <v>1.2291397849462364</v>
      </c>
      <c r="CI141" s="632">
        <f t="shared" si="12"/>
        <v>1.2291397849462367</v>
      </c>
      <c r="CJ141" s="632">
        <f t="shared" si="12"/>
        <v>1.2291397849462367</v>
      </c>
      <c r="CK141" s="632">
        <f t="shared" si="12"/>
        <v>1.2291397849462367</v>
      </c>
      <c r="CL141" s="632">
        <f t="shared" si="12"/>
        <v>1.2291397849462367</v>
      </c>
      <c r="CM141" s="632">
        <f t="shared" si="12"/>
        <v>1.2291397849462364</v>
      </c>
      <c r="CN141" s="632">
        <f t="shared" si="12"/>
        <v>1.2291397849462367</v>
      </c>
      <c r="CO141" s="632">
        <f t="shared" si="12"/>
        <v>1.2291397849462367</v>
      </c>
      <c r="CP141" s="632">
        <f t="shared" si="12"/>
        <v>1.2291397849462367</v>
      </c>
      <c r="CQ141" s="632">
        <f t="shared" ref="CQ141:DF152" si="13">AQ145/AQ141</f>
        <v>1.2291397849462367</v>
      </c>
      <c r="CR141" s="632">
        <f t="shared" si="13"/>
        <v>1.2291397849462364</v>
      </c>
      <c r="CS141" s="632">
        <f t="shared" si="13"/>
        <v>1.2291397849462364</v>
      </c>
      <c r="CT141" s="632">
        <f t="shared" si="13"/>
        <v>1.2291397849462367</v>
      </c>
      <c r="CU141" s="632">
        <f t="shared" si="13"/>
        <v>1.2291397849462367</v>
      </c>
      <c r="CV141" s="632">
        <f t="shared" si="13"/>
        <v>1.2291397849462367</v>
      </c>
      <c r="CW141" s="632">
        <f t="shared" si="13"/>
        <v>1.2291397849462364</v>
      </c>
      <c r="CX141" s="632">
        <f t="shared" si="13"/>
        <v>1.2291397849462367</v>
      </c>
      <c r="CY141" s="632">
        <f t="shared" si="13"/>
        <v>1.2291397849462367</v>
      </c>
      <c r="CZ141" s="632">
        <f t="shared" si="13"/>
        <v>1.2291397849462364</v>
      </c>
      <c r="DA141" s="632">
        <f t="shared" si="13"/>
        <v>1.2291397849462367</v>
      </c>
      <c r="DB141" s="632">
        <f t="shared" si="13"/>
        <v>1.2291397849462367</v>
      </c>
      <c r="DC141" s="632">
        <f t="shared" si="13"/>
        <v>1.2291397849462364</v>
      </c>
      <c r="DD141" s="632">
        <f t="shared" si="13"/>
        <v>1.2291397849462367</v>
      </c>
      <c r="DE141" s="632">
        <f t="shared" si="13"/>
        <v>1.2291397849462367</v>
      </c>
      <c r="DF141" s="632">
        <f t="shared" si="13"/>
        <v>1.2291397849462367</v>
      </c>
      <c r="DG141" s="632">
        <f t="shared" ref="DG141:DG152" si="14">BG145/BG141</f>
        <v>1.2291397849462367</v>
      </c>
    </row>
    <row r="142" spans="1:111" ht="15.75" hidden="1" customHeight="1">
      <c r="A142" s="2309"/>
      <c r="B142" s="2511" t="s">
        <v>546</v>
      </c>
      <c r="C142" s="2512"/>
      <c r="D142" s="2510"/>
      <c r="E142" s="1691" t="s">
        <v>226</v>
      </c>
      <c r="F142" s="1700">
        <v>65</v>
      </c>
      <c r="G142" s="1700">
        <v>300</v>
      </c>
      <c r="H142" s="1700">
        <v>2</v>
      </c>
      <c r="I142" s="1701"/>
      <c r="J142" s="1702"/>
      <c r="K142" s="1703">
        <f t="shared" ref="K142:AP142" si="15">((K$138-$I$4)/1000)*IF($C$13=0,$O$28,$O$45)*(($C$8/70)^$Z$45)*IF($C$13=1,$AH$45,IF($C$13=2,$AI$45,IF($C$13=3,$AJ$45,1)))</f>
        <v>558.72051299999998</v>
      </c>
      <c r="L142" s="1704">
        <f t="shared" si="15"/>
        <v>670.4646156</v>
      </c>
      <c r="M142" s="1704">
        <f t="shared" si="15"/>
        <v>782.20871819999991</v>
      </c>
      <c r="N142" s="1704">
        <f t="shared" si="15"/>
        <v>893.95282080000004</v>
      </c>
      <c r="O142" s="1704">
        <f t="shared" si="15"/>
        <v>1005.6969234000002</v>
      </c>
      <c r="P142" s="1704">
        <f t="shared" si="15"/>
        <v>1117.441026</v>
      </c>
      <c r="Q142" s="1704">
        <f t="shared" si="15"/>
        <v>1229.1851286000001</v>
      </c>
      <c r="R142" s="1704">
        <f t="shared" si="15"/>
        <v>1340.9292312</v>
      </c>
      <c r="S142" s="1704">
        <f t="shared" si="15"/>
        <v>1452.6733338000001</v>
      </c>
      <c r="T142" s="1704">
        <f t="shared" si="15"/>
        <v>1564.4174363999998</v>
      </c>
      <c r="U142" s="1704">
        <f t="shared" si="15"/>
        <v>1676.1615390000002</v>
      </c>
      <c r="V142" s="1705">
        <f t="shared" si="15"/>
        <v>1787.9056416000001</v>
      </c>
      <c r="W142" s="1703">
        <f t="shared" si="15"/>
        <v>1899.6497442</v>
      </c>
      <c r="X142" s="1704">
        <f t="shared" si="15"/>
        <v>2011.3938468000003</v>
      </c>
      <c r="Y142" s="1704">
        <f t="shared" si="15"/>
        <v>2123.1379493999998</v>
      </c>
      <c r="Z142" s="1704">
        <f t="shared" si="15"/>
        <v>2234.8820519999999</v>
      </c>
      <c r="AA142" s="1704">
        <f t="shared" si="15"/>
        <v>2346.6261546000005</v>
      </c>
      <c r="AB142" s="1704">
        <f t="shared" si="15"/>
        <v>2458.3702572000002</v>
      </c>
      <c r="AC142" s="1704">
        <f t="shared" si="15"/>
        <v>2570.1143597999999</v>
      </c>
      <c r="AD142" s="1704">
        <f t="shared" si="15"/>
        <v>2681.8584624</v>
      </c>
      <c r="AE142" s="1704">
        <f t="shared" si="15"/>
        <v>2793.6025650000001</v>
      </c>
      <c r="AF142" s="1705">
        <f t="shared" si="15"/>
        <v>2905.3466676000003</v>
      </c>
      <c r="AG142" s="1706">
        <f t="shared" si="15"/>
        <v>3017.0907702000004</v>
      </c>
      <c r="AH142" s="1704">
        <f t="shared" si="15"/>
        <v>3128.8348727999996</v>
      </c>
      <c r="AI142" s="1704">
        <f t="shared" si="15"/>
        <v>3240.5789754000002</v>
      </c>
      <c r="AJ142" s="1704">
        <f t="shared" si="15"/>
        <v>3352.3230780000004</v>
      </c>
      <c r="AK142" s="1704">
        <f t="shared" si="15"/>
        <v>3464.0671806000005</v>
      </c>
      <c r="AL142" s="1704">
        <f t="shared" si="15"/>
        <v>3575.8112832000002</v>
      </c>
      <c r="AM142" s="1704">
        <f t="shared" si="15"/>
        <v>3687.5553857999998</v>
      </c>
      <c r="AN142" s="1704">
        <f t="shared" si="15"/>
        <v>3799.2994884</v>
      </c>
      <c r="AO142" s="1704">
        <f t="shared" si="15"/>
        <v>3911.0435910000001</v>
      </c>
      <c r="AP142" s="1707">
        <f t="shared" si="15"/>
        <v>4022.7876936000007</v>
      </c>
      <c r="AQ142" s="1703">
        <f t="shared" ref="AQ142:BG142" si="16">((AQ$138-$I$4)/1000)*IF($C$13=0,$O$28,$O$45)*(($C$8/70)^$Z$45)*IF($C$13=1,$AH$45,IF($C$13=2,$AI$45,IF($C$13=3,$AJ$45,1)))</f>
        <v>4134.5317961999999</v>
      </c>
      <c r="AR142" s="1704">
        <f t="shared" si="16"/>
        <v>4246.2758987999996</v>
      </c>
      <c r="AS142" s="1704">
        <f t="shared" si="16"/>
        <v>4358.0200014000002</v>
      </c>
      <c r="AT142" s="1704">
        <f t="shared" si="16"/>
        <v>4469.7641039999999</v>
      </c>
      <c r="AU142" s="1704">
        <f t="shared" si="16"/>
        <v>4581.5082065999995</v>
      </c>
      <c r="AV142" s="1704">
        <f t="shared" si="16"/>
        <v>4693.252309200001</v>
      </c>
      <c r="AW142" s="1704">
        <f t="shared" si="16"/>
        <v>4804.9964118000007</v>
      </c>
      <c r="AX142" s="1704">
        <f t="shared" si="16"/>
        <v>4916.7405144000004</v>
      </c>
      <c r="AY142" s="1704">
        <f t="shared" si="16"/>
        <v>5028.4846170000001</v>
      </c>
      <c r="AZ142" s="1705">
        <f t="shared" si="16"/>
        <v>5140.2287195999997</v>
      </c>
      <c r="BA142" s="1703">
        <f t="shared" si="16"/>
        <v>5251.9728222000003</v>
      </c>
      <c r="BB142" s="1704">
        <f t="shared" si="16"/>
        <v>5363.7169248</v>
      </c>
      <c r="BC142" s="1704">
        <f t="shared" si="16"/>
        <v>5475.4610274000006</v>
      </c>
      <c r="BD142" s="1704">
        <f t="shared" si="16"/>
        <v>5587.2051300000003</v>
      </c>
      <c r="BE142" s="1704">
        <f t="shared" si="16"/>
        <v>5698.9492326</v>
      </c>
      <c r="BF142" s="1704">
        <f t="shared" si="16"/>
        <v>5810.6933352000005</v>
      </c>
      <c r="BG142" s="1705">
        <f t="shared" si="16"/>
        <v>5922.4374378000002</v>
      </c>
      <c r="BH142" s="1984"/>
      <c r="BI142" s="1984"/>
      <c r="BK142" s="632">
        <f t="shared" si="11"/>
        <v>1.226990291262136</v>
      </c>
      <c r="BL142" s="632">
        <f t="shared" si="11"/>
        <v>1.226990291262136</v>
      </c>
      <c r="BM142" s="632">
        <f t="shared" si="11"/>
        <v>1.226990291262136</v>
      </c>
      <c r="BN142" s="632">
        <f t="shared" si="11"/>
        <v>1.2269902912621362</v>
      </c>
      <c r="BO142" s="632">
        <f t="shared" si="11"/>
        <v>1.2269902912621358</v>
      </c>
      <c r="BP142" s="632">
        <f t="shared" si="11"/>
        <v>1.226990291262136</v>
      </c>
      <c r="BQ142" s="632">
        <f t="shared" si="11"/>
        <v>1.226990291262136</v>
      </c>
      <c r="BR142" s="632">
        <f t="shared" si="11"/>
        <v>1.226990291262136</v>
      </c>
      <c r="BS142" s="632">
        <f t="shared" si="11"/>
        <v>1.226990291262136</v>
      </c>
      <c r="BT142" s="632">
        <f t="shared" si="11"/>
        <v>1.226990291262136</v>
      </c>
      <c r="BU142" s="632">
        <f t="shared" si="11"/>
        <v>1.2269902912621358</v>
      </c>
      <c r="BV142" s="632">
        <f t="shared" si="11"/>
        <v>1.2269902912621362</v>
      </c>
      <c r="BW142" s="632">
        <f t="shared" si="11"/>
        <v>1.226990291262136</v>
      </c>
      <c r="BX142" s="632">
        <f t="shared" si="11"/>
        <v>1.2269902912621358</v>
      </c>
      <c r="BY142" s="632">
        <f t="shared" si="11"/>
        <v>1.2269902912621362</v>
      </c>
      <c r="BZ142" s="632">
        <f t="shared" si="11"/>
        <v>1.226990291262136</v>
      </c>
      <c r="CA142" s="632">
        <f t="shared" si="12"/>
        <v>1.2269902912621358</v>
      </c>
      <c r="CB142" s="632">
        <f t="shared" si="12"/>
        <v>1.226990291262136</v>
      </c>
      <c r="CC142" s="632">
        <f t="shared" si="12"/>
        <v>1.226990291262136</v>
      </c>
      <c r="CD142" s="632">
        <f t="shared" si="12"/>
        <v>1.226990291262136</v>
      </c>
      <c r="CE142" s="632">
        <f t="shared" si="12"/>
        <v>1.226990291262136</v>
      </c>
      <c r="CF142" s="632">
        <f t="shared" si="12"/>
        <v>1.226990291262136</v>
      </c>
      <c r="CG142" s="632">
        <f t="shared" si="12"/>
        <v>1.226990291262136</v>
      </c>
      <c r="CH142" s="632">
        <f t="shared" si="12"/>
        <v>1.226990291262136</v>
      </c>
      <c r="CI142" s="632">
        <f t="shared" si="12"/>
        <v>1.2269902912621358</v>
      </c>
      <c r="CJ142" s="632">
        <f t="shared" si="12"/>
        <v>1.2269902912621358</v>
      </c>
      <c r="CK142" s="632">
        <f t="shared" si="12"/>
        <v>1.226990291262136</v>
      </c>
      <c r="CL142" s="632">
        <f t="shared" si="12"/>
        <v>1.2269902912621362</v>
      </c>
      <c r="CM142" s="632">
        <f t="shared" si="12"/>
        <v>1.226990291262136</v>
      </c>
      <c r="CN142" s="632">
        <f t="shared" si="12"/>
        <v>1.226990291262136</v>
      </c>
      <c r="CO142" s="632">
        <f t="shared" si="12"/>
        <v>1.226990291262136</v>
      </c>
      <c r="CP142" s="632">
        <f t="shared" si="12"/>
        <v>1.2269902912621358</v>
      </c>
      <c r="CQ142" s="632">
        <f t="shared" si="13"/>
        <v>1.226990291262136</v>
      </c>
      <c r="CR142" s="632">
        <f t="shared" si="13"/>
        <v>1.2269902912621362</v>
      </c>
      <c r="CS142" s="632">
        <f t="shared" si="13"/>
        <v>1.226990291262136</v>
      </c>
      <c r="CT142" s="632">
        <f t="shared" si="13"/>
        <v>1.226990291262136</v>
      </c>
      <c r="CU142" s="632">
        <f t="shared" si="13"/>
        <v>1.226990291262136</v>
      </c>
      <c r="CV142" s="632">
        <f t="shared" si="13"/>
        <v>1.2269902912621358</v>
      </c>
      <c r="CW142" s="632">
        <f t="shared" si="13"/>
        <v>1.2269902912621358</v>
      </c>
      <c r="CX142" s="632">
        <f t="shared" si="13"/>
        <v>1.226990291262136</v>
      </c>
      <c r="CY142" s="632">
        <f t="shared" si="13"/>
        <v>1.226990291262136</v>
      </c>
      <c r="CZ142" s="632">
        <f t="shared" si="13"/>
        <v>1.226990291262136</v>
      </c>
      <c r="DA142" s="632">
        <f t="shared" si="13"/>
        <v>1.226990291262136</v>
      </c>
      <c r="DB142" s="632">
        <f t="shared" si="13"/>
        <v>1.226990291262136</v>
      </c>
      <c r="DC142" s="632">
        <f t="shared" si="13"/>
        <v>1.226990291262136</v>
      </c>
      <c r="DD142" s="632">
        <f t="shared" si="13"/>
        <v>1.226990291262136</v>
      </c>
      <c r="DE142" s="632">
        <f t="shared" si="13"/>
        <v>1.226990291262136</v>
      </c>
      <c r="DF142" s="632">
        <f t="shared" si="13"/>
        <v>1.226990291262136</v>
      </c>
      <c r="DG142" s="632">
        <f t="shared" si="14"/>
        <v>1.226990291262136</v>
      </c>
    </row>
    <row r="143" spans="1:111" ht="15.75" hidden="1" customHeight="1">
      <c r="A143" s="2309"/>
      <c r="B143" s="2511" t="s">
        <v>322</v>
      </c>
      <c r="C143" s="2512"/>
      <c r="D143" s="1708"/>
      <c r="E143" s="1709"/>
      <c r="F143" s="1700"/>
      <c r="G143" s="1700"/>
      <c r="H143" s="1700"/>
      <c r="I143" s="1701"/>
      <c r="J143" s="1702"/>
      <c r="K143" s="1703">
        <f t="shared" ref="K143:AP143" si="17">((K$138-$I$4)/1000)*IF($C$13=0,$R$28,$R$45)*(($C$8/70)^$AC$45)*IF($C$13=1,$AH$45,IF($C$13=2,$AI$45,IF($C$13=3,$AJ$45,1)))</f>
        <v>779.31566700000008</v>
      </c>
      <c r="L143" s="1704">
        <f t="shared" si="17"/>
        <v>935.17880040000011</v>
      </c>
      <c r="M143" s="1704">
        <f t="shared" si="17"/>
        <v>1091.0419337999999</v>
      </c>
      <c r="N143" s="1704">
        <f t="shared" si="17"/>
        <v>1246.9050672000001</v>
      </c>
      <c r="O143" s="1704">
        <f t="shared" si="17"/>
        <v>1402.7682006000002</v>
      </c>
      <c r="P143" s="1704">
        <f t="shared" si="17"/>
        <v>1558.6313340000002</v>
      </c>
      <c r="Q143" s="1704">
        <f t="shared" si="17"/>
        <v>1714.4944674000003</v>
      </c>
      <c r="R143" s="1704">
        <f t="shared" si="17"/>
        <v>1870.3576008000002</v>
      </c>
      <c r="S143" s="1704">
        <f t="shared" si="17"/>
        <v>2026.2207342000002</v>
      </c>
      <c r="T143" s="1704">
        <f t="shared" si="17"/>
        <v>2182.0838675999998</v>
      </c>
      <c r="U143" s="1704">
        <f t="shared" si="17"/>
        <v>2337.947001</v>
      </c>
      <c r="V143" s="1705">
        <f t="shared" si="17"/>
        <v>2493.8101344000002</v>
      </c>
      <c r="W143" s="1703">
        <f t="shared" si="17"/>
        <v>2649.6732678000003</v>
      </c>
      <c r="X143" s="1704">
        <f t="shared" si="17"/>
        <v>2805.5364012000005</v>
      </c>
      <c r="Y143" s="1704">
        <f t="shared" si="17"/>
        <v>2961.3995346000002</v>
      </c>
      <c r="Z143" s="1704">
        <f t="shared" si="17"/>
        <v>3117.2626680000003</v>
      </c>
      <c r="AA143" s="1704">
        <f t="shared" si="17"/>
        <v>3273.1258014000005</v>
      </c>
      <c r="AB143" s="1704">
        <f t="shared" si="17"/>
        <v>3428.9889348000006</v>
      </c>
      <c r="AC143" s="1704">
        <f t="shared" si="17"/>
        <v>3584.8520682000003</v>
      </c>
      <c r="AD143" s="1704">
        <f t="shared" si="17"/>
        <v>3740.7152016000005</v>
      </c>
      <c r="AE143" s="1704">
        <f t="shared" si="17"/>
        <v>3896.5783350000006</v>
      </c>
      <c r="AF143" s="1705">
        <f t="shared" si="17"/>
        <v>4052.4414684000003</v>
      </c>
      <c r="AG143" s="1706">
        <f t="shared" si="17"/>
        <v>4208.3046018000005</v>
      </c>
      <c r="AH143" s="1704">
        <f t="shared" si="17"/>
        <v>4364.1677351999997</v>
      </c>
      <c r="AI143" s="1704">
        <f t="shared" si="17"/>
        <v>4520.0308685999998</v>
      </c>
      <c r="AJ143" s="1704">
        <f t="shared" si="17"/>
        <v>4675.894002</v>
      </c>
      <c r="AK143" s="1704">
        <f t="shared" si="17"/>
        <v>4831.7571354000002</v>
      </c>
      <c r="AL143" s="1704">
        <f t="shared" si="17"/>
        <v>4987.6202688000003</v>
      </c>
      <c r="AM143" s="1704">
        <f t="shared" si="17"/>
        <v>5143.4834022000005</v>
      </c>
      <c r="AN143" s="1704">
        <f t="shared" si="17"/>
        <v>5299.3465356000006</v>
      </c>
      <c r="AO143" s="1704">
        <f t="shared" si="17"/>
        <v>5455.2096690000008</v>
      </c>
      <c r="AP143" s="1707">
        <f t="shared" si="17"/>
        <v>5611.0728024000009</v>
      </c>
      <c r="AQ143" s="1703">
        <f t="shared" ref="AQ143:BG143" si="18">((AQ$138-$I$4)/1000)*IF($C$13=0,$R$28,$R$45)*(($C$8/70)^$AC$45)*IF($C$13=1,$AH$45,IF($C$13=2,$AI$45,IF($C$13=3,$AJ$45,1)))</f>
        <v>5766.9359358000011</v>
      </c>
      <c r="AR143" s="1704">
        <f t="shared" si="18"/>
        <v>5922.7990692000003</v>
      </c>
      <c r="AS143" s="1704">
        <f t="shared" si="18"/>
        <v>6078.6622026000005</v>
      </c>
      <c r="AT143" s="1704">
        <f t="shared" si="18"/>
        <v>6234.5253360000006</v>
      </c>
      <c r="AU143" s="1704">
        <f t="shared" si="18"/>
        <v>6390.3884693999998</v>
      </c>
      <c r="AV143" s="1704">
        <f t="shared" si="18"/>
        <v>6546.2516028000009</v>
      </c>
      <c r="AW143" s="1704">
        <f t="shared" si="18"/>
        <v>6702.1147362000002</v>
      </c>
      <c r="AX143" s="1704">
        <f t="shared" si="18"/>
        <v>6857.9778696000012</v>
      </c>
      <c r="AY143" s="1704">
        <f t="shared" si="18"/>
        <v>7013.8410030000005</v>
      </c>
      <c r="AZ143" s="1705">
        <f t="shared" si="18"/>
        <v>7169.7041364000006</v>
      </c>
      <c r="BA143" s="1703">
        <f t="shared" si="18"/>
        <v>7325.5672698000008</v>
      </c>
      <c r="BB143" s="1704">
        <f t="shared" si="18"/>
        <v>7481.4304032000009</v>
      </c>
      <c r="BC143" s="1704">
        <f t="shared" si="18"/>
        <v>7637.2935366000011</v>
      </c>
      <c r="BD143" s="1704">
        <f t="shared" si="18"/>
        <v>7793.1566700000012</v>
      </c>
      <c r="BE143" s="1704">
        <f t="shared" si="18"/>
        <v>7949.0198033999995</v>
      </c>
      <c r="BF143" s="1704">
        <f t="shared" si="18"/>
        <v>8104.8829368000006</v>
      </c>
      <c r="BG143" s="1705">
        <f t="shared" si="18"/>
        <v>8260.7460702000008</v>
      </c>
      <c r="BH143" s="1984"/>
      <c r="BI143" s="1984"/>
      <c r="BK143" s="632">
        <f t="shared" si="11"/>
        <v>1.178285471624269</v>
      </c>
      <c r="BL143" s="632">
        <f t="shared" si="11"/>
        <v>1.1782854716242688</v>
      </c>
      <c r="BM143" s="632">
        <f t="shared" si="11"/>
        <v>1.178285471624269</v>
      </c>
      <c r="BN143" s="632">
        <f t="shared" si="11"/>
        <v>1.178285471624269</v>
      </c>
      <c r="BO143" s="632">
        <f t="shared" si="11"/>
        <v>1.178285471624269</v>
      </c>
      <c r="BP143" s="632">
        <f t="shared" si="11"/>
        <v>1.178285471624269</v>
      </c>
      <c r="BQ143" s="632">
        <f t="shared" si="11"/>
        <v>1.178285471624269</v>
      </c>
      <c r="BR143" s="632">
        <f t="shared" si="11"/>
        <v>1.1782854716242688</v>
      </c>
      <c r="BS143" s="632">
        <f t="shared" si="11"/>
        <v>1.1782854716242692</v>
      </c>
      <c r="BT143" s="632">
        <f t="shared" si="11"/>
        <v>1.178285471624269</v>
      </c>
      <c r="BU143" s="632">
        <f t="shared" si="11"/>
        <v>1.178285471624269</v>
      </c>
      <c r="BV143" s="632">
        <f t="shared" si="11"/>
        <v>1.178285471624269</v>
      </c>
      <c r="BW143" s="632">
        <f t="shared" si="11"/>
        <v>1.1782854716242688</v>
      </c>
      <c r="BX143" s="632">
        <f t="shared" si="11"/>
        <v>1.178285471624269</v>
      </c>
      <c r="BY143" s="632">
        <f t="shared" si="11"/>
        <v>1.178285471624269</v>
      </c>
      <c r="BZ143" s="632">
        <f t="shared" si="11"/>
        <v>1.178285471624269</v>
      </c>
      <c r="CA143" s="632">
        <f t="shared" si="12"/>
        <v>1.178285471624269</v>
      </c>
      <c r="CB143" s="632">
        <f t="shared" si="12"/>
        <v>1.178285471624269</v>
      </c>
      <c r="CC143" s="632">
        <f t="shared" si="12"/>
        <v>1.1782854716242688</v>
      </c>
      <c r="CD143" s="632">
        <f t="shared" si="12"/>
        <v>1.1782854716242688</v>
      </c>
      <c r="CE143" s="632">
        <f t="shared" si="12"/>
        <v>1.178285471624269</v>
      </c>
      <c r="CF143" s="632">
        <f t="shared" si="12"/>
        <v>1.1782854716242692</v>
      </c>
      <c r="CG143" s="632">
        <f t="shared" si="12"/>
        <v>1.178285471624269</v>
      </c>
      <c r="CH143" s="632">
        <f t="shared" si="12"/>
        <v>1.178285471624269</v>
      </c>
      <c r="CI143" s="632">
        <f t="shared" si="12"/>
        <v>1.178285471624269</v>
      </c>
      <c r="CJ143" s="632">
        <f t="shared" si="12"/>
        <v>1.178285471624269</v>
      </c>
      <c r="CK143" s="632">
        <f t="shared" si="12"/>
        <v>1.1782854716242692</v>
      </c>
      <c r="CL143" s="632">
        <f t="shared" si="12"/>
        <v>1.178285471624269</v>
      </c>
      <c r="CM143" s="632">
        <f t="shared" si="12"/>
        <v>1.178285471624269</v>
      </c>
      <c r="CN143" s="632">
        <f t="shared" si="12"/>
        <v>1.1782854716242688</v>
      </c>
      <c r="CO143" s="632">
        <f t="shared" si="12"/>
        <v>1.1782854716242688</v>
      </c>
      <c r="CP143" s="632">
        <f t="shared" si="12"/>
        <v>1.178285471624269</v>
      </c>
      <c r="CQ143" s="632">
        <f t="shared" si="13"/>
        <v>1.1782854716242688</v>
      </c>
      <c r="CR143" s="632">
        <f t="shared" si="13"/>
        <v>1.178285471624269</v>
      </c>
      <c r="CS143" s="632">
        <f t="shared" si="13"/>
        <v>1.178285471624269</v>
      </c>
      <c r="CT143" s="632">
        <f t="shared" si="13"/>
        <v>1.178285471624269</v>
      </c>
      <c r="CU143" s="632">
        <f t="shared" si="13"/>
        <v>1.178285471624269</v>
      </c>
      <c r="CV143" s="632">
        <f t="shared" si="13"/>
        <v>1.178285471624269</v>
      </c>
      <c r="CW143" s="632">
        <f t="shared" si="13"/>
        <v>1.178285471624269</v>
      </c>
      <c r="CX143" s="632">
        <f t="shared" si="13"/>
        <v>1.178285471624269</v>
      </c>
      <c r="CY143" s="632">
        <f t="shared" si="13"/>
        <v>1.1782854716242688</v>
      </c>
      <c r="CZ143" s="632">
        <f t="shared" si="13"/>
        <v>1.1782854716242688</v>
      </c>
      <c r="DA143" s="632">
        <f t="shared" si="13"/>
        <v>1.178285471624269</v>
      </c>
      <c r="DB143" s="632">
        <f t="shared" si="13"/>
        <v>1.1782854716242688</v>
      </c>
      <c r="DC143" s="632">
        <f t="shared" si="13"/>
        <v>1.178285471624269</v>
      </c>
      <c r="DD143" s="632">
        <f t="shared" si="13"/>
        <v>1.178285471624269</v>
      </c>
      <c r="DE143" s="632">
        <f t="shared" si="13"/>
        <v>1.1782854716242692</v>
      </c>
      <c r="DF143" s="632">
        <f t="shared" si="13"/>
        <v>1.1782854716242692</v>
      </c>
      <c r="DG143" s="632">
        <f t="shared" si="14"/>
        <v>1.1782854716242688</v>
      </c>
    </row>
    <row r="144" spans="1:111" ht="15.75" hidden="1" customHeight="1">
      <c r="A144" s="2309"/>
      <c r="B144" s="2525" t="s">
        <v>323</v>
      </c>
      <c r="C144" s="2526"/>
      <c r="D144" s="1710"/>
      <c r="E144" s="1711"/>
      <c r="F144" s="1712"/>
      <c r="G144" s="1712"/>
      <c r="H144" s="1712"/>
      <c r="I144" s="1713"/>
      <c r="J144" s="1714"/>
      <c r="K144" s="1715">
        <f t="shared" ref="K144:AP144" si="19">((K$138-$I$4)/1000)*IF($C$13=0,$S$28,$S$45)*(($C$8/70)^$AD$45)*IF($C$13=1,$AH$45,IF($C$13=2,$AI$45,IF($C$13=3,$AJ$45,1)))</f>
        <v>837.17669100000001</v>
      </c>
      <c r="L144" s="1716">
        <f t="shared" si="19"/>
        <v>1004.6120292000001</v>
      </c>
      <c r="M144" s="1716">
        <f t="shared" si="19"/>
        <v>1172.0473674</v>
      </c>
      <c r="N144" s="1716">
        <f t="shared" si="19"/>
        <v>1339.4827056000001</v>
      </c>
      <c r="O144" s="1716">
        <f t="shared" si="19"/>
        <v>1506.9180438000001</v>
      </c>
      <c r="P144" s="1716">
        <f t="shared" si="19"/>
        <v>1674.353382</v>
      </c>
      <c r="Q144" s="1716">
        <f t="shared" si="19"/>
        <v>1841.7887202000002</v>
      </c>
      <c r="R144" s="1716">
        <f t="shared" si="19"/>
        <v>2009.2240584000001</v>
      </c>
      <c r="S144" s="1716">
        <f t="shared" si="19"/>
        <v>2176.6593966</v>
      </c>
      <c r="T144" s="1716">
        <f t="shared" si="19"/>
        <v>2344.0947348</v>
      </c>
      <c r="U144" s="1716">
        <f t="shared" si="19"/>
        <v>2511.5300730000004</v>
      </c>
      <c r="V144" s="1717">
        <f t="shared" si="19"/>
        <v>2678.9654112000003</v>
      </c>
      <c r="W144" s="1715">
        <f t="shared" si="19"/>
        <v>2846.4007494000002</v>
      </c>
      <c r="X144" s="1716">
        <f t="shared" si="19"/>
        <v>3013.8360876000002</v>
      </c>
      <c r="Y144" s="1716">
        <f t="shared" si="19"/>
        <v>3181.2714258000001</v>
      </c>
      <c r="Z144" s="1716">
        <f t="shared" si="19"/>
        <v>3348.706764</v>
      </c>
      <c r="AA144" s="1716">
        <f t="shared" si="19"/>
        <v>3516.1421022000004</v>
      </c>
      <c r="AB144" s="1716">
        <f t="shared" si="19"/>
        <v>3683.5774404000003</v>
      </c>
      <c r="AC144" s="1716">
        <f t="shared" si="19"/>
        <v>3851.0127786000003</v>
      </c>
      <c r="AD144" s="1716">
        <f t="shared" si="19"/>
        <v>4018.4481168000002</v>
      </c>
      <c r="AE144" s="1716">
        <f t="shared" si="19"/>
        <v>4185.8834550000001</v>
      </c>
      <c r="AF144" s="1717">
        <f t="shared" si="19"/>
        <v>4353.3187932000001</v>
      </c>
      <c r="AG144" s="1718">
        <f t="shared" si="19"/>
        <v>4520.7541314</v>
      </c>
      <c r="AH144" s="1716">
        <f t="shared" si="19"/>
        <v>4688.1894695999999</v>
      </c>
      <c r="AI144" s="1716">
        <f t="shared" si="19"/>
        <v>4855.6248077999999</v>
      </c>
      <c r="AJ144" s="1716">
        <f t="shared" si="19"/>
        <v>5023.0601460000007</v>
      </c>
      <c r="AK144" s="1716">
        <f t="shared" si="19"/>
        <v>5190.4954842000006</v>
      </c>
      <c r="AL144" s="1716">
        <f t="shared" si="19"/>
        <v>5357.9308224000006</v>
      </c>
      <c r="AM144" s="1716">
        <f t="shared" si="19"/>
        <v>5525.3661606000005</v>
      </c>
      <c r="AN144" s="1716">
        <f t="shared" si="19"/>
        <v>5692.8014988000004</v>
      </c>
      <c r="AO144" s="1716">
        <f t="shared" si="19"/>
        <v>5860.2368370000004</v>
      </c>
      <c r="AP144" s="1719">
        <f t="shared" si="19"/>
        <v>6027.6721752000003</v>
      </c>
      <c r="AQ144" s="1715">
        <f t="shared" ref="AQ144:BG144" si="20">((AQ$138-$I$4)/1000)*IF($C$13=0,$S$28,$S$45)*(($C$8/70)^$AD$45)*IF($C$13=1,$AH$45,IF($C$13=2,$AI$45,IF($C$13=3,$AJ$45,1)))</f>
        <v>6195.1075134000002</v>
      </c>
      <c r="AR144" s="1716">
        <f t="shared" si="20"/>
        <v>6362.5428516000002</v>
      </c>
      <c r="AS144" s="1716">
        <f t="shared" si="20"/>
        <v>6529.9781898000001</v>
      </c>
      <c r="AT144" s="1716">
        <f t="shared" si="20"/>
        <v>6697.413528</v>
      </c>
      <c r="AU144" s="1716">
        <f t="shared" si="20"/>
        <v>6864.8488662</v>
      </c>
      <c r="AV144" s="1716">
        <f t="shared" si="20"/>
        <v>7032.2842044000008</v>
      </c>
      <c r="AW144" s="1716">
        <f t="shared" si="20"/>
        <v>7199.7195426000008</v>
      </c>
      <c r="AX144" s="1716">
        <f t="shared" si="20"/>
        <v>7367.1548808000007</v>
      </c>
      <c r="AY144" s="1716">
        <f t="shared" si="20"/>
        <v>7534.5902190000006</v>
      </c>
      <c r="AZ144" s="1717">
        <f t="shared" si="20"/>
        <v>7702.0255572000005</v>
      </c>
      <c r="BA144" s="1715">
        <f t="shared" si="20"/>
        <v>7869.4608954000005</v>
      </c>
      <c r="BB144" s="1716">
        <f t="shared" si="20"/>
        <v>8036.8962336000004</v>
      </c>
      <c r="BC144" s="1716">
        <f t="shared" si="20"/>
        <v>8204.3315718000013</v>
      </c>
      <c r="BD144" s="1716">
        <f t="shared" si="20"/>
        <v>8371.7669100000003</v>
      </c>
      <c r="BE144" s="1716">
        <f t="shared" si="20"/>
        <v>8539.2022482000011</v>
      </c>
      <c r="BF144" s="1716">
        <f t="shared" si="20"/>
        <v>8706.6375864000001</v>
      </c>
      <c r="BG144" s="1717">
        <f t="shared" si="20"/>
        <v>8874.072924600001</v>
      </c>
      <c r="BH144" s="1984"/>
      <c r="BI144" s="1984"/>
      <c r="BK144" s="632">
        <f t="shared" si="11"/>
        <v>1.1961123110151191</v>
      </c>
      <c r="BL144" s="632">
        <f t="shared" si="11"/>
        <v>1.1961123110151188</v>
      </c>
      <c r="BM144" s="632">
        <f t="shared" si="11"/>
        <v>1.1961123110151188</v>
      </c>
      <c r="BN144" s="632">
        <f t="shared" si="11"/>
        <v>1.1961123110151191</v>
      </c>
      <c r="BO144" s="632">
        <f t="shared" si="11"/>
        <v>1.1961123110151191</v>
      </c>
      <c r="BP144" s="632">
        <f t="shared" si="11"/>
        <v>1.1961123110151191</v>
      </c>
      <c r="BQ144" s="632">
        <f t="shared" si="11"/>
        <v>1.1961123110151191</v>
      </c>
      <c r="BR144" s="632">
        <f t="shared" si="11"/>
        <v>1.1961123110151188</v>
      </c>
      <c r="BS144" s="632">
        <f t="shared" si="11"/>
        <v>1.1961123110151191</v>
      </c>
      <c r="BT144" s="632">
        <f t="shared" si="11"/>
        <v>1.1961123110151188</v>
      </c>
      <c r="BU144" s="632">
        <f t="shared" si="11"/>
        <v>1.1961123110151188</v>
      </c>
      <c r="BV144" s="632">
        <f t="shared" si="11"/>
        <v>1.1961123110151191</v>
      </c>
      <c r="BW144" s="632">
        <f t="shared" si="11"/>
        <v>1.1961123110151191</v>
      </c>
      <c r="BX144" s="632">
        <f t="shared" si="11"/>
        <v>1.1961123110151191</v>
      </c>
      <c r="BY144" s="632">
        <f t="shared" si="11"/>
        <v>1.1961123110151188</v>
      </c>
      <c r="BZ144" s="632">
        <f t="shared" si="11"/>
        <v>1.1961123110151191</v>
      </c>
      <c r="CA144" s="632">
        <f t="shared" si="12"/>
        <v>1.1961123110151188</v>
      </c>
      <c r="CB144" s="632">
        <f t="shared" si="12"/>
        <v>1.1961123110151191</v>
      </c>
      <c r="CC144" s="632">
        <f t="shared" si="12"/>
        <v>1.1961123110151188</v>
      </c>
      <c r="CD144" s="632">
        <f t="shared" si="12"/>
        <v>1.1961123110151188</v>
      </c>
      <c r="CE144" s="632">
        <f t="shared" si="12"/>
        <v>1.1961123110151191</v>
      </c>
      <c r="CF144" s="632">
        <f t="shared" si="12"/>
        <v>1.1961123110151191</v>
      </c>
      <c r="CG144" s="632">
        <f t="shared" si="12"/>
        <v>1.1961123110151193</v>
      </c>
      <c r="CH144" s="632">
        <f t="shared" si="12"/>
        <v>1.1961123110151188</v>
      </c>
      <c r="CI144" s="632">
        <f t="shared" si="12"/>
        <v>1.1961123110151191</v>
      </c>
      <c r="CJ144" s="632">
        <f t="shared" si="12"/>
        <v>1.1961123110151188</v>
      </c>
      <c r="CK144" s="632">
        <f t="shared" si="12"/>
        <v>1.1961123110151188</v>
      </c>
      <c r="CL144" s="632">
        <f t="shared" si="12"/>
        <v>1.1961123110151191</v>
      </c>
      <c r="CM144" s="632">
        <f t="shared" si="12"/>
        <v>1.1961123110151188</v>
      </c>
      <c r="CN144" s="632">
        <f t="shared" si="12"/>
        <v>1.1961123110151191</v>
      </c>
      <c r="CO144" s="632">
        <f t="shared" si="12"/>
        <v>1.1961123110151188</v>
      </c>
      <c r="CP144" s="632">
        <f t="shared" si="12"/>
        <v>1.1961123110151191</v>
      </c>
      <c r="CQ144" s="632">
        <f t="shared" si="13"/>
        <v>1.1961123110151191</v>
      </c>
      <c r="CR144" s="632">
        <f t="shared" si="13"/>
        <v>1.1961123110151188</v>
      </c>
      <c r="CS144" s="632">
        <f t="shared" si="13"/>
        <v>1.1961123110151188</v>
      </c>
      <c r="CT144" s="632">
        <f t="shared" si="13"/>
        <v>1.1961123110151191</v>
      </c>
      <c r="CU144" s="632">
        <f t="shared" si="13"/>
        <v>1.1961123110151188</v>
      </c>
      <c r="CV144" s="632">
        <f t="shared" si="13"/>
        <v>1.1961123110151188</v>
      </c>
      <c r="CW144" s="632">
        <f t="shared" si="13"/>
        <v>1.1961123110151188</v>
      </c>
      <c r="CX144" s="632">
        <f t="shared" si="13"/>
        <v>1.1961123110151191</v>
      </c>
      <c r="CY144" s="632">
        <f t="shared" si="13"/>
        <v>1.1961123110151188</v>
      </c>
      <c r="CZ144" s="632">
        <f t="shared" si="13"/>
        <v>1.1961123110151188</v>
      </c>
      <c r="DA144" s="632">
        <f t="shared" si="13"/>
        <v>1.1961123110151191</v>
      </c>
      <c r="DB144" s="632">
        <f t="shared" si="13"/>
        <v>1.1961123110151188</v>
      </c>
      <c r="DC144" s="632">
        <f t="shared" si="13"/>
        <v>1.1961123110151188</v>
      </c>
      <c r="DD144" s="632">
        <f t="shared" si="13"/>
        <v>1.1961123110151191</v>
      </c>
      <c r="DE144" s="632">
        <f t="shared" si="13"/>
        <v>1.1961123110151188</v>
      </c>
      <c r="DF144" s="632">
        <f t="shared" si="13"/>
        <v>1.1961123110151191</v>
      </c>
      <c r="DG144" s="632">
        <f t="shared" si="14"/>
        <v>1.1961123110151188</v>
      </c>
    </row>
    <row r="145" spans="1:111" ht="15" hidden="1" customHeight="1">
      <c r="A145" s="2309"/>
      <c r="B145" s="2527" t="s">
        <v>547</v>
      </c>
      <c r="C145" s="2528"/>
      <c r="D145" s="2529"/>
      <c r="E145" s="1720" t="s">
        <v>226</v>
      </c>
      <c r="F145" s="1721">
        <v>70</v>
      </c>
      <c r="G145" s="1721">
        <v>260</v>
      </c>
      <c r="H145" s="1721">
        <v>2</v>
      </c>
      <c r="I145" s="1722"/>
      <c r="J145" s="1723"/>
      <c r="K145" s="1724">
        <f t="shared" ref="K145:AP145" si="21">((K$138-$I$4)/1000)*IF($C$13=0,$N$29,$N$46)*(($C$8/70)^$Y$46)*IF($C$13=1,$AH$46,IF($C$13=2,$AI$46,IF($C$13=3,$AJ$46,1)))</f>
        <v>620.07128001000001</v>
      </c>
      <c r="L145" s="1725">
        <f t="shared" si="21"/>
        <v>744.08553601200003</v>
      </c>
      <c r="M145" s="1725">
        <f t="shared" si="21"/>
        <v>868.09979201399995</v>
      </c>
      <c r="N145" s="1725">
        <f t="shared" si="21"/>
        <v>992.11404801600008</v>
      </c>
      <c r="O145" s="1725">
        <f t="shared" si="21"/>
        <v>1116.1283040180001</v>
      </c>
      <c r="P145" s="1725">
        <f t="shared" si="21"/>
        <v>1240.14256002</v>
      </c>
      <c r="Q145" s="1725">
        <f t="shared" si="21"/>
        <v>1364.1568160220002</v>
      </c>
      <c r="R145" s="1725">
        <f t="shared" si="21"/>
        <v>1488.1710720240001</v>
      </c>
      <c r="S145" s="1725">
        <f t="shared" si="21"/>
        <v>1612.1853280260002</v>
      </c>
      <c r="T145" s="1725">
        <f t="shared" si="21"/>
        <v>1736.1995840279999</v>
      </c>
      <c r="U145" s="1725">
        <f t="shared" si="21"/>
        <v>1860.2138400300003</v>
      </c>
      <c r="V145" s="1726">
        <f t="shared" si="21"/>
        <v>1984.2280960320002</v>
      </c>
      <c r="W145" s="1724">
        <f t="shared" si="21"/>
        <v>2108.2423520339999</v>
      </c>
      <c r="X145" s="1725">
        <f t="shared" si="21"/>
        <v>2232.2566080360002</v>
      </c>
      <c r="Y145" s="1725">
        <f t="shared" si="21"/>
        <v>2356.2708640379997</v>
      </c>
      <c r="Z145" s="1725">
        <f t="shared" si="21"/>
        <v>2480.28512004</v>
      </c>
      <c r="AA145" s="1725">
        <f t="shared" si="21"/>
        <v>2604.2993760420004</v>
      </c>
      <c r="AB145" s="1725">
        <f t="shared" si="21"/>
        <v>2728.3136320440003</v>
      </c>
      <c r="AC145" s="1725">
        <f t="shared" si="21"/>
        <v>2852.3278880459998</v>
      </c>
      <c r="AD145" s="1725">
        <f t="shared" si="21"/>
        <v>2976.3421440480001</v>
      </c>
      <c r="AE145" s="1725">
        <f t="shared" si="21"/>
        <v>3100.35640005</v>
      </c>
      <c r="AF145" s="1726">
        <f t="shared" si="21"/>
        <v>3224.3706560520004</v>
      </c>
      <c r="AG145" s="1727">
        <f t="shared" si="21"/>
        <v>3348.3849120540003</v>
      </c>
      <c r="AH145" s="1725">
        <f t="shared" si="21"/>
        <v>3472.3991680559998</v>
      </c>
      <c r="AI145" s="1725">
        <f t="shared" si="21"/>
        <v>3596.4134240580001</v>
      </c>
      <c r="AJ145" s="1725">
        <f t="shared" si="21"/>
        <v>3720.4276800600005</v>
      </c>
      <c r="AK145" s="1725">
        <f t="shared" si="21"/>
        <v>3844.4419360620009</v>
      </c>
      <c r="AL145" s="1725">
        <f t="shared" si="21"/>
        <v>3968.4561920640003</v>
      </c>
      <c r="AM145" s="1725">
        <f t="shared" si="21"/>
        <v>4092.4704480659998</v>
      </c>
      <c r="AN145" s="1725">
        <f t="shared" si="21"/>
        <v>4216.4847040679997</v>
      </c>
      <c r="AO145" s="1725">
        <f t="shared" si="21"/>
        <v>4340.4989600700001</v>
      </c>
      <c r="AP145" s="1728">
        <f t="shared" si="21"/>
        <v>4464.5132160720004</v>
      </c>
      <c r="AQ145" s="1724">
        <f t="shared" ref="AQ145:BG145" si="22">((AQ$138-$I$4)/1000)*IF($C$13=0,$N$29,$N$46)*(($C$8/70)^$Y$46)*IF($C$13=1,$AH$46,IF($C$13=2,$AI$46,IF($C$13=3,$AJ$46,1)))</f>
        <v>4588.5274720739999</v>
      </c>
      <c r="AR145" s="1725">
        <f t="shared" si="22"/>
        <v>4712.5417280759993</v>
      </c>
      <c r="AS145" s="1725">
        <f t="shared" si="22"/>
        <v>4836.5559840779997</v>
      </c>
      <c r="AT145" s="1725">
        <f t="shared" si="22"/>
        <v>4960.5702400800001</v>
      </c>
      <c r="AU145" s="1725">
        <f t="shared" si="22"/>
        <v>5084.5844960819995</v>
      </c>
      <c r="AV145" s="1725">
        <f t="shared" si="22"/>
        <v>5208.5987520840008</v>
      </c>
      <c r="AW145" s="1725">
        <f t="shared" si="22"/>
        <v>5332.6130080860003</v>
      </c>
      <c r="AX145" s="1725">
        <f t="shared" si="22"/>
        <v>5456.6272640880006</v>
      </c>
      <c r="AY145" s="1725">
        <f t="shared" si="22"/>
        <v>5580.6415200900001</v>
      </c>
      <c r="AZ145" s="1726">
        <f t="shared" si="22"/>
        <v>5704.6557760919995</v>
      </c>
      <c r="BA145" s="1724">
        <f t="shared" si="22"/>
        <v>5828.6700320940008</v>
      </c>
      <c r="BB145" s="1725">
        <f t="shared" si="22"/>
        <v>5952.6842880960003</v>
      </c>
      <c r="BC145" s="1725">
        <f t="shared" si="22"/>
        <v>6076.6985440980006</v>
      </c>
      <c r="BD145" s="1725">
        <f t="shared" si="22"/>
        <v>6200.7128001000001</v>
      </c>
      <c r="BE145" s="1725">
        <f t="shared" si="22"/>
        <v>6324.7270561019996</v>
      </c>
      <c r="BF145" s="1725">
        <f t="shared" si="22"/>
        <v>6448.7413121040008</v>
      </c>
      <c r="BG145" s="1726">
        <f t="shared" si="22"/>
        <v>6572.7555681060003</v>
      </c>
      <c r="BH145" s="1984"/>
      <c r="BI145" s="1984"/>
      <c r="BK145" s="632">
        <f t="shared" si="11"/>
        <v>1.1458832603705515</v>
      </c>
      <c r="BL145" s="632">
        <f t="shared" si="11"/>
        <v>1.1458832603705515</v>
      </c>
      <c r="BM145" s="632">
        <f t="shared" si="11"/>
        <v>1.1458832603705518</v>
      </c>
      <c r="BN145" s="632">
        <f t="shared" si="11"/>
        <v>1.1458832603705515</v>
      </c>
      <c r="BO145" s="632">
        <f t="shared" si="11"/>
        <v>1.1458832603705515</v>
      </c>
      <c r="BP145" s="632">
        <f t="shared" si="11"/>
        <v>1.1458832603705515</v>
      </c>
      <c r="BQ145" s="632">
        <f t="shared" si="11"/>
        <v>1.1458832603705515</v>
      </c>
      <c r="BR145" s="632">
        <f t="shared" si="11"/>
        <v>1.1458832603705515</v>
      </c>
      <c r="BS145" s="632">
        <f t="shared" si="11"/>
        <v>1.1458832603705515</v>
      </c>
      <c r="BT145" s="632">
        <f t="shared" si="11"/>
        <v>1.1458832603705518</v>
      </c>
      <c r="BU145" s="632">
        <f t="shared" si="11"/>
        <v>1.1458832603705513</v>
      </c>
      <c r="BV145" s="632">
        <f t="shared" si="11"/>
        <v>1.1458832603705515</v>
      </c>
      <c r="BW145" s="632">
        <f t="shared" si="11"/>
        <v>1.1458832603705518</v>
      </c>
      <c r="BX145" s="632">
        <f t="shared" si="11"/>
        <v>1.1458832603705515</v>
      </c>
      <c r="BY145" s="632">
        <f t="shared" si="11"/>
        <v>1.1458832603705518</v>
      </c>
      <c r="BZ145" s="632">
        <f t="shared" si="11"/>
        <v>1.1458832603705515</v>
      </c>
      <c r="CA145" s="632">
        <f t="shared" si="12"/>
        <v>1.1458832603705515</v>
      </c>
      <c r="CB145" s="632">
        <f t="shared" si="12"/>
        <v>1.1458832603705515</v>
      </c>
      <c r="CC145" s="632">
        <f t="shared" si="12"/>
        <v>1.1458832603705515</v>
      </c>
      <c r="CD145" s="632">
        <f t="shared" si="12"/>
        <v>1.1458832603705515</v>
      </c>
      <c r="CE145" s="632">
        <f t="shared" si="12"/>
        <v>1.1458832603705515</v>
      </c>
      <c r="CF145" s="632">
        <f t="shared" si="12"/>
        <v>1.1458832603705515</v>
      </c>
      <c r="CG145" s="632">
        <f t="shared" si="12"/>
        <v>1.1458832603705515</v>
      </c>
      <c r="CH145" s="632">
        <f t="shared" si="12"/>
        <v>1.1458832603705518</v>
      </c>
      <c r="CI145" s="632">
        <f t="shared" si="12"/>
        <v>1.1458832603705515</v>
      </c>
      <c r="CJ145" s="632">
        <f t="shared" si="12"/>
        <v>1.1458832603705513</v>
      </c>
      <c r="CK145" s="632">
        <f t="shared" si="12"/>
        <v>1.1458832603705513</v>
      </c>
      <c r="CL145" s="632">
        <f t="shared" si="12"/>
        <v>1.1458832603705515</v>
      </c>
      <c r="CM145" s="632">
        <f t="shared" si="12"/>
        <v>1.1458832603705515</v>
      </c>
      <c r="CN145" s="632">
        <f t="shared" si="12"/>
        <v>1.1458832603705518</v>
      </c>
      <c r="CO145" s="632">
        <f t="shared" si="12"/>
        <v>1.1458832603705518</v>
      </c>
      <c r="CP145" s="632">
        <f t="shared" si="12"/>
        <v>1.1458832603705515</v>
      </c>
      <c r="CQ145" s="632">
        <f t="shared" si="13"/>
        <v>1.1458832603705515</v>
      </c>
      <c r="CR145" s="632">
        <f t="shared" si="13"/>
        <v>1.1458832603705518</v>
      </c>
      <c r="CS145" s="632">
        <f t="shared" si="13"/>
        <v>1.1458832603705515</v>
      </c>
      <c r="CT145" s="632">
        <f t="shared" si="13"/>
        <v>1.1458832603705515</v>
      </c>
      <c r="CU145" s="632">
        <f t="shared" si="13"/>
        <v>1.1458832603705515</v>
      </c>
      <c r="CV145" s="632">
        <f t="shared" si="13"/>
        <v>1.1458832603705515</v>
      </c>
      <c r="CW145" s="632">
        <f t="shared" si="13"/>
        <v>1.1458832603705515</v>
      </c>
      <c r="CX145" s="632">
        <f t="shared" si="13"/>
        <v>1.1458832603705515</v>
      </c>
      <c r="CY145" s="632">
        <f t="shared" si="13"/>
        <v>1.1458832603705515</v>
      </c>
      <c r="CZ145" s="632">
        <f t="shared" si="13"/>
        <v>1.1458832603705515</v>
      </c>
      <c r="DA145" s="632">
        <f t="shared" si="13"/>
        <v>1.1458832603705515</v>
      </c>
      <c r="DB145" s="632">
        <f t="shared" si="13"/>
        <v>1.1458832603705515</v>
      </c>
      <c r="DC145" s="632">
        <f t="shared" si="13"/>
        <v>1.1458832603705518</v>
      </c>
      <c r="DD145" s="632">
        <f t="shared" si="13"/>
        <v>1.1458832603705515</v>
      </c>
      <c r="DE145" s="632">
        <f t="shared" si="13"/>
        <v>1.1458832603705515</v>
      </c>
      <c r="DF145" s="632">
        <f t="shared" si="13"/>
        <v>1.1458832603705515</v>
      </c>
      <c r="DG145" s="632">
        <f t="shared" si="14"/>
        <v>1.1458832603705515</v>
      </c>
    </row>
    <row r="146" spans="1:111" ht="15.75" hidden="1" customHeight="1">
      <c r="A146" s="2309"/>
      <c r="B146" s="2531" t="s">
        <v>548</v>
      </c>
      <c r="C146" s="2532"/>
      <c r="D146" s="2530"/>
      <c r="E146" s="1729" t="s">
        <v>226</v>
      </c>
      <c r="F146" s="1730">
        <v>70</v>
      </c>
      <c r="G146" s="1730">
        <v>300</v>
      </c>
      <c r="H146" s="1730">
        <v>2</v>
      </c>
      <c r="I146" s="1731"/>
      <c r="J146" s="1732"/>
      <c r="K146" s="1733">
        <f t="shared" ref="K146:AP146" si="23">((K$138-$I$4)/1000)*IF($C$13=0,$O$29,$O$46)*(($C$8/70)^$Z$46)*IF($C$13=1,$AH$46,IF($C$13=2,$AI$46,IF($C$13=3,$AJ$46,1)))</f>
        <v>685.54464498000004</v>
      </c>
      <c r="L146" s="1734">
        <f t="shared" si="23"/>
        <v>822.65357397600008</v>
      </c>
      <c r="M146" s="1734">
        <f t="shared" si="23"/>
        <v>959.76250297199999</v>
      </c>
      <c r="N146" s="1734">
        <f t="shared" si="23"/>
        <v>1096.8714319680003</v>
      </c>
      <c r="O146" s="1734">
        <f t="shared" si="23"/>
        <v>1233.9803609640001</v>
      </c>
      <c r="P146" s="1734">
        <f t="shared" si="23"/>
        <v>1371.0892899600001</v>
      </c>
      <c r="Q146" s="1734">
        <f t="shared" si="23"/>
        <v>1508.1982189560001</v>
      </c>
      <c r="R146" s="1734">
        <f t="shared" si="23"/>
        <v>1645.3071479520002</v>
      </c>
      <c r="S146" s="1734">
        <f t="shared" si="23"/>
        <v>1782.4160769480002</v>
      </c>
      <c r="T146" s="1734">
        <f t="shared" si="23"/>
        <v>1919.525005944</v>
      </c>
      <c r="U146" s="1734">
        <f t="shared" si="23"/>
        <v>2056.63393494</v>
      </c>
      <c r="V146" s="1735">
        <f t="shared" si="23"/>
        <v>2193.7428639360005</v>
      </c>
      <c r="W146" s="1733">
        <f t="shared" si="23"/>
        <v>2330.8517929320001</v>
      </c>
      <c r="X146" s="1734">
        <f t="shared" si="23"/>
        <v>2467.9607219280001</v>
      </c>
      <c r="Y146" s="1734">
        <f t="shared" si="23"/>
        <v>2605.0696509240001</v>
      </c>
      <c r="Z146" s="1734">
        <f t="shared" si="23"/>
        <v>2742.1785799200002</v>
      </c>
      <c r="AA146" s="1734">
        <f t="shared" si="23"/>
        <v>2879.2875089160002</v>
      </c>
      <c r="AB146" s="1734">
        <f t="shared" si="23"/>
        <v>3016.3964379120002</v>
      </c>
      <c r="AC146" s="1734">
        <f t="shared" si="23"/>
        <v>3153.5053669080003</v>
      </c>
      <c r="AD146" s="1734">
        <f t="shared" si="23"/>
        <v>3290.6142959040003</v>
      </c>
      <c r="AE146" s="1734">
        <f t="shared" si="23"/>
        <v>3427.7232249000003</v>
      </c>
      <c r="AF146" s="1735">
        <f t="shared" si="23"/>
        <v>3564.8321538960004</v>
      </c>
      <c r="AG146" s="1736">
        <f t="shared" si="23"/>
        <v>3701.9410828920004</v>
      </c>
      <c r="AH146" s="1734">
        <f t="shared" si="23"/>
        <v>3839.050011888</v>
      </c>
      <c r="AI146" s="1734">
        <f t="shared" si="23"/>
        <v>3976.158940884</v>
      </c>
      <c r="AJ146" s="1734">
        <f t="shared" si="23"/>
        <v>4113.26786988</v>
      </c>
      <c r="AK146" s="1734">
        <f t="shared" si="23"/>
        <v>4250.376798876001</v>
      </c>
      <c r="AL146" s="1734">
        <f t="shared" si="23"/>
        <v>4387.485727872001</v>
      </c>
      <c r="AM146" s="1734">
        <f t="shared" si="23"/>
        <v>4524.5946568680001</v>
      </c>
      <c r="AN146" s="1734">
        <f t="shared" si="23"/>
        <v>4661.7035858640002</v>
      </c>
      <c r="AO146" s="1734">
        <f t="shared" si="23"/>
        <v>4798.8125148600002</v>
      </c>
      <c r="AP146" s="1737">
        <f t="shared" si="23"/>
        <v>4935.9214438560002</v>
      </c>
      <c r="AQ146" s="1733">
        <f t="shared" ref="AQ146:BG146" si="24">((AQ$138-$I$4)/1000)*IF($C$13=0,$O$29,$O$46)*(($C$8/70)^$Z$46)*IF($C$13=1,$AH$46,IF($C$13=2,$AI$46,IF($C$13=3,$AJ$46,1)))</f>
        <v>5073.0303728520003</v>
      </c>
      <c r="AR146" s="1734">
        <f t="shared" si="24"/>
        <v>5210.1393018480003</v>
      </c>
      <c r="AS146" s="1734">
        <f t="shared" si="24"/>
        <v>5347.2482308440003</v>
      </c>
      <c r="AT146" s="1734">
        <f t="shared" si="24"/>
        <v>5484.3571598400003</v>
      </c>
      <c r="AU146" s="1734">
        <f t="shared" si="24"/>
        <v>5621.4660888359995</v>
      </c>
      <c r="AV146" s="1734">
        <f t="shared" si="24"/>
        <v>5758.5750178320004</v>
      </c>
      <c r="AW146" s="1734">
        <f t="shared" si="24"/>
        <v>5895.6839468280004</v>
      </c>
      <c r="AX146" s="1734">
        <f t="shared" si="24"/>
        <v>6032.7928758240005</v>
      </c>
      <c r="AY146" s="1734">
        <f t="shared" si="24"/>
        <v>6169.9018048200005</v>
      </c>
      <c r="AZ146" s="1735">
        <f t="shared" si="24"/>
        <v>6307.0107338160005</v>
      </c>
      <c r="BA146" s="1733">
        <f t="shared" si="24"/>
        <v>6444.1196628120006</v>
      </c>
      <c r="BB146" s="1734">
        <f t="shared" si="24"/>
        <v>6581.2285918080006</v>
      </c>
      <c r="BC146" s="1734">
        <f t="shared" si="24"/>
        <v>6718.3375208040006</v>
      </c>
      <c r="BD146" s="1734">
        <f t="shared" si="24"/>
        <v>6855.4464498000007</v>
      </c>
      <c r="BE146" s="1734">
        <f t="shared" si="24"/>
        <v>6992.5553787959998</v>
      </c>
      <c r="BF146" s="1734">
        <f t="shared" si="24"/>
        <v>7129.6643077920007</v>
      </c>
      <c r="BG146" s="1735">
        <f t="shared" si="24"/>
        <v>7266.7732367880008</v>
      </c>
      <c r="BH146" s="1984"/>
      <c r="BI146" s="1984"/>
      <c r="BK146" s="632">
        <f t="shared" si="11"/>
        <v>1.1478906673145377</v>
      </c>
      <c r="BL146" s="632">
        <f t="shared" si="11"/>
        <v>1.1478906673145375</v>
      </c>
      <c r="BM146" s="632">
        <f t="shared" si="11"/>
        <v>1.1478906673145377</v>
      </c>
      <c r="BN146" s="632">
        <f t="shared" si="11"/>
        <v>1.1478906673145377</v>
      </c>
      <c r="BO146" s="632">
        <f t="shared" si="11"/>
        <v>1.1478906673145377</v>
      </c>
      <c r="BP146" s="632">
        <f t="shared" si="11"/>
        <v>1.1478906673145377</v>
      </c>
      <c r="BQ146" s="632">
        <f t="shared" si="11"/>
        <v>1.1478906673145377</v>
      </c>
      <c r="BR146" s="632">
        <f t="shared" si="11"/>
        <v>1.1478906673145375</v>
      </c>
      <c r="BS146" s="632">
        <f t="shared" si="11"/>
        <v>1.1478906673145377</v>
      </c>
      <c r="BT146" s="632">
        <f t="shared" si="11"/>
        <v>1.1478906673145377</v>
      </c>
      <c r="BU146" s="632">
        <f t="shared" si="11"/>
        <v>1.1478906673145379</v>
      </c>
      <c r="BV146" s="632">
        <f t="shared" si="11"/>
        <v>1.1478906673145377</v>
      </c>
      <c r="BW146" s="632">
        <f t="shared" si="11"/>
        <v>1.1478906673145377</v>
      </c>
      <c r="BX146" s="632">
        <f t="shared" si="11"/>
        <v>1.1478906673145377</v>
      </c>
      <c r="BY146" s="632">
        <f t="shared" si="11"/>
        <v>1.1478906673145377</v>
      </c>
      <c r="BZ146" s="632">
        <f t="shared" si="11"/>
        <v>1.1478906673145377</v>
      </c>
      <c r="CA146" s="632">
        <f t="shared" si="12"/>
        <v>1.1478906673145377</v>
      </c>
      <c r="CB146" s="632">
        <f t="shared" si="12"/>
        <v>1.1478906673145377</v>
      </c>
      <c r="CC146" s="632">
        <f t="shared" si="12"/>
        <v>1.1478906673145377</v>
      </c>
      <c r="CD146" s="632">
        <f t="shared" si="12"/>
        <v>1.1478906673145375</v>
      </c>
      <c r="CE146" s="632">
        <f t="shared" si="12"/>
        <v>1.1478906673145377</v>
      </c>
      <c r="CF146" s="632">
        <f t="shared" si="12"/>
        <v>1.1478906673145377</v>
      </c>
      <c r="CG146" s="632">
        <f t="shared" si="12"/>
        <v>1.1478906673145377</v>
      </c>
      <c r="CH146" s="632">
        <f t="shared" si="12"/>
        <v>1.1478906673145377</v>
      </c>
      <c r="CI146" s="632">
        <f t="shared" si="12"/>
        <v>1.1478906673145377</v>
      </c>
      <c r="CJ146" s="632">
        <f t="shared" si="12"/>
        <v>1.1478906673145379</v>
      </c>
      <c r="CK146" s="632">
        <f t="shared" si="12"/>
        <v>1.1478906673145375</v>
      </c>
      <c r="CL146" s="632">
        <f t="shared" si="12"/>
        <v>1.1478906673145377</v>
      </c>
      <c r="CM146" s="632">
        <f t="shared" si="12"/>
        <v>1.1478906673145377</v>
      </c>
      <c r="CN146" s="632">
        <f t="shared" si="12"/>
        <v>1.1478906673145377</v>
      </c>
      <c r="CO146" s="632">
        <f t="shared" si="12"/>
        <v>1.1478906673145377</v>
      </c>
      <c r="CP146" s="632">
        <f t="shared" si="12"/>
        <v>1.1478906673145377</v>
      </c>
      <c r="CQ146" s="632">
        <f t="shared" si="13"/>
        <v>1.1478906673145379</v>
      </c>
      <c r="CR146" s="632">
        <f t="shared" si="13"/>
        <v>1.1478906673145377</v>
      </c>
      <c r="CS146" s="632">
        <f t="shared" si="13"/>
        <v>1.1478906673145377</v>
      </c>
      <c r="CT146" s="632">
        <f t="shared" si="13"/>
        <v>1.1478906673145377</v>
      </c>
      <c r="CU146" s="632">
        <f t="shared" si="13"/>
        <v>1.1478906673145377</v>
      </c>
      <c r="CV146" s="632">
        <f t="shared" si="13"/>
        <v>1.1478906673145377</v>
      </c>
      <c r="CW146" s="632">
        <f t="shared" si="13"/>
        <v>1.1478906673145377</v>
      </c>
      <c r="CX146" s="632">
        <f t="shared" si="13"/>
        <v>1.1478906673145377</v>
      </c>
      <c r="CY146" s="632">
        <f t="shared" si="13"/>
        <v>1.1478906673145377</v>
      </c>
      <c r="CZ146" s="632">
        <f t="shared" si="13"/>
        <v>1.1478906673145377</v>
      </c>
      <c r="DA146" s="632">
        <f t="shared" si="13"/>
        <v>1.1478906673145377</v>
      </c>
      <c r="DB146" s="632">
        <f t="shared" si="13"/>
        <v>1.1478906673145375</v>
      </c>
      <c r="DC146" s="632">
        <f t="shared" si="13"/>
        <v>1.1478906673145377</v>
      </c>
      <c r="DD146" s="632">
        <f t="shared" si="13"/>
        <v>1.1478906673145377</v>
      </c>
      <c r="DE146" s="632">
        <f t="shared" si="13"/>
        <v>1.1478906673145377</v>
      </c>
      <c r="DF146" s="632">
        <f t="shared" si="13"/>
        <v>1.1478906673145377</v>
      </c>
      <c r="DG146" s="632">
        <f t="shared" si="14"/>
        <v>1.1478906673145375</v>
      </c>
    </row>
    <row r="147" spans="1:111" ht="15.75" hidden="1" customHeight="1">
      <c r="A147" s="2309"/>
      <c r="B147" s="2531" t="s">
        <v>324</v>
      </c>
      <c r="C147" s="2532"/>
      <c r="D147" s="1738"/>
      <c r="E147" s="1729"/>
      <c r="F147" s="1730"/>
      <c r="G147" s="1730"/>
      <c r="H147" s="1730"/>
      <c r="I147" s="1731"/>
      <c r="J147" s="1732"/>
      <c r="K147" s="1733">
        <f t="shared" ref="K147:AP147" si="25">((K$138-$I$4)/1000)*IF($C$13=0,$R$29,$R$46)*(($C$8/70)^$AC$46)*IF($C$13=1,$AH$46,IF($C$13=2,$AI$46,IF($C$13=3,$AJ$46,1)))</f>
        <v>918.25632823527678</v>
      </c>
      <c r="L147" s="1734">
        <f t="shared" si="25"/>
        <v>1101.9075938823321</v>
      </c>
      <c r="M147" s="1734">
        <f t="shared" si="25"/>
        <v>1285.5588595293873</v>
      </c>
      <c r="N147" s="1734">
        <f t="shared" si="25"/>
        <v>1469.2101251764429</v>
      </c>
      <c r="O147" s="1734">
        <f t="shared" si="25"/>
        <v>1652.8613908234984</v>
      </c>
      <c r="P147" s="1734">
        <f t="shared" si="25"/>
        <v>1836.5126564705536</v>
      </c>
      <c r="Q147" s="1734">
        <f t="shared" si="25"/>
        <v>2020.1639221176092</v>
      </c>
      <c r="R147" s="1734">
        <f t="shared" si="25"/>
        <v>2203.8151877646642</v>
      </c>
      <c r="S147" s="1734">
        <f t="shared" si="25"/>
        <v>2387.4664534117201</v>
      </c>
      <c r="T147" s="1734">
        <f t="shared" si="25"/>
        <v>2571.1177190587746</v>
      </c>
      <c r="U147" s="1734">
        <f t="shared" si="25"/>
        <v>2754.7689847058305</v>
      </c>
      <c r="V147" s="1735">
        <f t="shared" si="25"/>
        <v>2938.4202503528859</v>
      </c>
      <c r="W147" s="1733">
        <f t="shared" si="25"/>
        <v>3122.0715159999409</v>
      </c>
      <c r="X147" s="1734">
        <f t="shared" si="25"/>
        <v>3305.7227816469967</v>
      </c>
      <c r="Y147" s="1734">
        <f t="shared" si="25"/>
        <v>3489.3740472940517</v>
      </c>
      <c r="Z147" s="1734">
        <f t="shared" si="25"/>
        <v>3673.0253129411071</v>
      </c>
      <c r="AA147" s="1734">
        <f t="shared" si="25"/>
        <v>3856.676578588163</v>
      </c>
      <c r="AB147" s="1734">
        <f t="shared" si="25"/>
        <v>4040.3278442352184</v>
      </c>
      <c r="AC147" s="1734">
        <f t="shared" si="25"/>
        <v>4223.9791098822725</v>
      </c>
      <c r="AD147" s="1734">
        <f t="shared" si="25"/>
        <v>4407.6303755293284</v>
      </c>
      <c r="AE147" s="1734">
        <f t="shared" si="25"/>
        <v>4591.2816411763843</v>
      </c>
      <c r="AF147" s="1735">
        <f t="shared" si="25"/>
        <v>4774.9329068234401</v>
      </c>
      <c r="AG147" s="1736">
        <f t="shared" si="25"/>
        <v>4958.5841724704951</v>
      </c>
      <c r="AH147" s="1734">
        <f t="shared" si="25"/>
        <v>5142.2354381175492</v>
      </c>
      <c r="AI147" s="1734">
        <f t="shared" si="25"/>
        <v>5325.886703764605</v>
      </c>
      <c r="AJ147" s="1734">
        <f t="shared" si="25"/>
        <v>5509.5379694116609</v>
      </c>
      <c r="AK147" s="1734">
        <f t="shared" si="25"/>
        <v>5693.1892350587168</v>
      </c>
      <c r="AL147" s="1734">
        <f t="shared" si="25"/>
        <v>5876.8405007057718</v>
      </c>
      <c r="AM147" s="1734">
        <f t="shared" si="25"/>
        <v>6060.4917663528267</v>
      </c>
      <c r="AN147" s="1734">
        <f t="shared" si="25"/>
        <v>6244.1430319998817</v>
      </c>
      <c r="AO147" s="1734">
        <f t="shared" si="25"/>
        <v>6427.7942976469376</v>
      </c>
      <c r="AP147" s="1737">
        <f t="shared" si="25"/>
        <v>6611.4455632939935</v>
      </c>
      <c r="AQ147" s="1733">
        <f t="shared" ref="AQ147:BG147" si="26">((AQ$138-$I$4)/1000)*IF($C$13=0,$R$29,$R$46)*(($C$8/70)^$AC$46)*IF($C$13=1,$AH$46,IF($C$13=2,$AI$46,IF($C$13=3,$AJ$46,1)))</f>
        <v>6795.0968289410484</v>
      </c>
      <c r="AR147" s="1734">
        <f t="shared" si="26"/>
        <v>6978.7480945881034</v>
      </c>
      <c r="AS147" s="1734">
        <f t="shared" si="26"/>
        <v>7162.3993602351593</v>
      </c>
      <c r="AT147" s="1734">
        <f t="shared" si="26"/>
        <v>7346.0506258822143</v>
      </c>
      <c r="AU147" s="1734">
        <f t="shared" si="26"/>
        <v>7529.7018915292692</v>
      </c>
      <c r="AV147" s="1734">
        <f t="shared" si="26"/>
        <v>7713.353157176326</v>
      </c>
      <c r="AW147" s="1734">
        <f t="shared" si="26"/>
        <v>7897.004422823381</v>
      </c>
      <c r="AX147" s="1734">
        <f t="shared" si="26"/>
        <v>8080.6556884704369</v>
      </c>
      <c r="AY147" s="1734">
        <f t="shared" si="26"/>
        <v>8264.30695411749</v>
      </c>
      <c r="AZ147" s="1735">
        <f t="shared" si="26"/>
        <v>8447.958219764545</v>
      </c>
      <c r="BA147" s="1733">
        <f t="shared" si="26"/>
        <v>8631.6094854116018</v>
      </c>
      <c r="BB147" s="1734">
        <f t="shared" si="26"/>
        <v>8815.2607510586568</v>
      </c>
      <c r="BC147" s="1734">
        <f t="shared" si="26"/>
        <v>8998.9120167057135</v>
      </c>
      <c r="BD147" s="1734">
        <f t="shared" si="26"/>
        <v>9182.5632823527685</v>
      </c>
      <c r="BE147" s="1734">
        <f t="shared" si="26"/>
        <v>9366.2145479998235</v>
      </c>
      <c r="BF147" s="1734">
        <f t="shared" si="26"/>
        <v>9549.8658136468803</v>
      </c>
      <c r="BG147" s="1735">
        <f t="shared" si="26"/>
        <v>9733.5170792939334</v>
      </c>
      <c r="BH147" s="1984"/>
      <c r="BI147" s="1984"/>
      <c r="BK147" s="632">
        <f t="shared" si="11"/>
        <v>1.1953391076644611</v>
      </c>
      <c r="BL147" s="632">
        <f t="shared" si="11"/>
        <v>1.1953391076644613</v>
      </c>
      <c r="BM147" s="632">
        <f t="shared" si="11"/>
        <v>1.1953391076644613</v>
      </c>
      <c r="BN147" s="632">
        <f t="shared" si="11"/>
        <v>1.1953391076644611</v>
      </c>
      <c r="BO147" s="632">
        <f t="shared" si="11"/>
        <v>1.1953391076644611</v>
      </c>
      <c r="BP147" s="632">
        <f t="shared" si="11"/>
        <v>1.1953391076644611</v>
      </c>
      <c r="BQ147" s="632">
        <f t="shared" si="11"/>
        <v>1.1953391076644611</v>
      </c>
      <c r="BR147" s="632">
        <f t="shared" si="11"/>
        <v>1.1953391076644613</v>
      </c>
      <c r="BS147" s="632">
        <f t="shared" si="11"/>
        <v>1.1953391076644608</v>
      </c>
      <c r="BT147" s="632">
        <f t="shared" si="11"/>
        <v>1.1953391076644613</v>
      </c>
      <c r="BU147" s="632">
        <f t="shared" si="11"/>
        <v>1.1953391076644611</v>
      </c>
      <c r="BV147" s="632">
        <f t="shared" si="11"/>
        <v>1.1953391076644611</v>
      </c>
      <c r="BW147" s="632">
        <f t="shared" si="11"/>
        <v>1.1953391076644611</v>
      </c>
      <c r="BX147" s="632">
        <f t="shared" si="11"/>
        <v>1.1953391076644611</v>
      </c>
      <c r="BY147" s="632">
        <f t="shared" si="11"/>
        <v>1.1953391076644611</v>
      </c>
      <c r="BZ147" s="632">
        <f t="shared" si="11"/>
        <v>1.1953391076644611</v>
      </c>
      <c r="CA147" s="632">
        <f t="shared" si="12"/>
        <v>1.1953391076644611</v>
      </c>
      <c r="CB147" s="632">
        <f t="shared" si="12"/>
        <v>1.1953391076644611</v>
      </c>
      <c r="CC147" s="632">
        <f t="shared" si="12"/>
        <v>1.1953391076644613</v>
      </c>
      <c r="CD147" s="632">
        <f t="shared" si="12"/>
        <v>1.1953391076644613</v>
      </c>
      <c r="CE147" s="632">
        <f t="shared" si="12"/>
        <v>1.1953391076644611</v>
      </c>
      <c r="CF147" s="632">
        <f t="shared" si="12"/>
        <v>1.1953391076644608</v>
      </c>
      <c r="CG147" s="632">
        <f t="shared" si="12"/>
        <v>1.1953391076644611</v>
      </c>
      <c r="CH147" s="632">
        <f t="shared" si="12"/>
        <v>1.1953391076644613</v>
      </c>
      <c r="CI147" s="632">
        <f t="shared" si="12"/>
        <v>1.1953391076644611</v>
      </c>
      <c r="CJ147" s="632">
        <f t="shared" si="12"/>
        <v>1.1953391076644611</v>
      </c>
      <c r="CK147" s="632">
        <f t="shared" si="12"/>
        <v>1.1953391076644608</v>
      </c>
      <c r="CL147" s="632">
        <f t="shared" si="12"/>
        <v>1.1953391076644611</v>
      </c>
      <c r="CM147" s="632">
        <f t="shared" si="12"/>
        <v>1.1953391076644611</v>
      </c>
      <c r="CN147" s="632">
        <f t="shared" si="12"/>
        <v>1.1953391076644611</v>
      </c>
      <c r="CO147" s="632">
        <f t="shared" si="12"/>
        <v>1.1953391076644611</v>
      </c>
      <c r="CP147" s="632">
        <f t="shared" si="12"/>
        <v>1.1953391076644611</v>
      </c>
      <c r="CQ147" s="632">
        <f t="shared" si="13"/>
        <v>1.1953391076644611</v>
      </c>
      <c r="CR147" s="632">
        <f t="shared" si="13"/>
        <v>1.1953391076644611</v>
      </c>
      <c r="CS147" s="632">
        <f t="shared" si="13"/>
        <v>1.1953391076644613</v>
      </c>
      <c r="CT147" s="632">
        <f t="shared" si="13"/>
        <v>1.1953391076644611</v>
      </c>
      <c r="CU147" s="632">
        <f t="shared" si="13"/>
        <v>1.1953391076644613</v>
      </c>
      <c r="CV147" s="632">
        <f t="shared" si="13"/>
        <v>1.1953391076644611</v>
      </c>
      <c r="CW147" s="632">
        <f t="shared" si="13"/>
        <v>1.1953391076644611</v>
      </c>
      <c r="CX147" s="632">
        <f t="shared" si="13"/>
        <v>1.1953391076644611</v>
      </c>
      <c r="CY147" s="632">
        <f t="shared" si="13"/>
        <v>1.1953391076644613</v>
      </c>
      <c r="CZ147" s="632">
        <f t="shared" si="13"/>
        <v>1.1953391076644613</v>
      </c>
      <c r="DA147" s="632">
        <f t="shared" si="13"/>
        <v>1.1953391076644611</v>
      </c>
      <c r="DB147" s="632">
        <f t="shared" si="13"/>
        <v>1.1953391076644613</v>
      </c>
      <c r="DC147" s="632">
        <f t="shared" si="13"/>
        <v>1.1953391076644611</v>
      </c>
      <c r="DD147" s="632">
        <f t="shared" si="13"/>
        <v>1.1953391076644611</v>
      </c>
      <c r="DE147" s="632">
        <f t="shared" si="13"/>
        <v>1.1953391076644611</v>
      </c>
      <c r="DF147" s="632">
        <f t="shared" si="13"/>
        <v>1.1953391076644608</v>
      </c>
      <c r="DG147" s="632">
        <f t="shared" si="14"/>
        <v>1.1953391076644613</v>
      </c>
    </row>
    <row r="148" spans="1:111" ht="15.75" hidden="1" customHeight="1">
      <c r="A148" s="2309"/>
      <c r="B148" s="2533" t="s">
        <v>325</v>
      </c>
      <c r="C148" s="2534"/>
      <c r="D148" s="1739"/>
      <c r="E148" s="1740"/>
      <c r="F148" s="1741"/>
      <c r="G148" s="1741"/>
      <c r="H148" s="1741"/>
      <c r="I148" s="1742"/>
      <c r="J148" s="1743"/>
      <c r="K148" s="1744">
        <f t="shared" ref="K148:AP148" si="27">((K$138-$I$4)/1000)*IF($C$13=0,$S$29,$S$46)*(($C$8/70)^$AD$46)*IF($C$13=1,$AH$46,IF($C$13=2,$AI$46,IF($C$13=3,$AJ$46,1)))</f>
        <v>1001.3573466000001</v>
      </c>
      <c r="L148" s="1745">
        <f t="shared" si="27"/>
        <v>1201.6288159200001</v>
      </c>
      <c r="M148" s="1745">
        <f t="shared" si="27"/>
        <v>1401.9002852400001</v>
      </c>
      <c r="N148" s="1745">
        <f t="shared" si="27"/>
        <v>1602.1717545600004</v>
      </c>
      <c r="O148" s="1745">
        <f t="shared" si="27"/>
        <v>1802.4432238800005</v>
      </c>
      <c r="P148" s="1745">
        <f t="shared" si="27"/>
        <v>2002.7146932000003</v>
      </c>
      <c r="Q148" s="1745">
        <f t="shared" si="27"/>
        <v>2202.9861625200006</v>
      </c>
      <c r="R148" s="1745">
        <f t="shared" si="27"/>
        <v>2403.2576318400002</v>
      </c>
      <c r="S148" s="1745">
        <f t="shared" si="27"/>
        <v>2603.5291011600007</v>
      </c>
      <c r="T148" s="1745">
        <f t="shared" si="27"/>
        <v>2803.8005704800003</v>
      </c>
      <c r="U148" s="1745">
        <f t="shared" si="27"/>
        <v>3004.0720398000008</v>
      </c>
      <c r="V148" s="1746">
        <f t="shared" si="27"/>
        <v>3204.3435091200008</v>
      </c>
      <c r="W148" s="1744">
        <f t="shared" si="27"/>
        <v>3404.6149784400009</v>
      </c>
      <c r="X148" s="1745">
        <f t="shared" si="27"/>
        <v>3604.8864477600009</v>
      </c>
      <c r="Y148" s="1745">
        <f t="shared" si="27"/>
        <v>3805.1579170800005</v>
      </c>
      <c r="Z148" s="1745">
        <f t="shared" si="27"/>
        <v>4005.4293864000006</v>
      </c>
      <c r="AA148" s="1745">
        <f t="shared" si="27"/>
        <v>4205.7008557200006</v>
      </c>
      <c r="AB148" s="1745">
        <f t="shared" si="27"/>
        <v>4405.9723250400011</v>
      </c>
      <c r="AC148" s="1745">
        <f t="shared" si="27"/>
        <v>4606.2437943600007</v>
      </c>
      <c r="AD148" s="1745">
        <f t="shared" si="27"/>
        <v>4806.5152636800003</v>
      </c>
      <c r="AE148" s="1745">
        <f t="shared" si="27"/>
        <v>5006.7867330000008</v>
      </c>
      <c r="AF148" s="1746">
        <f t="shared" si="27"/>
        <v>5207.0582023200013</v>
      </c>
      <c r="AG148" s="1747">
        <f t="shared" si="27"/>
        <v>5407.3296716400018</v>
      </c>
      <c r="AH148" s="1745">
        <f t="shared" si="27"/>
        <v>5607.6011409600005</v>
      </c>
      <c r="AI148" s="1745">
        <f t="shared" si="27"/>
        <v>5807.872610280001</v>
      </c>
      <c r="AJ148" s="1745">
        <f t="shared" si="27"/>
        <v>6008.1440796000015</v>
      </c>
      <c r="AK148" s="1745">
        <f t="shared" si="27"/>
        <v>6208.4155489200011</v>
      </c>
      <c r="AL148" s="1745">
        <f t="shared" si="27"/>
        <v>6408.6870182400016</v>
      </c>
      <c r="AM148" s="1745">
        <f t="shared" si="27"/>
        <v>6608.9584875600003</v>
      </c>
      <c r="AN148" s="1745">
        <f t="shared" si="27"/>
        <v>6809.2299568800017</v>
      </c>
      <c r="AO148" s="1745">
        <f t="shared" si="27"/>
        <v>7009.5014262000004</v>
      </c>
      <c r="AP148" s="1748">
        <f t="shared" si="27"/>
        <v>7209.7728955200018</v>
      </c>
      <c r="AQ148" s="1744">
        <f t="shared" ref="AQ148:BG148" si="28">((AQ$138-$I$4)/1000)*IF($C$13=0,$S$29,$S$46)*(($C$8/70)^$AD$46)*IF($C$13=1,$AH$46,IF($C$13=2,$AI$46,IF($C$13=3,$AJ$46,1)))</f>
        <v>7410.0443648400023</v>
      </c>
      <c r="AR148" s="1745">
        <f t="shared" si="28"/>
        <v>7610.315834160001</v>
      </c>
      <c r="AS148" s="1745">
        <f t="shared" si="28"/>
        <v>7810.5873034800006</v>
      </c>
      <c r="AT148" s="1745">
        <f t="shared" si="28"/>
        <v>8010.8587728000011</v>
      </c>
      <c r="AU148" s="1745">
        <f t="shared" si="28"/>
        <v>8211.1302421199998</v>
      </c>
      <c r="AV148" s="1745">
        <f t="shared" si="28"/>
        <v>8411.4017114400012</v>
      </c>
      <c r="AW148" s="1745">
        <f t="shared" si="28"/>
        <v>8611.6731807600008</v>
      </c>
      <c r="AX148" s="1745">
        <f t="shared" si="28"/>
        <v>8811.9446500800022</v>
      </c>
      <c r="AY148" s="1745">
        <f t="shared" si="28"/>
        <v>9012.2161194000018</v>
      </c>
      <c r="AZ148" s="1746">
        <f t="shared" si="28"/>
        <v>9212.4875887200014</v>
      </c>
      <c r="BA148" s="1744">
        <f t="shared" si="28"/>
        <v>9412.7590580400029</v>
      </c>
      <c r="BB148" s="1745">
        <f t="shared" si="28"/>
        <v>9613.0305273600006</v>
      </c>
      <c r="BC148" s="1745">
        <f t="shared" si="28"/>
        <v>9813.301996680002</v>
      </c>
      <c r="BD148" s="1745">
        <f t="shared" si="28"/>
        <v>10013.573466000002</v>
      </c>
      <c r="BE148" s="1745">
        <f t="shared" si="28"/>
        <v>10213.844935320001</v>
      </c>
      <c r="BF148" s="1745">
        <f t="shared" si="28"/>
        <v>10414.116404640003</v>
      </c>
      <c r="BG148" s="1746">
        <f t="shared" si="28"/>
        <v>10614.387873960002</v>
      </c>
      <c r="BH148" s="1984"/>
      <c r="BI148" s="1984"/>
      <c r="BK148" s="632">
        <f t="shared" si="11"/>
        <v>1.1775237920843953</v>
      </c>
      <c r="BL148" s="632">
        <f t="shared" si="11"/>
        <v>1.1775237920843953</v>
      </c>
      <c r="BM148" s="632">
        <f t="shared" si="11"/>
        <v>1.1775237920843951</v>
      </c>
      <c r="BN148" s="632">
        <f t="shared" si="11"/>
        <v>1.1775237920843951</v>
      </c>
      <c r="BO148" s="632">
        <f t="shared" si="11"/>
        <v>1.1775237920843953</v>
      </c>
      <c r="BP148" s="632">
        <f t="shared" si="11"/>
        <v>1.1775237920843953</v>
      </c>
      <c r="BQ148" s="632">
        <f t="shared" si="11"/>
        <v>1.1775237920843951</v>
      </c>
      <c r="BR148" s="632">
        <f t="shared" si="11"/>
        <v>1.1775237920843953</v>
      </c>
      <c r="BS148" s="632">
        <f t="shared" si="11"/>
        <v>1.1775237920843951</v>
      </c>
      <c r="BT148" s="632">
        <f t="shared" si="11"/>
        <v>1.1775237920843951</v>
      </c>
      <c r="BU148" s="632">
        <f t="shared" si="11"/>
        <v>1.1775237920843951</v>
      </c>
      <c r="BV148" s="632">
        <f t="shared" si="11"/>
        <v>1.1775237920843951</v>
      </c>
      <c r="BW148" s="632">
        <f t="shared" si="11"/>
        <v>1.1775237920843951</v>
      </c>
      <c r="BX148" s="632">
        <f t="shared" si="11"/>
        <v>1.1775237920843953</v>
      </c>
      <c r="BY148" s="632">
        <f t="shared" si="11"/>
        <v>1.1775237920843951</v>
      </c>
      <c r="BZ148" s="632">
        <f t="shared" si="11"/>
        <v>1.1775237920843953</v>
      </c>
      <c r="CA148" s="632">
        <f t="shared" si="12"/>
        <v>1.1775237920843953</v>
      </c>
      <c r="CB148" s="632">
        <f t="shared" si="12"/>
        <v>1.1775237920843951</v>
      </c>
      <c r="CC148" s="632">
        <f t="shared" si="12"/>
        <v>1.1775237920843951</v>
      </c>
      <c r="CD148" s="632">
        <f t="shared" si="12"/>
        <v>1.1775237920843953</v>
      </c>
      <c r="CE148" s="632">
        <f t="shared" si="12"/>
        <v>1.1775237920843951</v>
      </c>
      <c r="CF148" s="632">
        <f t="shared" si="12"/>
        <v>1.1775237920843951</v>
      </c>
      <c r="CG148" s="632">
        <f t="shared" si="12"/>
        <v>1.1775237920843951</v>
      </c>
      <c r="CH148" s="632">
        <f t="shared" si="12"/>
        <v>1.1775237920843951</v>
      </c>
      <c r="CI148" s="632">
        <f t="shared" si="12"/>
        <v>1.1775237920843951</v>
      </c>
      <c r="CJ148" s="632">
        <f t="shared" si="12"/>
        <v>1.1775237920843951</v>
      </c>
      <c r="CK148" s="632">
        <f t="shared" si="12"/>
        <v>1.1775237920843951</v>
      </c>
      <c r="CL148" s="632">
        <f t="shared" si="12"/>
        <v>1.1775237920843951</v>
      </c>
      <c r="CM148" s="632">
        <f t="shared" si="12"/>
        <v>1.1775237920843953</v>
      </c>
      <c r="CN148" s="632">
        <f t="shared" si="12"/>
        <v>1.1775237920843951</v>
      </c>
      <c r="CO148" s="632">
        <f t="shared" si="12"/>
        <v>1.1775237920843953</v>
      </c>
      <c r="CP148" s="632">
        <f t="shared" si="12"/>
        <v>1.1775237920843953</v>
      </c>
      <c r="CQ148" s="632">
        <f t="shared" si="13"/>
        <v>1.1775237920843951</v>
      </c>
      <c r="CR148" s="632">
        <f t="shared" si="13"/>
        <v>1.1775237920843951</v>
      </c>
      <c r="CS148" s="632">
        <f t="shared" si="13"/>
        <v>1.1775237920843953</v>
      </c>
      <c r="CT148" s="632">
        <f t="shared" si="13"/>
        <v>1.1775237920843953</v>
      </c>
      <c r="CU148" s="632">
        <f t="shared" si="13"/>
        <v>1.1775237920843951</v>
      </c>
      <c r="CV148" s="632">
        <f t="shared" si="13"/>
        <v>1.1775237920843953</v>
      </c>
      <c r="CW148" s="632">
        <f t="shared" si="13"/>
        <v>1.1775237920843951</v>
      </c>
      <c r="CX148" s="632">
        <f t="shared" si="13"/>
        <v>1.1775237920843951</v>
      </c>
      <c r="CY148" s="632">
        <f t="shared" si="13"/>
        <v>1.1775237920843951</v>
      </c>
      <c r="CZ148" s="632">
        <f t="shared" si="13"/>
        <v>1.1775237920843951</v>
      </c>
      <c r="DA148" s="632">
        <f t="shared" si="13"/>
        <v>1.1775237920843948</v>
      </c>
      <c r="DB148" s="632">
        <f t="shared" si="13"/>
        <v>1.1775237920843953</v>
      </c>
      <c r="DC148" s="632">
        <f t="shared" si="13"/>
        <v>1.1775237920843951</v>
      </c>
      <c r="DD148" s="632">
        <f t="shared" si="13"/>
        <v>1.1775237920843951</v>
      </c>
      <c r="DE148" s="632">
        <f t="shared" si="13"/>
        <v>1.1775237920843951</v>
      </c>
      <c r="DF148" s="632">
        <f t="shared" si="13"/>
        <v>1.1775237920843951</v>
      </c>
      <c r="DG148" s="632">
        <f t="shared" si="14"/>
        <v>1.1775237920843951</v>
      </c>
    </row>
    <row r="149" spans="1:111" ht="15" hidden="1" customHeight="1">
      <c r="A149" s="2309"/>
      <c r="B149" s="2485" t="s">
        <v>549</v>
      </c>
      <c r="C149" s="2486"/>
      <c r="D149" s="2487"/>
      <c r="E149" s="1749" t="s">
        <v>226</v>
      </c>
      <c r="F149" s="1750">
        <v>75</v>
      </c>
      <c r="G149" s="1750">
        <v>260</v>
      </c>
      <c r="H149" s="1750">
        <v>2</v>
      </c>
      <c r="I149" s="1751"/>
      <c r="J149" s="1752"/>
      <c r="K149" s="1753">
        <f t="shared" ref="K149:AP149" si="29">((K$138-$I$4)/1000)*IF($C$13=0,$N$30,$N$47)*(($C$8/70)^$Y$47)*IF($C$13=1,$AH$47,IF($C$13=2,$AI$47,IF($C$13=3,$AJ$47,1)))</f>
        <v>710.52930000000003</v>
      </c>
      <c r="L149" s="1754">
        <f t="shared" si="29"/>
        <v>852.63516000000004</v>
      </c>
      <c r="M149" s="1754">
        <f t="shared" si="29"/>
        <v>994.74102000000005</v>
      </c>
      <c r="N149" s="1754">
        <f t="shared" si="29"/>
        <v>1136.8468800000001</v>
      </c>
      <c r="O149" s="1754">
        <f t="shared" si="29"/>
        <v>1278.9527400000002</v>
      </c>
      <c r="P149" s="1754">
        <f t="shared" si="29"/>
        <v>1421.0586000000001</v>
      </c>
      <c r="Q149" s="1754">
        <f t="shared" si="29"/>
        <v>1563.1644600000002</v>
      </c>
      <c r="R149" s="1754">
        <f t="shared" si="29"/>
        <v>1705.2703200000001</v>
      </c>
      <c r="S149" s="1754">
        <f t="shared" si="29"/>
        <v>1847.3761800000002</v>
      </c>
      <c r="T149" s="1754">
        <f t="shared" si="29"/>
        <v>1989.4820400000001</v>
      </c>
      <c r="U149" s="1754">
        <f t="shared" si="29"/>
        <v>2131.5879</v>
      </c>
      <c r="V149" s="1755">
        <f t="shared" si="29"/>
        <v>2273.6937600000001</v>
      </c>
      <c r="W149" s="1753">
        <f t="shared" si="29"/>
        <v>2415.7996200000002</v>
      </c>
      <c r="X149" s="1754">
        <f t="shared" si="29"/>
        <v>2557.9054800000004</v>
      </c>
      <c r="Y149" s="1754">
        <f t="shared" si="29"/>
        <v>2700.01134</v>
      </c>
      <c r="Z149" s="1754">
        <f t="shared" si="29"/>
        <v>2842.1172000000001</v>
      </c>
      <c r="AA149" s="1754">
        <f t="shared" si="29"/>
        <v>2984.2230600000003</v>
      </c>
      <c r="AB149" s="1754">
        <f t="shared" si="29"/>
        <v>3126.3289200000004</v>
      </c>
      <c r="AC149" s="1754">
        <f t="shared" si="29"/>
        <v>3268.43478</v>
      </c>
      <c r="AD149" s="1754">
        <f t="shared" si="29"/>
        <v>3410.5406400000002</v>
      </c>
      <c r="AE149" s="1754">
        <f t="shared" si="29"/>
        <v>3552.6464999999998</v>
      </c>
      <c r="AF149" s="1755">
        <f t="shared" si="29"/>
        <v>3694.7523600000004</v>
      </c>
      <c r="AG149" s="1756">
        <f t="shared" si="29"/>
        <v>3836.8582200000005</v>
      </c>
      <c r="AH149" s="1754">
        <f t="shared" si="29"/>
        <v>3978.9640800000002</v>
      </c>
      <c r="AI149" s="1754">
        <f t="shared" si="29"/>
        <v>4121.0699400000003</v>
      </c>
      <c r="AJ149" s="1754">
        <f t="shared" si="29"/>
        <v>4263.1758</v>
      </c>
      <c r="AK149" s="1754">
        <f t="shared" si="29"/>
        <v>4405.2816600000006</v>
      </c>
      <c r="AL149" s="1754">
        <f t="shared" si="29"/>
        <v>4547.3875200000002</v>
      </c>
      <c r="AM149" s="1754">
        <f t="shared" si="29"/>
        <v>4689.4933799999999</v>
      </c>
      <c r="AN149" s="1754">
        <f t="shared" si="29"/>
        <v>4831.5992400000005</v>
      </c>
      <c r="AO149" s="1754">
        <f t="shared" si="29"/>
        <v>4973.705100000001</v>
      </c>
      <c r="AP149" s="1757">
        <f t="shared" si="29"/>
        <v>5115.8109600000007</v>
      </c>
      <c r="AQ149" s="1753">
        <f t="shared" ref="AQ149:BG149" si="30">((AQ$138-$I$4)/1000)*IF($C$13=0,$N$30,$N$47)*(($C$8/70)^$Y$47)*IF($C$13=1,$AH$47,IF($C$13=2,$AI$47,IF($C$13=3,$AJ$47,1)))</f>
        <v>5257.9168200000004</v>
      </c>
      <c r="AR149" s="1754">
        <f t="shared" si="30"/>
        <v>5400.02268</v>
      </c>
      <c r="AS149" s="1754">
        <f t="shared" si="30"/>
        <v>5542.1285399999997</v>
      </c>
      <c r="AT149" s="1754">
        <f t="shared" si="30"/>
        <v>5684.2344000000003</v>
      </c>
      <c r="AU149" s="1754">
        <f t="shared" si="30"/>
        <v>5826.3402599999999</v>
      </c>
      <c r="AV149" s="1754">
        <f t="shared" si="30"/>
        <v>5968.4461200000005</v>
      </c>
      <c r="AW149" s="1754">
        <f t="shared" si="30"/>
        <v>6110.5519800000002</v>
      </c>
      <c r="AX149" s="1754">
        <f t="shared" si="30"/>
        <v>6252.6578400000008</v>
      </c>
      <c r="AY149" s="1754">
        <f t="shared" si="30"/>
        <v>6394.7637000000004</v>
      </c>
      <c r="AZ149" s="1755">
        <f t="shared" si="30"/>
        <v>6536.8695600000001</v>
      </c>
      <c r="BA149" s="1753">
        <f t="shared" si="30"/>
        <v>6678.9754200000007</v>
      </c>
      <c r="BB149" s="1754">
        <f t="shared" si="30"/>
        <v>6821.0812800000003</v>
      </c>
      <c r="BC149" s="1754">
        <f t="shared" si="30"/>
        <v>6963.1871400000018</v>
      </c>
      <c r="BD149" s="1754">
        <f t="shared" si="30"/>
        <v>7105.2929999999997</v>
      </c>
      <c r="BE149" s="1754">
        <f t="shared" si="30"/>
        <v>7247.3988599999993</v>
      </c>
      <c r="BF149" s="1754">
        <f t="shared" si="30"/>
        <v>7389.5047200000008</v>
      </c>
      <c r="BG149" s="1755">
        <f t="shared" si="30"/>
        <v>7531.6105800000005</v>
      </c>
      <c r="BH149" s="1984"/>
      <c r="BI149" s="1984"/>
      <c r="BK149" s="632">
        <f t="shared" si="11"/>
        <v>1.0540861861713513</v>
      </c>
      <c r="BL149" s="632">
        <f t="shared" si="11"/>
        <v>1.0540861861713513</v>
      </c>
      <c r="BM149" s="632">
        <f t="shared" si="11"/>
        <v>1.0540861861713513</v>
      </c>
      <c r="BN149" s="632">
        <f t="shared" si="11"/>
        <v>1.0540861861713515</v>
      </c>
      <c r="BO149" s="632">
        <f t="shared" si="11"/>
        <v>1.0540861861713513</v>
      </c>
      <c r="BP149" s="632">
        <f t="shared" si="11"/>
        <v>1.0540861861713513</v>
      </c>
      <c r="BQ149" s="632">
        <f t="shared" si="11"/>
        <v>1.0540861861713515</v>
      </c>
      <c r="BR149" s="632">
        <f t="shared" si="11"/>
        <v>1.0540861861713513</v>
      </c>
      <c r="BS149" s="632">
        <f t="shared" si="11"/>
        <v>1.0540861861713513</v>
      </c>
      <c r="BT149" s="632">
        <f t="shared" si="11"/>
        <v>1.0540861861713513</v>
      </c>
      <c r="BU149" s="632">
        <f t="shared" si="11"/>
        <v>1.0540861861713513</v>
      </c>
      <c r="BV149" s="632">
        <f t="shared" si="11"/>
        <v>1.0540861861713515</v>
      </c>
      <c r="BW149" s="632">
        <f t="shared" si="11"/>
        <v>1.0540861861713513</v>
      </c>
      <c r="BX149" s="632">
        <f t="shared" si="11"/>
        <v>1.0540861861713513</v>
      </c>
      <c r="BY149" s="632">
        <f t="shared" si="11"/>
        <v>1.0540861861713515</v>
      </c>
      <c r="BZ149" s="632">
        <f t="shared" si="11"/>
        <v>1.0540861861713513</v>
      </c>
      <c r="CA149" s="632">
        <f t="shared" si="12"/>
        <v>1.0540861861713515</v>
      </c>
      <c r="CB149" s="632">
        <f t="shared" si="12"/>
        <v>1.0540861861713515</v>
      </c>
      <c r="CC149" s="632">
        <f t="shared" si="12"/>
        <v>1.0540861861713513</v>
      </c>
      <c r="CD149" s="632">
        <f t="shared" si="12"/>
        <v>1.0540861861713513</v>
      </c>
      <c r="CE149" s="632">
        <f t="shared" si="12"/>
        <v>1.0540861861713515</v>
      </c>
      <c r="CF149" s="632">
        <f t="shared" si="12"/>
        <v>1.0540861861713513</v>
      </c>
      <c r="CG149" s="632">
        <f t="shared" si="12"/>
        <v>1.0540861861713515</v>
      </c>
      <c r="CH149" s="632">
        <f t="shared" si="12"/>
        <v>1.0540861861713513</v>
      </c>
      <c r="CI149" s="632">
        <f t="shared" si="12"/>
        <v>1.0540861861713513</v>
      </c>
      <c r="CJ149" s="632">
        <f t="shared" si="12"/>
        <v>1.0540861861713513</v>
      </c>
      <c r="CK149" s="632">
        <f t="shared" si="12"/>
        <v>1.0540861861713515</v>
      </c>
      <c r="CL149" s="632">
        <f t="shared" si="12"/>
        <v>1.0540861861713515</v>
      </c>
      <c r="CM149" s="632">
        <f t="shared" si="12"/>
        <v>1.0540861861713513</v>
      </c>
      <c r="CN149" s="632">
        <f t="shared" si="12"/>
        <v>1.0540861861713513</v>
      </c>
      <c r="CO149" s="632">
        <f t="shared" si="12"/>
        <v>1.0540861861713513</v>
      </c>
      <c r="CP149" s="632">
        <f t="shared" si="12"/>
        <v>1.0540861861713513</v>
      </c>
      <c r="CQ149" s="632">
        <f t="shared" si="13"/>
        <v>1.0540861861713515</v>
      </c>
      <c r="CR149" s="632">
        <f t="shared" si="13"/>
        <v>1.0540861861713515</v>
      </c>
      <c r="CS149" s="632">
        <f t="shared" si="13"/>
        <v>1.0540861861713515</v>
      </c>
      <c r="CT149" s="632">
        <f t="shared" si="13"/>
        <v>1.0540861861713513</v>
      </c>
      <c r="CU149" s="632">
        <f t="shared" si="13"/>
        <v>1.0540861861713513</v>
      </c>
      <c r="CV149" s="632">
        <f t="shared" si="13"/>
        <v>1.0540861861713515</v>
      </c>
      <c r="CW149" s="632">
        <f t="shared" si="13"/>
        <v>1.0540861861713513</v>
      </c>
      <c r="CX149" s="632">
        <f t="shared" si="13"/>
        <v>1.0540861861713515</v>
      </c>
      <c r="CY149" s="632">
        <f t="shared" si="13"/>
        <v>1.0540861861713513</v>
      </c>
      <c r="CZ149" s="632">
        <f t="shared" si="13"/>
        <v>1.0540861861713513</v>
      </c>
      <c r="DA149" s="632">
        <f t="shared" si="13"/>
        <v>1.0540861861713515</v>
      </c>
      <c r="DB149" s="632">
        <f t="shared" si="13"/>
        <v>1.0540861861713513</v>
      </c>
      <c r="DC149" s="632">
        <f t="shared" si="13"/>
        <v>1.0540861861713513</v>
      </c>
      <c r="DD149" s="632">
        <f t="shared" si="13"/>
        <v>1.0540861861713515</v>
      </c>
      <c r="DE149" s="632">
        <f t="shared" si="13"/>
        <v>1.0540861861713513</v>
      </c>
      <c r="DF149" s="632">
        <f t="shared" si="13"/>
        <v>1.0540861861713513</v>
      </c>
      <c r="DG149" s="632">
        <f t="shared" si="14"/>
        <v>1.0540861861713513</v>
      </c>
    </row>
    <row r="150" spans="1:111" ht="15" hidden="1" customHeight="1">
      <c r="A150" s="2309"/>
      <c r="B150" s="2490" t="s">
        <v>550</v>
      </c>
      <c r="C150" s="2491"/>
      <c r="D150" s="2488"/>
      <c r="E150" s="1758" t="s">
        <v>226</v>
      </c>
      <c r="F150" s="1759">
        <v>75</v>
      </c>
      <c r="G150" s="1759">
        <v>300</v>
      </c>
      <c r="H150" s="1759">
        <v>2</v>
      </c>
      <c r="I150" s="1760"/>
      <c r="J150" s="1761"/>
      <c r="K150" s="1762">
        <f t="shared" ref="K150:AP150" si="31">((K$138-$I$4)/1000)*IF($C$13=0,$O$30,$O$47)*(($C$8/70)^$Z$47)*IF($C$13=1,$AH$47,IF($C$13=2,$AI$47,IF($C$13=3,$AJ$47,1)))</f>
        <v>786.9303000000001</v>
      </c>
      <c r="L150" s="1763">
        <f t="shared" si="31"/>
        <v>944.31636000000003</v>
      </c>
      <c r="M150" s="1763">
        <f t="shared" si="31"/>
        <v>1101.7024200000001</v>
      </c>
      <c r="N150" s="1763">
        <f t="shared" si="31"/>
        <v>1259.0884800000003</v>
      </c>
      <c r="O150" s="1763">
        <f t="shared" si="31"/>
        <v>1416.4745400000002</v>
      </c>
      <c r="P150" s="1763">
        <f t="shared" si="31"/>
        <v>1573.8606000000002</v>
      </c>
      <c r="Q150" s="1763">
        <f t="shared" si="31"/>
        <v>1731.2466600000002</v>
      </c>
      <c r="R150" s="1763">
        <f t="shared" si="31"/>
        <v>1888.6327200000001</v>
      </c>
      <c r="S150" s="1763">
        <f t="shared" si="31"/>
        <v>2046.0187800000003</v>
      </c>
      <c r="T150" s="1763">
        <f t="shared" si="31"/>
        <v>2203.4048400000001</v>
      </c>
      <c r="U150" s="1763">
        <f t="shared" si="31"/>
        <v>2360.7909000000004</v>
      </c>
      <c r="V150" s="1764">
        <f t="shared" si="31"/>
        <v>2518.1769600000007</v>
      </c>
      <c r="W150" s="1762">
        <f t="shared" si="31"/>
        <v>2675.5630200000001</v>
      </c>
      <c r="X150" s="1763">
        <f t="shared" si="31"/>
        <v>2832.9490800000003</v>
      </c>
      <c r="Y150" s="1763">
        <f t="shared" si="31"/>
        <v>2990.3351400000001</v>
      </c>
      <c r="Z150" s="1763">
        <f t="shared" si="31"/>
        <v>3147.7212000000004</v>
      </c>
      <c r="AA150" s="1763">
        <f t="shared" si="31"/>
        <v>3305.1072600000007</v>
      </c>
      <c r="AB150" s="1763">
        <f t="shared" si="31"/>
        <v>3462.4933200000005</v>
      </c>
      <c r="AC150" s="1763">
        <f t="shared" si="31"/>
        <v>3619.8793800000003</v>
      </c>
      <c r="AD150" s="1763">
        <f t="shared" si="31"/>
        <v>3777.2654400000001</v>
      </c>
      <c r="AE150" s="1763">
        <f t="shared" si="31"/>
        <v>3934.6515000000004</v>
      </c>
      <c r="AF150" s="1764">
        <f t="shared" si="31"/>
        <v>4092.0375600000007</v>
      </c>
      <c r="AG150" s="1765">
        <f t="shared" si="31"/>
        <v>4249.4236200000005</v>
      </c>
      <c r="AH150" s="1763">
        <f t="shared" si="31"/>
        <v>4406.8096800000003</v>
      </c>
      <c r="AI150" s="1763">
        <f t="shared" si="31"/>
        <v>4564.1957400000001</v>
      </c>
      <c r="AJ150" s="1763">
        <f t="shared" si="31"/>
        <v>4721.5818000000008</v>
      </c>
      <c r="AK150" s="1763">
        <f t="shared" si="31"/>
        <v>4878.9678600000007</v>
      </c>
      <c r="AL150" s="1763">
        <f t="shared" si="31"/>
        <v>5036.3539200000014</v>
      </c>
      <c r="AM150" s="1763">
        <f t="shared" si="31"/>
        <v>5193.7399800000003</v>
      </c>
      <c r="AN150" s="1763">
        <f t="shared" si="31"/>
        <v>5351.1260400000001</v>
      </c>
      <c r="AO150" s="1763">
        <f t="shared" si="31"/>
        <v>5508.5121000000008</v>
      </c>
      <c r="AP150" s="1766">
        <f t="shared" si="31"/>
        <v>5665.8981600000006</v>
      </c>
      <c r="AQ150" s="1762">
        <f t="shared" ref="AQ150:BG150" si="32">((AQ$138-$I$4)/1000)*IF($C$13=0,$O$30,$O$47)*(($C$8/70)^$Z$47)*IF($C$13=1,$AH$47,IF($C$13=2,$AI$47,IF($C$13=3,$AJ$47,1)))</f>
        <v>5823.2842200000014</v>
      </c>
      <c r="AR150" s="1763">
        <f t="shared" si="32"/>
        <v>5980.6702800000003</v>
      </c>
      <c r="AS150" s="1763">
        <f t="shared" si="32"/>
        <v>6138.056340000001</v>
      </c>
      <c r="AT150" s="1763">
        <f t="shared" si="32"/>
        <v>6295.4424000000008</v>
      </c>
      <c r="AU150" s="1763">
        <f t="shared" si="32"/>
        <v>6452.8284599999997</v>
      </c>
      <c r="AV150" s="1763">
        <f t="shared" si="32"/>
        <v>6610.2145200000014</v>
      </c>
      <c r="AW150" s="1763">
        <f t="shared" si="32"/>
        <v>6767.6005800000003</v>
      </c>
      <c r="AX150" s="1763">
        <f t="shared" si="32"/>
        <v>6924.986640000001</v>
      </c>
      <c r="AY150" s="1763">
        <f t="shared" si="32"/>
        <v>7082.3727000000008</v>
      </c>
      <c r="AZ150" s="1764">
        <f t="shared" si="32"/>
        <v>7239.7587600000006</v>
      </c>
      <c r="BA150" s="1762">
        <f t="shared" si="32"/>
        <v>7397.1448200000013</v>
      </c>
      <c r="BB150" s="1763">
        <f t="shared" si="32"/>
        <v>7554.5308800000003</v>
      </c>
      <c r="BC150" s="1763">
        <f t="shared" si="32"/>
        <v>7711.916940000001</v>
      </c>
      <c r="BD150" s="1763">
        <f t="shared" si="32"/>
        <v>7869.3030000000008</v>
      </c>
      <c r="BE150" s="1763">
        <f t="shared" si="32"/>
        <v>8026.6890600000006</v>
      </c>
      <c r="BF150" s="1763">
        <f t="shared" si="32"/>
        <v>8184.0751200000013</v>
      </c>
      <c r="BG150" s="1764">
        <f t="shared" si="32"/>
        <v>8341.4611800000002</v>
      </c>
      <c r="BH150" s="1984"/>
      <c r="BI150" s="1984"/>
      <c r="BK150" s="632">
        <f t="shared" si="11"/>
        <v>1.0522428225218929</v>
      </c>
      <c r="BL150" s="632">
        <f t="shared" si="11"/>
        <v>1.0522428225218932</v>
      </c>
      <c r="BM150" s="632">
        <f t="shared" si="11"/>
        <v>1.0522428225218929</v>
      </c>
      <c r="BN150" s="632">
        <f t="shared" si="11"/>
        <v>1.0522428225218929</v>
      </c>
      <c r="BO150" s="632">
        <f t="shared" si="11"/>
        <v>1.0522428225218929</v>
      </c>
      <c r="BP150" s="632">
        <f t="shared" si="11"/>
        <v>1.0522428225218929</v>
      </c>
      <c r="BQ150" s="632">
        <f t="shared" si="11"/>
        <v>1.0522428225218929</v>
      </c>
      <c r="BR150" s="632">
        <f t="shared" si="11"/>
        <v>1.0522428225218932</v>
      </c>
      <c r="BS150" s="632">
        <f t="shared" si="11"/>
        <v>1.0522428225218929</v>
      </c>
      <c r="BT150" s="632">
        <f t="shared" si="11"/>
        <v>1.0522428225218929</v>
      </c>
      <c r="BU150" s="632">
        <f t="shared" si="11"/>
        <v>1.0522428225218929</v>
      </c>
      <c r="BV150" s="632">
        <f t="shared" si="11"/>
        <v>1.0522428225218929</v>
      </c>
      <c r="BW150" s="632">
        <f t="shared" si="11"/>
        <v>1.0522428225218929</v>
      </c>
      <c r="BX150" s="632">
        <f t="shared" si="11"/>
        <v>1.0522428225218929</v>
      </c>
      <c r="BY150" s="632">
        <f t="shared" si="11"/>
        <v>1.0522428225218929</v>
      </c>
      <c r="BZ150" s="632">
        <f t="shared" si="11"/>
        <v>1.0522428225218929</v>
      </c>
      <c r="CA150" s="632">
        <f t="shared" si="12"/>
        <v>1.0522428225218929</v>
      </c>
      <c r="CB150" s="632">
        <f t="shared" si="12"/>
        <v>1.0522428225218929</v>
      </c>
      <c r="CC150" s="632">
        <f t="shared" si="12"/>
        <v>1.0522428225218929</v>
      </c>
      <c r="CD150" s="632">
        <f t="shared" si="12"/>
        <v>1.0522428225218932</v>
      </c>
      <c r="CE150" s="632">
        <f t="shared" si="12"/>
        <v>1.0522428225218929</v>
      </c>
      <c r="CF150" s="632">
        <f t="shared" si="12"/>
        <v>1.0522428225218929</v>
      </c>
      <c r="CG150" s="632">
        <f t="shared" si="12"/>
        <v>1.0522428225218929</v>
      </c>
      <c r="CH150" s="632">
        <f t="shared" si="12"/>
        <v>1.0522428225218929</v>
      </c>
      <c r="CI150" s="632">
        <f t="shared" si="12"/>
        <v>1.0522428225218929</v>
      </c>
      <c r="CJ150" s="632">
        <f t="shared" si="12"/>
        <v>1.0522428225218929</v>
      </c>
      <c r="CK150" s="632">
        <f t="shared" si="12"/>
        <v>1.0522428225218929</v>
      </c>
      <c r="CL150" s="632">
        <f t="shared" si="12"/>
        <v>1.0522428225218929</v>
      </c>
      <c r="CM150" s="632">
        <f t="shared" si="12"/>
        <v>1.0522428225218929</v>
      </c>
      <c r="CN150" s="632">
        <f t="shared" si="12"/>
        <v>1.0522428225218929</v>
      </c>
      <c r="CO150" s="632">
        <f t="shared" si="12"/>
        <v>1.0522428225218929</v>
      </c>
      <c r="CP150" s="632">
        <f t="shared" si="12"/>
        <v>1.0522428225218929</v>
      </c>
      <c r="CQ150" s="632">
        <f t="shared" si="13"/>
        <v>1.0522428225218929</v>
      </c>
      <c r="CR150" s="632">
        <f t="shared" si="13"/>
        <v>1.0522428225218929</v>
      </c>
      <c r="CS150" s="632">
        <f t="shared" si="13"/>
        <v>1.0522428225218929</v>
      </c>
      <c r="CT150" s="632">
        <f t="shared" si="13"/>
        <v>1.0522428225218929</v>
      </c>
      <c r="CU150" s="632">
        <f t="shared" si="13"/>
        <v>1.0522428225218929</v>
      </c>
      <c r="CV150" s="632">
        <f t="shared" si="13"/>
        <v>1.0522428225218929</v>
      </c>
      <c r="CW150" s="632">
        <f t="shared" si="13"/>
        <v>1.0522428225218929</v>
      </c>
      <c r="CX150" s="632">
        <f t="shared" si="13"/>
        <v>1.0522428225218929</v>
      </c>
      <c r="CY150" s="632">
        <f t="shared" si="13"/>
        <v>1.0522428225218932</v>
      </c>
      <c r="CZ150" s="632">
        <f t="shared" si="13"/>
        <v>1.0522428225218929</v>
      </c>
      <c r="DA150" s="632">
        <f t="shared" si="13"/>
        <v>1.0522428225218929</v>
      </c>
      <c r="DB150" s="632">
        <f t="shared" si="13"/>
        <v>1.0522428225218932</v>
      </c>
      <c r="DC150" s="632">
        <f t="shared" si="13"/>
        <v>1.0522428225218929</v>
      </c>
      <c r="DD150" s="632">
        <f t="shared" si="13"/>
        <v>1.0522428225218929</v>
      </c>
      <c r="DE150" s="632">
        <f t="shared" si="13"/>
        <v>1.0522428225218932</v>
      </c>
      <c r="DF150" s="632">
        <f t="shared" si="13"/>
        <v>1.0522428225218929</v>
      </c>
      <c r="DG150" s="632">
        <f t="shared" si="14"/>
        <v>1.0522428225218929</v>
      </c>
    </row>
    <row r="151" spans="1:111" ht="15" hidden="1" customHeight="1">
      <c r="A151" s="2309"/>
      <c r="B151" s="2490" t="s">
        <v>551</v>
      </c>
      <c r="C151" s="2491"/>
      <c r="D151" s="2488"/>
      <c r="E151" s="1758" t="s">
        <v>226</v>
      </c>
      <c r="F151" s="1759">
        <v>75</v>
      </c>
      <c r="G151" s="1759">
        <v>360</v>
      </c>
      <c r="H151" s="1759">
        <v>4</v>
      </c>
      <c r="I151" s="1760"/>
      <c r="J151" s="1761"/>
      <c r="K151" s="1762">
        <f t="shared" ref="K151:AP151" si="33">((K$138-$I$4)/1000)*IF($C$13=0,$R$30,$R$47)*(($C$8/70)^$AC$47)*IF($C$13=1,$AH$47,IF($C$13=2,$AI$47,IF($C$13=3,$AJ$47,1)))</f>
        <v>1097.6277000000002</v>
      </c>
      <c r="L151" s="1763">
        <f t="shared" si="33"/>
        <v>1317.1532400000003</v>
      </c>
      <c r="M151" s="1763">
        <f t="shared" si="33"/>
        <v>1536.6787800000002</v>
      </c>
      <c r="N151" s="1763">
        <f t="shared" si="33"/>
        <v>1756.2043200000005</v>
      </c>
      <c r="O151" s="1763">
        <f t="shared" si="33"/>
        <v>1975.7298600000006</v>
      </c>
      <c r="P151" s="1763">
        <f t="shared" si="33"/>
        <v>2195.2554000000005</v>
      </c>
      <c r="Q151" s="1763">
        <f t="shared" si="33"/>
        <v>2414.780940000001</v>
      </c>
      <c r="R151" s="1763">
        <f t="shared" si="33"/>
        <v>2634.3064800000006</v>
      </c>
      <c r="S151" s="1763">
        <f t="shared" si="33"/>
        <v>2853.8320200000007</v>
      </c>
      <c r="T151" s="1763">
        <f t="shared" si="33"/>
        <v>3073.3575600000004</v>
      </c>
      <c r="U151" s="1763">
        <f t="shared" si="33"/>
        <v>3292.8831000000009</v>
      </c>
      <c r="V151" s="1764">
        <f t="shared" si="33"/>
        <v>3512.408640000001</v>
      </c>
      <c r="W151" s="1762">
        <f t="shared" si="33"/>
        <v>3731.9341800000007</v>
      </c>
      <c r="X151" s="1763">
        <f t="shared" si="33"/>
        <v>3951.4597200000012</v>
      </c>
      <c r="Y151" s="1763">
        <f t="shared" si="33"/>
        <v>4170.9852600000004</v>
      </c>
      <c r="Z151" s="1763">
        <f t="shared" si="33"/>
        <v>4390.5108000000009</v>
      </c>
      <c r="AA151" s="1763">
        <f t="shared" si="33"/>
        <v>4610.0363400000015</v>
      </c>
      <c r="AB151" s="1763">
        <f t="shared" si="33"/>
        <v>4829.561880000002</v>
      </c>
      <c r="AC151" s="1763">
        <f t="shared" si="33"/>
        <v>5049.0874200000007</v>
      </c>
      <c r="AD151" s="1763">
        <f t="shared" si="33"/>
        <v>5268.6129600000013</v>
      </c>
      <c r="AE151" s="1763">
        <f t="shared" si="33"/>
        <v>5488.1385000000009</v>
      </c>
      <c r="AF151" s="1764">
        <f t="shared" si="33"/>
        <v>5707.6640400000015</v>
      </c>
      <c r="AG151" s="1765">
        <f t="shared" si="33"/>
        <v>5927.189580000002</v>
      </c>
      <c r="AH151" s="1763">
        <f t="shared" si="33"/>
        <v>6146.7151200000008</v>
      </c>
      <c r="AI151" s="1763">
        <f t="shared" si="33"/>
        <v>6366.2406600000013</v>
      </c>
      <c r="AJ151" s="1763">
        <f t="shared" si="33"/>
        <v>6585.7662000000018</v>
      </c>
      <c r="AK151" s="1763">
        <f t="shared" si="33"/>
        <v>6805.2917400000015</v>
      </c>
      <c r="AL151" s="1763">
        <f t="shared" si="33"/>
        <v>7024.817280000002</v>
      </c>
      <c r="AM151" s="1763">
        <f t="shared" si="33"/>
        <v>7244.3428200000017</v>
      </c>
      <c r="AN151" s="1763">
        <f t="shared" si="33"/>
        <v>7463.8683600000013</v>
      </c>
      <c r="AO151" s="1763">
        <f t="shared" si="33"/>
        <v>7683.3939000000009</v>
      </c>
      <c r="AP151" s="1766">
        <f t="shared" si="33"/>
        <v>7902.9194400000024</v>
      </c>
      <c r="AQ151" s="1762">
        <f t="shared" ref="AQ151:BG151" si="34">((AQ$138-$I$4)/1000)*IF($C$13=0,$R$30,$R$47)*(($C$8/70)^$AC$47)*IF($C$13=1,$AH$47,IF($C$13=2,$AI$47,IF($C$13=3,$AJ$47,1)))</f>
        <v>8122.444980000002</v>
      </c>
      <c r="AR151" s="1763">
        <f t="shared" si="34"/>
        <v>8341.9705200000008</v>
      </c>
      <c r="AS151" s="1763">
        <f t="shared" si="34"/>
        <v>8561.4960600000031</v>
      </c>
      <c r="AT151" s="1763">
        <f t="shared" si="34"/>
        <v>8781.0216000000019</v>
      </c>
      <c r="AU151" s="1763">
        <f t="shared" si="34"/>
        <v>9000.5471400000024</v>
      </c>
      <c r="AV151" s="1763">
        <f t="shared" si="34"/>
        <v>9220.0726800000029</v>
      </c>
      <c r="AW151" s="1763">
        <f t="shared" si="34"/>
        <v>9439.5982200000017</v>
      </c>
      <c r="AX151" s="1763">
        <f t="shared" si="34"/>
        <v>9659.123760000004</v>
      </c>
      <c r="AY151" s="1763">
        <f t="shared" si="34"/>
        <v>9878.6493000000028</v>
      </c>
      <c r="AZ151" s="1764">
        <f t="shared" si="34"/>
        <v>10098.174840000001</v>
      </c>
      <c r="BA151" s="1762">
        <f t="shared" si="34"/>
        <v>10317.700380000002</v>
      </c>
      <c r="BB151" s="1763">
        <f t="shared" si="34"/>
        <v>10537.225920000003</v>
      </c>
      <c r="BC151" s="1763">
        <f t="shared" si="34"/>
        <v>10756.751460000003</v>
      </c>
      <c r="BD151" s="1763">
        <f t="shared" si="34"/>
        <v>10976.277000000002</v>
      </c>
      <c r="BE151" s="1763">
        <f t="shared" si="34"/>
        <v>11195.802540000002</v>
      </c>
      <c r="BF151" s="1763">
        <f t="shared" si="34"/>
        <v>11415.328080000003</v>
      </c>
      <c r="BG151" s="1764">
        <f t="shared" si="34"/>
        <v>11634.853620000004</v>
      </c>
      <c r="BH151" s="1984"/>
      <c r="BI151" s="1984"/>
      <c r="BK151" s="632">
        <f t="shared" si="11"/>
        <v>1.0104745239044266</v>
      </c>
      <c r="BL151" s="632">
        <f t="shared" si="11"/>
        <v>1.0104745239044266</v>
      </c>
      <c r="BM151" s="632">
        <f t="shared" si="11"/>
        <v>1.0104745239044268</v>
      </c>
      <c r="BN151" s="632">
        <f t="shared" si="11"/>
        <v>1.0104745239044266</v>
      </c>
      <c r="BO151" s="632">
        <f t="shared" si="11"/>
        <v>1.0104745239044266</v>
      </c>
      <c r="BP151" s="632">
        <f t="shared" si="11"/>
        <v>1.0104745239044266</v>
      </c>
      <c r="BQ151" s="632">
        <f t="shared" si="11"/>
        <v>1.0104745239044264</v>
      </c>
      <c r="BR151" s="632">
        <f t="shared" si="11"/>
        <v>1.0104745239044266</v>
      </c>
      <c r="BS151" s="632">
        <f t="shared" si="11"/>
        <v>1.0104745239044266</v>
      </c>
      <c r="BT151" s="632">
        <f t="shared" si="11"/>
        <v>1.0104745239044268</v>
      </c>
      <c r="BU151" s="632">
        <f t="shared" si="11"/>
        <v>1.0104745239044266</v>
      </c>
      <c r="BV151" s="632">
        <f t="shared" si="11"/>
        <v>1.0104745239044266</v>
      </c>
      <c r="BW151" s="632">
        <f t="shared" si="11"/>
        <v>1.0104745239044266</v>
      </c>
      <c r="BX151" s="632">
        <f t="shared" si="11"/>
        <v>1.0104745239044266</v>
      </c>
      <c r="BY151" s="632">
        <f t="shared" si="11"/>
        <v>1.0104745239044266</v>
      </c>
      <c r="BZ151" s="632">
        <f t="shared" si="11"/>
        <v>1.0104745239044266</v>
      </c>
      <c r="CA151" s="632">
        <f t="shared" si="12"/>
        <v>1.0104745239044264</v>
      </c>
      <c r="CB151" s="632">
        <f t="shared" si="12"/>
        <v>1.0104745239044264</v>
      </c>
      <c r="CC151" s="632">
        <f t="shared" si="12"/>
        <v>1.0104745239044266</v>
      </c>
      <c r="CD151" s="632">
        <f t="shared" si="12"/>
        <v>1.0104745239044266</v>
      </c>
      <c r="CE151" s="632">
        <f t="shared" si="12"/>
        <v>1.0104745239044266</v>
      </c>
      <c r="CF151" s="632">
        <f t="shared" si="12"/>
        <v>1.0104745239044266</v>
      </c>
      <c r="CG151" s="632">
        <f t="shared" si="12"/>
        <v>1.0104745239044266</v>
      </c>
      <c r="CH151" s="632">
        <f t="shared" si="12"/>
        <v>1.0104745239044268</v>
      </c>
      <c r="CI151" s="632">
        <f t="shared" si="12"/>
        <v>1.0104745239044266</v>
      </c>
      <c r="CJ151" s="632">
        <f t="shared" si="12"/>
        <v>1.0104745239044266</v>
      </c>
      <c r="CK151" s="632">
        <f t="shared" si="12"/>
        <v>1.0104745239044268</v>
      </c>
      <c r="CL151" s="632">
        <f t="shared" si="12"/>
        <v>1.0104745239044266</v>
      </c>
      <c r="CM151" s="632">
        <f t="shared" si="12"/>
        <v>1.0104745239044266</v>
      </c>
      <c r="CN151" s="632">
        <f t="shared" si="12"/>
        <v>1.0104745239044266</v>
      </c>
      <c r="CO151" s="632">
        <f t="shared" si="12"/>
        <v>1.0104745239044266</v>
      </c>
      <c r="CP151" s="632">
        <f t="shared" si="12"/>
        <v>1.0104745239044266</v>
      </c>
      <c r="CQ151" s="632">
        <f t="shared" si="13"/>
        <v>1.0104745239044266</v>
      </c>
      <c r="CR151" s="632">
        <f t="shared" si="13"/>
        <v>1.0104745239044266</v>
      </c>
      <c r="CS151" s="632">
        <f t="shared" si="13"/>
        <v>1.0104745239044264</v>
      </c>
      <c r="CT151" s="632">
        <f t="shared" si="13"/>
        <v>1.0104745239044266</v>
      </c>
      <c r="CU151" s="632">
        <f t="shared" si="13"/>
        <v>1.0104745239044266</v>
      </c>
      <c r="CV151" s="632">
        <f t="shared" si="13"/>
        <v>1.0104745239044264</v>
      </c>
      <c r="CW151" s="632">
        <f t="shared" si="13"/>
        <v>1.0104745239044266</v>
      </c>
      <c r="CX151" s="632">
        <f t="shared" si="13"/>
        <v>1.0104745239044264</v>
      </c>
      <c r="CY151" s="632">
        <f t="shared" si="13"/>
        <v>1.0104745239044266</v>
      </c>
      <c r="CZ151" s="632">
        <f t="shared" si="13"/>
        <v>1.0104745239044266</v>
      </c>
      <c r="DA151" s="632">
        <f t="shared" si="13"/>
        <v>1.0104745239044268</v>
      </c>
      <c r="DB151" s="632">
        <f t="shared" si="13"/>
        <v>1.0104745239044266</v>
      </c>
      <c r="DC151" s="632">
        <f t="shared" si="13"/>
        <v>1.0104745239044266</v>
      </c>
      <c r="DD151" s="632">
        <f t="shared" si="13"/>
        <v>1.0104745239044266</v>
      </c>
      <c r="DE151" s="632">
        <f t="shared" si="13"/>
        <v>1.0104745239044266</v>
      </c>
      <c r="DF151" s="632">
        <f t="shared" si="13"/>
        <v>1.0104745239044266</v>
      </c>
      <c r="DG151" s="632">
        <f t="shared" si="14"/>
        <v>1.0104745239044266</v>
      </c>
    </row>
    <row r="152" spans="1:111" ht="15.75" hidden="1" customHeight="1">
      <c r="A152" s="2309"/>
      <c r="B152" s="2492" t="s">
        <v>552</v>
      </c>
      <c r="C152" s="2493"/>
      <c r="D152" s="2489"/>
      <c r="E152" s="1767" t="s">
        <v>226</v>
      </c>
      <c r="F152" s="1768">
        <v>75</v>
      </c>
      <c r="G152" s="1768">
        <v>400</v>
      </c>
      <c r="H152" s="1768">
        <v>4</v>
      </c>
      <c r="I152" s="1769"/>
      <c r="J152" s="1770"/>
      <c r="K152" s="1771">
        <f t="shared" ref="K152:AP152" si="35">((K$138-$I$4)/1000)*IF($C$13=0,$S$30,$S$47)*(($C$8/70)^$AD$47)*IF($C$13=1,$AH$47,IF($C$13=2,$AI$47,IF($C$13=3,$AJ$47,1)))</f>
        <v>1179.1221000000003</v>
      </c>
      <c r="L152" s="1772">
        <f t="shared" si="35"/>
        <v>1414.9465200000002</v>
      </c>
      <c r="M152" s="1772">
        <f t="shared" si="35"/>
        <v>1650.7709400000001</v>
      </c>
      <c r="N152" s="1772">
        <f t="shared" si="35"/>
        <v>1886.5953600000003</v>
      </c>
      <c r="O152" s="1772">
        <f t="shared" si="35"/>
        <v>2122.4197800000006</v>
      </c>
      <c r="P152" s="1772">
        <f t="shared" si="35"/>
        <v>2358.2442000000005</v>
      </c>
      <c r="Q152" s="1772">
        <f t="shared" si="35"/>
        <v>2594.0686200000005</v>
      </c>
      <c r="R152" s="1772">
        <f t="shared" si="35"/>
        <v>2829.8930400000004</v>
      </c>
      <c r="S152" s="1772">
        <f t="shared" si="35"/>
        <v>3065.7174600000008</v>
      </c>
      <c r="T152" s="1772">
        <f t="shared" si="35"/>
        <v>3301.5418800000002</v>
      </c>
      <c r="U152" s="1772">
        <f t="shared" si="35"/>
        <v>3537.3663000000006</v>
      </c>
      <c r="V152" s="1773">
        <f t="shared" si="35"/>
        <v>3773.1907200000005</v>
      </c>
      <c r="W152" s="1771">
        <f t="shared" si="35"/>
        <v>4009.0151400000009</v>
      </c>
      <c r="X152" s="1772">
        <f t="shared" si="35"/>
        <v>4244.8395600000013</v>
      </c>
      <c r="Y152" s="1772">
        <f t="shared" si="35"/>
        <v>4480.6639800000003</v>
      </c>
      <c r="Z152" s="1772">
        <f t="shared" si="35"/>
        <v>4716.4884000000011</v>
      </c>
      <c r="AA152" s="1772">
        <f t="shared" si="35"/>
        <v>4952.312820000001</v>
      </c>
      <c r="AB152" s="1772">
        <f t="shared" si="35"/>
        <v>5188.1372400000009</v>
      </c>
      <c r="AC152" s="1772">
        <f t="shared" si="35"/>
        <v>5423.9616600000008</v>
      </c>
      <c r="AD152" s="1772">
        <f t="shared" si="35"/>
        <v>5659.7860800000008</v>
      </c>
      <c r="AE152" s="1772">
        <f t="shared" si="35"/>
        <v>5895.6105000000007</v>
      </c>
      <c r="AF152" s="1773">
        <f t="shared" si="35"/>
        <v>6131.4349200000015</v>
      </c>
      <c r="AG152" s="1774">
        <f t="shared" si="35"/>
        <v>6367.2593400000014</v>
      </c>
      <c r="AH152" s="1772">
        <f t="shared" si="35"/>
        <v>6603.0837600000004</v>
      </c>
      <c r="AI152" s="1772">
        <f t="shared" si="35"/>
        <v>6838.9081800000004</v>
      </c>
      <c r="AJ152" s="1772">
        <f t="shared" si="35"/>
        <v>7074.7326000000012</v>
      </c>
      <c r="AK152" s="1772">
        <f t="shared" si="35"/>
        <v>7310.5570200000011</v>
      </c>
      <c r="AL152" s="1772">
        <f t="shared" si="35"/>
        <v>7546.381440000001</v>
      </c>
      <c r="AM152" s="1772">
        <f t="shared" si="35"/>
        <v>7782.2058600000018</v>
      </c>
      <c r="AN152" s="1772">
        <f t="shared" si="35"/>
        <v>8018.0302800000018</v>
      </c>
      <c r="AO152" s="1772">
        <f t="shared" si="35"/>
        <v>8253.8547000000017</v>
      </c>
      <c r="AP152" s="1775">
        <f t="shared" si="35"/>
        <v>8489.6791200000025</v>
      </c>
      <c r="AQ152" s="1771">
        <f t="shared" ref="AQ152:BG152" si="36">((AQ$138-$I$4)/1000)*IF($C$13=0,$S$30,$S$47)*(($C$8/70)^$AD$47)*IF($C$13=1,$AH$47,IF($C$13=2,$AI$47,IF($C$13=3,$AJ$47,1)))</f>
        <v>8725.5035400000015</v>
      </c>
      <c r="AR152" s="1772">
        <f t="shared" si="36"/>
        <v>8961.3279600000005</v>
      </c>
      <c r="AS152" s="1772">
        <f t="shared" si="36"/>
        <v>9197.1523800000014</v>
      </c>
      <c r="AT152" s="1772">
        <f t="shared" si="36"/>
        <v>9432.9768000000022</v>
      </c>
      <c r="AU152" s="1772">
        <f t="shared" si="36"/>
        <v>9668.8012199999994</v>
      </c>
      <c r="AV152" s="1772">
        <f t="shared" si="36"/>
        <v>9904.625640000002</v>
      </c>
      <c r="AW152" s="1772">
        <f t="shared" si="36"/>
        <v>10140.450060000001</v>
      </c>
      <c r="AX152" s="1772">
        <f t="shared" si="36"/>
        <v>10376.274480000002</v>
      </c>
      <c r="AY152" s="1772">
        <f t="shared" si="36"/>
        <v>10612.098900000001</v>
      </c>
      <c r="AZ152" s="1773">
        <f t="shared" si="36"/>
        <v>10847.923320000002</v>
      </c>
      <c r="BA152" s="1771">
        <f t="shared" si="36"/>
        <v>11083.747740000001</v>
      </c>
      <c r="BB152" s="1772">
        <f t="shared" si="36"/>
        <v>11319.572160000002</v>
      </c>
      <c r="BC152" s="1772">
        <f t="shared" si="36"/>
        <v>11555.396580000002</v>
      </c>
      <c r="BD152" s="1772">
        <f t="shared" si="36"/>
        <v>11791.221000000001</v>
      </c>
      <c r="BE152" s="1772">
        <f t="shared" si="36"/>
        <v>12027.04542</v>
      </c>
      <c r="BF152" s="1772">
        <f t="shared" si="36"/>
        <v>12262.869840000003</v>
      </c>
      <c r="BG152" s="1773">
        <f t="shared" si="36"/>
        <v>12498.694260000002</v>
      </c>
      <c r="BH152" s="1984"/>
      <c r="BI152" s="1984"/>
      <c r="BK152" s="632">
        <f t="shared" si="11"/>
        <v>1.0257624719272074</v>
      </c>
      <c r="BL152" s="632">
        <f t="shared" si="11"/>
        <v>1.0257624719272074</v>
      </c>
      <c r="BM152" s="632">
        <f t="shared" si="11"/>
        <v>1.0257624719272074</v>
      </c>
      <c r="BN152" s="632">
        <f t="shared" si="11"/>
        <v>1.0257624719272074</v>
      </c>
      <c r="BO152" s="632">
        <f t="shared" si="11"/>
        <v>1.0257624719272072</v>
      </c>
      <c r="BP152" s="632">
        <f t="shared" si="11"/>
        <v>1.0257624719272074</v>
      </c>
      <c r="BQ152" s="632">
        <f t="shared" si="11"/>
        <v>1.0257624719272074</v>
      </c>
      <c r="BR152" s="632">
        <f t="shared" si="11"/>
        <v>1.0257624719272074</v>
      </c>
      <c r="BS152" s="632">
        <f t="shared" si="11"/>
        <v>1.0257624719272074</v>
      </c>
      <c r="BT152" s="632">
        <f t="shared" si="11"/>
        <v>1.0257624719272074</v>
      </c>
      <c r="BU152" s="632">
        <f t="shared" si="11"/>
        <v>1.0257624719272074</v>
      </c>
      <c r="BV152" s="632">
        <f t="shared" si="11"/>
        <v>1.0257624719272074</v>
      </c>
      <c r="BW152" s="632">
        <f t="shared" si="11"/>
        <v>1.0257624719272072</v>
      </c>
      <c r="BX152" s="632">
        <f t="shared" si="11"/>
        <v>1.0257624719272072</v>
      </c>
      <c r="BY152" s="632">
        <f t="shared" si="11"/>
        <v>1.0257624719272074</v>
      </c>
      <c r="BZ152" s="632">
        <f t="shared" si="11"/>
        <v>1.0257624719272074</v>
      </c>
      <c r="CA152" s="632">
        <f t="shared" si="12"/>
        <v>1.0257624719272074</v>
      </c>
      <c r="CB152" s="632">
        <f t="shared" si="12"/>
        <v>1.0257624719272074</v>
      </c>
      <c r="CC152" s="632">
        <f t="shared" si="12"/>
        <v>1.0257624719272072</v>
      </c>
      <c r="CD152" s="632">
        <f t="shared" si="12"/>
        <v>1.0257624719272074</v>
      </c>
      <c r="CE152" s="632">
        <f t="shared" si="12"/>
        <v>1.0257624719272074</v>
      </c>
      <c r="CF152" s="632">
        <f t="shared" si="12"/>
        <v>1.0257624719272074</v>
      </c>
      <c r="CG152" s="632">
        <f t="shared" si="12"/>
        <v>1.0257624719272074</v>
      </c>
      <c r="CH152" s="632">
        <f t="shared" si="12"/>
        <v>1.0257624719272074</v>
      </c>
      <c r="CI152" s="632">
        <f t="shared" si="12"/>
        <v>1.0257624719272074</v>
      </c>
      <c r="CJ152" s="632">
        <f t="shared" si="12"/>
        <v>1.0257624719272074</v>
      </c>
      <c r="CK152" s="632">
        <f t="shared" si="12"/>
        <v>1.0257624719272074</v>
      </c>
      <c r="CL152" s="632">
        <f t="shared" si="12"/>
        <v>1.0257624719272074</v>
      </c>
      <c r="CM152" s="632">
        <f t="shared" si="12"/>
        <v>1.0257624719272072</v>
      </c>
      <c r="CN152" s="632">
        <f t="shared" si="12"/>
        <v>1.0257624719272072</v>
      </c>
      <c r="CO152" s="632">
        <f t="shared" si="12"/>
        <v>1.0257624719272074</v>
      </c>
      <c r="CP152" s="632">
        <f t="shared" si="12"/>
        <v>1.0257624719272072</v>
      </c>
      <c r="CQ152" s="632">
        <f t="shared" si="13"/>
        <v>1.0257624719272074</v>
      </c>
      <c r="CR152" s="632">
        <f t="shared" si="13"/>
        <v>1.0257624719272074</v>
      </c>
      <c r="CS152" s="632">
        <f t="shared" si="13"/>
        <v>1.0257624719272074</v>
      </c>
      <c r="CT152" s="632">
        <f t="shared" si="13"/>
        <v>1.0257624719272074</v>
      </c>
      <c r="CU152" s="632">
        <f t="shared" si="13"/>
        <v>1.0257624719272074</v>
      </c>
      <c r="CV152" s="632">
        <f t="shared" si="13"/>
        <v>1.0257624719272074</v>
      </c>
      <c r="CW152" s="632">
        <f t="shared" si="13"/>
        <v>1.0257624719272072</v>
      </c>
      <c r="CX152" s="632">
        <f t="shared" si="13"/>
        <v>1.0257624719272074</v>
      </c>
      <c r="CY152" s="632">
        <f t="shared" si="13"/>
        <v>1.0257624719272074</v>
      </c>
      <c r="CZ152" s="632">
        <f t="shared" si="13"/>
        <v>1.0257624719272072</v>
      </c>
      <c r="DA152" s="632">
        <f t="shared" si="13"/>
        <v>1.0257624719272074</v>
      </c>
      <c r="DB152" s="632">
        <f t="shared" si="13"/>
        <v>1.0257624719272074</v>
      </c>
      <c r="DC152" s="632">
        <f t="shared" si="13"/>
        <v>1.0257624719272076</v>
      </c>
      <c r="DD152" s="632">
        <f t="shared" si="13"/>
        <v>1.0257624719272074</v>
      </c>
      <c r="DE152" s="632">
        <f t="shared" si="13"/>
        <v>1.0257624719272074</v>
      </c>
      <c r="DF152" s="632">
        <f t="shared" si="13"/>
        <v>1.0257624719272074</v>
      </c>
      <c r="DG152" s="632">
        <f t="shared" si="14"/>
        <v>1.0257624719272074</v>
      </c>
    </row>
    <row r="153" spans="1:111" ht="15" hidden="1" customHeight="1">
      <c r="A153" s="2309"/>
      <c r="B153" s="2494" t="s">
        <v>553</v>
      </c>
      <c r="C153" s="2495"/>
      <c r="D153" s="2496"/>
      <c r="E153" s="1776" t="s">
        <v>226</v>
      </c>
      <c r="F153" s="1777">
        <v>80</v>
      </c>
      <c r="G153" s="1777">
        <v>260</v>
      </c>
      <c r="H153" s="1777">
        <v>2</v>
      </c>
      <c r="I153" s="1778"/>
      <c r="J153" s="1779"/>
      <c r="K153" s="1780">
        <f t="shared" ref="K153:AP153" si="37">((K$138-$I$4)/1000)*IF($C$13=0,$N$31,$N$48)*(($C$8/70)^$Y$48)*IF($C$13=1,$AH$48,IF($C$13=2,$AI$48,IF($C$13=3,$AJ$48,1)))</f>
        <v>748.95911999999998</v>
      </c>
      <c r="L153" s="1781">
        <f t="shared" si="37"/>
        <v>898.750944</v>
      </c>
      <c r="M153" s="1781">
        <f t="shared" si="37"/>
        <v>1048.542768</v>
      </c>
      <c r="N153" s="1781">
        <f t="shared" si="37"/>
        <v>1198.3345920000002</v>
      </c>
      <c r="O153" s="1781">
        <f t="shared" si="37"/>
        <v>1348.1264160000001</v>
      </c>
      <c r="P153" s="1781">
        <f t="shared" si="37"/>
        <v>1497.91824</v>
      </c>
      <c r="Q153" s="1781">
        <f t="shared" si="37"/>
        <v>1647.7100640000003</v>
      </c>
      <c r="R153" s="1781">
        <f t="shared" si="37"/>
        <v>1797.501888</v>
      </c>
      <c r="S153" s="1781">
        <f t="shared" si="37"/>
        <v>1947.2937120000001</v>
      </c>
      <c r="T153" s="1781">
        <f t="shared" si="37"/>
        <v>2097.085536</v>
      </c>
      <c r="U153" s="1781">
        <f t="shared" si="37"/>
        <v>2246.87736</v>
      </c>
      <c r="V153" s="1782">
        <f t="shared" si="37"/>
        <v>2396.6691840000003</v>
      </c>
      <c r="W153" s="1780">
        <f t="shared" si="37"/>
        <v>2546.4610079999998</v>
      </c>
      <c r="X153" s="1781">
        <f t="shared" si="37"/>
        <v>2696.2528320000001</v>
      </c>
      <c r="Y153" s="1781">
        <f t="shared" si="37"/>
        <v>2846.044656</v>
      </c>
      <c r="Z153" s="1781">
        <f t="shared" si="37"/>
        <v>2995.8364799999999</v>
      </c>
      <c r="AA153" s="1781">
        <f t="shared" si="37"/>
        <v>3145.6283040000003</v>
      </c>
      <c r="AB153" s="1781">
        <f t="shared" si="37"/>
        <v>3295.4201280000007</v>
      </c>
      <c r="AC153" s="1781">
        <f t="shared" si="37"/>
        <v>3445.2119519999997</v>
      </c>
      <c r="AD153" s="1781">
        <f t="shared" si="37"/>
        <v>3595.003776</v>
      </c>
      <c r="AE153" s="1781">
        <f t="shared" si="37"/>
        <v>3744.7955999999999</v>
      </c>
      <c r="AF153" s="1782">
        <f t="shared" si="37"/>
        <v>3894.5874240000003</v>
      </c>
      <c r="AG153" s="1783">
        <f t="shared" si="37"/>
        <v>4044.3792480000006</v>
      </c>
      <c r="AH153" s="1781">
        <f t="shared" si="37"/>
        <v>4194.1710720000001</v>
      </c>
      <c r="AI153" s="1781">
        <f t="shared" si="37"/>
        <v>4343.962896</v>
      </c>
      <c r="AJ153" s="1781">
        <f t="shared" si="37"/>
        <v>4493.7547199999999</v>
      </c>
      <c r="AK153" s="1781">
        <f t="shared" si="37"/>
        <v>4643.5465440000007</v>
      </c>
      <c r="AL153" s="1781">
        <f t="shared" si="37"/>
        <v>4793.3383680000006</v>
      </c>
      <c r="AM153" s="1781">
        <f t="shared" si="37"/>
        <v>4943.1301919999996</v>
      </c>
      <c r="AN153" s="1781">
        <f t="shared" si="37"/>
        <v>5092.9220159999995</v>
      </c>
      <c r="AO153" s="1781">
        <f t="shared" si="37"/>
        <v>5242.7138400000003</v>
      </c>
      <c r="AP153" s="1784">
        <f t="shared" si="37"/>
        <v>5392.5056640000003</v>
      </c>
      <c r="AQ153" s="1780">
        <f t="shared" ref="AQ153:BG153" si="38">((AQ$138-$I$4)/1000)*IF($C$13=0,$N$31,$N$48)*(($C$8/70)^$Y$48)*IF($C$13=1,$AH$48,IF($C$13=2,$AI$48,IF($C$13=3,$AJ$48,1)))</f>
        <v>5542.2974880000011</v>
      </c>
      <c r="AR153" s="1781">
        <f t="shared" si="38"/>
        <v>5692.0893120000001</v>
      </c>
      <c r="AS153" s="1781">
        <f t="shared" si="38"/>
        <v>5841.881136</v>
      </c>
      <c r="AT153" s="1781">
        <f t="shared" si="38"/>
        <v>5991.6729599999999</v>
      </c>
      <c r="AU153" s="1781">
        <f t="shared" si="38"/>
        <v>6141.4647839999989</v>
      </c>
      <c r="AV153" s="1781">
        <f t="shared" si="38"/>
        <v>6291.2566080000006</v>
      </c>
      <c r="AW153" s="1781">
        <f t="shared" si="38"/>
        <v>6441.0484319999996</v>
      </c>
      <c r="AX153" s="1781">
        <f t="shared" si="38"/>
        <v>6590.8402560000013</v>
      </c>
      <c r="AY153" s="1781">
        <f t="shared" si="38"/>
        <v>6740.6320800000003</v>
      </c>
      <c r="AZ153" s="1782">
        <f t="shared" si="38"/>
        <v>6890.4239039999993</v>
      </c>
      <c r="BA153" s="1780">
        <f t="shared" si="38"/>
        <v>7040.215728000001</v>
      </c>
      <c r="BB153" s="1781">
        <f t="shared" si="38"/>
        <v>7190.007552</v>
      </c>
      <c r="BC153" s="1781">
        <f t="shared" si="38"/>
        <v>7339.7993760000008</v>
      </c>
      <c r="BD153" s="1781">
        <f t="shared" si="38"/>
        <v>7489.5911999999998</v>
      </c>
      <c r="BE153" s="1781">
        <f t="shared" si="38"/>
        <v>7639.3830239999988</v>
      </c>
      <c r="BF153" s="1781">
        <f t="shared" si="38"/>
        <v>7789.1748480000006</v>
      </c>
      <c r="BG153" s="1782">
        <f t="shared" si="38"/>
        <v>7938.9666719999996</v>
      </c>
      <c r="BH153" s="1984"/>
      <c r="BI153" s="1984"/>
      <c r="BK153" s="632">
        <f t="shared" ref="BK153:BZ154" si="39">K159/K153</f>
        <v>0.7654534125783985</v>
      </c>
      <c r="BL153" s="632">
        <f t="shared" si="39"/>
        <v>0.7654534125783985</v>
      </c>
      <c r="BM153" s="632">
        <f t="shared" si="39"/>
        <v>0.7654534125783985</v>
      </c>
      <c r="BN153" s="632">
        <f t="shared" si="39"/>
        <v>0.76545341257839838</v>
      </c>
      <c r="BO153" s="632">
        <f t="shared" si="39"/>
        <v>0.76545341257839838</v>
      </c>
      <c r="BP153" s="632">
        <f t="shared" si="39"/>
        <v>0.7654534125783985</v>
      </c>
      <c r="BQ153" s="632">
        <f t="shared" si="39"/>
        <v>0.76545341257839827</v>
      </c>
      <c r="BR153" s="632">
        <f t="shared" si="39"/>
        <v>0.74892418694360785</v>
      </c>
      <c r="BS153" s="632">
        <f t="shared" si="39"/>
        <v>0.74892418694360763</v>
      </c>
      <c r="BT153" s="632">
        <f t="shared" si="39"/>
        <v>0.74892418694360774</v>
      </c>
      <c r="BU153" s="632">
        <f t="shared" si="39"/>
        <v>0.74291355944004756</v>
      </c>
      <c r="BV153" s="632">
        <f t="shared" si="39"/>
        <v>0.74291355944004733</v>
      </c>
      <c r="BW153" s="632">
        <f t="shared" si="39"/>
        <v>0.74291355944004756</v>
      </c>
      <c r="BX153" s="632">
        <f t="shared" si="39"/>
        <v>0.73840558881237728</v>
      </c>
      <c r="BY153" s="632">
        <f t="shared" si="39"/>
        <v>0.73840558881237717</v>
      </c>
      <c r="BZ153" s="632">
        <f t="shared" si="39"/>
        <v>0.73840558881237728</v>
      </c>
      <c r="CA153" s="632">
        <f t="shared" ref="CA153:CP154" si="40">AA159/AA153</f>
        <v>0.73840558881237739</v>
      </c>
      <c r="CB153" s="632">
        <f t="shared" si="40"/>
        <v>0.73840558881237717</v>
      </c>
      <c r="CC153" s="632">
        <f t="shared" si="40"/>
        <v>0.73840558881237739</v>
      </c>
      <c r="CD153" s="632">
        <f t="shared" si="40"/>
        <v>0.73840558881237728</v>
      </c>
      <c r="CE153" s="632">
        <f t="shared" si="40"/>
        <v>0.73840558881237739</v>
      </c>
      <c r="CF153" s="632">
        <f t="shared" si="40"/>
        <v>0.73840558881237728</v>
      </c>
      <c r="CG153" s="632">
        <f t="shared" si="40"/>
        <v>0.73840558881237728</v>
      </c>
      <c r="CH153" s="632">
        <f t="shared" si="40"/>
        <v>0.73840558881237728</v>
      </c>
      <c r="CI153" s="632">
        <f t="shared" si="40"/>
        <v>0.73840558881237728</v>
      </c>
      <c r="CJ153" s="632">
        <f t="shared" si="40"/>
        <v>0.73840558881237739</v>
      </c>
      <c r="CK153" s="632">
        <f t="shared" si="40"/>
        <v>0.73840558881237728</v>
      </c>
      <c r="CL153" s="632">
        <f t="shared" si="40"/>
        <v>0.73840558881237728</v>
      </c>
      <c r="CM153" s="632">
        <f t="shared" si="40"/>
        <v>0.73840558881237728</v>
      </c>
      <c r="CN153" s="632">
        <f t="shared" si="40"/>
        <v>0.73840558881237739</v>
      </c>
      <c r="CO153" s="632">
        <f t="shared" si="40"/>
        <v>0.73840558881237739</v>
      </c>
      <c r="CP153" s="632">
        <f t="shared" si="40"/>
        <v>0.73840558881237728</v>
      </c>
      <c r="CQ153" s="632">
        <f t="shared" ref="CQ153:DF154" si="41">AQ159/AQ153</f>
        <v>0.73840558881237717</v>
      </c>
      <c r="CR153" s="632">
        <f t="shared" si="41"/>
        <v>0.73840558881237717</v>
      </c>
      <c r="CS153" s="632">
        <f t="shared" si="41"/>
        <v>0.73840558881237739</v>
      </c>
      <c r="CT153" s="632">
        <f t="shared" si="41"/>
        <v>0.73840558881237728</v>
      </c>
      <c r="CU153" s="632">
        <f t="shared" si="41"/>
        <v>0.7384055888123775</v>
      </c>
      <c r="CV153" s="632">
        <f t="shared" si="41"/>
        <v>0.73840558881237739</v>
      </c>
      <c r="CW153" s="632">
        <f t="shared" si="41"/>
        <v>0.7384055888123775</v>
      </c>
      <c r="CX153" s="632">
        <f t="shared" si="41"/>
        <v>0.73840558881237717</v>
      </c>
      <c r="CY153" s="632">
        <f t="shared" si="41"/>
        <v>0.73840558881237728</v>
      </c>
      <c r="CZ153" s="632">
        <f t="shared" si="41"/>
        <v>0.73840558881237739</v>
      </c>
      <c r="DA153" s="632">
        <f t="shared" si="41"/>
        <v>0.73840558881237728</v>
      </c>
      <c r="DB153" s="632">
        <f t="shared" si="41"/>
        <v>0.73840558881237728</v>
      </c>
      <c r="DC153" s="632">
        <f t="shared" si="41"/>
        <v>0.73840558881237728</v>
      </c>
      <c r="DD153" s="632">
        <f t="shared" si="41"/>
        <v>0.73840558881237739</v>
      </c>
      <c r="DE153" s="632">
        <f t="shared" si="41"/>
        <v>0.73840558881237739</v>
      </c>
      <c r="DF153" s="632">
        <f t="shared" si="41"/>
        <v>0.73840558881237728</v>
      </c>
      <c r="DG153" s="632">
        <f t="shared" ref="CY153:DG154" si="42">BG159/BG153</f>
        <v>0.73840558881237739</v>
      </c>
    </row>
    <row r="154" spans="1:111" ht="15" hidden="1" customHeight="1">
      <c r="A154" s="2309"/>
      <c r="B154" s="2499" t="s">
        <v>554</v>
      </c>
      <c r="C154" s="2500"/>
      <c r="D154" s="2497"/>
      <c r="E154" s="1785" t="s">
        <v>226</v>
      </c>
      <c r="F154" s="1786">
        <v>80</v>
      </c>
      <c r="G154" s="1786">
        <v>300</v>
      </c>
      <c r="H154" s="1786">
        <v>2</v>
      </c>
      <c r="I154" s="1787"/>
      <c r="J154" s="1788"/>
      <c r="K154" s="1789">
        <f t="shared" ref="K154:AP154" si="43">((K$138-$I$4)/1000)*IF($C$13=0,$O$31,$O$48)*(($C$8/70)^$Z$48)*IF($C$13=1,$AH$48,IF($C$13=2,$AI$48,IF($C$13=3,$AJ$48,1)))</f>
        <v>828.04176000000007</v>
      </c>
      <c r="L154" s="1790">
        <f t="shared" si="43"/>
        <v>993.65011200000015</v>
      </c>
      <c r="M154" s="1790">
        <f t="shared" si="43"/>
        <v>1159.258464</v>
      </c>
      <c r="N154" s="1790">
        <f t="shared" si="43"/>
        <v>1324.8668160000002</v>
      </c>
      <c r="O154" s="1790">
        <f t="shared" si="43"/>
        <v>1490.4751680000002</v>
      </c>
      <c r="P154" s="1790">
        <f t="shared" si="43"/>
        <v>1656.0835200000001</v>
      </c>
      <c r="Q154" s="1790">
        <f t="shared" si="43"/>
        <v>1821.6918720000001</v>
      </c>
      <c r="R154" s="1790">
        <f t="shared" si="43"/>
        <v>1987.3002240000003</v>
      </c>
      <c r="S154" s="1790">
        <f t="shared" si="43"/>
        <v>2152.9085760000003</v>
      </c>
      <c r="T154" s="1790">
        <f t="shared" si="43"/>
        <v>2318.516928</v>
      </c>
      <c r="U154" s="1790">
        <f t="shared" si="43"/>
        <v>2484.1252800000002</v>
      </c>
      <c r="V154" s="1791">
        <f t="shared" si="43"/>
        <v>2649.7336320000004</v>
      </c>
      <c r="W154" s="1789">
        <f t="shared" si="43"/>
        <v>2815.3419840000001</v>
      </c>
      <c r="X154" s="1790">
        <f t="shared" si="43"/>
        <v>2980.9503360000003</v>
      </c>
      <c r="Y154" s="1790">
        <f t="shared" si="43"/>
        <v>3146.5586880000001</v>
      </c>
      <c r="Z154" s="1790">
        <f t="shared" si="43"/>
        <v>3312.1670400000003</v>
      </c>
      <c r="AA154" s="1790">
        <f t="shared" si="43"/>
        <v>3477.7753920000009</v>
      </c>
      <c r="AB154" s="1790">
        <f t="shared" si="43"/>
        <v>3643.3837440000002</v>
      </c>
      <c r="AC154" s="1790">
        <f t="shared" si="43"/>
        <v>3808.9920959999999</v>
      </c>
      <c r="AD154" s="1790">
        <f t="shared" si="43"/>
        <v>3974.6004480000006</v>
      </c>
      <c r="AE154" s="1790">
        <f t="shared" si="43"/>
        <v>4140.2088000000003</v>
      </c>
      <c r="AF154" s="1791">
        <f t="shared" si="43"/>
        <v>4305.8171520000005</v>
      </c>
      <c r="AG154" s="1792">
        <f t="shared" si="43"/>
        <v>4471.4255040000007</v>
      </c>
      <c r="AH154" s="1790">
        <f t="shared" si="43"/>
        <v>4637.033856</v>
      </c>
      <c r="AI154" s="1790">
        <f t="shared" si="43"/>
        <v>4802.6422080000002</v>
      </c>
      <c r="AJ154" s="1790">
        <f t="shared" si="43"/>
        <v>4968.2505600000004</v>
      </c>
      <c r="AK154" s="1790">
        <f t="shared" si="43"/>
        <v>5133.8589120000006</v>
      </c>
      <c r="AL154" s="1790">
        <f t="shared" si="43"/>
        <v>5299.4672640000008</v>
      </c>
      <c r="AM154" s="1790">
        <f t="shared" si="43"/>
        <v>5465.0756160000001</v>
      </c>
      <c r="AN154" s="1790">
        <f t="shared" si="43"/>
        <v>5630.6839680000003</v>
      </c>
      <c r="AO154" s="1790">
        <f t="shared" si="43"/>
        <v>5796.2923200000005</v>
      </c>
      <c r="AP154" s="1793">
        <f t="shared" si="43"/>
        <v>5961.9006720000007</v>
      </c>
      <c r="AQ154" s="1789">
        <f t="shared" ref="AQ154:BG154" si="44">((AQ$138-$I$4)/1000)*IF($C$13=0,$O$31,$O$48)*(($C$8/70)^$Z$48)*IF($C$13=1,$AH$48,IF($C$13=2,$AI$48,IF($C$13=3,$AJ$48,1)))</f>
        <v>6127.5090240000009</v>
      </c>
      <c r="AR154" s="1790">
        <f t="shared" si="44"/>
        <v>6293.1173760000001</v>
      </c>
      <c r="AS154" s="1790">
        <f t="shared" si="44"/>
        <v>6458.7257280000003</v>
      </c>
      <c r="AT154" s="1790">
        <f t="shared" si="44"/>
        <v>6624.3340800000005</v>
      </c>
      <c r="AU154" s="1790">
        <f t="shared" si="44"/>
        <v>6789.9424319999998</v>
      </c>
      <c r="AV154" s="1790">
        <f t="shared" si="44"/>
        <v>6955.5507840000018</v>
      </c>
      <c r="AW154" s="1790">
        <f t="shared" si="44"/>
        <v>7121.1591360000002</v>
      </c>
      <c r="AX154" s="1790">
        <f t="shared" si="44"/>
        <v>7286.7674880000004</v>
      </c>
      <c r="AY154" s="1790">
        <f t="shared" si="44"/>
        <v>7452.3758400000015</v>
      </c>
      <c r="AZ154" s="1791">
        <f t="shared" si="44"/>
        <v>7617.9841919999999</v>
      </c>
      <c r="BA154" s="1789">
        <f t="shared" si="44"/>
        <v>7783.592544000001</v>
      </c>
      <c r="BB154" s="1790">
        <f t="shared" si="44"/>
        <v>7949.2008960000012</v>
      </c>
      <c r="BC154" s="1790">
        <f t="shared" si="44"/>
        <v>8114.8092480000014</v>
      </c>
      <c r="BD154" s="1790">
        <f t="shared" si="44"/>
        <v>8280.4176000000007</v>
      </c>
      <c r="BE154" s="1790">
        <f t="shared" si="44"/>
        <v>8446.0259520000018</v>
      </c>
      <c r="BF154" s="1790">
        <f t="shared" si="44"/>
        <v>8611.6343040000011</v>
      </c>
      <c r="BG154" s="1791">
        <f t="shared" si="44"/>
        <v>8777.2426560000004</v>
      </c>
      <c r="BH154" s="1984"/>
      <c r="BI154" s="1984"/>
      <c r="BK154" s="632">
        <f t="shared" si="39"/>
        <v>0.80374098523726611</v>
      </c>
      <c r="BL154" s="632">
        <f t="shared" si="39"/>
        <v>0.80374098523726611</v>
      </c>
      <c r="BM154" s="632">
        <f t="shared" si="39"/>
        <v>0.80374098523726611</v>
      </c>
      <c r="BN154" s="632">
        <f t="shared" si="39"/>
        <v>0.80374098523726623</v>
      </c>
      <c r="BO154" s="632">
        <f t="shared" si="39"/>
        <v>0.80374098523726623</v>
      </c>
      <c r="BP154" s="632">
        <f t="shared" si="39"/>
        <v>0.80374098523726611</v>
      </c>
      <c r="BQ154" s="632">
        <f t="shared" si="39"/>
        <v>0.80374098523726623</v>
      </c>
      <c r="BR154" s="632">
        <f t="shared" si="39"/>
        <v>0.7863849765258214</v>
      </c>
      <c r="BS154" s="632">
        <f t="shared" si="39"/>
        <v>0.78638497652582151</v>
      </c>
      <c r="BT154" s="632">
        <f t="shared" si="39"/>
        <v>0.7863849765258214</v>
      </c>
      <c r="BU154" s="632">
        <f t="shared" si="39"/>
        <v>0.78007370063075077</v>
      </c>
      <c r="BV154" s="632">
        <f t="shared" si="39"/>
        <v>0.78007370063075054</v>
      </c>
      <c r="BW154" s="632">
        <f t="shared" si="39"/>
        <v>0.78007370063075065</v>
      </c>
      <c r="BX154" s="632">
        <f t="shared" si="39"/>
        <v>0.77534024370944754</v>
      </c>
      <c r="BY154" s="632">
        <f t="shared" si="39"/>
        <v>0.77534024370944754</v>
      </c>
      <c r="BZ154" s="632">
        <f t="shared" si="39"/>
        <v>0.77534024370944765</v>
      </c>
      <c r="CA154" s="632">
        <f t="shared" si="40"/>
        <v>0.77534024370944743</v>
      </c>
      <c r="CB154" s="632">
        <f t="shared" si="40"/>
        <v>0.77534024370944765</v>
      </c>
      <c r="CC154" s="632">
        <f t="shared" si="40"/>
        <v>0.77534024370944765</v>
      </c>
      <c r="CD154" s="632">
        <f t="shared" si="40"/>
        <v>0.77534024370944743</v>
      </c>
      <c r="CE154" s="632">
        <f t="shared" si="40"/>
        <v>0.77534024370944754</v>
      </c>
      <c r="CF154" s="632">
        <f t="shared" si="40"/>
        <v>0.77534024370944765</v>
      </c>
      <c r="CG154" s="632">
        <f t="shared" si="40"/>
        <v>0.77534024370944754</v>
      </c>
      <c r="CH154" s="632">
        <f t="shared" si="40"/>
        <v>0.77534024370944754</v>
      </c>
      <c r="CI154" s="632">
        <f t="shared" si="40"/>
        <v>0.77534024370944754</v>
      </c>
      <c r="CJ154" s="632">
        <f t="shared" si="40"/>
        <v>0.77534024370944754</v>
      </c>
      <c r="CK154" s="632">
        <f t="shared" si="40"/>
        <v>0.77534024370944754</v>
      </c>
      <c r="CL154" s="632">
        <f t="shared" si="40"/>
        <v>0.77534024370944754</v>
      </c>
      <c r="CM154" s="632">
        <f t="shared" si="40"/>
        <v>0.77534024370944754</v>
      </c>
      <c r="CN154" s="632">
        <f t="shared" si="40"/>
        <v>0.77534024370944765</v>
      </c>
      <c r="CO154" s="632">
        <f t="shared" si="40"/>
        <v>0.77534024370944754</v>
      </c>
      <c r="CP154" s="632">
        <f t="shared" si="40"/>
        <v>0.77534024370944754</v>
      </c>
      <c r="CQ154" s="632">
        <f t="shared" si="41"/>
        <v>0.77534024370944754</v>
      </c>
      <c r="CR154" s="632">
        <f t="shared" si="41"/>
        <v>0.77534024370944754</v>
      </c>
      <c r="CS154" s="632">
        <f t="shared" si="41"/>
        <v>0.77534024370944765</v>
      </c>
      <c r="CT154" s="632">
        <f t="shared" si="41"/>
        <v>0.77534024370944765</v>
      </c>
      <c r="CU154" s="632">
        <f t="shared" si="41"/>
        <v>0.77534024370944765</v>
      </c>
      <c r="CV154" s="632">
        <f t="shared" si="41"/>
        <v>0.77534024370944743</v>
      </c>
      <c r="CW154" s="632">
        <f t="shared" si="41"/>
        <v>0.77534024370944754</v>
      </c>
      <c r="CX154" s="632">
        <f t="shared" si="41"/>
        <v>0.77534024370944765</v>
      </c>
      <c r="CY154" s="632">
        <f t="shared" si="42"/>
        <v>0.77534024370944754</v>
      </c>
      <c r="CZ154" s="632">
        <f t="shared" si="42"/>
        <v>0.77534024370944765</v>
      </c>
      <c r="DA154" s="632">
        <f t="shared" si="42"/>
        <v>0.77534024370944754</v>
      </c>
      <c r="DB154" s="632">
        <f t="shared" si="42"/>
        <v>0.77534024370944743</v>
      </c>
      <c r="DC154" s="632">
        <f t="shared" si="42"/>
        <v>0.77534024370944754</v>
      </c>
      <c r="DD154" s="632">
        <f t="shared" si="42"/>
        <v>0.77534024370944754</v>
      </c>
      <c r="DE154" s="632">
        <f t="shared" si="42"/>
        <v>0.77534024370944743</v>
      </c>
      <c r="DF154" s="632">
        <f t="shared" si="42"/>
        <v>0.77534024370944765</v>
      </c>
      <c r="DG154" s="632">
        <f t="shared" si="42"/>
        <v>0.77534024370944765</v>
      </c>
    </row>
    <row r="155" spans="1:111" ht="15" hidden="1" customHeight="1">
      <c r="A155" s="2309"/>
      <c r="B155" s="2499" t="s">
        <v>555</v>
      </c>
      <c r="C155" s="2500"/>
      <c r="D155" s="2497"/>
      <c r="E155" s="1785" t="s">
        <v>226</v>
      </c>
      <c r="F155" s="1786">
        <v>80</v>
      </c>
      <c r="G155" s="1786">
        <v>360</v>
      </c>
      <c r="H155" s="1786">
        <v>4</v>
      </c>
      <c r="I155" s="1787"/>
      <c r="J155" s="1788"/>
      <c r="K155" s="1789">
        <f t="shared" ref="K155:AP155" si="45">((K$138-$I$4)/1000)*IF($C$13=0,$R$31,$R$48)*(($C$8/70)^$AC$48)*IF($C$13=1,$AH$48,IF($C$13=2,$AI$48,IF($C$13=3,$AJ$48,1)))</f>
        <v>1109.1248275818111</v>
      </c>
      <c r="L155" s="1790">
        <f t="shared" si="45"/>
        <v>1330.9497930981734</v>
      </c>
      <c r="M155" s="1790">
        <f t="shared" si="45"/>
        <v>1552.7747586145356</v>
      </c>
      <c r="N155" s="1790">
        <f t="shared" si="45"/>
        <v>1774.5997241308978</v>
      </c>
      <c r="O155" s="1790">
        <f t="shared" si="45"/>
        <v>1996.4246896472598</v>
      </c>
      <c r="P155" s="1790">
        <f t="shared" si="45"/>
        <v>2218.2496551636223</v>
      </c>
      <c r="Q155" s="1790">
        <f t="shared" si="45"/>
        <v>2440.0746206799845</v>
      </c>
      <c r="R155" s="1790">
        <f t="shared" si="45"/>
        <v>2661.8995861963467</v>
      </c>
      <c r="S155" s="1790">
        <f t="shared" si="45"/>
        <v>2883.7245517127089</v>
      </c>
      <c r="T155" s="1790">
        <f t="shared" si="45"/>
        <v>3105.5495172290712</v>
      </c>
      <c r="U155" s="1790">
        <f t="shared" si="45"/>
        <v>3327.3744827454334</v>
      </c>
      <c r="V155" s="1791">
        <f t="shared" si="45"/>
        <v>3549.1994482617956</v>
      </c>
      <c r="W155" s="1789">
        <f t="shared" si="45"/>
        <v>3771.0244137781574</v>
      </c>
      <c r="X155" s="1790">
        <f t="shared" si="45"/>
        <v>3992.8493792945196</v>
      </c>
      <c r="Y155" s="1790">
        <f t="shared" si="45"/>
        <v>4214.6743448108818</v>
      </c>
      <c r="Z155" s="1790">
        <f t="shared" si="45"/>
        <v>4436.4993103272445</v>
      </c>
      <c r="AA155" s="1790">
        <f t="shared" si="45"/>
        <v>4658.3242758436063</v>
      </c>
      <c r="AB155" s="1790">
        <f t="shared" si="45"/>
        <v>4880.149241359969</v>
      </c>
      <c r="AC155" s="1790">
        <f t="shared" si="45"/>
        <v>5101.9742068763298</v>
      </c>
      <c r="AD155" s="1790">
        <f t="shared" si="45"/>
        <v>5323.7991723926934</v>
      </c>
      <c r="AE155" s="1790">
        <f t="shared" si="45"/>
        <v>5545.6241379090552</v>
      </c>
      <c r="AF155" s="1791">
        <f t="shared" si="45"/>
        <v>5767.4491034254179</v>
      </c>
      <c r="AG155" s="1792">
        <f t="shared" si="45"/>
        <v>5989.2740689417806</v>
      </c>
      <c r="AH155" s="1790">
        <f t="shared" si="45"/>
        <v>6211.0990344581423</v>
      </c>
      <c r="AI155" s="1790">
        <f t="shared" si="45"/>
        <v>6432.9239999745032</v>
      </c>
      <c r="AJ155" s="1790">
        <f t="shared" si="45"/>
        <v>6654.7489654908668</v>
      </c>
      <c r="AK155" s="1790">
        <f t="shared" si="45"/>
        <v>6876.5739310072295</v>
      </c>
      <c r="AL155" s="1790">
        <f t="shared" si="45"/>
        <v>7098.3988965235912</v>
      </c>
      <c r="AM155" s="1790">
        <f t="shared" si="45"/>
        <v>7320.2238620399521</v>
      </c>
      <c r="AN155" s="1790">
        <f t="shared" si="45"/>
        <v>7542.0488275563148</v>
      </c>
      <c r="AO155" s="1790">
        <f t="shared" si="45"/>
        <v>7763.8737930726766</v>
      </c>
      <c r="AP155" s="1793">
        <f t="shared" si="45"/>
        <v>7985.6987585890392</v>
      </c>
      <c r="AQ155" s="1789">
        <f t="shared" ref="AQ155:BG155" si="46">((AQ$138-$I$4)/1000)*IF($C$13=0,$R$31,$R$48)*(($C$8/70)^$AC$48)*IF($C$13=1,$AH$48,IF($C$13=2,$AI$48,IF($C$13=3,$AJ$48,1)))</f>
        <v>8207.5237241054019</v>
      </c>
      <c r="AR155" s="1790">
        <f t="shared" si="46"/>
        <v>8429.3486896217637</v>
      </c>
      <c r="AS155" s="1790">
        <f t="shared" si="46"/>
        <v>8651.1736551381255</v>
      </c>
      <c r="AT155" s="1790">
        <f t="shared" si="46"/>
        <v>8872.9986206544891</v>
      </c>
      <c r="AU155" s="1790">
        <f t="shared" si="46"/>
        <v>9094.8235861708508</v>
      </c>
      <c r="AV155" s="1790">
        <f t="shared" si="46"/>
        <v>9316.6485516872126</v>
      </c>
      <c r="AW155" s="1790">
        <f t="shared" si="46"/>
        <v>9538.4735172035744</v>
      </c>
      <c r="AX155" s="1790">
        <f t="shared" si="46"/>
        <v>9760.298482719938</v>
      </c>
      <c r="AY155" s="1790">
        <f t="shared" si="46"/>
        <v>9982.1234482362997</v>
      </c>
      <c r="AZ155" s="1791">
        <f t="shared" si="46"/>
        <v>10203.94841375266</v>
      </c>
      <c r="BA155" s="1789">
        <f t="shared" si="46"/>
        <v>10425.773379269025</v>
      </c>
      <c r="BB155" s="1790">
        <f t="shared" si="46"/>
        <v>10647.598344785387</v>
      </c>
      <c r="BC155" s="1790">
        <f t="shared" si="46"/>
        <v>10869.423310301749</v>
      </c>
      <c r="BD155" s="1790">
        <f t="shared" si="46"/>
        <v>11091.24827581811</v>
      </c>
      <c r="BE155" s="1790">
        <f t="shared" si="46"/>
        <v>11313.073241334472</v>
      </c>
      <c r="BF155" s="1790">
        <f t="shared" si="46"/>
        <v>11534.898206850836</v>
      </c>
      <c r="BG155" s="1791">
        <f t="shared" si="46"/>
        <v>11756.723172367198</v>
      </c>
      <c r="BH155" s="1984"/>
      <c r="BI155" s="1984"/>
      <c r="BK155" s="632">
        <f t="shared" ref="BK155:BZ156" si="47">K162/K155</f>
        <v>0.74462578270634205</v>
      </c>
      <c r="BL155" s="632">
        <f t="shared" si="47"/>
        <v>0.74462578270634205</v>
      </c>
      <c r="BM155" s="632">
        <f t="shared" si="47"/>
        <v>0.74462578270634194</v>
      </c>
      <c r="BN155" s="632">
        <f t="shared" si="47"/>
        <v>0.74462578270634205</v>
      </c>
      <c r="BO155" s="632">
        <f t="shared" si="47"/>
        <v>0.74462578270634205</v>
      </c>
      <c r="BP155" s="632">
        <f t="shared" si="47"/>
        <v>0.74462578270634205</v>
      </c>
      <c r="BQ155" s="632">
        <f t="shared" si="47"/>
        <v>0.74462578270634205</v>
      </c>
      <c r="BR155" s="632">
        <f t="shared" si="47"/>
        <v>0.72854630958154865</v>
      </c>
      <c r="BS155" s="632">
        <f t="shared" si="47"/>
        <v>0.72854630958154865</v>
      </c>
      <c r="BT155" s="632">
        <f t="shared" si="47"/>
        <v>0.72854630958154865</v>
      </c>
      <c r="BU155" s="632">
        <f t="shared" si="47"/>
        <v>0.72269922844526013</v>
      </c>
      <c r="BV155" s="632">
        <f t="shared" si="47"/>
        <v>0.72269922844526013</v>
      </c>
      <c r="BW155" s="632">
        <f t="shared" si="47"/>
        <v>0.72269922844526024</v>
      </c>
      <c r="BX155" s="632">
        <f t="shared" si="47"/>
        <v>0.71831391759304375</v>
      </c>
      <c r="BY155" s="632">
        <f t="shared" si="47"/>
        <v>0.71831391759304375</v>
      </c>
      <c r="BZ155" s="632">
        <f t="shared" si="47"/>
        <v>0.71831391759304364</v>
      </c>
      <c r="CA155" s="632">
        <f t="shared" ref="CA155:CP156" si="48">AA162/AA155</f>
        <v>0.71831391759304386</v>
      </c>
      <c r="CB155" s="632">
        <f t="shared" si="48"/>
        <v>0.71831391759304375</v>
      </c>
      <c r="CC155" s="632">
        <f t="shared" si="48"/>
        <v>0.71831391759304397</v>
      </c>
      <c r="CD155" s="632">
        <f t="shared" si="48"/>
        <v>0.71831391759304375</v>
      </c>
      <c r="CE155" s="632">
        <f t="shared" si="48"/>
        <v>0.71831391759304375</v>
      </c>
      <c r="CF155" s="632">
        <f t="shared" si="48"/>
        <v>0.71831391759304386</v>
      </c>
      <c r="CG155" s="632">
        <f t="shared" si="48"/>
        <v>0.71831391759304364</v>
      </c>
      <c r="CH155" s="632">
        <f t="shared" si="48"/>
        <v>0.71831391759304375</v>
      </c>
      <c r="CI155" s="632">
        <f t="shared" si="48"/>
        <v>0.71831391759304397</v>
      </c>
      <c r="CJ155" s="632">
        <f t="shared" si="48"/>
        <v>0.71831391759304364</v>
      </c>
      <c r="CK155" s="632">
        <f t="shared" si="48"/>
        <v>0.71831391759304386</v>
      </c>
      <c r="CL155" s="632">
        <f t="shared" si="48"/>
        <v>0.71831391759304375</v>
      </c>
      <c r="CM155" s="632">
        <f t="shared" si="48"/>
        <v>0.71831391759304386</v>
      </c>
      <c r="CN155" s="632">
        <f t="shared" si="48"/>
        <v>0.71831391759304375</v>
      </c>
      <c r="CO155" s="632">
        <f t="shared" si="48"/>
        <v>0.71831391759304386</v>
      </c>
      <c r="CP155" s="632">
        <f t="shared" si="48"/>
        <v>0.71831391759304375</v>
      </c>
      <c r="CQ155" s="632">
        <f t="shared" ref="CQ155:DF156" si="49">AQ162/AQ155</f>
        <v>0.71831391759304386</v>
      </c>
      <c r="CR155" s="632">
        <f t="shared" si="49"/>
        <v>0.71831391759304375</v>
      </c>
      <c r="CS155" s="632">
        <f t="shared" si="49"/>
        <v>0.71831391759304386</v>
      </c>
      <c r="CT155" s="632">
        <f t="shared" si="49"/>
        <v>0.71831391759304364</v>
      </c>
      <c r="CU155" s="632">
        <f t="shared" si="49"/>
        <v>0.71831391759304364</v>
      </c>
      <c r="CV155" s="632">
        <f t="shared" si="49"/>
        <v>0.71831391759304386</v>
      </c>
      <c r="CW155" s="632">
        <f t="shared" si="49"/>
        <v>0.71831391759304375</v>
      </c>
      <c r="CX155" s="632">
        <f t="shared" si="49"/>
        <v>0.71831391759304375</v>
      </c>
      <c r="CY155" s="632">
        <f t="shared" si="49"/>
        <v>0.71831391759304375</v>
      </c>
      <c r="CZ155" s="632">
        <f t="shared" si="49"/>
        <v>0.71831391759304397</v>
      </c>
      <c r="DA155" s="632">
        <f t="shared" si="49"/>
        <v>0.71831391759304375</v>
      </c>
      <c r="DB155" s="632">
        <f t="shared" si="49"/>
        <v>0.71831391759304375</v>
      </c>
      <c r="DC155" s="632">
        <f t="shared" si="49"/>
        <v>0.71831391759304375</v>
      </c>
      <c r="DD155" s="632">
        <f t="shared" si="49"/>
        <v>0.71831391759304375</v>
      </c>
      <c r="DE155" s="632">
        <f t="shared" si="49"/>
        <v>0.71831391759304375</v>
      </c>
      <c r="DF155" s="632">
        <f t="shared" si="49"/>
        <v>0.71831391759304386</v>
      </c>
      <c r="DG155" s="632">
        <f t="shared" ref="CY155:DG156" si="50">BG162/BG155</f>
        <v>0.71831391759304375</v>
      </c>
    </row>
    <row r="156" spans="1:111" ht="15.75" hidden="1" customHeight="1">
      <c r="A156" s="2309"/>
      <c r="B156" s="2501" t="s">
        <v>556</v>
      </c>
      <c r="C156" s="2502"/>
      <c r="D156" s="2498"/>
      <c r="E156" s="1794" t="s">
        <v>226</v>
      </c>
      <c r="F156" s="1795">
        <v>80</v>
      </c>
      <c r="G156" s="1795">
        <v>400</v>
      </c>
      <c r="H156" s="1795">
        <v>4</v>
      </c>
      <c r="I156" s="1796"/>
      <c r="J156" s="1797"/>
      <c r="K156" s="1798">
        <f t="shared" ref="K156:AP156" si="51">((K$138-$I$4)/1000)*IF($C$13=0,$S$31,$S$48)*(($C$8/70)^$AD$48)*IF($C$13=1,$AH$48,IF($C$13=2,$AI$48,IF($C$13=3,$AJ$48,1)))</f>
        <v>1209.4992</v>
      </c>
      <c r="L156" s="1799">
        <f t="shared" si="51"/>
        <v>1451.39904</v>
      </c>
      <c r="M156" s="1799">
        <f t="shared" si="51"/>
        <v>1693.2988799999998</v>
      </c>
      <c r="N156" s="1799">
        <f t="shared" si="51"/>
        <v>1935.1987200000001</v>
      </c>
      <c r="O156" s="1799">
        <f t="shared" si="51"/>
        <v>2177.0985599999999</v>
      </c>
      <c r="P156" s="1799">
        <f t="shared" si="51"/>
        <v>2418.9983999999999</v>
      </c>
      <c r="Q156" s="1799">
        <f t="shared" si="51"/>
        <v>2660.89824</v>
      </c>
      <c r="R156" s="1799">
        <f t="shared" si="51"/>
        <v>2902.79808</v>
      </c>
      <c r="S156" s="1799">
        <f t="shared" si="51"/>
        <v>3144.6979200000001</v>
      </c>
      <c r="T156" s="1799">
        <f t="shared" si="51"/>
        <v>3386.5977599999997</v>
      </c>
      <c r="U156" s="1799">
        <f t="shared" si="51"/>
        <v>3628.4975999999997</v>
      </c>
      <c r="V156" s="1800">
        <f t="shared" si="51"/>
        <v>3870.3974400000002</v>
      </c>
      <c r="W156" s="1798">
        <f t="shared" si="51"/>
        <v>4112.2972799999998</v>
      </c>
      <c r="X156" s="1799">
        <f t="shared" si="51"/>
        <v>4354.1971199999998</v>
      </c>
      <c r="Y156" s="1799">
        <f t="shared" si="51"/>
        <v>4596.0969599999999</v>
      </c>
      <c r="Z156" s="1799">
        <f t="shared" si="51"/>
        <v>4837.9967999999999</v>
      </c>
      <c r="AA156" s="1799">
        <f t="shared" si="51"/>
        <v>5079.8966399999999</v>
      </c>
      <c r="AB156" s="1799">
        <f t="shared" si="51"/>
        <v>5321.79648</v>
      </c>
      <c r="AC156" s="1799">
        <f t="shared" si="51"/>
        <v>5563.6963199999991</v>
      </c>
      <c r="AD156" s="1799">
        <f t="shared" si="51"/>
        <v>5805.5961600000001</v>
      </c>
      <c r="AE156" s="1799">
        <f t="shared" si="51"/>
        <v>6047.4960000000001</v>
      </c>
      <c r="AF156" s="1800">
        <f t="shared" si="51"/>
        <v>6289.3958400000001</v>
      </c>
      <c r="AG156" s="1801">
        <f t="shared" si="51"/>
        <v>6531.2956800000002</v>
      </c>
      <c r="AH156" s="1799">
        <f t="shared" si="51"/>
        <v>6773.1955199999993</v>
      </c>
      <c r="AI156" s="1799">
        <f t="shared" si="51"/>
        <v>7015.0953599999993</v>
      </c>
      <c r="AJ156" s="1799">
        <f t="shared" si="51"/>
        <v>7256.9951999999994</v>
      </c>
      <c r="AK156" s="1799">
        <f t="shared" si="51"/>
        <v>7498.8950400000003</v>
      </c>
      <c r="AL156" s="1799">
        <f t="shared" si="51"/>
        <v>7740.7948800000004</v>
      </c>
      <c r="AM156" s="1799">
        <f t="shared" si="51"/>
        <v>7982.6947199999995</v>
      </c>
      <c r="AN156" s="1799">
        <f t="shared" si="51"/>
        <v>8224.5945599999995</v>
      </c>
      <c r="AO156" s="1799">
        <f t="shared" si="51"/>
        <v>8466.4943999999996</v>
      </c>
      <c r="AP156" s="1802">
        <f t="shared" si="51"/>
        <v>8708.3942399999996</v>
      </c>
      <c r="AQ156" s="1798">
        <f t="shared" ref="AQ156:BG156" si="52">((AQ$138-$I$4)/1000)*IF($C$13=0,$S$31,$S$48)*(($C$8/70)^$AD$48)*IF($C$13=1,$AH$48,IF($C$13=2,$AI$48,IF($C$13=3,$AJ$48,1)))</f>
        <v>8950.2940799999997</v>
      </c>
      <c r="AR156" s="1799">
        <f t="shared" si="52"/>
        <v>9192.1939199999997</v>
      </c>
      <c r="AS156" s="1799">
        <f t="shared" si="52"/>
        <v>9434.0937599999997</v>
      </c>
      <c r="AT156" s="1799">
        <f t="shared" si="52"/>
        <v>9675.9935999999998</v>
      </c>
      <c r="AU156" s="1799">
        <f t="shared" si="52"/>
        <v>9917.893439999998</v>
      </c>
      <c r="AV156" s="1799">
        <f t="shared" si="52"/>
        <v>10159.79328</v>
      </c>
      <c r="AW156" s="1799">
        <f t="shared" si="52"/>
        <v>10401.693119999998</v>
      </c>
      <c r="AX156" s="1799">
        <f t="shared" si="52"/>
        <v>10643.59296</v>
      </c>
      <c r="AY156" s="1799">
        <f t="shared" si="52"/>
        <v>10885.4928</v>
      </c>
      <c r="AZ156" s="1800">
        <f t="shared" si="52"/>
        <v>11127.392639999998</v>
      </c>
      <c r="BA156" s="1798">
        <f t="shared" si="52"/>
        <v>11369.29248</v>
      </c>
      <c r="BB156" s="1799">
        <f t="shared" si="52"/>
        <v>11611.19232</v>
      </c>
      <c r="BC156" s="1799">
        <f t="shared" si="52"/>
        <v>11853.092160000002</v>
      </c>
      <c r="BD156" s="1799">
        <f t="shared" si="52"/>
        <v>12094.992</v>
      </c>
      <c r="BE156" s="1799">
        <f t="shared" si="52"/>
        <v>12336.891839999998</v>
      </c>
      <c r="BF156" s="1799">
        <f t="shared" si="52"/>
        <v>12578.79168</v>
      </c>
      <c r="BG156" s="1800">
        <f t="shared" si="52"/>
        <v>12820.69152</v>
      </c>
      <c r="BH156" s="1984"/>
      <c r="BI156" s="1984"/>
      <c r="BK156" s="632">
        <f t="shared" si="47"/>
        <v>0.75557189289583648</v>
      </c>
      <c r="BL156" s="632">
        <f t="shared" si="47"/>
        <v>0.75557189289583648</v>
      </c>
      <c r="BM156" s="632">
        <f t="shared" si="47"/>
        <v>0.75557189289583648</v>
      </c>
      <c r="BN156" s="632">
        <f t="shared" si="47"/>
        <v>0.75557189289583648</v>
      </c>
      <c r="BO156" s="632">
        <f t="shared" si="47"/>
        <v>0.75557189289583648</v>
      </c>
      <c r="BP156" s="632">
        <f t="shared" si="47"/>
        <v>0.75557189289583648</v>
      </c>
      <c r="BQ156" s="632">
        <f t="shared" si="47"/>
        <v>0.75557189289583659</v>
      </c>
      <c r="BR156" s="632">
        <f t="shared" si="47"/>
        <v>0.73925604911520404</v>
      </c>
      <c r="BS156" s="632">
        <f t="shared" si="47"/>
        <v>0.73925604911520393</v>
      </c>
      <c r="BT156" s="632">
        <f t="shared" si="47"/>
        <v>0.73925604911520393</v>
      </c>
      <c r="BU156" s="632">
        <f t="shared" si="47"/>
        <v>0.73332301501315589</v>
      </c>
      <c r="BV156" s="632">
        <f t="shared" si="47"/>
        <v>0.73332301501315578</v>
      </c>
      <c r="BW156" s="632">
        <f t="shared" si="47"/>
        <v>0.73332301501315578</v>
      </c>
      <c r="BX156" s="632">
        <f t="shared" si="47"/>
        <v>0.72887323943661975</v>
      </c>
      <c r="BY156" s="632">
        <f t="shared" si="47"/>
        <v>0.72887323943661964</v>
      </c>
      <c r="BZ156" s="632">
        <f t="shared" si="47"/>
        <v>0.72887323943661975</v>
      </c>
      <c r="CA156" s="632">
        <f t="shared" si="48"/>
        <v>0.72887323943661975</v>
      </c>
      <c r="CB156" s="632">
        <f t="shared" si="48"/>
        <v>0.72887323943661975</v>
      </c>
      <c r="CC156" s="632">
        <f t="shared" si="48"/>
        <v>0.72887323943661964</v>
      </c>
      <c r="CD156" s="632">
        <f t="shared" si="48"/>
        <v>0.72887323943661964</v>
      </c>
      <c r="CE156" s="632">
        <f t="shared" si="48"/>
        <v>0.72887323943661964</v>
      </c>
      <c r="CF156" s="632">
        <f t="shared" si="48"/>
        <v>0.72887323943661964</v>
      </c>
      <c r="CG156" s="632">
        <f t="shared" si="48"/>
        <v>0.72887323943661975</v>
      </c>
      <c r="CH156" s="632">
        <f t="shared" si="48"/>
        <v>0.72887323943661975</v>
      </c>
      <c r="CI156" s="632">
        <f t="shared" si="48"/>
        <v>0.72887323943661964</v>
      </c>
      <c r="CJ156" s="632">
        <f t="shared" si="48"/>
        <v>0.72887323943661975</v>
      </c>
      <c r="CK156" s="632">
        <f t="shared" si="48"/>
        <v>0.72887323943661964</v>
      </c>
      <c r="CL156" s="632">
        <f t="shared" si="48"/>
        <v>0.72887323943661964</v>
      </c>
      <c r="CM156" s="632">
        <f t="shared" si="48"/>
        <v>0.72887323943661975</v>
      </c>
      <c r="CN156" s="632">
        <f t="shared" si="48"/>
        <v>0.72887323943661964</v>
      </c>
      <c r="CO156" s="632">
        <f t="shared" si="48"/>
        <v>0.72887323943661964</v>
      </c>
      <c r="CP156" s="632">
        <f t="shared" si="48"/>
        <v>0.72887323943661975</v>
      </c>
      <c r="CQ156" s="632">
        <f t="shared" si="49"/>
        <v>0.72887323943661975</v>
      </c>
      <c r="CR156" s="632">
        <f t="shared" si="49"/>
        <v>0.72887323943661964</v>
      </c>
      <c r="CS156" s="632">
        <f t="shared" si="49"/>
        <v>0.72887323943661964</v>
      </c>
      <c r="CT156" s="632">
        <f t="shared" si="49"/>
        <v>0.72887323943661975</v>
      </c>
      <c r="CU156" s="632">
        <f t="shared" si="49"/>
        <v>0.72887323943661975</v>
      </c>
      <c r="CV156" s="632">
        <f t="shared" si="49"/>
        <v>0.72887323943661975</v>
      </c>
      <c r="CW156" s="632">
        <f t="shared" si="49"/>
        <v>0.72887323943661975</v>
      </c>
      <c r="CX156" s="632">
        <f t="shared" si="49"/>
        <v>0.72887323943661975</v>
      </c>
      <c r="CY156" s="632">
        <f t="shared" si="50"/>
        <v>0.72887323943661975</v>
      </c>
      <c r="CZ156" s="632">
        <f t="shared" si="50"/>
        <v>0.72887323943661964</v>
      </c>
      <c r="DA156" s="632">
        <f t="shared" si="50"/>
        <v>0.72887323943661975</v>
      </c>
      <c r="DB156" s="632">
        <f t="shared" si="50"/>
        <v>0.72887323943661964</v>
      </c>
      <c r="DC156" s="632">
        <f t="shared" si="50"/>
        <v>0.72887323943661952</v>
      </c>
      <c r="DD156" s="632">
        <f t="shared" si="50"/>
        <v>0.72887323943661964</v>
      </c>
      <c r="DE156" s="632">
        <f t="shared" si="50"/>
        <v>0.72887323943661975</v>
      </c>
      <c r="DF156" s="632">
        <f t="shared" si="50"/>
        <v>0.72887323943661964</v>
      </c>
      <c r="DG156" s="632">
        <f t="shared" si="50"/>
        <v>0.72887323943661964</v>
      </c>
    </row>
    <row r="157" spans="1:111">
      <c r="A157" s="2309"/>
      <c r="B157" s="2180" t="s">
        <v>269</v>
      </c>
      <c r="C157" s="2181"/>
      <c r="D157" s="2479">
        <v>50</v>
      </c>
      <c r="E157" s="1803" t="s">
        <v>226</v>
      </c>
      <c r="F157" s="1803">
        <v>90</v>
      </c>
      <c r="G157" s="1803">
        <v>160</v>
      </c>
      <c r="H157" s="1803">
        <v>2</v>
      </c>
      <c r="I157" s="925"/>
      <c r="J157" s="1804"/>
      <c r="K157" s="1805">
        <f t="shared" ref="K157:AP157" si="53">((K$138-$I$4)/1000)*IF($C$14=0,$L$32,$L$49)*(($C$8/70)^$W$49)*IF($C$14=0,1,IF($C$14&lt;=K$139,$AH$49,IF(AND($C$14&gt;=K$139,$C$14&lt;=K$140),((($AI$49-$AH$49)/(K$140-K$139))*$C$14+($AH$49-(($AI$49-$AH$49)/(K$140-K$139))*K139)),IF($C$14&gt;=K$140,$AI$49,1))))</f>
        <v>385.19918357142859</v>
      </c>
      <c r="L157" s="926">
        <f t="shared" si="53"/>
        <v>462.23902028571428</v>
      </c>
      <c r="M157" s="926">
        <f t="shared" si="53"/>
        <v>539.27885700000002</v>
      </c>
      <c r="N157" s="926">
        <f t="shared" si="53"/>
        <v>616.31869371428581</v>
      </c>
      <c r="O157" s="926">
        <f t="shared" si="53"/>
        <v>693.3585304285715</v>
      </c>
      <c r="P157" s="926">
        <f t="shared" si="53"/>
        <v>770.39836714285718</v>
      </c>
      <c r="Q157" s="926">
        <f t="shared" si="53"/>
        <v>847.43820385714298</v>
      </c>
      <c r="R157" s="926">
        <f t="shared" si="53"/>
        <v>904.51483199999996</v>
      </c>
      <c r="S157" s="926">
        <f t="shared" si="53"/>
        <v>979.89106800000002</v>
      </c>
      <c r="T157" s="926">
        <f t="shared" si="53"/>
        <v>1055.267304</v>
      </c>
      <c r="U157" s="926">
        <f t="shared" si="53"/>
        <v>1121.5693542857143</v>
      </c>
      <c r="V157" s="1806">
        <f t="shared" si="53"/>
        <v>1196.3406445714288</v>
      </c>
      <c r="W157" s="1805">
        <f t="shared" si="53"/>
        <v>1271.1119348571428</v>
      </c>
      <c r="X157" s="926">
        <f t="shared" si="53"/>
        <v>1337.7164580000001</v>
      </c>
      <c r="Y157" s="926">
        <f t="shared" si="53"/>
        <v>1412.0340389999999</v>
      </c>
      <c r="Z157" s="926">
        <f t="shared" si="53"/>
        <v>1486.3516200000001</v>
      </c>
      <c r="AA157" s="926">
        <f t="shared" si="53"/>
        <v>1560.6692010000002</v>
      </c>
      <c r="AB157" s="926">
        <f t="shared" si="53"/>
        <v>1634.9867820000004</v>
      </c>
      <c r="AC157" s="926">
        <f t="shared" si="53"/>
        <v>1709.304363</v>
      </c>
      <c r="AD157" s="926">
        <f t="shared" si="53"/>
        <v>1783.621944</v>
      </c>
      <c r="AE157" s="926">
        <f t="shared" si="53"/>
        <v>1857.9395250000002</v>
      </c>
      <c r="AF157" s="1806">
        <f t="shared" si="53"/>
        <v>1932.2571060000002</v>
      </c>
      <c r="AG157" s="1807">
        <f t="shared" si="53"/>
        <v>2006.574687</v>
      </c>
      <c r="AH157" s="926">
        <f t="shared" si="53"/>
        <v>2080.8922680000001</v>
      </c>
      <c r="AI157" s="926">
        <f t="shared" si="53"/>
        <v>2155.2098489999998</v>
      </c>
      <c r="AJ157" s="926">
        <f t="shared" si="53"/>
        <v>2229.5274300000001</v>
      </c>
      <c r="AK157" s="926">
        <f t="shared" si="53"/>
        <v>2303.8450110000003</v>
      </c>
      <c r="AL157" s="926">
        <f t="shared" si="53"/>
        <v>2378.1625920000006</v>
      </c>
      <c r="AM157" s="926">
        <f t="shared" si="53"/>
        <v>2452.4801729999999</v>
      </c>
      <c r="AN157" s="926">
        <f t="shared" si="53"/>
        <v>2526.7977539999997</v>
      </c>
      <c r="AO157" s="926">
        <f t="shared" si="53"/>
        <v>2601.115335</v>
      </c>
      <c r="AP157" s="1806">
        <f t="shared" si="53"/>
        <v>2675.4329160000002</v>
      </c>
      <c r="AQ157" s="1805">
        <f t="shared" ref="AQ157:BG157" si="54">((AQ$138-$I$4)/1000)*IF($C$14=0,$L$32,$L$49)*(($C$8/70)^$W$49)*IF($C$14=0,1,IF($C$14&lt;=AQ$139,$AH$49,IF(AND($C$14&gt;=AQ$139,$C$14&lt;=AQ$140),((($AI$49-$AH$49)/(AQ$140-AQ$139))*$C$14+($AH$49-(($AI$49-$AH$49)/(AQ$140-AQ$139))*AQ139)),IF($C$14&gt;=AQ$140,$AI$49,1))))</f>
        <v>2749.7504970000005</v>
      </c>
      <c r="AR157" s="926">
        <f t="shared" si="54"/>
        <v>2824.0680779999998</v>
      </c>
      <c r="AS157" s="926">
        <f t="shared" si="54"/>
        <v>2898.385659</v>
      </c>
      <c r="AT157" s="926">
        <f t="shared" si="54"/>
        <v>2972.7032400000003</v>
      </c>
      <c r="AU157" s="926">
        <f t="shared" si="54"/>
        <v>3047.0208210000001</v>
      </c>
      <c r="AV157" s="926">
        <f t="shared" si="54"/>
        <v>3121.3384020000003</v>
      </c>
      <c r="AW157" s="926">
        <f t="shared" si="54"/>
        <v>3195.6559830000001</v>
      </c>
      <c r="AX157" s="926">
        <f t="shared" si="54"/>
        <v>3269.9735640000008</v>
      </c>
      <c r="AY157" s="926">
        <f t="shared" si="54"/>
        <v>3344.2911450000001</v>
      </c>
      <c r="AZ157" s="1806">
        <f t="shared" si="54"/>
        <v>3418.6087259999999</v>
      </c>
      <c r="BA157" s="1808">
        <f t="shared" si="54"/>
        <v>3492.9263070000002</v>
      </c>
      <c r="BB157" s="1809">
        <f t="shared" si="54"/>
        <v>3567.243888</v>
      </c>
      <c r="BC157" s="1809">
        <f t="shared" si="54"/>
        <v>3641.5614690000007</v>
      </c>
      <c r="BD157" s="1809">
        <f t="shared" si="54"/>
        <v>3715.8790500000005</v>
      </c>
      <c r="BE157" s="1809">
        <f t="shared" si="54"/>
        <v>3790.1966309999998</v>
      </c>
      <c r="BF157" s="1809">
        <f t="shared" si="54"/>
        <v>3864.5142120000005</v>
      </c>
      <c r="BG157" s="1806">
        <f t="shared" si="54"/>
        <v>3938.8317930000003</v>
      </c>
      <c r="BH157" s="1807">
        <f t="shared" ref="BH157:CM157" si="55">((BH$138-$I$4)/1000)*IF($C$14=0,$L$32,$L$49)*(($C$8/70)^$W$49)*IF($C$14&lt;=BH$139,$AH$49,IF(AND($C$14&gt;=BH$139,$C$14&lt;=BH$140),((($AI$49-$AH$49)/(BH$140-BH$139))*$C$14+($AH$49-(($AI$49-$AH$49)/(BH$140-BH$139))*BH139)),IF($C$14&gt;=BH$140,$AI$49,1)))</f>
        <v>-520.22306700000001</v>
      </c>
      <c r="BI157" s="926">
        <f t="shared" si="55"/>
        <v>-520.22306700000001</v>
      </c>
      <c r="BJ157" s="926">
        <f t="shared" si="55"/>
        <v>-520.22306700000001</v>
      </c>
      <c r="BK157" s="926">
        <f t="shared" si="55"/>
        <v>222.952743</v>
      </c>
      <c r="BL157" s="926">
        <f t="shared" si="55"/>
        <v>297.27032400000007</v>
      </c>
      <c r="BM157" s="926">
        <f t="shared" si="55"/>
        <v>371.58790500000003</v>
      </c>
      <c r="BN157" s="926">
        <f t="shared" si="55"/>
        <v>503.072856</v>
      </c>
      <c r="BO157" s="926">
        <f t="shared" si="55"/>
        <v>586.91833200000008</v>
      </c>
      <c r="BP157" s="926">
        <f t="shared" si="55"/>
        <v>670.76380800000015</v>
      </c>
      <c r="BQ157" s="926">
        <f t="shared" si="55"/>
        <v>754.60928400000012</v>
      </c>
      <c r="BR157" s="926">
        <f t="shared" si="55"/>
        <v>838.45476000000008</v>
      </c>
      <c r="BS157" s="926">
        <f t="shared" si="55"/>
        <v>922.30023600000027</v>
      </c>
      <c r="BT157" s="926">
        <f t="shared" si="55"/>
        <v>1006.145712</v>
      </c>
      <c r="BU157" s="926">
        <f t="shared" si="55"/>
        <v>1089.9911880000002</v>
      </c>
      <c r="BV157" s="926">
        <f t="shared" si="55"/>
        <v>1173.8366640000002</v>
      </c>
      <c r="BW157" s="926">
        <f t="shared" si="55"/>
        <v>1257.6821400000001</v>
      </c>
      <c r="BX157" s="926">
        <f t="shared" si="55"/>
        <v>1341.5276160000003</v>
      </c>
      <c r="BY157" s="926">
        <f t="shared" si="55"/>
        <v>1425.373092</v>
      </c>
      <c r="BZ157" s="926">
        <f t="shared" si="55"/>
        <v>1509.2185680000002</v>
      </c>
      <c r="CA157" s="926">
        <f t="shared" si="55"/>
        <v>1593.064044</v>
      </c>
      <c r="CB157" s="926">
        <f t="shared" si="55"/>
        <v>1676.9095200000002</v>
      </c>
      <c r="CC157" s="926">
        <f t="shared" si="55"/>
        <v>1760.7549960000003</v>
      </c>
      <c r="CD157" s="926">
        <f t="shared" si="55"/>
        <v>1844.6004720000005</v>
      </c>
      <c r="CE157" s="926">
        <f t="shared" si="55"/>
        <v>1928.445948</v>
      </c>
      <c r="CF157" s="926">
        <f t="shared" si="55"/>
        <v>2012.291424</v>
      </c>
      <c r="CG157" s="926">
        <f t="shared" si="55"/>
        <v>2096.1369000000004</v>
      </c>
      <c r="CH157" s="926">
        <f t="shared" si="55"/>
        <v>2179.9823760000004</v>
      </c>
      <c r="CI157" s="926">
        <f t="shared" si="55"/>
        <v>2263.8278520000003</v>
      </c>
      <c r="CJ157" s="926">
        <f t="shared" si="55"/>
        <v>2347.6733280000003</v>
      </c>
      <c r="CK157" s="926">
        <f t="shared" si="55"/>
        <v>2431.5188039999998</v>
      </c>
      <c r="CL157" s="926">
        <f t="shared" si="55"/>
        <v>2515.3642800000002</v>
      </c>
      <c r="CM157" s="926">
        <f t="shared" si="55"/>
        <v>2599.2097560000002</v>
      </c>
      <c r="CN157" s="926">
        <f t="shared" ref="CN157:DG157" si="56">((CN$138-$I$4)/1000)*IF($C$14=0,$L$32,$L$49)*(($C$8/70)^$W$49)*IF($C$14&lt;=CN$139,$AH$49,IF(AND($C$14&gt;=CN$139,$C$14&lt;=CN$140),((($AI$49-$AH$49)/(CN$140-CN$139))*$C$14+($AH$49-(($AI$49-$AH$49)/(CN$140-CN$139))*CN139)),IF($C$14&gt;=CN$140,$AI$49,1)))</f>
        <v>2683.0552320000006</v>
      </c>
      <c r="CO157" s="926">
        <f t="shared" si="56"/>
        <v>2766.9007080000001</v>
      </c>
      <c r="CP157" s="926">
        <f t="shared" si="56"/>
        <v>2850.7461840000001</v>
      </c>
      <c r="CQ157" s="926">
        <f t="shared" si="56"/>
        <v>2934.5916600000005</v>
      </c>
      <c r="CR157" s="926">
        <f t="shared" si="56"/>
        <v>3018.4371360000005</v>
      </c>
      <c r="CS157" s="926">
        <f t="shared" si="56"/>
        <v>3102.2826120000004</v>
      </c>
      <c r="CT157" s="926">
        <f t="shared" si="56"/>
        <v>3186.1280879999999</v>
      </c>
      <c r="CU157" s="926">
        <f t="shared" si="56"/>
        <v>3269.9735640000004</v>
      </c>
      <c r="CV157" s="926">
        <f t="shared" si="56"/>
        <v>3353.8190400000003</v>
      </c>
      <c r="CW157" s="926">
        <f t="shared" si="56"/>
        <v>3437.6645160000003</v>
      </c>
      <c r="CX157" s="926">
        <f t="shared" si="56"/>
        <v>3521.5099920000007</v>
      </c>
      <c r="CY157" s="926">
        <f t="shared" si="56"/>
        <v>3605.3554680000002</v>
      </c>
      <c r="CZ157" s="926">
        <f t="shared" si="56"/>
        <v>3689.2009440000011</v>
      </c>
      <c r="DA157" s="926">
        <f t="shared" si="56"/>
        <v>3773.0464200000001</v>
      </c>
      <c r="DB157" s="926">
        <f t="shared" si="56"/>
        <v>3856.8918960000001</v>
      </c>
      <c r="DC157" s="926">
        <f t="shared" si="56"/>
        <v>3940.7373720000005</v>
      </c>
      <c r="DD157" s="926">
        <f t="shared" si="56"/>
        <v>4024.582848</v>
      </c>
      <c r="DE157" s="926">
        <f t="shared" si="56"/>
        <v>4108.4283240000004</v>
      </c>
      <c r="DF157" s="926">
        <f t="shared" si="56"/>
        <v>4192.2738000000008</v>
      </c>
      <c r="DG157" s="926">
        <f t="shared" si="56"/>
        <v>4276.1192759999994</v>
      </c>
    </row>
    <row r="158" spans="1:111">
      <c r="A158" s="2309"/>
      <c r="B158" s="2182" t="s">
        <v>270</v>
      </c>
      <c r="C158" s="2183"/>
      <c r="D158" s="2480"/>
      <c r="E158" s="1810" t="s">
        <v>226</v>
      </c>
      <c r="F158" s="1810">
        <v>90</v>
      </c>
      <c r="G158" s="1810">
        <v>200</v>
      </c>
      <c r="H158" s="1810">
        <v>2</v>
      </c>
      <c r="I158" s="927"/>
      <c r="J158" s="1811"/>
      <c r="K158" s="1812">
        <f t="shared" ref="K158:AP158" si="57">((K$138-$I$4)/1000)*IF($C$14=0,$M$32,$M$49)*(($C$8/70)^$X$49)*IF($C$14=0,1,IF($C$14&lt;=K$139,$AH$49,IF(AND($C$14&gt;=K$139,$C$14&lt;=K$140),((($AI$49-$AH$49)/(K$140-K$139))*$C$14+($AH$49-(($AI$49-$AH$49)/(K$140-K$139))*K139)),IF($C$14&gt;=K$140,$AI$49,1))))</f>
        <v>432.8080714285714</v>
      </c>
      <c r="L158" s="928">
        <f t="shared" si="57"/>
        <v>519.36968571428577</v>
      </c>
      <c r="M158" s="928">
        <f t="shared" si="57"/>
        <v>605.93129999999996</v>
      </c>
      <c r="N158" s="928">
        <f t="shared" si="57"/>
        <v>692.49291428571428</v>
      </c>
      <c r="O158" s="928">
        <f t="shared" si="57"/>
        <v>779.05452857142859</v>
      </c>
      <c r="P158" s="928">
        <f t="shared" si="57"/>
        <v>865.61614285714279</v>
      </c>
      <c r="Q158" s="928">
        <f t="shared" si="57"/>
        <v>952.17775714285733</v>
      </c>
      <c r="R158" s="928">
        <f t="shared" si="57"/>
        <v>1016.3087999999999</v>
      </c>
      <c r="S158" s="928">
        <f t="shared" si="57"/>
        <v>1101.0011999999999</v>
      </c>
      <c r="T158" s="928">
        <f t="shared" si="57"/>
        <v>1185.6935999999998</v>
      </c>
      <c r="U158" s="928">
        <f t="shared" si="57"/>
        <v>1260.1902857142857</v>
      </c>
      <c r="V158" s="1813">
        <f t="shared" si="57"/>
        <v>1344.2029714285716</v>
      </c>
      <c r="W158" s="1812">
        <f t="shared" si="57"/>
        <v>1428.215657142857</v>
      </c>
      <c r="X158" s="928">
        <f t="shared" si="57"/>
        <v>1503.0522000000001</v>
      </c>
      <c r="Y158" s="928">
        <f t="shared" si="57"/>
        <v>1586.5550999999998</v>
      </c>
      <c r="Z158" s="928">
        <f t="shared" si="57"/>
        <v>1670.058</v>
      </c>
      <c r="AA158" s="928">
        <f t="shared" si="57"/>
        <v>1753.5608999999999</v>
      </c>
      <c r="AB158" s="928">
        <f t="shared" si="57"/>
        <v>1837.0638000000004</v>
      </c>
      <c r="AC158" s="928">
        <f t="shared" si="57"/>
        <v>1920.5666999999996</v>
      </c>
      <c r="AD158" s="928">
        <f t="shared" si="57"/>
        <v>2004.0696</v>
      </c>
      <c r="AE158" s="928">
        <f t="shared" si="57"/>
        <v>2087.5724999999998</v>
      </c>
      <c r="AF158" s="1813">
        <f t="shared" si="57"/>
        <v>2171.0754000000002</v>
      </c>
      <c r="AG158" s="1814">
        <f t="shared" si="57"/>
        <v>2254.5783000000001</v>
      </c>
      <c r="AH158" s="928">
        <f t="shared" si="57"/>
        <v>2338.0812000000001</v>
      </c>
      <c r="AI158" s="928">
        <f t="shared" si="57"/>
        <v>2421.5840999999996</v>
      </c>
      <c r="AJ158" s="928">
        <f t="shared" si="57"/>
        <v>2505.087</v>
      </c>
      <c r="AK158" s="928">
        <f t="shared" si="57"/>
        <v>2588.5898999999999</v>
      </c>
      <c r="AL158" s="928">
        <f t="shared" si="57"/>
        <v>2672.0928000000004</v>
      </c>
      <c r="AM158" s="928">
        <f t="shared" si="57"/>
        <v>2755.5956999999994</v>
      </c>
      <c r="AN158" s="928">
        <f t="shared" si="57"/>
        <v>2839.0985999999998</v>
      </c>
      <c r="AO158" s="928">
        <f t="shared" si="57"/>
        <v>2922.6014999999998</v>
      </c>
      <c r="AP158" s="1813">
        <f t="shared" si="57"/>
        <v>3006.1044000000002</v>
      </c>
      <c r="AQ158" s="1812">
        <f t="shared" ref="AQ158:BG158" si="58">((AQ$138-$I$4)/1000)*IF($C$14=0,$M$32,$M$49)*(($C$8/70)^$X$49)*IF($C$14=0,1,IF($C$14&lt;=AQ$139,$AH$49,IF(AND($C$14&gt;=AQ$139,$C$14&lt;=AQ$140),((($AI$49-$AH$49)/(AQ$140-AQ$139))*$C$14+($AH$49-(($AI$49-$AH$49)/(AQ$140-AQ$139))*AQ139)),IF($C$14&gt;=AQ$140,$AI$49,1))))</f>
        <v>3089.6072999999997</v>
      </c>
      <c r="AR158" s="928">
        <f t="shared" si="58"/>
        <v>3173.1101999999996</v>
      </c>
      <c r="AS158" s="928">
        <f t="shared" si="58"/>
        <v>3256.6130999999996</v>
      </c>
      <c r="AT158" s="928">
        <f t="shared" si="58"/>
        <v>3340.116</v>
      </c>
      <c r="AU158" s="928">
        <f t="shared" si="58"/>
        <v>3423.6188999999999</v>
      </c>
      <c r="AV158" s="928">
        <f t="shared" si="58"/>
        <v>3507.1217999999999</v>
      </c>
      <c r="AW158" s="928">
        <f t="shared" si="58"/>
        <v>3590.6246999999998</v>
      </c>
      <c r="AX158" s="928">
        <f t="shared" si="58"/>
        <v>3674.1276000000007</v>
      </c>
      <c r="AY158" s="928">
        <f t="shared" si="58"/>
        <v>3757.6304999999998</v>
      </c>
      <c r="AZ158" s="1813">
        <f t="shared" si="58"/>
        <v>3841.1333999999993</v>
      </c>
      <c r="BA158" s="1815">
        <f t="shared" si="58"/>
        <v>3924.6363000000001</v>
      </c>
      <c r="BB158" s="1816">
        <f t="shared" si="58"/>
        <v>4008.1392000000001</v>
      </c>
      <c r="BC158" s="1816">
        <f t="shared" si="58"/>
        <v>4091.6421</v>
      </c>
      <c r="BD158" s="1816">
        <f t="shared" si="58"/>
        <v>4175.1449999999995</v>
      </c>
      <c r="BE158" s="1816">
        <f t="shared" si="58"/>
        <v>4258.6478999999999</v>
      </c>
      <c r="BF158" s="1816">
        <f t="shared" si="58"/>
        <v>4342.1508000000003</v>
      </c>
      <c r="BG158" s="1813">
        <f t="shared" si="58"/>
        <v>4425.6536999999989</v>
      </c>
      <c r="BH158" s="1984"/>
      <c r="BI158" s="1984"/>
      <c r="BK158" s="632">
        <f t="shared" ref="BK158:BZ160" si="59">K166/K158</f>
        <v>1.2294690365606598</v>
      </c>
      <c r="BL158" s="632">
        <f t="shared" si="59"/>
        <v>1.2294690365606595</v>
      </c>
      <c r="BM158" s="632">
        <f t="shared" si="59"/>
        <v>1.2294690365606598</v>
      </c>
      <c r="BN158" s="632">
        <f t="shared" si="59"/>
        <v>1.2294690365606598</v>
      </c>
      <c r="BO158" s="632">
        <f t="shared" si="59"/>
        <v>1.2294690365606595</v>
      </c>
      <c r="BP158" s="632">
        <f t="shared" si="59"/>
        <v>1.2294690365606598</v>
      </c>
      <c r="BQ158" s="632">
        <f t="shared" si="59"/>
        <v>1.2294690365606593</v>
      </c>
      <c r="BR158" s="632">
        <f t="shared" si="59"/>
        <v>1.2227749023220977</v>
      </c>
      <c r="BS158" s="632">
        <f t="shared" si="59"/>
        <v>1.2227749023220977</v>
      </c>
      <c r="BT158" s="632">
        <f t="shared" si="59"/>
        <v>1.2227749023220975</v>
      </c>
      <c r="BU158" s="632">
        <f t="shared" si="59"/>
        <v>1.2202668176051781</v>
      </c>
      <c r="BV158" s="632">
        <f t="shared" si="59"/>
        <v>1.2202668176051781</v>
      </c>
      <c r="BW158" s="632">
        <f t="shared" si="59"/>
        <v>1.2202668176051781</v>
      </c>
      <c r="BX158" s="632">
        <f t="shared" si="59"/>
        <v>1.2183589582905983</v>
      </c>
      <c r="BY158" s="632">
        <f t="shared" si="59"/>
        <v>1.2183589582905985</v>
      </c>
      <c r="BZ158" s="632">
        <f t="shared" si="59"/>
        <v>1.2183589582905983</v>
      </c>
      <c r="CA158" s="632">
        <f t="shared" ref="CA158:CP160" si="60">AA166/AA158</f>
        <v>1.2183589582905985</v>
      </c>
      <c r="CB158" s="632">
        <f t="shared" si="60"/>
        <v>1.2183589582905983</v>
      </c>
      <c r="CC158" s="632">
        <f t="shared" si="60"/>
        <v>1.2183589582905985</v>
      </c>
      <c r="CD158" s="632">
        <f t="shared" si="60"/>
        <v>1.2183589582905985</v>
      </c>
      <c r="CE158" s="632">
        <f t="shared" si="60"/>
        <v>1.2183589582905985</v>
      </c>
      <c r="CF158" s="632">
        <f t="shared" si="60"/>
        <v>1.2183589582905983</v>
      </c>
      <c r="CG158" s="632">
        <f t="shared" si="60"/>
        <v>1.2183589582905985</v>
      </c>
      <c r="CH158" s="632">
        <f t="shared" si="60"/>
        <v>1.2183589582905983</v>
      </c>
      <c r="CI158" s="632">
        <f t="shared" si="60"/>
        <v>1.2183589582905985</v>
      </c>
      <c r="CJ158" s="632">
        <f t="shared" si="60"/>
        <v>1.2183589582905985</v>
      </c>
      <c r="CK158" s="632">
        <f t="shared" si="60"/>
        <v>1.2183589582905985</v>
      </c>
      <c r="CL158" s="632">
        <f t="shared" si="60"/>
        <v>1.2183589582905983</v>
      </c>
      <c r="CM158" s="632">
        <f t="shared" si="60"/>
        <v>1.2183589582905985</v>
      </c>
      <c r="CN158" s="632">
        <f t="shared" si="60"/>
        <v>1.2183589582905985</v>
      </c>
      <c r="CO158" s="632">
        <f t="shared" si="60"/>
        <v>1.2183589582905985</v>
      </c>
      <c r="CP158" s="632">
        <f t="shared" si="60"/>
        <v>1.2183589582905983</v>
      </c>
      <c r="CQ158" s="632">
        <f t="shared" ref="CQ158:DF160" si="61">AQ166/AQ158</f>
        <v>1.2183589582905985</v>
      </c>
      <c r="CR158" s="632">
        <f t="shared" si="61"/>
        <v>1.2183589582905985</v>
      </c>
      <c r="CS158" s="632">
        <f t="shared" si="61"/>
        <v>1.2183589582905985</v>
      </c>
      <c r="CT158" s="632">
        <f t="shared" si="61"/>
        <v>1.2183589582905983</v>
      </c>
      <c r="CU158" s="632">
        <f t="shared" si="61"/>
        <v>1.2183589582905983</v>
      </c>
      <c r="CV158" s="632">
        <f t="shared" si="61"/>
        <v>1.2183589582905985</v>
      </c>
      <c r="CW158" s="632">
        <f t="shared" si="61"/>
        <v>1.2183589582905983</v>
      </c>
      <c r="CX158" s="632">
        <f t="shared" si="61"/>
        <v>1.2183589582905983</v>
      </c>
      <c r="CY158" s="632">
        <f t="shared" si="61"/>
        <v>1.2183589582905985</v>
      </c>
      <c r="CZ158" s="632">
        <f t="shared" si="61"/>
        <v>1.2183589582905985</v>
      </c>
      <c r="DA158" s="632">
        <f t="shared" si="61"/>
        <v>1.2183589582905985</v>
      </c>
      <c r="DB158" s="632">
        <f t="shared" si="61"/>
        <v>1.2183589582905985</v>
      </c>
      <c r="DC158" s="632">
        <f t="shared" si="61"/>
        <v>1.2183589582905985</v>
      </c>
      <c r="DD158" s="632">
        <f t="shared" si="61"/>
        <v>1.2183589582905985</v>
      </c>
      <c r="DE158" s="632">
        <f t="shared" si="61"/>
        <v>1.2183589582905985</v>
      </c>
      <c r="DF158" s="632">
        <f t="shared" si="61"/>
        <v>1.2183589582905983</v>
      </c>
      <c r="DG158" s="632">
        <f t="shared" ref="CY158:DG160" si="62">BG166/BG158</f>
        <v>1.2183589582905987</v>
      </c>
    </row>
    <row r="159" spans="1:111">
      <c r="A159" s="2309"/>
      <c r="B159" s="2182" t="s">
        <v>271</v>
      </c>
      <c r="C159" s="2183"/>
      <c r="D159" s="2480"/>
      <c r="E159" s="1810" t="s">
        <v>226</v>
      </c>
      <c r="F159" s="1810">
        <v>90</v>
      </c>
      <c r="G159" s="1810">
        <v>260</v>
      </c>
      <c r="H159" s="1810">
        <v>2</v>
      </c>
      <c r="I159" s="927"/>
      <c r="J159" s="1811"/>
      <c r="K159" s="1812">
        <f t="shared" ref="K159:AP159" si="63">((K$138-$I$4)/1000)*IF($C$14=0,$N$32,$N$49)*(($C$8/70)^$Y$49)*IF($C$14=0,1,IF($C$14&lt;=K$139,$AH$49,IF(AND($C$14&gt;=K$139,$C$14&lt;=K$140),((($AI$49-$AH$49)/(K$140-K$139))*$C$14+($AH$49-(($AI$49-$AH$49)/(K$140-K$139))*K139)),IF($C$14&gt;=K$140,$AI$49,1))))</f>
        <v>573.29331428571425</v>
      </c>
      <c r="L159" s="928">
        <f t="shared" si="63"/>
        <v>687.95197714285712</v>
      </c>
      <c r="M159" s="928">
        <f t="shared" si="63"/>
        <v>802.61063999999999</v>
      </c>
      <c r="N159" s="928">
        <f t="shared" si="63"/>
        <v>917.26930285714286</v>
      </c>
      <c r="O159" s="928">
        <f t="shared" si="63"/>
        <v>1031.9279657142856</v>
      </c>
      <c r="P159" s="928">
        <f t="shared" si="63"/>
        <v>1146.5866285714285</v>
      </c>
      <c r="Q159" s="928">
        <f t="shared" si="63"/>
        <v>1261.2452914285714</v>
      </c>
      <c r="R159" s="928">
        <f t="shared" si="63"/>
        <v>1346.19264</v>
      </c>
      <c r="S159" s="928">
        <f t="shared" si="63"/>
        <v>1458.3753599999998</v>
      </c>
      <c r="T159" s="928">
        <f t="shared" si="63"/>
        <v>1570.5580799999998</v>
      </c>
      <c r="U159" s="928">
        <f t="shared" si="63"/>
        <v>1669.235657142857</v>
      </c>
      <c r="V159" s="1813">
        <f t="shared" si="63"/>
        <v>1780.5180342857141</v>
      </c>
      <c r="W159" s="1812">
        <f t="shared" si="63"/>
        <v>1891.8004114285711</v>
      </c>
      <c r="X159" s="928">
        <f t="shared" si="63"/>
        <v>1990.9281599999999</v>
      </c>
      <c r="Y159" s="928">
        <f t="shared" si="63"/>
        <v>2101.5352799999996</v>
      </c>
      <c r="Z159" s="928">
        <f t="shared" si="63"/>
        <v>2212.1423999999997</v>
      </c>
      <c r="AA159" s="928">
        <f t="shared" si="63"/>
        <v>2322.7495200000003</v>
      </c>
      <c r="AB159" s="928">
        <f t="shared" si="63"/>
        <v>2433.35664</v>
      </c>
      <c r="AC159" s="928">
        <f t="shared" si="63"/>
        <v>2543.9637599999996</v>
      </c>
      <c r="AD159" s="928">
        <f t="shared" si="63"/>
        <v>2654.5708799999998</v>
      </c>
      <c r="AE159" s="928">
        <f t="shared" si="63"/>
        <v>2765.1779999999999</v>
      </c>
      <c r="AF159" s="1813">
        <f t="shared" si="63"/>
        <v>2875.78512</v>
      </c>
      <c r="AG159" s="1814">
        <f t="shared" si="63"/>
        <v>2986.3922400000001</v>
      </c>
      <c r="AH159" s="928">
        <f t="shared" si="63"/>
        <v>3096.9993599999998</v>
      </c>
      <c r="AI159" s="928">
        <f t="shared" si="63"/>
        <v>3207.6064799999995</v>
      </c>
      <c r="AJ159" s="928">
        <f t="shared" si="63"/>
        <v>3318.2136</v>
      </c>
      <c r="AK159" s="928">
        <f t="shared" si="63"/>
        <v>3428.8207200000002</v>
      </c>
      <c r="AL159" s="928">
        <f t="shared" si="63"/>
        <v>3539.4278399999998</v>
      </c>
      <c r="AM159" s="928">
        <f t="shared" si="63"/>
        <v>3650.0349599999995</v>
      </c>
      <c r="AN159" s="928">
        <f t="shared" si="63"/>
        <v>3760.6420799999996</v>
      </c>
      <c r="AO159" s="928">
        <f t="shared" si="63"/>
        <v>3871.2492000000002</v>
      </c>
      <c r="AP159" s="1813">
        <f t="shared" si="63"/>
        <v>3981.8563199999999</v>
      </c>
      <c r="AQ159" s="1812">
        <f t="shared" ref="AQ159:BG159" si="64">((AQ$138-$I$4)/1000)*IF($C$14=0,$N$32,$N$49)*(($C$8/70)^$Y$49)*IF($C$14=0,1,IF($C$14&lt;=AQ$139,$AH$49,IF(AND($C$14&gt;=AQ$139,$C$14&lt;=AQ$140),((($AI$49-$AH$49)/(AQ$140-AQ$139))*$C$14+($AH$49-(($AI$49-$AH$49)/(AQ$140-AQ$139))*AQ139)),IF($C$14&gt;=AQ$140,$AI$49,1))))</f>
        <v>4092.4634399999995</v>
      </c>
      <c r="AR159" s="928">
        <f t="shared" si="64"/>
        <v>4203.0705599999992</v>
      </c>
      <c r="AS159" s="928">
        <f t="shared" si="64"/>
        <v>4313.6776799999998</v>
      </c>
      <c r="AT159" s="928">
        <f t="shared" si="64"/>
        <v>4424.2847999999994</v>
      </c>
      <c r="AU159" s="928">
        <f t="shared" si="64"/>
        <v>4534.89192</v>
      </c>
      <c r="AV159" s="928">
        <f t="shared" si="64"/>
        <v>4645.4990400000006</v>
      </c>
      <c r="AW159" s="928">
        <f t="shared" si="64"/>
        <v>4756.1061600000003</v>
      </c>
      <c r="AX159" s="928">
        <f t="shared" si="64"/>
        <v>4866.7132799999999</v>
      </c>
      <c r="AY159" s="928">
        <f t="shared" si="64"/>
        <v>4977.3203999999996</v>
      </c>
      <c r="AZ159" s="1813">
        <f t="shared" si="64"/>
        <v>5087.9275199999993</v>
      </c>
      <c r="BA159" s="1815">
        <f t="shared" si="64"/>
        <v>5198.5346399999999</v>
      </c>
      <c r="BB159" s="1816">
        <f t="shared" si="64"/>
        <v>5309.1417599999995</v>
      </c>
      <c r="BC159" s="1816">
        <f t="shared" si="64"/>
        <v>5419.7488800000001</v>
      </c>
      <c r="BD159" s="1816">
        <f t="shared" si="64"/>
        <v>5530.3559999999998</v>
      </c>
      <c r="BE159" s="1816">
        <f t="shared" si="64"/>
        <v>5640.9631199999994</v>
      </c>
      <c r="BF159" s="1816">
        <f t="shared" si="64"/>
        <v>5751.57024</v>
      </c>
      <c r="BG159" s="1813">
        <f t="shared" si="64"/>
        <v>5862.1773599999997</v>
      </c>
      <c r="BH159" s="1984"/>
      <c r="BI159" s="1984"/>
      <c r="BK159" s="632">
        <f t="shared" si="59"/>
        <v>1.1720748930016678</v>
      </c>
      <c r="BL159" s="632">
        <f t="shared" si="59"/>
        <v>1.1720748930016678</v>
      </c>
      <c r="BM159" s="632">
        <f t="shared" si="59"/>
        <v>1.1720748930016678</v>
      </c>
      <c r="BN159" s="632">
        <f t="shared" si="59"/>
        <v>1.1720748930016678</v>
      </c>
      <c r="BO159" s="632">
        <f t="shared" si="59"/>
        <v>1.172074893001668</v>
      </c>
      <c r="BP159" s="632">
        <f t="shared" si="59"/>
        <v>1.1720748930016678</v>
      </c>
      <c r="BQ159" s="632">
        <f t="shared" si="59"/>
        <v>1.172074893001668</v>
      </c>
      <c r="BR159" s="632">
        <f t="shared" si="59"/>
        <v>1.1656932547187304</v>
      </c>
      <c r="BS159" s="632">
        <f t="shared" si="59"/>
        <v>1.1656932547187306</v>
      </c>
      <c r="BT159" s="632">
        <f t="shared" si="59"/>
        <v>1.1656932547187306</v>
      </c>
      <c r="BU159" s="632">
        <f t="shared" si="59"/>
        <v>1.1633022525553527</v>
      </c>
      <c r="BV159" s="632">
        <f t="shared" si="59"/>
        <v>1.1633022525553527</v>
      </c>
      <c r="BW159" s="632">
        <f t="shared" si="59"/>
        <v>1.1633022525553527</v>
      </c>
      <c r="BX159" s="632">
        <f t="shared" si="59"/>
        <v>1.1614834560379117</v>
      </c>
      <c r="BY159" s="632">
        <f t="shared" si="59"/>
        <v>1.1614834560379119</v>
      </c>
      <c r="BZ159" s="632">
        <f t="shared" si="59"/>
        <v>1.1614834560379117</v>
      </c>
      <c r="CA159" s="632">
        <f t="shared" si="60"/>
        <v>1.1614834560379115</v>
      </c>
      <c r="CB159" s="632">
        <f t="shared" si="60"/>
        <v>1.1614834560379117</v>
      </c>
      <c r="CC159" s="632">
        <f t="shared" si="60"/>
        <v>1.1614834560379117</v>
      </c>
      <c r="CD159" s="632">
        <f t="shared" si="60"/>
        <v>1.1614834560379117</v>
      </c>
      <c r="CE159" s="632">
        <f t="shared" si="60"/>
        <v>1.1614834560379117</v>
      </c>
      <c r="CF159" s="632">
        <f t="shared" si="60"/>
        <v>1.1614834560379115</v>
      </c>
      <c r="CG159" s="632">
        <f t="shared" si="60"/>
        <v>1.1614834560379115</v>
      </c>
      <c r="CH159" s="632">
        <f t="shared" si="60"/>
        <v>1.1614834560379117</v>
      </c>
      <c r="CI159" s="632">
        <f t="shared" si="60"/>
        <v>1.1614834560379117</v>
      </c>
      <c r="CJ159" s="632">
        <f t="shared" si="60"/>
        <v>1.1614834560379115</v>
      </c>
      <c r="CK159" s="632">
        <f t="shared" si="60"/>
        <v>1.1614834560379115</v>
      </c>
      <c r="CL159" s="632">
        <f t="shared" si="60"/>
        <v>1.1614834560379117</v>
      </c>
      <c r="CM159" s="632">
        <f t="shared" si="60"/>
        <v>1.1614834560379117</v>
      </c>
      <c r="CN159" s="632">
        <f t="shared" si="60"/>
        <v>1.1614834560379117</v>
      </c>
      <c r="CO159" s="632">
        <f t="shared" si="60"/>
        <v>1.1614834560379115</v>
      </c>
      <c r="CP159" s="632">
        <f t="shared" si="60"/>
        <v>1.1614834560379117</v>
      </c>
      <c r="CQ159" s="632">
        <f t="shared" si="61"/>
        <v>1.1614834560379117</v>
      </c>
      <c r="CR159" s="632">
        <f t="shared" si="61"/>
        <v>1.1614834560379119</v>
      </c>
      <c r="CS159" s="632">
        <f t="shared" si="61"/>
        <v>1.1614834560379115</v>
      </c>
      <c r="CT159" s="632">
        <f t="shared" si="61"/>
        <v>1.1614834560379117</v>
      </c>
      <c r="CU159" s="632">
        <f t="shared" si="61"/>
        <v>1.1614834560379115</v>
      </c>
      <c r="CV159" s="632">
        <f t="shared" si="61"/>
        <v>1.1614834560379115</v>
      </c>
      <c r="CW159" s="632">
        <f t="shared" si="61"/>
        <v>1.1614834560379113</v>
      </c>
      <c r="CX159" s="632">
        <f t="shared" si="61"/>
        <v>1.1614834560379117</v>
      </c>
      <c r="CY159" s="632">
        <f t="shared" si="62"/>
        <v>1.1614834560379117</v>
      </c>
      <c r="CZ159" s="632">
        <f t="shared" si="62"/>
        <v>1.1614834560379117</v>
      </c>
      <c r="DA159" s="632">
        <f t="shared" si="62"/>
        <v>1.1614834560379115</v>
      </c>
      <c r="DB159" s="632">
        <f t="shared" si="62"/>
        <v>1.1614834560379117</v>
      </c>
      <c r="DC159" s="632">
        <f t="shared" si="62"/>
        <v>1.1614834560379117</v>
      </c>
      <c r="DD159" s="632">
        <f t="shared" si="62"/>
        <v>1.1614834560379117</v>
      </c>
      <c r="DE159" s="632">
        <f t="shared" si="62"/>
        <v>1.1614834560379117</v>
      </c>
      <c r="DF159" s="632">
        <f t="shared" si="62"/>
        <v>1.1614834560379115</v>
      </c>
      <c r="DG159" s="632">
        <f t="shared" si="62"/>
        <v>1.1614834560379117</v>
      </c>
    </row>
    <row r="160" spans="1:111">
      <c r="A160" s="2309"/>
      <c r="B160" s="2182" t="s">
        <v>272</v>
      </c>
      <c r="C160" s="2183"/>
      <c r="D160" s="2480"/>
      <c r="E160" s="1810" t="s">
        <v>226</v>
      </c>
      <c r="F160" s="1810">
        <v>90</v>
      </c>
      <c r="G160" s="1810">
        <v>300</v>
      </c>
      <c r="H160" s="1810">
        <v>2</v>
      </c>
      <c r="I160" s="927"/>
      <c r="J160" s="1811"/>
      <c r="K160" s="1812">
        <f t="shared" ref="K160:AP160" si="65">((K$138-$I$4)/1000)*IF($C$14=0,$O$32,$O$49)*(($C$8/70)^$Z$49)*IF($C$14=0,1,IF($C$14&lt;=K$139,$AH$49,IF(AND($C$14&gt;=K$139,$C$14&lt;=K$140),((($AI$49-$AH$49)/(K$140-K$139))*$C$14+($AH$49-(($AI$49-$AH$49)/(K$140-K$139))*K139)),IF($C$14&gt;=K$140,$AI$49,1))))</f>
        <v>665.53109999999992</v>
      </c>
      <c r="L160" s="928">
        <f t="shared" si="65"/>
        <v>798.63731999999993</v>
      </c>
      <c r="M160" s="928">
        <f t="shared" si="65"/>
        <v>931.74353999999983</v>
      </c>
      <c r="N160" s="928">
        <f t="shared" si="65"/>
        <v>1064.8497600000001</v>
      </c>
      <c r="O160" s="928">
        <f t="shared" si="65"/>
        <v>1197.95598</v>
      </c>
      <c r="P160" s="928">
        <f t="shared" si="65"/>
        <v>1331.0621999999998</v>
      </c>
      <c r="Q160" s="928">
        <f t="shared" si="65"/>
        <v>1464.16842</v>
      </c>
      <c r="R160" s="928">
        <f t="shared" si="65"/>
        <v>1562.7830399999998</v>
      </c>
      <c r="S160" s="928">
        <f t="shared" si="65"/>
        <v>1693.01496</v>
      </c>
      <c r="T160" s="928">
        <f t="shared" si="65"/>
        <v>1823.2468799999995</v>
      </c>
      <c r="U160" s="928">
        <f t="shared" si="65"/>
        <v>1937.8008</v>
      </c>
      <c r="V160" s="1813">
        <f t="shared" si="65"/>
        <v>2066.9875199999997</v>
      </c>
      <c r="W160" s="1812">
        <f t="shared" si="65"/>
        <v>2196.1742399999998</v>
      </c>
      <c r="X160" s="928">
        <f t="shared" si="65"/>
        <v>2311.2507599999999</v>
      </c>
      <c r="Y160" s="928">
        <f t="shared" si="65"/>
        <v>2439.6535799999997</v>
      </c>
      <c r="Z160" s="928">
        <f t="shared" si="65"/>
        <v>2568.0563999999999</v>
      </c>
      <c r="AA160" s="928">
        <f t="shared" si="65"/>
        <v>2696.4592199999997</v>
      </c>
      <c r="AB160" s="928">
        <f t="shared" si="65"/>
        <v>2824.86204</v>
      </c>
      <c r="AC160" s="928">
        <f t="shared" si="65"/>
        <v>2953.2648599999998</v>
      </c>
      <c r="AD160" s="928">
        <f t="shared" si="65"/>
        <v>3081.6676799999996</v>
      </c>
      <c r="AE160" s="928">
        <f t="shared" si="65"/>
        <v>3210.0704999999998</v>
      </c>
      <c r="AF160" s="1813">
        <f t="shared" si="65"/>
        <v>3338.4733200000001</v>
      </c>
      <c r="AG160" s="1814">
        <f t="shared" si="65"/>
        <v>3466.8761399999999</v>
      </c>
      <c r="AH160" s="928">
        <f t="shared" si="65"/>
        <v>3595.2789599999992</v>
      </c>
      <c r="AI160" s="928">
        <f t="shared" si="65"/>
        <v>3723.6817799999994</v>
      </c>
      <c r="AJ160" s="928">
        <f t="shared" si="65"/>
        <v>3852.0845999999997</v>
      </c>
      <c r="AK160" s="928">
        <f t="shared" si="65"/>
        <v>3980.4874199999995</v>
      </c>
      <c r="AL160" s="928">
        <f t="shared" si="65"/>
        <v>4108.8902399999997</v>
      </c>
      <c r="AM160" s="928">
        <f t="shared" si="65"/>
        <v>4237.2930599999991</v>
      </c>
      <c r="AN160" s="928">
        <f t="shared" si="65"/>
        <v>4365.6958800000002</v>
      </c>
      <c r="AO160" s="928">
        <f t="shared" si="65"/>
        <v>4494.0986999999996</v>
      </c>
      <c r="AP160" s="1813">
        <f t="shared" si="65"/>
        <v>4622.5015199999998</v>
      </c>
      <c r="AQ160" s="1812">
        <f t="shared" ref="AQ160:BG160" si="66">((AQ$138-$I$4)/1000)*IF($C$14=0,$O$32,$O$49)*(($C$8/70)^$Z$49)*IF($C$14=0,1,IF($C$14&lt;=AQ$139,$AH$49,IF(AND($C$14&gt;=AQ$139,$C$14&lt;=AQ$140),((($AI$49-$AH$49)/(AQ$140-AQ$139))*$C$14+($AH$49-(($AI$49-$AH$49)/(AQ$140-AQ$139))*AQ139)),IF($C$14&gt;=AQ$140,$AI$49,1))))</f>
        <v>4750.90434</v>
      </c>
      <c r="AR160" s="928">
        <f t="shared" si="66"/>
        <v>4879.3071599999994</v>
      </c>
      <c r="AS160" s="928">
        <f t="shared" si="66"/>
        <v>5007.7099799999996</v>
      </c>
      <c r="AT160" s="928">
        <f t="shared" si="66"/>
        <v>5136.1127999999999</v>
      </c>
      <c r="AU160" s="928">
        <f t="shared" si="66"/>
        <v>5264.5156199999992</v>
      </c>
      <c r="AV160" s="928">
        <f t="shared" si="66"/>
        <v>5392.9184399999995</v>
      </c>
      <c r="AW160" s="928">
        <f t="shared" si="66"/>
        <v>5521.3212599999988</v>
      </c>
      <c r="AX160" s="928">
        <f t="shared" si="66"/>
        <v>5649.72408</v>
      </c>
      <c r="AY160" s="928">
        <f t="shared" si="66"/>
        <v>5778.1269000000002</v>
      </c>
      <c r="AZ160" s="1813">
        <f t="shared" si="66"/>
        <v>5906.5297199999995</v>
      </c>
      <c r="BA160" s="1815">
        <f t="shared" si="66"/>
        <v>6034.9325399999998</v>
      </c>
      <c r="BB160" s="1816">
        <f t="shared" si="66"/>
        <v>6163.3353599999991</v>
      </c>
      <c r="BC160" s="1816">
        <f t="shared" si="66"/>
        <v>6291.7381799999994</v>
      </c>
      <c r="BD160" s="1816">
        <f t="shared" si="66"/>
        <v>6420.1409999999996</v>
      </c>
      <c r="BE160" s="1816">
        <f t="shared" si="66"/>
        <v>6548.543819999999</v>
      </c>
      <c r="BF160" s="1816">
        <f t="shared" si="66"/>
        <v>6676.9466400000001</v>
      </c>
      <c r="BG160" s="1813">
        <f t="shared" si="66"/>
        <v>6805.3494599999995</v>
      </c>
      <c r="BH160" s="1984"/>
      <c r="BI160" s="1984"/>
      <c r="BK160" s="632">
        <f t="shared" si="59"/>
        <v>1.1162411064314972</v>
      </c>
      <c r="BL160" s="632">
        <f t="shared" si="59"/>
        <v>1.1162411064314972</v>
      </c>
      <c r="BM160" s="632">
        <f t="shared" si="59"/>
        <v>1.1162411064314974</v>
      </c>
      <c r="BN160" s="632">
        <f t="shared" si="59"/>
        <v>1.1162411064314972</v>
      </c>
      <c r="BO160" s="632">
        <f t="shared" si="59"/>
        <v>1.1162411064314972</v>
      </c>
      <c r="BP160" s="632">
        <f t="shared" si="59"/>
        <v>1.1162411064314972</v>
      </c>
      <c r="BQ160" s="632">
        <f t="shared" si="59"/>
        <v>1.1162411064314974</v>
      </c>
      <c r="BR160" s="632">
        <f t="shared" si="59"/>
        <v>1.1101634683724237</v>
      </c>
      <c r="BS160" s="632">
        <f t="shared" si="59"/>
        <v>1.1101634683724237</v>
      </c>
      <c r="BT160" s="632">
        <f t="shared" si="59"/>
        <v>1.110163468372424</v>
      </c>
      <c r="BU160" s="632">
        <f t="shared" si="59"/>
        <v>1.1078863656750919</v>
      </c>
      <c r="BV160" s="632">
        <f t="shared" si="59"/>
        <v>1.1078863656750921</v>
      </c>
      <c r="BW160" s="632">
        <f t="shared" si="59"/>
        <v>1.1078863656750919</v>
      </c>
      <c r="BX160" s="632">
        <f t="shared" si="59"/>
        <v>1.1061542106318227</v>
      </c>
      <c r="BY160" s="632">
        <f t="shared" si="59"/>
        <v>1.1061542106318227</v>
      </c>
      <c r="BZ160" s="632">
        <f t="shared" si="59"/>
        <v>1.1061542106318227</v>
      </c>
      <c r="CA160" s="632">
        <f t="shared" si="60"/>
        <v>1.1061542106318227</v>
      </c>
      <c r="CB160" s="632">
        <f t="shared" si="60"/>
        <v>1.1061542106318227</v>
      </c>
      <c r="CC160" s="632">
        <f t="shared" si="60"/>
        <v>1.1061542106318225</v>
      </c>
      <c r="CD160" s="632">
        <f t="shared" si="60"/>
        <v>1.1061542106318225</v>
      </c>
      <c r="CE160" s="632">
        <f t="shared" si="60"/>
        <v>1.1061542106318227</v>
      </c>
      <c r="CF160" s="632">
        <f t="shared" si="60"/>
        <v>1.1061542106318225</v>
      </c>
      <c r="CG160" s="632">
        <f t="shared" si="60"/>
        <v>1.1061542106318227</v>
      </c>
      <c r="CH160" s="632">
        <f t="shared" si="60"/>
        <v>1.1061542106318227</v>
      </c>
      <c r="CI160" s="632">
        <f t="shared" si="60"/>
        <v>1.1061542106318227</v>
      </c>
      <c r="CJ160" s="632">
        <f t="shared" si="60"/>
        <v>1.1061542106318227</v>
      </c>
      <c r="CK160" s="632">
        <f t="shared" si="60"/>
        <v>1.106154210631823</v>
      </c>
      <c r="CL160" s="632">
        <f t="shared" si="60"/>
        <v>1.1061542106318227</v>
      </c>
      <c r="CM160" s="632">
        <f t="shared" si="60"/>
        <v>1.1061542106318227</v>
      </c>
      <c r="CN160" s="632">
        <f t="shared" si="60"/>
        <v>1.1061542106318225</v>
      </c>
      <c r="CO160" s="632">
        <f t="shared" si="60"/>
        <v>1.1061542106318225</v>
      </c>
      <c r="CP160" s="632">
        <f t="shared" si="60"/>
        <v>1.1061542106318227</v>
      </c>
      <c r="CQ160" s="632">
        <f t="shared" si="61"/>
        <v>1.1061542106318227</v>
      </c>
      <c r="CR160" s="632">
        <f t="shared" si="61"/>
        <v>1.1061542106318227</v>
      </c>
      <c r="CS160" s="632">
        <f t="shared" si="61"/>
        <v>1.1061542106318225</v>
      </c>
      <c r="CT160" s="632">
        <f t="shared" si="61"/>
        <v>1.1061542106318227</v>
      </c>
      <c r="CU160" s="632">
        <f t="shared" si="61"/>
        <v>1.1061542106318227</v>
      </c>
      <c r="CV160" s="632">
        <f t="shared" si="61"/>
        <v>1.1061542106318227</v>
      </c>
      <c r="CW160" s="632">
        <f t="shared" si="61"/>
        <v>1.1061542106318227</v>
      </c>
      <c r="CX160" s="632">
        <f t="shared" si="61"/>
        <v>1.1061542106318227</v>
      </c>
      <c r="CY160" s="632">
        <f t="shared" si="62"/>
        <v>1.1061542106318225</v>
      </c>
      <c r="CZ160" s="632">
        <f t="shared" si="62"/>
        <v>1.1061542106318225</v>
      </c>
      <c r="DA160" s="632">
        <f t="shared" si="62"/>
        <v>1.1061542106318227</v>
      </c>
      <c r="DB160" s="632">
        <f t="shared" si="62"/>
        <v>1.1061542106318225</v>
      </c>
      <c r="DC160" s="632">
        <f t="shared" si="62"/>
        <v>1.1061542106318227</v>
      </c>
      <c r="DD160" s="632">
        <f t="shared" si="62"/>
        <v>1.1061542106318227</v>
      </c>
      <c r="DE160" s="632">
        <f t="shared" si="62"/>
        <v>1.1061542106318227</v>
      </c>
      <c r="DF160" s="632">
        <f t="shared" si="62"/>
        <v>1.1061542106318225</v>
      </c>
      <c r="DG160" s="632">
        <f t="shared" si="62"/>
        <v>1.1061542106318227</v>
      </c>
    </row>
    <row r="161" spans="1:118">
      <c r="A161" s="2309"/>
      <c r="B161" s="2182" t="s">
        <v>273</v>
      </c>
      <c r="C161" s="2183"/>
      <c r="D161" s="2480"/>
      <c r="E161" s="1810" t="s">
        <v>226</v>
      </c>
      <c r="F161" s="1810">
        <v>90</v>
      </c>
      <c r="G161" s="1810">
        <v>300</v>
      </c>
      <c r="H161" s="1810">
        <v>4</v>
      </c>
      <c r="I161" s="927"/>
      <c r="J161" s="1811"/>
      <c r="K161" s="1812">
        <f t="shared" ref="K161:AP161" si="67">((K$138-$I$4)/1000)*IF($C$14=0,$P$32,$P$49)*(($C$8/70)^$AA$49)*IF($C$14=0,1,IF($C$14&lt;=K$139,$AH$49,IF(AND($C$14&gt;=K$139,$C$14&lt;=K$140),((($AI$49-$AH$49)/(K$140-K$139))*$C$14+($AH$49-(($AI$49-$AH$49)/(K$140-K$139))*K139)),IF($C$14&gt;=K$140,$AI$49,1))))</f>
        <v>778.67138699999987</v>
      </c>
      <c r="L161" s="928">
        <f t="shared" si="67"/>
        <v>934.40566439999986</v>
      </c>
      <c r="M161" s="928">
        <f t="shared" si="67"/>
        <v>1090.1399417999999</v>
      </c>
      <c r="N161" s="928">
        <f t="shared" si="67"/>
        <v>1245.8742191999997</v>
      </c>
      <c r="O161" s="928">
        <f t="shared" si="67"/>
        <v>1401.6084965999999</v>
      </c>
      <c r="P161" s="928">
        <f t="shared" si="67"/>
        <v>1557.3427739999997</v>
      </c>
      <c r="Q161" s="928">
        <f t="shared" si="67"/>
        <v>1713.0770513999998</v>
      </c>
      <c r="R161" s="928">
        <f t="shared" si="67"/>
        <v>1828.4561567999997</v>
      </c>
      <c r="S161" s="928">
        <f t="shared" si="67"/>
        <v>1980.8275031999995</v>
      </c>
      <c r="T161" s="928">
        <f t="shared" si="67"/>
        <v>2133.1988495999994</v>
      </c>
      <c r="U161" s="928">
        <f t="shared" si="67"/>
        <v>2267.2269359999996</v>
      </c>
      <c r="V161" s="1813">
        <f t="shared" si="67"/>
        <v>2418.3753983999995</v>
      </c>
      <c r="W161" s="1812">
        <f t="shared" si="67"/>
        <v>2569.5238607999995</v>
      </c>
      <c r="X161" s="928">
        <f t="shared" si="67"/>
        <v>2704.1633892</v>
      </c>
      <c r="Y161" s="928">
        <f t="shared" si="67"/>
        <v>2854.3946885999994</v>
      </c>
      <c r="Z161" s="928">
        <f t="shared" si="67"/>
        <v>3004.6259879999998</v>
      </c>
      <c r="AA161" s="928">
        <f t="shared" si="67"/>
        <v>3154.8572873999997</v>
      </c>
      <c r="AB161" s="928">
        <f t="shared" si="67"/>
        <v>3305.0885867999996</v>
      </c>
      <c r="AC161" s="928">
        <f t="shared" si="67"/>
        <v>3455.3198861999995</v>
      </c>
      <c r="AD161" s="928">
        <f t="shared" si="67"/>
        <v>3605.5511855999994</v>
      </c>
      <c r="AE161" s="928">
        <f t="shared" si="67"/>
        <v>3755.7824849999997</v>
      </c>
      <c r="AF161" s="1813">
        <f t="shared" si="67"/>
        <v>3906.0137843999992</v>
      </c>
      <c r="AG161" s="1814">
        <f t="shared" si="67"/>
        <v>4056.2450837999995</v>
      </c>
      <c r="AH161" s="928">
        <f t="shared" si="67"/>
        <v>4206.476383199999</v>
      </c>
      <c r="AI161" s="928">
        <f t="shared" si="67"/>
        <v>4356.7076825999993</v>
      </c>
      <c r="AJ161" s="928">
        <f t="shared" si="67"/>
        <v>4506.9389819999997</v>
      </c>
      <c r="AK161" s="928">
        <f t="shared" si="67"/>
        <v>4657.1702814</v>
      </c>
      <c r="AL161" s="928">
        <f t="shared" si="67"/>
        <v>4807.4015807999995</v>
      </c>
      <c r="AM161" s="928">
        <f t="shared" si="67"/>
        <v>4957.6328801999989</v>
      </c>
      <c r="AN161" s="928">
        <f t="shared" si="67"/>
        <v>5107.8641795999993</v>
      </c>
      <c r="AO161" s="928">
        <f t="shared" si="67"/>
        <v>5258.0954789999996</v>
      </c>
      <c r="AP161" s="1813">
        <f t="shared" si="67"/>
        <v>5408.3267784</v>
      </c>
      <c r="AQ161" s="1812">
        <f t="shared" ref="AQ161:BG161" si="68">((AQ$138-$I$4)/1000)*IF($C$14=0,$P$32,$P$49)*(($C$8/70)^$AA$49)*IF($C$14=0,1,IF($C$14&lt;=AQ$139,$AH$49,IF(AND($C$14&gt;=AQ$139,$C$14&lt;=AQ$140),((($AI$49-$AH$49)/(AQ$140-AQ$139))*$C$14+($AH$49-(($AI$49-$AH$49)/(AQ$140-AQ$139))*AQ139)),IF($C$14&gt;=AQ$140,$AI$49,1))))</f>
        <v>5558.5580777999994</v>
      </c>
      <c r="AR161" s="928">
        <f t="shared" si="68"/>
        <v>5708.7893771999989</v>
      </c>
      <c r="AS161" s="928">
        <f t="shared" si="68"/>
        <v>5859.0206765999992</v>
      </c>
      <c r="AT161" s="928">
        <f t="shared" si="68"/>
        <v>6009.2519759999996</v>
      </c>
      <c r="AU161" s="928">
        <f t="shared" si="68"/>
        <v>6159.483275399999</v>
      </c>
      <c r="AV161" s="928">
        <f t="shared" si="68"/>
        <v>6309.7145747999994</v>
      </c>
      <c r="AW161" s="928">
        <f t="shared" si="68"/>
        <v>6459.9458741999997</v>
      </c>
      <c r="AX161" s="928">
        <f t="shared" si="68"/>
        <v>6610.1771735999992</v>
      </c>
      <c r="AY161" s="928">
        <f t="shared" si="68"/>
        <v>6760.4084729999986</v>
      </c>
      <c r="AZ161" s="1813">
        <f t="shared" si="68"/>
        <v>6910.6397723999989</v>
      </c>
      <c r="BA161" s="1815">
        <f t="shared" si="68"/>
        <v>7060.8710717999993</v>
      </c>
      <c r="BB161" s="1816">
        <f t="shared" si="68"/>
        <v>7211.1023711999987</v>
      </c>
      <c r="BC161" s="1816">
        <f t="shared" si="68"/>
        <v>7361.3336705999991</v>
      </c>
      <c r="BD161" s="1816">
        <f t="shared" si="68"/>
        <v>7511.5649699999994</v>
      </c>
      <c r="BE161" s="1816">
        <f t="shared" si="68"/>
        <v>7661.796269399998</v>
      </c>
      <c r="BF161" s="1816">
        <f t="shared" si="68"/>
        <v>7812.0275687999983</v>
      </c>
      <c r="BG161" s="1813">
        <f t="shared" si="68"/>
        <v>7962.2588681999987</v>
      </c>
      <c r="BH161" s="1984"/>
      <c r="BI161" s="1984"/>
    </row>
    <row r="162" spans="1:118">
      <c r="A162" s="2309"/>
      <c r="B162" s="2182" t="s">
        <v>274</v>
      </c>
      <c r="C162" s="2183"/>
      <c r="D162" s="2480"/>
      <c r="E162" s="1810" t="s">
        <v>226</v>
      </c>
      <c r="F162" s="1810">
        <v>90</v>
      </c>
      <c r="G162" s="1810">
        <v>360</v>
      </c>
      <c r="H162" s="1810">
        <v>4</v>
      </c>
      <c r="I162" s="927"/>
      <c r="J162" s="1811"/>
      <c r="K162" s="1812">
        <f t="shared" ref="K162:AP162" si="69">((K$138-$I$4)/1000)*IF($C$14=0,$R$32,$R$49)*(($C$8/70)^$AC$49)*IF($C$14=0,1,IF($C$14&lt;=K$139,$AH$49,IF(AND($C$14&gt;=K$139,$C$14&lt;=K$140),((($AI$49-$AH$49)/(K$140-K$139))*$C$14+($AH$49-(($AI$49-$AH$49)/(K$140-K$139))*K139)),IF($C$14&gt;=K$140,$AI$49,1))))</f>
        <v>825.88294285714278</v>
      </c>
      <c r="L162" s="928">
        <f t="shared" si="69"/>
        <v>991.05953142857129</v>
      </c>
      <c r="M162" s="928">
        <f t="shared" si="69"/>
        <v>1156.2361199999998</v>
      </c>
      <c r="N162" s="928">
        <f t="shared" si="69"/>
        <v>1321.4127085714285</v>
      </c>
      <c r="O162" s="928">
        <f t="shared" si="69"/>
        <v>1486.5892971428568</v>
      </c>
      <c r="P162" s="928">
        <f t="shared" si="69"/>
        <v>1651.7658857142856</v>
      </c>
      <c r="Q162" s="928">
        <f t="shared" si="69"/>
        <v>1816.9424742857141</v>
      </c>
      <c r="R162" s="928">
        <f t="shared" si="69"/>
        <v>1939.3171199999997</v>
      </c>
      <c r="S162" s="928">
        <f t="shared" si="69"/>
        <v>2100.92688</v>
      </c>
      <c r="T162" s="928">
        <f t="shared" si="69"/>
        <v>2262.5366399999998</v>
      </c>
      <c r="U162" s="928">
        <f t="shared" si="69"/>
        <v>2404.6909714285712</v>
      </c>
      <c r="V162" s="1813">
        <f t="shared" si="69"/>
        <v>2565.0037028571428</v>
      </c>
      <c r="W162" s="1812">
        <f t="shared" si="69"/>
        <v>2725.316434285714</v>
      </c>
      <c r="X162" s="928">
        <f t="shared" si="69"/>
        <v>2868.1192799999994</v>
      </c>
      <c r="Y162" s="928">
        <f t="shared" si="69"/>
        <v>3027.4592399999992</v>
      </c>
      <c r="Z162" s="928">
        <f t="shared" si="69"/>
        <v>3186.7991999999995</v>
      </c>
      <c r="AA162" s="928">
        <f t="shared" si="69"/>
        <v>3346.1391599999997</v>
      </c>
      <c r="AB162" s="928">
        <f t="shared" si="69"/>
        <v>3505.47912</v>
      </c>
      <c r="AC162" s="928">
        <f t="shared" si="69"/>
        <v>3664.8190799999998</v>
      </c>
      <c r="AD162" s="928">
        <f t="shared" si="69"/>
        <v>3824.1590399999995</v>
      </c>
      <c r="AE162" s="928">
        <f t="shared" si="69"/>
        <v>3983.4989999999993</v>
      </c>
      <c r="AF162" s="1813">
        <f t="shared" si="69"/>
        <v>4142.83896</v>
      </c>
      <c r="AG162" s="1814">
        <f t="shared" si="69"/>
        <v>4302.1789199999994</v>
      </c>
      <c r="AH162" s="928">
        <f t="shared" si="69"/>
        <v>4461.5188799999996</v>
      </c>
      <c r="AI162" s="928">
        <f t="shared" si="69"/>
        <v>4620.8588399999999</v>
      </c>
      <c r="AJ162" s="928">
        <f t="shared" si="69"/>
        <v>4780.1987999999992</v>
      </c>
      <c r="AK162" s="928">
        <f t="shared" si="69"/>
        <v>4939.5387600000004</v>
      </c>
      <c r="AL162" s="928">
        <f t="shared" si="69"/>
        <v>5098.8787199999997</v>
      </c>
      <c r="AM162" s="928">
        <f t="shared" si="69"/>
        <v>5258.218679999999</v>
      </c>
      <c r="AN162" s="928">
        <f t="shared" si="69"/>
        <v>5417.5586399999993</v>
      </c>
      <c r="AO162" s="928">
        <f t="shared" si="69"/>
        <v>5576.8985999999995</v>
      </c>
      <c r="AP162" s="1813">
        <f t="shared" si="69"/>
        <v>5736.2385599999989</v>
      </c>
      <c r="AQ162" s="1812">
        <f t="shared" ref="AQ162:BG162" si="70">((AQ$138-$I$4)/1000)*IF($C$14=0,$R$32,$R$49)*(($C$8/70)^$AC$49)*IF($C$14=0,1,IF($C$14&lt;=AQ$139,$AH$49,IF(AND($C$14&gt;=AQ$139,$C$14&lt;=AQ$140),((($AI$49-$AH$49)/(AQ$140-AQ$139))*$C$14+($AH$49-(($AI$49-$AH$49)/(AQ$140-AQ$139))*AQ139)),IF($C$14&gt;=AQ$140,$AI$49,1))))</f>
        <v>5895.57852</v>
      </c>
      <c r="AR162" s="928">
        <f t="shared" si="70"/>
        <v>6054.9184799999985</v>
      </c>
      <c r="AS162" s="928">
        <f t="shared" si="70"/>
        <v>6214.2584399999996</v>
      </c>
      <c r="AT162" s="928">
        <f t="shared" si="70"/>
        <v>6373.5983999999989</v>
      </c>
      <c r="AU162" s="928">
        <f t="shared" si="70"/>
        <v>6532.9383599999983</v>
      </c>
      <c r="AV162" s="928">
        <f t="shared" si="70"/>
        <v>6692.2783199999994</v>
      </c>
      <c r="AW162" s="928">
        <f t="shared" si="70"/>
        <v>6851.6182799999988</v>
      </c>
      <c r="AX162" s="928">
        <f t="shared" si="70"/>
        <v>7010.9582399999999</v>
      </c>
      <c r="AY162" s="928">
        <f t="shared" si="70"/>
        <v>7170.2981999999993</v>
      </c>
      <c r="AZ162" s="1813">
        <f t="shared" si="70"/>
        <v>7329.6381599999995</v>
      </c>
      <c r="BA162" s="1815">
        <f t="shared" si="70"/>
        <v>7488.9781199999998</v>
      </c>
      <c r="BB162" s="1816">
        <f t="shared" si="70"/>
        <v>7648.3180799999991</v>
      </c>
      <c r="BC162" s="1816">
        <f t="shared" si="70"/>
        <v>7807.6580399999993</v>
      </c>
      <c r="BD162" s="1816">
        <f t="shared" si="70"/>
        <v>7966.9979999999987</v>
      </c>
      <c r="BE162" s="1816">
        <f t="shared" si="70"/>
        <v>8126.3379599999989</v>
      </c>
      <c r="BF162" s="1816">
        <f t="shared" si="70"/>
        <v>8285.6779200000001</v>
      </c>
      <c r="BG162" s="1813">
        <f t="shared" si="70"/>
        <v>8445.0178799999994</v>
      </c>
      <c r="BH162" s="1984"/>
      <c r="BI162" s="1984"/>
      <c r="BK162" s="632">
        <f t="shared" ref="BK162:DG162" si="71">K170/K162</f>
        <v>1.2048585309319113</v>
      </c>
      <c r="BL162" s="632">
        <f t="shared" si="71"/>
        <v>1.2048585309319111</v>
      </c>
      <c r="BM162" s="632">
        <f t="shared" si="71"/>
        <v>1.2048585309319111</v>
      </c>
      <c r="BN162" s="632">
        <f t="shared" si="71"/>
        <v>1.2048585309319111</v>
      </c>
      <c r="BO162" s="632">
        <f t="shared" si="71"/>
        <v>1.2048585309319113</v>
      </c>
      <c r="BP162" s="632">
        <f t="shared" si="71"/>
        <v>1.2048585309319113</v>
      </c>
      <c r="BQ162" s="632">
        <f t="shared" si="71"/>
        <v>1.2048585309319113</v>
      </c>
      <c r="BR162" s="632">
        <f t="shared" si="71"/>
        <v>1.1982983943976089</v>
      </c>
      <c r="BS162" s="632">
        <f t="shared" si="71"/>
        <v>1.1982983943976089</v>
      </c>
      <c r="BT162" s="632">
        <f t="shared" si="71"/>
        <v>1.1982983943976089</v>
      </c>
      <c r="BU162" s="632">
        <f t="shared" si="71"/>
        <v>1.195840514469267</v>
      </c>
      <c r="BV162" s="632">
        <f t="shared" si="71"/>
        <v>1.195840514469267</v>
      </c>
      <c r="BW162" s="632">
        <f t="shared" si="71"/>
        <v>1.195840514469267</v>
      </c>
      <c r="BX162" s="632">
        <f t="shared" si="71"/>
        <v>1.193970845122067</v>
      </c>
      <c r="BY162" s="632">
        <f t="shared" si="71"/>
        <v>1.193970845122067</v>
      </c>
      <c r="BZ162" s="632">
        <f t="shared" si="71"/>
        <v>1.1939708451220667</v>
      </c>
      <c r="CA162" s="632">
        <f t="shared" si="71"/>
        <v>1.1939708451220667</v>
      </c>
      <c r="CB162" s="632">
        <f t="shared" si="71"/>
        <v>1.1939708451220667</v>
      </c>
      <c r="CC162" s="632">
        <f t="shared" si="71"/>
        <v>1.1939708451220667</v>
      </c>
      <c r="CD162" s="632">
        <f t="shared" si="71"/>
        <v>1.1939708451220667</v>
      </c>
      <c r="CE162" s="632">
        <f t="shared" si="71"/>
        <v>1.1939708451220667</v>
      </c>
      <c r="CF162" s="632">
        <f t="shared" si="71"/>
        <v>1.1939708451220667</v>
      </c>
      <c r="CG162" s="632">
        <f t="shared" si="71"/>
        <v>1.1939708451220667</v>
      </c>
      <c r="CH162" s="632">
        <f t="shared" si="71"/>
        <v>1.1939708451220667</v>
      </c>
      <c r="CI162" s="632">
        <f t="shared" si="71"/>
        <v>1.1939708451220667</v>
      </c>
      <c r="CJ162" s="632">
        <f t="shared" si="71"/>
        <v>1.1939708451220667</v>
      </c>
      <c r="CK162" s="632">
        <f t="shared" si="71"/>
        <v>1.1939708451220665</v>
      </c>
      <c r="CL162" s="632">
        <f t="shared" si="71"/>
        <v>1.1939708451220667</v>
      </c>
      <c r="CM162" s="632">
        <f t="shared" si="71"/>
        <v>1.193970845122067</v>
      </c>
      <c r="CN162" s="632">
        <f t="shared" si="71"/>
        <v>1.1939708451220667</v>
      </c>
      <c r="CO162" s="632">
        <f t="shared" si="71"/>
        <v>1.1939708451220667</v>
      </c>
      <c r="CP162" s="632">
        <f t="shared" si="71"/>
        <v>1.193970845122067</v>
      </c>
      <c r="CQ162" s="632">
        <f t="shared" si="71"/>
        <v>1.1939708451220665</v>
      </c>
      <c r="CR162" s="632">
        <f t="shared" si="71"/>
        <v>1.193970845122067</v>
      </c>
      <c r="CS162" s="632">
        <f t="shared" si="71"/>
        <v>1.1939708451220667</v>
      </c>
      <c r="CT162" s="632">
        <f t="shared" si="71"/>
        <v>1.1939708451220667</v>
      </c>
      <c r="CU162" s="632">
        <f t="shared" si="71"/>
        <v>1.193970845122067</v>
      </c>
      <c r="CV162" s="632">
        <f t="shared" si="71"/>
        <v>1.1939708451220667</v>
      </c>
      <c r="CW162" s="632">
        <f t="shared" si="71"/>
        <v>1.193970845122067</v>
      </c>
      <c r="CX162" s="632">
        <f t="shared" si="71"/>
        <v>1.1939708451220667</v>
      </c>
      <c r="CY162" s="632">
        <f t="shared" si="71"/>
        <v>1.1939708451220667</v>
      </c>
      <c r="CZ162" s="632">
        <f t="shared" si="71"/>
        <v>1.1939708451220667</v>
      </c>
      <c r="DA162" s="632">
        <f t="shared" si="71"/>
        <v>1.193970845122067</v>
      </c>
      <c r="DB162" s="632">
        <f t="shared" si="71"/>
        <v>1.1939708451220667</v>
      </c>
      <c r="DC162" s="632">
        <f t="shared" si="71"/>
        <v>1.193970845122067</v>
      </c>
      <c r="DD162" s="632">
        <f t="shared" si="71"/>
        <v>1.1939708451220667</v>
      </c>
      <c r="DE162" s="632">
        <f t="shared" si="71"/>
        <v>1.1939708451220667</v>
      </c>
      <c r="DF162" s="632">
        <f t="shared" si="71"/>
        <v>1.1939708451220667</v>
      </c>
      <c r="DG162" s="632">
        <f t="shared" si="71"/>
        <v>1.1939708451220665</v>
      </c>
      <c r="DJ162" s="707"/>
      <c r="DK162" s="707"/>
      <c r="DL162" s="707"/>
      <c r="DM162" s="707"/>
      <c r="DN162" s="707"/>
    </row>
    <row r="163" spans="1:118">
      <c r="A163" s="2309"/>
      <c r="B163" s="2182" t="s">
        <v>275</v>
      </c>
      <c r="C163" s="2183"/>
      <c r="D163" s="2480"/>
      <c r="E163" s="1810" t="s">
        <v>226</v>
      </c>
      <c r="F163" s="1810">
        <v>90</v>
      </c>
      <c r="G163" s="1810">
        <v>400</v>
      </c>
      <c r="H163" s="1810">
        <v>4</v>
      </c>
      <c r="I163" s="927"/>
      <c r="J163" s="1811"/>
      <c r="K163" s="1812">
        <f t="shared" ref="K163:AP163" si="72">((K$138-$I$4)/1000)*IF($C$14=0,$S$32,$S$49)*(($C$8/70)^$AD$49)*IF($C$14=0,1,IF($C$14&lt;=K$139,$AH$49,IF(AND($C$14&gt;=K$139,$C$14&lt;=K$140),((($AI$49-$AH$49)/(K$140-K$139))*$C$14+($AH$49-(($AI$49-$AH$49)/(K$140-K$139))*K139)),IF($C$14&gt;=K$140,$AI$49,1))))</f>
        <v>913.86359999999991</v>
      </c>
      <c r="L163" s="928">
        <f t="shared" si="72"/>
        <v>1096.6363199999998</v>
      </c>
      <c r="M163" s="928">
        <f t="shared" si="72"/>
        <v>1279.4090399999998</v>
      </c>
      <c r="N163" s="928">
        <f t="shared" si="72"/>
        <v>1462.1817599999999</v>
      </c>
      <c r="O163" s="928">
        <f t="shared" si="72"/>
        <v>1644.9544799999999</v>
      </c>
      <c r="P163" s="928">
        <f t="shared" si="72"/>
        <v>1827.7271999999998</v>
      </c>
      <c r="Q163" s="928">
        <f t="shared" si="72"/>
        <v>2010.49992</v>
      </c>
      <c r="R163" s="928">
        <f t="shared" si="72"/>
        <v>2145.91104</v>
      </c>
      <c r="S163" s="928">
        <f t="shared" si="72"/>
        <v>2324.7369599999997</v>
      </c>
      <c r="T163" s="928">
        <f t="shared" si="72"/>
        <v>2503.5628799999995</v>
      </c>
      <c r="U163" s="928">
        <f t="shared" si="72"/>
        <v>2660.8607999999999</v>
      </c>
      <c r="V163" s="1813">
        <f t="shared" si="72"/>
        <v>2838.2515199999998</v>
      </c>
      <c r="W163" s="1812">
        <f t="shared" si="72"/>
        <v>3015.6422399999997</v>
      </c>
      <c r="X163" s="928">
        <f t="shared" si="72"/>
        <v>3173.6577600000001</v>
      </c>
      <c r="Y163" s="928">
        <f t="shared" si="72"/>
        <v>3349.9720799999996</v>
      </c>
      <c r="Z163" s="928">
        <f t="shared" si="72"/>
        <v>3526.2864</v>
      </c>
      <c r="AA163" s="928">
        <f t="shared" si="72"/>
        <v>3702.6007199999999</v>
      </c>
      <c r="AB163" s="928">
        <f t="shared" si="72"/>
        <v>3878.9150399999999</v>
      </c>
      <c r="AC163" s="928">
        <f t="shared" si="72"/>
        <v>4055.2293599999989</v>
      </c>
      <c r="AD163" s="928">
        <f t="shared" si="72"/>
        <v>4231.5436799999998</v>
      </c>
      <c r="AE163" s="928">
        <f t="shared" si="72"/>
        <v>4407.8579999999993</v>
      </c>
      <c r="AF163" s="1813">
        <f t="shared" si="72"/>
        <v>4584.1723199999997</v>
      </c>
      <c r="AG163" s="1814">
        <f t="shared" si="72"/>
        <v>4760.4866400000001</v>
      </c>
      <c r="AH163" s="928">
        <f t="shared" si="72"/>
        <v>4936.8009599999996</v>
      </c>
      <c r="AI163" s="928">
        <f t="shared" si="72"/>
        <v>5113.1152799999991</v>
      </c>
      <c r="AJ163" s="928">
        <f t="shared" si="72"/>
        <v>5289.4295999999995</v>
      </c>
      <c r="AK163" s="928">
        <f t="shared" si="72"/>
        <v>5465.7439199999999</v>
      </c>
      <c r="AL163" s="928">
        <f t="shared" si="72"/>
        <v>5642.0582399999994</v>
      </c>
      <c r="AM163" s="928">
        <f t="shared" si="72"/>
        <v>5818.3725599999998</v>
      </c>
      <c r="AN163" s="928">
        <f t="shared" si="72"/>
        <v>5994.6868799999993</v>
      </c>
      <c r="AO163" s="928">
        <f t="shared" si="72"/>
        <v>6171.0011999999988</v>
      </c>
      <c r="AP163" s="1813">
        <f t="shared" si="72"/>
        <v>6347.3155200000001</v>
      </c>
      <c r="AQ163" s="1812">
        <f t="shared" ref="AQ163:BG163" si="73">((AQ$138-$I$4)/1000)*IF($C$14=0,$S$32,$S$49)*(($C$8/70)^$AD$49)*IF($C$14=0,1,IF($C$14&lt;=AQ$139,$AH$49,IF(AND($C$14&gt;=AQ$139,$C$14&lt;=AQ$140),((($AI$49-$AH$49)/(AQ$140-AQ$139))*$C$14+($AH$49-(($AI$49-$AH$49)/(AQ$140-AQ$139))*AQ139)),IF($C$14&gt;=AQ$140,$AI$49,1))))</f>
        <v>6523.6298399999996</v>
      </c>
      <c r="AR163" s="928">
        <f t="shared" si="73"/>
        <v>6699.9441599999991</v>
      </c>
      <c r="AS163" s="928">
        <f t="shared" si="73"/>
        <v>6876.2584799999995</v>
      </c>
      <c r="AT163" s="928">
        <f t="shared" si="73"/>
        <v>7052.5727999999999</v>
      </c>
      <c r="AU163" s="928">
        <f t="shared" si="73"/>
        <v>7228.8871199999985</v>
      </c>
      <c r="AV163" s="928">
        <f t="shared" si="73"/>
        <v>7405.2014399999998</v>
      </c>
      <c r="AW163" s="928">
        <f t="shared" si="73"/>
        <v>7581.5157599999984</v>
      </c>
      <c r="AX163" s="928">
        <f t="shared" si="73"/>
        <v>7757.8300799999997</v>
      </c>
      <c r="AY163" s="928">
        <f t="shared" si="73"/>
        <v>7934.1444000000001</v>
      </c>
      <c r="AZ163" s="1813">
        <f t="shared" si="73"/>
        <v>8110.4587199999978</v>
      </c>
      <c r="BA163" s="1815">
        <f t="shared" si="73"/>
        <v>8286.77304</v>
      </c>
      <c r="BB163" s="1816">
        <f t="shared" si="73"/>
        <v>8463.0873599999995</v>
      </c>
      <c r="BC163" s="1816">
        <f t="shared" si="73"/>
        <v>8639.401679999999</v>
      </c>
      <c r="BD163" s="1816">
        <f t="shared" si="73"/>
        <v>8815.7159999999985</v>
      </c>
      <c r="BE163" s="1816">
        <f t="shared" si="73"/>
        <v>8992.0303199999998</v>
      </c>
      <c r="BF163" s="1816">
        <f t="shared" si="73"/>
        <v>9168.3446399999993</v>
      </c>
      <c r="BG163" s="1813">
        <f t="shared" si="73"/>
        <v>9344.6589599999988</v>
      </c>
      <c r="BH163" s="1984"/>
      <c r="BI163" s="1984"/>
      <c r="BK163" s="632">
        <f>0</f>
        <v>0</v>
      </c>
      <c r="BL163" s="632">
        <f>0</f>
        <v>0</v>
      </c>
      <c r="BM163" s="632">
        <f>0</f>
        <v>0</v>
      </c>
      <c r="BN163" s="632">
        <f>0</f>
        <v>0</v>
      </c>
      <c r="BO163" s="632">
        <f>0</f>
        <v>0</v>
      </c>
      <c r="BP163" s="632">
        <f>0</f>
        <v>0</v>
      </c>
      <c r="BQ163" s="632">
        <f>0</f>
        <v>0</v>
      </c>
      <c r="BR163" s="632">
        <f>0</f>
        <v>0</v>
      </c>
      <c r="BS163" s="632">
        <f>0</f>
        <v>0</v>
      </c>
      <c r="BT163" s="632">
        <f>0</f>
        <v>0</v>
      </c>
      <c r="BU163" s="632">
        <f>0</f>
        <v>0</v>
      </c>
      <c r="BV163" s="632">
        <f>0</f>
        <v>0</v>
      </c>
      <c r="BW163" s="632">
        <f>0</f>
        <v>0</v>
      </c>
      <c r="BX163" s="632">
        <f>0</f>
        <v>0</v>
      </c>
      <c r="BY163" s="632">
        <f>0</f>
        <v>0</v>
      </c>
      <c r="BZ163" s="632">
        <f>0</f>
        <v>0</v>
      </c>
      <c r="CA163" s="632">
        <f>0</f>
        <v>0</v>
      </c>
      <c r="CB163" s="632">
        <f>0</f>
        <v>0</v>
      </c>
      <c r="CC163" s="632">
        <f>0</f>
        <v>0</v>
      </c>
      <c r="CD163" s="632">
        <f>0</f>
        <v>0</v>
      </c>
      <c r="CE163" s="632">
        <f>0</f>
        <v>0</v>
      </c>
      <c r="CF163" s="632">
        <f>0</f>
        <v>0</v>
      </c>
      <c r="CG163" s="632">
        <f>0</f>
        <v>0</v>
      </c>
      <c r="CH163" s="632">
        <f>0</f>
        <v>0</v>
      </c>
      <c r="CI163" s="632">
        <f>0</f>
        <v>0</v>
      </c>
      <c r="CJ163" s="632">
        <f>0</f>
        <v>0</v>
      </c>
      <c r="CK163" s="632">
        <f>0</f>
        <v>0</v>
      </c>
      <c r="CL163" s="632">
        <f>0</f>
        <v>0</v>
      </c>
      <c r="CM163" s="632">
        <f>0</f>
        <v>0</v>
      </c>
      <c r="CN163" s="632">
        <f>0</f>
        <v>0</v>
      </c>
      <c r="CO163" s="632">
        <f>0</f>
        <v>0</v>
      </c>
      <c r="CP163" s="632">
        <f>0</f>
        <v>0</v>
      </c>
      <c r="CQ163" s="632">
        <f>0</f>
        <v>0</v>
      </c>
      <c r="CR163" s="632">
        <f>0</f>
        <v>0</v>
      </c>
      <c r="CS163" s="632">
        <f>0</f>
        <v>0</v>
      </c>
      <c r="CT163" s="632">
        <f>0</f>
        <v>0</v>
      </c>
      <c r="CU163" s="632">
        <f>0</f>
        <v>0</v>
      </c>
      <c r="CV163" s="632">
        <f>0</f>
        <v>0</v>
      </c>
      <c r="CW163" s="632">
        <f>0</f>
        <v>0</v>
      </c>
      <c r="CX163" s="632">
        <f>0</f>
        <v>0</v>
      </c>
      <c r="CY163" s="632">
        <f>0</f>
        <v>0</v>
      </c>
      <c r="CZ163" s="632">
        <f>0</f>
        <v>0</v>
      </c>
      <c r="DA163" s="632">
        <f>0</f>
        <v>0</v>
      </c>
      <c r="DB163" s="632">
        <f>0</f>
        <v>0</v>
      </c>
      <c r="DC163" s="632">
        <f>0</f>
        <v>0</v>
      </c>
      <c r="DD163" s="632">
        <f>0</f>
        <v>0</v>
      </c>
      <c r="DE163" s="632">
        <f>0</f>
        <v>0</v>
      </c>
      <c r="DF163" s="632">
        <f>0</f>
        <v>0</v>
      </c>
      <c r="DG163" s="632">
        <f>0</f>
        <v>0</v>
      </c>
      <c r="DJ163" s="707"/>
      <c r="DK163" s="707"/>
      <c r="DL163" s="707"/>
      <c r="DM163" s="707"/>
      <c r="DN163" s="707"/>
    </row>
    <row r="164" spans="1:118" ht="15.75" thickBot="1">
      <c r="A164" s="2309"/>
      <c r="B164" s="2192" t="s">
        <v>276</v>
      </c>
      <c r="C164" s="2193"/>
      <c r="D164" s="2481"/>
      <c r="E164" s="1817" t="s">
        <v>226</v>
      </c>
      <c r="F164" s="1817">
        <v>90</v>
      </c>
      <c r="G164" s="1817">
        <v>400</v>
      </c>
      <c r="H164" s="1817">
        <v>6</v>
      </c>
      <c r="I164" s="929"/>
      <c r="J164" s="1818"/>
      <c r="K164" s="1819">
        <f t="shared" ref="K164:AP164" si="74">((K$138-$I$4)/1000)*IF($C$14=0,$T$32,$T$49)*(($C$8/70)^$AD$49)*IF($C$14=0,1,IF($C$14&lt;=K$139,$AH$49,IF(AND($C$14&gt;=K$139,$C$14&lt;=K$140),((($AI$49-$AH$49)/(K$140-K$139))*$C$14+($AH$49-(($AI$49-$AH$49)/(K$140-K$139))*K139)),IF($C$14&gt;=K$140,$AI$49,1))))</f>
        <v>1124.052228</v>
      </c>
      <c r="L164" s="930">
        <f t="shared" si="74"/>
        <v>1348.8626735999999</v>
      </c>
      <c r="M164" s="930">
        <f t="shared" si="74"/>
        <v>1573.6731192</v>
      </c>
      <c r="N164" s="930">
        <f t="shared" si="74"/>
        <v>1798.4835648000001</v>
      </c>
      <c r="O164" s="930">
        <f t="shared" si="74"/>
        <v>2023.2940104000002</v>
      </c>
      <c r="P164" s="930">
        <f t="shared" si="74"/>
        <v>2248.104456</v>
      </c>
      <c r="Q164" s="930">
        <f t="shared" si="74"/>
        <v>2472.9149016000001</v>
      </c>
      <c r="R164" s="930">
        <f t="shared" si="74"/>
        <v>2639.4705791999995</v>
      </c>
      <c r="S164" s="930">
        <f t="shared" si="74"/>
        <v>2859.4264607999999</v>
      </c>
      <c r="T164" s="930">
        <f t="shared" si="74"/>
        <v>3079.3823423999997</v>
      </c>
      <c r="U164" s="930">
        <f t="shared" si="74"/>
        <v>3272.858784</v>
      </c>
      <c r="V164" s="1820">
        <f t="shared" si="74"/>
        <v>3491.0493695999999</v>
      </c>
      <c r="W164" s="1819">
        <f t="shared" si="74"/>
        <v>3709.2399551999997</v>
      </c>
      <c r="X164" s="930">
        <f t="shared" si="74"/>
        <v>3903.5990448000002</v>
      </c>
      <c r="Y164" s="930">
        <f t="shared" si="74"/>
        <v>4120.4656583999995</v>
      </c>
      <c r="Z164" s="930">
        <f t="shared" si="74"/>
        <v>4337.3322719999996</v>
      </c>
      <c r="AA164" s="930">
        <f t="shared" si="74"/>
        <v>4554.1988855999998</v>
      </c>
      <c r="AB164" s="930">
        <f t="shared" si="74"/>
        <v>4771.0654992000009</v>
      </c>
      <c r="AC164" s="930">
        <f t="shared" si="74"/>
        <v>4987.9321127999992</v>
      </c>
      <c r="AD164" s="930">
        <f t="shared" si="74"/>
        <v>5204.7987263999994</v>
      </c>
      <c r="AE164" s="930">
        <f t="shared" si="74"/>
        <v>5421.6653399999996</v>
      </c>
      <c r="AF164" s="1820">
        <f t="shared" si="74"/>
        <v>5638.5319535999997</v>
      </c>
      <c r="AG164" s="1821">
        <f t="shared" si="74"/>
        <v>5855.3985671999999</v>
      </c>
      <c r="AH164" s="930">
        <f t="shared" si="74"/>
        <v>6072.2651808000001</v>
      </c>
      <c r="AI164" s="930">
        <f t="shared" si="74"/>
        <v>6289.1317944000002</v>
      </c>
      <c r="AJ164" s="930">
        <f t="shared" si="74"/>
        <v>6505.9984080000004</v>
      </c>
      <c r="AK164" s="930">
        <f t="shared" si="74"/>
        <v>6722.8650215999996</v>
      </c>
      <c r="AL164" s="930">
        <f t="shared" si="74"/>
        <v>6939.7316351999998</v>
      </c>
      <c r="AM164" s="930">
        <f t="shared" si="74"/>
        <v>7156.5982488</v>
      </c>
      <c r="AN164" s="930">
        <f t="shared" si="74"/>
        <v>7373.4648624000001</v>
      </c>
      <c r="AO164" s="930">
        <f t="shared" si="74"/>
        <v>7590.3314759999994</v>
      </c>
      <c r="AP164" s="1820">
        <f t="shared" si="74"/>
        <v>7807.1980896000005</v>
      </c>
      <c r="AQ164" s="1819">
        <f t="shared" ref="AQ164:BG164" si="75">((AQ$138-$I$4)/1000)*IF($C$14=0,$T$32,$T$49)*(($C$8/70)^$AD$49)*IF($C$14=0,1,IF($C$14&lt;=AQ$139,$AH$49,IF(AND($C$14&gt;=AQ$139,$C$14&lt;=AQ$140),((($AI$49-$AH$49)/(AQ$140-AQ$139))*$C$14+($AH$49-(($AI$49-$AH$49)/(AQ$140-AQ$139))*AQ139)),IF($C$14&gt;=AQ$140,$AI$49,1))))</f>
        <v>8024.0647031999997</v>
      </c>
      <c r="AR164" s="930">
        <f t="shared" si="75"/>
        <v>8240.931316799999</v>
      </c>
      <c r="AS164" s="930">
        <f t="shared" si="75"/>
        <v>8457.7979304</v>
      </c>
      <c r="AT164" s="930">
        <f t="shared" si="75"/>
        <v>8674.6645439999993</v>
      </c>
      <c r="AU164" s="930">
        <f t="shared" si="75"/>
        <v>8891.5311575999986</v>
      </c>
      <c r="AV164" s="930">
        <f t="shared" si="75"/>
        <v>9108.3977711999996</v>
      </c>
      <c r="AW164" s="930">
        <f t="shared" si="75"/>
        <v>9325.2643848000007</v>
      </c>
      <c r="AX164" s="930">
        <f t="shared" si="75"/>
        <v>9542.1309984000018</v>
      </c>
      <c r="AY164" s="930">
        <f t="shared" si="75"/>
        <v>9758.997612000001</v>
      </c>
      <c r="AZ164" s="1820">
        <f t="shared" si="75"/>
        <v>9975.8642255999985</v>
      </c>
      <c r="BA164" s="1822">
        <f t="shared" si="75"/>
        <v>10192.730839200001</v>
      </c>
      <c r="BB164" s="1823">
        <f t="shared" si="75"/>
        <v>10409.597452799999</v>
      </c>
      <c r="BC164" s="1823">
        <f t="shared" si="75"/>
        <v>10626.4640664</v>
      </c>
      <c r="BD164" s="1823">
        <f t="shared" si="75"/>
        <v>10843.330679999999</v>
      </c>
      <c r="BE164" s="1823">
        <f t="shared" si="75"/>
        <v>11060.197293599998</v>
      </c>
      <c r="BF164" s="1823">
        <f t="shared" si="75"/>
        <v>11277.063907199999</v>
      </c>
      <c r="BG164" s="1820">
        <f t="shared" si="75"/>
        <v>11493.930520799999</v>
      </c>
      <c r="BH164" s="1984"/>
      <c r="BI164" s="1984"/>
      <c r="DJ164" s="707"/>
      <c r="DK164" s="707"/>
      <c r="DL164" s="707"/>
      <c r="DM164" s="707"/>
      <c r="DN164" s="707"/>
    </row>
    <row r="165" spans="1:118">
      <c r="A165" s="2309"/>
      <c r="B165" s="2341" t="s">
        <v>277</v>
      </c>
      <c r="C165" s="2342"/>
      <c r="D165" s="2476">
        <v>60</v>
      </c>
      <c r="E165" s="1824" t="s">
        <v>226</v>
      </c>
      <c r="F165" s="1824">
        <v>110</v>
      </c>
      <c r="G165" s="1824">
        <v>160</v>
      </c>
      <c r="H165" s="1824">
        <v>2</v>
      </c>
      <c r="I165" s="1295"/>
      <c r="J165" s="1825"/>
      <c r="K165" s="1826">
        <f t="shared" ref="K165:AP165" si="76">((K$138-$I$4)/1000)*IF($C$14=0,$L33,$L50)*(($C$8/70)^$W$50)*IF($C$14=0,1,IF($C$14&lt;=K$139,$AH$50,IF(AND($C$14&gt;=K$139,$C$14&lt;=K$140),((($AI$50-$AH$50)/(K$140-K$139))*$C$14+($AH$50-(($AI$50-$AH$50)/(K$140-K$139))*K$139)),IF($C$14&gt;=K$140,$AI$50,1))))</f>
        <v>468.26922788356734</v>
      </c>
      <c r="L165" s="1296">
        <f t="shared" si="76"/>
        <v>561.92307346028076</v>
      </c>
      <c r="M165" s="1296">
        <f t="shared" si="76"/>
        <v>655.57691903699424</v>
      </c>
      <c r="N165" s="1296">
        <f t="shared" si="76"/>
        <v>749.23076461370772</v>
      </c>
      <c r="O165" s="1296">
        <f t="shared" si="76"/>
        <v>842.8846101904212</v>
      </c>
      <c r="P165" s="1296">
        <f t="shared" si="76"/>
        <v>936.53845576713468</v>
      </c>
      <c r="Q165" s="1296">
        <f t="shared" si="76"/>
        <v>1030.1923013438482</v>
      </c>
      <c r="R165" s="1296">
        <f t="shared" si="76"/>
        <v>1093.5908664111976</v>
      </c>
      <c r="S165" s="1296">
        <f t="shared" si="76"/>
        <v>1184.7234386121308</v>
      </c>
      <c r="T165" s="1296">
        <f t="shared" si="76"/>
        <v>1275.8560108130637</v>
      </c>
      <c r="U165" s="1296">
        <f t="shared" si="76"/>
        <v>1353.2361827824677</v>
      </c>
      <c r="V165" s="1827">
        <f t="shared" si="76"/>
        <v>1443.4519283012989</v>
      </c>
      <c r="W165" s="1826">
        <f t="shared" si="76"/>
        <v>1533.6676738201299</v>
      </c>
      <c r="X165" s="1296">
        <f t="shared" si="76"/>
        <v>1611.506259130585</v>
      </c>
      <c r="Y165" s="1296">
        <f t="shared" si="76"/>
        <v>1701.0343846378398</v>
      </c>
      <c r="Z165" s="1296">
        <f t="shared" si="76"/>
        <v>1790.5625101450946</v>
      </c>
      <c r="AA165" s="1296">
        <f t="shared" si="76"/>
        <v>1880.0906356523494</v>
      </c>
      <c r="AB165" s="1296">
        <f t="shared" si="76"/>
        <v>1969.6187611596042</v>
      </c>
      <c r="AC165" s="1296">
        <f t="shared" si="76"/>
        <v>2059.1468866668583</v>
      </c>
      <c r="AD165" s="1296">
        <f t="shared" si="76"/>
        <v>2148.6750121741134</v>
      </c>
      <c r="AE165" s="1296">
        <f t="shared" si="76"/>
        <v>2238.2031376813684</v>
      </c>
      <c r="AF165" s="1827">
        <f t="shared" si="76"/>
        <v>2327.731263188623</v>
      </c>
      <c r="AG165" s="1828">
        <f t="shared" si="76"/>
        <v>2417.259388695878</v>
      </c>
      <c r="AH165" s="1296">
        <f t="shared" si="76"/>
        <v>2506.7875142031321</v>
      </c>
      <c r="AI165" s="1296">
        <f t="shared" si="76"/>
        <v>2596.3156397103871</v>
      </c>
      <c r="AJ165" s="1296">
        <f t="shared" si="76"/>
        <v>2685.8437652176417</v>
      </c>
      <c r="AK165" s="1296">
        <f t="shared" si="76"/>
        <v>2775.3718907248967</v>
      </c>
      <c r="AL165" s="1296">
        <f t="shared" si="76"/>
        <v>2864.9000162321513</v>
      </c>
      <c r="AM165" s="1296">
        <f t="shared" si="76"/>
        <v>2954.4281417394059</v>
      </c>
      <c r="AN165" s="1296">
        <f t="shared" si="76"/>
        <v>3043.9562672466604</v>
      </c>
      <c r="AO165" s="1296">
        <f t="shared" si="76"/>
        <v>3133.4843927539155</v>
      </c>
      <c r="AP165" s="1827">
        <f t="shared" si="76"/>
        <v>3223.01251826117</v>
      </c>
      <c r="AQ165" s="1826">
        <f t="shared" ref="AQ165:BG165" si="77">((AQ$138-$I$4)/1000)*IF($C$14=0,$L33,$L50)*(($C$8/70)^$W$50)*IF($C$14=0,1,IF($C$14&lt;=AQ$139,$AH$50,IF(AND($C$14&gt;=AQ$139,$C$14&lt;=AQ$140),((($AI$50-$AH$50)/(AQ$140-AQ$139))*$C$14+($AH$50-(($AI$50-$AH$50)/(AQ$140-AQ$139))*AQ$139)),IF($C$14&gt;=AQ$140,$AI$50,1))))</f>
        <v>3312.5406437684251</v>
      </c>
      <c r="AR165" s="1296">
        <f t="shared" si="77"/>
        <v>3402.0687692756796</v>
      </c>
      <c r="AS165" s="1296">
        <f t="shared" si="77"/>
        <v>3491.5968947829342</v>
      </c>
      <c r="AT165" s="1296">
        <f t="shared" si="77"/>
        <v>3581.1250202901892</v>
      </c>
      <c r="AU165" s="1296">
        <f t="shared" si="77"/>
        <v>3670.6531457974434</v>
      </c>
      <c r="AV165" s="1296">
        <f t="shared" si="77"/>
        <v>3760.1812713046988</v>
      </c>
      <c r="AW165" s="1296">
        <f t="shared" si="77"/>
        <v>3849.709396811953</v>
      </c>
      <c r="AX165" s="1296">
        <f t="shared" si="77"/>
        <v>3939.2375223192084</v>
      </c>
      <c r="AY165" s="1296">
        <f t="shared" si="77"/>
        <v>4028.7656478264626</v>
      </c>
      <c r="AZ165" s="1827">
        <f t="shared" si="77"/>
        <v>4118.2937733337167</v>
      </c>
      <c r="BA165" s="1829">
        <f t="shared" si="77"/>
        <v>4207.8218988409726</v>
      </c>
      <c r="BB165" s="1830">
        <f t="shared" si="77"/>
        <v>4297.3500243482267</v>
      </c>
      <c r="BC165" s="1830">
        <f t="shared" si="77"/>
        <v>4386.8781498554818</v>
      </c>
      <c r="BD165" s="1830">
        <f t="shared" si="77"/>
        <v>4476.4062753627368</v>
      </c>
      <c r="BE165" s="1830">
        <f t="shared" si="77"/>
        <v>4565.9344008699909</v>
      </c>
      <c r="BF165" s="1830">
        <f t="shared" si="77"/>
        <v>4655.4625263772459</v>
      </c>
      <c r="BG165" s="1827">
        <f t="shared" si="77"/>
        <v>4744.9906518845</v>
      </c>
      <c r="BH165" s="1984"/>
      <c r="BI165" s="1984"/>
      <c r="DJ165" s="707"/>
      <c r="DK165" s="707"/>
      <c r="DL165" s="707"/>
      <c r="DM165" s="707"/>
      <c r="DN165" s="707"/>
    </row>
    <row r="166" spans="1:118">
      <c r="A166" s="2309"/>
      <c r="B166" s="2331" t="s">
        <v>278</v>
      </c>
      <c r="C166" s="2332"/>
      <c r="D166" s="2477"/>
      <c r="E166" s="1831" t="s">
        <v>226</v>
      </c>
      <c r="F166" s="1831">
        <v>110</v>
      </c>
      <c r="G166" s="1831">
        <v>200</v>
      </c>
      <c r="H166" s="1831">
        <v>2</v>
      </c>
      <c r="I166" s="932"/>
      <c r="J166" s="1832"/>
      <c r="K166" s="1833">
        <f t="shared" ref="K166:AP166" si="78">((K$138-$I$4)/1000)*IF($C$14=0,$M33,$M50)*(($C$8/70)^$X$50)*IF($C$14=0,1,IF($C$14&lt;=K$139,$AH$50,IF(AND($C$14&gt;=K$139,$C$14&lt;=K$140),((($AI$50-$AH$50)/(K$140-K$139))*$C$14+($AH$50-(($AI$50-$AH$50)/(K$140-K$139))*K$139)),IF($C$14&gt;=K$140,$AI$50,1))))</f>
        <v>532.12412259496284</v>
      </c>
      <c r="L166" s="933">
        <f t="shared" si="78"/>
        <v>638.54894711395548</v>
      </c>
      <c r="M166" s="933">
        <f t="shared" si="78"/>
        <v>744.973771632948</v>
      </c>
      <c r="N166" s="933">
        <f t="shared" si="78"/>
        <v>851.39859615194064</v>
      </c>
      <c r="O166" s="933">
        <f t="shared" si="78"/>
        <v>957.82342067093316</v>
      </c>
      <c r="P166" s="933">
        <f t="shared" si="78"/>
        <v>1064.2482451899257</v>
      </c>
      <c r="Q166" s="933">
        <f t="shared" si="78"/>
        <v>1170.6730697089183</v>
      </c>
      <c r="R166" s="933">
        <f t="shared" si="78"/>
        <v>1242.7168936490882</v>
      </c>
      <c r="S166" s="933">
        <f t="shared" si="78"/>
        <v>1346.2766347865122</v>
      </c>
      <c r="T166" s="933">
        <f t="shared" si="78"/>
        <v>1449.836375923936</v>
      </c>
      <c r="U166" s="933">
        <f t="shared" si="78"/>
        <v>1537.7683895255316</v>
      </c>
      <c r="V166" s="1834">
        <f t="shared" si="78"/>
        <v>1640.286282160567</v>
      </c>
      <c r="W166" s="1833">
        <f t="shared" si="78"/>
        <v>1742.8041747956022</v>
      </c>
      <c r="X166" s="933">
        <f t="shared" si="78"/>
        <v>1831.257112648392</v>
      </c>
      <c r="Y166" s="933">
        <f t="shared" si="78"/>
        <v>1932.9936189066359</v>
      </c>
      <c r="Z166" s="933">
        <f t="shared" si="78"/>
        <v>2034.7301251648801</v>
      </c>
      <c r="AA166" s="933">
        <f t="shared" si="78"/>
        <v>2136.4666314231245</v>
      </c>
      <c r="AB166" s="933">
        <f t="shared" si="78"/>
        <v>2238.2031376813684</v>
      </c>
      <c r="AC166" s="933">
        <f t="shared" si="78"/>
        <v>2339.9396439396119</v>
      </c>
      <c r="AD166" s="933">
        <f t="shared" si="78"/>
        <v>2441.6761501978563</v>
      </c>
      <c r="AE166" s="933">
        <f t="shared" si="78"/>
        <v>2543.4126564561002</v>
      </c>
      <c r="AF166" s="1834">
        <f t="shared" si="78"/>
        <v>2645.1491627143441</v>
      </c>
      <c r="AG166" s="1835">
        <f t="shared" si="78"/>
        <v>2746.8856689725885</v>
      </c>
      <c r="AH166" s="933">
        <f t="shared" si="78"/>
        <v>2848.622175230832</v>
      </c>
      <c r="AI166" s="933">
        <f t="shared" si="78"/>
        <v>2950.3586814890759</v>
      </c>
      <c r="AJ166" s="933">
        <f t="shared" si="78"/>
        <v>3052.0951877473203</v>
      </c>
      <c r="AK166" s="933">
        <f t="shared" si="78"/>
        <v>3153.8316940055643</v>
      </c>
      <c r="AL166" s="933">
        <f t="shared" si="78"/>
        <v>3255.5682002638082</v>
      </c>
      <c r="AM166" s="933">
        <f t="shared" si="78"/>
        <v>3357.3047065220517</v>
      </c>
      <c r="AN166" s="933">
        <f t="shared" si="78"/>
        <v>3459.0412127802961</v>
      </c>
      <c r="AO166" s="933">
        <f t="shared" si="78"/>
        <v>3560.77771903854</v>
      </c>
      <c r="AP166" s="1834">
        <f t="shared" si="78"/>
        <v>3662.5142252967839</v>
      </c>
      <c r="AQ166" s="1833">
        <f t="shared" ref="AQ166:BG166" si="79">((AQ$138-$I$4)/1000)*IF($C$14=0,$M33,$M50)*(($C$8/70)^$X$50)*IF($C$14=0,1,IF($C$14&lt;=AQ$139,$AH$50,IF(AND($C$14&gt;=AQ$139,$C$14&lt;=AQ$140),((($AI$50-$AH$50)/(AQ$140-AQ$139))*$C$14+($AH$50-(($AI$50-$AH$50)/(AQ$140-AQ$139))*AQ$139)),IF($C$14&gt;=AQ$140,$AI$50,1))))</f>
        <v>3764.2507315550283</v>
      </c>
      <c r="AR166" s="933">
        <f t="shared" si="79"/>
        <v>3865.9872378132718</v>
      </c>
      <c r="AS166" s="933">
        <f t="shared" si="79"/>
        <v>3967.7237440715162</v>
      </c>
      <c r="AT166" s="933">
        <f t="shared" si="79"/>
        <v>4069.4602503297601</v>
      </c>
      <c r="AU166" s="933">
        <f t="shared" si="79"/>
        <v>4171.1967565880041</v>
      </c>
      <c r="AV166" s="933">
        <f t="shared" si="79"/>
        <v>4272.9332628462489</v>
      </c>
      <c r="AW166" s="933">
        <f t="shared" si="79"/>
        <v>4374.6697691044919</v>
      </c>
      <c r="AX166" s="933">
        <f t="shared" si="79"/>
        <v>4476.4062753627368</v>
      </c>
      <c r="AY166" s="933">
        <f t="shared" si="79"/>
        <v>4578.1427816209807</v>
      </c>
      <c r="AZ166" s="1834">
        <f t="shared" si="79"/>
        <v>4679.8792878792237</v>
      </c>
      <c r="BA166" s="1836">
        <f t="shared" si="79"/>
        <v>4781.6157941374686</v>
      </c>
      <c r="BB166" s="1837">
        <f t="shared" si="79"/>
        <v>4883.3523003957125</v>
      </c>
      <c r="BC166" s="1837">
        <f t="shared" si="79"/>
        <v>4985.0888066539565</v>
      </c>
      <c r="BD166" s="1837">
        <f t="shared" si="79"/>
        <v>5086.8253129122004</v>
      </c>
      <c r="BE166" s="1837">
        <f t="shared" si="79"/>
        <v>5188.5618191704443</v>
      </c>
      <c r="BF166" s="1837">
        <f t="shared" si="79"/>
        <v>5290.2983254286883</v>
      </c>
      <c r="BG166" s="1834">
        <f t="shared" si="79"/>
        <v>5392.0348316869322</v>
      </c>
      <c r="BH166" s="1984"/>
      <c r="BI166" s="1984"/>
      <c r="BK166" s="632">
        <f t="shared" ref="BK166:DG166" si="80">K183/K166</f>
        <v>1.8950483960065929</v>
      </c>
      <c r="BL166" s="632">
        <f t="shared" si="80"/>
        <v>1.8950483960065927</v>
      </c>
      <c r="BM166" s="632">
        <f t="shared" si="80"/>
        <v>1.8950483960065927</v>
      </c>
      <c r="BN166" s="632">
        <f t="shared" si="80"/>
        <v>1.8950483960065927</v>
      </c>
      <c r="BO166" s="632">
        <f t="shared" si="80"/>
        <v>1.8950483960065927</v>
      </c>
      <c r="BP166" s="632">
        <f t="shared" si="80"/>
        <v>1.8950483960065929</v>
      </c>
      <c r="BQ166" s="632">
        <f t="shared" si="80"/>
        <v>1.8950483960065927</v>
      </c>
      <c r="BR166" s="632">
        <f t="shared" si="80"/>
        <v>1.8950483960065927</v>
      </c>
      <c r="BS166" s="632">
        <f t="shared" si="80"/>
        <v>1.8950483960065927</v>
      </c>
      <c r="BT166" s="632">
        <f t="shared" si="80"/>
        <v>1.8950483960065929</v>
      </c>
      <c r="BU166" s="632">
        <f t="shared" si="80"/>
        <v>1.8950483960065929</v>
      </c>
      <c r="BV166" s="632">
        <f t="shared" si="80"/>
        <v>1.8950483960065927</v>
      </c>
      <c r="BW166" s="632">
        <f t="shared" si="80"/>
        <v>1.8950483960065927</v>
      </c>
      <c r="BX166" s="632">
        <f t="shared" si="80"/>
        <v>1.8950483960065927</v>
      </c>
      <c r="BY166" s="632">
        <f t="shared" si="80"/>
        <v>1.8950483960065931</v>
      </c>
      <c r="BZ166" s="632">
        <f t="shared" si="80"/>
        <v>1.8950483960065927</v>
      </c>
      <c r="CA166" s="632">
        <f t="shared" si="80"/>
        <v>1.8950483960065923</v>
      </c>
      <c r="CB166" s="632">
        <f t="shared" si="80"/>
        <v>1.8950483960065925</v>
      </c>
      <c r="CC166" s="632">
        <f t="shared" si="80"/>
        <v>1.8950483960065927</v>
      </c>
      <c r="CD166" s="632">
        <f t="shared" si="80"/>
        <v>1.8950483960065927</v>
      </c>
      <c r="CE166" s="632">
        <f t="shared" si="80"/>
        <v>1.8950483960065925</v>
      </c>
      <c r="CF166" s="632">
        <f t="shared" si="80"/>
        <v>1.8950483960065929</v>
      </c>
      <c r="CG166" s="632">
        <f t="shared" si="80"/>
        <v>1.8950483960065925</v>
      </c>
      <c r="CH166" s="632">
        <f t="shared" si="80"/>
        <v>1.8950483960065929</v>
      </c>
      <c r="CI166" s="632">
        <f t="shared" si="80"/>
        <v>1.8950483960065929</v>
      </c>
      <c r="CJ166" s="632">
        <f t="shared" si="80"/>
        <v>1.8950483960065927</v>
      </c>
      <c r="CK166" s="632">
        <f t="shared" si="80"/>
        <v>1.8950483960065927</v>
      </c>
      <c r="CL166" s="632">
        <f t="shared" si="80"/>
        <v>1.8950483960065925</v>
      </c>
      <c r="CM166" s="632">
        <f t="shared" si="80"/>
        <v>1.8950483960065931</v>
      </c>
      <c r="CN166" s="632">
        <f t="shared" si="80"/>
        <v>1.8950483960065927</v>
      </c>
      <c r="CO166" s="632">
        <f t="shared" si="80"/>
        <v>1.8950483960065929</v>
      </c>
      <c r="CP166" s="632">
        <f t="shared" si="80"/>
        <v>1.8950483960065927</v>
      </c>
      <c r="CQ166" s="632">
        <f t="shared" si="80"/>
        <v>1.8950483960065925</v>
      </c>
      <c r="CR166" s="632">
        <f t="shared" si="80"/>
        <v>1.8950483960065931</v>
      </c>
      <c r="CS166" s="632">
        <f t="shared" si="80"/>
        <v>1.8950483960065927</v>
      </c>
      <c r="CT166" s="632">
        <f t="shared" si="80"/>
        <v>1.8950483960065927</v>
      </c>
      <c r="CU166" s="632">
        <f t="shared" si="80"/>
        <v>1.8950483960065925</v>
      </c>
      <c r="CV166" s="632">
        <f t="shared" si="80"/>
        <v>1.8950483960065923</v>
      </c>
      <c r="CW166" s="632">
        <f t="shared" si="80"/>
        <v>1.8950483960065927</v>
      </c>
      <c r="CX166" s="632">
        <f t="shared" si="80"/>
        <v>1.8950483960065925</v>
      </c>
      <c r="CY166" s="632">
        <f t="shared" si="80"/>
        <v>1.8950483960065927</v>
      </c>
      <c r="CZ166" s="632">
        <f t="shared" si="80"/>
        <v>1.8950483960065927</v>
      </c>
      <c r="DA166" s="632">
        <f t="shared" si="80"/>
        <v>1.8950483960065929</v>
      </c>
      <c r="DB166" s="632">
        <f t="shared" si="80"/>
        <v>1.8950483960065927</v>
      </c>
      <c r="DC166" s="632">
        <f t="shared" si="80"/>
        <v>1.8950483960065927</v>
      </c>
      <c r="DD166" s="632">
        <f t="shared" si="80"/>
        <v>1.8950483960065925</v>
      </c>
      <c r="DE166" s="632">
        <f t="shared" si="80"/>
        <v>1.8950483960065923</v>
      </c>
      <c r="DF166" s="632">
        <f t="shared" si="80"/>
        <v>1.8950483960065929</v>
      </c>
      <c r="DG166" s="632">
        <f t="shared" si="80"/>
        <v>1.8950483960065927</v>
      </c>
    </row>
    <row r="167" spans="1:118">
      <c r="A167" s="2309"/>
      <c r="B167" s="2331" t="s">
        <v>279</v>
      </c>
      <c r="C167" s="2332"/>
      <c r="D167" s="2477"/>
      <c r="E167" s="1831" t="s">
        <v>226</v>
      </c>
      <c r="F167" s="1831">
        <v>110</v>
      </c>
      <c r="G167" s="1831">
        <v>260</v>
      </c>
      <c r="H167" s="1831">
        <v>2</v>
      </c>
      <c r="I167" s="932"/>
      <c r="J167" s="1832"/>
      <c r="K167" s="1833">
        <f t="shared" ref="K167:AP167" si="81">((K$138-$I$4)/1000)*IF($C$14=0,$N$33,$N$50)*(($C$8/70)^$Y$50)*IF($C$14=0,1,IF($C$14&lt;=K$139,$AH$50,IF(AND($C$14&gt;=K$139,$C$14&lt;=K$140),((($AI$50-$AH$50)/(K$140-K$139))*$C$14+($AH$50-(($AI$50-$AH$50)/(K$140-K$139))*K$139)),IF($C$14&gt;=K$140,$AI$50,1))))</f>
        <v>671.94270000000006</v>
      </c>
      <c r="L167" s="933">
        <f t="shared" si="81"/>
        <v>806.33124000000009</v>
      </c>
      <c r="M167" s="933">
        <f t="shared" si="81"/>
        <v>940.71978000000001</v>
      </c>
      <c r="N167" s="933">
        <f t="shared" si="81"/>
        <v>1075.10832</v>
      </c>
      <c r="O167" s="933">
        <f t="shared" si="81"/>
        <v>1209.4968600000002</v>
      </c>
      <c r="P167" s="933">
        <f t="shared" si="81"/>
        <v>1343.8854000000001</v>
      </c>
      <c r="Q167" s="933">
        <f t="shared" si="81"/>
        <v>1478.2739400000003</v>
      </c>
      <c r="R167" s="933">
        <f t="shared" si="81"/>
        <v>1569.2476800000002</v>
      </c>
      <c r="S167" s="933">
        <f t="shared" si="81"/>
        <v>1700.0183200000001</v>
      </c>
      <c r="T167" s="933">
        <f t="shared" si="81"/>
        <v>1830.7889600000003</v>
      </c>
      <c r="U167" s="933">
        <f t="shared" si="81"/>
        <v>1941.8256000000001</v>
      </c>
      <c r="V167" s="1834">
        <f t="shared" si="81"/>
        <v>2071.2806399999999</v>
      </c>
      <c r="W167" s="1833">
        <f t="shared" si="81"/>
        <v>2200.7356799999998</v>
      </c>
      <c r="X167" s="933">
        <f t="shared" si="81"/>
        <v>2312.4301200000004</v>
      </c>
      <c r="Y167" s="933">
        <f t="shared" si="81"/>
        <v>2440.8984600000003</v>
      </c>
      <c r="Z167" s="933">
        <f t="shared" si="81"/>
        <v>2569.3668000000002</v>
      </c>
      <c r="AA167" s="933">
        <f t="shared" si="81"/>
        <v>2697.8351400000001</v>
      </c>
      <c r="AB167" s="933">
        <f t="shared" si="81"/>
        <v>2826.3034800000005</v>
      </c>
      <c r="AC167" s="933">
        <f t="shared" si="81"/>
        <v>2954.7718199999999</v>
      </c>
      <c r="AD167" s="933">
        <f t="shared" si="81"/>
        <v>3083.2401600000003</v>
      </c>
      <c r="AE167" s="933">
        <f t="shared" si="81"/>
        <v>3211.7085000000002</v>
      </c>
      <c r="AF167" s="1834">
        <f t="shared" si="81"/>
        <v>3340.1768400000001</v>
      </c>
      <c r="AG167" s="1835">
        <f t="shared" si="81"/>
        <v>3468.6451800000004</v>
      </c>
      <c r="AH167" s="933">
        <f t="shared" si="81"/>
        <v>3597.1135200000003</v>
      </c>
      <c r="AI167" s="933">
        <f t="shared" si="81"/>
        <v>3725.5818600000002</v>
      </c>
      <c r="AJ167" s="933">
        <f t="shared" si="81"/>
        <v>3854.0502000000001</v>
      </c>
      <c r="AK167" s="933">
        <f t="shared" si="81"/>
        <v>3982.51854</v>
      </c>
      <c r="AL167" s="933">
        <f t="shared" si="81"/>
        <v>4110.9868800000004</v>
      </c>
      <c r="AM167" s="933">
        <f t="shared" si="81"/>
        <v>4239.4552199999998</v>
      </c>
      <c r="AN167" s="933">
        <f t="shared" si="81"/>
        <v>4367.9235600000002</v>
      </c>
      <c r="AO167" s="933">
        <f t="shared" si="81"/>
        <v>4496.3919000000005</v>
      </c>
      <c r="AP167" s="1834">
        <f t="shared" si="81"/>
        <v>4624.8602400000009</v>
      </c>
      <c r="AQ167" s="1833">
        <f t="shared" ref="AQ167:BG167" si="82">((AQ$138-$I$4)/1000)*IF($C$14=0,$N$33,$N$50)*(($C$8/70)^$Y$50)*IF($C$14=0,1,IF($C$14&lt;=AQ$139,$AH$50,IF(AND($C$14&gt;=AQ$139,$C$14&lt;=AQ$140),((($AI$50-$AH$50)/(AQ$140-AQ$139))*$C$14+($AH$50-(($AI$50-$AH$50)/(AQ$140-AQ$139))*AQ$139)),IF($C$14&gt;=AQ$140,$AI$50,1))))</f>
        <v>4753.3285800000003</v>
      </c>
      <c r="AR167" s="933">
        <f t="shared" si="82"/>
        <v>4881.7969200000007</v>
      </c>
      <c r="AS167" s="933">
        <f t="shared" si="82"/>
        <v>5010.2652600000001</v>
      </c>
      <c r="AT167" s="933">
        <f t="shared" si="82"/>
        <v>5138.7336000000005</v>
      </c>
      <c r="AU167" s="933">
        <f t="shared" si="82"/>
        <v>5267.2019399999999</v>
      </c>
      <c r="AV167" s="933">
        <f t="shared" si="82"/>
        <v>5395.6702800000003</v>
      </c>
      <c r="AW167" s="933">
        <f t="shared" si="82"/>
        <v>5524.1386199999997</v>
      </c>
      <c r="AX167" s="933">
        <f t="shared" si="82"/>
        <v>5652.606960000001</v>
      </c>
      <c r="AY167" s="933">
        <f t="shared" si="82"/>
        <v>5781.0753000000004</v>
      </c>
      <c r="AZ167" s="1834">
        <f t="shared" si="82"/>
        <v>5909.5436399999999</v>
      </c>
      <c r="BA167" s="1836">
        <f t="shared" si="82"/>
        <v>6038.0119800000002</v>
      </c>
      <c r="BB167" s="1837">
        <f t="shared" si="82"/>
        <v>6166.4803200000006</v>
      </c>
      <c r="BC167" s="1837">
        <f t="shared" si="82"/>
        <v>6294.9486600000009</v>
      </c>
      <c r="BD167" s="1837">
        <f t="shared" si="82"/>
        <v>6423.4170000000004</v>
      </c>
      <c r="BE167" s="1837">
        <f t="shared" si="82"/>
        <v>6551.8853400000007</v>
      </c>
      <c r="BF167" s="1837">
        <f t="shared" si="82"/>
        <v>6680.3536800000002</v>
      </c>
      <c r="BG167" s="1834">
        <f t="shared" si="82"/>
        <v>6808.8220200000005</v>
      </c>
      <c r="BH167" s="1984"/>
      <c r="BI167" s="1984"/>
      <c r="BK167" s="632">
        <f t="shared" ref="BK167:DG167" si="83">K185/K168</f>
        <v>1.6943089887640457</v>
      </c>
      <c r="BL167" s="632">
        <f t="shared" si="83"/>
        <v>1.6943089887640457</v>
      </c>
      <c r="BM167" s="632">
        <f t="shared" si="83"/>
        <v>1.6943089887640455</v>
      </c>
      <c r="BN167" s="632">
        <f t="shared" si="83"/>
        <v>1.6943089887640455</v>
      </c>
      <c r="BO167" s="632">
        <f t="shared" si="83"/>
        <v>1.6943089887640455</v>
      </c>
      <c r="BP167" s="632">
        <f t="shared" si="83"/>
        <v>1.6943089887640457</v>
      </c>
      <c r="BQ167" s="632">
        <f t="shared" si="83"/>
        <v>1.6943089887640452</v>
      </c>
      <c r="BR167" s="632">
        <f t="shared" si="83"/>
        <v>1.6943089887640459</v>
      </c>
      <c r="BS167" s="632">
        <f t="shared" si="83"/>
        <v>1.6943089887640457</v>
      </c>
      <c r="BT167" s="632">
        <f t="shared" si="83"/>
        <v>1.6943089887640455</v>
      </c>
      <c r="BU167" s="632">
        <f t="shared" si="83"/>
        <v>1.6943089887640455</v>
      </c>
      <c r="BV167" s="632">
        <f t="shared" si="83"/>
        <v>1.6943089887640452</v>
      </c>
      <c r="BW167" s="632">
        <f t="shared" si="83"/>
        <v>1.6943089887640457</v>
      </c>
      <c r="BX167" s="632">
        <f t="shared" si="83"/>
        <v>1.6943089887640455</v>
      </c>
      <c r="BY167" s="632">
        <f t="shared" si="83"/>
        <v>1.6943089887640455</v>
      </c>
      <c r="BZ167" s="632">
        <f t="shared" si="83"/>
        <v>1.6943089887640452</v>
      </c>
      <c r="CA167" s="632">
        <f t="shared" si="83"/>
        <v>1.6943089887640457</v>
      </c>
      <c r="CB167" s="632">
        <f t="shared" si="83"/>
        <v>1.6943089887640452</v>
      </c>
      <c r="CC167" s="632">
        <f t="shared" si="83"/>
        <v>1.6943089887640457</v>
      </c>
      <c r="CD167" s="632">
        <f t="shared" si="83"/>
        <v>1.6943089887640457</v>
      </c>
      <c r="CE167" s="632">
        <f t="shared" si="83"/>
        <v>1.6943089887640455</v>
      </c>
      <c r="CF167" s="632">
        <f t="shared" si="83"/>
        <v>1.6943089887640457</v>
      </c>
      <c r="CG167" s="632">
        <f t="shared" si="83"/>
        <v>1.6943089887640455</v>
      </c>
      <c r="CH167" s="632">
        <f t="shared" si="83"/>
        <v>1.6943089887640455</v>
      </c>
      <c r="CI167" s="632">
        <f t="shared" si="83"/>
        <v>1.6943089887640457</v>
      </c>
      <c r="CJ167" s="632">
        <f t="shared" si="83"/>
        <v>1.6943089887640457</v>
      </c>
      <c r="CK167" s="632">
        <f t="shared" si="83"/>
        <v>1.6943089887640455</v>
      </c>
      <c r="CL167" s="632">
        <f t="shared" si="83"/>
        <v>1.6943089887640455</v>
      </c>
      <c r="CM167" s="632">
        <f t="shared" si="83"/>
        <v>1.6943089887640457</v>
      </c>
      <c r="CN167" s="632">
        <f t="shared" si="83"/>
        <v>1.6943089887640455</v>
      </c>
      <c r="CO167" s="632">
        <f t="shared" si="83"/>
        <v>1.6943089887640455</v>
      </c>
      <c r="CP167" s="632">
        <f t="shared" si="83"/>
        <v>1.6943089887640455</v>
      </c>
      <c r="CQ167" s="632">
        <f t="shared" si="83"/>
        <v>1.6943089887640455</v>
      </c>
      <c r="CR167" s="632">
        <f t="shared" si="83"/>
        <v>1.6943089887640455</v>
      </c>
      <c r="CS167" s="632">
        <f t="shared" si="83"/>
        <v>1.6943089887640457</v>
      </c>
      <c r="CT167" s="632">
        <f t="shared" si="83"/>
        <v>1.6943089887640452</v>
      </c>
      <c r="CU167" s="632">
        <f t="shared" si="83"/>
        <v>1.6943089887640452</v>
      </c>
      <c r="CV167" s="632">
        <f t="shared" si="83"/>
        <v>1.6943089887640457</v>
      </c>
      <c r="CW167" s="632">
        <f t="shared" si="83"/>
        <v>1.6943089887640455</v>
      </c>
      <c r="CX167" s="632">
        <f t="shared" si="83"/>
        <v>1.6943089887640452</v>
      </c>
      <c r="CY167" s="632">
        <f t="shared" si="83"/>
        <v>1.6943089887640457</v>
      </c>
      <c r="CZ167" s="632">
        <f t="shared" si="83"/>
        <v>1.6943089887640457</v>
      </c>
      <c r="DA167" s="632">
        <f t="shared" si="83"/>
        <v>1.6943089887640452</v>
      </c>
      <c r="DB167" s="632">
        <f t="shared" si="83"/>
        <v>1.6943089887640457</v>
      </c>
      <c r="DC167" s="632">
        <f t="shared" si="83"/>
        <v>1.6943089887640455</v>
      </c>
      <c r="DD167" s="632">
        <f t="shared" si="83"/>
        <v>1.6943089887640455</v>
      </c>
      <c r="DE167" s="632">
        <f t="shared" si="83"/>
        <v>1.6943089887640455</v>
      </c>
      <c r="DF167" s="632">
        <f t="shared" si="83"/>
        <v>1.6943089887640457</v>
      </c>
      <c r="DG167" s="632">
        <f t="shared" si="83"/>
        <v>1.6943089887640455</v>
      </c>
      <c r="DJ167" s="707"/>
      <c r="DK167" s="707"/>
      <c r="DL167" s="707"/>
      <c r="DM167" s="707"/>
      <c r="DN167" s="707"/>
    </row>
    <row r="168" spans="1:118">
      <c r="A168" s="2309"/>
      <c r="B168" s="2331" t="s">
        <v>280</v>
      </c>
      <c r="C168" s="2332"/>
      <c r="D168" s="2477"/>
      <c r="E168" s="1831" t="s">
        <v>226</v>
      </c>
      <c r="F168" s="1831">
        <v>110</v>
      </c>
      <c r="G168" s="1831">
        <v>300</v>
      </c>
      <c r="H168" s="1831">
        <v>2</v>
      </c>
      <c r="I168" s="932"/>
      <c r="J168" s="1832"/>
      <c r="K168" s="1833">
        <f t="shared" ref="K168:AP168" si="84">((K$138-$I$4)/1000)*IF($C$14=0,$O$33,$O$50)*(($C$8/70)^$Z$50)*IF($C$14=0,1,IF($C$14&lt;=K$139,$AH$50,IF(AND($C$14&gt;=K$139,$C$14&lt;=K$140),((($AI$50-$AH$50)/(K$140-K$139))*$C$14+($AH$50-(($AI$50-$AH$50)/(K$140-K$139))*K$139)),IF($C$14&gt;=K$140,$AI$50,1))))</f>
        <v>742.89317142857135</v>
      </c>
      <c r="L168" s="933">
        <f t="shared" si="84"/>
        <v>891.47180571428567</v>
      </c>
      <c r="M168" s="933">
        <f t="shared" si="84"/>
        <v>1040.05044</v>
      </c>
      <c r="N168" s="933">
        <f t="shared" si="84"/>
        <v>1188.6290742857143</v>
      </c>
      <c r="O168" s="933">
        <f t="shared" si="84"/>
        <v>1337.2077085714286</v>
      </c>
      <c r="P168" s="933">
        <f t="shared" si="84"/>
        <v>1485.7863428571427</v>
      </c>
      <c r="Q168" s="933">
        <f t="shared" si="84"/>
        <v>1634.3649771428572</v>
      </c>
      <c r="R168" s="933">
        <f t="shared" si="84"/>
        <v>1734.9446399999999</v>
      </c>
      <c r="S168" s="933">
        <f t="shared" si="84"/>
        <v>1879.5233600000001</v>
      </c>
      <c r="T168" s="933">
        <f t="shared" si="84"/>
        <v>2024.1020799999999</v>
      </c>
      <c r="U168" s="933">
        <f t="shared" si="84"/>
        <v>2146.8630857142857</v>
      </c>
      <c r="V168" s="1834">
        <f t="shared" si="84"/>
        <v>2289.9872914285716</v>
      </c>
      <c r="W168" s="1833">
        <f t="shared" si="84"/>
        <v>2433.1114971428569</v>
      </c>
      <c r="X168" s="933">
        <f t="shared" si="84"/>
        <v>2556.5997600000001</v>
      </c>
      <c r="Y168" s="933">
        <f t="shared" si="84"/>
        <v>2698.6330800000001</v>
      </c>
      <c r="Z168" s="933">
        <f t="shared" si="84"/>
        <v>2840.6664000000001</v>
      </c>
      <c r="AA168" s="933">
        <f t="shared" si="84"/>
        <v>2982.6997200000001</v>
      </c>
      <c r="AB168" s="933">
        <f t="shared" si="84"/>
        <v>3124.7330400000005</v>
      </c>
      <c r="AC168" s="933">
        <f t="shared" si="84"/>
        <v>3266.7663599999996</v>
      </c>
      <c r="AD168" s="933">
        <f t="shared" si="84"/>
        <v>3408.7996799999996</v>
      </c>
      <c r="AE168" s="933">
        <f t="shared" si="84"/>
        <v>3550.8330000000001</v>
      </c>
      <c r="AF168" s="1834">
        <f t="shared" si="84"/>
        <v>3692.8663200000001</v>
      </c>
      <c r="AG168" s="1835">
        <f t="shared" si="84"/>
        <v>3834.8996400000001</v>
      </c>
      <c r="AH168" s="933">
        <f t="shared" si="84"/>
        <v>3976.9329599999996</v>
      </c>
      <c r="AI168" s="933">
        <f t="shared" si="84"/>
        <v>4118.9662799999996</v>
      </c>
      <c r="AJ168" s="933">
        <f t="shared" si="84"/>
        <v>4260.9996000000001</v>
      </c>
      <c r="AK168" s="933">
        <f t="shared" si="84"/>
        <v>4403.0329200000006</v>
      </c>
      <c r="AL168" s="933">
        <f t="shared" si="84"/>
        <v>4545.0662400000001</v>
      </c>
      <c r="AM168" s="933">
        <f t="shared" si="84"/>
        <v>4687.0995599999997</v>
      </c>
      <c r="AN168" s="933">
        <f t="shared" si="84"/>
        <v>4829.1328800000001</v>
      </c>
      <c r="AO168" s="933">
        <f t="shared" si="84"/>
        <v>4971.1661999999997</v>
      </c>
      <c r="AP168" s="1834">
        <f t="shared" si="84"/>
        <v>5113.1995200000001</v>
      </c>
      <c r="AQ168" s="1833">
        <f t="shared" ref="AQ168:BG168" si="85">((AQ$138-$I$4)/1000)*IF($C$14=0,$O$33,$O$50)*(($C$8/70)^$Z$50)*IF($C$14=0,1,IF($C$14&lt;=AQ$139,$AH$50,IF(AND($C$14&gt;=AQ$139,$C$14&lt;=AQ$140),((($AI$50-$AH$50)/(AQ$140-AQ$139))*$C$14+($AH$50-(($AI$50-$AH$50)/(AQ$140-AQ$139))*AQ$139)),IF($C$14&gt;=AQ$140,$AI$50,1))))</f>
        <v>5255.2328400000006</v>
      </c>
      <c r="AR168" s="933">
        <f t="shared" si="85"/>
        <v>5397.2661600000001</v>
      </c>
      <c r="AS168" s="933">
        <f t="shared" si="85"/>
        <v>5539.2994799999997</v>
      </c>
      <c r="AT168" s="933">
        <f t="shared" si="85"/>
        <v>5681.3328000000001</v>
      </c>
      <c r="AU168" s="933">
        <f t="shared" si="85"/>
        <v>5823.3661199999997</v>
      </c>
      <c r="AV168" s="933">
        <f t="shared" si="85"/>
        <v>5965.3994400000001</v>
      </c>
      <c r="AW168" s="933">
        <f t="shared" si="85"/>
        <v>6107.4327599999997</v>
      </c>
      <c r="AX168" s="933">
        <f t="shared" si="85"/>
        <v>6249.4660800000011</v>
      </c>
      <c r="AY168" s="933">
        <f t="shared" si="85"/>
        <v>6391.4993999999997</v>
      </c>
      <c r="AZ168" s="1834">
        <f t="shared" si="85"/>
        <v>6533.5327199999992</v>
      </c>
      <c r="BA168" s="1836">
        <f t="shared" si="85"/>
        <v>6675.5660400000006</v>
      </c>
      <c r="BB168" s="1837">
        <f t="shared" si="85"/>
        <v>6817.5993599999993</v>
      </c>
      <c r="BC168" s="1837">
        <f t="shared" si="85"/>
        <v>6959.6326800000006</v>
      </c>
      <c r="BD168" s="1837">
        <f t="shared" si="85"/>
        <v>7101.6660000000002</v>
      </c>
      <c r="BE168" s="1837">
        <f t="shared" si="85"/>
        <v>7243.6993199999997</v>
      </c>
      <c r="BF168" s="1837">
        <f t="shared" si="85"/>
        <v>7385.7326400000002</v>
      </c>
      <c r="BG168" s="1834">
        <f t="shared" si="85"/>
        <v>7527.7659600000006</v>
      </c>
      <c r="BH168" s="1984"/>
      <c r="BI168" s="1984"/>
      <c r="BK168" s="632">
        <f t="shared" ref="BK168:DG168" si="86">K188/K170</f>
        <v>1.3449484159978091</v>
      </c>
      <c r="BL168" s="632">
        <f t="shared" si="86"/>
        <v>1.3449484159978096</v>
      </c>
      <c r="BM168" s="632">
        <f t="shared" si="86"/>
        <v>1.3449484159978096</v>
      </c>
      <c r="BN168" s="632">
        <f t="shared" si="86"/>
        <v>1.3449484159978093</v>
      </c>
      <c r="BO168" s="632">
        <f t="shared" si="86"/>
        <v>1.3449484159978093</v>
      </c>
      <c r="BP168" s="632">
        <f t="shared" si="86"/>
        <v>1.3449484159978091</v>
      </c>
      <c r="BQ168" s="632">
        <f t="shared" si="86"/>
        <v>1.3449484159978091</v>
      </c>
      <c r="BR168" s="632">
        <f t="shared" si="86"/>
        <v>1.3449484159978096</v>
      </c>
      <c r="BS168" s="632">
        <f t="shared" si="86"/>
        <v>1.3449484159978093</v>
      </c>
      <c r="BT168" s="632">
        <f t="shared" si="86"/>
        <v>1.3449484159978093</v>
      </c>
      <c r="BU168" s="632">
        <f t="shared" si="86"/>
        <v>1.3449484159978093</v>
      </c>
      <c r="BV168" s="632">
        <f t="shared" si="86"/>
        <v>1.3449484159978093</v>
      </c>
      <c r="BW168" s="632">
        <f t="shared" si="86"/>
        <v>1.3449484159978091</v>
      </c>
      <c r="BX168" s="632">
        <f t="shared" si="86"/>
        <v>1.3449484159978096</v>
      </c>
      <c r="BY168" s="632">
        <f t="shared" si="86"/>
        <v>1.3449484159978093</v>
      </c>
      <c r="BZ168" s="632">
        <f t="shared" si="86"/>
        <v>1.3449484159978093</v>
      </c>
      <c r="CA168" s="632">
        <f t="shared" si="86"/>
        <v>1.3449484159978096</v>
      </c>
      <c r="CB168" s="632">
        <f t="shared" si="86"/>
        <v>1.3449484159978093</v>
      </c>
      <c r="CC168" s="632">
        <f t="shared" si="86"/>
        <v>1.3449484159978093</v>
      </c>
      <c r="CD168" s="632">
        <f t="shared" si="86"/>
        <v>1.3449484159978093</v>
      </c>
      <c r="CE168" s="632">
        <f t="shared" si="86"/>
        <v>1.3449484159978096</v>
      </c>
      <c r="CF168" s="632">
        <f t="shared" si="86"/>
        <v>1.3449484159978093</v>
      </c>
      <c r="CG168" s="632">
        <f t="shared" si="86"/>
        <v>1.3449484159978096</v>
      </c>
      <c r="CH168" s="632">
        <f t="shared" si="86"/>
        <v>1.3449484159978093</v>
      </c>
      <c r="CI168" s="632">
        <f t="shared" si="86"/>
        <v>1.3449484159978093</v>
      </c>
      <c r="CJ168" s="632">
        <f t="shared" si="86"/>
        <v>1.3449484159978093</v>
      </c>
      <c r="CK168" s="632">
        <f t="shared" si="86"/>
        <v>1.3449484159978093</v>
      </c>
      <c r="CL168" s="632">
        <f t="shared" si="86"/>
        <v>1.3449484159978093</v>
      </c>
      <c r="CM168" s="632">
        <f t="shared" si="86"/>
        <v>1.3449484159978093</v>
      </c>
      <c r="CN168" s="632">
        <f t="shared" si="86"/>
        <v>1.3449484159978093</v>
      </c>
      <c r="CO168" s="632">
        <f t="shared" si="86"/>
        <v>1.3449484159978091</v>
      </c>
      <c r="CP168" s="632">
        <f t="shared" si="86"/>
        <v>1.3449484159978096</v>
      </c>
      <c r="CQ168" s="632">
        <f t="shared" si="86"/>
        <v>1.3449484159978096</v>
      </c>
      <c r="CR168" s="632">
        <f t="shared" si="86"/>
        <v>1.3449484159978093</v>
      </c>
      <c r="CS168" s="632">
        <f t="shared" si="86"/>
        <v>1.3449484159978093</v>
      </c>
      <c r="CT168" s="632">
        <f t="shared" si="86"/>
        <v>1.3449484159978093</v>
      </c>
      <c r="CU168" s="632">
        <f t="shared" si="86"/>
        <v>1.3449484159978093</v>
      </c>
      <c r="CV168" s="632">
        <f t="shared" si="86"/>
        <v>1.3449484159978096</v>
      </c>
      <c r="CW168" s="632">
        <f t="shared" si="86"/>
        <v>1.3449484159978093</v>
      </c>
      <c r="CX168" s="632">
        <f t="shared" si="86"/>
        <v>1.3449484159978093</v>
      </c>
      <c r="CY168" s="632">
        <f t="shared" si="86"/>
        <v>1.3449484159978093</v>
      </c>
      <c r="CZ168" s="632">
        <f t="shared" si="86"/>
        <v>1.3449484159978093</v>
      </c>
      <c r="DA168" s="632">
        <f t="shared" si="86"/>
        <v>1.3449484159978093</v>
      </c>
      <c r="DB168" s="632">
        <f t="shared" si="86"/>
        <v>1.3449484159978093</v>
      </c>
      <c r="DC168" s="632">
        <f t="shared" si="86"/>
        <v>1.3449484159978093</v>
      </c>
      <c r="DD168" s="632">
        <f t="shared" si="86"/>
        <v>1.3449484159978096</v>
      </c>
      <c r="DE168" s="632">
        <f t="shared" si="86"/>
        <v>1.3449484159978093</v>
      </c>
      <c r="DF168" s="632">
        <f t="shared" si="86"/>
        <v>1.3449484159978093</v>
      </c>
      <c r="DG168" s="632">
        <f t="shared" si="86"/>
        <v>1.3449484159978096</v>
      </c>
    </row>
    <row r="169" spans="1:118">
      <c r="A169" s="2309"/>
      <c r="B169" s="2331" t="s">
        <v>281</v>
      </c>
      <c r="C169" s="2332"/>
      <c r="D169" s="2477"/>
      <c r="E169" s="1831" t="s">
        <v>226</v>
      </c>
      <c r="F169" s="1831">
        <v>110</v>
      </c>
      <c r="G169" s="1831">
        <v>300</v>
      </c>
      <c r="H169" s="1831">
        <v>4</v>
      </c>
      <c r="I169" s="932"/>
      <c r="J169" s="1832"/>
      <c r="K169" s="1833">
        <f t="shared" ref="K169:AP169" si="87">((K$138-$I$4)/1000)*IF($C$14=0,$P$33,$P$50)*(($C$8/70)^$AA$50)*IF($C$14=0,1,IF($C$14&lt;=K$139,$AH$50,IF(AND($C$14&gt;=K$139,$C$14&lt;=K$140),((($AI$50-$AH$50)/(K$140-K$139))*$C$14+($AH$50-(($AI$50-$AH$50)/(K$140-K$139))*K$139)),IF($C$14&gt;=K$140,$AI$50,1))))</f>
        <v>943.47432771428578</v>
      </c>
      <c r="L169" s="933">
        <f t="shared" si="87"/>
        <v>1132.1691932571428</v>
      </c>
      <c r="M169" s="933">
        <f t="shared" si="87"/>
        <v>1320.8640587999998</v>
      </c>
      <c r="N169" s="933">
        <f t="shared" si="87"/>
        <v>1509.5589243428574</v>
      </c>
      <c r="O169" s="933">
        <f t="shared" si="87"/>
        <v>1698.2537898857145</v>
      </c>
      <c r="P169" s="933">
        <f t="shared" si="87"/>
        <v>1886.9486554285716</v>
      </c>
      <c r="Q169" s="933">
        <f t="shared" si="87"/>
        <v>2075.6435209714286</v>
      </c>
      <c r="R169" s="933">
        <f t="shared" si="87"/>
        <v>2203.3796928000002</v>
      </c>
      <c r="S169" s="933">
        <f t="shared" si="87"/>
        <v>2386.9946672000005</v>
      </c>
      <c r="T169" s="933">
        <f t="shared" si="87"/>
        <v>2570.6096416</v>
      </c>
      <c r="U169" s="933">
        <f t="shared" si="87"/>
        <v>2726.5161188571433</v>
      </c>
      <c r="V169" s="1834">
        <f t="shared" si="87"/>
        <v>2908.2838601142862</v>
      </c>
      <c r="W169" s="1833">
        <f t="shared" si="87"/>
        <v>3090.0516013714287</v>
      </c>
      <c r="X169" s="933">
        <f t="shared" si="87"/>
        <v>3246.8816952000006</v>
      </c>
      <c r="Y169" s="933">
        <f t="shared" si="87"/>
        <v>3427.2640116000002</v>
      </c>
      <c r="Z169" s="933">
        <f t="shared" si="87"/>
        <v>3607.6463280000003</v>
      </c>
      <c r="AA169" s="933">
        <f t="shared" si="87"/>
        <v>3788.0286444000003</v>
      </c>
      <c r="AB169" s="933">
        <f t="shared" si="87"/>
        <v>3968.4109608000008</v>
      </c>
      <c r="AC169" s="933">
        <f t="shared" si="87"/>
        <v>4148.7932772000004</v>
      </c>
      <c r="AD169" s="933">
        <f t="shared" si="87"/>
        <v>4329.1755936</v>
      </c>
      <c r="AE169" s="933">
        <f t="shared" si="87"/>
        <v>4509.5579100000004</v>
      </c>
      <c r="AF169" s="1834">
        <f t="shared" si="87"/>
        <v>4689.9402264</v>
      </c>
      <c r="AG169" s="1835">
        <f t="shared" si="87"/>
        <v>4870.3225428000005</v>
      </c>
      <c r="AH169" s="933">
        <f t="shared" si="87"/>
        <v>5050.7048592000001</v>
      </c>
      <c r="AI169" s="933">
        <f t="shared" si="87"/>
        <v>5231.0871755999997</v>
      </c>
      <c r="AJ169" s="933">
        <f t="shared" si="87"/>
        <v>5411.4694920000011</v>
      </c>
      <c r="AK169" s="933">
        <f t="shared" si="87"/>
        <v>5591.8518084000007</v>
      </c>
      <c r="AL169" s="933">
        <f t="shared" si="87"/>
        <v>5772.2341248000012</v>
      </c>
      <c r="AM169" s="933">
        <f t="shared" si="87"/>
        <v>5952.6164412000007</v>
      </c>
      <c r="AN169" s="933">
        <f t="shared" si="87"/>
        <v>6132.9987576000003</v>
      </c>
      <c r="AO169" s="933">
        <f t="shared" si="87"/>
        <v>6313.3810740000008</v>
      </c>
      <c r="AP169" s="1834">
        <f t="shared" si="87"/>
        <v>6493.7633904000013</v>
      </c>
      <c r="AQ169" s="1833">
        <f t="shared" ref="AQ169:BG169" si="88">((AQ$138-$I$4)/1000)*IF($C$14=0,$P$33,$P$50)*(($C$8/70)^$AA$50)*IF($C$14=0,1,IF($C$14&lt;=AQ$139,$AH$50,IF(AND($C$14&gt;=AQ$139,$C$14&lt;=AQ$140),((($AI$50-$AH$50)/(AQ$140-AQ$139))*$C$14+($AH$50-(($AI$50-$AH$50)/(AQ$140-AQ$139))*AQ$139)),IF($C$14&gt;=AQ$140,$AI$50,1))))</f>
        <v>6674.1457068000009</v>
      </c>
      <c r="AR169" s="933">
        <f t="shared" si="88"/>
        <v>6854.5280232000005</v>
      </c>
      <c r="AS169" s="933">
        <f t="shared" si="88"/>
        <v>7034.910339600001</v>
      </c>
      <c r="AT169" s="933">
        <f t="shared" si="88"/>
        <v>7215.2926560000005</v>
      </c>
      <c r="AU169" s="933">
        <f t="shared" si="88"/>
        <v>7395.674972400001</v>
      </c>
      <c r="AV169" s="933">
        <f t="shared" si="88"/>
        <v>7576.0572888000006</v>
      </c>
      <c r="AW169" s="933">
        <f t="shared" si="88"/>
        <v>7756.4396052000011</v>
      </c>
      <c r="AX169" s="933">
        <f t="shared" si="88"/>
        <v>7936.8219216000016</v>
      </c>
      <c r="AY169" s="933">
        <f t="shared" si="88"/>
        <v>8117.2042380000012</v>
      </c>
      <c r="AZ169" s="1834">
        <f t="shared" si="88"/>
        <v>8297.5865544000008</v>
      </c>
      <c r="BA169" s="1836">
        <f t="shared" si="88"/>
        <v>8477.9688708000012</v>
      </c>
      <c r="BB169" s="1837">
        <f t="shared" si="88"/>
        <v>8658.3511871999999</v>
      </c>
      <c r="BC169" s="1837">
        <f t="shared" si="88"/>
        <v>8838.7335036000022</v>
      </c>
      <c r="BD169" s="1837">
        <f t="shared" si="88"/>
        <v>9019.1158200000009</v>
      </c>
      <c r="BE169" s="1837">
        <f t="shared" si="88"/>
        <v>9199.4981364000014</v>
      </c>
      <c r="BF169" s="1837">
        <f t="shared" si="88"/>
        <v>9379.8804528000001</v>
      </c>
      <c r="BG169" s="1834">
        <f t="shared" si="88"/>
        <v>9560.2627692000005</v>
      </c>
      <c r="BH169" s="1835">
        <f t="shared" ref="BH169:CM169" si="89">((BH$138-$I$4)/1000)*IF($C$13=0,$P$33,$P$50)*(($C$8/70)^$AA$50)*IF($C$14&lt;=BH$139,$AH$50,IF(AND($C$14&gt;=BH$139,$C$14&lt;=BH$140),((($AI$50-$AH$50)/(BH$140-BH$139))*$C$14+($AH$50-(($AI$50-$AH$50)/(BH$140-BH$139))*BH$139)),IF($C$14&gt;=BH$140,$AI$50,1)))</f>
        <v>-1262.6762148</v>
      </c>
      <c r="BI169" s="933">
        <f t="shared" si="89"/>
        <v>-1262.6762148</v>
      </c>
      <c r="BJ169" s="933">
        <f t="shared" si="89"/>
        <v>-1262.6762148</v>
      </c>
      <c r="BK169" s="933">
        <f t="shared" si="89"/>
        <v>541.14694919999999</v>
      </c>
      <c r="BL169" s="933">
        <f t="shared" si="89"/>
        <v>721.52926560000014</v>
      </c>
      <c r="BM169" s="933">
        <f t="shared" si="89"/>
        <v>901.91158200000007</v>
      </c>
      <c r="BN169" s="933">
        <f t="shared" si="89"/>
        <v>1256.8574303999999</v>
      </c>
      <c r="BO169" s="933">
        <f t="shared" si="89"/>
        <v>1466.3336687999999</v>
      </c>
      <c r="BP169" s="933">
        <f t="shared" si="89"/>
        <v>1675.8099072000002</v>
      </c>
      <c r="BQ169" s="933">
        <f t="shared" si="89"/>
        <v>1885.2861456000003</v>
      </c>
      <c r="BR169" s="933">
        <f t="shared" si="89"/>
        <v>2094.7623840000001</v>
      </c>
      <c r="BS169" s="933">
        <f t="shared" si="89"/>
        <v>2304.2386224000002</v>
      </c>
      <c r="BT169" s="933">
        <f t="shared" si="89"/>
        <v>2513.7148607999998</v>
      </c>
      <c r="BU169" s="933">
        <f t="shared" si="89"/>
        <v>2723.1910992000003</v>
      </c>
      <c r="BV169" s="933">
        <f t="shared" si="89"/>
        <v>2932.6673375999999</v>
      </c>
      <c r="BW169" s="933">
        <f t="shared" si="89"/>
        <v>3142.1435760000004</v>
      </c>
      <c r="BX169" s="933">
        <f t="shared" si="89"/>
        <v>3351.6198144000005</v>
      </c>
      <c r="BY169" s="933">
        <f t="shared" si="89"/>
        <v>3561.0960528000001</v>
      </c>
      <c r="BZ169" s="933">
        <f t="shared" si="89"/>
        <v>3770.5722912000006</v>
      </c>
      <c r="CA169" s="933">
        <f t="shared" si="89"/>
        <v>3980.0485296000002</v>
      </c>
      <c r="CB169" s="933">
        <f t="shared" si="89"/>
        <v>4189.5247680000002</v>
      </c>
      <c r="CC169" s="933">
        <f t="shared" si="89"/>
        <v>4399.0010064000007</v>
      </c>
      <c r="CD169" s="933">
        <f t="shared" si="89"/>
        <v>4608.4772448000003</v>
      </c>
      <c r="CE169" s="933">
        <f t="shared" si="89"/>
        <v>4817.9534831999999</v>
      </c>
      <c r="CF169" s="933">
        <f t="shared" si="89"/>
        <v>5027.4297215999995</v>
      </c>
      <c r="CG169" s="933">
        <f t="shared" si="89"/>
        <v>5236.9059600000001</v>
      </c>
      <c r="CH169" s="933">
        <f t="shared" si="89"/>
        <v>5446.3821984000006</v>
      </c>
      <c r="CI169" s="933">
        <f t="shared" si="89"/>
        <v>5655.8584368000002</v>
      </c>
      <c r="CJ169" s="933">
        <f t="shared" si="89"/>
        <v>5865.3346751999998</v>
      </c>
      <c r="CK169" s="933">
        <f t="shared" si="89"/>
        <v>6074.8109135999994</v>
      </c>
      <c r="CL169" s="933">
        <f t="shared" si="89"/>
        <v>6284.2871520000008</v>
      </c>
      <c r="CM169" s="933">
        <f t="shared" si="89"/>
        <v>6493.7633904000013</v>
      </c>
      <c r="CN169" s="933">
        <f t="shared" ref="CN169:DG169" si="90">((CN$138-$I$4)/1000)*IF($C$13=0,$P$33,$P$50)*(($C$8/70)^$AA$50)*IF($C$14&lt;=CN$139,$AH$50,IF(AND($C$14&gt;=CN$139,$C$14&lt;=CN$140),((($AI$50-$AH$50)/(CN$140-CN$139))*$C$14+($AH$50-(($AI$50-$AH$50)/(CN$140-CN$139))*CN$139)),IF($C$14&gt;=CN$140,$AI$50,1)))</f>
        <v>6703.2396288000009</v>
      </c>
      <c r="CO169" s="933">
        <f t="shared" si="90"/>
        <v>6912.7158672000005</v>
      </c>
      <c r="CP169" s="933">
        <f t="shared" si="90"/>
        <v>7122.1921056000001</v>
      </c>
      <c r="CQ169" s="933">
        <f t="shared" si="90"/>
        <v>7331.6683440000006</v>
      </c>
      <c r="CR169" s="933">
        <f t="shared" si="90"/>
        <v>7541.1445824000011</v>
      </c>
      <c r="CS169" s="933">
        <f t="shared" si="90"/>
        <v>7750.6208208000007</v>
      </c>
      <c r="CT169" s="933">
        <f t="shared" si="90"/>
        <v>7960.0970592000003</v>
      </c>
      <c r="CU169" s="933">
        <f t="shared" si="90"/>
        <v>8169.5732975999999</v>
      </c>
      <c r="CV169" s="933">
        <f t="shared" si="90"/>
        <v>8379.0495360000004</v>
      </c>
      <c r="CW169" s="933">
        <f t="shared" si="90"/>
        <v>8588.525774400001</v>
      </c>
      <c r="CX169" s="933">
        <f t="shared" si="90"/>
        <v>8798.0020128000015</v>
      </c>
      <c r="CY169" s="933">
        <f t="shared" si="90"/>
        <v>9007.4782512000002</v>
      </c>
      <c r="CZ169" s="933">
        <f t="shared" si="90"/>
        <v>9216.9544896000007</v>
      </c>
      <c r="DA169" s="933">
        <f t="shared" si="90"/>
        <v>9426.4307280000012</v>
      </c>
      <c r="DB169" s="933">
        <f t="shared" si="90"/>
        <v>9635.9069663999999</v>
      </c>
      <c r="DC169" s="933">
        <f t="shared" si="90"/>
        <v>9845.3832048000022</v>
      </c>
      <c r="DD169" s="933">
        <f t="shared" si="90"/>
        <v>10054.859443199999</v>
      </c>
      <c r="DE169" s="933">
        <f t="shared" si="90"/>
        <v>10264.335681600001</v>
      </c>
      <c r="DF169" s="933">
        <f t="shared" si="90"/>
        <v>10473.81192</v>
      </c>
      <c r="DG169" s="933">
        <f t="shared" si="90"/>
        <v>10683.288158400001</v>
      </c>
    </row>
    <row r="170" spans="1:118">
      <c r="A170" s="2309"/>
      <c r="B170" s="2331" t="s">
        <v>282</v>
      </c>
      <c r="C170" s="2332"/>
      <c r="D170" s="2477"/>
      <c r="E170" s="1831" t="s">
        <v>226</v>
      </c>
      <c r="F170" s="1831">
        <v>110</v>
      </c>
      <c r="G170" s="1831">
        <v>360</v>
      </c>
      <c r="H170" s="1831">
        <v>4</v>
      </c>
      <c r="I170" s="932"/>
      <c r="J170" s="1832"/>
      <c r="K170" s="1833">
        <f t="shared" ref="K170:AP170" si="91">((K$138-$I$4)/1000)*IF($C$14=0,$R$33,$R$50)*(($C$8/70)^$AC$50)*IF($C$14=0,1,IF($C$14&lt;=K$139,$AH$50,IF(AND($C$14&gt;=K$139,$C$14&lt;=K$140),((($AI$50-$AH$50)/(K$140-K$139))*$C$14+($AH$50-(($AI$50-$AH$50)/(K$140-K$139))*K$139)),IF($C$14&gt;=K$140,$AI$50,1))))</f>
        <v>995.07210925258062</v>
      </c>
      <c r="L170" s="933">
        <f t="shared" si="91"/>
        <v>1194.0865311030966</v>
      </c>
      <c r="M170" s="933">
        <f t="shared" si="91"/>
        <v>1393.1009529536127</v>
      </c>
      <c r="N170" s="933">
        <f t="shared" si="91"/>
        <v>1592.115374804129</v>
      </c>
      <c r="O170" s="933">
        <f t="shared" si="91"/>
        <v>1791.1297966546451</v>
      </c>
      <c r="P170" s="933">
        <f t="shared" si="91"/>
        <v>1990.1442185051612</v>
      </c>
      <c r="Q170" s="933">
        <f t="shared" si="91"/>
        <v>2189.1586403556776</v>
      </c>
      <c r="R170" s="933">
        <f t="shared" si="91"/>
        <v>2323.8805911237946</v>
      </c>
      <c r="S170" s="933">
        <f t="shared" si="91"/>
        <v>2517.5373070507781</v>
      </c>
      <c r="T170" s="933">
        <f t="shared" si="91"/>
        <v>2711.1940229777606</v>
      </c>
      <c r="U170" s="933">
        <f t="shared" si="91"/>
        <v>2875.6268884127439</v>
      </c>
      <c r="V170" s="1834">
        <f t="shared" si="91"/>
        <v>3067.3353476402604</v>
      </c>
      <c r="W170" s="1833">
        <f t="shared" si="91"/>
        <v>3259.0438068677763</v>
      </c>
      <c r="X170" s="933">
        <f t="shared" si="91"/>
        <v>3424.4508006524934</v>
      </c>
      <c r="Y170" s="933">
        <f t="shared" si="91"/>
        <v>3614.6980673554099</v>
      </c>
      <c r="Z170" s="933">
        <f t="shared" si="91"/>
        <v>3804.9453340583259</v>
      </c>
      <c r="AA170" s="933">
        <f t="shared" si="91"/>
        <v>3995.1926007612419</v>
      </c>
      <c r="AB170" s="933">
        <f t="shared" si="91"/>
        <v>4185.4398674641589</v>
      </c>
      <c r="AC170" s="933">
        <f t="shared" si="91"/>
        <v>4375.6871341670749</v>
      </c>
      <c r="AD170" s="933">
        <f t="shared" si="91"/>
        <v>4565.9344008699909</v>
      </c>
      <c r="AE170" s="933">
        <f t="shared" si="91"/>
        <v>4756.1816675729069</v>
      </c>
      <c r="AF170" s="1834">
        <f t="shared" si="91"/>
        <v>4946.4289342758238</v>
      </c>
      <c r="AG170" s="1835">
        <f t="shared" si="91"/>
        <v>5136.6762009787399</v>
      </c>
      <c r="AH170" s="933">
        <f t="shared" si="91"/>
        <v>5326.9234676816559</v>
      </c>
      <c r="AI170" s="933">
        <f t="shared" si="91"/>
        <v>5517.1707343845728</v>
      </c>
      <c r="AJ170" s="933">
        <f t="shared" si="91"/>
        <v>5707.4180010874888</v>
      </c>
      <c r="AK170" s="933">
        <f t="shared" si="91"/>
        <v>5897.6652677904049</v>
      </c>
      <c r="AL170" s="933">
        <f t="shared" si="91"/>
        <v>6087.9125344933218</v>
      </c>
      <c r="AM170" s="933">
        <f t="shared" si="91"/>
        <v>6278.1598011962378</v>
      </c>
      <c r="AN170" s="933">
        <f t="shared" si="91"/>
        <v>6468.4070678991538</v>
      </c>
      <c r="AO170" s="933">
        <f t="shared" si="91"/>
        <v>6658.6543346020708</v>
      </c>
      <c r="AP170" s="1834">
        <f t="shared" si="91"/>
        <v>6848.9016013049868</v>
      </c>
      <c r="AQ170" s="1833">
        <f t="shared" ref="AQ170:BG170" si="92">((AQ$138-$I$4)/1000)*IF($C$14=0,$R$33,$R$50)*(($C$8/70)^$AC$50)*IF($C$14=0,1,IF($C$14&lt;=AQ$139,$AH$50,IF(AND($C$14&gt;=AQ$139,$C$14&lt;=AQ$140),((($AI$50-$AH$50)/(AQ$140-AQ$139))*$C$14+($AH$50-(($AI$50-$AH$50)/(AQ$140-AQ$139))*AQ$139)),IF($C$14&gt;=AQ$140,$AI$50,1))))</f>
        <v>7039.1488680079028</v>
      </c>
      <c r="AR170" s="933">
        <f t="shared" si="92"/>
        <v>7229.3961347108198</v>
      </c>
      <c r="AS170" s="933">
        <f t="shared" si="92"/>
        <v>7419.6434014137358</v>
      </c>
      <c r="AT170" s="933">
        <f t="shared" si="92"/>
        <v>7609.8906681166518</v>
      </c>
      <c r="AU170" s="933">
        <f t="shared" si="92"/>
        <v>7800.1379348195678</v>
      </c>
      <c r="AV170" s="933">
        <f t="shared" si="92"/>
        <v>7990.3852015224838</v>
      </c>
      <c r="AW170" s="933">
        <f t="shared" si="92"/>
        <v>8180.6324682254008</v>
      </c>
      <c r="AX170" s="933">
        <f t="shared" si="92"/>
        <v>8370.8797349283177</v>
      </c>
      <c r="AY170" s="933">
        <f t="shared" si="92"/>
        <v>8561.1270016312337</v>
      </c>
      <c r="AZ170" s="1834">
        <f t="shared" si="92"/>
        <v>8751.3742683341497</v>
      </c>
      <c r="BA170" s="1836">
        <f t="shared" si="92"/>
        <v>8941.6215350370676</v>
      </c>
      <c r="BB170" s="1837">
        <f t="shared" si="92"/>
        <v>9131.8688017399818</v>
      </c>
      <c r="BC170" s="1837">
        <f t="shared" si="92"/>
        <v>9322.1160684428996</v>
      </c>
      <c r="BD170" s="1837">
        <f t="shared" si="92"/>
        <v>9512.3633351458138</v>
      </c>
      <c r="BE170" s="1837">
        <f t="shared" si="92"/>
        <v>9702.6106018487299</v>
      </c>
      <c r="BF170" s="1837">
        <f t="shared" si="92"/>
        <v>9892.8578685516477</v>
      </c>
      <c r="BG170" s="1834">
        <f t="shared" si="92"/>
        <v>10083.105135254562</v>
      </c>
      <c r="BH170" s="1984"/>
      <c r="BI170" s="1984"/>
      <c r="BK170" s="632">
        <f t="shared" ref="BK170:DG170" si="93">K185/K170</f>
        <v>1.26492398524594</v>
      </c>
      <c r="BL170" s="632">
        <f t="shared" si="93"/>
        <v>1.26492398524594</v>
      </c>
      <c r="BM170" s="632">
        <f t="shared" si="93"/>
        <v>1.26492398524594</v>
      </c>
      <c r="BN170" s="632">
        <f t="shared" si="93"/>
        <v>1.2649239852459397</v>
      </c>
      <c r="BO170" s="632">
        <f t="shared" si="93"/>
        <v>1.2649239852459397</v>
      </c>
      <c r="BP170" s="632">
        <f t="shared" si="93"/>
        <v>1.26492398524594</v>
      </c>
      <c r="BQ170" s="632">
        <f t="shared" si="93"/>
        <v>1.2649239852459397</v>
      </c>
      <c r="BR170" s="632">
        <f t="shared" si="93"/>
        <v>1.2649239852459402</v>
      </c>
      <c r="BS170" s="632">
        <f t="shared" si="93"/>
        <v>1.2649239852459397</v>
      </c>
      <c r="BT170" s="632">
        <f t="shared" si="93"/>
        <v>1.2649239852459397</v>
      </c>
      <c r="BU170" s="632">
        <f t="shared" si="93"/>
        <v>1.26492398524594</v>
      </c>
      <c r="BV170" s="632">
        <f t="shared" si="93"/>
        <v>1.2649239852459397</v>
      </c>
      <c r="BW170" s="632">
        <f t="shared" si="93"/>
        <v>1.26492398524594</v>
      </c>
      <c r="BX170" s="632">
        <f t="shared" si="93"/>
        <v>1.2649239852459397</v>
      </c>
      <c r="BY170" s="632">
        <f t="shared" si="93"/>
        <v>1.2649239852459397</v>
      </c>
      <c r="BZ170" s="632">
        <f t="shared" si="93"/>
        <v>1.2649239852459397</v>
      </c>
      <c r="CA170" s="632">
        <f t="shared" si="93"/>
        <v>1.26492398524594</v>
      </c>
      <c r="CB170" s="632">
        <f t="shared" si="93"/>
        <v>1.2649239852459397</v>
      </c>
      <c r="CC170" s="632">
        <f t="shared" si="93"/>
        <v>1.26492398524594</v>
      </c>
      <c r="CD170" s="632">
        <f t="shared" si="93"/>
        <v>1.26492398524594</v>
      </c>
      <c r="CE170" s="632">
        <f t="shared" si="93"/>
        <v>1.26492398524594</v>
      </c>
      <c r="CF170" s="632">
        <f t="shared" si="93"/>
        <v>1.26492398524594</v>
      </c>
      <c r="CG170" s="632">
        <f t="shared" si="93"/>
        <v>1.26492398524594</v>
      </c>
      <c r="CH170" s="632">
        <f t="shared" si="93"/>
        <v>1.2649239852459397</v>
      </c>
      <c r="CI170" s="632">
        <f t="shared" si="93"/>
        <v>1.2649239852459397</v>
      </c>
      <c r="CJ170" s="632">
        <f t="shared" si="93"/>
        <v>1.26492398524594</v>
      </c>
      <c r="CK170" s="632">
        <f t="shared" si="93"/>
        <v>1.26492398524594</v>
      </c>
      <c r="CL170" s="632">
        <f t="shared" si="93"/>
        <v>1.2649239852459397</v>
      </c>
      <c r="CM170" s="632">
        <f t="shared" si="93"/>
        <v>1.26492398524594</v>
      </c>
      <c r="CN170" s="632">
        <f t="shared" si="93"/>
        <v>1.26492398524594</v>
      </c>
      <c r="CO170" s="632">
        <f t="shared" si="93"/>
        <v>1.2649239852459397</v>
      </c>
      <c r="CP170" s="632">
        <f t="shared" si="93"/>
        <v>1.2649239852459397</v>
      </c>
      <c r="CQ170" s="632">
        <f t="shared" si="93"/>
        <v>1.26492398524594</v>
      </c>
      <c r="CR170" s="632">
        <f t="shared" si="93"/>
        <v>1.2649239852459397</v>
      </c>
      <c r="CS170" s="632">
        <f t="shared" si="93"/>
        <v>1.26492398524594</v>
      </c>
      <c r="CT170" s="632">
        <f t="shared" si="93"/>
        <v>1.2649239852459397</v>
      </c>
      <c r="CU170" s="632">
        <f t="shared" si="93"/>
        <v>1.2649239852459397</v>
      </c>
      <c r="CV170" s="632">
        <f t="shared" si="93"/>
        <v>1.26492398524594</v>
      </c>
      <c r="CW170" s="632">
        <f t="shared" si="93"/>
        <v>1.2649239852459397</v>
      </c>
      <c r="CX170" s="632">
        <f t="shared" si="93"/>
        <v>1.2649239852459397</v>
      </c>
      <c r="CY170" s="632">
        <f t="shared" si="93"/>
        <v>1.26492398524594</v>
      </c>
      <c r="CZ170" s="632">
        <f t="shared" si="93"/>
        <v>1.26492398524594</v>
      </c>
      <c r="DA170" s="632">
        <f t="shared" si="93"/>
        <v>1.2649239852459395</v>
      </c>
      <c r="DB170" s="632">
        <f t="shared" si="93"/>
        <v>1.26492398524594</v>
      </c>
      <c r="DC170" s="632">
        <f t="shared" si="93"/>
        <v>1.2649239852459397</v>
      </c>
      <c r="DD170" s="632">
        <f t="shared" si="93"/>
        <v>1.26492398524594</v>
      </c>
      <c r="DE170" s="632">
        <f t="shared" si="93"/>
        <v>1.26492398524594</v>
      </c>
      <c r="DF170" s="632">
        <f t="shared" si="93"/>
        <v>1.26492398524594</v>
      </c>
      <c r="DG170" s="632">
        <f t="shared" si="93"/>
        <v>1.2649239852459402</v>
      </c>
    </row>
    <row r="171" spans="1:118" ht="15.75" thickBot="1">
      <c r="A171" s="2309"/>
      <c r="B171" s="2331" t="s">
        <v>283</v>
      </c>
      <c r="C171" s="2332"/>
      <c r="D171" s="2477"/>
      <c r="E171" s="1831" t="s">
        <v>226</v>
      </c>
      <c r="F171" s="1831">
        <v>110</v>
      </c>
      <c r="G171" s="1831">
        <v>400</v>
      </c>
      <c r="H171" s="1831">
        <v>4</v>
      </c>
      <c r="I171" s="932"/>
      <c r="J171" s="1832"/>
      <c r="K171" s="1833">
        <f t="shared" ref="K171:AP171" si="94">((K$138-$I$4)/1000)*IF($C$14=0,$S$33,$S$50)*(($C$8/70)^$AD$50)*IF($C$14=0,1,IF($C$14&lt;=K$139,$AH$50,IF(AND($C$14&gt;=K$139,$C$14&lt;=K$140),((($AI$50-$AH$50)/(K$140-K$139))*$C$14+($AH$50-(($AI$50-$AH$50)/(K$140-K$139))*K$139)),IF($C$14&gt;=K$140,$AI$50,1))))</f>
        <v>1085.1248571428571</v>
      </c>
      <c r="L171" s="933">
        <f t="shared" si="94"/>
        <v>1302.1498285714285</v>
      </c>
      <c r="M171" s="933">
        <f t="shared" si="94"/>
        <v>1519.1747999999998</v>
      </c>
      <c r="N171" s="933">
        <f t="shared" si="94"/>
        <v>1736.1997714285715</v>
      </c>
      <c r="O171" s="933">
        <f t="shared" si="94"/>
        <v>1953.2247428571427</v>
      </c>
      <c r="P171" s="933">
        <f t="shared" si="94"/>
        <v>2170.2497142857142</v>
      </c>
      <c r="Q171" s="933">
        <f t="shared" si="94"/>
        <v>2387.2746857142856</v>
      </c>
      <c r="R171" s="933">
        <f t="shared" si="94"/>
        <v>2534.1887999999999</v>
      </c>
      <c r="S171" s="933">
        <f t="shared" si="94"/>
        <v>2745.3712</v>
      </c>
      <c r="T171" s="933">
        <f t="shared" si="94"/>
        <v>2956.5535999999997</v>
      </c>
      <c r="U171" s="933">
        <f t="shared" si="94"/>
        <v>3135.8674285714283</v>
      </c>
      <c r="V171" s="1834">
        <f t="shared" si="94"/>
        <v>3344.9252571428574</v>
      </c>
      <c r="W171" s="1833">
        <f t="shared" si="94"/>
        <v>3553.9830857142856</v>
      </c>
      <c r="X171" s="933">
        <f t="shared" si="94"/>
        <v>3734.3591999999999</v>
      </c>
      <c r="Y171" s="933">
        <f t="shared" si="94"/>
        <v>3941.8235999999997</v>
      </c>
      <c r="Z171" s="933">
        <f t="shared" si="94"/>
        <v>4149.2880000000005</v>
      </c>
      <c r="AA171" s="933">
        <f t="shared" si="94"/>
        <v>4356.7524000000003</v>
      </c>
      <c r="AB171" s="933">
        <f t="shared" si="94"/>
        <v>4564.2168000000001</v>
      </c>
      <c r="AC171" s="933">
        <f t="shared" si="94"/>
        <v>4771.6812</v>
      </c>
      <c r="AD171" s="933">
        <f t="shared" si="94"/>
        <v>4979.1455999999998</v>
      </c>
      <c r="AE171" s="933">
        <f t="shared" si="94"/>
        <v>5186.6100000000006</v>
      </c>
      <c r="AF171" s="1834">
        <f t="shared" si="94"/>
        <v>5394.0743999999995</v>
      </c>
      <c r="AG171" s="1835">
        <f t="shared" si="94"/>
        <v>5601.5388000000003</v>
      </c>
      <c r="AH171" s="933">
        <f t="shared" si="94"/>
        <v>5809.0031999999992</v>
      </c>
      <c r="AI171" s="933">
        <f t="shared" si="94"/>
        <v>6016.4675999999999</v>
      </c>
      <c r="AJ171" s="933">
        <f t="shared" si="94"/>
        <v>6223.9319999999998</v>
      </c>
      <c r="AK171" s="933">
        <f t="shared" si="94"/>
        <v>6431.3964000000005</v>
      </c>
      <c r="AL171" s="933">
        <f t="shared" si="94"/>
        <v>6638.8608000000004</v>
      </c>
      <c r="AM171" s="933">
        <f t="shared" si="94"/>
        <v>6846.3251999999993</v>
      </c>
      <c r="AN171" s="933">
        <f t="shared" si="94"/>
        <v>7053.7896000000001</v>
      </c>
      <c r="AO171" s="933">
        <f t="shared" si="94"/>
        <v>7261.2540000000008</v>
      </c>
      <c r="AP171" s="1834">
        <f t="shared" si="94"/>
        <v>7468.7183999999997</v>
      </c>
      <c r="AQ171" s="1833">
        <f t="shared" ref="AQ171:BG171" si="95">((AQ$138-$I$4)/1000)*IF($C$14=0,$S$33,$S$50)*(($C$8/70)^$AD$50)*IF($C$14=0,1,IF($C$14&lt;=AQ$139,$AH$50,IF(AND($C$14&gt;=AQ$139,$C$14&lt;=AQ$140),((($AI$50-$AH$50)/(AQ$140-AQ$139))*$C$14+($AH$50-(($AI$50-$AH$50)/(AQ$140-AQ$139))*AQ$139)),IF($C$14&gt;=AQ$140,$AI$50,1))))</f>
        <v>7676.1828000000005</v>
      </c>
      <c r="AR171" s="933">
        <f t="shared" si="95"/>
        <v>7883.6471999999994</v>
      </c>
      <c r="AS171" s="933">
        <f t="shared" si="95"/>
        <v>8091.1115999999993</v>
      </c>
      <c r="AT171" s="933">
        <f t="shared" si="95"/>
        <v>8298.5760000000009</v>
      </c>
      <c r="AU171" s="933">
        <f t="shared" si="95"/>
        <v>8506.0403999999999</v>
      </c>
      <c r="AV171" s="933">
        <f t="shared" si="95"/>
        <v>8713.5048000000006</v>
      </c>
      <c r="AW171" s="933">
        <f t="shared" si="95"/>
        <v>8920.9691999999995</v>
      </c>
      <c r="AX171" s="933">
        <f t="shared" si="95"/>
        <v>9128.4336000000003</v>
      </c>
      <c r="AY171" s="933">
        <f t="shared" si="95"/>
        <v>9335.8979999999992</v>
      </c>
      <c r="AZ171" s="1834">
        <f t="shared" si="95"/>
        <v>9543.3624</v>
      </c>
      <c r="BA171" s="1836">
        <f t="shared" si="95"/>
        <v>9750.8268000000007</v>
      </c>
      <c r="BB171" s="1837">
        <f t="shared" si="95"/>
        <v>9958.2911999999997</v>
      </c>
      <c r="BC171" s="1837">
        <f t="shared" si="95"/>
        <v>10165.755600000002</v>
      </c>
      <c r="BD171" s="1837">
        <f t="shared" si="95"/>
        <v>10373.220000000001</v>
      </c>
      <c r="BE171" s="1837">
        <f t="shared" si="95"/>
        <v>10580.6844</v>
      </c>
      <c r="BF171" s="1837">
        <f t="shared" si="95"/>
        <v>10788.148799999999</v>
      </c>
      <c r="BG171" s="1834">
        <f t="shared" si="95"/>
        <v>10995.6132</v>
      </c>
      <c r="BH171" s="1838">
        <f t="shared" ref="BH171:CM171" si="96">((BH$138-$I$4)/1000)*IF($C$13=0,$S$33,$S$50)*(($C$8/70)^$AD$50)*IF($C$13=1,$AH$50,IF($C$13=2,$AI$50,IF($C$13=3,$AJ$50,1)))</f>
        <v>-2099.5883999999996</v>
      </c>
      <c r="BI171" s="935">
        <f t="shared" si="96"/>
        <v>-2099.5883999999996</v>
      </c>
      <c r="BJ171" s="935">
        <f t="shared" si="96"/>
        <v>-2099.5883999999996</v>
      </c>
      <c r="BK171" s="935">
        <f t="shared" si="96"/>
        <v>899.82359999999983</v>
      </c>
      <c r="BL171" s="935">
        <f t="shared" si="96"/>
        <v>1199.7647999999999</v>
      </c>
      <c r="BM171" s="935">
        <f t="shared" si="96"/>
        <v>1499.7059999999999</v>
      </c>
      <c r="BN171" s="935">
        <f t="shared" si="96"/>
        <v>1799.6471999999997</v>
      </c>
      <c r="BO171" s="935">
        <f t="shared" si="96"/>
        <v>2099.5883999999996</v>
      </c>
      <c r="BP171" s="935">
        <f t="shared" si="96"/>
        <v>2399.5295999999998</v>
      </c>
      <c r="BQ171" s="935">
        <f t="shared" si="96"/>
        <v>2699.4707999999996</v>
      </c>
      <c r="BR171" s="935">
        <f t="shared" si="96"/>
        <v>2999.4119999999998</v>
      </c>
      <c r="BS171" s="935">
        <f t="shared" si="96"/>
        <v>3299.3532</v>
      </c>
      <c r="BT171" s="935">
        <f t="shared" si="96"/>
        <v>3599.2943999999993</v>
      </c>
      <c r="BU171" s="935">
        <f t="shared" si="96"/>
        <v>3899.2355999999995</v>
      </c>
      <c r="BV171" s="935">
        <f t="shared" si="96"/>
        <v>4199.1767999999993</v>
      </c>
      <c r="BW171" s="935">
        <f t="shared" si="96"/>
        <v>4499.1179999999995</v>
      </c>
      <c r="BX171" s="935">
        <f t="shared" si="96"/>
        <v>4799.0591999999997</v>
      </c>
      <c r="BY171" s="935">
        <f t="shared" si="96"/>
        <v>5099.0003999999999</v>
      </c>
      <c r="BZ171" s="935">
        <f t="shared" si="96"/>
        <v>5398.9415999999992</v>
      </c>
      <c r="CA171" s="935">
        <f t="shared" si="96"/>
        <v>5698.8827999999985</v>
      </c>
      <c r="CB171" s="935">
        <f t="shared" si="96"/>
        <v>5998.8239999999996</v>
      </c>
      <c r="CC171" s="935">
        <f t="shared" si="96"/>
        <v>6298.7651999999998</v>
      </c>
      <c r="CD171" s="935">
        <f t="shared" si="96"/>
        <v>6598.7064</v>
      </c>
      <c r="CE171" s="935">
        <f t="shared" si="96"/>
        <v>6898.6475999999993</v>
      </c>
      <c r="CF171" s="935">
        <f t="shared" si="96"/>
        <v>7198.5887999999986</v>
      </c>
      <c r="CG171" s="935">
        <f t="shared" si="96"/>
        <v>7498.53</v>
      </c>
      <c r="CH171" s="935">
        <f t="shared" si="96"/>
        <v>7798.471199999999</v>
      </c>
      <c r="CI171" s="935">
        <f t="shared" si="96"/>
        <v>8098.4124000000002</v>
      </c>
      <c r="CJ171" s="935">
        <f t="shared" si="96"/>
        <v>8398.3535999999986</v>
      </c>
      <c r="CK171" s="935">
        <f t="shared" si="96"/>
        <v>8698.2947999999997</v>
      </c>
      <c r="CL171" s="935">
        <f t="shared" si="96"/>
        <v>8998.235999999999</v>
      </c>
      <c r="CM171" s="935">
        <f t="shared" si="96"/>
        <v>9298.1772000000001</v>
      </c>
      <c r="CN171" s="935">
        <f t="shared" ref="CN171:DG171" si="97">((CN$138-$I$4)/1000)*IF($C$13=0,$S$33,$S$50)*(($C$8/70)^$AD$50)*IF($C$13=1,$AH$50,IF($C$13=2,$AI$50,IF($C$13=3,$AJ$50,1)))</f>
        <v>9598.1183999999994</v>
      </c>
      <c r="CO171" s="935">
        <f t="shared" si="97"/>
        <v>9898.0595999999987</v>
      </c>
      <c r="CP171" s="935">
        <f t="shared" si="97"/>
        <v>10198.0008</v>
      </c>
      <c r="CQ171" s="935">
        <f t="shared" si="97"/>
        <v>10497.941999999999</v>
      </c>
      <c r="CR171" s="935">
        <f t="shared" si="97"/>
        <v>10797.883199999998</v>
      </c>
      <c r="CS171" s="935">
        <f t="shared" si="97"/>
        <v>11097.8244</v>
      </c>
      <c r="CT171" s="935">
        <f t="shared" si="97"/>
        <v>11397.765599999997</v>
      </c>
      <c r="CU171" s="935">
        <f t="shared" si="97"/>
        <v>11697.706799999998</v>
      </c>
      <c r="CV171" s="935">
        <f t="shared" si="97"/>
        <v>11997.647999999999</v>
      </c>
      <c r="CW171" s="935">
        <f t="shared" si="97"/>
        <v>12297.589199999997</v>
      </c>
      <c r="CX171" s="935">
        <f t="shared" si="97"/>
        <v>12597.5304</v>
      </c>
      <c r="CY171" s="935">
        <f t="shared" si="97"/>
        <v>12897.471599999999</v>
      </c>
      <c r="CZ171" s="935">
        <f t="shared" si="97"/>
        <v>13197.4128</v>
      </c>
      <c r="DA171" s="935">
        <f t="shared" si="97"/>
        <v>13497.353999999998</v>
      </c>
      <c r="DB171" s="935">
        <f t="shared" si="97"/>
        <v>13797.295199999999</v>
      </c>
      <c r="DC171" s="935">
        <f t="shared" si="97"/>
        <v>14097.2364</v>
      </c>
      <c r="DD171" s="935">
        <f t="shared" si="97"/>
        <v>14397.177599999997</v>
      </c>
      <c r="DE171" s="935">
        <f t="shared" si="97"/>
        <v>14697.1188</v>
      </c>
      <c r="DF171" s="935">
        <f t="shared" si="97"/>
        <v>14997.06</v>
      </c>
      <c r="DG171" s="935">
        <f t="shared" si="97"/>
        <v>15297.001199999997</v>
      </c>
    </row>
    <row r="172" spans="1:118" ht="15.75" thickBot="1">
      <c r="A172" s="2506"/>
      <c r="B172" s="2365" t="s">
        <v>284</v>
      </c>
      <c r="C172" s="2366"/>
      <c r="D172" s="2478"/>
      <c r="E172" s="1294" t="s">
        <v>226</v>
      </c>
      <c r="F172" s="1294">
        <v>110</v>
      </c>
      <c r="G172" s="1294">
        <v>400</v>
      </c>
      <c r="H172" s="1294">
        <v>6</v>
      </c>
      <c r="I172" s="934"/>
      <c r="J172" s="1839"/>
      <c r="K172" s="1840">
        <f t="shared" ref="K172:AP172" si="98">((K$138-$I$4)/1000)*IF($C$14=0,$T$33,$T$50)*(($C$8/70)^$AE$50)*IF($C$14=0,1,IF($C$14&lt;=K$139,$AH$50,IF(AND($C$14&gt;=K$139,$C$14&lt;=K$140),((($AI$50-$AH$50)/(K$140-K$139))*$C$14+($AH$50-(($AI$50-$AH$50)/(K$140-K$139))*K$139)),IF($C$14&gt;=K$140,$AI$50,1))))</f>
        <v>1247.8935857142856</v>
      </c>
      <c r="L172" s="935">
        <f t="shared" si="98"/>
        <v>1497.4723028571429</v>
      </c>
      <c r="M172" s="935">
        <f t="shared" si="98"/>
        <v>1747.0510199999999</v>
      </c>
      <c r="N172" s="935">
        <f t="shared" si="98"/>
        <v>1996.629737142857</v>
      </c>
      <c r="O172" s="935">
        <f t="shared" si="98"/>
        <v>2246.2084542857142</v>
      </c>
      <c r="P172" s="935">
        <f t="shared" si="98"/>
        <v>2495.7871714285711</v>
      </c>
      <c r="Q172" s="935">
        <f t="shared" si="98"/>
        <v>2745.3658885714285</v>
      </c>
      <c r="R172" s="935">
        <f t="shared" si="98"/>
        <v>2914.3171200000002</v>
      </c>
      <c r="S172" s="935">
        <f t="shared" si="98"/>
        <v>3157.1768800000004</v>
      </c>
      <c r="T172" s="935">
        <f t="shared" si="98"/>
        <v>3400.0366399999998</v>
      </c>
      <c r="U172" s="935">
        <f t="shared" si="98"/>
        <v>3606.2475428571429</v>
      </c>
      <c r="V172" s="1841">
        <f t="shared" si="98"/>
        <v>3846.6640457142853</v>
      </c>
      <c r="W172" s="1840">
        <f t="shared" si="98"/>
        <v>4087.0805485714286</v>
      </c>
      <c r="X172" s="935">
        <f t="shared" si="98"/>
        <v>4294.5130799999997</v>
      </c>
      <c r="Y172" s="935">
        <f t="shared" si="98"/>
        <v>4533.0971399999999</v>
      </c>
      <c r="Z172" s="935">
        <f t="shared" si="98"/>
        <v>4771.6812</v>
      </c>
      <c r="AA172" s="935">
        <f t="shared" si="98"/>
        <v>5010.2652600000001</v>
      </c>
      <c r="AB172" s="935">
        <f t="shared" si="98"/>
        <v>5248.8493200000003</v>
      </c>
      <c r="AC172" s="935">
        <f t="shared" si="98"/>
        <v>5487.4333799999995</v>
      </c>
      <c r="AD172" s="935">
        <f t="shared" si="98"/>
        <v>5726.0174400000005</v>
      </c>
      <c r="AE172" s="935">
        <f t="shared" si="98"/>
        <v>5964.6014999999998</v>
      </c>
      <c r="AF172" s="1841">
        <f t="shared" si="98"/>
        <v>6203.1855599999999</v>
      </c>
      <c r="AG172" s="1838">
        <f t="shared" si="98"/>
        <v>6441.7696200000009</v>
      </c>
      <c r="AH172" s="935">
        <f t="shared" si="98"/>
        <v>6680.3536799999993</v>
      </c>
      <c r="AI172" s="935">
        <f t="shared" si="98"/>
        <v>6918.9377400000003</v>
      </c>
      <c r="AJ172" s="935">
        <f t="shared" si="98"/>
        <v>7157.5218000000004</v>
      </c>
      <c r="AK172" s="935">
        <f t="shared" si="98"/>
        <v>7396.1058599999997</v>
      </c>
      <c r="AL172" s="935">
        <f t="shared" si="98"/>
        <v>7634.6899199999998</v>
      </c>
      <c r="AM172" s="935">
        <f t="shared" si="98"/>
        <v>7873.273979999999</v>
      </c>
      <c r="AN172" s="935">
        <f t="shared" si="98"/>
        <v>8111.8580400000001</v>
      </c>
      <c r="AO172" s="935">
        <f t="shared" si="98"/>
        <v>8350.4421000000002</v>
      </c>
      <c r="AP172" s="1841">
        <f t="shared" si="98"/>
        <v>8589.0261599999994</v>
      </c>
      <c r="AQ172" s="1840">
        <f t="shared" ref="AQ172:BG172" si="99">((AQ$138-$I$4)/1000)*IF($C$14=0,$T$33,$T$50)*(($C$8/70)^$AE$50)*IF($C$14=0,1,IF($C$14&lt;=AQ$139,$AH$50,IF(AND($C$14&gt;=AQ$139,$C$14&lt;=AQ$140),((($AI$50-$AH$50)/(AQ$140-AQ$139))*$C$14+($AH$50-(($AI$50-$AH$50)/(AQ$140-AQ$139))*AQ$139)),IF($C$14&gt;=AQ$140,$AI$50,1))))</f>
        <v>8827.6102200000005</v>
      </c>
      <c r="AR172" s="935">
        <f t="shared" si="99"/>
        <v>9066.1942799999997</v>
      </c>
      <c r="AS172" s="935">
        <f t="shared" si="99"/>
        <v>9304.7783400000008</v>
      </c>
      <c r="AT172" s="935">
        <f t="shared" si="99"/>
        <v>9543.3624</v>
      </c>
      <c r="AU172" s="935">
        <f t="shared" si="99"/>
        <v>9781.9464599999992</v>
      </c>
      <c r="AV172" s="935">
        <f t="shared" si="99"/>
        <v>10020.53052</v>
      </c>
      <c r="AW172" s="935">
        <f t="shared" si="99"/>
        <v>10259.114579999999</v>
      </c>
      <c r="AX172" s="935">
        <f t="shared" si="99"/>
        <v>10497.698640000001</v>
      </c>
      <c r="AY172" s="935">
        <f t="shared" si="99"/>
        <v>10736.2827</v>
      </c>
      <c r="AZ172" s="1841">
        <f t="shared" si="99"/>
        <v>10974.866759999999</v>
      </c>
      <c r="BA172" s="1842">
        <f t="shared" si="99"/>
        <v>11213.45082</v>
      </c>
      <c r="BB172" s="1843">
        <f t="shared" si="99"/>
        <v>11452.034880000001</v>
      </c>
      <c r="BC172" s="1843">
        <f t="shared" si="99"/>
        <v>11690.618940000002</v>
      </c>
      <c r="BD172" s="1843">
        <f t="shared" si="99"/>
        <v>11929.203</v>
      </c>
      <c r="BE172" s="1843">
        <f t="shared" si="99"/>
        <v>12167.787059999999</v>
      </c>
      <c r="BF172" s="1843">
        <f t="shared" si="99"/>
        <v>12406.37112</v>
      </c>
      <c r="BG172" s="1841">
        <f t="shared" si="99"/>
        <v>12644.955180000001</v>
      </c>
      <c r="BH172" s="1838">
        <f t="shared" ref="BH172:CM172" si="100">((BH$138-$I$4)/1000)*IF($C$13=0,$T$33,$T$50)*(($C$8/70)^$AE$50)*IF($C$14&lt;=BH$139,$AH$50,IF(AND($C$14&gt;=BH$139,$C$14&lt;=BH$140),((($AI$50-$AH$50)/(BH$140-BH$139))*$C$14+($AH$50-(($AI$50-$AH$50)/(BH$140-BH$139))*BH$139)),IF($C$14&gt;=BH$140,$AI$50,1)))</f>
        <v>-1670.0884199999998</v>
      </c>
      <c r="BI172" s="935">
        <f t="shared" si="100"/>
        <v>-1670.0884199999998</v>
      </c>
      <c r="BJ172" s="935">
        <f t="shared" si="100"/>
        <v>-1670.0884199999998</v>
      </c>
      <c r="BK172" s="935">
        <f t="shared" si="100"/>
        <v>715.75218000000007</v>
      </c>
      <c r="BL172" s="935">
        <f t="shared" si="100"/>
        <v>954.33623999999998</v>
      </c>
      <c r="BM172" s="935">
        <f t="shared" si="100"/>
        <v>1192.9203</v>
      </c>
      <c r="BN172" s="935">
        <f t="shared" si="100"/>
        <v>1662.3921599999999</v>
      </c>
      <c r="BO172" s="935">
        <f t="shared" si="100"/>
        <v>1939.4575199999997</v>
      </c>
      <c r="BP172" s="935">
        <f t="shared" si="100"/>
        <v>2216.52288</v>
      </c>
      <c r="BQ172" s="935">
        <f t="shared" si="100"/>
        <v>2493.58824</v>
      </c>
      <c r="BR172" s="935">
        <f t="shared" si="100"/>
        <v>2770.6535999999996</v>
      </c>
      <c r="BS172" s="935">
        <f t="shared" si="100"/>
        <v>3047.7189599999997</v>
      </c>
      <c r="BT172" s="935">
        <f t="shared" si="100"/>
        <v>3324.7843199999998</v>
      </c>
      <c r="BU172" s="935">
        <f t="shared" si="100"/>
        <v>3601.8496799999998</v>
      </c>
      <c r="BV172" s="935">
        <f t="shared" si="100"/>
        <v>3878.9150399999994</v>
      </c>
      <c r="BW172" s="935">
        <f t="shared" si="100"/>
        <v>4155.9804000000004</v>
      </c>
      <c r="BX172" s="935">
        <f t="shared" si="100"/>
        <v>4433.04576</v>
      </c>
      <c r="BY172" s="935">
        <f t="shared" si="100"/>
        <v>4710.1111200000005</v>
      </c>
      <c r="BZ172" s="935">
        <f t="shared" si="100"/>
        <v>4987.1764800000001</v>
      </c>
      <c r="CA172" s="935">
        <f t="shared" si="100"/>
        <v>5264.2418399999988</v>
      </c>
      <c r="CB172" s="935">
        <f t="shared" si="100"/>
        <v>5541.3071999999993</v>
      </c>
      <c r="CC172" s="935">
        <f t="shared" si="100"/>
        <v>5818.3725599999998</v>
      </c>
      <c r="CD172" s="935">
        <f t="shared" si="100"/>
        <v>6095.4379199999994</v>
      </c>
      <c r="CE172" s="935">
        <f t="shared" si="100"/>
        <v>6372.503279999999</v>
      </c>
      <c r="CF172" s="935">
        <f t="shared" si="100"/>
        <v>6649.5686399999995</v>
      </c>
      <c r="CG172" s="935">
        <f t="shared" si="100"/>
        <v>6926.6339999999991</v>
      </c>
      <c r="CH172" s="935">
        <f t="shared" si="100"/>
        <v>7203.6993599999996</v>
      </c>
      <c r="CI172" s="935">
        <f t="shared" si="100"/>
        <v>7480.7647200000001</v>
      </c>
      <c r="CJ172" s="935">
        <f t="shared" si="100"/>
        <v>7757.8300799999988</v>
      </c>
      <c r="CK172" s="935">
        <f t="shared" si="100"/>
        <v>8034.8954399999993</v>
      </c>
      <c r="CL172" s="935">
        <f t="shared" si="100"/>
        <v>8311.9608000000007</v>
      </c>
      <c r="CM172" s="935">
        <f t="shared" si="100"/>
        <v>8589.0261599999994</v>
      </c>
      <c r="CN172" s="935">
        <f t="shared" ref="CN172:DG172" si="101">((CN$138-$I$4)/1000)*IF($C$13=0,$T$33,$T$50)*(($C$8/70)^$AE$50)*IF($C$14&lt;=CN$139,$AH$50,IF(AND($C$14&gt;=CN$139,$C$14&lt;=CN$140),((($AI$50-$AH$50)/(CN$140-CN$139))*$C$14+($AH$50-(($AI$50-$AH$50)/(CN$140-CN$139))*CN$139)),IF($C$14&gt;=CN$140,$AI$50,1)))</f>
        <v>8866.0915199999999</v>
      </c>
      <c r="CO172" s="935">
        <f t="shared" si="101"/>
        <v>9143.1568799999986</v>
      </c>
      <c r="CP172" s="935">
        <f t="shared" si="101"/>
        <v>9420.222240000001</v>
      </c>
      <c r="CQ172" s="935">
        <f t="shared" si="101"/>
        <v>9697.2875999999997</v>
      </c>
      <c r="CR172" s="935">
        <f t="shared" si="101"/>
        <v>9974.3529600000002</v>
      </c>
      <c r="CS172" s="935">
        <f t="shared" si="101"/>
        <v>10251.418320000001</v>
      </c>
      <c r="CT172" s="935">
        <f t="shared" si="101"/>
        <v>10528.483679999998</v>
      </c>
      <c r="CU172" s="935">
        <f t="shared" si="101"/>
        <v>10805.54904</v>
      </c>
      <c r="CV172" s="935">
        <f t="shared" si="101"/>
        <v>11082.614399999999</v>
      </c>
      <c r="CW172" s="935">
        <f t="shared" si="101"/>
        <v>11359.679759999999</v>
      </c>
      <c r="CX172" s="935">
        <f t="shared" si="101"/>
        <v>11636.74512</v>
      </c>
      <c r="CY172" s="935">
        <f t="shared" si="101"/>
        <v>11913.810479999998</v>
      </c>
      <c r="CZ172" s="935">
        <f t="shared" si="101"/>
        <v>12190.875839999999</v>
      </c>
      <c r="DA172" s="935">
        <f t="shared" si="101"/>
        <v>12467.941199999999</v>
      </c>
      <c r="DB172" s="935">
        <f t="shared" si="101"/>
        <v>12745.006559999998</v>
      </c>
      <c r="DC172" s="935">
        <f t="shared" si="101"/>
        <v>13022.07192</v>
      </c>
      <c r="DD172" s="935">
        <f t="shared" si="101"/>
        <v>13299.137279999999</v>
      </c>
      <c r="DE172" s="935">
        <f t="shared" si="101"/>
        <v>13576.202640000001</v>
      </c>
      <c r="DF172" s="935">
        <f t="shared" si="101"/>
        <v>13853.267999999998</v>
      </c>
      <c r="DG172" s="935">
        <f t="shared" si="101"/>
        <v>14130.333359999999</v>
      </c>
    </row>
    <row r="173" spans="1:118">
      <c r="A173" s="2506"/>
      <c r="B173" s="2369" t="s">
        <v>416</v>
      </c>
      <c r="C173" s="2369"/>
      <c r="D173" s="2473">
        <v>90</v>
      </c>
      <c r="E173" s="1844" t="s">
        <v>226</v>
      </c>
      <c r="F173" s="1844">
        <v>140</v>
      </c>
      <c r="G173" s="1844">
        <v>160</v>
      </c>
      <c r="H173" s="1845">
        <v>4</v>
      </c>
      <c r="I173" s="1162"/>
      <c r="J173" s="1846"/>
      <c r="K173" s="1847">
        <f t="shared" ref="K173:AP173" si="102">((K$138-$I$4)/1000)*IF($C$14=0,$L$34,$L$51)*(($C$8/70)^$W$51)*IF($C$14=0,1,IF($C$14&lt;=K$139,$AH$51,IF(AND($C$14&gt;=K$139,$C$14&lt;=K$140),((($AI$51-$AH$51)/(K$140-K$139))*$C$14+($AH$51-(($AI$51-$AH$51)/(K$140-K$139))*K$139)),IF($C$14&gt;=K$140,$AI$51,1))))</f>
        <v>924.45158466374983</v>
      </c>
      <c r="L173" s="1026">
        <f t="shared" si="102"/>
        <v>1109.3419015964998</v>
      </c>
      <c r="M173" s="1026">
        <f t="shared" si="102"/>
        <v>1294.2322185292496</v>
      </c>
      <c r="N173" s="1026">
        <f t="shared" si="102"/>
        <v>1479.1225354619999</v>
      </c>
      <c r="O173" s="1026">
        <f t="shared" si="102"/>
        <v>1664.0128523947496</v>
      </c>
      <c r="P173" s="1026">
        <f t="shared" si="102"/>
        <v>1848.9031693274997</v>
      </c>
      <c r="Q173" s="1026">
        <f t="shared" si="102"/>
        <v>2033.7934862602499</v>
      </c>
      <c r="R173" s="1026">
        <f t="shared" si="102"/>
        <v>2158.954185388</v>
      </c>
      <c r="S173" s="1026">
        <f t="shared" si="102"/>
        <v>2338.8670341703332</v>
      </c>
      <c r="T173" s="1026">
        <f t="shared" si="102"/>
        <v>2518.7798829526664</v>
      </c>
      <c r="U173" s="1026">
        <f t="shared" si="102"/>
        <v>2671.5429054599995</v>
      </c>
      <c r="V173" s="1848">
        <f t="shared" si="102"/>
        <v>2849.6457658239997</v>
      </c>
      <c r="W173" s="1847">
        <f t="shared" si="102"/>
        <v>3027.7486261879994</v>
      </c>
      <c r="X173" s="1026">
        <f t="shared" si="102"/>
        <v>3181.4166429044994</v>
      </c>
      <c r="Y173" s="1026">
        <f t="shared" si="102"/>
        <v>3358.1620119547492</v>
      </c>
      <c r="Z173" s="1026">
        <f t="shared" si="102"/>
        <v>3534.9073810049995</v>
      </c>
      <c r="AA173" s="1026">
        <f t="shared" si="102"/>
        <v>3711.6527500552493</v>
      </c>
      <c r="AB173" s="1026">
        <f t="shared" si="102"/>
        <v>3888.3981191055</v>
      </c>
      <c r="AC173" s="1026">
        <f t="shared" si="102"/>
        <v>4065.1434881557489</v>
      </c>
      <c r="AD173" s="1026">
        <f t="shared" si="102"/>
        <v>4241.8888572059996</v>
      </c>
      <c r="AE173" s="1026">
        <f t="shared" si="102"/>
        <v>4418.6342262562493</v>
      </c>
      <c r="AF173" s="1848">
        <f t="shared" si="102"/>
        <v>4595.3795953064991</v>
      </c>
      <c r="AG173" s="1849">
        <f t="shared" si="102"/>
        <v>4772.1249643567498</v>
      </c>
      <c r="AH173" s="1026">
        <f t="shared" si="102"/>
        <v>4948.8703334069987</v>
      </c>
      <c r="AI173" s="1026">
        <f t="shared" si="102"/>
        <v>5125.6157024572494</v>
      </c>
      <c r="AJ173" s="1026">
        <f t="shared" si="102"/>
        <v>5302.3610715074992</v>
      </c>
      <c r="AK173" s="1026">
        <f t="shared" si="102"/>
        <v>5479.106440557749</v>
      </c>
      <c r="AL173" s="1026">
        <f t="shared" si="102"/>
        <v>5655.8518096079997</v>
      </c>
      <c r="AM173" s="1026">
        <f t="shared" si="102"/>
        <v>5832.5971786582486</v>
      </c>
      <c r="AN173" s="1026">
        <f t="shared" si="102"/>
        <v>6009.3425477084993</v>
      </c>
      <c r="AO173" s="1026">
        <f t="shared" si="102"/>
        <v>6186.0879167587491</v>
      </c>
      <c r="AP173" s="1848">
        <f t="shared" si="102"/>
        <v>6362.8332858089989</v>
      </c>
      <c r="AQ173" s="1847">
        <f t="shared" ref="AQ173:BG173" si="103">((AQ$138-$I$4)/1000)*IF($C$14=0,$L$34,$L$51)*(($C$8/70)^$W$51)*IF($C$14=0,1,IF($C$14&lt;=AQ$139,$AH$51,IF(AND($C$14&gt;=AQ$139,$C$14&lt;=AQ$140),((($AI$51-$AH$51)/(AQ$140-AQ$139))*$C$14+($AH$51-(($AI$51-$AH$51)/(AQ$140-AQ$139))*AQ$139)),IF($C$14&gt;=AQ$140,$AI$51,1))))</f>
        <v>6539.5786548592496</v>
      </c>
      <c r="AR173" s="1026">
        <f t="shared" si="103"/>
        <v>6716.3240239094985</v>
      </c>
      <c r="AS173" s="1026">
        <f t="shared" si="103"/>
        <v>6893.0693929597492</v>
      </c>
      <c r="AT173" s="1026">
        <f t="shared" si="103"/>
        <v>7069.814762009999</v>
      </c>
      <c r="AU173" s="1026">
        <f t="shared" si="103"/>
        <v>7246.5601310602488</v>
      </c>
      <c r="AV173" s="1026">
        <f t="shared" si="103"/>
        <v>7423.3055001104985</v>
      </c>
      <c r="AW173" s="1026">
        <f t="shared" si="103"/>
        <v>7600.0508691607483</v>
      </c>
      <c r="AX173" s="1026">
        <f t="shared" si="103"/>
        <v>7776.7962382109999</v>
      </c>
      <c r="AY173" s="1026">
        <f t="shared" si="103"/>
        <v>7953.5416072612497</v>
      </c>
      <c r="AZ173" s="1848">
        <f t="shared" si="103"/>
        <v>8130.2869763114977</v>
      </c>
      <c r="BA173" s="1850">
        <f t="shared" si="103"/>
        <v>8307.0323453617493</v>
      </c>
      <c r="BB173" s="1851">
        <f t="shared" si="103"/>
        <v>8483.7777144119991</v>
      </c>
      <c r="BC173" s="1851">
        <f t="shared" si="103"/>
        <v>8660.5230834622489</v>
      </c>
      <c r="BD173" s="1851">
        <f t="shared" si="103"/>
        <v>8837.2684525124987</v>
      </c>
      <c r="BE173" s="1851">
        <f t="shared" si="103"/>
        <v>9014.0138215627485</v>
      </c>
      <c r="BF173" s="1851">
        <f t="shared" si="103"/>
        <v>9190.7591906129983</v>
      </c>
      <c r="BG173" s="1848">
        <f t="shared" si="103"/>
        <v>9367.5045596632481</v>
      </c>
      <c r="BH173" s="1984"/>
      <c r="BI173" s="1984"/>
    </row>
    <row r="174" spans="1:118">
      <c r="A174" s="2506"/>
      <c r="B174" s="2334" t="s">
        <v>417</v>
      </c>
      <c r="C174" s="2334"/>
      <c r="D174" s="2474"/>
      <c r="E174" s="1845" t="s">
        <v>226</v>
      </c>
      <c r="F174" s="1845">
        <v>140</v>
      </c>
      <c r="G174" s="1845">
        <v>200</v>
      </c>
      <c r="H174" s="1845">
        <v>4</v>
      </c>
      <c r="I174" s="1163"/>
      <c r="J174" s="1852"/>
      <c r="K174" s="1853">
        <f t="shared" ref="K174:AP174" si="104">((K$138-$I$4)/1000)*IF($C$14=0,$M$34,$M$51)*(($C$8/70)^$X$51)*IF($C$14=0,1,IF($C$14&lt;=K$139,$AH$51,IF(AND($C$14&gt;=K$139,$C$14&lt;=K$140),((($AI$51-$AH$51)/(K$140-K$139))*$C$14+($AH$51-(($AI$51-$AH$51)/(K$140-K$139))*K$139)),IF($C$14&gt;=K$140,$AI$51,1))))</f>
        <v>973.10693122499981</v>
      </c>
      <c r="L174" s="1027">
        <f t="shared" si="104"/>
        <v>1167.7283174699999</v>
      </c>
      <c r="M174" s="1027">
        <f t="shared" si="104"/>
        <v>1362.3497037149996</v>
      </c>
      <c r="N174" s="1027">
        <f t="shared" si="104"/>
        <v>1556.97108996</v>
      </c>
      <c r="O174" s="1027">
        <f t="shared" si="104"/>
        <v>1751.5924762049997</v>
      </c>
      <c r="P174" s="1027">
        <f t="shared" si="104"/>
        <v>1946.2138624499996</v>
      </c>
      <c r="Q174" s="1027">
        <f t="shared" si="104"/>
        <v>2140.8352486949998</v>
      </c>
      <c r="R174" s="1027">
        <f t="shared" si="104"/>
        <v>2272.58335304</v>
      </c>
      <c r="S174" s="1027">
        <f t="shared" si="104"/>
        <v>2461.9652991266667</v>
      </c>
      <c r="T174" s="1027">
        <f t="shared" si="104"/>
        <v>2651.3472452133328</v>
      </c>
      <c r="U174" s="1027">
        <f t="shared" si="104"/>
        <v>2812.1504267999994</v>
      </c>
      <c r="V174" s="1854">
        <f t="shared" si="104"/>
        <v>2999.6271219199998</v>
      </c>
      <c r="W174" s="1853">
        <f t="shared" si="104"/>
        <v>3187.1038170399993</v>
      </c>
      <c r="X174" s="1027">
        <f t="shared" si="104"/>
        <v>3348.8596241099995</v>
      </c>
      <c r="Y174" s="1027">
        <f t="shared" si="104"/>
        <v>3534.9073810049995</v>
      </c>
      <c r="Z174" s="1027">
        <f t="shared" si="104"/>
        <v>3720.9551378999995</v>
      </c>
      <c r="AA174" s="1027">
        <f t="shared" si="104"/>
        <v>3907.0028947949995</v>
      </c>
      <c r="AB174" s="1027">
        <f t="shared" si="104"/>
        <v>4093.0506516899995</v>
      </c>
      <c r="AC174" s="1027">
        <f t="shared" si="104"/>
        <v>4279.0984085849987</v>
      </c>
      <c r="AD174" s="1027">
        <f t="shared" si="104"/>
        <v>4465.1461654799996</v>
      </c>
      <c r="AE174" s="1027">
        <f t="shared" si="104"/>
        <v>4651.1939223749996</v>
      </c>
      <c r="AF174" s="1854">
        <f t="shared" si="104"/>
        <v>4837.2416792699996</v>
      </c>
      <c r="AG174" s="1855">
        <f t="shared" si="104"/>
        <v>5023.2894361649996</v>
      </c>
      <c r="AH174" s="1027">
        <f t="shared" si="104"/>
        <v>5209.3371930599988</v>
      </c>
      <c r="AI174" s="1027">
        <f t="shared" si="104"/>
        <v>5395.3849499549988</v>
      </c>
      <c r="AJ174" s="1027">
        <f t="shared" si="104"/>
        <v>5581.4327068499988</v>
      </c>
      <c r="AK174" s="1027">
        <f t="shared" si="104"/>
        <v>5767.4804637449997</v>
      </c>
      <c r="AL174" s="1027">
        <f t="shared" si="104"/>
        <v>5953.5282206399997</v>
      </c>
      <c r="AM174" s="1027">
        <f t="shared" si="104"/>
        <v>6139.5759775349989</v>
      </c>
      <c r="AN174" s="1027">
        <f t="shared" si="104"/>
        <v>6325.6237344299989</v>
      </c>
      <c r="AO174" s="1027">
        <f t="shared" si="104"/>
        <v>6511.6714913249989</v>
      </c>
      <c r="AP174" s="1854">
        <f t="shared" si="104"/>
        <v>6697.7192482199989</v>
      </c>
      <c r="AQ174" s="1853">
        <f t="shared" ref="AQ174:BG174" si="105">((AQ$138-$I$4)/1000)*IF($C$14=0,$M$34,$M$51)*(($C$8/70)^$X$51)*IF($C$14=0,1,IF($C$14&lt;=AQ$139,$AH$51,IF(AND($C$14&gt;=AQ$139,$C$14&lt;=AQ$140),((($AI$51-$AH$51)/(AQ$140-AQ$139))*$C$14+($AH$51-(($AI$51-$AH$51)/(AQ$140-AQ$139))*AQ$139)),IF($C$14&gt;=AQ$140,$AI$51,1))))</f>
        <v>6883.7670051149998</v>
      </c>
      <c r="AR174" s="1027">
        <f t="shared" si="105"/>
        <v>7069.814762009999</v>
      </c>
      <c r="AS174" s="1027">
        <f t="shared" si="105"/>
        <v>7255.8625189049981</v>
      </c>
      <c r="AT174" s="1027">
        <f t="shared" si="105"/>
        <v>7441.910275799999</v>
      </c>
      <c r="AU174" s="1027">
        <f t="shared" si="105"/>
        <v>7627.9580326949981</v>
      </c>
      <c r="AV174" s="1027">
        <f t="shared" si="105"/>
        <v>7814.005789589999</v>
      </c>
      <c r="AW174" s="1027">
        <f t="shared" si="105"/>
        <v>8000.0535464849982</v>
      </c>
      <c r="AX174" s="1027">
        <f t="shared" si="105"/>
        <v>8186.1013033799991</v>
      </c>
      <c r="AY174" s="1027">
        <f t="shared" si="105"/>
        <v>8372.1490602749982</v>
      </c>
      <c r="AZ174" s="1854">
        <f t="shared" si="105"/>
        <v>8558.1968171699973</v>
      </c>
      <c r="BA174" s="1856">
        <f t="shared" si="105"/>
        <v>8744.2445740650001</v>
      </c>
      <c r="BB174" s="1857">
        <f t="shared" si="105"/>
        <v>8930.2923309599992</v>
      </c>
      <c r="BC174" s="1857">
        <f t="shared" si="105"/>
        <v>9116.3400878550001</v>
      </c>
      <c r="BD174" s="1857">
        <f t="shared" si="105"/>
        <v>9302.3878447499992</v>
      </c>
      <c r="BE174" s="1857">
        <f t="shared" si="105"/>
        <v>9488.4356016449983</v>
      </c>
      <c r="BF174" s="1857">
        <f t="shared" si="105"/>
        <v>9674.4833585399992</v>
      </c>
      <c r="BG174" s="1854">
        <f t="shared" si="105"/>
        <v>9860.5311154349984</v>
      </c>
      <c r="BH174" s="1984"/>
      <c r="BI174" s="1984"/>
    </row>
    <row r="175" spans="1:118">
      <c r="A175" s="2506"/>
      <c r="B175" s="2334" t="s">
        <v>418</v>
      </c>
      <c r="C175" s="2334"/>
      <c r="D175" s="2474"/>
      <c r="E175" s="1845" t="s">
        <v>226</v>
      </c>
      <c r="F175" s="1845">
        <v>140</v>
      </c>
      <c r="G175" s="1845">
        <v>260</v>
      </c>
      <c r="H175" s="1845">
        <v>4</v>
      </c>
      <c r="I175" s="1163"/>
      <c r="J175" s="1852"/>
      <c r="K175" s="1853">
        <f t="shared" ref="K175:AP175" si="106">((K$138-$I$4)/1000)*IF($C$14=0,$N$34,$N$51)*(($C$8/70)^$Y$51)*IF($C$14=0,1,IF($C$14&lt;=K$139,$AH$51,IF(AND($C$14&gt;=K$139,$C$14&lt;=K$140),((($AI$51-$AH$51)/(K$140-K$139))*$C$14+($AH$51-(($AI$51-$AH$51)/(K$140-K$139))*K$139)),IF($C$14&gt;=K$140,$AI$51,1))))</f>
        <v>1024.3230854999999</v>
      </c>
      <c r="L175" s="1027">
        <f t="shared" si="106"/>
        <v>1229.1877025999997</v>
      </c>
      <c r="M175" s="1027">
        <f t="shared" si="106"/>
        <v>1434.0523196999998</v>
      </c>
      <c r="N175" s="1027">
        <f t="shared" si="106"/>
        <v>1638.9169367999998</v>
      </c>
      <c r="O175" s="1027">
        <f t="shared" si="106"/>
        <v>1843.7815538999996</v>
      </c>
      <c r="P175" s="1027">
        <f t="shared" si="106"/>
        <v>2048.6461709999999</v>
      </c>
      <c r="Q175" s="1027">
        <f t="shared" si="106"/>
        <v>2253.5107880999999</v>
      </c>
      <c r="R175" s="1027">
        <f t="shared" si="106"/>
        <v>2392.1930031999996</v>
      </c>
      <c r="S175" s="1027">
        <f t="shared" si="106"/>
        <v>2591.5424201333335</v>
      </c>
      <c r="T175" s="1027">
        <f t="shared" si="106"/>
        <v>2790.8918370666665</v>
      </c>
      <c r="U175" s="1027">
        <f t="shared" si="106"/>
        <v>2960.1583439999995</v>
      </c>
      <c r="V175" s="1854">
        <f t="shared" si="106"/>
        <v>3157.5022335999997</v>
      </c>
      <c r="W175" s="1853">
        <f t="shared" si="106"/>
        <v>3354.8461231999995</v>
      </c>
      <c r="X175" s="1027">
        <f t="shared" si="106"/>
        <v>3525.1153937999993</v>
      </c>
      <c r="Y175" s="1027">
        <f t="shared" si="106"/>
        <v>3720.9551378999995</v>
      </c>
      <c r="Z175" s="1027">
        <f t="shared" si="106"/>
        <v>3916.7948819999997</v>
      </c>
      <c r="AA175" s="1027">
        <f t="shared" si="106"/>
        <v>4112.6346260999999</v>
      </c>
      <c r="AB175" s="1027">
        <f t="shared" si="106"/>
        <v>4308.4743701999996</v>
      </c>
      <c r="AC175" s="1027">
        <f t="shared" si="106"/>
        <v>4504.3141142999993</v>
      </c>
      <c r="AD175" s="1027">
        <f t="shared" si="106"/>
        <v>4700.1538583999991</v>
      </c>
      <c r="AE175" s="1027">
        <f t="shared" si="106"/>
        <v>4895.9936024999988</v>
      </c>
      <c r="AF175" s="1854">
        <f t="shared" si="106"/>
        <v>5091.8333466000004</v>
      </c>
      <c r="AG175" s="1855">
        <f t="shared" si="106"/>
        <v>5287.6730907000001</v>
      </c>
      <c r="AH175" s="1027">
        <f t="shared" si="106"/>
        <v>5483.5128347999989</v>
      </c>
      <c r="AI175" s="1027">
        <f t="shared" si="106"/>
        <v>5679.3525788999996</v>
      </c>
      <c r="AJ175" s="1027">
        <f t="shared" si="106"/>
        <v>5875.1923229999993</v>
      </c>
      <c r="AK175" s="1027">
        <f t="shared" si="106"/>
        <v>6071.032067099999</v>
      </c>
      <c r="AL175" s="1027">
        <f t="shared" si="106"/>
        <v>6266.8718111999997</v>
      </c>
      <c r="AM175" s="1027">
        <f t="shared" si="106"/>
        <v>6462.7115552999985</v>
      </c>
      <c r="AN175" s="1027">
        <f t="shared" si="106"/>
        <v>6658.5512993999992</v>
      </c>
      <c r="AO175" s="1027">
        <f t="shared" si="106"/>
        <v>6854.3910434999998</v>
      </c>
      <c r="AP175" s="1854">
        <f t="shared" si="106"/>
        <v>7050.2307875999986</v>
      </c>
      <c r="AQ175" s="1853">
        <f t="shared" ref="AQ175:BG175" si="107">((AQ$138-$I$4)/1000)*IF($C$14=0,$N$34,$N$51)*(($C$8/70)^$Y$51)*IF($C$14=0,1,IF($C$14&lt;=AQ$139,$AH$51,IF(AND($C$14&gt;=AQ$139,$C$14&lt;=AQ$140),((($AI$51-$AH$51)/(AQ$140-AQ$139))*$C$14+($AH$51-(($AI$51-$AH$51)/(AQ$140-AQ$139))*AQ$139)),IF($C$14&gt;=AQ$140,$AI$51,1))))</f>
        <v>7246.0705317000002</v>
      </c>
      <c r="AR175" s="1027">
        <f t="shared" si="107"/>
        <v>7441.910275799999</v>
      </c>
      <c r="AS175" s="1027">
        <f t="shared" si="107"/>
        <v>7637.7500198999987</v>
      </c>
      <c r="AT175" s="1027">
        <f t="shared" si="107"/>
        <v>7833.5897639999994</v>
      </c>
      <c r="AU175" s="1027">
        <f t="shared" si="107"/>
        <v>8029.4295080999982</v>
      </c>
      <c r="AV175" s="1027">
        <f t="shared" si="107"/>
        <v>8225.2692521999998</v>
      </c>
      <c r="AW175" s="1027">
        <f t="shared" si="107"/>
        <v>8421.1089962999995</v>
      </c>
      <c r="AX175" s="1027">
        <f t="shared" si="107"/>
        <v>8616.9487403999992</v>
      </c>
      <c r="AY175" s="1027">
        <f t="shared" si="107"/>
        <v>8812.788484499999</v>
      </c>
      <c r="AZ175" s="1854">
        <f t="shared" si="107"/>
        <v>9008.6282285999987</v>
      </c>
      <c r="BA175" s="1856">
        <f t="shared" si="107"/>
        <v>9204.4679726999984</v>
      </c>
      <c r="BB175" s="1857">
        <f t="shared" si="107"/>
        <v>9400.3077167999982</v>
      </c>
      <c r="BC175" s="1857">
        <f t="shared" si="107"/>
        <v>9596.1474608999997</v>
      </c>
      <c r="BD175" s="1857">
        <f t="shared" si="107"/>
        <v>9791.9872049999976</v>
      </c>
      <c r="BE175" s="1857">
        <f t="shared" si="107"/>
        <v>9987.8269490999992</v>
      </c>
      <c r="BF175" s="1857">
        <f t="shared" si="107"/>
        <v>10183.666693200001</v>
      </c>
      <c r="BG175" s="1854">
        <f t="shared" si="107"/>
        <v>10379.506437299999</v>
      </c>
      <c r="BH175" s="1984"/>
      <c r="BI175" s="1984"/>
    </row>
    <row r="176" spans="1:118">
      <c r="A176" s="2506"/>
      <c r="B176" s="2334" t="s">
        <v>419</v>
      </c>
      <c r="C176" s="2334"/>
      <c r="D176" s="2474"/>
      <c r="E176" s="1845" t="s">
        <v>226</v>
      </c>
      <c r="F176" s="1845">
        <v>140</v>
      </c>
      <c r="G176" s="1845">
        <v>300</v>
      </c>
      <c r="H176" s="1845">
        <v>6</v>
      </c>
      <c r="I176" s="1163"/>
      <c r="J176" s="1852"/>
      <c r="K176" s="1853">
        <f t="shared" ref="K176:AP176" si="108">((K$138-$I$4)/1000)*IF($C$14=0,$O$34,($O$51*1.1))*(($C$8/70)^$Z$51)*IF($C$14=0,1,IF($C$14&lt;=K$139,$AH$51,IF(AND($C$14&gt;=K$139,$C$14&lt;=K$140),((($AI$51-$AH$51)/(K$140-K$139))*$C$14+($AH$51-(($AI$51-$AH$51)/(K$140-K$139))*K$139)),IF($C$14&gt;=K$140,$AI$51,1))))</f>
        <v>1147.1566073773931</v>
      </c>
      <c r="L176" s="1027">
        <f t="shared" si="108"/>
        <v>1376.5879288528715</v>
      </c>
      <c r="M176" s="1027">
        <f t="shared" si="108"/>
        <v>1606.0192503283504</v>
      </c>
      <c r="N176" s="1027">
        <f t="shared" si="108"/>
        <v>1835.4505718038292</v>
      </c>
      <c r="O176" s="1027">
        <f t="shared" si="108"/>
        <v>2064.8818932793074</v>
      </c>
      <c r="P176" s="1027">
        <f t="shared" si="108"/>
        <v>2294.3132147547863</v>
      </c>
      <c r="Q176" s="1027">
        <f t="shared" si="108"/>
        <v>2523.7445362302651</v>
      </c>
      <c r="R176" s="1027">
        <f t="shared" si="108"/>
        <v>2679.0570754376008</v>
      </c>
      <c r="S176" s="1027">
        <f t="shared" si="108"/>
        <v>2902.3118317240678</v>
      </c>
      <c r="T176" s="1027">
        <f t="shared" si="108"/>
        <v>3125.5665880105344</v>
      </c>
      <c r="U176" s="1027">
        <f t="shared" si="108"/>
        <v>3315.1309887205721</v>
      </c>
      <c r="V176" s="1854">
        <f t="shared" si="108"/>
        <v>3536.1397213019441</v>
      </c>
      <c r="W176" s="1853">
        <f t="shared" si="108"/>
        <v>3757.1484538833147</v>
      </c>
      <c r="X176" s="1027">
        <f t="shared" si="108"/>
        <v>3947.835866445901</v>
      </c>
      <c r="Y176" s="1027">
        <f t="shared" si="108"/>
        <v>4167.1600812484512</v>
      </c>
      <c r="Z176" s="1027">
        <f t="shared" si="108"/>
        <v>4386.4842960510014</v>
      </c>
      <c r="AA176" s="1027">
        <f t="shared" si="108"/>
        <v>4605.8085108535515</v>
      </c>
      <c r="AB176" s="1027">
        <f t="shared" si="108"/>
        <v>4825.1327256561017</v>
      </c>
      <c r="AC176" s="1027">
        <f t="shared" si="108"/>
        <v>5044.4569404586509</v>
      </c>
      <c r="AD176" s="1027">
        <f t="shared" si="108"/>
        <v>5263.7811552612011</v>
      </c>
      <c r="AE176" s="1027">
        <f t="shared" si="108"/>
        <v>5483.1053700637522</v>
      </c>
      <c r="AF176" s="1854">
        <f t="shared" si="108"/>
        <v>5702.4295848663023</v>
      </c>
      <c r="AG176" s="1855">
        <f t="shared" si="108"/>
        <v>5921.7537996688516</v>
      </c>
      <c r="AH176" s="1027">
        <f t="shared" si="108"/>
        <v>6141.0780144714017</v>
      </c>
      <c r="AI176" s="1027">
        <f t="shared" si="108"/>
        <v>6360.4022292739519</v>
      </c>
      <c r="AJ176" s="1027">
        <f t="shared" si="108"/>
        <v>6579.726444076502</v>
      </c>
      <c r="AK176" s="1027">
        <f t="shared" si="108"/>
        <v>6799.0506588790522</v>
      </c>
      <c r="AL176" s="1027">
        <f t="shared" si="108"/>
        <v>7018.3748736816024</v>
      </c>
      <c r="AM176" s="1027">
        <f t="shared" si="108"/>
        <v>7237.6990884841516</v>
      </c>
      <c r="AN176" s="1027">
        <f t="shared" si="108"/>
        <v>7457.0233032867018</v>
      </c>
      <c r="AO176" s="1027">
        <f t="shared" si="108"/>
        <v>7676.3475180892519</v>
      </c>
      <c r="AP176" s="1854">
        <f t="shared" si="108"/>
        <v>7895.6717328918021</v>
      </c>
      <c r="AQ176" s="1853">
        <f t="shared" ref="AQ176:BG176" si="109">((AQ$138-$I$4)/1000)*IF($C$14=0,$O$34,($O$51*1.1))*(($C$8/70)^$Z$51)*IF($C$14=0,1,IF($C$14&lt;=AQ$139,$AH$51,IF(AND($C$14&gt;=AQ$139,$C$14&lt;=AQ$140),((($AI$51-$AH$51)/(AQ$140-AQ$139))*$C$14+($AH$51-(($AI$51-$AH$51)/(AQ$140-AQ$139))*AQ$139)),IF($C$14&gt;=AQ$140,$AI$51,1))))</f>
        <v>8114.9959476943513</v>
      </c>
      <c r="AR176" s="1027">
        <f t="shared" si="109"/>
        <v>8334.3201624969024</v>
      </c>
      <c r="AS176" s="1027">
        <f t="shared" si="109"/>
        <v>8553.6443772994517</v>
      </c>
      <c r="AT176" s="1027">
        <f t="shared" si="109"/>
        <v>8772.9685921020027</v>
      </c>
      <c r="AU176" s="1027">
        <f t="shared" si="109"/>
        <v>8992.2928069045502</v>
      </c>
      <c r="AV176" s="1027">
        <f t="shared" si="109"/>
        <v>9211.617021707103</v>
      </c>
      <c r="AW176" s="1027">
        <f t="shared" si="109"/>
        <v>9430.9412365096523</v>
      </c>
      <c r="AX176" s="1027">
        <f t="shared" si="109"/>
        <v>9650.2654513122034</v>
      </c>
      <c r="AY176" s="1027">
        <f t="shared" si="109"/>
        <v>9869.5896661147526</v>
      </c>
      <c r="AZ176" s="1854">
        <f t="shared" si="109"/>
        <v>10088.913880917302</v>
      </c>
      <c r="BA176" s="1856">
        <f t="shared" si="109"/>
        <v>10308.238095719853</v>
      </c>
      <c r="BB176" s="1857">
        <f t="shared" si="109"/>
        <v>10527.562310522402</v>
      </c>
      <c r="BC176" s="1857">
        <f t="shared" si="109"/>
        <v>10746.886525324953</v>
      </c>
      <c r="BD176" s="1857">
        <f t="shared" si="109"/>
        <v>10966.210740127504</v>
      </c>
      <c r="BE176" s="1857">
        <f t="shared" si="109"/>
        <v>11185.534954930052</v>
      </c>
      <c r="BF176" s="1857">
        <f t="shared" si="109"/>
        <v>11404.859169732605</v>
      </c>
      <c r="BG176" s="1854">
        <f t="shared" si="109"/>
        <v>11624.183384535152</v>
      </c>
      <c r="BH176" s="1984"/>
      <c r="BI176" s="1984"/>
    </row>
    <row r="177" spans="1:111">
      <c r="A177" s="2506"/>
      <c r="B177" s="2334" t="s">
        <v>420</v>
      </c>
      <c r="C177" s="2334"/>
      <c r="D177" s="2474"/>
      <c r="E177" s="1845" t="s">
        <v>226</v>
      </c>
      <c r="F177" s="1845">
        <v>140</v>
      </c>
      <c r="G177" s="1845">
        <v>300</v>
      </c>
      <c r="H177" s="1845">
        <v>8</v>
      </c>
      <c r="I177" s="1163"/>
      <c r="J177" s="1852"/>
      <c r="K177" s="1853">
        <f t="shared" ref="K177:AP177" si="110">((K$138-$I$4)/1000)*IF($C$14=0,$P$34,($P$51*1.1))*(($C$8/70)^$AA$51)*IF($C$14=0,1,IF($C$14&lt;=K$139,$AH$51,IF(AND($C$14&gt;=K$139,$C$14&lt;=K$140),((($AI$51-$AH$51)/(K$140-K$139))*$C$14+($AH$51-(($AI$51-$AH$51)/(K$140-K$139))*K$139)),IF($C$14&gt;=K$140,$AI$51,1))))</f>
        <v>1207.5332709235715</v>
      </c>
      <c r="L177" s="1027">
        <f t="shared" si="110"/>
        <v>1449.0399251082861</v>
      </c>
      <c r="M177" s="1027">
        <f t="shared" si="110"/>
        <v>1690.5465792930001</v>
      </c>
      <c r="N177" s="1027">
        <f t="shared" si="110"/>
        <v>1932.0532334777145</v>
      </c>
      <c r="O177" s="1027">
        <f t="shared" si="110"/>
        <v>2173.559887662429</v>
      </c>
      <c r="P177" s="1027">
        <f t="shared" si="110"/>
        <v>2415.0665418471431</v>
      </c>
      <c r="Q177" s="1027">
        <f t="shared" si="110"/>
        <v>2656.5731960318581</v>
      </c>
      <c r="R177" s="1027">
        <f t="shared" si="110"/>
        <v>2820.060079408001</v>
      </c>
      <c r="S177" s="1027">
        <f t="shared" si="110"/>
        <v>3055.065086025334</v>
      </c>
      <c r="T177" s="1027">
        <f t="shared" si="110"/>
        <v>3290.0700926426675</v>
      </c>
      <c r="U177" s="1027">
        <f t="shared" si="110"/>
        <v>3489.6115670742865</v>
      </c>
      <c r="V177" s="1854">
        <f t="shared" si="110"/>
        <v>3722.2523382125719</v>
      </c>
      <c r="W177" s="1853">
        <f t="shared" si="110"/>
        <v>3954.8931093508577</v>
      </c>
      <c r="X177" s="1027">
        <f t="shared" si="110"/>
        <v>4155.6167015220008</v>
      </c>
      <c r="Y177" s="1027">
        <f t="shared" si="110"/>
        <v>4386.4842960510014</v>
      </c>
      <c r="Z177" s="1027">
        <f t="shared" si="110"/>
        <v>4617.3518905800011</v>
      </c>
      <c r="AA177" s="1027">
        <f t="shared" si="110"/>
        <v>4848.2194851090007</v>
      </c>
      <c r="AB177" s="1027">
        <f t="shared" si="110"/>
        <v>5079.0870796380013</v>
      </c>
      <c r="AC177" s="1027">
        <f t="shared" si="110"/>
        <v>5309.954674167001</v>
      </c>
      <c r="AD177" s="1027">
        <f t="shared" si="110"/>
        <v>5540.8222686960016</v>
      </c>
      <c r="AE177" s="1027">
        <f t="shared" si="110"/>
        <v>5771.6898632250013</v>
      </c>
      <c r="AF177" s="1854">
        <f t="shared" si="110"/>
        <v>6002.557457754001</v>
      </c>
      <c r="AG177" s="1855">
        <f t="shared" si="110"/>
        <v>6233.4250522830016</v>
      </c>
      <c r="AH177" s="1027">
        <f t="shared" si="110"/>
        <v>6464.2926468120013</v>
      </c>
      <c r="AI177" s="1027">
        <f t="shared" si="110"/>
        <v>6695.1602413410019</v>
      </c>
      <c r="AJ177" s="1027">
        <f t="shared" si="110"/>
        <v>6926.0278358700016</v>
      </c>
      <c r="AK177" s="1027">
        <f t="shared" si="110"/>
        <v>7156.8954303990013</v>
      </c>
      <c r="AL177" s="1027">
        <f t="shared" si="110"/>
        <v>7387.763024928001</v>
      </c>
      <c r="AM177" s="1027">
        <f t="shared" si="110"/>
        <v>7618.6306194570016</v>
      </c>
      <c r="AN177" s="1027">
        <f t="shared" si="110"/>
        <v>7849.4982139860012</v>
      </c>
      <c r="AO177" s="1027">
        <f t="shared" si="110"/>
        <v>8080.3658085150009</v>
      </c>
      <c r="AP177" s="1854">
        <f t="shared" si="110"/>
        <v>8311.2334030440015</v>
      </c>
      <c r="AQ177" s="1853">
        <f t="shared" ref="AQ177:BG177" si="111">((AQ$138-$I$4)/1000)*IF($C$14=0,$P$34,($P$51*1.1))*(($C$8/70)^$AA$51)*IF($C$14=0,1,IF($C$14&lt;=AQ$139,$AH$51,IF(AND($C$14&gt;=AQ$139,$C$14&lt;=AQ$140),((($AI$51-$AH$51)/(AQ$140-AQ$139))*$C$14+($AH$51-(($AI$51-$AH$51)/(AQ$140-AQ$139))*AQ$139)),IF($C$14&gt;=AQ$140,$AI$51,1))))</f>
        <v>8542.100997573003</v>
      </c>
      <c r="AR177" s="1027">
        <f t="shared" si="111"/>
        <v>8772.9685921020027</v>
      </c>
      <c r="AS177" s="1027">
        <f t="shared" si="111"/>
        <v>9003.8361866310024</v>
      </c>
      <c r="AT177" s="1027">
        <f t="shared" si="111"/>
        <v>9234.7037811600021</v>
      </c>
      <c r="AU177" s="1027">
        <f t="shared" si="111"/>
        <v>9465.5713756890018</v>
      </c>
      <c r="AV177" s="1027">
        <f t="shared" si="111"/>
        <v>9696.4389702180015</v>
      </c>
      <c r="AW177" s="1027">
        <f t="shared" si="111"/>
        <v>9927.3065647470012</v>
      </c>
      <c r="AX177" s="1027">
        <f t="shared" si="111"/>
        <v>10158.174159276003</v>
      </c>
      <c r="AY177" s="1027">
        <f t="shared" si="111"/>
        <v>10389.041753805002</v>
      </c>
      <c r="AZ177" s="1854">
        <f t="shared" si="111"/>
        <v>10619.909348334002</v>
      </c>
      <c r="BA177" s="1856">
        <f t="shared" si="111"/>
        <v>10850.776942863004</v>
      </c>
      <c r="BB177" s="1857">
        <f t="shared" si="111"/>
        <v>11081.644537392003</v>
      </c>
      <c r="BC177" s="1857">
        <f t="shared" si="111"/>
        <v>11312.512131921003</v>
      </c>
      <c r="BD177" s="1857">
        <f t="shared" si="111"/>
        <v>11543.379726450003</v>
      </c>
      <c r="BE177" s="1857">
        <f t="shared" si="111"/>
        <v>11774.247320979002</v>
      </c>
      <c r="BF177" s="1857">
        <f t="shared" si="111"/>
        <v>12005.114915508002</v>
      </c>
      <c r="BG177" s="1854">
        <f t="shared" si="111"/>
        <v>12235.982510037002</v>
      </c>
      <c r="BH177" s="1984"/>
      <c r="BI177" s="1984"/>
    </row>
    <row r="178" spans="1:111">
      <c r="A178" s="2506"/>
      <c r="B178" s="2334" t="s">
        <v>421</v>
      </c>
      <c r="C178" s="2334"/>
      <c r="D178" s="2474"/>
      <c r="E178" s="1845" t="s">
        <v>226</v>
      </c>
      <c r="F178" s="1845">
        <v>140</v>
      </c>
      <c r="G178" s="1845">
        <v>360</v>
      </c>
      <c r="H178" s="1845">
        <v>6</v>
      </c>
      <c r="I178" s="1163"/>
      <c r="J178" s="1852"/>
      <c r="K178" s="1853">
        <f t="shared" ref="K178:AP178" si="112">((K$138-$I$4)/1000)*IF($C$14=0,$Q$34,$Q$51)*(($C$8/70)^$AC$51)*IF($C$14=0,1,IF($C$14&lt;=K$139,$AH$51,IF(AND($C$14&gt;=K$139,$C$14&lt;=K$140),((($AI$51-$AH$51)/(K$140-K$139))*$C$14+($AH$51-(($AI$51-$AH$51)/(K$140-K$139))*K$139)),IF($C$14&gt;=K$140,$AI$51,1))))</f>
        <v>1226.9054624357145</v>
      </c>
      <c r="L178" s="1027">
        <f t="shared" si="112"/>
        <v>1472.2865549228572</v>
      </c>
      <c r="M178" s="1027">
        <f t="shared" si="112"/>
        <v>1717.6676474100002</v>
      </c>
      <c r="N178" s="1027">
        <f t="shared" si="112"/>
        <v>1963.0487398971434</v>
      </c>
      <c r="O178" s="1027">
        <f t="shared" si="112"/>
        <v>2208.4298323842859</v>
      </c>
      <c r="P178" s="1027">
        <f t="shared" si="112"/>
        <v>2453.8109248714291</v>
      </c>
      <c r="Q178" s="1027">
        <f t="shared" si="112"/>
        <v>2699.1920173585718</v>
      </c>
      <c r="R178" s="1027">
        <f t="shared" si="112"/>
        <v>2865.3016849600003</v>
      </c>
      <c r="S178" s="1027">
        <f t="shared" si="112"/>
        <v>3104.076825373334</v>
      </c>
      <c r="T178" s="1027">
        <f t="shared" si="112"/>
        <v>3342.8519657866673</v>
      </c>
      <c r="U178" s="1027">
        <f t="shared" si="112"/>
        <v>3545.5946403428575</v>
      </c>
      <c r="V178" s="1854">
        <f t="shared" si="112"/>
        <v>3781.9676163657155</v>
      </c>
      <c r="W178" s="1853">
        <f t="shared" si="112"/>
        <v>4018.3405923885721</v>
      </c>
      <c r="X178" s="1027">
        <f t="shared" si="112"/>
        <v>4222.2843491400008</v>
      </c>
      <c r="Y178" s="1027">
        <f t="shared" si="112"/>
        <v>4456.8557018700003</v>
      </c>
      <c r="Z178" s="1027">
        <f t="shared" si="112"/>
        <v>4691.4270546000007</v>
      </c>
      <c r="AA178" s="1027">
        <f t="shared" si="112"/>
        <v>4925.9984073300011</v>
      </c>
      <c r="AB178" s="1027">
        <f t="shared" si="112"/>
        <v>5160.5697600600006</v>
      </c>
      <c r="AC178" s="1027">
        <f t="shared" si="112"/>
        <v>5395.141112790001</v>
      </c>
      <c r="AD178" s="1027">
        <f t="shared" si="112"/>
        <v>5629.7124655200005</v>
      </c>
      <c r="AE178" s="1027">
        <f t="shared" si="112"/>
        <v>5864.2838182500009</v>
      </c>
      <c r="AF178" s="1854">
        <f t="shared" si="112"/>
        <v>6098.8551709800013</v>
      </c>
      <c r="AG178" s="1855">
        <f t="shared" si="112"/>
        <v>6333.4265237100008</v>
      </c>
      <c r="AH178" s="1027">
        <f t="shared" si="112"/>
        <v>6567.9978764400012</v>
      </c>
      <c r="AI178" s="1027">
        <f t="shared" si="112"/>
        <v>6802.5692291700007</v>
      </c>
      <c r="AJ178" s="1027">
        <f t="shared" si="112"/>
        <v>7037.1405819000011</v>
      </c>
      <c r="AK178" s="1027">
        <f t="shared" si="112"/>
        <v>7271.7119346300005</v>
      </c>
      <c r="AL178" s="1027">
        <f t="shared" si="112"/>
        <v>7506.2832873600019</v>
      </c>
      <c r="AM178" s="1027">
        <f t="shared" si="112"/>
        <v>7740.8546400900004</v>
      </c>
      <c r="AN178" s="1027">
        <f t="shared" si="112"/>
        <v>7975.4259928200017</v>
      </c>
      <c r="AO178" s="1027">
        <f t="shared" si="112"/>
        <v>8209.9973455500021</v>
      </c>
      <c r="AP178" s="1854">
        <f t="shared" si="112"/>
        <v>8444.5686982800016</v>
      </c>
      <c r="AQ178" s="1853">
        <f t="shared" ref="AQ178:BG178" si="113">((AQ$138-$I$4)/1000)*IF($C$14=0,$Q$34,$Q$51)*(($C$8/70)^$AC$51)*IF($C$14=0,1,IF($C$14&lt;=AQ$139,$AH$51,IF(AND($C$14&gt;=AQ$139,$C$14&lt;=AQ$140),((($AI$51-$AH$51)/(AQ$140-AQ$139))*$C$14+($AH$51-(($AI$51-$AH$51)/(AQ$140-AQ$139))*AQ$139)),IF($C$14&gt;=AQ$140,$AI$51,1))))</f>
        <v>8679.1400510100029</v>
      </c>
      <c r="AR178" s="1027">
        <f t="shared" si="113"/>
        <v>8913.7114037400006</v>
      </c>
      <c r="AS178" s="1027">
        <f t="shared" si="113"/>
        <v>9148.2827564700019</v>
      </c>
      <c r="AT178" s="1027">
        <f t="shared" si="113"/>
        <v>9382.8541092000014</v>
      </c>
      <c r="AU178" s="1027">
        <f t="shared" si="113"/>
        <v>9617.4254619300009</v>
      </c>
      <c r="AV178" s="1027">
        <f t="shared" si="113"/>
        <v>9851.9968146600022</v>
      </c>
      <c r="AW178" s="1027">
        <f t="shared" si="113"/>
        <v>10086.56816739</v>
      </c>
      <c r="AX178" s="1027">
        <f t="shared" si="113"/>
        <v>10321.139520120001</v>
      </c>
      <c r="AY178" s="1027">
        <f t="shared" si="113"/>
        <v>10555.710872850002</v>
      </c>
      <c r="AZ178" s="1854">
        <f t="shared" si="113"/>
        <v>10790.282225580002</v>
      </c>
      <c r="BA178" s="1856">
        <f t="shared" si="113"/>
        <v>11024.853578310003</v>
      </c>
      <c r="BB178" s="1857">
        <f t="shared" si="113"/>
        <v>11259.424931040001</v>
      </c>
      <c r="BC178" s="1857">
        <f t="shared" si="113"/>
        <v>11493.996283770002</v>
      </c>
      <c r="BD178" s="1857">
        <f t="shared" si="113"/>
        <v>11728.567636500002</v>
      </c>
      <c r="BE178" s="1857">
        <f t="shared" si="113"/>
        <v>11963.138989230001</v>
      </c>
      <c r="BF178" s="1857">
        <f t="shared" si="113"/>
        <v>12197.710341960003</v>
      </c>
      <c r="BG178" s="1854">
        <f t="shared" si="113"/>
        <v>12432.28169469</v>
      </c>
      <c r="BH178" s="1855">
        <f t="shared" ref="BH178:CM178" si="114">((BH$138-$I$4)/1000)*IF($C$13=0,$Q$34,$Q$51)*(($C$8/70)^$AC$51)*IF($C$13=1,$AH$52,IF($C$13=2,$AI$52,IF($C$13=3,$AJ$52,1)))</f>
        <v>-2373.9171210300001</v>
      </c>
      <c r="BI178" s="1027">
        <f t="shared" si="114"/>
        <v>-2373.9171210300001</v>
      </c>
      <c r="BJ178" s="1027">
        <f t="shared" si="114"/>
        <v>-2373.9171210300001</v>
      </c>
      <c r="BK178" s="1027">
        <f t="shared" si="114"/>
        <v>1017.39305187</v>
      </c>
      <c r="BL178" s="1027">
        <f t="shared" si="114"/>
        <v>1356.5240691600002</v>
      </c>
      <c r="BM178" s="1027">
        <f t="shared" si="114"/>
        <v>1695.65508645</v>
      </c>
      <c r="BN178" s="1027">
        <f t="shared" si="114"/>
        <v>2034.78610374</v>
      </c>
      <c r="BO178" s="1027">
        <f t="shared" si="114"/>
        <v>2373.9171210300001</v>
      </c>
      <c r="BP178" s="1027">
        <f t="shared" si="114"/>
        <v>2713.0481383200004</v>
      </c>
      <c r="BQ178" s="1027">
        <f t="shared" si="114"/>
        <v>3052.1791556100002</v>
      </c>
      <c r="BR178" s="1027">
        <f t="shared" si="114"/>
        <v>3391.3101729</v>
      </c>
      <c r="BS178" s="1027">
        <f t="shared" si="114"/>
        <v>3730.4411901900003</v>
      </c>
      <c r="BT178" s="1027">
        <f t="shared" si="114"/>
        <v>4069.5722074800001</v>
      </c>
      <c r="BU178" s="1027">
        <f t="shared" si="114"/>
        <v>4408.7032247700008</v>
      </c>
      <c r="BV178" s="1027">
        <f t="shared" si="114"/>
        <v>4747.8342420600002</v>
      </c>
      <c r="BW178" s="1027">
        <f t="shared" si="114"/>
        <v>5086.9652593500005</v>
      </c>
      <c r="BX178" s="1027">
        <f t="shared" si="114"/>
        <v>5426.0962766400007</v>
      </c>
      <c r="BY178" s="1027">
        <f t="shared" si="114"/>
        <v>5765.227293930001</v>
      </c>
      <c r="BZ178" s="1027">
        <f t="shared" si="114"/>
        <v>6104.3583112200004</v>
      </c>
      <c r="CA178" s="1027">
        <f t="shared" si="114"/>
        <v>6443.4893285099997</v>
      </c>
      <c r="CB178" s="1027">
        <f t="shared" si="114"/>
        <v>6782.6203458</v>
      </c>
      <c r="CC178" s="1027">
        <f t="shared" si="114"/>
        <v>7121.7513630900012</v>
      </c>
      <c r="CD178" s="1027">
        <f t="shared" si="114"/>
        <v>7460.8823803800005</v>
      </c>
      <c r="CE178" s="1027">
        <f t="shared" si="114"/>
        <v>7800.0133976699999</v>
      </c>
      <c r="CF178" s="1027">
        <f t="shared" si="114"/>
        <v>8139.1444149600002</v>
      </c>
      <c r="CG178" s="1027">
        <f t="shared" si="114"/>
        <v>8478.2754322500004</v>
      </c>
      <c r="CH178" s="1027">
        <f t="shared" si="114"/>
        <v>8817.4064495400016</v>
      </c>
      <c r="CI178" s="1027">
        <f t="shared" si="114"/>
        <v>9156.537466830001</v>
      </c>
      <c r="CJ178" s="1027">
        <f t="shared" si="114"/>
        <v>9495.6684841200004</v>
      </c>
      <c r="CK178" s="1027">
        <f t="shared" si="114"/>
        <v>9834.7995014099997</v>
      </c>
      <c r="CL178" s="1027">
        <f t="shared" si="114"/>
        <v>10173.930518700001</v>
      </c>
      <c r="CM178" s="1027">
        <f t="shared" si="114"/>
        <v>10513.06153599</v>
      </c>
      <c r="CN178" s="1027">
        <f t="shared" ref="CN178:DG178" si="115">((CN$138-$I$4)/1000)*IF($C$13=0,$Q$34,$Q$51)*(($C$8/70)^$AC$51)*IF($C$13=1,$AH$52,IF($C$13=2,$AI$52,IF($C$13=3,$AJ$52,1)))</f>
        <v>10852.192553280001</v>
      </c>
      <c r="CO178" s="1027">
        <f t="shared" si="115"/>
        <v>11191.323570569999</v>
      </c>
      <c r="CP178" s="1027">
        <f t="shared" si="115"/>
        <v>11530.454587860002</v>
      </c>
      <c r="CQ178" s="1027">
        <f t="shared" si="115"/>
        <v>11869.585605150001</v>
      </c>
      <c r="CR178" s="1027">
        <f t="shared" si="115"/>
        <v>12208.716622440001</v>
      </c>
      <c r="CS178" s="1027">
        <f t="shared" si="115"/>
        <v>12547.847639730002</v>
      </c>
      <c r="CT178" s="1027">
        <f t="shared" si="115"/>
        <v>12886.978657019999</v>
      </c>
      <c r="CU178" s="1027">
        <f t="shared" si="115"/>
        <v>13226.109674310001</v>
      </c>
      <c r="CV178" s="1027">
        <f t="shared" si="115"/>
        <v>13565.2406916</v>
      </c>
      <c r="CW178" s="1027">
        <f t="shared" si="115"/>
        <v>13904.371708890001</v>
      </c>
      <c r="CX178" s="1027">
        <f t="shared" si="115"/>
        <v>14243.502726180002</v>
      </c>
      <c r="CY178" s="1027">
        <f t="shared" si="115"/>
        <v>14582.63374347</v>
      </c>
      <c r="CZ178" s="1027">
        <f t="shared" si="115"/>
        <v>14921.764760760001</v>
      </c>
      <c r="DA178" s="1027">
        <f t="shared" si="115"/>
        <v>15260.89577805</v>
      </c>
      <c r="DB178" s="1027">
        <f t="shared" si="115"/>
        <v>15600.02679534</v>
      </c>
      <c r="DC178" s="1027">
        <f t="shared" si="115"/>
        <v>15939.157812630003</v>
      </c>
      <c r="DD178" s="1027">
        <f t="shared" si="115"/>
        <v>16278.28882992</v>
      </c>
      <c r="DE178" s="1027">
        <f t="shared" si="115"/>
        <v>16617.41984721</v>
      </c>
      <c r="DF178" s="1027">
        <f t="shared" si="115"/>
        <v>16956.550864500001</v>
      </c>
      <c r="DG178" s="1027">
        <f t="shared" si="115"/>
        <v>17295.681881790002</v>
      </c>
    </row>
    <row r="179" spans="1:111">
      <c r="A179" s="2506"/>
      <c r="B179" s="2334" t="s">
        <v>422</v>
      </c>
      <c r="C179" s="2334"/>
      <c r="D179" s="2474"/>
      <c r="E179" s="1845" t="s">
        <v>226</v>
      </c>
      <c r="F179" s="1845">
        <v>140</v>
      </c>
      <c r="G179" s="1845">
        <v>360</v>
      </c>
      <c r="H179" s="1845">
        <v>8</v>
      </c>
      <c r="I179" s="1163"/>
      <c r="J179" s="1852"/>
      <c r="K179" s="1853">
        <f t="shared" ref="K179:AP179" si="116">((K$138-$I$4)/1000)*IF($C$14=0,$R$34,$R$51)*(($C$8/70)^$AC$51)*IF($C$14=0,1,IF($C$14&lt;=K$139,$AH$51,IF(AND($C$14&gt;=K$139,$C$14&lt;=K$140),((($AI$51-$AH$51)/(K$140-K$139))*$C$14+($AH$51-(($AI$51-$AH$51)/(K$140-K$139))*K$139)),IF($C$14&gt;=K$140,$AI$51,1))))</f>
        <v>1291.4794341428574</v>
      </c>
      <c r="L179" s="1027">
        <f t="shared" si="116"/>
        <v>1549.7753209714288</v>
      </c>
      <c r="M179" s="1027">
        <f t="shared" si="116"/>
        <v>1808.0712078000001</v>
      </c>
      <c r="N179" s="1027">
        <f t="shared" si="116"/>
        <v>2066.367094628572</v>
      </c>
      <c r="O179" s="1027">
        <f t="shared" si="116"/>
        <v>2324.6629814571434</v>
      </c>
      <c r="P179" s="1027">
        <f t="shared" si="116"/>
        <v>2582.9588682857147</v>
      </c>
      <c r="Q179" s="1027">
        <f t="shared" si="116"/>
        <v>2841.2547551142861</v>
      </c>
      <c r="R179" s="1027">
        <f t="shared" si="116"/>
        <v>3016.1070368000005</v>
      </c>
      <c r="S179" s="1027">
        <f t="shared" si="116"/>
        <v>3267.4492898666676</v>
      </c>
      <c r="T179" s="1027">
        <f t="shared" si="116"/>
        <v>3518.7915429333339</v>
      </c>
      <c r="U179" s="1027">
        <f t="shared" si="116"/>
        <v>3732.2048845714294</v>
      </c>
      <c r="V179" s="1854">
        <f t="shared" si="116"/>
        <v>3981.018543542858</v>
      </c>
      <c r="W179" s="1853">
        <f t="shared" si="116"/>
        <v>4229.8322025142861</v>
      </c>
      <c r="X179" s="1027">
        <f t="shared" si="116"/>
        <v>4444.5098412000016</v>
      </c>
      <c r="Y179" s="1027">
        <f t="shared" si="116"/>
        <v>4691.4270546000007</v>
      </c>
      <c r="Z179" s="1027">
        <f t="shared" si="116"/>
        <v>4938.3442680000007</v>
      </c>
      <c r="AA179" s="1027">
        <f t="shared" si="116"/>
        <v>5185.2614814000008</v>
      </c>
      <c r="AB179" s="1027">
        <f t="shared" si="116"/>
        <v>5432.1786948000017</v>
      </c>
      <c r="AC179" s="1027">
        <f t="shared" si="116"/>
        <v>5679.0959082000008</v>
      </c>
      <c r="AD179" s="1027">
        <f t="shared" si="116"/>
        <v>5926.0131216000009</v>
      </c>
      <c r="AE179" s="1027">
        <f t="shared" si="116"/>
        <v>6172.9303350000009</v>
      </c>
      <c r="AF179" s="1854">
        <f t="shared" si="116"/>
        <v>6419.847548400001</v>
      </c>
      <c r="AG179" s="1855">
        <f t="shared" si="116"/>
        <v>6666.7647618000019</v>
      </c>
      <c r="AH179" s="1027">
        <f t="shared" si="116"/>
        <v>6913.681975200001</v>
      </c>
      <c r="AI179" s="1027">
        <f t="shared" si="116"/>
        <v>7160.5991886000011</v>
      </c>
      <c r="AJ179" s="1027">
        <f t="shared" si="116"/>
        <v>7407.5164020000011</v>
      </c>
      <c r="AK179" s="1027">
        <f t="shared" si="116"/>
        <v>7654.4336154000021</v>
      </c>
      <c r="AL179" s="1027">
        <f t="shared" si="116"/>
        <v>7901.3508288000021</v>
      </c>
      <c r="AM179" s="1027">
        <f t="shared" si="116"/>
        <v>8148.2680422000003</v>
      </c>
      <c r="AN179" s="1027">
        <f t="shared" si="116"/>
        <v>8395.1852556000013</v>
      </c>
      <c r="AO179" s="1027">
        <f t="shared" si="116"/>
        <v>8642.1024690000013</v>
      </c>
      <c r="AP179" s="1854">
        <f t="shared" si="116"/>
        <v>8889.0196824000031</v>
      </c>
      <c r="AQ179" s="1853">
        <f t="shared" ref="AQ179:BG179" si="117">((AQ$138-$I$4)/1000)*IF($C$14=0,$R$34,$R$51)*(($C$8/70)^$AC$51)*IF($C$14=0,1,IF($C$14&lt;=AQ$139,$AH$51,IF(AND($C$14&gt;=AQ$139,$C$14&lt;=AQ$140),((($AI$51-$AH$51)/(AQ$140-AQ$139))*$C$14+($AH$51-(($AI$51-$AH$51)/(AQ$140-AQ$139))*AQ$139)),IF($C$14&gt;=AQ$140,$AI$51,1))))</f>
        <v>9135.9368958000032</v>
      </c>
      <c r="AR179" s="1027">
        <f t="shared" si="117"/>
        <v>9382.8541092000014</v>
      </c>
      <c r="AS179" s="1027">
        <f t="shared" si="117"/>
        <v>9629.7713226000014</v>
      </c>
      <c r="AT179" s="1027">
        <f t="shared" si="117"/>
        <v>9876.6885360000015</v>
      </c>
      <c r="AU179" s="1027">
        <f t="shared" si="117"/>
        <v>10123.6057494</v>
      </c>
      <c r="AV179" s="1027">
        <f t="shared" si="117"/>
        <v>10370.522962800002</v>
      </c>
      <c r="AW179" s="1027">
        <f t="shared" si="117"/>
        <v>10617.440176200002</v>
      </c>
      <c r="AX179" s="1027">
        <f t="shared" si="117"/>
        <v>10864.357389600003</v>
      </c>
      <c r="AY179" s="1027">
        <f t="shared" si="117"/>
        <v>11111.274603000003</v>
      </c>
      <c r="AZ179" s="1854">
        <f t="shared" si="117"/>
        <v>11358.191816400002</v>
      </c>
      <c r="BA179" s="1856">
        <f t="shared" si="117"/>
        <v>11605.109029800004</v>
      </c>
      <c r="BB179" s="1857">
        <f t="shared" si="117"/>
        <v>11852.026243200002</v>
      </c>
      <c r="BC179" s="1857">
        <f t="shared" si="117"/>
        <v>12098.943456600004</v>
      </c>
      <c r="BD179" s="1857">
        <f t="shared" si="117"/>
        <v>12345.860670000002</v>
      </c>
      <c r="BE179" s="1857">
        <f t="shared" si="117"/>
        <v>12592.777883400002</v>
      </c>
      <c r="BF179" s="1857">
        <f t="shared" si="117"/>
        <v>12839.695096800002</v>
      </c>
      <c r="BG179" s="1854">
        <f t="shared" si="117"/>
        <v>13086.612310200002</v>
      </c>
      <c r="BH179" s="1855">
        <f t="shared" ref="BH179:CM179" si="118">((BH$138-$I$4)/1000)*IF($C$13=0,$R$34,$R$51)*(($C$8/70)^$AC$51)*IF($C$13=1,$AH$52,IF($C$13=2,$AI$52,IF($C$13=3,$AJ$52,1)))</f>
        <v>-2498.8601274000002</v>
      </c>
      <c r="BI179" s="1027">
        <f t="shared" si="118"/>
        <v>-2498.8601274000002</v>
      </c>
      <c r="BJ179" s="1027">
        <f t="shared" si="118"/>
        <v>-2498.8601274000002</v>
      </c>
      <c r="BK179" s="1027">
        <f t="shared" si="118"/>
        <v>1070.9400546000002</v>
      </c>
      <c r="BL179" s="1027">
        <f t="shared" si="118"/>
        <v>1427.9200728000003</v>
      </c>
      <c r="BM179" s="1027">
        <f t="shared" si="118"/>
        <v>1784.9000910000002</v>
      </c>
      <c r="BN179" s="1027">
        <f t="shared" si="118"/>
        <v>2141.8801092000003</v>
      </c>
      <c r="BO179" s="1027">
        <f t="shared" si="118"/>
        <v>2498.8601274000002</v>
      </c>
      <c r="BP179" s="1027">
        <f t="shared" si="118"/>
        <v>2855.8401456000006</v>
      </c>
      <c r="BQ179" s="1027">
        <f t="shared" si="118"/>
        <v>3212.8201638000005</v>
      </c>
      <c r="BR179" s="1027">
        <f t="shared" si="118"/>
        <v>3569.8001820000004</v>
      </c>
      <c r="BS179" s="1027">
        <f t="shared" si="118"/>
        <v>3926.7802002000008</v>
      </c>
      <c r="BT179" s="1027">
        <f t="shared" si="118"/>
        <v>4283.7602184000007</v>
      </c>
      <c r="BU179" s="1027">
        <f t="shared" si="118"/>
        <v>4640.7402366000006</v>
      </c>
      <c r="BV179" s="1027">
        <f t="shared" si="118"/>
        <v>4997.7202548000005</v>
      </c>
      <c r="BW179" s="1027">
        <f t="shared" si="118"/>
        <v>5354.7002730000004</v>
      </c>
      <c r="BX179" s="1027">
        <f t="shared" si="118"/>
        <v>5711.6802912000012</v>
      </c>
      <c r="BY179" s="1027">
        <f t="shared" si="118"/>
        <v>6068.6603094000002</v>
      </c>
      <c r="BZ179" s="1027">
        <f t="shared" si="118"/>
        <v>6425.640327600001</v>
      </c>
      <c r="CA179" s="1027">
        <f t="shared" si="118"/>
        <v>6782.6203458</v>
      </c>
      <c r="CB179" s="1027">
        <f t="shared" si="118"/>
        <v>7139.6003640000008</v>
      </c>
      <c r="CC179" s="1027">
        <f t="shared" si="118"/>
        <v>7496.5803822000007</v>
      </c>
      <c r="CD179" s="1027">
        <f t="shared" si="118"/>
        <v>7853.5604004000015</v>
      </c>
      <c r="CE179" s="1027">
        <f t="shared" si="118"/>
        <v>8210.5404185999996</v>
      </c>
      <c r="CF179" s="1027">
        <f t="shared" si="118"/>
        <v>8567.5204368000013</v>
      </c>
      <c r="CG179" s="1027">
        <f t="shared" si="118"/>
        <v>8924.5004550000012</v>
      </c>
      <c r="CH179" s="1027">
        <f t="shared" si="118"/>
        <v>9281.4804732000011</v>
      </c>
      <c r="CI179" s="1027">
        <f t="shared" si="118"/>
        <v>9638.460491400001</v>
      </c>
      <c r="CJ179" s="1027">
        <f t="shared" si="118"/>
        <v>9995.440509600001</v>
      </c>
      <c r="CK179" s="1027">
        <f t="shared" si="118"/>
        <v>10352.420527800001</v>
      </c>
      <c r="CL179" s="1027">
        <f t="shared" si="118"/>
        <v>10709.400546000001</v>
      </c>
      <c r="CM179" s="1027">
        <f t="shared" si="118"/>
        <v>11066.380564200001</v>
      </c>
      <c r="CN179" s="1027">
        <f t="shared" ref="CN179:DG179" si="119">((CN$138-$I$4)/1000)*IF($C$13=0,$R$34,$R$51)*(($C$8/70)^$AC$51)*IF($C$13=1,$AH$52,IF($C$13=2,$AI$52,IF($C$13=3,$AJ$52,1)))</f>
        <v>11423.360582400002</v>
      </c>
      <c r="CO179" s="1027">
        <f t="shared" si="119"/>
        <v>11780.340600599999</v>
      </c>
      <c r="CP179" s="1027">
        <f t="shared" si="119"/>
        <v>12137.3206188</v>
      </c>
      <c r="CQ179" s="1027">
        <f t="shared" si="119"/>
        <v>12494.300637</v>
      </c>
      <c r="CR179" s="1027">
        <f t="shared" si="119"/>
        <v>12851.280655200002</v>
      </c>
      <c r="CS179" s="1027">
        <f t="shared" si="119"/>
        <v>13208.260673400002</v>
      </c>
      <c r="CT179" s="1027">
        <f t="shared" si="119"/>
        <v>13565.2406916</v>
      </c>
      <c r="CU179" s="1027">
        <f t="shared" si="119"/>
        <v>13922.220709800002</v>
      </c>
      <c r="CV179" s="1027">
        <f t="shared" si="119"/>
        <v>14279.200728000002</v>
      </c>
      <c r="CW179" s="1027">
        <f t="shared" si="119"/>
        <v>14636.1807462</v>
      </c>
      <c r="CX179" s="1027">
        <f t="shared" si="119"/>
        <v>14993.160764400001</v>
      </c>
      <c r="CY179" s="1027">
        <f t="shared" si="119"/>
        <v>15350.1407826</v>
      </c>
      <c r="CZ179" s="1027">
        <f t="shared" si="119"/>
        <v>15707.120800800003</v>
      </c>
      <c r="DA179" s="1027">
        <f t="shared" si="119"/>
        <v>16064.100819000003</v>
      </c>
      <c r="DB179" s="1027">
        <f t="shared" si="119"/>
        <v>16421.080837199999</v>
      </c>
      <c r="DC179" s="1027">
        <f t="shared" si="119"/>
        <v>16778.060855400003</v>
      </c>
      <c r="DD179" s="1027">
        <f t="shared" si="119"/>
        <v>17135.040873600003</v>
      </c>
      <c r="DE179" s="1027">
        <f t="shared" si="119"/>
        <v>17492.020891800003</v>
      </c>
      <c r="DF179" s="1027">
        <f t="shared" si="119"/>
        <v>17849.000910000002</v>
      </c>
      <c r="DG179" s="1027">
        <f t="shared" si="119"/>
        <v>18205.980928199999</v>
      </c>
    </row>
    <row r="180" spans="1:111">
      <c r="A180" s="2506"/>
      <c r="B180" s="2334" t="s">
        <v>423</v>
      </c>
      <c r="C180" s="2334"/>
      <c r="D180" s="2474"/>
      <c r="E180" s="1845" t="s">
        <v>226</v>
      </c>
      <c r="F180" s="1845">
        <v>140</v>
      </c>
      <c r="G180" s="1845">
        <v>400</v>
      </c>
      <c r="H180" s="1845">
        <v>6</v>
      </c>
      <c r="I180" s="1858"/>
      <c r="J180" s="1859"/>
      <c r="K180" s="1860">
        <f t="shared" ref="K180:AP180" si="120">((K$138-$I$4)/1000)*IF($C$14=0,$S$34,$S$51)*(($C$8/70)^$AD$51)*IF($C$14=0,1,IF($C$14&lt;=K$139,$AH$51,IF(AND($C$14&gt;=K$139,$C$14&lt;=K$140),((($AI$51-$AH$51)/(K$140-K$139))*$C$14+($AH$51-(($AI$51-$AH$51)/(K$140-K$139))*K$139)),IF($C$14&gt;=K$140,$AI$51,1))))</f>
        <v>1270.1472010778573</v>
      </c>
      <c r="L180" s="1270">
        <f t="shared" si="120"/>
        <v>1524.1766412934287</v>
      </c>
      <c r="M180" s="1270">
        <f t="shared" si="120"/>
        <v>1778.2060815089999</v>
      </c>
      <c r="N180" s="1270">
        <f t="shared" si="120"/>
        <v>2032.2355217245715</v>
      </c>
      <c r="O180" s="1270">
        <f t="shared" si="120"/>
        <v>2286.2649619401432</v>
      </c>
      <c r="P180" s="1270">
        <f t="shared" si="120"/>
        <v>2540.2944021557146</v>
      </c>
      <c r="Q180" s="1270">
        <f t="shared" si="120"/>
        <v>2794.3238423712864</v>
      </c>
      <c r="R180" s="1270">
        <f t="shared" si="120"/>
        <v>2966.2879715040008</v>
      </c>
      <c r="S180" s="1270">
        <f t="shared" si="120"/>
        <v>3213.4786357960006</v>
      </c>
      <c r="T180" s="1270">
        <f t="shared" si="120"/>
        <v>3460.6693000880005</v>
      </c>
      <c r="U180" s="1270">
        <f t="shared" si="120"/>
        <v>3670.5575502514289</v>
      </c>
      <c r="V180" s="1861">
        <f t="shared" si="120"/>
        <v>3915.2613869348575</v>
      </c>
      <c r="W180" s="1860">
        <f t="shared" si="120"/>
        <v>4159.9652236182865</v>
      </c>
      <c r="X180" s="1270">
        <f t="shared" si="120"/>
        <v>4371.0968875860008</v>
      </c>
      <c r="Y180" s="1270">
        <f t="shared" si="120"/>
        <v>4613.9356035630008</v>
      </c>
      <c r="Z180" s="1270">
        <f t="shared" si="120"/>
        <v>4856.7743195400008</v>
      </c>
      <c r="AA180" s="1270">
        <f t="shared" si="120"/>
        <v>5099.6130355170008</v>
      </c>
      <c r="AB180" s="1270">
        <f t="shared" si="120"/>
        <v>5342.4517514940017</v>
      </c>
      <c r="AC180" s="1270">
        <f t="shared" si="120"/>
        <v>5585.2904674709998</v>
      </c>
      <c r="AD180" s="1270">
        <f t="shared" si="120"/>
        <v>5828.1291834480007</v>
      </c>
      <c r="AE180" s="1270">
        <f t="shared" si="120"/>
        <v>6070.9678994250007</v>
      </c>
      <c r="AF180" s="1861">
        <f t="shared" si="120"/>
        <v>6313.8066154020007</v>
      </c>
      <c r="AG180" s="1862">
        <f t="shared" si="120"/>
        <v>6556.6453313790016</v>
      </c>
      <c r="AH180" s="1270">
        <f t="shared" si="120"/>
        <v>6799.4840473559998</v>
      </c>
      <c r="AI180" s="1270">
        <f t="shared" si="120"/>
        <v>7042.3227633329998</v>
      </c>
      <c r="AJ180" s="1270">
        <f t="shared" si="120"/>
        <v>7285.1614793100007</v>
      </c>
      <c r="AK180" s="1270">
        <f t="shared" si="120"/>
        <v>7528.0001952870016</v>
      </c>
      <c r="AL180" s="1270">
        <f t="shared" si="120"/>
        <v>7770.8389112640007</v>
      </c>
      <c r="AM180" s="1270">
        <f t="shared" si="120"/>
        <v>8013.6776272410007</v>
      </c>
      <c r="AN180" s="1270">
        <f t="shared" si="120"/>
        <v>8256.5163432180016</v>
      </c>
      <c r="AO180" s="1270">
        <f t="shared" si="120"/>
        <v>8499.3550591950025</v>
      </c>
      <c r="AP180" s="1861">
        <f t="shared" si="120"/>
        <v>8742.1937751720016</v>
      </c>
      <c r="AQ180" s="1860">
        <f t="shared" ref="AQ180:BG180" si="121">((AQ$138-$I$4)/1000)*IF($C$14=0,$S$34,$S$51)*(($C$8/70)^$AD$51)*IF($C$14=0,1,IF($C$14&lt;=AQ$139,$AH$51,IF(AND($C$14&gt;=AQ$139,$C$14&lt;=AQ$140),((($AI$51-$AH$51)/(AQ$140-AQ$139))*$C$14+($AH$51-(($AI$51-$AH$51)/(AQ$140-AQ$139))*AQ$139)),IF($C$14&gt;=AQ$140,$AI$51,1))))</f>
        <v>8985.0324911490025</v>
      </c>
      <c r="AR180" s="1270">
        <f t="shared" si="121"/>
        <v>9227.8712071260015</v>
      </c>
      <c r="AS180" s="1270">
        <f t="shared" si="121"/>
        <v>9470.7099231030006</v>
      </c>
      <c r="AT180" s="1270">
        <f t="shared" si="121"/>
        <v>9713.5486390800015</v>
      </c>
      <c r="AU180" s="1270">
        <f t="shared" si="121"/>
        <v>9956.3873550570006</v>
      </c>
      <c r="AV180" s="1270">
        <f t="shared" si="121"/>
        <v>10199.226071034002</v>
      </c>
      <c r="AW180" s="1270">
        <f t="shared" si="121"/>
        <v>10442.064787011001</v>
      </c>
      <c r="AX180" s="1270">
        <f t="shared" si="121"/>
        <v>10684.903502988003</v>
      </c>
      <c r="AY180" s="1270">
        <f t="shared" si="121"/>
        <v>10927.742218965001</v>
      </c>
      <c r="AZ180" s="1861">
        <f t="shared" si="121"/>
        <v>11170.580934942</v>
      </c>
      <c r="BA180" s="1863">
        <f t="shared" si="121"/>
        <v>11413.419650919002</v>
      </c>
      <c r="BB180" s="1864">
        <f t="shared" si="121"/>
        <v>11656.258366896001</v>
      </c>
      <c r="BC180" s="1864">
        <f t="shared" si="121"/>
        <v>11899.097082873002</v>
      </c>
      <c r="BD180" s="1864">
        <f t="shared" si="121"/>
        <v>12141.935798850001</v>
      </c>
      <c r="BE180" s="1864">
        <f t="shared" si="121"/>
        <v>12384.774514827001</v>
      </c>
      <c r="BF180" s="1864">
        <f t="shared" si="121"/>
        <v>12627.613230804001</v>
      </c>
      <c r="BG180" s="1861">
        <f t="shared" si="121"/>
        <v>12870.451946781001</v>
      </c>
      <c r="BH180" s="1862">
        <f t="shared" ref="BH180:CM180" si="122">((BH$138-$I$4)/1000)*IF($C$13=0,$S$34,$S$51)*(($C$8/70)^$AD$51)*IF($C$13=1,$AH$51,IF($C$13=2,$AI$51,IF($C$13=3,$AJ$51,1)))</f>
        <v>-2457.5847766469997</v>
      </c>
      <c r="BI180" s="1270">
        <f t="shared" si="122"/>
        <v>-2457.5847766469997</v>
      </c>
      <c r="BJ180" s="1270">
        <f t="shared" si="122"/>
        <v>-2457.5847766469997</v>
      </c>
      <c r="BK180" s="1270">
        <f t="shared" si="122"/>
        <v>1053.250618563</v>
      </c>
      <c r="BL180" s="1270">
        <f t="shared" si="122"/>
        <v>1404.3341580840001</v>
      </c>
      <c r="BM180" s="1270">
        <f t="shared" si="122"/>
        <v>1755.4176976050001</v>
      </c>
      <c r="BN180" s="1270">
        <f t="shared" si="122"/>
        <v>2106.501237126</v>
      </c>
      <c r="BO180" s="1270">
        <f t="shared" si="122"/>
        <v>2457.5847766469997</v>
      </c>
      <c r="BP180" s="1270">
        <f t="shared" si="122"/>
        <v>2808.6683161680003</v>
      </c>
      <c r="BQ180" s="1270">
        <f t="shared" si="122"/>
        <v>3159.751855689</v>
      </c>
      <c r="BR180" s="1270">
        <f t="shared" si="122"/>
        <v>3510.8353952100001</v>
      </c>
      <c r="BS180" s="1270">
        <f t="shared" si="122"/>
        <v>3861.9189347310007</v>
      </c>
      <c r="BT180" s="1270">
        <f t="shared" si="122"/>
        <v>4213.002474252</v>
      </c>
      <c r="BU180" s="1270">
        <f t="shared" si="122"/>
        <v>4564.0860137730006</v>
      </c>
      <c r="BV180" s="1270">
        <f t="shared" si="122"/>
        <v>4915.1695532939993</v>
      </c>
      <c r="BW180" s="1270">
        <f t="shared" si="122"/>
        <v>5266.2530928149999</v>
      </c>
      <c r="BX180" s="1270">
        <f t="shared" si="122"/>
        <v>5617.3366323360005</v>
      </c>
      <c r="BY180" s="1270">
        <f t="shared" si="122"/>
        <v>5968.4201718570002</v>
      </c>
      <c r="BZ180" s="1270">
        <f t="shared" si="122"/>
        <v>6319.5037113779999</v>
      </c>
      <c r="CA180" s="1270">
        <f t="shared" si="122"/>
        <v>6670.5872508990005</v>
      </c>
      <c r="CB180" s="1270">
        <f t="shared" si="122"/>
        <v>7021.6707904200002</v>
      </c>
      <c r="CC180" s="1270">
        <f t="shared" si="122"/>
        <v>7372.7543299409999</v>
      </c>
      <c r="CD180" s="1270">
        <f t="shared" si="122"/>
        <v>7723.8378694620014</v>
      </c>
      <c r="CE180" s="1270">
        <f t="shared" si="122"/>
        <v>8074.9214089829993</v>
      </c>
      <c r="CF180" s="1270">
        <f t="shared" si="122"/>
        <v>8426.0049485039999</v>
      </c>
      <c r="CG180" s="1270">
        <f t="shared" si="122"/>
        <v>8777.0884880249996</v>
      </c>
      <c r="CH180" s="1270">
        <f t="shared" si="122"/>
        <v>9128.1720275460011</v>
      </c>
      <c r="CI180" s="1270">
        <f t="shared" si="122"/>
        <v>9479.2555670670008</v>
      </c>
      <c r="CJ180" s="1270">
        <f t="shared" si="122"/>
        <v>9830.3391065879987</v>
      </c>
      <c r="CK180" s="1270">
        <f t="shared" si="122"/>
        <v>10181.422646108998</v>
      </c>
      <c r="CL180" s="1270">
        <f t="shared" si="122"/>
        <v>10532.50618563</v>
      </c>
      <c r="CM180" s="1270">
        <f t="shared" si="122"/>
        <v>10883.589725151001</v>
      </c>
      <c r="CN180" s="1270">
        <f t="shared" ref="CN180:DG180" si="123">((CN$138-$I$4)/1000)*IF($C$13=0,$S$34,$S$51)*(($C$8/70)^$AD$51)*IF($C$13=1,$AH$51,IF($C$13=2,$AI$51,IF($C$13=3,$AJ$51,1)))</f>
        <v>11234.673264672001</v>
      </c>
      <c r="CO180" s="1270">
        <f t="shared" si="123"/>
        <v>11585.756804192999</v>
      </c>
      <c r="CP180" s="1270">
        <f t="shared" si="123"/>
        <v>11936.840343714</v>
      </c>
      <c r="CQ180" s="1270">
        <f t="shared" si="123"/>
        <v>12287.923883235002</v>
      </c>
      <c r="CR180" s="1270">
        <f t="shared" si="123"/>
        <v>12639.007422756</v>
      </c>
      <c r="CS180" s="1270">
        <f t="shared" si="123"/>
        <v>12990.090962277001</v>
      </c>
      <c r="CT180" s="1270">
        <f t="shared" si="123"/>
        <v>13341.174501798001</v>
      </c>
      <c r="CU180" s="1270">
        <f t="shared" si="123"/>
        <v>13692.258041318999</v>
      </c>
      <c r="CV180" s="1270">
        <f t="shared" si="123"/>
        <v>14043.34158084</v>
      </c>
      <c r="CW180" s="1270">
        <f t="shared" si="123"/>
        <v>14394.425120361</v>
      </c>
      <c r="CX180" s="1270">
        <f t="shared" si="123"/>
        <v>14745.508659882</v>
      </c>
      <c r="CY180" s="1270">
        <f t="shared" si="123"/>
        <v>15096.592199403</v>
      </c>
      <c r="CZ180" s="1270">
        <f t="shared" si="123"/>
        <v>15447.675738924003</v>
      </c>
      <c r="DA180" s="1270">
        <f t="shared" si="123"/>
        <v>15798.759278444999</v>
      </c>
      <c r="DB180" s="1270">
        <f t="shared" si="123"/>
        <v>16149.842817965999</v>
      </c>
      <c r="DC180" s="1270">
        <f t="shared" si="123"/>
        <v>16500.926357487002</v>
      </c>
      <c r="DD180" s="1270">
        <f t="shared" si="123"/>
        <v>16852.009897008</v>
      </c>
      <c r="DE180" s="1270">
        <f t="shared" si="123"/>
        <v>17203.093436529001</v>
      </c>
      <c r="DF180" s="1270">
        <f t="shared" si="123"/>
        <v>17554.176976049999</v>
      </c>
      <c r="DG180" s="1270">
        <f t="shared" si="123"/>
        <v>17905.260515571001</v>
      </c>
    </row>
    <row r="181" spans="1:111" ht="15.75" thickBot="1">
      <c r="A181" s="2506"/>
      <c r="B181" s="2363" t="s">
        <v>424</v>
      </c>
      <c r="C181" s="2363"/>
      <c r="D181" s="2475"/>
      <c r="E181" s="1865" t="s">
        <v>226</v>
      </c>
      <c r="F181" s="1865">
        <v>140</v>
      </c>
      <c r="G181" s="1865">
        <v>400</v>
      </c>
      <c r="H181" s="1865">
        <v>8</v>
      </c>
      <c r="I181" s="1164"/>
      <c r="J181" s="1866"/>
      <c r="K181" s="1867">
        <f t="shared" ref="K181:AP181" si="124">((K$138-$I$4)/1000)*IF($C$14=0,$T$34,$T$51)*(($C$8/70)^$AE$51)*IF($C$14=0,1,IF($C$14&lt;=K$139,$AH$51,IF(AND($C$14&gt;=K$139,$C$14&lt;=K$140),((($AI$51-$AH$51)/(K$140-K$139))*$C$14+($AH$51-(($AI$51-$AH$51)/(K$140-K$139))*K$139)),IF($C$14&gt;=K$140,$AI$51,1))))</f>
        <v>1388.1390175714284</v>
      </c>
      <c r="L181" s="1028">
        <f t="shared" si="124"/>
        <v>1665.7668210857141</v>
      </c>
      <c r="M181" s="1028">
        <f t="shared" si="124"/>
        <v>1943.3946245999996</v>
      </c>
      <c r="N181" s="1028">
        <f t="shared" si="124"/>
        <v>2221.022428114286</v>
      </c>
      <c r="O181" s="1028">
        <f t="shared" si="124"/>
        <v>2498.6502316285714</v>
      </c>
      <c r="P181" s="1028">
        <f t="shared" si="124"/>
        <v>2776.2780351428569</v>
      </c>
      <c r="Q181" s="1028">
        <f t="shared" si="124"/>
        <v>3053.9058386571428</v>
      </c>
      <c r="R181" s="1028">
        <f t="shared" si="124"/>
        <v>3241.8447775999998</v>
      </c>
      <c r="S181" s="1028">
        <f t="shared" si="124"/>
        <v>3511.9985090666673</v>
      </c>
      <c r="T181" s="1028">
        <f t="shared" si="124"/>
        <v>3782.152240533333</v>
      </c>
      <c r="U181" s="1028">
        <f t="shared" si="124"/>
        <v>4011.538306285714</v>
      </c>
      <c r="V181" s="1868">
        <f t="shared" si="124"/>
        <v>4278.9741933714295</v>
      </c>
      <c r="W181" s="1867">
        <f t="shared" si="124"/>
        <v>4546.4100804571426</v>
      </c>
      <c r="X181" s="1028">
        <f t="shared" si="124"/>
        <v>4777.1550684000003</v>
      </c>
      <c r="Y181" s="1028">
        <f t="shared" si="124"/>
        <v>5042.5525721999993</v>
      </c>
      <c r="Z181" s="1028">
        <f t="shared" si="124"/>
        <v>5307.9500760000001</v>
      </c>
      <c r="AA181" s="1028">
        <f t="shared" si="124"/>
        <v>5573.3475798000009</v>
      </c>
      <c r="AB181" s="1028">
        <f t="shared" si="124"/>
        <v>5838.7450836000007</v>
      </c>
      <c r="AC181" s="1028">
        <f t="shared" si="124"/>
        <v>6104.1425873999997</v>
      </c>
      <c r="AD181" s="1028">
        <f t="shared" si="124"/>
        <v>6369.5400911999996</v>
      </c>
      <c r="AE181" s="1028">
        <f t="shared" si="124"/>
        <v>6634.9375950000003</v>
      </c>
      <c r="AF181" s="1868">
        <f t="shared" si="124"/>
        <v>6900.3350988000002</v>
      </c>
      <c r="AG181" s="1869">
        <f t="shared" si="124"/>
        <v>7165.732602600001</v>
      </c>
      <c r="AH181" s="1028">
        <f t="shared" si="124"/>
        <v>7431.130106399999</v>
      </c>
      <c r="AI181" s="1028">
        <f t="shared" si="124"/>
        <v>7696.5276101999998</v>
      </c>
      <c r="AJ181" s="1028">
        <f t="shared" si="124"/>
        <v>7961.9251139999997</v>
      </c>
      <c r="AK181" s="1028">
        <f t="shared" si="124"/>
        <v>8227.3226178000004</v>
      </c>
      <c r="AL181" s="1028">
        <f t="shared" si="124"/>
        <v>8492.7201216000012</v>
      </c>
      <c r="AM181" s="1028">
        <f t="shared" si="124"/>
        <v>8758.1176253999984</v>
      </c>
      <c r="AN181" s="1028">
        <f t="shared" si="124"/>
        <v>9023.5151291999991</v>
      </c>
      <c r="AO181" s="1028">
        <f t="shared" si="124"/>
        <v>9288.9126329999999</v>
      </c>
      <c r="AP181" s="1868">
        <f t="shared" si="124"/>
        <v>9554.3101368000007</v>
      </c>
      <c r="AQ181" s="1867">
        <f t="shared" ref="AQ181:BG181" si="125">((AQ$138-$I$4)/1000)*IF($C$14=0,$T$34,$T$51)*(($C$8/70)^$AE$51)*IF($C$14=0,1,IF($C$14&lt;=AQ$139,$AH$51,IF(AND($C$14&gt;=AQ$139,$C$14&lt;=AQ$140),((($AI$51-$AH$51)/(AQ$140-AQ$139))*$C$14+($AH$51-(($AI$51-$AH$51)/(AQ$140-AQ$139))*AQ$139)),IF($C$14&gt;=AQ$140,$AI$51,1))))</f>
        <v>9819.7076406000015</v>
      </c>
      <c r="AR181" s="1028">
        <f t="shared" si="125"/>
        <v>10085.105144399999</v>
      </c>
      <c r="AS181" s="1028">
        <f t="shared" si="125"/>
        <v>10350.502648199999</v>
      </c>
      <c r="AT181" s="1028">
        <f t="shared" si="125"/>
        <v>10615.900152</v>
      </c>
      <c r="AU181" s="1028">
        <f t="shared" si="125"/>
        <v>10881.297655799999</v>
      </c>
      <c r="AV181" s="1028">
        <f t="shared" si="125"/>
        <v>11146.695159600002</v>
      </c>
      <c r="AW181" s="1028">
        <f t="shared" si="125"/>
        <v>11412.092663399999</v>
      </c>
      <c r="AX181" s="1028">
        <f t="shared" si="125"/>
        <v>11677.490167200001</v>
      </c>
      <c r="AY181" s="1028">
        <f t="shared" si="125"/>
        <v>11942.887671</v>
      </c>
      <c r="AZ181" s="1868">
        <f t="shared" si="125"/>
        <v>12208.285174799999</v>
      </c>
      <c r="BA181" s="1870">
        <f t="shared" si="125"/>
        <v>12473.682678600002</v>
      </c>
      <c r="BB181" s="1871">
        <f t="shared" si="125"/>
        <v>12739.080182399999</v>
      </c>
      <c r="BC181" s="1871">
        <f t="shared" si="125"/>
        <v>13004.477686200002</v>
      </c>
      <c r="BD181" s="1871">
        <f t="shared" si="125"/>
        <v>13269.875190000001</v>
      </c>
      <c r="BE181" s="1871">
        <f t="shared" si="125"/>
        <v>13535.2726938</v>
      </c>
      <c r="BF181" s="1871">
        <f t="shared" si="125"/>
        <v>13800.6701976</v>
      </c>
      <c r="BG181" s="1868">
        <f t="shared" si="125"/>
        <v>14066.067701400001</v>
      </c>
      <c r="BH181" s="1862">
        <f t="shared" ref="BH181:CM181" si="126">((BH$138-$I$4)/1000)*IF($C$13=0,$T$34,$T$51)*(($C$8/70)^$AE$51)*IF($C$13=1,$AH$51,IF($C$13=2,$AI$51,IF($C$13=3,$AJ$51,1)))</f>
        <v>-2685.8850017999994</v>
      </c>
      <c r="BI181" s="1270">
        <f t="shared" si="126"/>
        <v>-2685.8850017999994</v>
      </c>
      <c r="BJ181" s="1270">
        <f t="shared" si="126"/>
        <v>-2685.8850017999994</v>
      </c>
      <c r="BK181" s="1270">
        <f t="shared" si="126"/>
        <v>1151.0935721999997</v>
      </c>
      <c r="BL181" s="1270">
        <f t="shared" si="126"/>
        <v>1534.7914296000001</v>
      </c>
      <c r="BM181" s="1270">
        <f t="shared" si="126"/>
        <v>1918.4892869999999</v>
      </c>
      <c r="BN181" s="1270">
        <f t="shared" si="126"/>
        <v>2302.1871443999994</v>
      </c>
      <c r="BO181" s="1270">
        <f t="shared" si="126"/>
        <v>2685.8850017999994</v>
      </c>
      <c r="BP181" s="1270">
        <f t="shared" si="126"/>
        <v>3069.5828592000003</v>
      </c>
      <c r="BQ181" s="1270">
        <f t="shared" si="126"/>
        <v>3453.2807165999998</v>
      </c>
      <c r="BR181" s="1270">
        <f t="shared" si="126"/>
        <v>3836.9785739999998</v>
      </c>
      <c r="BS181" s="1270">
        <f t="shared" si="126"/>
        <v>4220.6764314000002</v>
      </c>
      <c r="BT181" s="1270">
        <f t="shared" si="126"/>
        <v>4604.3742887999988</v>
      </c>
      <c r="BU181" s="1270">
        <f t="shared" si="126"/>
        <v>4988.0721462000001</v>
      </c>
      <c r="BV181" s="1270">
        <f t="shared" si="126"/>
        <v>5371.7700035999987</v>
      </c>
      <c r="BW181" s="1270">
        <f t="shared" si="126"/>
        <v>5755.4678609999992</v>
      </c>
      <c r="BX181" s="1270">
        <f t="shared" si="126"/>
        <v>6139.1657184000005</v>
      </c>
      <c r="BY181" s="1270">
        <f t="shared" si="126"/>
        <v>6522.8635757999991</v>
      </c>
      <c r="BZ181" s="1270">
        <f t="shared" si="126"/>
        <v>6906.5614331999996</v>
      </c>
      <c r="CA181" s="1270">
        <f t="shared" si="126"/>
        <v>7290.2592905999982</v>
      </c>
      <c r="CB181" s="1270">
        <f t="shared" si="126"/>
        <v>7673.9571479999995</v>
      </c>
      <c r="CC181" s="1270">
        <f t="shared" si="126"/>
        <v>8057.6550053999999</v>
      </c>
      <c r="CD181" s="1270">
        <f t="shared" si="126"/>
        <v>8441.3528628000004</v>
      </c>
      <c r="CE181" s="1270">
        <f t="shared" si="126"/>
        <v>8825.050720199999</v>
      </c>
      <c r="CF181" s="1270">
        <f t="shared" si="126"/>
        <v>9208.7485775999976</v>
      </c>
      <c r="CG181" s="1270">
        <f t="shared" si="126"/>
        <v>9592.4464349999998</v>
      </c>
      <c r="CH181" s="1270">
        <f t="shared" si="126"/>
        <v>9976.1442924000003</v>
      </c>
      <c r="CI181" s="1270">
        <f t="shared" si="126"/>
        <v>10359.842149800001</v>
      </c>
      <c r="CJ181" s="1270">
        <f t="shared" si="126"/>
        <v>10743.540007199997</v>
      </c>
      <c r="CK181" s="1270">
        <f t="shared" si="126"/>
        <v>11127.237864599998</v>
      </c>
      <c r="CL181" s="1270">
        <f t="shared" si="126"/>
        <v>11510.935721999998</v>
      </c>
      <c r="CM181" s="1270">
        <f t="shared" si="126"/>
        <v>11894.633579400001</v>
      </c>
      <c r="CN181" s="1270">
        <f t="shared" ref="CN181:DG181" si="127">((CN$138-$I$4)/1000)*IF($C$13=0,$T$34,$T$51)*(($C$8/70)^$AE$51)*IF($C$13=1,$AH$51,IF($C$13=2,$AI$51,IF($C$13=3,$AJ$51,1)))</f>
        <v>12278.331436800001</v>
      </c>
      <c r="CO181" s="1270">
        <f t="shared" si="127"/>
        <v>12662.029294199998</v>
      </c>
      <c r="CP181" s="1270">
        <f t="shared" si="127"/>
        <v>13045.727151599998</v>
      </c>
      <c r="CQ181" s="1270">
        <f t="shared" si="127"/>
        <v>13429.425008999999</v>
      </c>
      <c r="CR181" s="1270">
        <f t="shared" si="127"/>
        <v>13813.122866399999</v>
      </c>
      <c r="CS181" s="1270">
        <f t="shared" si="127"/>
        <v>14196.8207238</v>
      </c>
      <c r="CT181" s="1270">
        <f t="shared" si="127"/>
        <v>14580.518581199996</v>
      </c>
      <c r="CU181" s="1270">
        <f t="shared" si="127"/>
        <v>14964.216438599997</v>
      </c>
      <c r="CV181" s="1270">
        <f t="shared" si="127"/>
        <v>15347.914295999999</v>
      </c>
      <c r="CW181" s="1270">
        <f t="shared" si="127"/>
        <v>15731.612153399998</v>
      </c>
      <c r="CX181" s="1270">
        <f t="shared" si="127"/>
        <v>16115.3100108</v>
      </c>
      <c r="CY181" s="1270">
        <f t="shared" si="127"/>
        <v>16499.007868199995</v>
      </c>
      <c r="CZ181" s="1270">
        <f t="shared" si="127"/>
        <v>16882.705725600001</v>
      </c>
      <c r="DA181" s="1270">
        <f t="shared" si="127"/>
        <v>17266.403582999999</v>
      </c>
      <c r="DB181" s="1270">
        <f t="shared" si="127"/>
        <v>17650.101440399998</v>
      </c>
      <c r="DC181" s="1270">
        <f t="shared" si="127"/>
        <v>18033.7992978</v>
      </c>
      <c r="DD181" s="1270">
        <f t="shared" si="127"/>
        <v>18417.497155199995</v>
      </c>
      <c r="DE181" s="1270">
        <f t="shared" si="127"/>
        <v>18801.195012600001</v>
      </c>
      <c r="DF181" s="1270">
        <f t="shared" si="127"/>
        <v>19184.89287</v>
      </c>
      <c r="DG181" s="1270">
        <f t="shared" si="127"/>
        <v>19568.590727399998</v>
      </c>
    </row>
    <row r="182" spans="1:111">
      <c r="A182" s="2506"/>
      <c r="B182" s="2333" t="s">
        <v>285</v>
      </c>
      <c r="C182" s="2333"/>
      <c r="D182" s="2470">
        <v>125</v>
      </c>
      <c r="E182" s="1872" t="s">
        <v>226</v>
      </c>
      <c r="F182" s="1872">
        <v>150</v>
      </c>
      <c r="G182" s="1872">
        <v>160</v>
      </c>
      <c r="H182" s="1872">
        <v>4</v>
      </c>
      <c r="I182" s="1285"/>
      <c r="J182" s="1873"/>
      <c r="K182" s="1874">
        <f t="shared" ref="K182:AP182" si="128">((K$138-$I$4)/1000)*IF($C$14=0,$L$35,$L$52)*(($C$8/70)^$W$52)*IF($C$14=0,1,IF($C$14&lt;=K$139,$AH$52,IF(AND($C$14&gt;=K$139,$C$14&lt;=K$140),((($AI$52-$AH$52)/(K$140-K$139))*$C$14+($AH$52-(($AI$52-$AH$52)/(K$140-K$139))*K$139)),IF($C$14&gt;=K$140,$AI$52,1))))</f>
        <v>957.98091674999989</v>
      </c>
      <c r="L182" s="936">
        <f t="shared" si="128"/>
        <v>1149.5771001000001</v>
      </c>
      <c r="M182" s="936">
        <f t="shared" si="128"/>
        <v>1341.1732834499999</v>
      </c>
      <c r="N182" s="936">
        <f t="shared" si="128"/>
        <v>1532.7694667999999</v>
      </c>
      <c r="O182" s="936">
        <f t="shared" si="128"/>
        <v>1724.3656501499997</v>
      </c>
      <c r="P182" s="936">
        <f t="shared" si="128"/>
        <v>1915.9618334999998</v>
      </c>
      <c r="Q182" s="936">
        <f t="shared" si="128"/>
        <v>2107.5580168500001</v>
      </c>
      <c r="R182" s="936">
        <f t="shared" si="128"/>
        <v>2237.2582232</v>
      </c>
      <c r="S182" s="936">
        <f t="shared" si="128"/>
        <v>2423.6964084666665</v>
      </c>
      <c r="T182" s="936">
        <f t="shared" si="128"/>
        <v>2610.1345937333331</v>
      </c>
      <c r="U182" s="936">
        <f t="shared" si="128"/>
        <v>2768.4382439999999</v>
      </c>
      <c r="V182" s="1875">
        <f t="shared" si="128"/>
        <v>2953.0007936000002</v>
      </c>
      <c r="W182" s="1874">
        <f t="shared" si="128"/>
        <v>3137.5633432</v>
      </c>
      <c r="X182" s="936">
        <f t="shared" si="128"/>
        <v>3296.8048113</v>
      </c>
      <c r="Y182" s="936">
        <f t="shared" si="128"/>
        <v>3479.9606341499998</v>
      </c>
      <c r="Z182" s="936">
        <f t="shared" si="128"/>
        <v>3663.1164570000001</v>
      </c>
      <c r="AA182" s="936">
        <f t="shared" si="128"/>
        <v>3846.2722798499999</v>
      </c>
      <c r="AB182" s="936">
        <f t="shared" si="128"/>
        <v>4029.4281027000002</v>
      </c>
      <c r="AC182" s="936">
        <f t="shared" si="128"/>
        <v>4212.5839255499995</v>
      </c>
      <c r="AD182" s="936">
        <f t="shared" si="128"/>
        <v>4395.7397484000003</v>
      </c>
      <c r="AE182" s="936">
        <f t="shared" si="128"/>
        <v>4578.8955712499992</v>
      </c>
      <c r="AF182" s="1875">
        <f t="shared" si="128"/>
        <v>4762.0513940999999</v>
      </c>
      <c r="AG182" s="1876">
        <f t="shared" si="128"/>
        <v>4945.2072169499997</v>
      </c>
      <c r="AH182" s="936">
        <f t="shared" si="128"/>
        <v>5128.3630397999996</v>
      </c>
      <c r="AI182" s="936">
        <f t="shared" si="128"/>
        <v>5311.5188626499994</v>
      </c>
      <c r="AJ182" s="936">
        <f t="shared" si="128"/>
        <v>5494.6746855000001</v>
      </c>
      <c r="AK182" s="936">
        <f t="shared" si="128"/>
        <v>5677.8305083499999</v>
      </c>
      <c r="AL182" s="936">
        <f t="shared" si="128"/>
        <v>5860.9863312000007</v>
      </c>
      <c r="AM182" s="936">
        <f t="shared" si="128"/>
        <v>6044.1421540499996</v>
      </c>
      <c r="AN182" s="936">
        <f t="shared" si="128"/>
        <v>6227.2979769000003</v>
      </c>
      <c r="AO182" s="936">
        <f t="shared" si="128"/>
        <v>6410.4537997500001</v>
      </c>
      <c r="AP182" s="1875">
        <f t="shared" si="128"/>
        <v>6593.6096226</v>
      </c>
      <c r="AQ182" s="1874">
        <f t="shared" ref="AQ182:BG182" si="129">((AQ$138-$I$4)/1000)*IF($C$14=0,$L$35,$L$52)*(($C$8/70)^$W$52)*IF($C$14=0,1,IF($C$14&lt;=AQ$139,$AH$52,IF(AND($C$14&gt;=AQ$139,$C$14&lt;=AQ$140),((($AI$52-$AH$52)/(AQ$140-AQ$139))*$C$14+($AH$52-(($AI$52-$AH$52)/(AQ$140-AQ$139))*AQ$139)),IF($C$14&gt;=AQ$140,$AI$52,1))))</f>
        <v>6776.7654454499998</v>
      </c>
      <c r="AR182" s="936">
        <f t="shared" si="129"/>
        <v>6959.9212682999996</v>
      </c>
      <c r="AS182" s="936">
        <f t="shared" si="129"/>
        <v>7143.0770911499994</v>
      </c>
      <c r="AT182" s="936">
        <f t="shared" si="129"/>
        <v>7326.2329140000002</v>
      </c>
      <c r="AU182" s="936">
        <f t="shared" si="129"/>
        <v>7509.3887368499982</v>
      </c>
      <c r="AV182" s="936">
        <f t="shared" si="129"/>
        <v>7692.5445596999998</v>
      </c>
      <c r="AW182" s="936">
        <f t="shared" si="129"/>
        <v>7875.7003825499987</v>
      </c>
      <c r="AX182" s="936">
        <f t="shared" si="129"/>
        <v>8058.8562054000004</v>
      </c>
      <c r="AY182" s="936">
        <f t="shared" si="129"/>
        <v>8242.0120282499993</v>
      </c>
      <c r="AZ182" s="1875">
        <f t="shared" si="129"/>
        <v>8425.1678510999991</v>
      </c>
      <c r="BA182" s="1877">
        <f t="shared" si="129"/>
        <v>8608.3236739499989</v>
      </c>
      <c r="BB182" s="1878">
        <f t="shared" si="129"/>
        <v>8791.4794968000006</v>
      </c>
      <c r="BC182" s="1878">
        <f t="shared" si="129"/>
        <v>8974.6353196500004</v>
      </c>
      <c r="BD182" s="1878">
        <f t="shared" si="129"/>
        <v>9157.7911424999984</v>
      </c>
      <c r="BE182" s="1878">
        <f t="shared" si="129"/>
        <v>9340.9469653499982</v>
      </c>
      <c r="BF182" s="1878">
        <f t="shared" si="129"/>
        <v>9524.1027881999998</v>
      </c>
      <c r="BG182" s="1875">
        <f t="shared" si="129"/>
        <v>9707.2586110499997</v>
      </c>
      <c r="BH182" s="1984"/>
      <c r="BI182" s="1984"/>
      <c r="BK182" s="632">
        <f>0</f>
        <v>0</v>
      </c>
      <c r="BL182" s="632">
        <f>0</f>
        <v>0</v>
      </c>
      <c r="BM182" s="632">
        <f>0</f>
        <v>0</v>
      </c>
      <c r="BN182" s="632">
        <f>0</f>
        <v>0</v>
      </c>
      <c r="BO182" s="632">
        <f>0</f>
        <v>0</v>
      </c>
      <c r="BP182" s="632">
        <f>0</f>
        <v>0</v>
      </c>
      <c r="BQ182" s="632">
        <f>0</f>
        <v>0</v>
      </c>
      <c r="BR182" s="632">
        <f>0</f>
        <v>0</v>
      </c>
      <c r="BS182" s="632">
        <f>0</f>
        <v>0</v>
      </c>
      <c r="BT182" s="632">
        <f>0</f>
        <v>0</v>
      </c>
      <c r="BU182" s="632">
        <f>0</f>
        <v>0</v>
      </c>
      <c r="BV182" s="632">
        <f>0</f>
        <v>0</v>
      </c>
      <c r="BW182" s="632">
        <f>0</f>
        <v>0</v>
      </c>
      <c r="BX182" s="632">
        <f>0</f>
        <v>0</v>
      </c>
      <c r="BY182" s="632">
        <f>0</f>
        <v>0</v>
      </c>
      <c r="BZ182" s="632">
        <f>0</f>
        <v>0</v>
      </c>
      <c r="CA182" s="632">
        <f>0</f>
        <v>0</v>
      </c>
      <c r="CB182" s="632">
        <f>0</f>
        <v>0</v>
      </c>
      <c r="CC182" s="632">
        <f>0</f>
        <v>0</v>
      </c>
      <c r="CD182" s="632">
        <f>0</f>
        <v>0</v>
      </c>
      <c r="CE182" s="632">
        <f>0</f>
        <v>0</v>
      </c>
      <c r="CF182" s="632">
        <f>0</f>
        <v>0</v>
      </c>
      <c r="CG182" s="632">
        <f>0</f>
        <v>0</v>
      </c>
      <c r="CH182" s="632">
        <f>0</f>
        <v>0</v>
      </c>
      <c r="CI182" s="632">
        <f>0</f>
        <v>0</v>
      </c>
      <c r="CJ182" s="632">
        <f>0</f>
        <v>0</v>
      </c>
      <c r="CK182" s="632">
        <f>0</f>
        <v>0</v>
      </c>
      <c r="CL182" s="632">
        <f>0</f>
        <v>0</v>
      </c>
      <c r="CM182" s="632">
        <f>0</f>
        <v>0</v>
      </c>
      <c r="CN182" s="632">
        <f>0</f>
        <v>0</v>
      </c>
      <c r="CO182" s="632">
        <f>0</f>
        <v>0</v>
      </c>
      <c r="CP182" s="632">
        <f>0</f>
        <v>0</v>
      </c>
      <c r="CQ182" s="632">
        <f>0</f>
        <v>0</v>
      </c>
      <c r="CR182" s="632">
        <f>0</f>
        <v>0</v>
      </c>
      <c r="CS182" s="632">
        <f>0</f>
        <v>0</v>
      </c>
      <c r="CT182" s="632">
        <f>0</f>
        <v>0</v>
      </c>
      <c r="CU182" s="632">
        <f>0</f>
        <v>0</v>
      </c>
      <c r="CV182" s="632">
        <f>0</f>
        <v>0</v>
      </c>
      <c r="CW182" s="632">
        <f>0</f>
        <v>0</v>
      </c>
      <c r="CX182" s="632">
        <f>0</f>
        <v>0</v>
      </c>
      <c r="CY182" s="632">
        <f>0</f>
        <v>0</v>
      </c>
      <c r="CZ182" s="632">
        <f>0</f>
        <v>0</v>
      </c>
      <c r="DA182" s="632">
        <f>0</f>
        <v>0</v>
      </c>
      <c r="DB182" s="632">
        <f>0</f>
        <v>0</v>
      </c>
      <c r="DC182" s="632">
        <f>0</f>
        <v>0</v>
      </c>
      <c r="DD182" s="632">
        <f>0</f>
        <v>0</v>
      </c>
      <c r="DE182" s="632">
        <f>0</f>
        <v>0</v>
      </c>
      <c r="DF182" s="632">
        <f>0</f>
        <v>0</v>
      </c>
      <c r="DG182" s="632">
        <f>0</f>
        <v>0</v>
      </c>
    </row>
    <row r="183" spans="1:111">
      <c r="A183" s="2506"/>
      <c r="B183" s="2330" t="s">
        <v>287</v>
      </c>
      <c r="C183" s="2330"/>
      <c r="D183" s="2471"/>
      <c r="E183" s="1879" t="s">
        <v>226</v>
      </c>
      <c r="F183" s="1879">
        <v>150</v>
      </c>
      <c r="G183" s="1879">
        <v>200</v>
      </c>
      <c r="H183" s="1879">
        <v>4</v>
      </c>
      <c r="I183" s="1286"/>
      <c r="J183" s="1880"/>
      <c r="K183" s="1881">
        <f t="shared" ref="K183:AP183" si="130">((K$138-$I$4)/1000)*IF($C$14=0,$M$35,$M$52)*(($C$8/70)^$X$52)*IF($C$14=0,1,IF($C$14&lt;=K$139,$AH$52,IF(AND($C$14&gt;=K$139,$C$14&lt;=K$140),((($AI$52-$AH$52)/(K$140-K$139))*$C$14+($AH$52-(($AI$52-$AH$52)/(K$140-K$139))*K$139)),IF($C$14&gt;=K$140,$AI$52,1))))</f>
        <v>1008.4009649999999</v>
      </c>
      <c r="L183" s="937">
        <f t="shared" si="130"/>
        <v>1210.081158</v>
      </c>
      <c r="M183" s="937">
        <f t="shared" si="130"/>
        <v>1411.7613509999999</v>
      </c>
      <c r="N183" s="937">
        <f t="shared" si="130"/>
        <v>1613.4415439999998</v>
      </c>
      <c r="O183" s="937">
        <f t="shared" si="130"/>
        <v>1815.1217369999997</v>
      </c>
      <c r="P183" s="937">
        <f t="shared" si="130"/>
        <v>2016.8019299999999</v>
      </c>
      <c r="Q183" s="937">
        <f t="shared" si="130"/>
        <v>2218.4821229999998</v>
      </c>
      <c r="R183" s="937">
        <f t="shared" si="130"/>
        <v>2355.008656</v>
      </c>
      <c r="S183" s="937">
        <f t="shared" si="130"/>
        <v>2551.2593773333333</v>
      </c>
      <c r="T183" s="937">
        <f t="shared" si="130"/>
        <v>2747.5100986666666</v>
      </c>
      <c r="U183" s="937">
        <f t="shared" si="130"/>
        <v>2914.14552</v>
      </c>
      <c r="V183" s="1882">
        <f t="shared" si="130"/>
        <v>3108.4218879999999</v>
      </c>
      <c r="W183" s="1881">
        <f t="shared" si="130"/>
        <v>3302.6982559999992</v>
      </c>
      <c r="X183" s="937">
        <f t="shared" si="130"/>
        <v>3470.3208539999996</v>
      </c>
      <c r="Y183" s="937">
        <f t="shared" si="130"/>
        <v>3663.1164570000001</v>
      </c>
      <c r="Z183" s="937">
        <f t="shared" si="130"/>
        <v>3855.9120599999997</v>
      </c>
      <c r="AA183" s="937">
        <f t="shared" si="130"/>
        <v>4048.7076629999992</v>
      </c>
      <c r="AB183" s="937">
        <f t="shared" si="130"/>
        <v>4241.5032659999997</v>
      </c>
      <c r="AC183" s="937">
        <f t="shared" si="130"/>
        <v>4434.2988689999993</v>
      </c>
      <c r="AD183" s="937">
        <f t="shared" si="130"/>
        <v>4627.0944719999998</v>
      </c>
      <c r="AE183" s="937">
        <f t="shared" si="130"/>
        <v>4819.8900749999993</v>
      </c>
      <c r="AF183" s="1882">
        <f t="shared" si="130"/>
        <v>5012.6856779999998</v>
      </c>
      <c r="AG183" s="1883">
        <f t="shared" si="130"/>
        <v>5205.4812809999994</v>
      </c>
      <c r="AH183" s="937">
        <f t="shared" si="130"/>
        <v>5398.2768839999999</v>
      </c>
      <c r="AI183" s="937">
        <f t="shared" si="130"/>
        <v>5591.0724869999995</v>
      </c>
      <c r="AJ183" s="937">
        <f t="shared" si="130"/>
        <v>5783.8680899999999</v>
      </c>
      <c r="AK183" s="937">
        <f t="shared" si="130"/>
        <v>5976.6636929999995</v>
      </c>
      <c r="AL183" s="937">
        <f t="shared" si="130"/>
        <v>6169.4592959999991</v>
      </c>
      <c r="AM183" s="937">
        <f t="shared" si="130"/>
        <v>6362.2548989999996</v>
      </c>
      <c r="AN183" s="937">
        <f t="shared" si="130"/>
        <v>6555.0505019999991</v>
      </c>
      <c r="AO183" s="937">
        <f t="shared" si="130"/>
        <v>6747.8461049999996</v>
      </c>
      <c r="AP183" s="1882">
        <f t="shared" si="130"/>
        <v>6940.6417079999992</v>
      </c>
      <c r="AQ183" s="1881">
        <f t="shared" ref="AQ183:BG183" si="131">((AQ$138-$I$4)/1000)*IF($C$14=0,$M$35,$M$52)*(($C$8/70)^$X$52)*IF($C$14=0,1,IF($C$14&lt;=AQ$139,$AH$52,IF(AND($C$14&gt;=AQ$139,$C$14&lt;=AQ$140),((($AI$52-$AH$52)/(AQ$140-AQ$139))*$C$14+($AH$52-(($AI$52-$AH$52)/(AQ$140-AQ$139))*AQ$139)),IF($C$14&gt;=AQ$140,$AI$52,1))))</f>
        <v>7133.4373109999988</v>
      </c>
      <c r="AR183" s="937">
        <f t="shared" si="131"/>
        <v>7326.2329140000002</v>
      </c>
      <c r="AS183" s="937">
        <f t="shared" si="131"/>
        <v>7519.0285169999988</v>
      </c>
      <c r="AT183" s="937">
        <f t="shared" si="131"/>
        <v>7711.8241199999993</v>
      </c>
      <c r="AU183" s="937">
        <f t="shared" si="131"/>
        <v>7904.619722999998</v>
      </c>
      <c r="AV183" s="937">
        <f t="shared" si="131"/>
        <v>8097.4153259999985</v>
      </c>
      <c r="AW183" s="937">
        <f t="shared" si="131"/>
        <v>8290.2109289999989</v>
      </c>
      <c r="AX183" s="937">
        <f t="shared" si="131"/>
        <v>8483.0065319999994</v>
      </c>
      <c r="AY183" s="937">
        <f t="shared" si="131"/>
        <v>8675.8021349999999</v>
      </c>
      <c r="AZ183" s="1882">
        <f t="shared" si="131"/>
        <v>8868.5977379999986</v>
      </c>
      <c r="BA183" s="1884">
        <f t="shared" si="131"/>
        <v>9061.3933410000009</v>
      </c>
      <c r="BB183" s="1885">
        <f t="shared" si="131"/>
        <v>9254.1889439999995</v>
      </c>
      <c r="BC183" s="1885">
        <f t="shared" si="131"/>
        <v>9446.984547</v>
      </c>
      <c r="BD183" s="1885">
        <f t="shared" si="131"/>
        <v>9639.7801499999987</v>
      </c>
      <c r="BE183" s="1885">
        <f t="shared" si="131"/>
        <v>9832.5757529999973</v>
      </c>
      <c r="BF183" s="1885">
        <f t="shared" si="131"/>
        <v>10025.371356</v>
      </c>
      <c r="BG183" s="1882">
        <f t="shared" si="131"/>
        <v>10218.166958999998</v>
      </c>
      <c r="BH183" s="1984"/>
      <c r="BI183" s="1984"/>
      <c r="BK183" s="632" t="e">
        <f>#REF!/K183</f>
        <v>#REF!</v>
      </c>
      <c r="BL183" s="632" t="e">
        <f>#REF!/L183</f>
        <v>#REF!</v>
      </c>
      <c r="BM183" s="632" t="e">
        <f>#REF!/M183</f>
        <v>#REF!</v>
      </c>
      <c r="BN183" s="632" t="e">
        <f>#REF!/N183</f>
        <v>#REF!</v>
      </c>
      <c r="BO183" s="632" t="e">
        <f>#REF!/O183</f>
        <v>#REF!</v>
      </c>
      <c r="BP183" s="632" t="e">
        <f>#REF!/P183</f>
        <v>#REF!</v>
      </c>
      <c r="BQ183" s="632" t="e">
        <f>#REF!/Q183</f>
        <v>#REF!</v>
      </c>
      <c r="BR183" s="632" t="e">
        <f>#REF!/R183</f>
        <v>#REF!</v>
      </c>
      <c r="BS183" s="632" t="e">
        <f>#REF!/S183</f>
        <v>#REF!</v>
      </c>
      <c r="BT183" s="632" t="e">
        <f>#REF!/T183</f>
        <v>#REF!</v>
      </c>
      <c r="BU183" s="632" t="e">
        <f>#REF!/U183</f>
        <v>#REF!</v>
      </c>
      <c r="BV183" s="632" t="e">
        <f>#REF!/V183</f>
        <v>#REF!</v>
      </c>
      <c r="BW183" s="632" t="e">
        <f>#REF!/W183</f>
        <v>#REF!</v>
      </c>
      <c r="BX183" s="632" t="e">
        <f>#REF!/X183</f>
        <v>#REF!</v>
      </c>
      <c r="BY183" s="632" t="e">
        <f>#REF!/Y183</f>
        <v>#REF!</v>
      </c>
      <c r="BZ183" s="632" t="e">
        <f>#REF!/Z183</f>
        <v>#REF!</v>
      </c>
      <c r="CA183" s="632" t="e">
        <f>#REF!/AA183</f>
        <v>#REF!</v>
      </c>
      <c r="CB183" s="632" t="e">
        <f>#REF!/AB183</f>
        <v>#REF!</v>
      </c>
      <c r="CC183" s="632" t="e">
        <f>#REF!/AC183</f>
        <v>#REF!</v>
      </c>
      <c r="CD183" s="632" t="e">
        <f>#REF!/AD183</f>
        <v>#REF!</v>
      </c>
      <c r="CE183" s="632" t="e">
        <f>#REF!/AE183</f>
        <v>#REF!</v>
      </c>
      <c r="CF183" s="632" t="e">
        <f>#REF!/AF183</f>
        <v>#REF!</v>
      </c>
      <c r="CG183" s="632" t="e">
        <f>#REF!/AG183</f>
        <v>#REF!</v>
      </c>
      <c r="CH183" s="632" t="e">
        <f>#REF!/AH183</f>
        <v>#REF!</v>
      </c>
      <c r="CI183" s="632" t="e">
        <f>#REF!/AI183</f>
        <v>#REF!</v>
      </c>
      <c r="CJ183" s="632" t="e">
        <f>#REF!/AJ183</f>
        <v>#REF!</v>
      </c>
      <c r="CK183" s="632" t="e">
        <f>#REF!/AK183</f>
        <v>#REF!</v>
      </c>
      <c r="CL183" s="632" t="e">
        <f>#REF!/AL183</f>
        <v>#REF!</v>
      </c>
      <c r="CM183" s="632" t="e">
        <f>#REF!/AM183</f>
        <v>#REF!</v>
      </c>
      <c r="CN183" s="632" t="e">
        <f>#REF!/AN183</f>
        <v>#REF!</v>
      </c>
      <c r="CO183" s="632" t="e">
        <f>#REF!/AO183</f>
        <v>#REF!</v>
      </c>
      <c r="CP183" s="632" t="e">
        <f>#REF!/AP183</f>
        <v>#REF!</v>
      </c>
      <c r="CQ183" s="632" t="e">
        <f>#REF!/AQ183</f>
        <v>#REF!</v>
      </c>
      <c r="CR183" s="632" t="e">
        <f>#REF!/AR183</f>
        <v>#REF!</v>
      </c>
      <c r="CS183" s="632" t="e">
        <f>#REF!/AS183</f>
        <v>#REF!</v>
      </c>
      <c r="CT183" s="632" t="e">
        <f>#REF!/AT183</f>
        <v>#REF!</v>
      </c>
      <c r="CU183" s="632" t="e">
        <f>#REF!/AU183</f>
        <v>#REF!</v>
      </c>
      <c r="CV183" s="632" t="e">
        <f>#REF!/AV183</f>
        <v>#REF!</v>
      </c>
      <c r="CW183" s="632" t="e">
        <f>#REF!/AW183</f>
        <v>#REF!</v>
      </c>
      <c r="CX183" s="632" t="e">
        <f>#REF!/AX183</f>
        <v>#REF!</v>
      </c>
      <c r="CY183" s="632" t="e">
        <f>#REF!/AY183</f>
        <v>#REF!</v>
      </c>
      <c r="CZ183" s="632" t="e">
        <f>#REF!/AZ183</f>
        <v>#REF!</v>
      </c>
      <c r="DA183" s="632" t="e">
        <f>#REF!/BA183</f>
        <v>#REF!</v>
      </c>
      <c r="DB183" s="632" t="e">
        <f>#REF!/BB183</f>
        <v>#REF!</v>
      </c>
      <c r="DC183" s="632" t="e">
        <f>#REF!/BC183</f>
        <v>#REF!</v>
      </c>
      <c r="DD183" s="632" t="e">
        <f>#REF!/BD183</f>
        <v>#REF!</v>
      </c>
      <c r="DE183" s="632" t="e">
        <f>#REF!/BE183</f>
        <v>#REF!</v>
      </c>
      <c r="DF183" s="632" t="e">
        <f>#REF!/BF183</f>
        <v>#REF!</v>
      </c>
      <c r="DG183" s="632" t="e">
        <f>#REF!/BG183</f>
        <v>#REF!</v>
      </c>
    </row>
    <row r="184" spans="1:111">
      <c r="A184" s="2506"/>
      <c r="B184" s="2330" t="s">
        <v>288</v>
      </c>
      <c r="C184" s="2330"/>
      <c r="D184" s="2471"/>
      <c r="E184" s="1879" t="s">
        <v>226</v>
      </c>
      <c r="F184" s="1879">
        <v>150</v>
      </c>
      <c r="G184" s="1879">
        <v>260</v>
      </c>
      <c r="H184" s="1879">
        <v>4</v>
      </c>
      <c r="I184" s="1286"/>
      <c r="J184" s="1880"/>
      <c r="K184" s="1881">
        <f t="shared" ref="K184:AP184" si="132">((K$138-$I$4)/1000)*IF($C$14=0,$N$35,$N$52)*(($C$8/70)^$Y$52)*IF($C$14=0,1,IF($C$14&lt;=K$139,$AH$52,IF(AND($C$14&gt;=K$139,$C$14&lt;=K$140),((($AI$52-$AH$52)/(K$140-K$139))*$C$14+($AH$52-(($AI$52-$AH$52)/(K$140-K$139))*K$139)),IF($C$14&gt;=K$140,$AI$52,1))))</f>
        <v>1061.4747</v>
      </c>
      <c r="L184" s="937">
        <f t="shared" si="132"/>
        <v>1273.76964</v>
      </c>
      <c r="M184" s="937">
        <f t="shared" si="132"/>
        <v>1486.0645799999998</v>
      </c>
      <c r="N184" s="937">
        <f t="shared" si="132"/>
        <v>1698.3595200000002</v>
      </c>
      <c r="O184" s="937">
        <f t="shared" si="132"/>
        <v>1910.65446</v>
      </c>
      <c r="P184" s="937">
        <f t="shared" si="132"/>
        <v>2122.9494</v>
      </c>
      <c r="Q184" s="937">
        <f t="shared" si="132"/>
        <v>2335.2443400000002</v>
      </c>
      <c r="R184" s="937">
        <f t="shared" si="132"/>
        <v>2478.9564800000003</v>
      </c>
      <c r="S184" s="937">
        <f t="shared" si="132"/>
        <v>2685.5361866666672</v>
      </c>
      <c r="T184" s="937">
        <f t="shared" si="132"/>
        <v>2892.1158933333331</v>
      </c>
      <c r="U184" s="937">
        <f t="shared" si="132"/>
        <v>3067.5216</v>
      </c>
      <c r="V184" s="1882">
        <f t="shared" si="132"/>
        <v>3272.02304</v>
      </c>
      <c r="W184" s="1881">
        <f t="shared" si="132"/>
        <v>3476.52448</v>
      </c>
      <c r="X184" s="937">
        <f t="shared" si="132"/>
        <v>3652.9693200000002</v>
      </c>
      <c r="Y184" s="937">
        <f t="shared" si="132"/>
        <v>3855.9120599999997</v>
      </c>
      <c r="Z184" s="937">
        <f t="shared" si="132"/>
        <v>4058.8548000000001</v>
      </c>
      <c r="AA184" s="937">
        <f t="shared" si="132"/>
        <v>4261.7975400000005</v>
      </c>
      <c r="AB184" s="937">
        <f t="shared" si="132"/>
        <v>4464.74028</v>
      </c>
      <c r="AC184" s="937">
        <f t="shared" si="132"/>
        <v>4667.6830199999995</v>
      </c>
      <c r="AD184" s="937">
        <f t="shared" si="132"/>
        <v>4870.6257599999999</v>
      </c>
      <c r="AE184" s="937">
        <f t="shared" si="132"/>
        <v>5073.5685000000003</v>
      </c>
      <c r="AF184" s="1882">
        <f t="shared" si="132"/>
        <v>5276.5112400000007</v>
      </c>
      <c r="AG184" s="1883">
        <f t="shared" si="132"/>
        <v>5479.4539800000011</v>
      </c>
      <c r="AH184" s="937">
        <f t="shared" si="132"/>
        <v>5682.3967199999997</v>
      </c>
      <c r="AI184" s="937">
        <f t="shared" si="132"/>
        <v>5885.3394600000001</v>
      </c>
      <c r="AJ184" s="937">
        <f t="shared" si="132"/>
        <v>6088.2822000000006</v>
      </c>
      <c r="AK184" s="937">
        <f t="shared" si="132"/>
        <v>6291.2249400000001</v>
      </c>
      <c r="AL184" s="937">
        <f t="shared" si="132"/>
        <v>6494.1676800000005</v>
      </c>
      <c r="AM184" s="937">
        <f t="shared" si="132"/>
        <v>6697.1104199999991</v>
      </c>
      <c r="AN184" s="937">
        <f t="shared" si="132"/>
        <v>6900.0531599999995</v>
      </c>
      <c r="AO184" s="937">
        <f t="shared" si="132"/>
        <v>7102.9958999999999</v>
      </c>
      <c r="AP184" s="1882">
        <f t="shared" si="132"/>
        <v>7305.9386400000003</v>
      </c>
      <c r="AQ184" s="1881">
        <f t="shared" ref="AQ184:BG184" si="133">((AQ$138-$I$4)/1000)*IF($C$14=0,$N$35,$N$52)*(($C$8/70)^$Y$52)*IF($C$14=0,1,IF($C$14&lt;=AQ$139,$AH$52,IF(AND($C$14&gt;=AQ$139,$C$14&lt;=AQ$140),((($AI$52-$AH$52)/(AQ$140-AQ$139))*$C$14+($AH$52-(($AI$52-$AH$52)/(AQ$140-AQ$139))*AQ$139)),IF($C$14&gt;=AQ$140,$AI$52,1))))</f>
        <v>7508.8813800000007</v>
      </c>
      <c r="AR184" s="937">
        <f t="shared" si="133"/>
        <v>7711.8241199999993</v>
      </c>
      <c r="AS184" s="937">
        <f t="shared" si="133"/>
        <v>7914.7668599999997</v>
      </c>
      <c r="AT184" s="937">
        <f t="shared" si="133"/>
        <v>8117.7096000000001</v>
      </c>
      <c r="AU184" s="937">
        <f t="shared" si="133"/>
        <v>8320.6523399999987</v>
      </c>
      <c r="AV184" s="937">
        <f t="shared" si="133"/>
        <v>8523.595080000001</v>
      </c>
      <c r="AW184" s="937">
        <f t="shared" si="133"/>
        <v>8726.5378199999996</v>
      </c>
      <c r="AX184" s="937">
        <f t="shared" si="133"/>
        <v>8929.48056</v>
      </c>
      <c r="AY184" s="937">
        <f t="shared" si="133"/>
        <v>9132.4233000000004</v>
      </c>
      <c r="AZ184" s="1882">
        <f t="shared" si="133"/>
        <v>9335.366039999999</v>
      </c>
      <c r="BA184" s="1884">
        <f t="shared" si="133"/>
        <v>9538.3087799999994</v>
      </c>
      <c r="BB184" s="1885">
        <f t="shared" si="133"/>
        <v>9741.2515199999998</v>
      </c>
      <c r="BC184" s="1885">
        <f t="shared" si="133"/>
        <v>9944.1942600000002</v>
      </c>
      <c r="BD184" s="1885">
        <f t="shared" si="133"/>
        <v>10147.137000000001</v>
      </c>
      <c r="BE184" s="1885">
        <f t="shared" si="133"/>
        <v>10350.079740000001</v>
      </c>
      <c r="BF184" s="1885">
        <f t="shared" si="133"/>
        <v>10553.022480000001</v>
      </c>
      <c r="BG184" s="1882">
        <f t="shared" si="133"/>
        <v>10755.96522</v>
      </c>
      <c r="BH184" s="1984"/>
      <c r="BI184" s="1984"/>
      <c r="BK184" s="632">
        <f t="shared" ref="BK184:DG184" si="134">I247/K184</f>
        <v>0.52305597486214217</v>
      </c>
      <c r="BL184" s="632">
        <f t="shared" si="134"/>
        <v>0.58117330540238021</v>
      </c>
      <c r="BM184" s="632">
        <f t="shared" si="134"/>
        <v>0.62268568435969318</v>
      </c>
      <c r="BN184" s="632">
        <f t="shared" si="134"/>
        <v>0.65381996857767766</v>
      </c>
      <c r="BO184" s="632">
        <f t="shared" si="134"/>
        <v>0.67803552296944347</v>
      </c>
      <c r="BP184" s="632">
        <f t="shared" si="134"/>
        <v>0.6974079664828563</v>
      </c>
      <c r="BQ184" s="632">
        <f t="shared" si="134"/>
        <v>0.71325814753928474</v>
      </c>
      <c r="BR184" s="632">
        <f t="shared" si="134"/>
        <v>0.74656505466364598</v>
      </c>
      <c r="BS184" s="632">
        <f t="shared" si="134"/>
        <v>0.7580506708892405</v>
      </c>
      <c r="BT184" s="632">
        <f t="shared" si="134"/>
        <v>0.76789548479689318</v>
      </c>
      <c r="BU184" s="632">
        <f t="shared" si="134"/>
        <v>0.78431818181818169</v>
      </c>
      <c r="BV184" s="632">
        <f t="shared" si="134"/>
        <v>0.79185970279720252</v>
      </c>
      <c r="BW184" s="632">
        <f t="shared" si="134"/>
        <v>0.79851398601398593</v>
      </c>
      <c r="BX184" s="632">
        <f t="shared" si="134"/>
        <v>0.81060731383312024</v>
      </c>
      <c r="BY184" s="632">
        <f t="shared" si="134"/>
        <v>0.81594025668728543</v>
      </c>
      <c r="BZ184" s="632">
        <f t="shared" si="134"/>
        <v>0.82073990525603413</v>
      </c>
      <c r="CA184" s="632">
        <f t="shared" si="134"/>
        <v>0.82508244443728285</v>
      </c>
      <c r="CB184" s="632">
        <f t="shared" si="134"/>
        <v>0.82903020732932742</v>
      </c>
      <c r="CC184" s="632">
        <f t="shared" si="134"/>
        <v>0.83263468649162897</v>
      </c>
      <c r="CD184" s="632">
        <f t="shared" si="134"/>
        <v>0.83593879239040525</v>
      </c>
      <c r="CE184" s="632">
        <f t="shared" si="134"/>
        <v>0.83897856981727936</v>
      </c>
      <c r="CF184" s="632">
        <f t="shared" si="134"/>
        <v>0.84178451821131695</v>
      </c>
      <c r="CG184" s="632">
        <f t="shared" si="134"/>
        <v>0.84438261857616659</v>
      </c>
      <c r="CH184" s="632">
        <f t="shared" si="134"/>
        <v>0.84679514034352732</v>
      </c>
      <c r="CI184" s="632">
        <f t="shared" si="134"/>
        <v>0.84904128129934564</v>
      </c>
      <c r="CJ184" s="632">
        <f t="shared" si="134"/>
        <v>0.85113767952477593</v>
      </c>
      <c r="CK184" s="632">
        <f t="shared" si="134"/>
        <v>0.85309882625179179</v>
      </c>
      <c r="CL184" s="632">
        <f t="shared" si="134"/>
        <v>0.85493740130836893</v>
      </c>
      <c r="CM184" s="632">
        <f t="shared" si="134"/>
        <v>0.85666454757363841</v>
      </c>
      <c r="CN184" s="632">
        <f t="shared" si="134"/>
        <v>0.85829009699977443</v>
      </c>
      <c r="CO184" s="632">
        <f t="shared" si="134"/>
        <v>0.85982275788727391</v>
      </c>
      <c r="CP184" s="632">
        <f t="shared" si="134"/>
        <v>0.86127027094769004</v>
      </c>
      <c r="CQ184" s="632">
        <f t="shared" si="134"/>
        <v>0.86263954005889476</v>
      </c>
      <c r="CR184" s="632">
        <f t="shared" si="134"/>
        <v>0.8639367423747728</v>
      </c>
      <c r="CS184" s="632">
        <f t="shared" si="134"/>
        <v>0.86516742149496484</v>
      </c>
      <c r="CT184" s="632">
        <f t="shared" si="134"/>
        <v>0.86633656665914704</v>
      </c>
      <c r="CU184" s="632">
        <f t="shared" si="134"/>
        <v>0.86744868035190614</v>
      </c>
      <c r="CV184" s="632">
        <f t="shared" si="134"/>
        <v>0.86850783624977157</v>
      </c>
      <c r="CW184" s="632">
        <f t="shared" si="134"/>
        <v>0.86951772908262004</v>
      </c>
      <c r="CX184" s="632">
        <f t="shared" si="134"/>
        <v>0.87048171769579386</v>
      </c>
      <c r="CY184" s="632">
        <f t="shared" si="134"/>
        <v>0.87140286237060416</v>
      </c>
      <c r="CZ184" s="632">
        <f t="shared" si="134"/>
        <v>0.87228395727694463</v>
      </c>
      <c r="DA184" s="632">
        <f t="shared" si="134"/>
        <v>0.87312755878301518</v>
      </c>
      <c r="DB184" s="632">
        <f t="shared" si="134"/>
        <v>0.87393601022633272</v>
      </c>
      <c r="DC184" s="632">
        <f t="shared" si="134"/>
        <v>0.87471146365155561</v>
      </c>
      <c r="DD184" s="632">
        <f t="shared" si="134"/>
        <v>0.87545589893976972</v>
      </c>
      <c r="DE184" s="632">
        <f t="shared" si="134"/>
        <v>0.87617114068726953</v>
      </c>
      <c r="DF184" s="632">
        <f t="shared" si="134"/>
        <v>0.87685887313678845</v>
      </c>
      <c r="DG184" s="632">
        <f t="shared" si="134"/>
        <v>0.87752065341840124</v>
      </c>
    </row>
    <row r="185" spans="1:111">
      <c r="A185" s="2506"/>
      <c r="B185" s="2330" t="s">
        <v>289</v>
      </c>
      <c r="C185" s="2330"/>
      <c r="D185" s="2471"/>
      <c r="E185" s="1879" t="s">
        <v>226</v>
      </c>
      <c r="F185" s="1879">
        <v>150</v>
      </c>
      <c r="G185" s="1879">
        <v>300</v>
      </c>
      <c r="H185" s="1879">
        <v>6</v>
      </c>
      <c r="I185" s="1286"/>
      <c r="J185" s="1880"/>
      <c r="K185" s="1881">
        <f t="shared" ref="K185:AP185" si="135">((K$138-$I$4)/1000)*IF($C$14=0,$O$35,($O$52*1.1))*(($C$8/70)^$Z$52)*IF($C$14=0,1,IF($C$14&lt;=K$139,$AH$52,IF(AND($C$14&gt;=K$139,$C$14&lt;=K$140),((($AI$52-$AH$52)/(K$140-K$139))*$C$14+($AH$52-(($AI$52-$AH$52)/(K$140-K$139))*K$139)),IF($C$14&gt;=K$140,$AI$52,1))))</f>
        <v>1258.6905780428576</v>
      </c>
      <c r="L185" s="937">
        <f t="shared" si="135"/>
        <v>1510.4286936514291</v>
      </c>
      <c r="M185" s="937">
        <f t="shared" si="135"/>
        <v>1762.1668092600005</v>
      </c>
      <c r="N185" s="937">
        <f t="shared" si="135"/>
        <v>2013.9049248685719</v>
      </c>
      <c r="O185" s="937">
        <f t="shared" si="135"/>
        <v>2265.6430404771436</v>
      </c>
      <c r="P185" s="937">
        <f t="shared" si="135"/>
        <v>2517.3811560857152</v>
      </c>
      <c r="Q185" s="937">
        <f t="shared" si="135"/>
        <v>2769.1192716942865</v>
      </c>
      <c r="R185" s="937">
        <f t="shared" si="135"/>
        <v>2939.5322985600014</v>
      </c>
      <c r="S185" s="937">
        <f t="shared" si="135"/>
        <v>3184.4933234400014</v>
      </c>
      <c r="T185" s="937">
        <f t="shared" si="135"/>
        <v>3429.4543483200009</v>
      </c>
      <c r="U185" s="937">
        <f t="shared" si="135"/>
        <v>3637.4494237714298</v>
      </c>
      <c r="V185" s="1882">
        <f t="shared" si="135"/>
        <v>3879.9460520228581</v>
      </c>
      <c r="W185" s="1881">
        <f t="shared" si="135"/>
        <v>4122.4426802742873</v>
      </c>
      <c r="X185" s="937">
        <f t="shared" si="135"/>
        <v>4331.6699540400014</v>
      </c>
      <c r="Y185" s="937">
        <f t="shared" si="135"/>
        <v>4572.3182848200013</v>
      </c>
      <c r="Z185" s="937">
        <f t="shared" si="135"/>
        <v>4812.9666156000012</v>
      </c>
      <c r="AA185" s="937">
        <f t="shared" si="135"/>
        <v>5053.614946380002</v>
      </c>
      <c r="AB185" s="937">
        <f t="shared" si="135"/>
        <v>5294.263277160002</v>
      </c>
      <c r="AC185" s="937">
        <f t="shared" si="135"/>
        <v>5534.9116079400019</v>
      </c>
      <c r="AD185" s="937">
        <f t="shared" si="135"/>
        <v>5775.5599387200018</v>
      </c>
      <c r="AE185" s="937">
        <f t="shared" si="135"/>
        <v>6016.2082695000017</v>
      </c>
      <c r="AF185" s="1882">
        <f t="shared" si="135"/>
        <v>6256.8566002800026</v>
      </c>
      <c r="AG185" s="1883">
        <f t="shared" si="135"/>
        <v>6497.5049310600025</v>
      </c>
      <c r="AH185" s="937">
        <f t="shared" si="135"/>
        <v>6738.1532618400015</v>
      </c>
      <c r="AI185" s="937">
        <f t="shared" si="135"/>
        <v>6978.8015926200023</v>
      </c>
      <c r="AJ185" s="937">
        <f t="shared" si="135"/>
        <v>7219.4499234000032</v>
      </c>
      <c r="AK185" s="937">
        <f t="shared" si="135"/>
        <v>7460.0982541800031</v>
      </c>
      <c r="AL185" s="937">
        <f t="shared" si="135"/>
        <v>7700.7465849600021</v>
      </c>
      <c r="AM185" s="937">
        <f t="shared" si="135"/>
        <v>7941.3949157400029</v>
      </c>
      <c r="AN185" s="937">
        <f t="shared" si="135"/>
        <v>8182.0432465200029</v>
      </c>
      <c r="AO185" s="937">
        <f t="shared" si="135"/>
        <v>8422.6915773000019</v>
      </c>
      <c r="AP185" s="1882">
        <f t="shared" si="135"/>
        <v>8663.3399080800027</v>
      </c>
      <c r="AQ185" s="1881">
        <f t="shared" ref="AQ185:BG185" si="136">((AQ$138-$I$4)/1000)*IF($C$14=0,$O$35,($O$52*1.1))*(($C$8/70)^$Z$52)*IF($C$14=0,1,IF($C$14&lt;=AQ$139,$AH$52,IF(AND($C$14&gt;=AQ$139,$C$14&lt;=AQ$140),((($AI$52-$AH$52)/(AQ$140-AQ$139))*$C$14+($AH$52-(($AI$52-$AH$52)/(AQ$140-AQ$139))*AQ$139)),IF($C$14&gt;=AQ$140,$AI$52,1))))</f>
        <v>8903.9882388600035</v>
      </c>
      <c r="AR185" s="937">
        <f t="shared" si="136"/>
        <v>9144.6365696400026</v>
      </c>
      <c r="AS185" s="937">
        <f t="shared" si="136"/>
        <v>9385.2849004200034</v>
      </c>
      <c r="AT185" s="937">
        <f t="shared" si="136"/>
        <v>9625.9332312000024</v>
      </c>
      <c r="AU185" s="937">
        <f t="shared" si="136"/>
        <v>9866.5815619800014</v>
      </c>
      <c r="AV185" s="937">
        <f t="shared" si="136"/>
        <v>10107.229892760004</v>
      </c>
      <c r="AW185" s="937">
        <f t="shared" si="136"/>
        <v>10347.878223540003</v>
      </c>
      <c r="AX185" s="937">
        <f t="shared" si="136"/>
        <v>10588.526554320004</v>
      </c>
      <c r="AY185" s="937">
        <f t="shared" si="136"/>
        <v>10829.174885100005</v>
      </c>
      <c r="AZ185" s="1882">
        <f t="shared" si="136"/>
        <v>11069.823215880004</v>
      </c>
      <c r="BA185" s="1884">
        <f t="shared" si="136"/>
        <v>11310.471546660003</v>
      </c>
      <c r="BB185" s="1885">
        <f t="shared" si="136"/>
        <v>11551.119877440004</v>
      </c>
      <c r="BC185" s="1885">
        <f t="shared" si="136"/>
        <v>11791.768208220004</v>
      </c>
      <c r="BD185" s="1885">
        <f t="shared" si="136"/>
        <v>12032.416539000003</v>
      </c>
      <c r="BE185" s="1885">
        <f t="shared" si="136"/>
        <v>12273.064869780002</v>
      </c>
      <c r="BF185" s="1885">
        <f t="shared" si="136"/>
        <v>12513.713200560005</v>
      </c>
      <c r="BG185" s="1882">
        <f t="shared" si="136"/>
        <v>12754.361531340004</v>
      </c>
      <c r="BH185" s="1883">
        <f t="shared" ref="BH185:CM185" si="137">((BH$138-$I$4)/1000)*IF($C$13=0,$P$35,($P$52*1.1))*(($C$8/70)^$AA$52)*IF($C$13=1,$AH$55,IF($C$13=2,$AI$55,IF($C$13=3,$AJ$55,1)))</f>
        <v>-2407.5975924000008</v>
      </c>
      <c r="BI185" s="937">
        <f t="shared" si="137"/>
        <v>-2407.5975924000008</v>
      </c>
      <c r="BJ185" s="937">
        <f t="shared" si="137"/>
        <v>-2407.5975924000008</v>
      </c>
      <c r="BK185" s="937">
        <f t="shared" si="137"/>
        <v>1031.8275396000004</v>
      </c>
      <c r="BL185" s="937">
        <f t="shared" si="137"/>
        <v>1375.7700528000005</v>
      </c>
      <c r="BM185" s="937">
        <f t="shared" si="137"/>
        <v>1719.7125660000006</v>
      </c>
      <c r="BN185" s="937">
        <f t="shared" si="137"/>
        <v>2063.6550792000007</v>
      </c>
      <c r="BO185" s="937">
        <f t="shared" si="137"/>
        <v>2407.5975924000008</v>
      </c>
      <c r="BP185" s="937">
        <f t="shared" si="137"/>
        <v>2751.540105600001</v>
      </c>
      <c r="BQ185" s="937">
        <f t="shared" si="137"/>
        <v>3095.4826188000006</v>
      </c>
      <c r="BR185" s="937">
        <f t="shared" si="137"/>
        <v>3439.4251320000012</v>
      </c>
      <c r="BS185" s="937">
        <f t="shared" si="137"/>
        <v>3783.3676452000013</v>
      </c>
      <c r="BT185" s="937">
        <f t="shared" si="137"/>
        <v>4127.3101584000015</v>
      </c>
      <c r="BU185" s="937">
        <f t="shared" si="137"/>
        <v>4471.2526716000011</v>
      </c>
      <c r="BV185" s="937">
        <f t="shared" si="137"/>
        <v>4815.1951848000017</v>
      </c>
      <c r="BW185" s="937">
        <f t="shared" si="137"/>
        <v>5159.1376980000014</v>
      </c>
      <c r="BX185" s="937">
        <f t="shared" si="137"/>
        <v>5503.0802112000019</v>
      </c>
      <c r="BY185" s="937">
        <f t="shared" si="137"/>
        <v>5847.0227244000016</v>
      </c>
      <c r="BZ185" s="937">
        <f t="shared" si="137"/>
        <v>6190.9652376000013</v>
      </c>
      <c r="CA185" s="937">
        <f t="shared" si="137"/>
        <v>6534.9077508000018</v>
      </c>
      <c r="CB185" s="937">
        <f t="shared" si="137"/>
        <v>6878.8502640000024</v>
      </c>
      <c r="CC185" s="937">
        <f t="shared" si="137"/>
        <v>7222.7927772000021</v>
      </c>
      <c r="CD185" s="937">
        <f t="shared" si="137"/>
        <v>7566.7352904000027</v>
      </c>
      <c r="CE185" s="937">
        <f t="shared" si="137"/>
        <v>7910.6778036000014</v>
      </c>
      <c r="CF185" s="937">
        <f t="shared" si="137"/>
        <v>8254.6203168000029</v>
      </c>
      <c r="CG185" s="937">
        <f t="shared" si="137"/>
        <v>8598.5628300000026</v>
      </c>
      <c r="CH185" s="937">
        <f t="shared" si="137"/>
        <v>8942.5053432000022</v>
      </c>
      <c r="CI185" s="937">
        <f t="shared" si="137"/>
        <v>9286.4478564000037</v>
      </c>
      <c r="CJ185" s="937">
        <f t="shared" si="137"/>
        <v>9630.3903696000034</v>
      </c>
      <c r="CK185" s="937">
        <f t="shared" si="137"/>
        <v>9974.3328828000031</v>
      </c>
      <c r="CL185" s="937">
        <f t="shared" si="137"/>
        <v>10318.275396000003</v>
      </c>
      <c r="CM185" s="937">
        <f t="shared" si="137"/>
        <v>10662.217909200004</v>
      </c>
      <c r="CN185" s="937">
        <f t="shared" ref="CN185:DG185" si="138">((CN$138-$I$4)/1000)*IF($C$13=0,$P$35,($P$52*1.1))*(($C$8/70)^$AA$52)*IF($C$13=1,$AH$55,IF($C$13=2,$AI$55,IF($C$13=3,$AJ$55,1)))</f>
        <v>11006.160422400004</v>
      </c>
      <c r="CO185" s="937">
        <f t="shared" si="138"/>
        <v>11350.102935600002</v>
      </c>
      <c r="CP185" s="937">
        <f t="shared" si="138"/>
        <v>11694.045448800003</v>
      </c>
      <c r="CQ185" s="937">
        <f t="shared" si="138"/>
        <v>12037.987962000003</v>
      </c>
      <c r="CR185" s="937">
        <f t="shared" si="138"/>
        <v>12381.930475200003</v>
      </c>
      <c r="CS185" s="937">
        <f t="shared" si="138"/>
        <v>12725.872988400006</v>
      </c>
      <c r="CT185" s="937">
        <f t="shared" si="138"/>
        <v>13069.815501600004</v>
      </c>
      <c r="CU185" s="937">
        <f t="shared" si="138"/>
        <v>13413.758014800003</v>
      </c>
      <c r="CV185" s="937">
        <f t="shared" si="138"/>
        <v>13757.700528000005</v>
      </c>
      <c r="CW185" s="937">
        <f t="shared" si="138"/>
        <v>14101.643041200003</v>
      </c>
      <c r="CX185" s="937">
        <f t="shared" si="138"/>
        <v>14445.585554400004</v>
      </c>
      <c r="CY185" s="937">
        <f t="shared" si="138"/>
        <v>14789.528067600002</v>
      </c>
      <c r="CZ185" s="937">
        <f t="shared" si="138"/>
        <v>15133.470580800005</v>
      </c>
      <c r="DA185" s="937">
        <f t="shared" si="138"/>
        <v>15477.413094000005</v>
      </c>
      <c r="DB185" s="937">
        <f t="shared" si="138"/>
        <v>15821.355607200003</v>
      </c>
      <c r="DC185" s="937">
        <f t="shared" si="138"/>
        <v>16165.298120400006</v>
      </c>
      <c r="DD185" s="937">
        <f t="shared" si="138"/>
        <v>16509.240633600006</v>
      </c>
      <c r="DE185" s="937">
        <f t="shared" si="138"/>
        <v>16853.183146800005</v>
      </c>
      <c r="DF185" s="937">
        <f t="shared" si="138"/>
        <v>17197.125660000005</v>
      </c>
      <c r="DG185" s="937">
        <f t="shared" si="138"/>
        <v>17541.068173200005</v>
      </c>
    </row>
    <row r="186" spans="1:111">
      <c r="A186" s="2506"/>
      <c r="B186" s="2330" t="s">
        <v>291</v>
      </c>
      <c r="C186" s="2330"/>
      <c r="D186" s="2471"/>
      <c r="E186" s="1879" t="s">
        <v>226</v>
      </c>
      <c r="F186" s="1879">
        <v>150</v>
      </c>
      <c r="G186" s="1879">
        <v>300</v>
      </c>
      <c r="H186" s="1879">
        <v>8</v>
      </c>
      <c r="I186" s="1286"/>
      <c r="J186" s="1880"/>
      <c r="K186" s="1881">
        <f t="shared" ref="K186:AP186" si="139">((K$138-$I$4)/1000)*IF($C$14=0,$P$35,($P$52*1.1))*(($C$8/70)^$AA$52)*IF($C$14=0,1,IF($C$14&lt;=K$139,$AH$52,IF(AND($C$14&gt;=K$139,$C$14&lt;=K$140),((($AI$52-$AH$52)/(K$140-K$139))*$C$14+($AH$52-(($AI$52-$AH$52)/(K$140-K$139))*K$139)),IF($C$14&gt;=K$140,$AI$52,1))))</f>
        <v>1324.9374505714291</v>
      </c>
      <c r="L186" s="937">
        <f t="shared" si="139"/>
        <v>1589.9249406857148</v>
      </c>
      <c r="M186" s="937">
        <f t="shared" si="139"/>
        <v>1854.9124308000007</v>
      </c>
      <c r="N186" s="937">
        <f t="shared" si="139"/>
        <v>2119.8999209142867</v>
      </c>
      <c r="O186" s="937">
        <f t="shared" si="139"/>
        <v>2384.8874110285719</v>
      </c>
      <c r="P186" s="937">
        <f t="shared" si="139"/>
        <v>2649.8749011428581</v>
      </c>
      <c r="Q186" s="937">
        <f t="shared" si="139"/>
        <v>2914.8623912571438</v>
      </c>
      <c r="R186" s="937">
        <f t="shared" si="139"/>
        <v>3094.2445248000013</v>
      </c>
      <c r="S186" s="937">
        <f t="shared" si="139"/>
        <v>3352.0982352000015</v>
      </c>
      <c r="T186" s="937">
        <f t="shared" si="139"/>
        <v>3609.9519456000016</v>
      </c>
      <c r="U186" s="937">
        <f t="shared" si="139"/>
        <v>3828.8941302857156</v>
      </c>
      <c r="V186" s="1882">
        <f t="shared" si="139"/>
        <v>4084.1537389714304</v>
      </c>
      <c r="W186" s="1881">
        <f t="shared" si="139"/>
        <v>4339.4133476571442</v>
      </c>
      <c r="X186" s="937">
        <f t="shared" si="139"/>
        <v>4559.6525832000016</v>
      </c>
      <c r="Y186" s="937">
        <f t="shared" si="139"/>
        <v>4812.9666156000012</v>
      </c>
      <c r="Z186" s="937">
        <f t="shared" si="139"/>
        <v>5066.2806480000017</v>
      </c>
      <c r="AA186" s="937">
        <f t="shared" si="139"/>
        <v>5319.5946804000023</v>
      </c>
      <c r="AB186" s="937">
        <f t="shared" si="139"/>
        <v>5572.9087128000019</v>
      </c>
      <c r="AC186" s="937">
        <f t="shared" si="139"/>
        <v>5826.2227452000016</v>
      </c>
      <c r="AD186" s="937">
        <f t="shared" si="139"/>
        <v>6079.5367776000021</v>
      </c>
      <c r="AE186" s="937">
        <f t="shared" si="139"/>
        <v>6332.8508100000017</v>
      </c>
      <c r="AF186" s="1882">
        <f t="shared" si="139"/>
        <v>6586.1648424000023</v>
      </c>
      <c r="AG186" s="1883">
        <f t="shared" si="139"/>
        <v>6839.4788748000028</v>
      </c>
      <c r="AH186" s="937">
        <f t="shared" si="139"/>
        <v>7092.7929072000024</v>
      </c>
      <c r="AI186" s="937">
        <f t="shared" si="139"/>
        <v>7346.106939600003</v>
      </c>
      <c r="AJ186" s="937">
        <f t="shared" si="139"/>
        <v>7599.4209720000035</v>
      </c>
      <c r="AK186" s="937">
        <f t="shared" si="139"/>
        <v>7852.7350044000032</v>
      </c>
      <c r="AL186" s="937">
        <f t="shared" si="139"/>
        <v>8106.0490368000037</v>
      </c>
      <c r="AM186" s="937">
        <f t="shared" si="139"/>
        <v>8359.3630692000024</v>
      </c>
      <c r="AN186" s="937">
        <f t="shared" si="139"/>
        <v>8612.6771016000021</v>
      </c>
      <c r="AO186" s="937">
        <f t="shared" si="139"/>
        <v>8865.9911340000017</v>
      </c>
      <c r="AP186" s="1882">
        <f t="shared" si="139"/>
        <v>9119.3051664000031</v>
      </c>
      <c r="AQ186" s="1881">
        <f t="shared" ref="AQ186:BG186" si="140">((AQ$138-$I$4)/1000)*IF($C$14=0,$P$35,($P$52*1.1))*(($C$8/70)^$AA$52)*IF($C$14=0,1,IF($C$14&lt;=AQ$139,$AH$52,IF(AND($C$14&gt;=AQ$139,$C$14&lt;=AQ$140),((($AI$52-$AH$52)/(AQ$140-AQ$139))*$C$14+($AH$52-(($AI$52-$AH$52)/(AQ$140-AQ$139))*AQ$139)),IF($C$14&gt;=AQ$140,$AI$52,1))))</f>
        <v>9372.6191988000046</v>
      </c>
      <c r="AR186" s="937">
        <f t="shared" si="140"/>
        <v>9625.9332312000024</v>
      </c>
      <c r="AS186" s="937">
        <f t="shared" si="140"/>
        <v>9879.2472636000039</v>
      </c>
      <c r="AT186" s="937">
        <f t="shared" si="140"/>
        <v>10132.561296000003</v>
      </c>
      <c r="AU186" s="937">
        <f t="shared" si="140"/>
        <v>10385.875328400003</v>
      </c>
      <c r="AV186" s="937">
        <f t="shared" si="140"/>
        <v>10639.189360800005</v>
      </c>
      <c r="AW186" s="937">
        <f t="shared" si="140"/>
        <v>10892.503393200002</v>
      </c>
      <c r="AX186" s="937">
        <f t="shared" si="140"/>
        <v>11145.817425600004</v>
      </c>
      <c r="AY186" s="937">
        <f t="shared" si="140"/>
        <v>11399.131458000005</v>
      </c>
      <c r="AZ186" s="1882">
        <f t="shared" si="140"/>
        <v>11652.445490400003</v>
      </c>
      <c r="BA186" s="1884">
        <f t="shared" si="140"/>
        <v>11905.759522800005</v>
      </c>
      <c r="BB186" s="1885">
        <f t="shared" si="140"/>
        <v>12159.073555200004</v>
      </c>
      <c r="BC186" s="1885">
        <f t="shared" si="140"/>
        <v>12412.387587600006</v>
      </c>
      <c r="BD186" s="1885">
        <f t="shared" si="140"/>
        <v>12665.701620000003</v>
      </c>
      <c r="BE186" s="1885">
        <f t="shared" si="140"/>
        <v>12919.015652400005</v>
      </c>
      <c r="BF186" s="1885">
        <f t="shared" si="140"/>
        <v>13172.329684800005</v>
      </c>
      <c r="BG186" s="1882">
        <f t="shared" si="140"/>
        <v>13425.643717200004</v>
      </c>
      <c r="BH186" s="1886"/>
      <c r="BI186" s="1886"/>
      <c r="BJ186" s="1886"/>
      <c r="BK186" s="1886"/>
      <c r="BL186" s="1886"/>
      <c r="BM186" s="1886"/>
      <c r="BN186" s="1886"/>
      <c r="BO186" s="1886"/>
      <c r="BP186" s="1886"/>
      <c r="BQ186" s="1886"/>
      <c r="BR186" s="1886"/>
      <c r="BS186" s="1886"/>
      <c r="BT186" s="1886"/>
      <c r="BU186" s="1886"/>
      <c r="BV186" s="1886"/>
      <c r="BW186" s="1886"/>
      <c r="BX186" s="1886"/>
      <c r="BY186" s="1886"/>
      <c r="BZ186" s="1886"/>
      <c r="CA186" s="1886"/>
      <c r="CB186" s="1886"/>
      <c r="CC186" s="1886"/>
      <c r="CD186" s="1886"/>
      <c r="CE186" s="1886"/>
      <c r="CF186" s="1886"/>
      <c r="CG186" s="1886"/>
      <c r="CH186" s="1886"/>
      <c r="CI186" s="1886"/>
      <c r="CJ186" s="1886"/>
      <c r="CK186" s="1886"/>
      <c r="CL186" s="1886"/>
      <c r="CM186" s="1886"/>
      <c r="CN186" s="1886"/>
      <c r="CO186" s="1886"/>
      <c r="CP186" s="1886"/>
      <c r="CQ186" s="1886"/>
      <c r="CR186" s="1886"/>
      <c r="CS186" s="1886"/>
      <c r="CT186" s="1886"/>
      <c r="CU186" s="1886"/>
      <c r="CV186" s="1886"/>
      <c r="CW186" s="1886"/>
      <c r="CX186" s="1886"/>
      <c r="CY186" s="1886"/>
      <c r="CZ186" s="1886"/>
      <c r="DA186" s="1886"/>
      <c r="DB186" s="1886"/>
      <c r="DC186" s="1886"/>
      <c r="DD186" s="1886"/>
      <c r="DE186" s="1886"/>
      <c r="DF186" s="1886"/>
      <c r="DG186" s="1886"/>
    </row>
    <row r="187" spans="1:111">
      <c r="A187" s="2506"/>
      <c r="B187" s="2330" t="s">
        <v>293</v>
      </c>
      <c r="C187" s="2330"/>
      <c r="D187" s="2471"/>
      <c r="E187" s="1879" t="s">
        <v>226</v>
      </c>
      <c r="F187" s="1879">
        <v>150</v>
      </c>
      <c r="G187" s="1879">
        <v>360</v>
      </c>
      <c r="H187" s="1879">
        <v>6</v>
      </c>
      <c r="I187" s="1286"/>
      <c r="J187" s="1880"/>
      <c r="K187" s="1881">
        <f t="shared" ref="K187:AP187" si="141">((K$138-$I$4)/1000)*IF($C$14=0,$Q$35,$Q$52)*(($C$8/70)^$AB$52)*IF($C$14=0,1,IF($C$14&lt;=K$139,$AH$52,IF(AND($C$14&gt;=K$139,$C$14&lt;=K$140),((($AI$52-$AH$52)/(K$140-K$139))*$C$14+($AH$52-(($AI$52-$AH$52)/(K$140-K$139))*K$139)),IF($C$14&gt;=K$140,$AI$52,1))))</f>
        <v>1271.4046242857144</v>
      </c>
      <c r="L187" s="937">
        <f t="shared" si="141"/>
        <v>1525.6855491428573</v>
      </c>
      <c r="M187" s="937">
        <f t="shared" si="141"/>
        <v>1779.9664740000003</v>
      </c>
      <c r="N187" s="937">
        <f t="shared" si="141"/>
        <v>2034.2473988571433</v>
      </c>
      <c r="O187" s="937">
        <f t="shared" si="141"/>
        <v>2288.5283237142862</v>
      </c>
      <c r="P187" s="937">
        <f t="shared" si="141"/>
        <v>2542.8092485714287</v>
      </c>
      <c r="Q187" s="937">
        <f t="shared" si="141"/>
        <v>2797.0901734285721</v>
      </c>
      <c r="R187" s="937">
        <f t="shared" si="141"/>
        <v>2969.2245440000006</v>
      </c>
      <c r="S187" s="937">
        <f t="shared" si="141"/>
        <v>3216.6599226666676</v>
      </c>
      <c r="T187" s="937">
        <f t="shared" si="141"/>
        <v>3464.0953013333342</v>
      </c>
      <c r="U187" s="937">
        <f t="shared" si="141"/>
        <v>3674.1913371428577</v>
      </c>
      <c r="V187" s="1882">
        <f t="shared" si="141"/>
        <v>3919.1374262857153</v>
      </c>
      <c r="W187" s="1881">
        <f t="shared" si="141"/>
        <v>4164.0835154285714</v>
      </c>
      <c r="X187" s="937">
        <f t="shared" si="141"/>
        <v>4375.4241960000008</v>
      </c>
      <c r="Y187" s="937">
        <f t="shared" si="141"/>
        <v>4618.5033180000009</v>
      </c>
      <c r="Z187" s="937">
        <f t="shared" si="141"/>
        <v>4861.582440000001</v>
      </c>
      <c r="AA187" s="937">
        <f t="shared" si="141"/>
        <v>5104.6615620000011</v>
      </c>
      <c r="AB187" s="937">
        <f t="shared" si="141"/>
        <v>5347.7406840000012</v>
      </c>
      <c r="AC187" s="937">
        <f t="shared" si="141"/>
        <v>5590.8198060000004</v>
      </c>
      <c r="AD187" s="937">
        <f t="shared" si="141"/>
        <v>5833.8989280000005</v>
      </c>
      <c r="AE187" s="937">
        <f t="shared" si="141"/>
        <v>6076.9780500000015</v>
      </c>
      <c r="AF187" s="1882">
        <f t="shared" si="141"/>
        <v>6320.0571720000016</v>
      </c>
      <c r="AG187" s="1883">
        <f t="shared" si="141"/>
        <v>6563.1362940000017</v>
      </c>
      <c r="AH187" s="937">
        <f t="shared" si="141"/>
        <v>6806.2154160000009</v>
      </c>
      <c r="AI187" s="937">
        <f t="shared" si="141"/>
        <v>7049.294538000001</v>
      </c>
      <c r="AJ187" s="937">
        <f t="shared" si="141"/>
        <v>7292.3736600000011</v>
      </c>
      <c r="AK187" s="937">
        <f t="shared" si="141"/>
        <v>7535.4527820000012</v>
      </c>
      <c r="AL187" s="937">
        <f t="shared" si="141"/>
        <v>7778.5319040000013</v>
      </c>
      <c r="AM187" s="937">
        <f t="shared" si="141"/>
        <v>8021.6110260000005</v>
      </c>
      <c r="AN187" s="937">
        <f t="shared" si="141"/>
        <v>8264.6901479999997</v>
      </c>
      <c r="AO187" s="937">
        <f t="shared" si="141"/>
        <v>8507.7692700000007</v>
      </c>
      <c r="AP187" s="1882">
        <f t="shared" si="141"/>
        <v>8750.8483920000017</v>
      </c>
      <c r="AQ187" s="1881">
        <f t="shared" ref="AQ187:BG187" si="142">((AQ$138-$I$4)/1000)*IF($C$14=0,$Q$35,$Q$52)*(($C$8/70)^$AB$52)*IF($C$14=0,1,IF($C$14&lt;=AQ$139,$AH$52,IF(AND($C$14&gt;=AQ$139,$C$14&lt;=AQ$140),((($AI$52-$AH$52)/(AQ$140-AQ$139))*$C$14+($AH$52-(($AI$52-$AH$52)/(AQ$140-AQ$139))*AQ$139)),IF($C$14&gt;=AQ$140,$AI$52,1))))</f>
        <v>8993.9275140000027</v>
      </c>
      <c r="AR187" s="937">
        <f t="shared" si="142"/>
        <v>9237.0066360000019</v>
      </c>
      <c r="AS187" s="937">
        <f t="shared" si="142"/>
        <v>9480.0857580000011</v>
      </c>
      <c r="AT187" s="937">
        <f t="shared" si="142"/>
        <v>9723.1648800000021</v>
      </c>
      <c r="AU187" s="937">
        <f t="shared" si="142"/>
        <v>9966.2440020000013</v>
      </c>
      <c r="AV187" s="937">
        <f t="shared" si="142"/>
        <v>10209.323124000002</v>
      </c>
      <c r="AW187" s="937">
        <f t="shared" si="142"/>
        <v>10452.402246000001</v>
      </c>
      <c r="AX187" s="937">
        <f t="shared" si="142"/>
        <v>10695.481368000002</v>
      </c>
      <c r="AY187" s="937">
        <f t="shared" si="142"/>
        <v>10938.560490000003</v>
      </c>
      <c r="AZ187" s="1882">
        <f t="shared" si="142"/>
        <v>11181.639612000001</v>
      </c>
      <c r="BA187" s="1884">
        <f t="shared" si="142"/>
        <v>11424.718734000004</v>
      </c>
      <c r="BB187" s="1885">
        <f t="shared" si="142"/>
        <v>11667.797856000001</v>
      </c>
      <c r="BC187" s="1885">
        <f t="shared" si="142"/>
        <v>11910.876978000004</v>
      </c>
      <c r="BD187" s="1885">
        <f t="shared" si="142"/>
        <v>12153.956100000003</v>
      </c>
      <c r="BE187" s="1885">
        <f t="shared" si="142"/>
        <v>12397.035222</v>
      </c>
      <c r="BF187" s="1885">
        <f t="shared" si="142"/>
        <v>12640.114344000003</v>
      </c>
      <c r="BG187" s="1882">
        <f t="shared" si="142"/>
        <v>12883.193466000001</v>
      </c>
      <c r="BH187" s="1886"/>
      <c r="BI187" s="1886"/>
      <c r="BJ187" s="1886"/>
      <c r="BK187" s="1886"/>
      <c r="BL187" s="1886"/>
      <c r="BM187" s="1886"/>
      <c r="BN187" s="1886"/>
      <c r="BO187" s="1886"/>
      <c r="BP187" s="1886"/>
      <c r="BQ187" s="1886"/>
      <c r="BR187" s="1886"/>
      <c r="BS187" s="1886"/>
      <c r="BT187" s="1886"/>
      <c r="BU187" s="1886"/>
      <c r="BV187" s="1886"/>
      <c r="BW187" s="1886"/>
      <c r="BX187" s="1886"/>
      <c r="BY187" s="1886"/>
      <c r="BZ187" s="1886"/>
      <c r="CA187" s="1886"/>
      <c r="CB187" s="1886"/>
      <c r="CC187" s="1886"/>
      <c r="CD187" s="1886"/>
      <c r="CE187" s="1886"/>
      <c r="CF187" s="1886"/>
      <c r="CG187" s="1886"/>
      <c r="CH187" s="1886"/>
      <c r="CI187" s="1886"/>
      <c r="CJ187" s="1886"/>
      <c r="CK187" s="1886"/>
      <c r="CL187" s="1886"/>
      <c r="CM187" s="1886"/>
      <c r="CN187" s="1886"/>
      <c r="CO187" s="1886"/>
      <c r="CP187" s="1886"/>
      <c r="CQ187" s="1886"/>
      <c r="CR187" s="1886"/>
      <c r="CS187" s="1886"/>
      <c r="CT187" s="1886"/>
      <c r="CU187" s="1886"/>
      <c r="CV187" s="1886"/>
      <c r="CW187" s="1886"/>
      <c r="CX187" s="1886"/>
      <c r="CY187" s="1886"/>
      <c r="CZ187" s="1886"/>
      <c r="DA187" s="1886"/>
      <c r="DB187" s="1886"/>
      <c r="DC187" s="1886"/>
      <c r="DD187" s="1886"/>
      <c r="DE187" s="1886"/>
      <c r="DF187" s="1886"/>
      <c r="DG187" s="1886"/>
    </row>
    <row r="188" spans="1:111">
      <c r="A188" s="2506"/>
      <c r="B188" s="2330" t="s">
        <v>294</v>
      </c>
      <c r="C188" s="2330"/>
      <c r="D188" s="2471"/>
      <c r="E188" s="1879" t="s">
        <v>226</v>
      </c>
      <c r="F188" s="1879">
        <v>150</v>
      </c>
      <c r="G188" s="1879">
        <v>360</v>
      </c>
      <c r="H188" s="1879">
        <v>8</v>
      </c>
      <c r="I188" s="1286"/>
      <c r="J188" s="1880"/>
      <c r="K188" s="1881">
        <f t="shared" ref="K188:AP188" si="143">((K$138-$I$4)/1000)*IF($C$14=0,$R$35,$R$52)*(($C$8/70)^$AC$52)*IF($C$14=0,1,IF($C$14&lt;=K$139,$AH$52,IF(AND($C$14&gt;=K$139,$C$14&lt;=K$140),((($AI$52-$AH$52)/(K$140-K$139))*$C$14+($AH$52-(($AI$52-$AH$52)/(K$140-K$139))*K$139)),IF($C$14&gt;=K$140,$AI$52,1))))</f>
        <v>1338.3206571428573</v>
      </c>
      <c r="L188" s="937">
        <f t="shared" si="143"/>
        <v>1605.9847885714289</v>
      </c>
      <c r="M188" s="937">
        <f t="shared" si="143"/>
        <v>1873.6489200000003</v>
      </c>
      <c r="N188" s="937">
        <f t="shared" si="143"/>
        <v>2141.3130514285717</v>
      </c>
      <c r="O188" s="937">
        <f t="shared" si="143"/>
        <v>2408.9771828571434</v>
      </c>
      <c r="P188" s="937">
        <f t="shared" si="143"/>
        <v>2676.6413142857145</v>
      </c>
      <c r="Q188" s="937">
        <f t="shared" si="143"/>
        <v>2944.3054457142862</v>
      </c>
      <c r="R188" s="937">
        <f t="shared" si="143"/>
        <v>3125.4995200000008</v>
      </c>
      <c r="S188" s="937">
        <f t="shared" si="143"/>
        <v>3385.9578133333343</v>
      </c>
      <c r="T188" s="937">
        <f t="shared" si="143"/>
        <v>3646.4161066666675</v>
      </c>
      <c r="U188" s="937">
        <f t="shared" si="143"/>
        <v>3867.5698285714293</v>
      </c>
      <c r="V188" s="1882">
        <f t="shared" si="143"/>
        <v>4125.4078171428582</v>
      </c>
      <c r="W188" s="1881">
        <f t="shared" si="143"/>
        <v>4383.2458057142858</v>
      </c>
      <c r="X188" s="937">
        <f t="shared" si="143"/>
        <v>4605.7096800000018</v>
      </c>
      <c r="Y188" s="937">
        <f t="shared" si="143"/>
        <v>4861.582440000001</v>
      </c>
      <c r="Z188" s="937">
        <f t="shared" si="143"/>
        <v>5117.4552000000012</v>
      </c>
      <c r="AA188" s="937">
        <f t="shared" si="143"/>
        <v>5373.3279600000014</v>
      </c>
      <c r="AB188" s="937">
        <f t="shared" si="143"/>
        <v>5629.2007200000016</v>
      </c>
      <c r="AC188" s="937">
        <f t="shared" si="143"/>
        <v>5885.0734800000009</v>
      </c>
      <c r="AD188" s="937">
        <f t="shared" si="143"/>
        <v>6140.9462400000011</v>
      </c>
      <c r="AE188" s="937">
        <f t="shared" si="143"/>
        <v>6396.8190000000013</v>
      </c>
      <c r="AF188" s="1882">
        <f t="shared" si="143"/>
        <v>6652.6917600000015</v>
      </c>
      <c r="AG188" s="1883">
        <f t="shared" si="143"/>
        <v>6908.5645200000017</v>
      </c>
      <c r="AH188" s="937">
        <f t="shared" si="143"/>
        <v>7164.437280000001</v>
      </c>
      <c r="AI188" s="937">
        <f t="shared" si="143"/>
        <v>7420.3100400000012</v>
      </c>
      <c r="AJ188" s="937">
        <f t="shared" si="143"/>
        <v>7676.1828000000014</v>
      </c>
      <c r="AK188" s="937">
        <f t="shared" si="143"/>
        <v>7932.0555600000016</v>
      </c>
      <c r="AL188" s="937">
        <f t="shared" si="143"/>
        <v>8187.9283200000018</v>
      </c>
      <c r="AM188" s="937">
        <f t="shared" si="143"/>
        <v>8443.8010800000011</v>
      </c>
      <c r="AN188" s="937">
        <f t="shared" si="143"/>
        <v>8699.6738400000013</v>
      </c>
      <c r="AO188" s="937">
        <f t="shared" si="143"/>
        <v>8955.5466000000015</v>
      </c>
      <c r="AP188" s="1882">
        <f t="shared" si="143"/>
        <v>9211.4193600000035</v>
      </c>
      <c r="AQ188" s="1881">
        <f t="shared" ref="AQ188:BG188" si="144">((AQ$138-$I$4)/1000)*IF($C$14=0,$R$35,$R$52)*(($C$8/70)^$AC$52)*IF($C$14=0,1,IF($C$14&lt;=AQ$139,$AH$52,IF(AND($C$14&gt;=AQ$139,$C$14&lt;=AQ$140),((($AI$52-$AH$52)/(AQ$140-AQ$139))*$C$14+($AH$52-(($AI$52-$AH$52)/(AQ$140-AQ$139))*AQ$139)),IF($C$14&gt;=AQ$140,$AI$52,1))))</f>
        <v>9467.2921200000037</v>
      </c>
      <c r="AR188" s="937">
        <f t="shared" si="144"/>
        <v>9723.1648800000021</v>
      </c>
      <c r="AS188" s="937">
        <f t="shared" si="144"/>
        <v>9979.0376400000023</v>
      </c>
      <c r="AT188" s="937">
        <f t="shared" si="144"/>
        <v>10234.910400000002</v>
      </c>
      <c r="AU188" s="937">
        <f t="shared" si="144"/>
        <v>10490.783160000001</v>
      </c>
      <c r="AV188" s="937">
        <f t="shared" si="144"/>
        <v>10746.655920000003</v>
      </c>
      <c r="AW188" s="937">
        <f t="shared" si="144"/>
        <v>11002.528680000001</v>
      </c>
      <c r="AX188" s="937">
        <f t="shared" si="144"/>
        <v>11258.401440000003</v>
      </c>
      <c r="AY188" s="937">
        <f t="shared" si="144"/>
        <v>11514.274200000003</v>
      </c>
      <c r="AZ188" s="1882">
        <f t="shared" si="144"/>
        <v>11770.146960000002</v>
      </c>
      <c r="BA188" s="1884">
        <f t="shared" si="144"/>
        <v>12026.019720000004</v>
      </c>
      <c r="BB188" s="1885">
        <f t="shared" si="144"/>
        <v>12281.892480000002</v>
      </c>
      <c r="BC188" s="1885">
        <f t="shared" si="144"/>
        <v>12537.765240000004</v>
      </c>
      <c r="BD188" s="1885">
        <f t="shared" si="144"/>
        <v>12793.638000000003</v>
      </c>
      <c r="BE188" s="1885">
        <f t="shared" si="144"/>
        <v>13049.510760000001</v>
      </c>
      <c r="BF188" s="1885">
        <f t="shared" si="144"/>
        <v>13305.383520000003</v>
      </c>
      <c r="BG188" s="1882">
        <f t="shared" si="144"/>
        <v>13561.256280000001</v>
      </c>
      <c r="BH188" s="1984"/>
      <c r="BI188" s="1984"/>
      <c r="BK188" s="632">
        <f t="shared" ref="BK188:DG188" si="145">I249/K188</f>
        <v>0.52305597486214206</v>
      </c>
      <c r="BL188" s="632">
        <f t="shared" si="145"/>
        <v>0.5811733054023801</v>
      </c>
      <c r="BM188" s="632">
        <f t="shared" si="145"/>
        <v>0.62268568435969296</v>
      </c>
      <c r="BN188" s="632">
        <f t="shared" si="145"/>
        <v>0.65381996857767755</v>
      </c>
      <c r="BO188" s="632">
        <f t="shared" si="145"/>
        <v>0.67803552296944336</v>
      </c>
      <c r="BP188" s="632">
        <f t="shared" si="145"/>
        <v>0.69740796648285619</v>
      </c>
      <c r="BQ188" s="632">
        <f t="shared" si="145"/>
        <v>0.71325814753928463</v>
      </c>
      <c r="BR188" s="632">
        <f t="shared" si="145"/>
        <v>0.74656505466364587</v>
      </c>
      <c r="BS188" s="632">
        <f t="shared" si="145"/>
        <v>0.75805067088924039</v>
      </c>
      <c r="BT188" s="632">
        <f t="shared" si="145"/>
        <v>0.76789548479689285</v>
      </c>
      <c r="BU188" s="632">
        <f t="shared" si="145"/>
        <v>0.78431818181818147</v>
      </c>
      <c r="BV188" s="632">
        <f t="shared" si="145"/>
        <v>0.79185970279720241</v>
      </c>
      <c r="BW188" s="632">
        <f t="shared" si="145"/>
        <v>0.79851398601398582</v>
      </c>
      <c r="BX188" s="632">
        <f t="shared" si="145"/>
        <v>0.8106073138331199</v>
      </c>
      <c r="BY188" s="632">
        <f t="shared" si="145"/>
        <v>0.81594025668728509</v>
      </c>
      <c r="BZ188" s="632">
        <f t="shared" si="145"/>
        <v>0.82073990525603391</v>
      </c>
      <c r="CA188" s="632">
        <f t="shared" si="145"/>
        <v>0.82508244443728262</v>
      </c>
      <c r="CB188" s="632">
        <f t="shared" si="145"/>
        <v>0.82903020732932708</v>
      </c>
      <c r="CC188" s="632">
        <f t="shared" si="145"/>
        <v>0.83263468649162875</v>
      </c>
      <c r="CD188" s="632">
        <f t="shared" si="145"/>
        <v>0.83593879239040492</v>
      </c>
      <c r="CE188" s="632">
        <f t="shared" si="145"/>
        <v>0.83897856981727903</v>
      </c>
      <c r="CF188" s="632">
        <f t="shared" si="145"/>
        <v>0.84178451821131672</v>
      </c>
      <c r="CG188" s="632">
        <f t="shared" si="145"/>
        <v>0.84438261857616648</v>
      </c>
      <c r="CH188" s="632">
        <f t="shared" si="145"/>
        <v>0.8467951403435271</v>
      </c>
      <c r="CI188" s="632">
        <f t="shared" si="145"/>
        <v>0.84904128129934553</v>
      </c>
      <c r="CJ188" s="632">
        <f t="shared" si="145"/>
        <v>0.85113767952477593</v>
      </c>
      <c r="CK188" s="632">
        <f t="shared" si="145"/>
        <v>0.85309882625179156</v>
      </c>
      <c r="CL188" s="632">
        <f t="shared" si="145"/>
        <v>0.85493740130836871</v>
      </c>
      <c r="CM188" s="632">
        <f t="shared" si="145"/>
        <v>0.8566645475736383</v>
      </c>
      <c r="CN188" s="632">
        <f t="shared" si="145"/>
        <v>0.85829009699977421</v>
      </c>
      <c r="CO188" s="632">
        <f t="shared" si="145"/>
        <v>0.85982275788727369</v>
      </c>
      <c r="CP188" s="632">
        <f t="shared" si="145"/>
        <v>0.86127027094768971</v>
      </c>
      <c r="CQ188" s="632">
        <f t="shared" si="145"/>
        <v>0.86263954005889432</v>
      </c>
      <c r="CR188" s="632">
        <f t="shared" si="145"/>
        <v>0.86393674237477258</v>
      </c>
      <c r="CS188" s="632">
        <f t="shared" si="145"/>
        <v>0.86516742149496462</v>
      </c>
      <c r="CT188" s="632">
        <f t="shared" si="145"/>
        <v>0.86633656665914682</v>
      </c>
      <c r="CU188" s="632">
        <f t="shared" si="145"/>
        <v>0.86744868035190581</v>
      </c>
      <c r="CV188" s="632">
        <f t="shared" si="145"/>
        <v>0.86850783624977135</v>
      </c>
      <c r="CW188" s="632">
        <f t="shared" si="145"/>
        <v>0.86951772908261982</v>
      </c>
      <c r="CX188" s="632">
        <f t="shared" si="145"/>
        <v>0.87048171769579352</v>
      </c>
      <c r="CY188" s="632">
        <f t="shared" si="145"/>
        <v>0.87140286237060371</v>
      </c>
      <c r="CZ188" s="632">
        <f t="shared" si="145"/>
        <v>0.8722839572769443</v>
      </c>
      <c r="DA188" s="632">
        <f t="shared" si="145"/>
        <v>0.87312755878301473</v>
      </c>
      <c r="DB188" s="632">
        <f t="shared" si="145"/>
        <v>0.87393601022633227</v>
      </c>
      <c r="DC188" s="632">
        <f t="shared" si="145"/>
        <v>0.87471146365155539</v>
      </c>
      <c r="DD188" s="632">
        <f t="shared" si="145"/>
        <v>0.87545589893976949</v>
      </c>
      <c r="DE188" s="632">
        <f t="shared" si="145"/>
        <v>0.87617114068726953</v>
      </c>
      <c r="DF188" s="632">
        <f t="shared" si="145"/>
        <v>0.87685887313678834</v>
      </c>
      <c r="DG188" s="632">
        <f t="shared" si="145"/>
        <v>0.87752065341840102</v>
      </c>
    </row>
    <row r="189" spans="1:111">
      <c r="A189" s="1993"/>
      <c r="B189" s="2330" t="s">
        <v>295</v>
      </c>
      <c r="C189" s="2330"/>
      <c r="D189" s="2471"/>
      <c r="E189" s="1879" t="s">
        <v>226</v>
      </c>
      <c r="F189" s="1879">
        <v>150</v>
      </c>
      <c r="G189" s="1879">
        <v>400</v>
      </c>
      <c r="H189" s="1879">
        <v>6</v>
      </c>
      <c r="I189" s="1286"/>
      <c r="J189" s="1880"/>
      <c r="K189" s="1881">
        <f t="shared" ref="K189:AP189" si="146">((K$138-$I$4)/1000)*IF($C$14=0,$S$35,$S$52)*(($C$8/70)^$AD$52)*IF($C$14=0,1,IF($C$14&lt;=K$139,$AH$52,IF(AND($C$14&gt;=K$139,$C$14&lt;=K$140),((($AI$52-$AH$52)/(K$140-K$139))*$C$14+($AH$52-(($AI$52-$AH$52)/(K$140-K$139))*K$139)),IF($C$14&gt;=K$140,$AI$52,1))))</f>
        <v>1316.2147161428572</v>
      </c>
      <c r="L189" s="937">
        <f t="shared" si="146"/>
        <v>1579.4576593714287</v>
      </c>
      <c r="M189" s="937">
        <f t="shared" si="146"/>
        <v>1842.7006025999999</v>
      </c>
      <c r="N189" s="937">
        <f t="shared" si="146"/>
        <v>2105.9435458285716</v>
      </c>
      <c r="O189" s="937">
        <f t="shared" si="146"/>
        <v>2369.1864890571433</v>
      </c>
      <c r="P189" s="937">
        <f t="shared" si="146"/>
        <v>2632.4294322857145</v>
      </c>
      <c r="Q189" s="937">
        <f t="shared" si="146"/>
        <v>2895.6723755142862</v>
      </c>
      <c r="R189" s="937">
        <f t="shared" si="146"/>
        <v>3073.8735456000004</v>
      </c>
      <c r="S189" s="937">
        <f t="shared" si="146"/>
        <v>3330.0296744000007</v>
      </c>
      <c r="T189" s="937">
        <f t="shared" si="146"/>
        <v>3586.1858032000005</v>
      </c>
      <c r="U189" s="937">
        <f t="shared" si="146"/>
        <v>3803.6865805714292</v>
      </c>
      <c r="V189" s="1882">
        <f t="shared" si="146"/>
        <v>4057.2656859428575</v>
      </c>
      <c r="W189" s="1881">
        <f t="shared" si="146"/>
        <v>4310.8447913142863</v>
      </c>
      <c r="X189" s="937">
        <f t="shared" si="146"/>
        <v>4529.634080400001</v>
      </c>
      <c r="Y189" s="937">
        <f t="shared" si="146"/>
        <v>4781.2804182</v>
      </c>
      <c r="Z189" s="937">
        <f t="shared" si="146"/>
        <v>5032.9267560000008</v>
      </c>
      <c r="AA189" s="937">
        <f t="shared" si="146"/>
        <v>5284.5730938000015</v>
      </c>
      <c r="AB189" s="937">
        <f t="shared" si="146"/>
        <v>5536.2194316000014</v>
      </c>
      <c r="AC189" s="937">
        <f t="shared" si="146"/>
        <v>5787.8657694000003</v>
      </c>
      <c r="AD189" s="937">
        <f t="shared" si="146"/>
        <v>6039.5121072000011</v>
      </c>
      <c r="AE189" s="937">
        <f t="shared" si="146"/>
        <v>6291.1584450000009</v>
      </c>
      <c r="AF189" s="1882">
        <f t="shared" si="146"/>
        <v>6542.8047828000008</v>
      </c>
      <c r="AG189" s="1883">
        <f t="shared" si="146"/>
        <v>6794.4511206000006</v>
      </c>
      <c r="AH189" s="937">
        <f t="shared" si="146"/>
        <v>7046.0974584000005</v>
      </c>
      <c r="AI189" s="937">
        <f t="shared" si="146"/>
        <v>7297.7437962000004</v>
      </c>
      <c r="AJ189" s="937">
        <f t="shared" si="146"/>
        <v>7549.3901340000011</v>
      </c>
      <c r="AK189" s="937">
        <f t="shared" si="146"/>
        <v>7801.0364718000019</v>
      </c>
      <c r="AL189" s="937">
        <f t="shared" si="146"/>
        <v>8052.6828096000008</v>
      </c>
      <c r="AM189" s="937">
        <f t="shared" si="146"/>
        <v>8304.3291473999998</v>
      </c>
      <c r="AN189" s="937">
        <f t="shared" si="146"/>
        <v>8555.9754852000005</v>
      </c>
      <c r="AO189" s="937">
        <f t="shared" si="146"/>
        <v>8807.6218230000013</v>
      </c>
      <c r="AP189" s="1882">
        <f t="shared" si="146"/>
        <v>9059.2681608000021</v>
      </c>
      <c r="AQ189" s="1881">
        <f t="shared" ref="AQ189:BG189" si="147">((AQ$138-$I$4)/1000)*IF($C$14=0,$S$35,$S$52)*(($C$8/70)^$AD$52)*IF($C$14=0,1,IF($C$14&lt;=AQ$139,$AH$52,IF(AND($C$14&gt;=AQ$139,$C$14&lt;=AQ$140),((($AI$52-$AH$52)/(AQ$140-AQ$139))*$C$14+($AH$52-(($AI$52-$AH$52)/(AQ$140-AQ$139))*AQ$139)),IF($C$14&gt;=AQ$140,$AI$52,1))))</f>
        <v>9310.914498600001</v>
      </c>
      <c r="AR189" s="937">
        <f t="shared" si="147"/>
        <v>9562.5608364</v>
      </c>
      <c r="AS189" s="937">
        <f t="shared" si="147"/>
        <v>9814.2071742000007</v>
      </c>
      <c r="AT189" s="937">
        <f t="shared" si="147"/>
        <v>10065.853512000002</v>
      </c>
      <c r="AU189" s="937">
        <f t="shared" si="147"/>
        <v>10317.4998498</v>
      </c>
      <c r="AV189" s="937">
        <f t="shared" si="147"/>
        <v>10569.146187600003</v>
      </c>
      <c r="AW189" s="937">
        <f t="shared" si="147"/>
        <v>10820.792525400002</v>
      </c>
      <c r="AX189" s="937">
        <f t="shared" si="147"/>
        <v>11072.438863200003</v>
      </c>
      <c r="AY189" s="937">
        <f t="shared" si="147"/>
        <v>11324.085201000002</v>
      </c>
      <c r="AZ189" s="1882">
        <f t="shared" si="147"/>
        <v>11575.731538800001</v>
      </c>
      <c r="BA189" s="1884">
        <f t="shared" si="147"/>
        <v>11827.377876600003</v>
      </c>
      <c r="BB189" s="1885">
        <f t="shared" si="147"/>
        <v>12079.024214400002</v>
      </c>
      <c r="BC189" s="1885">
        <f t="shared" si="147"/>
        <v>12330.670552200003</v>
      </c>
      <c r="BD189" s="1885">
        <f t="shared" si="147"/>
        <v>12582.316890000002</v>
      </c>
      <c r="BE189" s="1885">
        <f t="shared" si="147"/>
        <v>12833.963227800001</v>
      </c>
      <c r="BF189" s="1885">
        <f t="shared" si="147"/>
        <v>13085.609565600002</v>
      </c>
      <c r="BG189" s="1882">
        <f t="shared" si="147"/>
        <v>13337.255903400001</v>
      </c>
      <c r="BH189" s="1887">
        <f t="shared" ref="BH189:CM189" si="148">((BH$138-$I$4)/1000)*IF($C$13=0,$T$35,$S$52)*(($C$8/70)^$AD$52)*IF($C$13=1,$AH$52,IF($C$13=2,$AI$52,IF($C$13=3,$AJ$52,1)))</f>
        <v>-2546.7199757999997</v>
      </c>
      <c r="BI189" s="1888">
        <f t="shared" si="148"/>
        <v>-2546.7199757999997</v>
      </c>
      <c r="BJ189" s="1888">
        <f t="shared" si="148"/>
        <v>-2546.7199757999997</v>
      </c>
      <c r="BK189" s="1888">
        <f t="shared" si="148"/>
        <v>1091.4514182</v>
      </c>
      <c r="BL189" s="1888">
        <f t="shared" si="148"/>
        <v>1455.2685576000001</v>
      </c>
      <c r="BM189" s="1888">
        <f t="shared" si="148"/>
        <v>1819.085697</v>
      </c>
      <c r="BN189" s="1888">
        <f t="shared" si="148"/>
        <v>2182.9028364000001</v>
      </c>
      <c r="BO189" s="1888">
        <f t="shared" si="148"/>
        <v>2546.7199757999997</v>
      </c>
      <c r="BP189" s="1888">
        <f t="shared" si="148"/>
        <v>2910.5371152000002</v>
      </c>
      <c r="BQ189" s="1888">
        <f t="shared" si="148"/>
        <v>3274.3542546000003</v>
      </c>
      <c r="BR189" s="1888">
        <f t="shared" si="148"/>
        <v>3638.171394</v>
      </c>
      <c r="BS189" s="1888">
        <f t="shared" si="148"/>
        <v>4001.9885334000005</v>
      </c>
      <c r="BT189" s="1888">
        <f t="shared" si="148"/>
        <v>4365.8056728000001</v>
      </c>
      <c r="BU189" s="1888">
        <f t="shared" si="148"/>
        <v>4729.6228122000002</v>
      </c>
      <c r="BV189" s="1888">
        <f t="shared" si="148"/>
        <v>5093.4399515999994</v>
      </c>
      <c r="BW189" s="1888">
        <f t="shared" si="148"/>
        <v>5457.2570910000004</v>
      </c>
      <c r="BX189" s="1888">
        <f t="shared" si="148"/>
        <v>5821.0742304000005</v>
      </c>
      <c r="BY189" s="1888">
        <f t="shared" si="148"/>
        <v>6184.8913697999997</v>
      </c>
      <c r="BZ189" s="1888">
        <f t="shared" si="148"/>
        <v>6548.7085092000007</v>
      </c>
      <c r="CA189" s="1888">
        <f t="shared" si="148"/>
        <v>6912.5256485999989</v>
      </c>
      <c r="CB189" s="1888">
        <f t="shared" si="148"/>
        <v>7276.3427879999999</v>
      </c>
      <c r="CC189" s="1888">
        <f t="shared" si="148"/>
        <v>7640.1599274000009</v>
      </c>
      <c r="CD189" s="1888">
        <f t="shared" si="148"/>
        <v>8003.977066800001</v>
      </c>
      <c r="CE189" s="1888">
        <f t="shared" si="148"/>
        <v>8367.7942062000002</v>
      </c>
      <c r="CF189" s="1888">
        <f t="shared" si="148"/>
        <v>8731.6113456000003</v>
      </c>
      <c r="CG189" s="1888">
        <f t="shared" si="148"/>
        <v>9095.4284850000004</v>
      </c>
      <c r="CH189" s="1888">
        <f t="shared" si="148"/>
        <v>9459.2456244000005</v>
      </c>
      <c r="CI189" s="1888">
        <f t="shared" si="148"/>
        <v>9823.0627638000005</v>
      </c>
      <c r="CJ189" s="1888">
        <f t="shared" si="148"/>
        <v>10186.879903199999</v>
      </c>
      <c r="CK189" s="1888">
        <f t="shared" si="148"/>
        <v>10550.697042600001</v>
      </c>
      <c r="CL189" s="1888">
        <f t="shared" si="148"/>
        <v>10914.514182000001</v>
      </c>
      <c r="CM189" s="1888">
        <f t="shared" si="148"/>
        <v>11278.331321400001</v>
      </c>
      <c r="CN189" s="1888">
        <f t="shared" ref="CN189:DG189" si="149">((CN$138-$I$4)/1000)*IF($C$13=0,$T$35,$S$52)*(($C$8/70)^$AD$52)*IF($C$13=1,$AH$52,IF($C$13=2,$AI$52,IF($C$13=3,$AJ$52,1)))</f>
        <v>11642.148460800001</v>
      </c>
      <c r="CO189" s="1888">
        <f t="shared" si="149"/>
        <v>12005.965600199999</v>
      </c>
      <c r="CP189" s="1888">
        <f t="shared" si="149"/>
        <v>12369.782739599999</v>
      </c>
      <c r="CQ189" s="1888">
        <f t="shared" si="149"/>
        <v>12733.599879000001</v>
      </c>
      <c r="CR189" s="1888">
        <f t="shared" si="149"/>
        <v>13097.417018400001</v>
      </c>
      <c r="CS189" s="1888">
        <f t="shared" si="149"/>
        <v>13461.2341578</v>
      </c>
      <c r="CT189" s="1888">
        <f t="shared" si="149"/>
        <v>13825.051297199998</v>
      </c>
      <c r="CU189" s="1888">
        <f t="shared" si="149"/>
        <v>14188.8684366</v>
      </c>
      <c r="CV189" s="1888">
        <f t="shared" si="149"/>
        <v>14552.685576</v>
      </c>
      <c r="CW189" s="1888">
        <f t="shared" si="149"/>
        <v>14916.502715399998</v>
      </c>
      <c r="CX189" s="1888">
        <f t="shared" si="149"/>
        <v>15280.319854800002</v>
      </c>
      <c r="CY189" s="1888">
        <f t="shared" si="149"/>
        <v>15644.1369942</v>
      </c>
      <c r="CZ189" s="1888">
        <f t="shared" si="149"/>
        <v>16007.954133600002</v>
      </c>
      <c r="DA189" s="1888">
        <f t="shared" si="149"/>
        <v>16371.771273</v>
      </c>
      <c r="DB189" s="1888">
        <f t="shared" si="149"/>
        <v>16735.5884124</v>
      </c>
      <c r="DC189" s="1888">
        <f t="shared" si="149"/>
        <v>17099.405551800002</v>
      </c>
      <c r="DD189" s="1888">
        <f t="shared" si="149"/>
        <v>17463.222691200001</v>
      </c>
      <c r="DE189" s="1888">
        <f t="shared" si="149"/>
        <v>17827.039830600002</v>
      </c>
      <c r="DF189" s="1888">
        <f t="shared" si="149"/>
        <v>18190.856970000001</v>
      </c>
      <c r="DG189" s="1888">
        <f t="shared" si="149"/>
        <v>18554.674109399999</v>
      </c>
    </row>
    <row r="190" spans="1:111" ht="15.75" thickBot="1">
      <c r="A190" s="1993"/>
      <c r="B190" s="2364" t="s">
        <v>296</v>
      </c>
      <c r="C190" s="2364"/>
      <c r="D190" s="2472"/>
      <c r="E190" s="1889" t="s">
        <v>226</v>
      </c>
      <c r="F190" s="1889">
        <v>150</v>
      </c>
      <c r="G190" s="1889">
        <v>400</v>
      </c>
      <c r="H190" s="1889">
        <v>8</v>
      </c>
      <c r="I190" s="1287"/>
      <c r="J190" s="1890"/>
      <c r="K190" s="1891">
        <f t="shared" ref="K190:AP190" si="150">((K$138-$I$4)/1000)*IF($C$14=0,$T$35,$T$52)*(($C$8/70)^$AE$52)*IF($C$14=0,1,IF($C$14&lt;=K$139,$AH$52,IF(AND($C$14&gt;=K$139,$C$14&lt;=K$140),((($AI$52-$AH$52)/(K$140-K$139))*$C$14+($AH$52-(($AI$52-$AH$52)/(K$140-K$139))*K$139)),IF($C$14&gt;=K$140,$AI$52,1))))</f>
        <v>1438.4860285714285</v>
      </c>
      <c r="L190" s="938">
        <f t="shared" si="150"/>
        <v>1726.1832342857142</v>
      </c>
      <c r="M190" s="938">
        <f t="shared" si="150"/>
        <v>2013.8804399999999</v>
      </c>
      <c r="N190" s="938">
        <f t="shared" si="150"/>
        <v>2301.5776457142856</v>
      </c>
      <c r="O190" s="938">
        <f t="shared" si="150"/>
        <v>2589.2748514285718</v>
      </c>
      <c r="P190" s="938">
        <f t="shared" si="150"/>
        <v>2876.972057142857</v>
      </c>
      <c r="Q190" s="938">
        <f t="shared" si="150"/>
        <v>3164.6692628571432</v>
      </c>
      <c r="R190" s="938">
        <f t="shared" si="150"/>
        <v>3359.4246400000002</v>
      </c>
      <c r="S190" s="938">
        <f t="shared" si="150"/>
        <v>3639.3766933333341</v>
      </c>
      <c r="T190" s="938">
        <f t="shared" si="150"/>
        <v>3919.328746666667</v>
      </c>
      <c r="U190" s="938">
        <f t="shared" si="150"/>
        <v>4157.0345142857141</v>
      </c>
      <c r="V190" s="1892">
        <f t="shared" si="150"/>
        <v>4434.1701485714284</v>
      </c>
      <c r="W190" s="1891">
        <f t="shared" si="150"/>
        <v>4711.3057828571427</v>
      </c>
      <c r="X190" s="938">
        <f t="shared" si="150"/>
        <v>4950.4197600000007</v>
      </c>
      <c r="Y190" s="938">
        <f t="shared" si="150"/>
        <v>5225.44308</v>
      </c>
      <c r="Z190" s="938">
        <f t="shared" si="150"/>
        <v>5500.4664000000002</v>
      </c>
      <c r="AA190" s="938">
        <f t="shared" si="150"/>
        <v>5775.4897200000005</v>
      </c>
      <c r="AB190" s="938">
        <f t="shared" si="150"/>
        <v>6050.5130400000007</v>
      </c>
      <c r="AC190" s="938">
        <f t="shared" si="150"/>
        <v>6325.5363600000001</v>
      </c>
      <c r="AD190" s="938">
        <f t="shared" si="150"/>
        <v>6600.5596800000003</v>
      </c>
      <c r="AE190" s="938">
        <f t="shared" si="150"/>
        <v>6875.5830000000005</v>
      </c>
      <c r="AF190" s="1892">
        <f t="shared" si="150"/>
        <v>7150.6063200000008</v>
      </c>
      <c r="AG190" s="1893">
        <f t="shared" si="150"/>
        <v>7425.629640000001</v>
      </c>
      <c r="AH190" s="938">
        <f t="shared" si="150"/>
        <v>7700.6529599999994</v>
      </c>
      <c r="AI190" s="938">
        <f t="shared" si="150"/>
        <v>7975.6762799999997</v>
      </c>
      <c r="AJ190" s="938">
        <f t="shared" si="150"/>
        <v>8250.6995999999999</v>
      </c>
      <c r="AK190" s="938">
        <f t="shared" si="150"/>
        <v>8525.7229200000002</v>
      </c>
      <c r="AL190" s="938">
        <f t="shared" si="150"/>
        <v>8800.7462400000004</v>
      </c>
      <c r="AM190" s="938">
        <f t="shared" si="150"/>
        <v>9075.7695599999988</v>
      </c>
      <c r="AN190" s="938">
        <f t="shared" si="150"/>
        <v>9350.7928799999991</v>
      </c>
      <c r="AO190" s="938">
        <f t="shared" si="150"/>
        <v>9625.8161999999993</v>
      </c>
      <c r="AP190" s="1892">
        <f t="shared" si="150"/>
        <v>9900.8395200000014</v>
      </c>
      <c r="AQ190" s="1891">
        <f t="shared" ref="AQ190:BG190" si="151">((AQ$138-$I$4)/1000)*IF($C$14=0,$T$35,$T$52)*(($C$8/70)^$AE$52)*IF($C$14=0,1,IF($C$14&lt;=AQ$139,$AH$52,IF(AND($C$14&gt;=AQ$139,$C$14&lt;=AQ$140),((($AI$52-$AH$52)/(AQ$140-AQ$139))*$C$14+($AH$52-(($AI$52-$AH$52)/(AQ$140-AQ$139))*AQ$139)),IF($C$14&gt;=AQ$140,$AI$52,1))))</f>
        <v>10175.862840000002</v>
      </c>
      <c r="AR190" s="938">
        <f t="shared" si="151"/>
        <v>10450.88616</v>
      </c>
      <c r="AS190" s="938">
        <f t="shared" si="151"/>
        <v>10725.90948</v>
      </c>
      <c r="AT190" s="938">
        <f t="shared" si="151"/>
        <v>11000.9328</v>
      </c>
      <c r="AU190" s="938">
        <f t="shared" si="151"/>
        <v>11275.956119999999</v>
      </c>
      <c r="AV190" s="938">
        <f t="shared" si="151"/>
        <v>11550.979440000001</v>
      </c>
      <c r="AW190" s="938">
        <f t="shared" si="151"/>
        <v>11826.002759999999</v>
      </c>
      <c r="AX190" s="938">
        <f t="shared" si="151"/>
        <v>12101.026080000001</v>
      </c>
      <c r="AY190" s="938">
        <f t="shared" si="151"/>
        <v>12376.049400000002</v>
      </c>
      <c r="AZ190" s="1892">
        <f t="shared" si="151"/>
        <v>12651.07272</v>
      </c>
      <c r="BA190" s="1894">
        <f t="shared" si="151"/>
        <v>12926.096040000002</v>
      </c>
      <c r="BB190" s="1895">
        <f t="shared" si="151"/>
        <v>13201.119360000001</v>
      </c>
      <c r="BC190" s="1895">
        <f t="shared" si="151"/>
        <v>13476.142680000001</v>
      </c>
      <c r="BD190" s="1895">
        <f t="shared" si="151"/>
        <v>13751.166000000001</v>
      </c>
      <c r="BE190" s="1895">
        <f t="shared" si="151"/>
        <v>14026.189319999999</v>
      </c>
      <c r="BF190" s="1895">
        <f t="shared" si="151"/>
        <v>14301.212640000002</v>
      </c>
      <c r="BG190" s="1892">
        <f t="shared" si="151"/>
        <v>14576.23596</v>
      </c>
      <c r="BH190" s="1893">
        <f t="shared" ref="BH190:CM190" si="152">((BH$138-$I$4)/1000)*IF($C$13=0,$T$35,$T$52)*(($C$8/70)^$AD$52)*IF($C$13=1,$AH$52,IF($C$13=2,$AI$52,IF($C$13=3,$AJ$52,1)))</f>
        <v>-2783.3005199999998</v>
      </c>
      <c r="BI190" s="938">
        <f t="shared" si="152"/>
        <v>-2783.3005199999998</v>
      </c>
      <c r="BJ190" s="938">
        <f t="shared" si="152"/>
        <v>-2783.3005199999998</v>
      </c>
      <c r="BK190" s="938">
        <f t="shared" si="152"/>
        <v>1192.8430799999999</v>
      </c>
      <c r="BL190" s="938">
        <f t="shared" si="152"/>
        <v>1590.4574399999999</v>
      </c>
      <c r="BM190" s="938">
        <f t="shared" si="152"/>
        <v>1988.0717999999999</v>
      </c>
      <c r="BN190" s="938">
        <f t="shared" si="152"/>
        <v>2385.6861599999997</v>
      </c>
      <c r="BO190" s="938">
        <f t="shared" si="152"/>
        <v>2783.3005199999998</v>
      </c>
      <c r="BP190" s="938">
        <f t="shared" si="152"/>
        <v>3180.9148799999998</v>
      </c>
      <c r="BQ190" s="938">
        <f t="shared" si="152"/>
        <v>3578.5292399999998</v>
      </c>
      <c r="BR190" s="938">
        <f t="shared" si="152"/>
        <v>3976.1435999999999</v>
      </c>
      <c r="BS190" s="938">
        <f t="shared" si="152"/>
        <v>4373.7579599999999</v>
      </c>
      <c r="BT190" s="938">
        <f t="shared" si="152"/>
        <v>4771.3723199999995</v>
      </c>
      <c r="BU190" s="938">
        <f t="shared" si="152"/>
        <v>5168.98668</v>
      </c>
      <c r="BV190" s="938">
        <f t="shared" si="152"/>
        <v>5566.6010399999996</v>
      </c>
      <c r="BW190" s="938">
        <f t="shared" si="152"/>
        <v>5964.2153999999991</v>
      </c>
      <c r="BX190" s="938">
        <f t="shared" si="152"/>
        <v>6361.8297599999996</v>
      </c>
      <c r="BY190" s="938">
        <f t="shared" si="152"/>
        <v>6759.4441199999992</v>
      </c>
      <c r="BZ190" s="938">
        <f t="shared" si="152"/>
        <v>7157.0584799999997</v>
      </c>
      <c r="CA190" s="938">
        <f t="shared" si="152"/>
        <v>7554.6728399999993</v>
      </c>
      <c r="CB190" s="938">
        <f t="shared" si="152"/>
        <v>7952.2871999999998</v>
      </c>
      <c r="CC190" s="938">
        <f t="shared" si="152"/>
        <v>8349.9015600000002</v>
      </c>
      <c r="CD190" s="938">
        <f t="shared" si="152"/>
        <v>8747.5159199999998</v>
      </c>
      <c r="CE190" s="938">
        <f t="shared" si="152"/>
        <v>9145.1302799999994</v>
      </c>
      <c r="CF190" s="938">
        <f t="shared" si="152"/>
        <v>9542.744639999999</v>
      </c>
      <c r="CG190" s="938">
        <f t="shared" si="152"/>
        <v>9940.3589999999986</v>
      </c>
      <c r="CH190" s="938">
        <f t="shared" si="152"/>
        <v>10337.97336</v>
      </c>
      <c r="CI190" s="938">
        <f t="shared" si="152"/>
        <v>10735.587720000001</v>
      </c>
      <c r="CJ190" s="938">
        <f t="shared" si="152"/>
        <v>11133.202079999999</v>
      </c>
      <c r="CK190" s="938">
        <f t="shared" si="152"/>
        <v>11530.816439999999</v>
      </c>
      <c r="CL190" s="938">
        <f t="shared" si="152"/>
        <v>11928.430799999998</v>
      </c>
      <c r="CM190" s="938">
        <f t="shared" si="152"/>
        <v>12326.04516</v>
      </c>
      <c r="CN190" s="938">
        <f t="shared" ref="CN190:DG190" si="153">((CN$138-$I$4)/1000)*IF($C$13=0,$T$35,$T$52)*(($C$8/70)^$AD$52)*IF($C$13=1,$AH$52,IF($C$13=2,$AI$52,IF($C$13=3,$AJ$52,1)))</f>
        <v>12723.659519999999</v>
      </c>
      <c r="CO190" s="938">
        <f t="shared" si="153"/>
        <v>13121.273879999997</v>
      </c>
      <c r="CP190" s="938">
        <f t="shared" si="153"/>
        <v>13518.888239999998</v>
      </c>
      <c r="CQ190" s="938">
        <f t="shared" si="153"/>
        <v>13916.502599999998</v>
      </c>
      <c r="CR190" s="938">
        <f t="shared" si="153"/>
        <v>14314.116959999999</v>
      </c>
      <c r="CS190" s="938">
        <f t="shared" si="153"/>
        <v>14711.731320000001</v>
      </c>
      <c r="CT190" s="938">
        <f t="shared" si="153"/>
        <v>15109.345679999999</v>
      </c>
      <c r="CU190" s="938">
        <f t="shared" si="153"/>
        <v>15506.960039999998</v>
      </c>
      <c r="CV190" s="938">
        <f t="shared" si="153"/>
        <v>15904.5744</v>
      </c>
      <c r="CW190" s="938">
        <f t="shared" si="153"/>
        <v>16302.188759999997</v>
      </c>
      <c r="CX190" s="938">
        <f t="shared" si="153"/>
        <v>16699.80312</v>
      </c>
      <c r="CY190" s="938">
        <f t="shared" si="153"/>
        <v>17097.417479999996</v>
      </c>
      <c r="CZ190" s="938">
        <f t="shared" si="153"/>
        <v>17495.03184</v>
      </c>
      <c r="DA190" s="938">
        <f t="shared" si="153"/>
        <v>17892.646199999999</v>
      </c>
      <c r="DB190" s="938">
        <f t="shared" si="153"/>
        <v>18290.260559999999</v>
      </c>
      <c r="DC190" s="938">
        <f t="shared" si="153"/>
        <v>18687.874919999998</v>
      </c>
      <c r="DD190" s="938">
        <f t="shared" si="153"/>
        <v>19085.489279999998</v>
      </c>
      <c r="DE190" s="938">
        <f t="shared" si="153"/>
        <v>19483.103640000001</v>
      </c>
      <c r="DF190" s="938">
        <f t="shared" si="153"/>
        <v>19880.717999999997</v>
      </c>
      <c r="DG190" s="938">
        <f t="shared" si="153"/>
        <v>20278.332359999997</v>
      </c>
    </row>
    <row r="191" spans="1:111" ht="36" hidden="1" customHeight="1">
      <c r="B191" s="2469"/>
      <c r="C191" s="2469"/>
      <c r="D191" s="828"/>
      <c r="E191" s="1896"/>
      <c r="F191" s="1897"/>
      <c r="G191" s="1897"/>
      <c r="H191" s="1898"/>
      <c r="I191" s="1994"/>
      <c r="J191" s="1994"/>
      <c r="K191" s="1994"/>
      <c r="L191" s="1994"/>
      <c r="M191" s="1994"/>
      <c r="N191" s="1994"/>
      <c r="O191" s="1994"/>
      <c r="P191" s="1994"/>
      <c r="Q191" s="1994"/>
      <c r="R191" s="1994"/>
      <c r="S191" s="1994"/>
      <c r="T191" s="1994"/>
      <c r="U191" s="1994"/>
      <c r="V191" s="1994"/>
      <c r="W191" s="1994"/>
      <c r="X191" s="1994"/>
      <c r="Y191" s="1994"/>
      <c r="Z191" s="1994"/>
      <c r="AA191" s="1994"/>
      <c r="AB191" s="1994"/>
      <c r="AC191" s="1994"/>
      <c r="AD191" s="1994"/>
      <c r="AE191" s="1994"/>
      <c r="AF191" s="1994"/>
      <c r="AG191" s="1994"/>
      <c r="AH191" s="1994"/>
      <c r="AI191" s="1994"/>
      <c r="AJ191" s="1994"/>
      <c r="AK191" s="1994"/>
      <c r="AL191" s="1994"/>
      <c r="AM191" s="1994"/>
      <c r="AN191" s="1994"/>
      <c r="AO191" s="1994"/>
      <c r="AP191" s="1994"/>
      <c r="AQ191" s="1994"/>
      <c r="AR191" s="1994"/>
      <c r="AS191" s="1994"/>
      <c r="AT191" s="1994"/>
      <c r="AU191" s="1994"/>
      <c r="AV191" s="1994"/>
      <c r="AW191" s="1994"/>
      <c r="AX191" s="1994"/>
      <c r="AY191" s="1994"/>
      <c r="AZ191" s="1994"/>
      <c r="BA191" s="1994"/>
      <c r="BB191" s="1994"/>
      <c r="BC191" s="1994"/>
      <c r="BD191" s="1994"/>
      <c r="BE191" s="1994"/>
      <c r="BF191" s="1994"/>
      <c r="BG191" s="1994"/>
      <c r="BH191" s="1984"/>
    </row>
    <row r="192" spans="1:111" ht="21.75" hidden="1" thickBot="1">
      <c r="B192" s="2407" t="s">
        <v>375</v>
      </c>
      <c r="C192" s="2408"/>
      <c r="D192" s="1899"/>
      <c r="E192" s="2448" t="s">
        <v>224</v>
      </c>
      <c r="F192" s="2427" t="s">
        <v>0</v>
      </c>
      <c r="G192" s="2427" t="s">
        <v>1</v>
      </c>
      <c r="H192" s="2429" t="s">
        <v>185</v>
      </c>
      <c r="I192" s="2411" t="s">
        <v>18</v>
      </c>
      <c r="J192" s="2412"/>
      <c r="K192" s="2412"/>
      <c r="L192" s="2412"/>
      <c r="M192" s="2412"/>
      <c r="N192" s="2412"/>
      <c r="O192" s="2412"/>
      <c r="P192" s="2412"/>
      <c r="Q192" s="2412"/>
      <c r="R192" s="2412"/>
      <c r="S192" s="2412"/>
      <c r="T192" s="2412"/>
      <c r="U192" s="2412"/>
      <c r="V192" s="2412"/>
      <c r="W192" s="2412"/>
      <c r="X192" s="2412"/>
      <c r="Y192" s="2412"/>
      <c r="Z192" s="2412"/>
      <c r="AA192" s="2412"/>
      <c r="AB192" s="2412"/>
      <c r="AC192" s="2412"/>
      <c r="AD192" s="2412"/>
      <c r="AE192" s="2412"/>
      <c r="AF192" s="2412"/>
      <c r="AG192" s="2412"/>
      <c r="AH192" s="2412"/>
      <c r="AI192" s="2412"/>
      <c r="AJ192" s="2412"/>
      <c r="AK192" s="2412"/>
      <c r="AL192" s="2412"/>
      <c r="AM192" s="2412"/>
      <c r="AN192" s="2412"/>
      <c r="AO192" s="2412"/>
      <c r="AP192" s="2412"/>
      <c r="AQ192" s="2412"/>
      <c r="AR192" s="2412"/>
      <c r="AS192" s="2412"/>
      <c r="AT192" s="2412"/>
      <c r="AU192" s="2412"/>
      <c r="AV192" s="2412"/>
      <c r="AW192" s="2412"/>
      <c r="AX192" s="2412"/>
      <c r="AY192" s="2412"/>
      <c r="AZ192" s="2412"/>
      <c r="BA192" s="2412"/>
      <c r="BB192" s="2412"/>
      <c r="BC192" s="2412"/>
      <c r="BD192" s="2412"/>
      <c r="BE192" s="2412"/>
      <c r="BF192" s="2412"/>
      <c r="BG192" s="2413"/>
    </row>
    <row r="193" spans="1:111" ht="21.75" hidden="1" thickBot="1">
      <c r="B193" s="2409"/>
      <c r="C193" s="2410"/>
      <c r="D193" s="1900"/>
      <c r="E193" s="2449"/>
      <c r="F193" s="2428"/>
      <c r="G193" s="2428"/>
      <c r="H193" s="2430"/>
      <c r="I193" s="1901">
        <v>500</v>
      </c>
      <c r="J193" s="1902">
        <v>550</v>
      </c>
      <c r="K193" s="1903">
        <v>600</v>
      </c>
      <c r="L193" s="1904">
        <v>650</v>
      </c>
      <c r="M193" s="1904">
        <v>700</v>
      </c>
      <c r="N193" s="1904">
        <v>750</v>
      </c>
      <c r="O193" s="1904">
        <v>800</v>
      </c>
      <c r="P193" s="1904">
        <v>850</v>
      </c>
      <c r="Q193" s="1904">
        <v>900</v>
      </c>
      <c r="R193" s="1904">
        <v>950</v>
      </c>
      <c r="S193" s="1904">
        <v>1000</v>
      </c>
      <c r="T193" s="1904">
        <v>1050</v>
      </c>
      <c r="U193" s="1904">
        <v>1100</v>
      </c>
      <c r="V193" s="1904">
        <v>1150</v>
      </c>
      <c r="W193" s="1904">
        <v>1200</v>
      </c>
      <c r="X193" s="1904">
        <v>1250</v>
      </c>
      <c r="Y193" s="1904">
        <v>1300</v>
      </c>
      <c r="Z193" s="1904">
        <v>1350</v>
      </c>
      <c r="AA193" s="1904">
        <v>1400</v>
      </c>
      <c r="AB193" s="1904">
        <v>1450</v>
      </c>
      <c r="AC193" s="1904">
        <v>1500</v>
      </c>
      <c r="AD193" s="1904">
        <v>1550</v>
      </c>
      <c r="AE193" s="1904">
        <v>1600</v>
      </c>
      <c r="AF193" s="1904">
        <v>1650</v>
      </c>
      <c r="AG193" s="1904">
        <v>1700</v>
      </c>
      <c r="AH193" s="1904">
        <v>1750</v>
      </c>
      <c r="AI193" s="1904">
        <v>1800</v>
      </c>
      <c r="AJ193" s="1904">
        <v>1850</v>
      </c>
      <c r="AK193" s="1904">
        <v>1900</v>
      </c>
      <c r="AL193" s="1904">
        <v>1950</v>
      </c>
      <c r="AM193" s="1904">
        <v>2000</v>
      </c>
      <c r="AN193" s="1904">
        <v>2050</v>
      </c>
      <c r="AO193" s="1904">
        <v>2100</v>
      </c>
      <c r="AP193" s="1904">
        <v>2150</v>
      </c>
      <c r="AQ193" s="1904">
        <v>2200</v>
      </c>
      <c r="AR193" s="1904">
        <v>2250</v>
      </c>
      <c r="AS193" s="1904">
        <v>2300</v>
      </c>
      <c r="AT193" s="1904">
        <v>2350</v>
      </c>
      <c r="AU193" s="1904">
        <v>2400</v>
      </c>
      <c r="AV193" s="1904">
        <v>2450</v>
      </c>
      <c r="AW193" s="1904">
        <v>2500</v>
      </c>
      <c r="AX193" s="1904">
        <v>2550</v>
      </c>
      <c r="AY193" s="1904">
        <v>2600</v>
      </c>
      <c r="AZ193" s="1904">
        <v>2650</v>
      </c>
      <c r="BA193" s="1904">
        <v>2700</v>
      </c>
      <c r="BB193" s="1904">
        <v>2750</v>
      </c>
      <c r="BC193" s="1904">
        <v>2800</v>
      </c>
      <c r="BD193" s="1904">
        <v>2850</v>
      </c>
      <c r="BE193" s="1904">
        <v>2900</v>
      </c>
      <c r="BF193" s="1905">
        <v>2950</v>
      </c>
      <c r="BG193" s="1906">
        <v>3000</v>
      </c>
    </row>
    <row r="194" spans="1:111" hidden="1">
      <c r="A194" s="2309" t="s">
        <v>5756</v>
      </c>
      <c r="B194" s="2455" t="s">
        <v>5761</v>
      </c>
      <c r="C194" s="2456"/>
      <c r="D194" s="2457"/>
      <c r="E194" s="1907" t="s">
        <v>5755</v>
      </c>
      <c r="F194" s="1907">
        <v>90</v>
      </c>
      <c r="G194" s="1907">
        <v>260</v>
      </c>
      <c r="H194" s="1907">
        <v>2</v>
      </c>
      <c r="I194" s="1908">
        <f t="shared" ref="I194:AN194" si="154">((I$193-$I$4)/1000)*$N$86*(($C$8/70)^$X$86)*IF($C$13=1,$AF$67,IF($C$13=2,$AG$67,IF($C$13=3,$AH$67,1)))</f>
        <v>558.35207999999989</v>
      </c>
      <c r="J194" s="1908">
        <f t="shared" si="154"/>
        <v>744.46943999999996</v>
      </c>
      <c r="K194" s="1908">
        <f t="shared" si="154"/>
        <v>930.58679999999993</v>
      </c>
      <c r="L194" s="1908">
        <f t="shared" si="154"/>
        <v>1116.7041599999998</v>
      </c>
      <c r="M194" s="1908">
        <f t="shared" si="154"/>
        <v>1302.8215199999997</v>
      </c>
      <c r="N194" s="1908">
        <f t="shared" si="154"/>
        <v>1488.9388799999999</v>
      </c>
      <c r="O194" s="1908">
        <f t="shared" si="154"/>
        <v>1675.0562399999997</v>
      </c>
      <c r="P194" s="1908">
        <f t="shared" si="154"/>
        <v>1861.1735999999999</v>
      </c>
      <c r="Q194" s="1908">
        <f t="shared" si="154"/>
        <v>2047.2909599999998</v>
      </c>
      <c r="R194" s="1908">
        <f t="shared" si="154"/>
        <v>2233.4083199999995</v>
      </c>
      <c r="S194" s="1908">
        <f t="shared" si="154"/>
        <v>2419.5256799999997</v>
      </c>
      <c r="T194" s="1908">
        <f t="shared" si="154"/>
        <v>2605.6430399999995</v>
      </c>
      <c r="U194" s="1908">
        <f t="shared" si="154"/>
        <v>2791.7603999999997</v>
      </c>
      <c r="V194" s="1908">
        <f t="shared" si="154"/>
        <v>2977.8777599999999</v>
      </c>
      <c r="W194" s="1908">
        <f t="shared" si="154"/>
        <v>3163.9951199999996</v>
      </c>
      <c r="X194" s="1908">
        <f t="shared" si="154"/>
        <v>3350.1124799999993</v>
      </c>
      <c r="Y194" s="1908">
        <f t="shared" si="154"/>
        <v>3536.2298399999995</v>
      </c>
      <c r="Z194" s="1908">
        <f t="shared" si="154"/>
        <v>3722.3471999999997</v>
      </c>
      <c r="AA194" s="1908">
        <f t="shared" si="154"/>
        <v>3908.4645599999999</v>
      </c>
      <c r="AB194" s="1908">
        <f t="shared" si="154"/>
        <v>4094.5819199999996</v>
      </c>
      <c r="AC194" s="1908">
        <f t="shared" si="154"/>
        <v>4280.6992799999998</v>
      </c>
      <c r="AD194" s="1908">
        <f t="shared" si="154"/>
        <v>4466.8166399999991</v>
      </c>
      <c r="AE194" s="1908">
        <f t="shared" si="154"/>
        <v>4652.9339999999993</v>
      </c>
      <c r="AF194" s="1908">
        <f t="shared" si="154"/>
        <v>4839.0513599999995</v>
      </c>
      <c r="AG194" s="1908">
        <f t="shared" si="154"/>
        <v>5025.1687199999997</v>
      </c>
      <c r="AH194" s="1908">
        <f t="shared" si="154"/>
        <v>5211.2860799999989</v>
      </c>
      <c r="AI194" s="1908">
        <f t="shared" si="154"/>
        <v>5397.40344</v>
      </c>
      <c r="AJ194" s="1908">
        <f t="shared" si="154"/>
        <v>5583.5207999999993</v>
      </c>
      <c r="AK194" s="1908">
        <f t="shared" si="154"/>
        <v>5769.6381599999995</v>
      </c>
      <c r="AL194" s="1908">
        <f t="shared" si="154"/>
        <v>5955.7555199999997</v>
      </c>
      <c r="AM194" s="1908">
        <f t="shared" si="154"/>
        <v>6141.872879999999</v>
      </c>
      <c r="AN194" s="1908">
        <f t="shared" si="154"/>
        <v>6327.9902399999992</v>
      </c>
      <c r="AO194" s="1908">
        <f t="shared" ref="AO194:BG194" si="155">((AO$193-$I$4)/1000)*$N$86*(($C$8/70)^$X$86)*IF($C$13=1,$AF$67,IF($C$13=2,$AG$67,IF($C$13=3,$AH$67,1)))</f>
        <v>6514.1075999999994</v>
      </c>
      <c r="AP194" s="1908">
        <f t="shared" si="155"/>
        <v>6700.2249599999986</v>
      </c>
      <c r="AQ194" s="1908">
        <f t="shared" si="155"/>
        <v>6886.3423199999997</v>
      </c>
      <c r="AR194" s="1908">
        <f t="shared" si="155"/>
        <v>7072.459679999999</v>
      </c>
      <c r="AS194" s="1908">
        <f t="shared" si="155"/>
        <v>7258.5770399999992</v>
      </c>
      <c r="AT194" s="1908">
        <f t="shared" si="155"/>
        <v>7444.6943999999994</v>
      </c>
      <c r="AU194" s="1908">
        <f t="shared" si="155"/>
        <v>7630.8117599999987</v>
      </c>
      <c r="AV194" s="1908">
        <f t="shared" si="155"/>
        <v>7816.9291199999998</v>
      </c>
      <c r="AW194" s="1908">
        <f t="shared" si="155"/>
        <v>8003.0464799999982</v>
      </c>
      <c r="AX194" s="1908">
        <f t="shared" si="155"/>
        <v>8189.1638399999993</v>
      </c>
      <c r="AY194" s="1908">
        <f t="shared" si="155"/>
        <v>8375.2811999999994</v>
      </c>
      <c r="AZ194" s="1908">
        <f t="shared" si="155"/>
        <v>8561.3985599999996</v>
      </c>
      <c r="BA194" s="1908">
        <f t="shared" si="155"/>
        <v>8747.5159199999998</v>
      </c>
      <c r="BB194" s="1908">
        <f t="shared" si="155"/>
        <v>8933.6332799999982</v>
      </c>
      <c r="BC194" s="1908">
        <f t="shared" si="155"/>
        <v>9119.7506399999984</v>
      </c>
      <c r="BD194" s="1908">
        <f t="shared" si="155"/>
        <v>9305.8679999999986</v>
      </c>
      <c r="BE194" s="1908">
        <f t="shared" si="155"/>
        <v>9491.9853599999988</v>
      </c>
      <c r="BF194" s="1908">
        <f t="shared" si="155"/>
        <v>9678.102719999999</v>
      </c>
      <c r="BG194" s="1908">
        <f t="shared" si="155"/>
        <v>9864.2200799999991</v>
      </c>
    </row>
    <row r="195" spans="1:111" hidden="1">
      <c r="A195" s="2309"/>
      <c r="B195" s="2460" t="s">
        <v>5762</v>
      </c>
      <c r="C195" s="2461"/>
      <c r="D195" s="2458"/>
      <c r="E195" s="1909" t="s">
        <v>5755</v>
      </c>
      <c r="F195" s="1909">
        <v>90</v>
      </c>
      <c r="G195" s="1909">
        <v>300</v>
      </c>
      <c r="H195" s="1909">
        <v>2</v>
      </c>
      <c r="I195" s="1910">
        <f t="shared" ref="I195:AN195" si="156">((I$193-$I$4)/1000)*$O$86*(($C$8/70)^$Y$86)*IF($C$13=1,$AF$67,IF($C$13=2,$AG$67,IF($C$13=3,$AH$67,1)))</f>
        <v>649.25733599999978</v>
      </c>
      <c r="J195" s="1910">
        <f t="shared" si="156"/>
        <v>865.67644799999982</v>
      </c>
      <c r="K195" s="1910">
        <f t="shared" si="156"/>
        <v>1082.0955599999998</v>
      </c>
      <c r="L195" s="1910">
        <f t="shared" si="156"/>
        <v>1298.5146719999996</v>
      </c>
      <c r="M195" s="1910">
        <f t="shared" si="156"/>
        <v>1514.9337839999996</v>
      </c>
      <c r="N195" s="1910">
        <f t="shared" si="156"/>
        <v>1731.3528959999996</v>
      </c>
      <c r="O195" s="1910">
        <f t="shared" si="156"/>
        <v>1947.7720079999997</v>
      </c>
      <c r="P195" s="1910">
        <f t="shared" si="156"/>
        <v>2164.1911199999995</v>
      </c>
      <c r="Q195" s="1910">
        <f t="shared" si="156"/>
        <v>2380.6102319999995</v>
      </c>
      <c r="R195" s="1910">
        <f t="shared" si="156"/>
        <v>2597.0293439999991</v>
      </c>
      <c r="S195" s="1910">
        <f t="shared" si="156"/>
        <v>2813.4484559999996</v>
      </c>
      <c r="T195" s="1910">
        <f t="shared" si="156"/>
        <v>3029.8675679999992</v>
      </c>
      <c r="U195" s="1910">
        <f t="shared" si="156"/>
        <v>3246.2866799999993</v>
      </c>
      <c r="V195" s="1910">
        <f t="shared" si="156"/>
        <v>3462.7057919999993</v>
      </c>
      <c r="W195" s="1910">
        <f t="shared" si="156"/>
        <v>3679.1249039999989</v>
      </c>
      <c r="X195" s="1910">
        <f t="shared" si="156"/>
        <v>3895.5440159999994</v>
      </c>
      <c r="Y195" s="1910">
        <f t="shared" si="156"/>
        <v>4111.9631279999985</v>
      </c>
      <c r="Z195" s="1910">
        <f t="shared" si="156"/>
        <v>4328.382239999999</v>
      </c>
      <c r="AA195" s="1910">
        <f t="shared" si="156"/>
        <v>4544.8013519999995</v>
      </c>
      <c r="AB195" s="1910">
        <f t="shared" si="156"/>
        <v>4761.2204639999991</v>
      </c>
      <c r="AC195" s="1910">
        <f t="shared" si="156"/>
        <v>4977.6395759999987</v>
      </c>
      <c r="AD195" s="1910">
        <f t="shared" si="156"/>
        <v>5194.0586879999983</v>
      </c>
      <c r="AE195" s="1910">
        <f t="shared" si="156"/>
        <v>5410.4777999999988</v>
      </c>
      <c r="AF195" s="1910">
        <f t="shared" si="156"/>
        <v>5626.8969119999992</v>
      </c>
      <c r="AG195" s="1910">
        <f t="shared" si="156"/>
        <v>5843.3160239999988</v>
      </c>
      <c r="AH195" s="1910">
        <f t="shared" si="156"/>
        <v>6059.7351359999984</v>
      </c>
      <c r="AI195" s="1910">
        <f t="shared" si="156"/>
        <v>6276.154247999998</v>
      </c>
      <c r="AJ195" s="1910">
        <f t="shared" si="156"/>
        <v>6492.5733599999985</v>
      </c>
      <c r="AK195" s="1910">
        <f t="shared" si="156"/>
        <v>6708.992471999999</v>
      </c>
      <c r="AL195" s="1910">
        <f t="shared" si="156"/>
        <v>6925.4115839999986</v>
      </c>
      <c r="AM195" s="1910">
        <f t="shared" si="156"/>
        <v>7141.8306959999982</v>
      </c>
      <c r="AN195" s="1910">
        <f t="shared" si="156"/>
        <v>7358.2498079999978</v>
      </c>
      <c r="AO195" s="1910">
        <f t="shared" ref="AO195:BG195" si="157">((AO$193-$I$4)/1000)*$O$86*(($C$8/70)^$Y$86)*IF($C$13=1,$AF$67,IF($C$13=2,$AG$67,IF($C$13=3,$AH$67,1)))</f>
        <v>7574.6689199999983</v>
      </c>
      <c r="AP195" s="1910">
        <f t="shared" si="157"/>
        <v>7791.0880319999987</v>
      </c>
      <c r="AQ195" s="1910">
        <f t="shared" si="157"/>
        <v>8007.5071439999983</v>
      </c>
      <c r="AR195" s="1910">
        <f t="shared" si="157"/>
        <v>8223.926255999997</v>
      </c>
      <c r="AS195" s="1910">
        <f t="shared" si="157"/>
        <v>8440.3453679999984</v>
      </c>
      <c r="AT195" s="1910">
        <f t="shared" si="157"/>
        <v>8656.764479999998</v>
      </c>
      <c r="AU195" s="1910">
        <f t="shared" si="157"/>
        <v>8873.1835919999976</v>
      </c>
      <c r="AV195" s="1910">
        <f t="shared" si="157"/>
        <v>9089.602703999999</v>
      </c>
      <c r="AW195" s="1910">
        <f t="shared" si="157"/>
        <v>9306.0218159999968</v>
      </c>
      <c r="AX195" s="1910">
        <f t="shared" si="157"/>
        <v>9522.4409279999982</v>
      </c>
      <c r="AY195" s="1910">
        <f t="shared" si="157"/>
        <v>9738.8600399999978</v>
      </c>
      <c r="AZ195" s="1910">
        <f t="shared" si="157"/>
        <v>9955.2791519999973</v>
      </c>
      <c r="BA195" s="1910">
        <f t="shared" si="157"/>
        <v>10171.698263999997</v>
      </c>
      <c r="BB195" s="1910">
        <f t="shared" si="157"/>
        <v>10388.117375999997</v>
      </c>
      <c r="BC195" s="1910">
        <f t="shared" si="157"/>
        <v>10604.536487999998</v>
      </c>
      <c r="BD195" s="1910">
        <f t="shared" si="157"/>
        <v>10820.955599999998</v>
      </c>
      <c r="BE195" s="1910">
        <f t="shared" si="157"/>
        <v>11037.374711999997</v>
      </c>
      <c r="BF195" s="1910">
        <f t="shared" si="157"/>
        <v>11253.793823999998</v>
      </c>
      <c r="BG195" s="1910">
        <f t="shared" si="157"/>
        <v>11470.212935999998</v>
      </c>
      <c r="BI195" s="632">
        <f t="shared" ref="BI195:BX196" si="158">I201/I195</f>
        <v>1.3093816631130066</v>
      </c>
      <c r="BJ195" s="632">
        <f t="shared" si="158"/>
        <v>1.3093816631130062</v>
      </c>
      <c r="BK195" s="632">
        <f t="shared" si="158"/>
        <v>1.3093816631130062</v>
      </c>
      <c r="BL195" s="632">
        <f t="shared" si="158"/>
        <v>1.3093816631130066</v>
      </c>
      <c r="BM195" s="632">
        <f t="shared" si="158"/>
        <v>1.3093816631130062</v>
      </c>
      <c r="BN195" s="632">
        <f t="shared" si="158"/>
        <v>1.3093816631130062</v>
      </c>
      <c r="BO195" s="632">
        <f t="shared" si="158"/>
        <v>1.3093816631130064</v>
      </c>
      <c r="BP195" s="632">
        <f t="shared" si="158"/>
        <v>1.3093816631130062</v>
      </c>
      <c r="BQ195" s="632">
        <f t="shared" si="158"/>
        <v>1.3093816631130064</v>
      </c>
      <c r="BR195" s="632">
        <f t="shared" si="158"/>
        <v>1.3093816631130066</v>
      </c>
      <c r="BS195" s="632">
        <f t="shared" si="158"/>
        <v>1.3093816631130062</v>
      </c>
      <c r="BT195" s="632">
        <f t="shared" si="158"/>
        <v>1.3093816631130062</v>
      </c>
      <c r="BU195" s="632">
        <f t="shared" si="158"/>
        <v>1.3093816631130062</v>
      </c>
      <c r="BV195" s="632">
        <f t="shared" si="158"/>
        <v>1.3093816631130062</v>
      </c>
      <c r="BW195" s="632">
        <f t="shared" si="158"/>
        <v>1.3093816631130064</v>
      </c>
      <c r="BX195" s="632">
        <f t="shared" si="158"/>
        <v>1.3093816631130064</v>
      </c>
      <c r="BY195" s="632">
        <f t="shared" ref="BY195:CN196" si="159">Y201/Y195</f>
        <v>1.3093816631130066</v>
      </c>
      <c r="BZ195" s="632">
        <f t="shared" si="159"/>
        <v>1.3093816631130062</v>
      </c>
      <c r="CA195" s="632">
        <f t="shared" si="159"/>
        <v>1.3093816631130062</v>
      </c>
      <c r="CB195" s="632">
        <f t="shared" si="159"/>
        <v>1.3093816631130064</v>
      </c>
      <c r="CC195" s="632">
        <f t="shared" si="159"/>
        <v>1.3093816631130062</v>
      </c>
      <c r="CD195" s="632">
        <f t="shared" si="159"/>
        <v>1.3093816631130066</v>
      </c>
      <c r="CE195" s="632">
        <f t="shared" si="159"/>
        <v>1.3093816631130062</v>
      </c>
      <c r="CF195" s="632">
        <f t="shared" si="159"/>
        <v>1.3093816631130062</v>
      </c>
      <c r="CG195" s="632">
        <f t="shared" si="159"/>
        <v>1.3093816631130064</v>
      </c>
      <c r="CH195" s="632">
        <f t="shared" si="159"/>
        <v>1.3093816631130062</v>
      </c>
      <c r="CI195" s="632">
        <f t="shared" si="159"/>
        <v>1.3093816631130064</v>
      </c>
      <c r="CJ195" s="632">
        <f t="shared" si="159"/>
        <v>1.3093816631130062</v>
      </c>
      <c r="CK195" s="632">
        <f t="shared" si="159"/>
        <v>1.3093816631130064</v>
      </c>
      <c r="CL195" s="632">
        <f t="shared" si="159"/>
        <v>1.3093816631130062</v>
      </c>
      <c r="CM195" s="632">
        <f t="shared" si="159"/>
        <v>1.3093816631130062</v>
      </c>
      <c r="CN195" s="632">
        <f t="shared" si="159"/>
        <v>1.3093816631130064</v>
      </c>
      <c r="CO195" s="632">
        <f t="shared" ref="CO195:DD196" si="160">AO201/AO195</f>
        <v>1.3093816631130062</v>
      </c>
      <c r="CP195" s="632">
        <f t="shared" si="160"/>
        <v>1.3093816631130064</v>
      </c>
      <c r="CQ195" s="632">
        <f t="shared" si="160"/>
        <v>1.3093816631130062</v>
      </c>
      <c r="CR195" s="632">
        <f t="shared" si="160"/>
        <v>1.3093816631130066</v>
      </c>
      <c r="CS195" s="632">
        <f t="shared" si="160"/>
        <v>1.3093816631130062</v>
      </c>
      <c r="CT195" s="632">
        <f t="shared" si="160"/>
        <v>1.3093816631130062</v>
      </c>
      <c r="CU195" s="632">
        <f t="shared" si="160"/>
        <v>1.3093816631130062</v>
      </c>
      <c r="CV195" s="632">
        <f t="shared" si="160"/>
        <v>1.3093816631130062</v>
      </c>
      <c r="CW195" s="632">
        <f t="shared" si="160"/>
        <v>1.3093816631130066</v>
      </c>
      <c r="CX195" s="632">
        <f t="shared" si="160"/>
        <v>1.3093816631130064</v>
      </c>
      <c r="CY195" s="632">
        <f t="shared" si="160"/>
        <v>1.3093816631130062</v>
      </c>
      <c r="CZ195" s="632">
        <f t="shared" si="160"/>
        <v>1.3093816631130062</v>
      </c>
      <c r="DA195" s="632">
        <f t="shared" si="160"/>
        <v>1.3093816631130064</v>
      </c>
      <c r="DB195" s="632">
        <f t="shared" si="160"/>
        <v>1.3093816631130066</v>
      </c>
      <c r="DC195" s="632">
        <f t="shared" si="160"/>
        <v>1.3093816631130064</v>
      </c>
      <c r="DD195" s="632">
        <f t="shared" si="160"/>
        <v>1.3093816631130062</v>
      </c>
      <c r="DE195" s="632">
        <f t="shared" ref="CW195:DG196" si="161">BE201/BE195</f>
        <v>1.3093816631130062</v>
      </c>
      <c r="DF195" s="632">
        <f t="shared" si="161"/>
        <v>1.3093816631130062</v>
      </c>
      <c r="DG195" s="632">
        <f t="shared" si="161"/>
        <v>1.3093816631130064</v>
      </c>
    </row>
    <row r="196" spans="1:111" hidden="1">
      <c r="A196" s="2309"/>
      <c r="B196" s="2460" t="s">
        <v>5763</v>
      </c>
      <c r="C196" s="2461"/>
      <c r="D196" s="2458"/>
      <c r="E196" s="1909" t="s">
        <v>5755</v>
      </c>
      <c r="F196" s="1909">
        <v>90</v>
      </c>
      <c r="G196" s="1909">
        <v>360</v>
      </c>
      <c r="H196" s="1909">
        <v>2</v>
      </c>
      <c r="I196" s="1910">
        <f t="shared" ref="I196:AN196" si="162">((I$193-$I$4)/1000)*$Q$86*(($C$8/70)^$AA$86)*IF($C$13=1,$AF$67,IF($C$13=2,$AG$67,IF($C$13=3,$AH$67,1)))</f>
        <v>694.70534952000003</v>
      </c>
      <c r="J196" s="1910">
        <f t="shared" si="162"/>
        <v>926.27379936000011</v>
      </c>
      <c r="K196" s="1910">
        <f t="shared" si="162"/>
        <v>1157.8422492</v>
      </c>
      <c r="L196" s="1910">
        <f t="shared" si="162"/>
        <v>1389.4106990400001</v>
      </c>
      <c r="M196" s="1910">
        <f t="shared" si="162"/>
        <v>1620.9791488799999</v>
      </c>
      <c r="N196" s="1910">
        <f t="shared" si="162"/>
        <v>1852.5475987200002</v>
      </c>
      <c r="O196" s="1910">
        <f t="shared" si="162"/>
        <v>2084.1160485599999</v>
      </c>
      <c r="P196" s="1910">
        <f t="shared" si="162"/>
        <v>2315.6844983999999</v>
      </c>
      <c r="Q196" s="1910">
        <f t="shared" si="162"/>
        <v>2547.2529482400005</v>
      </c>
      <c r="R196" s="1910">
        <f t="shared" si="162"/>
        <v>2778.8213980800001</v>
      </c>
      <c r="S196" s="1910">
        <f t="shared" si="162"/>
        <v>3010.3898479200002</v>
      </c>
      <c r="T196" s="1910">
        <f t="shared" si="162"/>
        <v>3241.9582977599998</v>
      </c>
      <c r="U196" s="1910">
        <f t="shared" si="162"/>
        <v>3473.5267475999999</v>
      </c>
      <c r="V196" s="1910">
        <f t="shared" si="162"/>
        <v>3705.0951974400004</v>
      </c>
      <c r="W196" s="1910">
        <f t="shared" si="162"/>
        <v>3936.6636472800001</v>
      </c>
      <c r="X196" s="1910">
        <f t="shared" si="162"/>
        <v>4168.2320971199997</v>
      </c>
      <c r="Y196" s="1910">
        <f t="shared" si="162"/>
        <v>4399.8005469600002</v>
      </c>
      <c r="Z196" s="1910">
        <f t="shared" si="162"/>
        <v>4631.3689967999999</v>
      </c>
      <c r="AA196" s="1910">
        <f t="shared" si="162"/>
        <v>4862.9374466400004</v>
      </c>
      <c r="AB196" s="1910">
        <f t="shared" si="162"/>
        <v>5094.505896480001</v>
      </c>
      <c r="AC196" s="1910">
        <f t="shared" si="162"/>
        <v>5326.0743463199997</v>
      </c>
      <c r="AD196" s="1910">
        <f t="shared" si="162"/>
        <v>5557.6427961600002</v>
      </c>
      <c r="AE196" s="1910">
        <f t="shared" si="162"/>
        <v>5789.2112459999998</v>
      </c>
      <c r="AF196" s="1910">
        <f t="shared" si="162"/>
        <v>6020.7796958400004</v>
      </c>
      <c r="AG196" s="1910">
        <f t="shared" si="162"/>
        <v>6252.3481456800009</v>
      </c>
      <c r="AH196" s="1910">
        <f t="shared" si="162"/>
        <v>6483.9165955199996</v>
      </c>
      <c r="AI196" s="1910">
        <f t="shared" si="162"/>
        <v>6715.4850453600002</v>
      </c>
      <c r="AJ196" s="1910">
        <f t="shared" si="162"/>
        <v>6947.0534951999998</v>
      </c>
      <c r="AK196" s="1910">
        <f t="shared" si="162"/>
        <v>7178.6219450400004</v>
      </c>
      <c r="AL196" s="1910">
        <f t="shared" si="162"/>
        <v>7410.1903948800009</v>
      </c>
      <c r="AM196" s="1910">
        <f t="shared" si="162"/>
        <v>7641.7588447199996</v>
      </c>
      <c r="AN196" s="1910">
        <f t="shared" si="162"/>
        <v>7873.3272945600002</v>
      </c>
      <c r="AO196" s="1910">
        <f t="shared" ref="AO196:BG196" si="163">((AO$193-$I$4)/1000)*$Q$86*(($C$8/70)^$AA$86)*IF($C$13=1,$AF$67,IF($C$13=2,$AG$67,IF($C$13=3,$AH$67,1)))</f>
        <v>8104.8957444000007</v>
      </c>
      <c r="AP196" s="1910">
        <f t="shared" si="163"/>
        <v>8336.4641942399994</v>
      </c>
      <c r="AQ196" s="1910">
        <f t="shared" si="163"/>
        <v>8568.0326440800018</v>
      </c>
      <c r="AR196" s="1910">
        <f t="shared" si="163"/>
        <v>8799.6010939200005</v>
      </c>
      <c r="AS196" s="1910">
        <f t="shared" si="163"/>
        <v>9031.169543760001</v>
      </c>
      <c r="AT196" s="1910">
        <f t="shared" si="163"/>
        <v>9262.7379935999998</v>
      </c>
      <c r="AU196" s="1910">
        <f t="shared" si="163"/>
        <v>9494.3064434399985</v>
      </c>
      <c r="AV196" s="1910">
        <f t="shared" si="163"/>
        <v>9725.8748932800008</v>
      </c>
      <c r="AW196" s="1910">
        <f t="shared" si="163"/>
        <v>9957.4433431199996</v>
      </c>
      <c r="AX196" s="1910">
        <f t="shared" si="163"/>
        <v>10189.011792960002</v>
      </c>
      <c r="AY196" s="1910">
        <f t="shared" si="163"/>
        <v>10420.580242800001</v>
      </c>
      <c r="AZ196" s="1910">
        <f t="shared" si="163"/>
        <v>10652.148692639999</v>
      </c>
      <c r="BA196" s="1910">
        <f t="shared" si="163"/>
        <v>10883.71714248</v>
      </c>
      <c r="BB196" s="1910">
        <f t="shared" si="163"/>
        <v>11115.28559232</v>
      </c>
      <c r="BC196" s="1910">
        <f t="shared" si="163"/>
        <v>11346.854042160001</v>
      </c>
      <c r="BD196" s="1910">
        <f t="shared" si="163"/>
        <v>11578.422492</v>
      </c>
      <c r="BE196" s="1910">
        <f t="shared" si="163"/>
        <v>11809.990941839998</v>
      </c>
      <c r="BF196" s="1910">
        <f t="shared" si="163"/>
        <v>12041.559391680001</v>
      </c>
      <c r="BG196" s="1910">
        <f t="shared" si="163"/>
        <v>12273.127841520001</v>
      </c>
      <c r="BI196" s="632">
        <f t="shared" si="158"/>
        <v>0.72170339316721477</v>
      </c>
      <c r="BJ196" s="632">
        <f t="shared" si="158"/>
        <v>0.72170339316721488</v>
      </c>
      <c r="BK196" s="632">
        <f t="shared" si="158"/>
        <v>0.72170339316721488</v>
      </c>
      <c r="BL196" s="632">
        <f t="shared" si="158"/>
        <v>0.72170339316721477</v>
      </c>
      <c r="BM196" s="632">
        <f t="shared" si="158"/>
        <v>0.72170339316721488</v>
      </c>
      <c r="BN196" s="632">
        <f t="shared" si="158"/>
        <v>0.72170339316721488</v>
      </c>
      <c r="BO196" s="632">
        <f t="shared" si="158"/>
        <v>0.72170339316721488</v>
      </c>
      <c r="BP196" s="632">
        <f t="shared" si="158"/>
        <v>0.72170339316721488</v>
      </c>
      <c r="BQ196" s="632">
        <f t="shared" si="158"/>
        <v>0.72170339316721477</v>
      </c>
      <c r="BR196" s="632">
        <f t="shared" si="158"/>
        <v>0.72170339316721477</v>
      </c>
      <c r="BS196" s="632">
        <f t="shared" si="158"/>
        <v>0.72170339316721488</v>
      </c>
      <c r="BT196" s="632">
        <f t="shared" si="158"/>
        <v>0.72170339316721488</v>
      </c>
      <c r="BU196" s="632">
        <f t="shared" si="158"/>
        <v>0.72170339316721477</v>
      </c>
      <c r="BV196" s="632">
        <f t="shared" si="158"/>
        <v>0.72170339316721488</v>
      </c>
      <c r="BW196" s="632">
        <f t="shared" si="158"/>
        <v>0.72170339316721477</v>
      </c>
      <c r="BX196" s="632">
        <f t="shared" si="158"/>
        <v>0.72170339316721488</v>
      </c>
      <c r="BY196" s="632">
        <f t="shared" si="159"/>
        <v>0.72170339316721477</v>
      </c>
      <c r="BZ196" s="632">
        <f t="shared" si="159"/>
        <v>0.72170339316721488</v>
      </c>
      <c r="CA196" s="632">
        <f t="shared" si="159"/>
        <v>0.72170339316721477</v>
      </c>
      <c r="CB196" s="632">
        <f t="shared" si="159"/>
        <v>0.72170339316721477</v>
      </c>
      <c r="CC196" s="632">
        <f t="shared" si="159"/>
        <v>0.72170339316721477</v>
      </c>
      <c r="CD196" s="632">
        <f t="shared" si="159"/>
        <v>0.72170339316721477</v>
      </c>
      <c r="CE196" s="632">
        <f t="shared" si="159"/>
        <v>0.72170339316721488</v>
      </c>
      <c r="CF196" s="632">
        <f t="shared" si="159"/>
        <v>0.72170339316721488</v>
      </c>
      <c r="CG196" s="632">
        <f t="shared" si="159"/>
        <v>0.72170339316721477</v>
      </c>
      <c r="CH196" s="632">
        <f t="shared" si="159"/>
        <v>0.72170339316721488</v>
      </c>
      <c r="CI196" s="632">
        <f t="shared" si="159"/>
        <v>0.72170339316721488</v>
      </c>
      <c r="CJ196" s="632">
        <f t="shared" si="159"/>
        <v>0.72170339316721477</v>
      </c>
      <c r="CK196" s="632">
        <f t="shared" si="159"/>
        <v>0.72170339316721488</v>
      </c>
      <c r="CL196" s="632">
        <f t="shared" si="159"/>
        <v>0.72170339316721488</v>
      </c>
      <c r="CM196" s="632">
        <f t="shared" si="159"/>
        <v>0.72170339316721477</v>
      </c>
      <c r="CN196" s="632">
        <f t="shared" si="159"/>
        <v>0.72170339316721477</v>
      </c>
      <c r="CO196" s="632">
        <f t="shared" si="160"/>
        <v>0.72170339316721477</v>
      </c>
      <c r="CP196" s="632">
        <f t="shared" si="160"/>
        <v>0.72170339316721488</v>
      </c>
      <c r="CQ196" s="632">
        <f t="shared" si="160"/>
        <v>0.72170339316721477</v>
      </c>
      <c r="CR196" s="632">
        <f t="shared" si="160"/>
        <v>0.72170339316721477</v>
      </c>
      <c r="CS196" s="632">
        <f t="shared" si="160"/>
        <v>0.72170339316721466</v>
      </c>
      <c r="CT196" s="632">
        <f t="shared" si="160"/>
        <v>0.72170339316721488</v>
      </c>
      <c r="CU196" s="632">
        <f t="shared" si="160"/>
        <v>0.72170339316721488</v>
      </c>
      <c r="CV196" s="632">
        <f t="shared" si="160"/>
        <v>0.72170339316721477</v>
      </c>
      <c r="CW196" s="632">
        <f t="shared" si="161"/>
        <v>0.72170339316721477</v>
      </c>
      <c r="CX196" s="632">
        <f t="shared" si="161"/>
        <v>0.72170339316721477</v>
      </c>
      <c r="CY196" s="632">
        <f t="shared" si="161"/>
        <v>0.72170339316721477</v>
      </c>
      <c r="CZ196" s="632">
        <f t="shared" si="161"/>
        <v>0.72170339316721477</v>
      </c>
      <c r="DA196" s="632">
        <f t="shared" si="161"/>
        <v>0.72170339316721488</v>
      </c>
      <c r="DB196" s="632">
        <f t="shared" si="161"/>
        <v>0.72170339316721477</v>
      </c>
      <c r="DC196" s="632">
        <f t="shared" si="161"/>
        <v>0.72170339316721477</v>
      </c>
      <c r="DD196" s="632">
        <f t="shared" si="161"/>
        <v>0.72170339316721488</v>
      </c>
      <c r="DE196" s="632">
        <f t="shared" si="161"/>
        <v>0.72170339316721488</v>
      </c>
      <c r="DF196" s="632">
        <f t="shared" si="161"/>
        <v>0.72170339316721488</v>
      </c>
      <c r="DG196" s="632">
        <f t="shared" si="161"/>
        <v>0.72170339316721466</v>
      </c>
    </row>
    <row r="197" spans="1:111" ht="15.75" hidden="1" thickBot="1">
      <c r="A197" s="2309"/>
      <c r="B197" s="2462" t="s">
        <v>5764</v>
      </c>
      <c r="C197" s="2463"/>
      <c r="D197" s="2459"/>
      <c r="E197" s="1911" t="s">
        <v>5755</v>
      </c>
      <c r="F197" s="1911">
        <v>90</v>
      </c>
      <c r="G197" s="1911">
        <v>400</v>
      </c>
      <c r="H197" s="1911">
        <v>2</v>
      </c>
      <c r="I197" s="1912">
        <f t="shared" ref="I197:AN197" si="164">((I$193-$I$4)/1000)*$R$86*(($C$8/70)^$AB$86)*IF($C$13=1,$AF$67,IF($C$13=2,$AG$67,IF($C$13=3,$AH$67,1)))</f>
        <v>746.64593639999975</v>
      </c>
      <c r="J197" s="1912">
        <f t="shared" si="164"/>
        <v>995.52791519999994</v>
      </c>
      <c r="K197" s="1912">
        <f t="shared" si="164"/>
        <v>1244.4098939999997</v>
      </c>
      <c r="L197" s="1912">
        <f t="shared" si="164"/>
        <v>1493.2918727999995</v>
      </c>
      <c r="M197" s="1912">
        <f t="shared" si="164"/>
        <v>1742.1738515999996</v>
      </c>
      <c r="N197" s="1912">
        <f t="shared" si="164"/>
        <v>1991.0558303999999</v>
      </c>
      <c r="O197" s="1912">
        <f t="shared" si="164"/>
        <v>2239.9378091999997</v>
      </c>
      <c r="P197" s="1912">
        <f t="shared" si="164"/>
        <v>2488.8197879999993</v>
      </c>
      <c r="Q197" s="1912">
        <f t="shared" si="164"/>
        <v>2737.7017667999999</v>
      </c>
      <c r="R197" s="1912">
        <f t="shared" si="164"/>
        <v>2986.583745599999</v>
      </c>
      <c r="S197" s="1912">
        <f t="shared" si="164"/>
        <v>3235.4657243999995</v>
      </c>
      <c r="T197" s="1912">
        <f t="shared" si="164"/>
        <v>3484.3477031999992</v>
      </c>
      <c r="U197" s="1912">
        <f t="shared" si="164"/>
        <v>3733.2296819999992</v>
      </c>
      <c r="V197" s="1912">
        <f t="shared" si="164"/>
        <v>3982.1116607999998</v>
      </c>
      <c r="W197" s="1912">
        <f t="shared" si="164"/>
        <v>4230.9936395999994</v>
      </c>
      <c r="X197" s="1912">
        <f t="shared" si="164"/>
        <v>4479.8756183999994</v>
      </c>
      <c r="Y197" s="1912">
        <f t="shared" si="164"/>
        <v>4728.7575971999986</v>
      </c>
      <c r="Z197" s="1912">
        <f t="shared" si="164"/>
        <v>4977.6395759999987</v>
      </c>
      <c r="AA197" s="1912">
        <f t="shared" si="164"/>
        <v>5226.5215547999996</v>
      </c>
      <c r="AB197" s="1912">
        <f t="shared" si="164"/>
        <v>5475.4035335999997</v>
      </c>
      <c r="AC197" s="1912">
        <f t="shared" si="164"/>
        <v>5724.285512399998</v>
      </c>
      <c r="AD197" s="1912">
        <f t="shared" si="164"/>
        <v>5973.167491199998</v>
      </c>
      <c r="AE197" s="1912">
        <f t="shared" si="164"/>
        <v>6222.0494699999981</v>
      </c>
      <c r="AF197" s="1912">
        <f t="shared" si="164"/>
        <v>6470.9314487999991</v>
      </c>
      <c r="AG197" s="1912">
        <f t="shared" si="164"/>
        <v>6719.8134275999992</v>
      </c>
      <c r="AH197" s="1912">
        <f t="shared" si="164"/>
        <v>6968.6954063999983</v>
      </c>
      <c r="AI197" s="1912">
        <f t="shared" si="164"/>
        <v>7217.5773851999984</v>
      </c>
      <c r="AJ197" s="1912">
        <f t="shared" si="164"/>
        <v>7466.4593639999985</v>
      </c>
      <c r="AK197" s="1912">
        <f t="shared" si="164"/>
        <v>7715.3413427999985</v>
      </c>
      <c r="AL197" s="1912">
        <f t="shared" si="164"/>
        <v>7964.2233215999995</v>
      </c>
      <c r="AM197" s="1912">
        <f t="shared" si="164"/>
        <v>8213.1053003999987</v>
      </c>
      <c r="AN197" s="1912">
        <f t="shared" si="164"/>
        <v>8461.9872791999987</v>
      </c>
      <c r="AO197" s="1912">
        <f t="shared" ref="AO197:BG197" si="165">((AO$193-$I$4)/1000)*$R$86*(($C$8/70)^$AB$86)*IF($C$13=1,$AF$67,IF($C$13=2,$AG$67,IF($C$13=3,$AH$67,1)))</f>
        <v>8710.8692579999988</v>
      </c>
      <c r="AP197" s="1912">
        <f t="shared" si="165"/>
        <v>8959.7512367999989</v>
      </c>
      <c r="AQ197" s="1912">
        <f t="shared" si="165"/>
        <v>9208.6332155999971</v>
      </c>
      <c r="AR197" s="1912">
        <f t="shared" si="165"/>
        <v>9457.5151943999972</v>
      </c>
      <c r="AS197" s="1912">
        <f t="shared" si="165"/>
        <v>9706.3971731999973</v>
      </c>
      <c r="AT197" s="1912">
        <f t="shared" si="165"/>
        <v>9955.2791519999973</v>
      </c>
      <c r="AU197" s="1912">
        <f t="shared" si="165"/>
        <v>10204.161130799997</v>
      </c>
      <c r="AV197" s="1912">
        <f t="shared" si="165"/>
        <v>10453.043109599999</v>
      </c>
      <c r="AW197" s="1912">
        <f t="shared" si="165"/>
        <v>10701.925088399998</v>
      </c>
      <c r="AX197" s="1912">
        <f t="shared" si="165"/>
        <v>10950.807067199999</v>
      </c>
      <c r="AY197" s="1912">
        <f t="shared" si="165"/>
        <v>11199.689045999998</v>
      </c>
      <c r="AZ197" s="1912">
        <f t="shared" si="165"/>
        <v>11448.571024799996</v>
      </c>
      <c r="BA197" s="1912">
        <f t="shared" si="165"/>
        <v>11697.453003599998</v>
      </c>
      <c r="BB197" s="1912">
        <f t="shared" si="165"/>
        <v>11946.334982399996</v>
      </c>
      <c r="BC197" s="1912">
        <f t="shared" si="165"/>
        <v>12195.216961199998</v>
      </c>
      <c r="BD197" s="1912">
        <f t="shared" si="165"/>
        <v>12444.098939999996</v>
      </c>
      <c r="BE197" s="1912">
        <f t="shared" si="165"/>
        <v>12692.980918799996</v>
      </c>
      <c r="BF197" s="1912">
        <f t="shared" si="165"/>
        <v>12941.862897599998</v>
      </c>
      <c r="BG197" s="1912">
        <f t="shared" si="165"/>
        <v>13190.744876399998</v>
      </c>
      <c r="BI197" s="632">
        <f>0</f>
        <v>0</v>
      </c>
      <c r="BJ197" s="632">
        <f>0</f>
        <v>0</v>
      </c>
      <c r="BK197" s="632">
        <f>0</f>
        <v>0</v>
      </c>
      <c r="BL197" s="632">
        <f>0</f>
        <v>0</v>
      </c>
      <c r="BM197" s="632">
        <f>0</f>
        <v>0</v>
      </c>
      <c r="BN197" s="632">
        <f>0</f>
        <v>0</v>
      </c>
      <c r="BO197" s="632">
        <f>0</f>
        <v>0</v>
      </c>
      <c r="BP197" s="632">
        <f>0</f>
        <v>0</v>
      </c>
      <c r="BQ197" s="632">
        <f>0</f>
        <v>0</v>
      </c>
      <c r="BR197" s="632">
        <f>0</f>
        <v>0</v>
      </c>
      <c r="BS197" s="632">
        <f>0</f>
        <v>0</v>
      </c>
      <c r="BT197" s="632">
        <f>0</f>
        <v>0</v>
      </c>
      <c r="BU197" s="632">
        <f>0</f>
        <v>0</v>
      </c>
      <c r="BV197" s="632">
        <f>0</f>
        <v>0</v>
      </c>
      <c r="BW197" s="632">
        <f>0</f>
        <v>0</v>
      </c>
      <c r="BX197" s="632">
        <f>0</f>
        <v>0</v>
      </c>
      <c r="BY197" s="632">
        <f>0</f>
        <v>0</v>
      </c>
      <c r="BZ197" s="632">
        <f>0</f>
        <v>0</v>
      </c>
      <c r="CA197" s="632">
        <f>0</f>
        <v>0</v>
      </c>
      <c r="CB197" s="632">
        <f>0</f>
        <v>0</v>
      </c>
      <c r="CC197" s="632">
        <f>0</f>
        <v>0</v>
      </c>
      <c r="CD197" s="632">
        <f>0</f>
        <v>0</v>
      </c>
      <c r="CE197" s="632">
        <f>0</f>
        <v>0</v>
      </c>
      <c r="CF197" s="632">
        <f>0</f>
        <v>0</v>
      </c>
      <c r="CG197" s="632">
        <f>0</f>
        <v>0</v>
      </c>
      <c r="CH197" s="632">
        <f>0</f>
        <v>0</v>
      </c>
      <c r="CI197" s="632">
        <f>0</f>
        <v>0</v>
      </c>
      <c r="CJ197" s="632">
        <f>0</f>
        <v>0</v>
      </c>
      <c r="CK197" s="632">
        <f>0</f>
        <v>0</v>
      </c>
      <c r="CL197" s="632">
        <f>0</f>
        <v>0</v>
      </c>
      <c r="CM197" s="632">
        <f>0</f>
        <v>0</v>
      </c>
      <c r="CN197" s="632">
        <f>0</f>
        <v>0</v>
      </c>
      <c r="CO197" s="632">
        <f>0</f>
        <v>0</v>
      </c>
      <c r="CP197" s="632">
        <f>0</f>
        <v>0</v>
      </c>
      <c r="CQ197" s="632">
        <f>0</f>
        <v>0</v>
      </c>
      <c r="CR197" s="632">
        <f>0</f>
        <v>0</v>
      </c>
      <c r="CS197" s="632">
        <f>0</f>
        <v>0</v>
      </c>
      <c r="CT197" s="632">
        <f>0</f>
        <v>0</v>
      </c>
      <c r="CU197" s="632">
        <f>0</f>
        <v>0</v>
      </c>
      <c r="CV197" s="632">
        <f>0</f>
        <v>0</v>
      </c>
      <c r="CW197" s="632">
        <f>0</f>
        <v>0</v>
      </c>
      <c r="CX197" s="632">
        <f>0</f>
        <v>0</v>
      </c>
      <c r="CY197" s="632">
        <f>0</f>
        <v>0</v>
      </c>
      <c r="CZ197" s="632">
        <f>0</f>
        <v>0</v>
      </c>
      <c r="DA197" s="632">
        <f>0</f>
        <v>0</v>
      </c>
      <c r="DB197" s="632">
        <f>0</f>
        <v>0</v>
      </c>
      <c r="DC197" s="632">
        <f>0</f>
        <v>0</v>
      </c>
      <c r="DD197" s="632">
        <f>0</f>
        <v>0</v>
      </c>
      <c r="DE197" s="632">
        <f>0</f>
        <v>0</v>
      </c>
      <c r="DF197" s="632">
        <f>0</f>
        <v>0</v>
      </c>
      <c r="DG197" s="632">
        <f>0</f>
        <v>0</v>
      </c>
    </row>
    <row r="198" spans="1:111" hidden="1">
      <c r="A198" s="2309"/>
      <c r="B198" s="2464" t="s">
        <v>5765</v>
      </c>
      <c r="C198" s="2465"/>
      <c r="D198" s="2466"/>
      <c r="E198" s="1913" t="s">
        <v>5755</v>
      </c>
      <c r="F198" s="1913">
        <v>110</v>
      </c>
      <c r="G198" s="1913">
        <v>260</v>
      </c>
      <c r="H198" s="1913">
        <v>2</v>
      </c>
      <c r="I198" s="1914">
        <f t="shared" ref="I198:AN198" si="166">((I$193-$I$4)/1000)*$N$87*(($C$8/70)^$X$87)*IF($C$13=1,$AF$68,IF($C$13=2,$AG$68,IF($C$13=3,$AH$68,1)))</f>
        <v>612.5722199999999</v>
      </c>
      <c r="J198" s="1914">
        <f t="shared" si="166"/>
        <v>816.76295999999991</v>
      </c>
      <c r="K198" s="1914">
        <f t="shared" si="166"/>
        <v>1020.9536999999998</v>
      </c>
      <c r="L198" s="1914">
        <f t="shared" si="166"/>
        <v>1225.1444399999998</v>
      </c>
      <c r="M198" s="1914">
        <f t="shared" si="166"/>
        <v>1429.3351799999996</v>
      </c>
      <c r="N198" s="1914">
        <f t="shared" si="166"/>
        <v>1633.5259199999998</v>
      </c>
      <c r="O198" s="1914">
        <f t="shared" si="166"/>
        <v>1837.7166599999996</v>
      </c>
      <c r="P198" s="1914">
        <f t="shared" si="166"/>
        <v>2041.9073999999996</v>
      </c>
      <c r="Q198" s="1914">
        <f t="shared" si="166"/>
        <v>2246.0981399999996</v>
      </c>
      <c r="R198" s="1914">
        <f t="shared" si="166"/>
        <v>2450.2888799999996</v>
      </c>
      <c r="S198" s="1914">
        <f t="shared" si="166"/>
        <v>2654.4796199999996</v>
      </c>
      <c r="T198" s="1914">
        <f t="shared" si="166"/>
        <v>2858.6703599999992</v>
      </c>
      <c r="U198" s="1914">
        <f t="shared" si="166"/>
        <v>3062.8610999999996</v>
      </c>
      <c r="V198" s="1914">
        <f t="shared" si="166"/>
        <v>3267.0518399999996</v>
      </c>
      <c r="W198" s="1914">
        <f t="shared" si="166"/>
        <v>3471.2425799999992</v>
      </c>
      <c r="X198" s="1914">
        <f t="shared" si="166"/>
        <v>3675.4333199999992</v>
      </c>
      <c r="Y198" s="1914">
        <f t="shared" si="166"/>
        <v>3879.6240599999992</v>
      </c>
      <c r="Z198" s="1914">
        <f t="shared" si="166"/>
        <v>4083.8147999999992</v>
      </c>
      <c r="AA198" s="1914">
        <f t="shared" si="166"/>
        <v>4288.0055399999992</v>
      </c>
      <c r="AB198" s="1914">
        <f t="shared" si="166"/>
        <v>4492.1962799999992</v>
      </c>
      <c r="AC198" s="1914">
        <f t="shared" si="166"/>
        <v>4696.3870199999992</v>
      </c>
      <c r="AD198" s="1914">
        <f t="shared" si="166"/>
        <v>4900.5777599999992</v>
      </c>
      <c r="AE198" s="1914">
        <f t="shared" si="166"/>
        <v>5104.7684999999992</v>
      </c>
      <c r="AF198" s="1914">
        <f t="shared" si="166"/>
        <v>5308.9592399999992</v>
      </c>
      <c r="AG198" s="1914">
        <f t="shared" si="166"/>
        <v>5513.1499799999992</v>
      </c>
      <c r="AH198" s="1914">
        <f t="shared" si="166"/>
        <v>5717.3407199999983</v>
      </c>
      <c r="AI198" s="1914">
        <f t="shared" si="166"/>
        <v>5921.5314599999992</v>
      </c>
      <c r="AJ198" s="1914">
        <f t="shared" si="166"/>
        <v>6125.7221999999992</v>
      </c>
      <c r="AK198" s="1914">
        <f t="shared" si="166"/>
        <v>6329.9129399999993</v>
      </c>
      <c r="AL198" s="1914">
        <f t="shared" si="166"/>
        <v>6534.1036799999993</v>
      </c>
      <c r="AM198" s="1914">
        <f t="shared" si="166"/>
        <v>6738.2944199999993</v>
      </c>
      <c r="AN198" s="1914">
        <f t="shared" si="166"/>
        <v>6942.4851599999984</v>
      </c>
      <c r="AO198" s="1914">
        <f t="shared" ref="AO198:BG198" si="167">((AO$193-$I$4)/1000)*$N$87*(($C$8/70)^$X$87)*IF($C$13=1,$AF$68,IF($C$13=2,$AG$68,IF($C$13=3,$AH$68,1)))</f>
        <v>7146.6758999999993</v>
      </c>
      <c r="AP198" s="1914">
        <f t="shared" si="167"/>
        <v>7350.8666399999984</v>
      </c>
      <c r="AQ198" s="1914">
        <f t="shared" si="167"/>
        <v>7555.0573799999993</v>
      </c>
      <c r="AR198" s="1914">
        <f t="shared" si="167"/>
        <v>7759.2481199999984</v>
      </c>
      <c r="AS198" s="1914">
        <f t="shared" si="167"/>
        <v>7963.4388599999984</v>
      </c>
      <c r="AT198" s="1914">
        <f t="shared" si="167"/>
        <v>8167.6295999999984</v>
      </c>
      <c r="AU198" s="1914">
        <f t="shared" si="167"/>
        <v>8371.8203399999984</v>
      </c>
      <c r="AV198" s="1914">
        <f t="shared" si="167"/>
        <v>8576.0110799999984</v>
      </c>
      <c r="AW198" s="1914">
        <f t="shared" si="167"/>
        <v>8780.2018199999984</v>
      </c>
      <c r="AX198" s="1914">
        <f t="shared" si="167"/>
        <v>8984.3925599999984</v>
      </c>
      <c r="AY198" s="1914">
        <f t="shared" si="167"/>
        <v>9188.5832999999984</v>
      </c>
      <c r="AZ198" s="1914">
        <f t="shared" si="167"/>
        <v>9392.7740399999984</v>
      </c>
      <c r="BA198" s="1914">
        <f t="shared" si="167"/>
        <v>9596.9647799999984</v>
      </c>
      <c r="BB198" s="1914">
        <f t="shared" si="167"/>
        <v>9801.1555199999984</v>
      </c>
      <c r="BC198" s="1914">
        <f t="shared" si="167"/>
        <v>10005.346259999998</v>
      </c>
      <c r="BD198" s="1914">
        <f t="shared" si="167"/>
        <v>10209.536999999998</v>
      </c>
      <c r="BE198" s="1914">
        <f t="shared" si="167"/>
        <v>10413.727739999998</v>
      </c>
      <c r="BF198" s="1914">
        <f t="shared" si="167"/>
        <v>10617.918479999998</v>
      </c>
      <c r="BG198" s="1914">
        <f t="shared" si="167"/>
        <v>10822.109219999997</v>
      </c>
    </row>
    <row r="199" spans="1:111" hidden="1">
      <c r="A199" s="2309"/>
      <c r="B199" s="2464" t="s">
        <v>5766</v>
      </c>
      <c r="C199" s="2465"/>
      <c r="D199" s="2467"/>
      <c r="E199" s="1913" t="s">
        <v>5755</v>
      </c>
      <c r="F199" s="1913">
        <v>110</v>
      </c>
      <c r="G199" s="1913">
        <v>300</v>
      </c>
      <c r="H199" s="1913">
        <v>2</v>
      </c>
      <c r="I199" s="1914">
        <f t="shared" ref="I199:AN199" si="168">((I$193-$I$4)/1000)*$O$87*(($C$8/70)^$Y$87)*IF($C$13=1,$AH$33,IF($C$13=2,$AI$33,IF($C$13=3,$AJ$33,1)))</f>
        <v>739.23969599999987</v>
      </c>
      <c r="J199" s="1914">
        <f t="shared" si="168"/>
        <v>985.65292799999986</v>
      </c>
      <c r="K199" s="1914">
        <f t="shared" si="168"/>
        <v>1232.0661599999999</v>
      </c>
      <c r="L199" s="1914">
        <f t="shared" si="168"/>
        <v>1478.4793919999997</v>
      </c>
      <c r="M199" s="1914">
        <f t="shared" si="168"/>
        <v>1724.8926239999996</v>
      </c>
      <c r="N199" s="1914">
        <f t="shared" si="168"/>
        <v>1971.3058559999997</v>
      </c>
      <c r="O199" s="1914">
        <f t="shared" si="168"/>
        <v>2217.7190879999998</v>
      </c>
      <c r="P199" s="1914">
        <f t="shared" si="168"/>
        <v>2464.1323199999997</v>
      </c>
      <c r="Q199" s="1914">
        <f t="shared" si="168"/>
        <v>2710.5455519999996</v>
      </c>
      <c r="R199" s="1914">
        <f t="shared" si="168"/>
        <v>2956.9587839999995</v>
      </c>
      <c r="S199" s="1914">
        <f t="shared" si="168"/>
        <v>3203.3720159999993</v>
      </c>
      <c r="T199" s="1914">
        <f t="shared" si="168"/>
        <v>3449.7852479999992</v>
      </c>
      <c r="U199" s="1914">
        <f t="shared" si="168"/>
        <v>3696.1984799999991</v>
      </c>
      <c r="V199" s="1914">
        <f t="shared" si="168"/>
        <v>3942.6117119999994</v>
      </c>
      <c r="W199" s="1914">
        <f t="shared" si="168"/>
        <v>4189.0249439999998</v>
      </c>
      <c r="X199" s="1914">
        <f t="shared" si="168"/>
        <v>4435.4381759999997</v>
      </c>
      <c r="Y199" s="1914">
        <f t="shared" si="168"/>
        <v>4681.8514079999995</v>
      </c>
      <c r="Z199" s="1914">
        <f t="shared" si="168"/>
        <v>4928.2646399999994</v>
      </c>
      <c r="AA199" s="1914">
        <f t="shared" si="168"/>
        <v>5174.6778719999993</v>
      </c>
      <c r="AB199" s="1914">
        <f t="shared" si="168"/>
        <v>5421.0911039999992</v>
      </c>
      <c r="AC199" s="1914">
        <f t="shared" si="168"/>
        <v>5667.5043359999981</v>
      </c>
      <c r="AD199" s="1914">
        <f t="shared" si="168"/>
        <v>5913.9175679999989</v>
      </c>
      <c r="AE199" s="1914">
        <f t="shared" si="168"/>
        <v>6160.3307999999997</v>
      </c>
      <c r="AF199" s="1914">
        <f t="shared" si="168"/>
        <v>6406.7440319999987</v>
      </c>
      <c r="AG199" s="1914">
        <f t="shared" si="168"/>
        <v>6653.1572639999995</v>
      </c>
      <c r="AH199" s="1914">
        <f t="shared" si="168"/>
        <v>6899.5704959999985</v>
      </c>
      <c r="AI199" s="1914">
        <f t="shared" si="168"/>
        <v>7145.9837279999992</v>
      </c>
      <c r="AJ199" s="1914">
        <f t="shared" si="168"/>
        <v>7392.3969599999982</v>
      </c>
      <c r="AK199" s="1914">
        <f t="shared" si="168"/>
        <v>7638.810191999999</v>
      </c>
      <c r="AL199" s="1914">
        <f t="shared" si="168"/>
        <v>7885.2234239999989</v>
      </c>
      <c r="AM199" s="1914">
        <f t="shared" si="168"/>
        <v>8131.6366559999988</v>
      </c>
      <c r="AN199" s="1914">
        <f t="shared" si="168"/>
        <v>8378.0498879999996</v>
      </c>
      <c r="AO199" s="1914">
        <f t="shared" ref="AO199:BG199" si="169">((AO$193-$I$4)/1000)*$O$87*(($C$8/70)^$Y$87)*IF($C$13=1,$AH$33,IF($C$13=2,$AI$33,IF($C$13=3,$AJ$33,1)))</f>
        <v>8624.4631199999985</v>
      </c>
      <c r="AP199" s="1914">
        <f t="shared" si="169"/>
        <v>8870.8763519999993</v>
      </c>
      <c r="AQ199" s="1914">
        <f t="shared" si="169"/>
        <v>9117.2895840000001</v>
      </c>
      <c r="AR199" s="1914">
        <f t="shared" si="169"/>
        <v>9363.7028159999991</v>
      </c>
      <c r="AS199" s="1914">
        <f t="shared" si="169"/>
        <v>9610.116047999998</v>
      </c>
      <c r="AT199" s="1914">
        <f t="shared" si="169"/>
        <v>9856.5292799999988</v>
      </c>
      <c r="AU199" s="1914">
        <f t="shared" si="169"/>
        <v>10102.942511999998</v>
      </c>
      <c r="AV199" s="1914">
        <f t="shared" si="169"/>
        <v>10349.355743999999</v>
      </c>
      <c r="AW199" s="1914">
        <f t="shared" si="169"/>
        <v>10595.768975999999</v>
      </c>
      <c r="AX199" s="1914">
        <f t="shared" si="169"/>
        <v>10842.182207999998</v>
      </c>
      <c r="AY199" s="1914">
        <f t="shared" si="169"/>
        <v>11088.595439999997</v>
      </c>
      <c r="AZ199" s="1914">
        <f t="shared" si="169"/>
        <v>11335.008671999996</v>
      </c>
      <c r="BA199" s="1914">
        <f t="shared" si="169"/>
        <v>11581.421903999999</v>
      </c>
      <c r="BB199" s="1914">
        <f t="shared" si="169"/>
        <v>11827.835135999998</v>
      </c>
      <c r="BC199" s="1914">
        <f t="shared" si="169"/>
        <v>12074.248367999999</v>
      </c>
      <c r="BD199" s="1914">
        <f t="shared" si="169"/>
        <v>12320.661599999999</v>
      </c>
      <c r="BE199" s="1914">
        <f t="shared" si="169"/>
        <v>12567.074831999998</v>
      </c>
      <c r="BF199" s="1914">
        <f t="shared" si="169"/>
        <v>12813.488063999997</v>
      </c>
      <c r="BG199" s="1914">
        <f t="shared" si="169"/>
        <v>13059.901295999996</v>
      </c>
      <c r="BI199" s="632">
        <f t="shared" ref="BI199:DG199" si="170">I205/I200</f>
        <v>1.1220349563046195</v>
      </c>
      <c r="BJ199" s="632">
        <f t="shared" si="170"/>
        <v>1.1220349563046192</v>
      </c>
      <c r="BK199" s="632">
        <f t="shared" si="170"/>
        <v>1.1220349563046195</v>
      </c>
      <c r="BL199" s="632">
        <f t="shared" si="170"/>
        <v>1.1220349563046195</v>
      </c>
      <c r="BM199" s="632">
        <f t="shared" si="170"/>
        <v>1.1220349563046195</v>
      </c>
      <c r="BN199" s="632">
        <f t="shared" si="170"/>
        <v>1.1220349563046192</v>
      </c>
      <c r="BO199" s="632">
        <f t="shared" si="170"/>
        <v>1.1220349563046192</v>
      </c>
      <c r="BP199" s="632">
        <f t="shared" si="170"/>
        <v>1.1220349563046195</v>
      </c>
      <c r="BQ199" s="632">
        <f t="shared" si="170"/>
        <v>1.1220349563046192</v>
      </c>
      <c r="BR199" s="632">
        <f t="shared" si="170"/>
        <v>1.1220349563046195</v>
      </c>
      <c r="BS199" s="632">
        <f t="shared" si="170"/>
        <v>1.1220349563046195</v>
      </c>
      <c r="BT199" s="632">
        <f t="shared" si="170"/>
        <v>1.1220349563046195</v>
      </c>
      <c r="BU199" s="632">
        <f t="shared" si="170"/>
        <v>1.1220349563046195</v>
      </c>
      <c r="BV199" s="632">
        <f t="shared" si="170"/>
        <v>1.1220349563046192</v>
      </c>
      <c r="BW199" s="632">
        <f t="shared" si="170"/>
        <v>1.1220349563046192</v>
      </c>
      <c r="BX199" s="632">
        <f t="shared" si="170"/>
        <v>1.1220349563046192</v>
      </c>
      <c r="BY199" s="632">
        <f t="shared" si="170"/>
        <v>1.1220349563046195</v>
      </c>
      <c r="BZ199" s="632">
        <f t="shared" si="170"/>
        <v>1.1220349563046195</v>
      </c>
      <c r="CA199" s="632">
        <f t="shared" si="170"/>
        <v>1.1220349563046195</v>
      </c>
      <c r="CB199" s="632">
        <f t="shared" si="170"/>
        <v>1.1220349563046192</v>
      </c>
      <c r="CC199" s="632">
        <f t="shared" si="170"/>
        <v>1.1220349563046192</v>
      </c>
      <c r="CD199" s="632">
        <f t="shared" si="170"/>
        <v>1.1220349563046195</v>
      </c>
      <c r="CE199" s="632">
        <f t="shared" si="170"/>
        <v>1.1220349563046195</v>
      </c>
      <c r="CF199" s="632">
        <f t="shared" si="170"/>
        <v>1.1220349563046195</v>
      </c>
      <c r="CG199" s="632">
        <f t="shared" si="170"/>
        <v>1.1220349563046195</v>
      </c>
      <c r="CH199" s="632">
        <f t="shared" si="170"/>
        <v>1.1220349563046195</v>
      </c>
      <c r="CI199" s="632">
        <f t="shared" si="170"/>
        <v>1.1220349563046197</v>
      </c>
      <c r="CJ199" s="632">
        <f t="shared" si="170"/>
        <v>1.1220349563046195</v>
      </c>
      <c r="CK199" s="632">
        <f t="shared" si="170"/>
        <v>1.1220349563046195</v>
      </c>
      <c r="CL199" s="632">
        <f t="shared" si="170"/>
        <v>1.1220349563046192</v>
      </c>
      <c r="CM199" s="632">
        <f t="shared" si="170"/>
        <v>1.1220349563046192</v>
      </c>
      <c r="CN199" s="632">
        <f t="shared" si="170"/>
        <v>1.1220349563046192</v>
      </c>
      <c r="CO199" s="632">
        <f t="shared" si="170"/>
        <v>1.1220349563046192</v>
      </c>
      <c r="CP199" s="632">
        <f t="shared" si="170"/>
        <v>1.1220349563046192</v>
      </c>
      <c r="CQ199" s="632">
        <f t="shared" si="170"/>
        <v>1.1220349563046195</v>
      </c>
      <c r="CR199" s="632">
        <f t="shared" si="170"/>
        <v>1.1220349563046195</v>
      </c>
      <c r="CS199" s="632">
        <f t="shared" si="170"/>
        <v>1.1220349563046197</v>
      </c>
      <c r="CT199" s="632">
        <f t="shared" si="170"/>
        <v>1.1220349563046195</v>
      </c>
      <c r="CU199" s="632">
        <f t="shared" si="170"/>
        <v>1.1220349563046195</v>
      </c>
      <c r="CV199" s="632">
        <f t="shared" si="170"/>
        <v>1.1220349563046195</v>
      </c>
      <c r="CW199" s="632">
        <f t="shared" si="170"/>
        <v>1.1220349563046195</v>
      </c>
      <c r="CX199" s="632">
        <f t="shared" si="170"/>
        <v>1.1220349563046192</v>
      </c>
      <c r="CY199" s="632">
        <f t="shared" si="170"/>
        <v>1.1220349563046195</v>
      </c>
      <c r="CZ199" s="632">
        <f t="shared" si="170"/>
        <v>1.1220349563046192</v>
      </c>
      <c r="DA199" s="632">
        <f t="shared" si="170"/>
        <v>1.1220349563046195</v>
      </c>
      <c r="DB199" s="632">
        <f t="shared" si="170"/>
        <v>1.1220349563046195</v>
      </c>
      <c r="DC199" s="632">
        <f t="shared" si="170"/>
        <v>1.1220349563046195</v>
      </c>
      <c r="DD199" s="632">
        <f t="shared" si="170"/>
        <v>1.1220349563046195</v>
      </c>
      <c r="DE199" s="632">
        <f t="shared" si="170"/>
        <v>1.1220349563046195</v>
      </c>
      <c r="DF199" s="632">
        <f t="shared" si="170"/>
        <v>1.1220349563046195</v>
      </c>
      <c r="DG199" s="632">
        <f t="shared" si="170"/>
        <v>1.1220349563046195</v>
      </c>
    </row>
    <row r="200" spans="1:111" hidden="1">
      <c r="A200" s="2309"/>
      <c r="B200" s="2464" t="s">
        <v>5767</v>
      </c>
      <c r="C200" s="2465"/>
      <c r="D200" s="2467"/>
      <c r="E200" s="1913" t="s">
        <v>5755</v>
      </c>
      <c r="F200" s="1913">
        <v>110</v>
      </c>
      <c r="G200" s="1913">
        <v>360</v>
      </c>
      <c r="H200" s="1913">
        <v>2</v>
      </c>
      <c r="I200" s="1914">
        <f t="shared" ref="I200:AN200" si="171">((I$193-$I$4)/1000)*$Q87*(($C$8/70)^$AA$87)*IF($C$13=1,$AF$68,IF($C$13=2,$AG$68,IF($C$13=3,$AH$68,1)))</f>
        <v>790.98647471999982</v>
      </c>
      <c r="J200" s="1914">
        <f t="shared" si="171"/>
        <v>1054.64863296</v>
      </c>
      <c r="K200" s="1914">
        <f t="shared" si="171"/>
        <v>1318.3107911999998</v>
      </c>
      <c r="L200" s="1914">
        <f t="shared" si="171"/>
        <v>1581.9729494399996</v>
      </c>
      <c r="M200" s="1914">
        <f t="shared" si="171"/>
        <v>1845.6351076799995</v>
      </c>
      <c r="N200" s="1914">
        <f t="shared" si="171"/>
        <v>2109.29726592</v>
      </c>
      <c r="O200" s="1914">
        <f t="shared" si="171"/>
        <v>2372.9594241599998</v>
      </c>
      <c r="P200" s="1914">
        <f t="shared" si="171"/>
        <v>2636.6215823999996</v>
      </c>
      <c r="Q200" s="1914">
        <f t="shared" si="171"/>
        <v>2900.2837406399995</v>
      </c>
      <c r="R200" s="1914">
        <f t="shared" si="171"/>
        <v>3163.9458988799993</v>
      </c>
      <c r="S200" s="1914">
        <f t="shared" si="171"/>
        <v>3427.6080571199991</v>
      </c>
      <c r="T200" s="1914">
        <f t="shared" si="171"/>
        <v>3691.2702153599989</v>
      </c>
      <c r="U200" s="1914">
        <f t="shared" si="171"/>
        <v>3954.9323735999992</v>
      </c>
      <c r="V200" s="1914">
        <f t="shared" si="171"/>
        <v>4218.5945318399999</v>
      </c>
      <c r="W200" s="1914">
        <f t="shared" si="171"/>
        <v>4482.2566900799993</v>
      </c>
      <c r="X200" s="1914">
        <f t="shared" si="171"/>
        <v>4745.9188483199996</v>
      </c>
      <c r="Y200" s="1914">
        <f t="shared" si="171"/>
        <v>5009.581006559999</v>
      </c>
      <c r="Z200" s="1914">
        <f t="shared" si="171"/>
        <v>5273.2431647999992</v>
      </c>
      <c r="AA200" s="1914">
        <f t="shared" si="171"/>
        <v>5536.9053230399986</v>
      </c>
      <c r="AB200" s="1914">
        <f t="shared" si="171"/>
        <v>5800.5674812799989</v>
      </c>
      <c r="AC200" s="1914">
        <f t="shared" si="171"/>
        <v>6064.2296395199983</v>
      </c>
      <c r="AD200" s="1914">
        <f t="shared" si="171"/>
        <v>6327.8917977599986</v>
      </c>
      <c r="AE200" s="1914">
        <f t="shared" si="171"/>
        <v>6591.5539559999979</v>
      </c>
      <c r="AF200" s="1914">
        <f t="shared" si="171"/>
        <v>6855.2161142399982</v>
      </c>
      <c r="AG200" s="1914">
        <f t="shared" si="171"/>
        <v>7118.8782724799985</v>
      </c>
      <c r="AH200" s="1914">
        <f t="shared" si="171"/>
        <v>7382.5404307199979</v>
      </c>
      <c r="AI200" s="1914">
        <f t="shared" si="171"/>
        <v>7646.2025889599972</v>
      </c>
      <c r="AJ200" s="1914">
        <f t="shared" si="171"/>
        <v>7909.8647471999984</v>
      </c>
      <c r="AK200" s="1914">
        <f t="shared" si="171"/>
        <v>8173.5269054399987</v>
      </c>
      <c r="AL200" s="1914">
        <f t="shared" si="171"/>
        <v>8437.1890636799999</v>
      </c>
      <c r="AM200" s="1914">
        <f t="shared" si="171"/>
        <v>8700.8512219199984</v>
      </c>
      <c r="AN200" s="1914">
        <f t="shared" si="171"/>
        <v>8964.5133801599986</v>
      </c>
      <c r="AO200" s="1914">
        <f t="shared" ref="AO200:BG200" si="172">((AO$193-$I$4)/1000)*$Q87*(($C$8/70)^$AA$87)*IF($C$13=1,$AF$68,IF($C$13=2,$AG$68,IF($C$13=3,$AH$68,1)))</f>
        <v>9228.1755383999989</v>
      </c>
      <c r="AP200" s="1914">
        <f t="shared" si="172"/>
        <v>9491.8376966399992</v>
      </c>
      <c r="AQ200" s="1914">
        <f t="shared" si="172"/>
        <v>9755.4998548799977</v>
      </c>
      <c r="AR200" s="1914">
        <f t="shared" si="172"/>
        <v>10019.162013119998</v>
      </c>
      <c r="AS200" s="1914">
        <f t="shared" si="172"/>
        <v>10282.824171359996</v>
      </c>
      <c r="AT200" s="1914">
        <f t="shared" si="172"/>
        <v>10546.486329599998</v>
      </c>
      <c r="AU200" s="1914">
        <f t="shared" si="172"/>
        <v>10810.148487839997</v>
      </c>
      <c r="AV200" s="1914">
        <f t="shared" si="172"/>
        <v>11073.810646079997</v>
      </c>
      <c r="AW200" s="1914">
        <f t="shared" si="172"/>
        <v>11337.472804319998</v>
      </c>
      <c r="AX200" s="1914">
        <f t="shared" si="172"/>
        <v>11601.134962559998</v>
      </c>
      <c r="AY200" s="1914">
        <f t="shared" si="172"/>
        <v>11864.797120799996</v>
      </c>
      <c r="AZ200" s="1914">
        <f t="shared" si="172"/>
        <v>12128.459279039997</v>
      </c>
      <c r="BA200" s="1914">
        <f t="shared" si="172"/>
        <v>12392.121437279997</v>
      </c>
      <c r="BB200" s="1914">
        <f t="shared" si="172"/>
        <v>12655.783595519997</v>
      </c>
      <c r="BC200" s="1914">
        <f t="shared" si="172"/>
        <v>12919.445753759997</v>
      </c>
      <c r="BD200" s="1914">
        <f t="shared" si="172"/>
        <v>13183.107911999996</v>
      </c>
      <c r="BE200" s="1914">
        <f t="shared" si="172"/>
        <v>13446.770070239996</v>
      </c>
      <c r="BF200" s="1914">
        <f t="shared" si="172"/>
        <v>13710.432228479996</v>
      </c>
      <c r="BG200" s="1914">
        <f t="shared" si="172"/>
        <v>13974.094386719995</v>
      </c>
      <c r="BI200" s="632" t="e">
        <f>#REF!/I201</f>
        <v>#REF!</v>
      </c>
      <c r="BJ200" s="632" t="e">
        <f>#REF!/J201</f>
        <v>#REF!</v>
      </c>
      <c r="BK200" s="632" t="e">
        <f>#REF!/K201</f>
        <v>#REF!</v>
      </c>
      <c r="BL200" s="632" t="e">
        <f>#REF!/L201</f>
        <v>#REF!</v>
      </c>
      <c r="BM200" s="632" t="e">
        <f>#REF!/M201</f>
        <v>#REF!</v>
      </c>
      <c r="BN200" s="632" t="e">
        <f>#REF!/N201</f>
        <v>#REF!</v>
      </c>
      <c r="BO200" s="632" t="e">
        <f>#REF!/O201</f>
        <v>#REF!</v>
      </c>
      <c r="BP200" s="632" t="e">
        <f>#REF!/P201</f>
        <v>#REF!</v>
      </c>
      <c r="BQ200" s="632" t="e">
        <f>#REF!/Q201</f>
        <v>#REF!</v>
      </c>
      <c r="BR200" s="632" t="e">
        <f>#REF!/R201</f>
        <v>#REF!</v>
      </c>
      <c r="BS200" s="632" t="e">
        <f>#REF!/S201</f>
        <v>#REF!</v>
      </c>
      <c r="BT200" s="632" t="e">
        <f>#REF!/T201</f>
        <v>#REF!</v>
      </c>
      <c r="BU200" s="632" t="e">
        <f>#REF!/U201</f>
        <v>#REF!</v>
      </c>
      <c r="BV200" s="632" t="e">
        <f>#REF!/V201</f>
        <v>#REF!</v>
      </c>
      <c r="BW200" s="632" t="e">
        <f>#REF!/W201</f>
        <v>#REF!</v>
      </c>
      <c r="BX200" s="632" t="e">
        <f>#REF!/X201</f>
        <v>#REF!</v>
      </c>
      <c r="BY200" s="632" t="e">
        <f>#REF!/Y201</f>
        <v>#REF!</v>
      </c>
      <c r="BZ200" s="632" t="e">
        <f>#REF!/Z201</f>
        <v>#REF!</v>
      </c>
      <c r="CA200" s="632" t="e">
        <f>#REF!/AA201</f>
        <v>#REF!</v>
      </c>
      <c r="CB200" s="632" t="e">
        <f>#REF!/AB201</f>
        <v>#REF!</v>
      </c>
      <c r="CC200" s="632" t="e">
        <f>#REF!/AC201</f>
        <v>#REF!</v>
      </c>
      <c r="CD200" s="632" t="e">
        <f>#REF!/AD201</f>
        <v>#REF!</v>
      </c>
      <c r="CE200" s="632" t="e">
        <f>#REF!/AE201</f>
        <v>#REF!</v>
      </c>
      <c r="CF200" s="632" t="e">
        <f>#REF!/AF201</f>
        <v>#REF!</v>
      </c>
      <c r="CG200" s="632" t="e">
        <f>#REF!/AG201</f>
        <v>#REF!</v>
      </c>
      <c r="CH200" s="632" t="e">
        <f>#REF!/AH201</f>
        <v>#REF!</v>
      </c>
      <c r="CI200" s="632" t="e">
        <f>#REF!/AI201</f>
        <v>#REF!</v>
      </c>
      <c r="CJ200" s="632" t="e">
        <f>#REF!/AJ201</f>
        <v>#REF!</v>
      </c>
      <c r="CK200" s="632" t="e">
        <f>#REF!/AK201</f>
        <v>#REF!</v>
      </c>
      <c r="CL200" s="632" t="e">
        <f>#REF!/AL201</f>
        <v>#REF!</v>
      </c>
      <c r="CM200" s="632" t="e">
        <f>#REF!/AM201</f>
        <v>#REF!</v>
      </c>
      <c r="CN200" s="632" t="e">
        <f>#REF!/AN201</f>
        <v>#REF!</v>
      </c>
      <c r="CO200" s="632" t="e">
        <f>#REF!/AO201</f>
        <v>#REF!</v>
      </c>
      <c r="CP200" s="632" t="e">
        <f>#REF!/AP201</f>
        <v>#REF!</v>
      </c>
      <c r="CQ200" s="632" t="e">
        <f>#REF!/AQ201</f>
        <v>#REF!</v>
      </c>
      <c r="CR200" s="632" t="e">
        <f>#REF!/AR201</f>
        <v>#REF!</v>
      </c>
      <c r="CS200" s="632" t="e">
        <f>#REF!/AS201</f>
        <v>#REF!</v>
      </c>
      <c r="CT200" s="632" t="e">
        <f>#REF!/AT201</f>
        <v>#REF!</v>
      </c>
      <c r="CU200" s="632" t="e">
        <f>#REF!/AU201</f>
        <v>#REF!</v>
      </c>
      <c r="CV200" s="632" t="e">
        <f>#REF!/AV201</f>
        <v>#REF!</v>
      </c>
      <c r="CW200" s="632" t="e">
        <f>#REF!/AW201</f>
        <v>#REF!</v>
      </c>
      <c r="CX200" s="632" t="e">
        <f>#REF!/AX201</f>
        <v>#REF!</v>
      </c>
      <c r="CY200" s="632" t="e">
        <f>#REF!/AY201</f>
        <v>#REF!</v>
      </c>
      <c r="CZ200" s="632" t="e">
        <f>#REF!/AZ201</f>
        <v>#REF!</v>
      </c>
      <c r="DA200" s="632" t="e">
        <f>#REF!/BA201</f>
        <v>#REF!</v>
      </c>
      <c r="DB200" s="632" t="e">
        <f>#REF!/BB201</f>
        <v>#REF!</v>
      </c>
      <c r="DC200" s="632" t="e">
        <f>#REF!/BC201</f>
        <v>#REF!</v>
      </c>
      <c r="DD200" s="632" t="e">
        <f>#REF!/BD201</f>
        <v>#REF!</v>
      </c>
      <c r="DE200" s="632" t="e">
        <f>#REF!/BE201</f>
        <v>#REF!</v>
      </c>
      <c r="DF200" s="632" t="e">
        <f>#REF!/BF201</f>
        <v>#REF!</v>
      </c>
      <c r="DG200" s="632" t="e">
        <f>#REF!/BG201</f>
        <v>#REF!</v>
      </c>
    </row>
    <row r="201" spans="1:111" ht="15.75" hidden="1" thickBot="1">
      <c r="A201" s="2309"/>
      <c r="B201" s="2450" t="s">
        <v>5768</v>
      </c>
      <c r="C201" s="2451"/>
      <c r="D201" s="2468"/>
      <c r="E201" s="1915" t="s">
        <v>5755</v>
      </c>
      <c r="F201" s="1915">
        <v>110</v>
      </c>
      <c r="G201" s="1915">
        <v>400</v>
      </c>
      <c r="H201" s="1915">
        <v>2</v>
      </c>
      <c r="I201" s="1916">
        <f t="shared" ref="I201:AN201" si="173">((I$193-$I$4)/1000)*$R$87*(($C$8/70)^$AB$87)*IF($C$13=1,$AF$68,IF($C$13=2,$AG$68,IF($C$13=3,$AH$68,1)))</f>
        <v>850.12565039999981</v>
      </c>
      <c r="J201" s="1916">
        <f t="shared" si="173"/>
        <v>1133.5008671999997</v>
      </c>
      <c r="K201" s="1916">
        <f t="shared" si="173"/>
        <v>1416.8760839999995</v>
      </c>
      <c r="L201" s="1916">
        <f t="shared" si="173"/>
        <v>1700.2513007999996</v>
      </c>
      <c r="M201" s="1916">
        <f t="shared" si="173"/>
        <v>1983.6265175999993</v>
      </c>
      <c r="N201" s="1916">
        <f t="shared" si="173"/>
        <v>2267.0017343999993</v>
      </c>
      <c r="O201" s="1916">
        <f t="shared" si="173"/>
        <v>2550.3769511999994</v>
      </c>
      <c r="P201" s="1916">
        <f t="shared" si="173"/>
        <v>2833.7521679999991</v>
      </c>
      <c r="Q201" s="1916">
        <f t="shared" si="173"/>
        <v>3117.1273847999996</v>
      </c>
      <c r="R201" s="1916">
        <f t="shared" si="173"/>
        <v>3400.5026015999993</v>
      </c>
      <c r="S201" s="1916">
        <f t="shared" si="173"/>
        <v>3683.8778183999989</v>
      </c>
      <c r="T201" s="1916">
        <f t="shared" si="173"/>
        <v>3967.2530351999985</v>
      </c>
      <c r="U201" s="1916">
        <f t="shared" si="173"/>
        <v>4250.6282519999986</v>
      </c>
      <c r="V201" s="1916">
        <f t="shared" si="173"/>
        <v>4534.0034687999987</v>
      </c>
      <c r="W201" s="1916">
        <f t="shared" si="173"/>
        <v>4817.3786855999988</v>
      </c>
      <c r="X201" s="1916">
        <f t="shared" si="173"/>
        <v>5100.7539023999989</v>
      </c>
      <c r="Y201" s="1916">
        <f t="shared" si="173"/>
        <v>5384.129119199999</v>
      </c>
      <c r="Z201" s="1916">
        <f t="shared" si="173"/>
        <v>5667.5043359999981</v>
      </c>
      <c r="AA201" s="1916">
        <f t="shared" si="173"/>
        <v>5950.8795527999982</v>
      </c>
      <c r="AB201" s="1916">
        <f t="shared" si="173"/>
        <v>6234.2547695999992</v>
      </c>
      <c r="AC201" s="1916">
        <f t="shared" si="173"/>
        <v>6517.6299863999975</v>
      </c>
      <c r="AD201" s="1916">
        <f t="shared" si="173"/>
        <v>6801.0052031999985</v>
      </c>
      <c r="AE201" s="1916">
        <f t="shared" si="173"/>
        <v>7084.3804199999977</v>
      </c>
      <c r="AF201" s="1916">
        <f t="shared" si="173"/>
        <v>7367.7556367999978</v>
      </c>
      <c r="AG201" s="1916">
        <f t="shared" si="173"/>
        <v>7651.1308535999988</v>
      </c>
      <c r="AH201" s="1916">
        <f t="shared" si="173"/>
        <v>7934.506070399997</v>
      </c>
      <c r="AI201" s="1916">
        <f t="shared" si="173"/>
        <v>8217.881287199998</v>
      </c>
      <c r="AJ201" s="1916">
        <f t="shared" si="173"/>
        <v>8501.2565039999972</v>
      </c>
      <c r="AK201" s="1916">
        <f t="shared" si="173"/>
        <v>8784.6317207999982</v>
      </c>
      <c r="AL201" s="1916">
        <f t="shared" si="173"/>
        <v>9068.0069375999974</v>
      </c>
      <c r="AM201" s="1916">
        <f t="shared" si="173"/>
        <v>9351.3821543999966</v>
      </c>
      <c r="AN201" s="1916">
        <f t="shared" si="173"/>
        <v>9634.7573711999976</v>
      </c>
      <c r="AO201" s="1916">
        <f t="shared" ref="AO201:BG201" si="174">((AO$193-$I$4)/1000)*$R$87*(($C$8/70)^$AB$87)*IF($C$13=1,$AF$68,IF($C$13=2,$AG$68,IF($C$13=3,$AH$68,1)))</f>
        <v>9918.1325879999968</v>
      </c>
      <c r="AP201" s="1916">
        <f t="shared" si="174"/>
        <v>10201.507804799998</v>
      </c>
      <c r="AQ201" s="1916">
        <f t="shared" si="174"/>
        <v>10484.883021599997</v>
      </c>
      <c r="AR201" s="1916">
        <f t="shared" si="174"/>
        <v>10768.258238399998</v>
      </c>
      <c r="AS201" s="1916">
        <f t="shared" si="174"/>
        <v>11051.633455199995</v>
      </c>
      <c r="AT201" s="1916">
        <f t="shared" si="174"/>
        <v>11335.008671999996</v>
      </c>
      <c r="AU201" s="1916">
        <f t="shared" si="174"/>
        <v>11618.383888799995</v>
      </c>
      <c r="AV201" s="1916">
        <f t="shared" si="174"/>
        <v>11901.759105599996</v>
      </c>
      <c r="AW201" s="1916">
        <f t="shared" si="174"/>
        <v>12185.134322399997</v>
      </c>
      <c r="AX201" s="1916">
        <f t="shared" si="174"/>
        <v>12468.509539199998</v>
      </c>
      <c r="AY201" s="1916">
        <f t="shared" si="174"/>
        <v>12751.884755999996</v>
      </c>
      <c r="AZ201" s="1916">
        <f t="shared" si="174"/>
        <v>13035.259972799995</v>
      </c>
      <c r="BA201" s="1916">
        <f t="shared" si="174"/>
        <v>13318.635189599996</v>
      </c>
      <c r="BB201" s="1916">
        <f t="shared" si="174"/>
        <v>13602.010406399997</v>
      </c>
      <c r="BC201" s="1916">
        <f t="shared" si="174"/>
        <v>13885.385623199998</v>
      </c>
      <c r="BD201" s="1916">
        <f t="shared" si="174"/>
        <v>14168.760839999995</v>
      </c>
      <c r="BE201" s="1916">
        <f t="shared" si="174"/>
        <v>14452.136056799995</v>
      </c>
      <c r="BF201" s="1916">
        <f t="shared" si="174"/>
        <v>14735.511273599996</v>
      </c>
      <c r="BG201" s="1916">
        <f t="shared" si="174"/>
        <v>15018.886490399997</v>
      </c>
      <c r="BI201" s="632">
        <f t="shared" ref="BI201:DG201" si="175">I205/I201</f>
        <v>1.0439803506486458</v>
      </c>
      <c r="BJ201" s="632">
        <f t="shared" si="175"/>
        <v>1.043980350648646</v>
      </c>
      <c r="BK201" s="632">
        <f t="shared" si="175"/>
        <v>1.043980350648646</v>
      </c>
      <c r="BL201" s="632">
        <f t="shared" si="175"/>
        <v>1.0439803506486458</v>
      </c>
      <c r="BM201" s="632">
        <f t="shared" si="175"/>
        <v>1.043980350648646</v>
      </c>
      <c r="BN201" s="632">
        <f t="shared" si="175"/>
        <v>1.043980350648646</v>
      </c>
      <c r="BO201" s="632">
        <f t="shared" si="175"/>
        <v>1.0439803506486458</v>
      </c>
      <c r="BP201" s="632">
        <f t="shared" si="175"/>
        <v>1.043980350648646</v>
      </c>
      <c r="BQ201" s="632">
        <f t="shared" si="175"/>
        <v>1.0439803506486458</v>
      </c>
      <c r="BR201" s="632">
        <f t="shared" si="175"/>
        <v>1.0439803506486458</v>
      </c>
      <c r="BS201" s="632">
        <f t="shared" si="175"/>
        <v>1.043980350648646</v>
      </c>
      <c r="BT201" s="632">
        <f t="shared" si="175"/>
        <v>1.043980350648646</v>
      </c>
      <c r="BU201" s="632">
        <f t="shared" si="175"/>
        <v>1.043980350648646</v>
      </c>
      <c r="BV201" s="632">
        <f t="shared" si="175"/>
        <v>1.043980350648646</v>
      </c>
      <c r="BW201" s="632">
        <f t="shared" si="175"/>
        <v>1.0439803506486458</v>
      </c>
      <c r="BX201" s="632">
        <f t="shared" si="175"/>
        <v>1.0439803506486458</v>
      </c>
      <c r="BY201" s="632">
        <f t="shared" si="175"/>
        <v>1.0439803506486458</v>
      </c>
      <c r="BZ201" s="632">
        <f t="shared" si="175"/>
        <v>1.043980350648646</v>
      </c>
      <c r="CA201" s="632">
        <f t="shared" si="175"/>
        <v>1.043980350648646</v>
      </c>
      <c r="CB201" s="632">
        <f t="shared" si="175"/>
        <v>1.0439803506486458</v>
      </c>
      <c r="CC201" s="632">
        <f t="shared" si="175"/>
        <v>1.0439803506486458</v>
      </c>
      <c r="CD201" s="632">
        <f t="shared" si="175"/>
        <v>1.0439803506486458</v>
      </c>
      <c r="CE201" s="632">
        <f t="shared" si="175"/>
        <v>1.043980350648646</v>
      </c>
      <c r="CF201" s="632">
        <f t="shared" si="175"/>
        <v>1.043980350648646</v>
      </c>
      <c r="CG201" s="632">
        <f t="shared" si="175"/>
        <v>1.043980350648646</v>
      </c>
      <c r="CH201" s="632">
        <f t="shared" si="175"/>
        <v>1.043980350648646</v>
      </c>
      <c r="CI201" s="632">
        <f t="shared" si="175"/>
        <v>1.043980350648646</v>
      </c>
      <c r="CJ201" s="632">
        <f t="shared" si="175"/>
        <v>1.043980350648646</v>
      </c>
      <c r="CK201" s="632">
        <f t="shared" si="175"/>
        <v>1.043980350648646</v>
      </c>
      <c r="CL201" s="632">
        <f t="shared" si="175"/>
        <v>1.043980350648646</v>
      </c>
      <c r="CM201" s="632">
        <f t="shared" si="175"/>
        <v>1.043980350648646</v>
      </c>
      <c r="CN201" s="632">
        <f t="shared" si="175"/>
        <v>1.0439803506486458</v>
      </c>
      <c r="CO201" s="632">
        <f t="shared" si="175"/>
        <v>1.043980350648646</v>
      </c>
      <c r="CP201" s="632">
        <f t="shared" si="175"/>
        <v>1.0439803506486458</v>
      </c>
      <c r="CQ201" s="632">
        <f t="shared" si="175"/>
        <v>1.043980350648646</v>
      </c>
      <c r="CR201" s="632">
        <f t="shared" si="175"/>
        <v>1.0439803506486458</v>
      </c>
      <c r="CS201" s="632">
        <f t="shared" si="175"/>
        <v>1.043980350648646</v>
      </c>
      <c r="CT201" s="632">
        <f t="shared" si="175"/>
        <v>1.043980350648646</v>
      </c>
      <c r="CU201" s="632">
        <f t="shared" si="175"/>
        <v>1.043980350648646</v>
      </c>
      <c r="CV201" s="632">
        <f t="shared" si="175"/>
        <v>1.043980350648646</v>
      </c>
      <c r="CW201" s="632">
        <f t="shared" si="175"/>
        <v>1.043980350648646</v>
      </c>
      <c r="CX201" s="632">
        <f t="shared" si="175"/>
        <v>1.0439803506486458</v>
      </c>
      <c r="CY201" s="632">
        <f t="shared" si="175"/>
        <v>1.043980350648646</v>
      </c>
      <c r="CZ201" s="632">
        <f t="shared" si="175"/>
        <v>1.0439803506486458</v>
      </c>
      <c r="DA201" s="632">
        <f t="shared" si="175"/>
        <v>1.043980350648646</v>
      </c>
      <c r="DB201" s="632">
        <f t="shared" si="175"/>
        <v>1.0439803506486458</v>
      </c>
      <c r="DC201" s="632">
        <f t="shared" si="175"/>
        <v>1.0439803506486458</v>
      </c>
      <c r="DD201" s="632">
        <f t="shared" si="175"/>
        <v>1.043980350648646</v>
      </c>
      <c r="DE201" s="632">
        <f t="shared" si="175"/>
        <v>1.043980350648646</v>
      </c>
      <c r="DF201" s="632">
        <f t="shared" si="175"/>
        <v>1.043980350648646</v>
      </c>
      <c r="DG201" s="632">
        <f t="shared" si="175"/>
        <v>1.0439803506486458</v>
      </c>
    </row>
    <row r="202" spans="1:111" hidden="1">
      <c r="A202" s="2309"/>
      <c r="B202" s="2434" t="s">
        <v>5769</v>
      </c>
      <c r="C202" s="2435"/>
      <c r="D202" s="2436"/>
      <c r="E202" s="1917" t="s">
        <v>5755</v>
      </c>
      <c r="F202" s="1917">
        <v>150</v>
      </c>
      <c r="G202" s="1917">
        <v>200</v>
      </c>
      <c r="H202" s="1917">
        <v>2</v>
      </c>
      <c r="I202" s="1918">
        <f t="shared" ref="I202:AN202" si="176">((I$193-$I$4)/1000)*$M$88*(($C$8/70)^$W$88)*IF($C$13=1,$AF$70,IF($C$13=2,$AG$70,IF($C$13=3,$AH$70,1)))</f>
        <v>501.37120799999991</v>
      </c>
      <c r="J202" s="1918">
        <f t="shared" si="176"/>
        <v>668.49494400000003</v>
      </c>
      <c r="K202" s="1918">
        <f t="shared" si="176"/>
        <v>835.61867999999993</v>
      </c>
      <c r="L202" s="1918">
        <f t="shared" si="176"/>
        <v>1002.7424159999998</v>
      </c>
      <c r="M202" s="1918">
        <f t="shared" si="176"/>
        <v>1169.8661519999998</v>
      </c>
      <c r="N202" s="1918">
        <f t="shared" si="176"/>
        <v>1336.9898880000001</v>
      </c>
      <c r="O202" s="1918">
        <f t="shared" si="176"/>
        <v>1504.1136239999998</v>
      </c>
      <c r="P202" s="1918">
        <f t="shared" si="176"/>
        <v>1671.2373599999999</v>
      </c>
      <c r="Q202" s="1918">
        <f t="shared" si="176"/>
        <v>1838.3610960000001</v>
      </c>
      <c r="R202" s="1918">
        <f t="shared" si="176"/>
        <v>2005.4848319999996</v>
      </c>
      <c r="S202" s="1918">
        <f t="shared" si="176"/>
        <v>2172.6085680000001</v>
      </c>
      <c r="T202" s="1918">
        <f t="shared" si="176"/>
        <v>2339.7323039999997</v>
      </c>
      <c r="U202" s="1918">
        <f t="shared" si="176"/>
        <v>2506.8560399999997</v>
      </c>
      <c r="V202" s="1918">
        <f t="shared" si="176"/>
        <v>2673.9797760000001</v>
      </c>
      <c r="W202" s="1918">
        <f t="shared" si="176"/>
        <v>2841.1035119999997</v>
      </c>
      <c r="X202" s="1918">
        <f t="shared" si="176"/>
        <v>3008.2272479999997</v>
      </c>
      <c r="Y202" s="1918">
        <f t="shared" si="176"/>
        <v>3175.3509839999997</v>
      </c>
      <c r="Z202" s="1918">
        <f t="shared" si="176"/>
        <v>3342.4747199999997</v>
      </c>
      <c r="AA202" s="1918">
        <f t="shared" si="176"/>
        <v>3509.5984559999997</v>
      </c>
      <c r="AB202" s="1918">
        <f t="shared" si="176"/>
        <v>3676.7221920000002</v>
      </c>
      <c r="AC202" s="1918">
        <f t="shared" si="176"/>
        <v>3843.8459279999993</v>
      </c>
      <c r="AD202" s="1918">
        <f t="shared" si="176"/>
        <v>4010.9696639999993</v>
      </c>
      <c r="AE202" s="1918">
        <f t="shared" si="176"/>
        <v>4178.0933999999997</v>
      </c>
      <c r="AF202" s="1918">
        <f t="shared" si="176"/>
        <v>4345.2171360000002</v>
      </c>
      <c r="AG202" s="1918">
        <f t="shared" si="176"/>
        <v>4512.3408719999998</v>
      </c>
      <c r="AH202" s="1918">
        <f t="shared" si="176"/>
        <v>4679.4646079999993</v>
      </c>
      <c r="AI202" s="1918">
        <f t="shared" si="176"/>
        <v>4846.5883439999998</v>
      </c>
      <c r="AJ202" s="1918">
        <f t="shared" si="176"/>
        <v>5013.7120799999993</v>
      </c>
      <c r="AK202" s="1918">
        <f t="shared" si="176"/>
        <v>5180.8358159999998</v>
      </c>
      <c r="AL202" s="1918">
        <f t="shared" si="176"/>
        <v>5347.9595520000003</v>
      </c>
      <c r="AM202" s="1918">
        <f t="shared" si="176"/>
        <v>5515.0832879999989</v>
      </c>
      <c r="AN202" s="1918">
        <f t="shared" si="176"/>
        <v>5682.2070239999994</v>
      </c>
      <c r="AO202" s="1918">
        <f t="shared" ref="AO202:BG202" si="177">((AO$193-$I$4)/1000)*$M$88*(($C$8/70)^$W$88)*IF($C$13=1,$AF$70,IF($C$13=2,$AG$70,IF($C$13=3,$AH$70,1)))</f>
        <v>5849.3307599999998</v>
      </c>
      <c r="AP202" s="1918">
        <f t="shared" si="177"/>
        <v>6016.4544959999994</v>
      </c>
      <c r="AQ202" s="1918">
        <f t="shared" si="177"/>
        <v>6183.5782319999998</v>
      </c>
      <c r="AR202" s="1918">
        <f t="shared" si="177"/>
        <v>6350.7019679999994</v>
      </c>
      <c r="AS202" s="1918">
        <f t="shared" si="177"/>
        <v>6517.825703999999</v>
      </c>
      <c r="AT202" s="1918">
        <f t="shared" si="177"/>
        <v>6684.9494399999994</v>
      </c>
      <c r="AU202" s="1918">
        <f t="shared" si="177"/>
        <v>6852.073175999999</v>
      </c>
      <c r="AV202" s="1918">
        <f t="shared" si="177"/>
        <v>7019.1969119999994</v>
      </c>
      <c r="AW202" s="1918">
        <f t="shared" si="177"/>
        <v>7186.320647999999</v>
      </c>
      <c r="AX202" s="1918">
        <f t="shared" si="177"/>
        <v>7353.4443840000004</v>
      </c>
      <c r="AY202" s="1918">
        <f t="shared" si="177"/>
        <v>7520.568119999999</v>
      </c>
      <c r="AZ202" s="1918">
        <f t="shared" si="177"/>
        <v>7687.6918559999986</v>
      </c>
      <c r="BA202" s="1918">
        <f t="shared" si="177"/>
        <v>7854.8155919999999</v>
      </c>
      <c r="BB202" s="1918">
        <f t="shared" si="177"/>
        <v>8021.9393279999986</v>
      </c>
      <c r="BC202" s="1918">
        <f t="shared" si="177"/>
        <v>8189.0630639999999</v>
      </c>
      <c r="BD202" s="1918">
        <f t="shared" si="177"/>
        <v>8356.1867999999995</v>
      </c>
      <c r="BE202" s="1918">
        <f t="shared" si="177"/>
        <v>8523.310535999999</v>
      </c>
      <c r="BF202" s="1918">
        <f t="shared" si="177"/>
        <v>8690.4342720000004</v>
      </c>
      <c r="BG202" s="1918">
        <f t="shared" si="177"/>
        <v>8857.5580079999982</v>
      </c>
      <c r="BI202" s="632" t="e">
        <f>#REF!/I202</f>
        <v>#REF!</v>
      </c>
      <c r="BJ202" s="632" t="e">
        <f>#REF!/J202</f>
        <v>#REF!</v>
      </c>
      <c r="BK202" s="632" t="e">
        <f>#REF!/K202</f>
        <v>#REF!</v>
      </c>
      <c r="BL202" s="632" t="e">
        <f>#REF!/L202</f>
        <v>#REF!</v>
      </c>
      <c r="BM202" s="632" t="e">
        <f>#REF!/M202</f>
        <v>#REF!</v>
      </c>
      <c r="BN202" s="632" t="e">
        <f>#REF!/N202</f>
        <v>#REF!</v>
      </c>
      <c r="BO202" s="632" t="e">
        <f>#REF!/O202</f>
        <v>#REF!</v>
      </c>
      <c r="BP202" s="632" t="e">
        <f>#REF!/P202</f>
        <v>#REF!</v>
      </c>
      <c r="BQ202" s="632" t="e">
        <f>#REF!/Q202</f>
        <v>#REF!</v>
      </c>
      <c r="BR202" s="632" t="e">
        <f>#REF!/R202</f>
        <v>#REF!</v>
      </c>
      <c r="BS202" s="632" t="e">
        <f>#REF!/S202</f>
        <v>#REF!</v>
      </c>
      <c r="BT202" s="632" t="e">
        <f>#REF!/T202</f>
        <v>#REF!</v>
      </c>
      <c r="BU202" s="632" t="e">
        <f>#REF!/U202</f>
        <v>#REF!</v>
      </c>
      <c r="BV202" s="632" t="e">
        <f>#REF!/V202</f>
        <v>#REF!</v>
      </c>
      <c r="BW202" s="632" t="e">
        <f>#REF!/W202</f>
        <v>#REF!</v>
      </c>
      <c r="BX202" s="632" t="e">
        <f>#REF!/X202</f>
        <v>#REF!</v>
      </c>
      <c r="BY202" s="632" t="e">
        <f>#REF!/Y202</f>
        <v>#REF!</v>
      </c>
      <c r="BZ202" s="632" t="e">
        <f>#REF!/Z202</f>
        <v>#REF!</v>
      </c>
      <c r="CA202" s="632" t="e">
        <f>#REF!/AA202</f>
        <v>#REF!</v>
      </c>
      <c r="CB202" s="632" t="e">
        <f>#REF!/AB202</f>
        <v>#REF!</v>
      </c>
      <c r="CC202" s="632" t="e">
        <f>#REF!/AC202</f>
        <v>#REF!</v>
      </c>
      <c r="CD202" s="632" t="e">
        <f>#REF!/AD202</f>
        <v>#REF!</v>
      </c>
      <c r="CE202" s="632" t="e">
        <f>#REF!/AE202</f>
        <v>#REF!</v>
      </c>
      <c r="CF202" s="632" t="e">
        <f>#REF!/AF202</f>
        <v>#REF!</v>
      </c>
      <c r="CG202" s="632" t="e">
        <f>#REF!/AG202</f>
        <v>#REF!</v>
      </c>
      <c r="CH202" s="632" t="e">
        <f>#REF!/AH202</f>
        <v>#REF!</v>
      </c>
      <c r="CI202" s="632" t="e">
        <f>#REF!/AI202</f>
        <v>#REF!</v>
      </c>
      <c r="CJ202" s="632" t="e">
        <f>#REF!/AJ202</f>
        <v>#REF!</v>
      </c>
      <c r="CK202" s="632" t="e">
        <f>#REF!/AK202</f>
        <v>#REF!</v>
      </c>
      <c r="CL202" s="632" t="e">
        <f>#REF!/AL202</f>
        <v>#REF!</v>
      </c>
      <c r="CM202" s="632" t="e">
        <f>#REF!/AM202</f>
        <v>#REF!</v>
      </c>
      <c r="CN202" s="632" t="e">
        <f>#REF!/AN202</f>
        <v>#REF!</v>
      </c>
      <c r="CO202" s="632" t="e">
        <f>#REF!/AO202</f>
        <v>#REF!</v>
      </c>
      <c r="CP202" s="632" t="e">
        <f>#REF!/AP202</f>
        <v>#REF!</v>
      </c>
      <c r="CQ202" s="632" t="e">
        <f>#REF!/AQ202</f>
        <v>#REF!</v>
      </c>
      <c r="CR202" s="632" t="e">
        <f>#REF!/AR202</f>
        <v>#REF!</v>
      </c>
      <c r="CS202" s="632" t="e">
        <f>#REF!/AS202</f>
        <v>#REF!</v>
      </c>
      <c r="CT202" s="632" t="e">
        <f>#REF!/AT202</f>
        <v>#REF!</v>
      </c>
      <c r="CU202" s="632" t="e">
        <f>#REF!/AU202</f>
        <v>#REF!</v>
      </c>
      <c r="CV202" s="632" t="e">
        <f>#REF!/AV202</f>
        <v>#REF!</v>
      </c>
      <c r="CW202" s="632" t="e">
        <f>#REF!/AW202</f>
        <v>#REF!</v>
      </c>
      <c r="CX202" s="632" t="e">
        <f>#REF!/AX202</f>
        <v>#REF!</v>
      </c>
      <c r="CY202" s="632" t="e">
        <f>#REF!/AY202</f>
        <v>#REF!</v>
      </c>
      <c r="CZ202" s="632" t="e">
        <f>#REF!/AZ202</f>
        <v>#REF!</v>
      </c>
      <c r="DA202" s="632" t="e">
        <f>#REF!/BA202</f>
        <v>#REF!</v>
      </c>
      <c r="DB202" s="632" t="e">
        <f>#REF!/BB202</f>
        <v>#REF!</v>
      </c>
      <c r="DC202" s="632" t="e">
        <f>#REF!/BC202</f>
        <v>#REF!</v>
      </c>
      <c r="DD202" s="632" t="e">
        <f>#REF!/BD202</f>
        <v>#REF!</v>
      </c>
      <c r="DE202" s="632" t="e">
        <f>#REF!/BE202</f>
        <v>#REF!</v>
      </c>
      <c r="DF202" s="632" t="e">
        <f>#REF!/BF202</f>
        <v>#REF!</v>
      </c>
      <c r="DG202" s="632" t="e">
        <f>#REF!/BG202</f>
        <v>#REF!</v>
      </c>
    </row>
    <row r="203" spans="1:111" hidden="1">
      <c r="A203" s="2309"/>
      <c r="B203" s="2453" t="s">
        <v>5770</v>
      </c>
      <c r="C203" s="2454"/>
      <c r="D203" s="2452"/>
      <c r="E203" s="1919" t="s">
        <v>5755</v>
      </c>
      <c r="F203" s="1919">
        <v>150</v>
      </c>
      <c r="G203" s="1919">
        <v>260</v>
      </c>
      <c r="H203" s="1919">
        <v>2</v>
      </c>
      <c r="I203" s="1918">
        <f t="shared" ref="I203:AN203" si="178">((I$193-$I$4)/1000)*$N$88*(($C$8/70)^$X$88)*IF($C$13=1,$AF$69,IF($C$13=2,$AG$69,IF($C$13=3,$AH$69,1)))</f>
        <v>657.6533823599998</v>
      </c>
      <c r="J203" s="1918">
        <f t="shared" si="178"/>
        <v>876.8711764799998</v>
      </c>
      <c r="K203" s="1918">
        <f t="shared" si="178"/>
        <v>1096.0889705999996</v>
      </c>
      <c r="L203" s="1918">
        <f t="shared" si="178"/>
        <v>1315.3067647199996</v>
      </c>
      <c r="M203" s="1918">
        <f t="shared" si="178"/>
        <v>1534.5245588399994</v>
      </c>
      <c r="N203" s="1918">
        <f t="shared" si="178"/>
        <v>1753.7423529599996</v>
      </c>
      <c r="O203" s="1918">
        <f t="shared" si="178"/>
        <v>1972.9601470799996</v>
      </c>
      <c r="P203" s="1918">
        <f t="shared" si="178"/>
        <v>2192.1779411999992</v>
      </c>
      <c r="Q203" s="1918">
        <f t="shared" si="178"/>
        <v>2411.3957353199994</v>
      </c>
      <c r="R203" s="1918">
        <f t="shared" si="178"/>
        <v>2630.6135294399992</v>
      </c>
      <c r="S203" s="1918">
        <f t="shared" si="178"/>
        <v>2849.831323559999</v>
      </c>
      <c r="T203" s="1918">
        <f t="shared" si="178"/>
        <v>3069.0491176799987</v>
      </c>
      <c r="U203" s="1918">
        <f t="shared" si="178"/>
        <v>3288.2669117999985</v>
      </c>
      <c r="V203" s="1918">
        <f t="shared" si="178"/>
        <v>3507.4847059199992</v>
      </c>
      <c r="W203" s="1918">
        <f t="shared" si="178"/>
        <v>3726.702500039999</v>
      </c>
      <c r="X203" s="1918">
        <f t="shared" si="178"/>
        <v>3945.9202941599992</v>
      </c>
      <c r="Y203" s="1918">
        <f t="shared" si="178"/>
        <v>4165.1380882799986</v>
      </c>
      <c r="Z203" s="1918">
        <f t="shared" si="178"/>
        <v>4384.3558823999983</v>
      </c>
      <c r="AA203" s="1918">
        <f t="shared" si="178"/>
        <v>4603.573676519999</v>
      </c>
      <c r="AB203" s="1918">
        <f t="shared" si="178"/>
        <v>4822.7914706399988</v>
      </c>
      <c r="AC203" s="1918">
        <f t="shared" si="178"/>
        <v>5042.0092647599977</v>
      </c>
      <c r="AD203" s="1918">
        <f t="shared" si="178"/>
        <v>5261.2270588799984</v>
      </c>
      <c r="AE203" s="1918">
        <f t="shared" si="178"/>
        <v>5480.4448529999991</v>
      </c>
      <c r="AF203" s="1918">
        <f t="shared" si="178"/>
        <v>5699.6626471199979</v>
      </c>
      <c r="AG203" s="1918">
        <f t="shared" si="178"/>
        <v>5918.8804412399986</v>
      </c>
      <c r="AH203" s="1918">
        <f t="shared" si="178"/>
        <v>6138.0982353599975</v>
      </c>
      <c r="AI203" s="1918">
        <f t="shared" si="178"/>
        <v>6357.3160294799982</v>
      </c>
      <c r="AJ203" s="1918">
        <f t="shared" si="178"/>
        <v>6576.533823599997</v>
      </c>
      <c r="AK203" s="1918">
        <f t="shared" si="178"/>
        <v>6795.7516177199977</v>
      </c>
      <c r="AL203" s="1918">
        <f t="shared" si="178"/>
        <v>7014.9694118399984</v>
      </c>
      <c r="AM203" s="1918">
        <f t="shared" si="178"/>
        <v>7234.1872059599973</v>
      </c>
      <c r="AN203" s="1918">
        <f t="shared" si="178"/>
        <v>7453.405000079998</v>
      </c>
      <c r="AO203" s="1918">
        <f t="shared" ref="AO203:BG203" si="179">((AO$193-$I$4)/1000)*$N$88*(($C$8/70)^$X$88)*IF($C$13=1,$AF$69,IF($C$13=2,$AG$69,IF($C$13=3,$AH$69,1)))</f>
        <v>7672.6227941999978</v>
      </c>
      <c r="AP203" s="1918">
        <f t="shared" si="179"/>
        <v>7891.8405883199985</v>
      </c>
      <c r="AQ203" s="1918">
        <f t="shared" si="179"/>
        <v>8111.0583824399973</v>
      </c>
      <c r="AR203" s="1918">
        <f t="shared" si="179"/>
        <v>8330.2761765599971</v>
      </c>
      <c r="AS203" s="1918">
        <f t="shared" si="179"/>
        <v>8549.493970679996</v>
      </c>
      <c r="AT203" s="1918">
        <f t="shared" si="179"/>
        <v>8768.7117647999967</v>
      </c>
      <c r="AU203" s="1918">
        <f t="shared" si="179"/>
        <v>8987.9295589199974</v>
      </c>
      <c r="AV203" s="1918">
        <f t="shared" si="179"/>
        <v>9207.1473530399981</v>
      </c>
      <c r="AW203" s="1918">
        <f t="shared" si="179"/>
        <v>9426.3651471599969</v>
      </c>
      <c r="AX203" s="1918">
        <f t="shared" si="179"/>
        <v>9645.5829412799976</v>
      </c>
      <c r="AY203" s="1918">
        <f t="shared" si="179"/>
        <v>9864.8007353999965</v>
      </c>
      <c r="AZ203" s="1918">
        <f t="shared" si="179"/>
        <v>10084.018529519995</v>
      </c>
      <c r="BA203" s="1918">
        <f t="shared" si="179"/>
        <v>10303.236323639998</v>
      </c>
      <c r="BB203" s="1918">
        <f t="shared" si="179"/>
        <v>10522.454117759997</v>
      </c>
      <c r="BC203" s="1918">
        <f t="shared" si="179"/>
        <v>10741.671911879997</v>
      </c>
      <c r="BD203" s="1918">
        <f t="shared" si="179"/>
        <v>10960.889705999998</v>
      </c>
      <c r="BE203" s="1918">
        <f t="shared" si="179"/>
        <v>11180.107500119995</v>
      </c>
      <c r="BF203" s="1918">
        <f t="shared" si="179"/>
        <v>11399.325294239996</v>
      </c>
      <c r="BG203" s="1918">
        <f t="shared" si="179"/>
        <v>11618.543088359997</v>
      </c>
      <c r="BI203" s="632" t="e">
        <f>#REF!/I203</f>
        <v>#REF!</v>
      </c>
      <c r="BJ203" s="632" t="e">
        <f>#REF!/J203</f>
        <v>#REF!</v>
      </c>
      <c r="BK203" s="632" t="e">
        <f>#REF!/K203</f>
        <v>#REF!</v>
      </c>
      <c r="BL203" s="632" t="e">
        <f>#REF!/L203</f>
        <v>#REF!</v>
      </c>
      <c r="BM203" s="632" t="e">
        <f>#REF!/M203</f>
        <v>#REF!</v>
      </c>
      <c r="BN203" s="632" t="e">
        <f>#REF!/N203</f>
        <v>#REF!</v>
      </c>
      <c r="BO203" s="632" t="e">
        <f>#REF!/O203</f>
        <v>#REF!</v>
      </c>
      <c r="BP203" s="632" t="e">
        <f>#REF!/P203</f>
        <v>#REF!</v>
      </c>
      <c r="BQ203" s="632" t="e">
        <f>#REF!/Q203</f>
        <v>#REF!</v>
      </c>
      <c r="BR203" s="632" t="e">
        <f>#REF!/R203</f>
        <v>#REF!</v>
      </c>
      <c r="BS203" s="632" t="e">
        <f>#REF!/S203</f>
        <v>#REF!</v>
      </c>
      <c r="BT203" s="632" t="e">
        <f>#REF!/T203</f>
        <v>#REF!</v>
      </c>
      <c r="BU203" s="632" t="e">
        <f>#REF!/U203</f>
        <v>#REF!</v>
      </c>
      <c r="BV203" s="632" t="e">
        <f>#REF!/V203</f>
        <v>#REF!</v>
      </c>
      <c r="BW203" s="632" t="e">
        <f>#REF!/W203</f>
        <v>#REF!</v>
      </c>
      <c r="BX203" s="632" t="e">
        <f>#REF!/X203</f>
        <v>#REF!</v>
      </c>
      <c r="BY203" s="632" t="e">
        <f>#REF!/Y203</f>
        <v>#REF!</v>
      </c>
      <c r="BZ203" s="632" t="e">
        <f>#REF!/Z203</f>
        <v>#REF!</v>
      </c>
      <c r="CA203" s="632" t="e">
        <f>#REF!/AA203</f>
        <v>#REF!</v>
      </c>
      <c r="CB203" s="632" t="e">
        <f>#REF!/AB203</f>
        <v>#REF!</v>
      </c>
      <c r="CC203" s="632" t="e">
        <f>#REF!/AC203</f>
        <v>#REF!</v>
      </c>
      <c r="CD203" s="632" t="e">
        <f>#REF!/AD203</f>
        <v>#REF!</v>
      </c>
      <c r="CE203" s="632" t="e">
        <f>#REF!/AE203</f>
        <v>#REF!</v>
      </c>
      <c r="CF203" s="632" t="e">
        <f>#REF!/AF203</f>
        <v>#REF!</v>
      </c>
      <c r="CG203" s="632" t="e">
        <f>#REF!/AG203</f>
        <v>#REF!</v>
      </c>
      <c r="CH203" s="632" t="e">
        <f>#REF!/AH203</f>
        <v>#REF!</v>
      </c>
      <c r="CI203" s="632" t="e">
        <f>#REF!/AI203</f>
        <v>#REF!</v>
      </c>
      <c r="CJ203" s="632" t="e">
        <f>#REF!/AJ203</f>
        <v>#REF!</v>
      </c>
      <c r="CK203" s="632" t="e">
        <f>#REF!/AK203</f>
        <v>#REF!</v>
      </c>
      <c r="CL203" s="632" t="e">
        <f>#REF!/AL203</f>
        <v>#REF!</v>
      </c>
      <c r="CM203" s="632" t="e">
        <f>#REF!/AM203</f>
        <v>#REF!</v>
      </c>
      <c r="CN203" s="632" t="e">
        <f>#REF!/AN203</f>
        <v>#REF!</v>
      </c>
      <c r="CO203" s="632" t="e">
        <f>#REF!/AO203</f>
        <v>#REF!</v>
      </c>
      <c r="CP203" s="632" t="e">
        <f>#REF!/AP203</f>
        <v>#REF!</v>
      </c>
      <c r="CQ203" s="632" t="e">
        <f>#REF!/AQ203</f>
        <v>#REF!</v>
      </c>
      <c r="CR203" s="632" t="e">
        <f>#REF!/AR203</f>
        <v>#REF!</v>
      </c>
      <c r="CS203" s="632" t="e">
        <f>#REF!/AS203</f>
        <v>#REF!</v>
      </c>
      <c r="CT203" s="632" t="e">
        <f>#REF!/AT203</f>
        <v>#REF!</v>
      </c>
      <c r="CU203" s="632" t="e">
        <f>#REF!/AU203</f>
        <v>#REF!</v>
      </c>
      <c r="CV203" s="632" t="e">
        <f>#REF!/AV203</f>
        <v>#REF!</v>
      </c>
      <c r="CW203" s="632" t="e">
        <f>#REF!/AW203</f>
        <v>#REF!</v>
      </c>
      <c r="CX203" s="632" t="e">
        <f>#REF!/AX203</f>
        <v>#REF!</v>
      </c>
      <c r="CY203" s="632" t="e">
        <f>#REF!/AY203</f>
        <v>#REF!</v>
      </c>
      <c r="CZ203" s="632" t="e">
        <f>#REF!/AZ203</f>
        <v>#REF!</v>
      </c>
      <c r="DA203" s="632" t="e">
        <f>#REF!/BA203</f>
        <v>#REF!</v>
      </c>
      <c r="DB203" s="632" t="e">
        <f>#REF!/BB203</f>
        <v>#REF!</v>
      </c>
      <c r="DC203" s="632" t="e">
        <f>#REF!/BC203</f>
        <v>#REF!</v>
      </c>
      <c r="DD203" s="632" t="e">
        <f>#REF!/BD203</f>
        <v>#REF!</v>
      </c>
      <c r="DE203" s="632" t="e">
        <f>#REF!/BE203</f>
        <v>#REF!</v>
      </c>
      <c r="DF203" s="632" t="e">
        <f>#REF!/BF203</f>
        <v>#REF!</v>
      </c>
      <c r="DG203" s="632" t="e">
        <f>#REF!/BG203</f>
        <v>#REF!</v>
      </c>
    </row>
    <row r="204" spans="1:111" hidden="1">
      <c r="A204" s="2309"/>
      <c r="B204" s="2453" t="s">
        <v>5771</v>
      </c>
      <c r="C204" s="2454"/>
      <c r="D204" s="2452"/>
      <c r="E204" s="1919" t="s">
        <v>5755</v>
      </c>
      <c r="F204" s="1919">
        <v>150</v>
      </c>
      <c r="G204" s="1919">
        <v>300</v>
      </c>
      <c r="H204" s="1919">
        <v>2</v>
      </c>
      <c r="I204" s="1918">
        <f t="shared" ref="I204:AN204" si="180">((I$193-$I$4)/1000)*$O$88*(($C$8/70)^$Z$88)*IF($C$13=1,$AF$72,IF($C$13=2,$AG$72,IF($C$13=3,$AH$72,1)))</f>
        <v>778.97897999999986</v>
      </c>
      <c r="J204" s="1918">
        <f t="shared" si="180"/>
        <v>1038.6386399999999</v>
      </c>
      <c r="K204" s="1918">
        <f t="shared" si="180"/>
        <v>1298.2982999999999</v>
      </c>
      <c r="L204" s="1918">
        <f t="shared" si="180"/>
        <v>1557.9579599999997</v>
      </c>
      <c r="M204" s="1918">
        <f t="shared" si="180"/>
        <v>1817.6176199999998</v>
      </c>
      <c r="N204" s="1918">
        <f t="shared" si="180"/>
        <v>2077.2772799999998</v>
      </c>
      <c r="O204" s="1918">
        <f t="shared" si="180"/>
        <v>2336.9369399999996</v>
      </c>
      <c r="P204" s="1918">
        <f t="shared" si="180"/>
        <v>2596.5965999999999</v>
      </c>
      <c r="Q204" s="1918">
        <f t="shared" si="180"/>
        <v>2856.2562599999997</v>
      </c>
      <c r="R204" s="1918">
        <f t="shared" si="180"/>
        <v>3115.9159199999995</v>
      </c>
      <c r="S204" s="1918">
        <f t="shared" si="180"/>
        <v>3375.5755799999997</v>
      </c>
      <c r="T204" s="1918">
        <f t="shared" si="180"/>
        <v>3635.2352399999995</v>
      </c>
      <c r="U204" s="1918">
        <f t="shared" si="180"/>
        <v>3894.8948999999993</v>
      </c>
      <c r="V204" s="1918">
        <f t="shared" si="180"/>
        <v>4154.5545599999996</v>
      </c>
      <c r="W204" s="1918">
        <f t="shared" si="180"/>
        <v>4414.2142199999998</v>
      </c>
      <c r="X204" s="1918">
        <f t="shared" si="180"/>
        <v>4673.8738799999992</v>
      </c>
      <c r="Y204" s="1918">
        <f t="shared" si="180"/>
        <v>4933.5335399999985</v>
      </c>
      <c r="Z204" s="1918">
        <f t="shared" si="180"/>
        <v>5193.1931999999997</v>
      </c>
      <c r="AA204" s="1918">
        <f t="shared" si="180"/>
        <v>5452.85286</v>
      </c>
      <c r="AB204" s="1918">
        <f t="shared" si="180"/>
        <v>5712.5125199999993</v>
      </c>
      <c r="AC204" s="1918">
        <f t="shared" si="180"/>
        <v>5972.1721799999987</v>
      </c>
      <c r="AD204" s="1918">
        <f t="shared" si="180"/>
        <v>6231.8318399999989</v>
      </c>
      <c r="AE204" s="1918">
        <f t="shared" si="180"/>
        <v>6491.4914999999983</v>
      </c>
      <c r="AF204" s="1918">
        <f t="shared" si="180"/>
        <v>6751.1511599999994</v>
      </c>
      <c r="AG204" s="1918">
        <f t="shared" si="180"/>
        <v>7010.8108199999997</v>
      </c>
      <c r="AH204" s="1918">
        <f t="shared" si="180"/>
        <v>7270.470479999999</v>
      </c>
      <c r="AI204" s="1918">
        <f t="shared" si="180"/>
        <v>7530.1301399999984</v>
      </c>
      <c r="AJ204" s="1918">
        <f t="shared" si="180"/>
        <v>7789.7897999999986</v>
      </c>
      <c r="AK204" s="1918">
        <f t="shared" si="180"/>
        <v>8049.4494599999998</v>
      </c>
      <c r="AL204" s="1918">
        <f t="shared" si="180"/>
        <v>8309.1091199999992</v>
      </c>
      <c r="AM204" s="1918">
        <f t="shared" si="180"/>
        <v>8568.7687799999985</v>
      </c>
      <c r="AN204" s="1918">
        <f t="shared" si="180"/>
        <v>8828.4284399999997</v>
      </c>
      <c r="AO204" s="1918">
        <f t="shared" ref="AO204:BG204" si="181">((AO$193-$I$4)/1000)*$O$88*(($C$8/70)^$Z$88)*IF($C$13=1,$AF$72,IF($C$13=2,$AG$72,IF($C$13=3,$AH$72,1)))</f>
        <v>9088.088099999999</v>
      </c>
      <c r="AP204" s="1918">
        <f t="shared" si="181"/>
        <v>9347.7477599999984</v>
      </c>
      <c r="AQ204" s="1918">
        <f t="shared" si="181"/>
        <v>9607.4074199999977</v>
      </c>
      <c r="AR204" s="1918">
        <f t="shared" si="181"/>
        <v>9867.0670799999971</v>
      </c>
      <c r="AS204" s="1918">
        <f t="shared" si="181"/>
        <v>10126.726739999998</v>
      </c>
      <c r="AT204" s="1918">
        <f t="shared" si="181"/>
        <v>10386.386399999999</v>
      </c>
      <c r="AU204" s="1918">
        <f t="shared" si="181"/>
        <v>10646.046059999999</v>
      </c>
      <c r="AV204" s="1918">
        <f t="shared" si="181"/>
        <v>10905.70572</v>
      </c>
      <c r="AW204" s="1918">
        <f t="shared" si="181"/>
        <v>11165.365379999999</v>
      </c>
      <c r="AX204" s="1918">
        <f t="shared" si="181"/>
        <v>11425.025039999999</v>
      </c>
      <c r="AY204" s="1918">
        <f t="shared" si="181"/>
        <v>11684.684699999998</v>
      </c>
      <c r="AZ204" s="1918">
        <f t="shared" si="181"/>
        <v>11944.344359999997</v>
      </c>
      <c r="BA204" s="1918">
        <f t="shared" si="181"/>
        <v>12204.004019999998</v>
      </c>
      <c r="BB204" s="1918">
        <f t="shared" si="181"/>
        <v>12463.663679999998</v>
      </c>
      <c r="BC204" s="1918">
        <f t="shared" si="181"/>
        <v>12723.323339999999</v>
      </c>
      <c r="BD204" s="1918">
        <f t="shared" si="181"/>
        <v>12982.982999999997</v>
      </c>
      <c r="BE204" s="1918">
        <f t="shared" si="181"/>
        <v>13242.642659999996</v>
      </c>
      <c r="BF204" s="1918">
        <f t="shared" si="181"/>
        <v>13502.302319999999</v>
      </c>
      <c r="BG204" s="1918">
        <f t="shared" si="181"/>
        <v>13761.961979999998</v>
      </c>
      <c r="BI204" s="632" t="e">
        <f>#REF!/I204</f>
        <v>#REF!</v>
      </c>
      <c r="BJ204" s="632" t="e">
        <f>#REF!/J204</f>
        <v>#REF!</v>
      </c>
      <c r="BK204" s="632" t="e">
        <f>#REF!/K204</f>
        <v>#REF!</v>
      </c>
      <c r="BL204" s="632" t="e">
        <f>#REF!/L204</f>
        <v>#REF!</v>
      </c>
      <c r="BM204" s="632" t="e">
        <f>#REF!/M204</f>
        <v>#REF!</v>
      </c>
      <c r="BN204" s="632" t="e">
        <f>#REF!/N204</f>
        <v>#REF!</v>
      </c>
      <c r="BO204" s="632" t="e">
        <f>#REF!/O204</f>
        <v>#REF!</v>
      </c>
      <c r="BP204" s="632" t="e">
        <f>#REF!/P204</f>
        <v>#REF!</v>
      </c>
      <c r="BQ204" s="632" t="e">
        <f>#REF!/Q204</f>
        <v>#REF!</v>
      </c>
      <c r="BR204" s="632" t="e">
        <f>#REF!/R204</f>
        <v>#REF!</v>
      </c>
      <c r="BS204" s="632" t="e">
        <f>#REF!/S204</f>
        <v>#REF!</v>
      </c>
      <c r="BT204" s="632" t="e">
        <f>#REF!/T204</f>
        <v>#REF!</v>
      </c>
      <c r="BU204" s="632" t="e">
        <f>#REF!/U204</f>
        <v>#REF!</v>
      </c>
      <c r="BV204" s="632" t="e">
        <f>#REF!/V204</f>
        <v>#REF!</v>
      </c>
      <c r="BW204" s="632" t="e">
        <f>#REF!/W204</f>
        <v>#REF!</v>
      </c>
      <c r="BX204" s="632" t="e">
        <f>#REF!/X204</f>
        <v>#REF!</v>
      </c>
      <c r="BY204" s="632" t="e">
        <f>#REF!/Y204</f>
        <v>#REF!</v>
      </c>
      <c r="BZ204" s="632" t="e">
        <f>#REF!/Z204</f>
        <v>#REF!</v>
      </c>
      <c r="CA204" s="632" t="e">
        <f>#REF!/AA204</f>
        <v>#REF!</v>
      </c>
      <c r="CB204" s="632" t="e">
        <f>#REF!/AB204</f>
        <v>#REF!</v>
      </c>
      <c r="CC204" s="632" t="e">
        <f>#REF!/AC204</f>
        <v>#REF!</v>
      </c>
      <c r="CD204" s="632" t="e">
        <f>#REF!/AD204</f>
        <v>#REF!</v>
      </c>
      <c r="CE204" s="632" t="e">
        <f>#REF!/AE204</f>
        <v>#REF!</v>
      </c>
      <c r="CF204" s="632" t="e">
        <f>#REF!/AF204</f>
        <v>#REF!</v>
      </c>
      <c r="CG204" s="632" t="e">
        <f>#REF!/AG204</f>
        <v>#REF!</v>
      </c>
      <c r="CH204" s="632" t="e">
        <f>#REF!/AH204</f>
        <v>#REF!</v>
      </c>
      <c r="CI204" s="632" t="e">
        <f>#REF!/AI204</f>
        <v>#REF!</v>
      </c>
      <c r="CJ204" s="632" t="e">
        <f>#REF!/AJ204</f>
        <v>#REF!</v>
      </c>
      <c r="CK204" s="632" t="e">
        <f>#REF!/AK204</f>
        <v>#REF!</v>
      </c>
      <c r="CL204" s="632" t="e">
        <f>#REF!/AL204</f>
        <v>#REF!</v>
      </c>
      <c r="CM204" s="632" t="e">
        <f>#REF!/AM204</f>
        <v>#REF!</v>
      </c>
      <c r="CN204" s="632" t="e">
        <f>#REF!/AN204</f>
        <v>#REF!</v>
      </c>
      <c r="CO204" s="632" t="e">
        <f>#REF!/AO204</f>
        <v>#REF!</v>
      </c>
      <c r="CP204" s="632" t="e">
        <f>#REF!/AP204</f>
        <v>#REF!</v>
      </c>
      <c r="CQ204" s="632" t="e">
        <f>#REF!/AQ204</f>
        <v>#REF!</v>
      </c>
      <c r="CR204" s="632" t="e">
        <f>#REF!/AR204</f>
        <v>#REF!</v>
      </c>
      <c r="CS204" s="632" t="e">
        <f>#REF!/AS204</f>
        <v>#REF!</v>
      </c>
      <c r="CT204" s="632" t="e">
        <f>#REF!/AT204</f>
        <v>#REF!</v>
      </c>
      <c r="CU204" s="632" t="e">
        <f>#REF!/AU204</f>
        <v>#REF!</v>
      </c>
      <c r="CV204" s="632" t="e">
        <f>#REF!/AV204</f>
        <v>#REF!</v>
      </c>
      <c r="CW204" s="632" t="e">
        <f>#REF!/AW204</f>
        <v>#REF!</v>
      </c>
      <c r="CX204" s="632" t="e">
        <f>#REF!/AX204</f>
        <v>#REF!</v>
      </c>
      <c r="CY204" s="632" t="e">
        <f>#REF!/AY204</f>
        <v>#REF!</v>
      </c>
      <c r="CZ204" s="632" t="e">
        <f>#REF!/AZ204</f>
        <v>#REF!</v>
      </c>
      <c r="DA204" s="632" t="e">
        <f>#REF!/BA204</f>
        <v>#REF!</v>
      </c>
      <c r="DB204" s="632" t="e">
        <f>#REF!/BB204</f>
        <v>#REF!</v>
      </c>
      <c r="DC204" s="632" t="e">
        <f>#REF!/BC204</f>
        <v>#REF!</v>
      </c>
      <c r="DD204" s="632" t="e">
        <f>#REF!/BD204</f>
        <v>#REF!</v>
      </c>
      <c r="DE204" s="632" t="e">
        <f>#REF!/BE204</f>
        <v>#REF!</v>
      </c>
      <c r="DF204" s="632" t="e">
        <f>#REF!/BF204</f>
        <v>#REF!</v>
      </c>
      <c r="DG204" s="632" t="e">
        <f>#REF!/BG204</f>
        <v>#REF!</v>
      </c>
    </row>
    <row r="205" spans="1:111" ht="15.75" hidden="1" thickBot="1">
      <c r="A205" s="2309"/>
      <c r="B205" s="2438" t="s">
        <v>5772</v>
      </c>
      <c r="C205" s="2439"/>
      <c r="D205" s="2437"/>
      <c r="E205" s="1920" t="s">
        <v>5755</v>
      </c>
      <c r="F205" s="1920">
        <v>150</v>
      </c>
      <c r="G205" s="1920">
        <v>360</v>
      </c>
      <c r="H205" s="1920">
        <v>2</v>
      </c>
      <c r="I205" s="1921">
        <f t="shared" ref="I205:AN205" si="182">((I$193-$I$4)/1000)*$Q$88*(($C$8/70)^$AA$88)*IF($C$13=1,$AF$69,IF($C$13=2,$AG$69,IF($C$13=3,$AH$69,1)))</f>
        <v>887.51447459999997</v>
      </c>
      <c r="J205" s="1921">
        <f t="shared" si="182"/>
        <v>1183.3526328</v>
      </c>
      <c r="K205" s="1921">
        <f t="shared" si="182"/>
        <v>1479.190791</v>
      </c>
      <c r="L205" s="1921">
        <f t="shared" si="182"/>
        <v>1775.0289491999999</v>
      </c>
      <c r="M205" s="1921">
        <f t="shared" si="182"/>
        <v>2070.8671073999999</v>
      </c>
      <c r="N205" s="1921">
        <f t="shared" si="182"/>
        <v>2366.7052656000001</v>
      </c>
      <c r="O205" s="1921">
        <f t="shared" si="182"/>
        <v>2662.5434237999998</v>
      </c>
      <c r="P205" s="1921">
        <f t="shared" si="182"/>
        <v>2958.381582</v>
      </c>
      <c r="Q205" s="1921">
        <f t="shared" si="182"/>
        <v>3254.2197401999997</v>
      </c>
      <c r="R205" s="1921">
        <f t="shared" si="182"/>
        <v>3550.0578983999999</v>
      </c>
      <c r="S205" s="1921">
        <f t="shared" si="182"/>
        <v>3845.8960566000001</v>
      </c>
      <c r="T205" s="1921">
        <f t="shared" si="182"/>
        <v>4141.7342147999998</v>
      </c>
      <c r="U205" s="1921">
        <f t="shared" si="182"/>
        <v>4437.572373</v>
      </c>
      <c r="V205" s="1921">
        <f t="shared" si="182"/>
        <v>4733.4105312000002</v>
      </c>
      <c r="W205" s="1921">
        <f t="shared" si="182"/>
        <v>5029.2486893999994</v>
      </c>
      <c r="X205" s="1921">
        <f t="shared" si="182"/>
        <v>5325.0868475999996</v>
      </c>
      <c r="Y205" s="1921">
        <f t="shared" si="182"/>
        <v>5620.9250057999998</v>
      </c>
      <c r="Z205" s="1921">
        <f t="shared" si="182"/>
        <v>5916.763164</v>
      </c>
      <c r="AA205" s="1921">
        <f t="shared" si="182"/>
        <v>6212.6013222000001</v>
      </c>
      <c r="AB205" s="1921">
        <f t="shared" si="182"/>
        <v>6508.4394803999994</v>
      </c>
      <c r="AC205" s="1921">
        <f t="shared" si="182"/>
        <v>6804.2776385999987</v>
      </c>
      <c r="AD205" s="1921">
        <f t="shared" si="182"/>
        <v>7100.1157967999998</v>
      </c>
      <c r="AE205" s="1921">
        <f t="shared" si="182"/>
        <v>7395.953955</v>
      </c>
      <c r="AF205" s="1921">
        <f t="shared" si="182"/>
        <v>7691.7921132000001</v>
      </c>
      <c r="AG205" s="1921">
        <f t="shared" si="182"/>
        <v>7987.6302714000003</v>
      </c>
      <c r="AH205" s="1921">
        <f t="shared" si="182"/>
        <v>8283.4684295999996</v>
      </c>
      <c r="AI205" s="1921">
        <f t="shared" si="182"/>
        <v>8579.3065877999998</v>
      </c>
      <c r="AJ205" s="1921">
        <f t="shared" si="182"/>
        <v>8875.1447459999999</v>
      </c>
      <c r="AK205" s="1921">
        <f t="shared" si="182"/>
        <v>9170.9829042000001</v>
      </c>
      <c r="AL205" s="1921">
        <f t="shared" si="182"/>
        <v>9466.8210624000003</v>
      </c>
      <c r="AM205" s="1921">
        <f t="shared" si="182"/>
        <v>9762.6592205999987</v>
      </c>
      <c r="AN205" s="1921">
        <f t="shared" si="182"/>
        <v>10058.497378799999</v>
      </c>
      <c r="AO205" s="1921">
        <f t="shared" ref="AO205:BG205" si="183">((AO$193-$I$4)/1000)*$Q$88*(($C$8/70)^$AA$88)*IF($C$13=1,$AF$69,IF($C$13=2,$AG$69,IF($C$13=3,$AH$69,1)))</f>
        <v>10354.335536999999</v>
      </c>
      <c r="AP205" s="1921">
        <f t="shared" si="183"/>
        <v>10650.173695199999</v>
      </c>
      <c r="AQ205" s="1921">
        <f t="shared" si="183"/>
        <v>10946.011853399999</v>
      </c>
      <c r="AR205" s="1921">
        <f t="shared" si="183"/>
        <v>11241.8500116</v>
      </c>
      <c r="AS205" s="1921">
        <f t="shared" si="183"/>
        <v>11537.6881698</v>
      </c>
      <c r="AT205" s="1921">
        <f t="shared" si="183"/>
        <v>11833.526328</v>
      </c>
      <c r="AU205" s="1921">
        <f t="shared" si="183"/>
        <v>12129.3644862</v>
      </c>
      <c r="AV205" s="1921">
        <f t="shared" si="183"/>
        <v>12425.2026444</v>
      </c>
      <c r="AW205" s="1921">
        <f t="shared" si="183"/>
        <v>12721.0408026</v>
      </c>
      <c r="AX205" s="1921">
        <f t="shared" si="183"/>
        <v>13016.878960799999</v>
      </c>
      <c r="AY205" s="1921">
        <f t="shared" si="183"/>
        <v>13312.717118999999</v>
      </c>
      <c r="AZ205" s="1921">
        <f t="shared" si="183"/>
        <v>13608.555277199997</v>
      </c>
      <c r="BA205" s="1921">
        <f t="shared" si="183"/>
        <v>13904.393435399999</v>
      </c>
      <c r="BB205" s="1921">
        <f t="shared" si="183"/>
        <v>14200.2315936</v>
      </c>
      <c r="BC205" s="1921">
        <f t="shared" si="183"/>
        <v>14496.0697518</v>
      </c>
      <c r="BD205" s="1921">
        <f t="shared" si="183"/>
        <v>14791.90791</v>
      </c>
      <c r="BE205" s="1921">
        <f t="shared" si="183"/>
        <v>15087.746068199998</v>
      </c>
      <c r="BF205" s="1921">
        <f t="shared" si="183"/>
        <v>15383.5842264</v>
      </c>
      <c r="BG205" s="1921">
        <f t="shared" si="183"/>
        <v>15679.422384599999</v>
      </c>
      <c r="BI205" s="632">
        <f t="shared" ref="BI205:DG205" si="184">I206/I205</f>
        <v>0</v>
      </c>
      <c r="BJ205" s="632">
        <f t="shared" si="184"/>
        <v>0</v>
      </c>
      <c r="BK205" s="632">
        <f t="shared" si="184"/>
        <v>0</v>
      </c>
      <c r="BL205" s="632">
        <f t="shared" si="184"/>
        <v>0</v>
      </c>
      <c r="BM205" s="632">
        <f t="shared" si="184"/>
        <v>0</v>
      </c>
      <c r="BN205" s="632">
        <f t="shared" si="184"/>
        <v>0</v>
      </c>
      <c r="BO205" s="632">
        <f t="shared" si="184"/>
        <v>0</v>
      </c>
      <c r="BP205" s="632">
        <f t="shared" si="184"/>
        <v>0</v>
      </c>
      <c r="BQ205" s="632">
        <f t="shared" si="184"/>
        <v>0</v>
      </c>
      <c r="BR205" s="632">
        <f t="shared" si="184"/>
        <v>0</v>
      </c>
      <c r="BS205" s="632">
        <f t="shared" si="184"/>
        <v>0</v>
      </c>
      <c r="BT205" s="632">
        <f t="shared" si="184"/>
        <v>0</v>
      </c>
      <c r="BU205" s="632">
        <f t="shared" si="184"/>
        <v>0</v>
      </c>
      <c r="BV205" s="632">
        <f t="shared" si="184"/>
        <v>0</v>
      </c>
      <c r="BW205" s="632">
        <f t="shared" si="184"/>
        <v>0</v>
      </c>
      <c r="BX205" s="632">
        <f t="shared" si="184"/>
        <v>0</v>
      </c>
      <c r="BY205" s="632">
        <f t="shared" si="184"/>
        <v>0</v>
      </c>
      <c r="BZ205" s="632">
        <f t="shared" si="184"/>
        <v>0</v>
      </c>
      <c r="CA205" s="632">
        <f t="shared" si="184"/>
        <v>0</v>
      </c>
      <c r="CB205" s="632">
        <f t="shared" si="184"/>
        <v>0</v>
      </c>
      <c r="CC205" s="632">
        <f t="shared" si="184"/>
        <v>0</v>
      </c>
      <c r="CD205" s="632">
        <f t="shared" si="184"/>
        <v>0</v>
      </c>
      <c r="CE205" s="632">
        <f t="shared" si="184"/>
        <v>0</v>
      </c>
      <c r="CF205" s="632">
        <f t="shared" si="184"/>
        <v>0</v>
      </c>
      <c r="CG205" s="632">
        <f t="shared" si="184"/>
        <v>0</v>
      </c>
      <c r="CH205" s="632">
        <f t="shared" si="184"/>
        <v>0</v>
      </c>
      <c r="CI205" s="632">
        <f t="shared" si="184"/>
        <v>0</v>
      </c>
      <c r="CJ205" s="632">
        <f t="shared" si="184"/>
        <v>0</v>
      </c>
      <c r="CK205" s="632">
        <f t="shared" si="184"/>
        <v>0</v>
      </c>
      <c r="CL205" s="632">
        <f t="shared" si="184"/>
        <v>0</v>
      </c>
      <c r="CM205" s="632">
        <f t="shared" si="184"/>
        <v>0</v>
      </c>
      <c r="CN205" s="632">
        <f t="shared" si="184"/>
        <v>0</v>
      </c>
      <c r="CO205" s="632">
        <f t="shared" si="184"/>
        <v>0</v>
      </c>
      <c r="CP205" s="632">
        <f t="shared" si="184"/>
        <v>0</v>
      </c>
      <c r="CQ205" s="632">
        <f t="shared" si="184"/>
        <v>0</v>
      </c>
      <c r="CR205" s="632">
        <f t="shared" si="184"/>
        <v>0</v>
      </c>
      <c r="CS205" s="632">
        <f t="shared" si="184"/>
        <v>0</v>
      </c>
      <c r="CT205" s="632">
        <f t="shared" si="184"/>
        <v>0</v>
      </c>
      <c r="CU205" s="632">
        <f t="shared" si="184"/>
        <v>0</v>
      </c>
      <c r="CV205" s="632">
        <f t="shared" si="184"/>
        <v>0</v>
      </c>
      <c r="CW205" s="632">
        <f t="shared" si="184"/>
        <v>0</v>
      </c>
      <c r="CX205" s="632">
        <f t="shared" si="184"/>
        <v>0</v>
      </c>
      <c r="CY205" s="632">
        <f t="shared" si="184"/>
        <v>0</v>
      </c>
      <c r="CZ205" s="632">
        <f t="shared" si="184"/>
        <v>0</v>
      </c>
      <c r="DA205" s="632">
        <f t="shared" si="184"/>
        <v>0</v>
      </c>
      <c r="DB205" s="632">
        <f t="shared" si="184"/>
        <v>0</v>
      </c>
      <c r="DC205" s="632">
        <f t="shared" si="184"/>
        <v>0</v>
      </c>
      <c r="DD205" s="632">
        <f t="shared" si="184"/>
        <v>0</v>
      </c>
      <c r="DE205" s="632">
        <f t="shared" si="184"/>
        <v>0</v>
      </c>
      <c r="DF205" s="632">
        <f t="shared" si="184"/>
        <v>0</v>
      </c>
      <c r="DG205" s="632">
        <f t="shared" si="184"/>
        <v>0</v>
      </c>
    </row>
    <row r="206" spans="1:111" ht="36" hidden="1" customHeight="1">
      <c r="B206" s="1922"/>
      <c r="C206" s="1922"/>
      <c r="D206" s="1923"/>
      <c r="E206" s="1924"/>
      <c r="F206" s="1925"/>
      <c r="G206" s="1925"/>
      <c r="H206" s="1926"/>
      <c r="I206" s="1922"/>
      <c r="J206" s="1922"/>
      <c r="K206" s="1922"/>
      <c r="L206" s="1922"/>
      <c r="M206" s="1922"/>
      <c r="N206" s="1922"/>
      <c r="O206" s="1922"/>
      <c r="P206" s="1922"/>
      <c r="Q206" s="1922"/>
      <c r="R206" s="1922"/>
      <c r="S206" s="1922"/>
      <c r="T206" s="1922"/>
      <c r="U206" s="1922"/>
      <c r="V206" s="1922"/>
      <c r="W206" s="1922"/>
      <c r="X206" s="1922"/>
      <c r="Y206" s="1922"/>
      <c r="Z206" s="1922"/>
      <c r="AA206" s="1922"/>
      <c r="AB206" s="1922"/>
      <c r="AC206" s="1922"/>
      <c r="AD206" s="1922"/>
      <c r="AE206" s="1922"/>
      <c r="AF206" s="1922"/>
      <c r="AG206" s="1922"/>
      <c r="AH206" s="1922"/>
      <c r="AI206" s="1922"/>
      <c r="AJ206" s="1922"/>
      <c r="AK206" s="1922"/>
      <c r="AL206" s="1922"/>
      <c r="AM206" s="1922"/>
      <c r="AN206" s="1922"/>
      <c r="AO206" s="1922"/>
      <c r="AP206" s="1922"/>
      <c r="AQ206" s="1922"/>
      <c r="AR206" s="1922"/>
      <c r="AS206" s="1922"/>
      <c r="AT206" s="1922"/>
      <c r="AU206" s="1922"/>
      <c r="AV206" s="1922"/>
      <c r="AW206" s="1922"/>
      <c r="AX206" s="1922"/>
      <c r="AY206" s="1922"/>
      <c r="AZ206" s="1922"/>
      <c r="BA206" s="1922"/>
      <c r="BB206" s="1922"/>
      <c r="BC206" s="1922"/>
      <c r="BD206" s="1922"/>
      <c r="BE206" s="1922"/>
      <c r="BF206" s="1922"/>
      <c r="BG206" s="1922"/>
      <c r="BH206" s="1984"/>
    </row>
    <row r="207" spans="1:111" ht="21.75" hidden="1" thickBot="1">
      <c r="B207" s="2407" t="s">
        <v>375</v>
      </c>
      <c r="C207" s="2408"/>
      <c r="D207" s="1899"/>
      <c r="E207" s="2448" t="s">
        <v>224</v>
      </c>
      <c r="F207" s="2427" t="s">
        <v>0</v>
      </c>
      <c r="G207" s="2427" t="s">
        <v>1</v>
      </c>
      <c r="H207" s="2429" t="s">
        <v>185</v>
      </c>
      <c r="I207" s="2411" t="s">
        <v>18</v>
      </c>
      <c r="J207" s="2412"/>
      <c r="K207" s="2412"/>
      <c r="L207" s="2412"/>
      <c r="M207" s="2412"/>
      <c r="N207" s="2412"/>
      <c r="O207" s="2412"/>
      <c r="P207" s="2412"/>
      <c r="Q207" s="2412"/>
      <c r="R207" s="2412"/>
      <c r="S207" s="2412"/>
      <c r="T207" s="2412"/>
      <c r="U207" s="2412"/>
      <c r="V207" s="2412"/>
      <c r="W207" s="2412"/>
      <c r="X207" s="2412"/>
      <c r="Y207" s="2412"/>
      <c r="Z207" s="2412"/>
      <c r="AA207" s="2412"/>
      <c r="AB207" s="2412"/>
      <c r="AC207" s="2412"/>
      <c r="AD207" s="2412"/>
      <c r="AE207" s="2412"/>
      <c r="AF207" s="2412"/>
      <c r="AG207" s="2412"/>
      <c r="AH207" s="2412"/>
      <c r="AI207" s="2412"/>
      <c r="AJ207" s="2412"/>
      <c r="AK207" s="2412"/>
      <c r="AL207" s="2412"/>
      <c r="AM207" s="2412"/>
      <c r="AN207" s="2412"/>
      <c r="AO207" s="2412"/>
      <c r="AP207" s="2412"/>
      <c r="AQ207" s="2412"/>
      <c r="AR207" s="2412"/>
      <c r="AS207" s="2412"/>
      <c r="AT207" s="2412"/>
      <c r="AU207" s="2412"/>
      <c r="AV207" s="2412"/>
      <c r="AW207" s="2412"/>
      <c r="AX207" s="2412"/>
      <c r="AY207" s="2412"/>
      <c r="AZ207" s="2412"/>
      <c r="BA207" s="2412"/>
      <c r="BB207" s="2412"/>
      <c r="BC207" s="2412"/>
      <c r="BD207" s="2412"/>
      <c r="BE207" s="2412"/>
      <c r="BF207" s="2412"/>
      <c r="BG207" s="2413"/>
    </row>
    <row r="208" spans="1:111" ht="21.75" hidden="1" thickBot="1">
      <c r="B208" s="2409"/>
      <c r="C208" s="2410"/>
      <c r="D208" s="1900"/>
      <c r="E208" s="2449"/>
      <c r="F208" s="2428"/>
      <c r="G208" s="2428"/>
      <c r="H208" s="2430"/>
      <c r="I208" s="1901">
        <v>500</v>
      </c>
      <c r="J208" s="1902">
        <v>550</v>
      </c>
      <c r="K208" s="1903">
        <v>600</v>
      </c>
      <c r="L208" s="1904">
        <v>650</v>
      </c>
      <c r="M208" s="1904">
        <v>700</v>
      </c>
      <c r="N208" s="1904">
        <v>750</v>
      </c>
      <c r="O208" s="1904">
        <v>800</v>
      </c>
      <c r="P208" s="1904">
        <v>850</v>
      </c>
      <c r="Q208" s="1904">
        <v>900</v>
      </c>
      <c r="R208" s="1904">
        <v>950</v>
      </c>
      <c r="S208" s="1904">
        <v>1000</v>
      </c>
      <c r="T208" s="1904">
        <v>1050</v>
      </c>
      <c r="U208" s="1904">
        <v>1100</v>
      </c>
      <c r="V208" s="1904">
        <v>1150</v>
      </c>
      <c r="W208" s="1904">
        <v>1200</v>
      </c>
      <c r="X208" s="1904">
        <v>1250</v>
      </c>
      <c r="Y208" s="1904">
        <v>1300</v>
      </c>
      <c r="Z208" s="1904">
        <v>1350</v>
      </c>
      <c r="AA208" s="1904">
        <v>1400</v>
      </c>
      <c r="AB208" s="1904">
        <v>1450</v>
      </c>
      <c r="AC208" s="1904">
        <v>1500</v>
      </c>
      <c r="AD208" s="1904">
        <v>1550</v>
      </c>
      <c r="AE208" s="1904">
        <v>1600</v>
      </c>
      <c r="AF208" s="1904">
        <v>1650</v>
      </c>
      <c r="AG208" s="1904">
        <v>1700</v>
      </c>
      <c r="AH208" s="1904">
        <v>1750</v>
      </c>
      <c r="AI208" s="1904">
        <v>1800</v>
      </c>
      <c r="AJ208" s="1904">
        <v>1850</v>
      </c>
      <c r="AK208" s="1904">
        <v>1900</v>
      </c>
      <c r="AL208" s="1904">
        <v>1950</v>
      </c>
      <c r="AM208" s="1904">
        <v>2000</v>
      </c>
      <c r="AN208" s="1904">
        <v>2050</v>
      </c>
      <c r="AO208" s="1904">
        <v>2100</v>
      </c>
      <c r="AP208" s="1904">
        <v>2150</v>
      </c>
      <c r="AQ208" s="1904">
        <v>2200</v>
      </c>
      <c r="AR208" s="1904">
        <v>2250</v>
      </c>
      <c r="AS208" s="1904">
        <v>2300</v>
      </c>
      <c r="AT208" s="1904">
        <v>2350</v>
      </c>
      <c r="AU208" s="1904">
        <v>2400</v>
      </c>
      <c r="AV208" s="1904">
        <v>2450</v>
      </c>
      <c r="AW208" s="1904">
        <v>2500</v>
      </c>
      <c r="AX208" s="1904">
        <v>2550</v>
      </c>
      <c r="AY208" s="1904">
        <v>2600</v>
      </c>
      <c r="AZ208" s="1904">
        <v>2650</v>
      </c>
      <c r="BA208" s="1904">
        <v>2700</v>
      </c>
      <c r="BB208" s="1904">
        <v>2750</v>
      </c>
      <c r="BC208" s="1904">
        <v>2800</v>
      </c>
      <c r="BD208" s="1904">
        <v>2850</v>
      </c>
      <c r="BE208" s="1904">
        <v>2900</v>
      </c>
      <c r="BF208" s="1905">
        <v>2950</v>
      </c>
      <c r="BG208" s="1906">
        <v>3000</v>
      </c>
    </row>
    <row r="209" spans="1:111" hidden="1">
      <c r="A209" s="2309" t="s">
        <v>5755</v>
      </c>
      <c r="B209" s="2455" t="s">
        <v>5773</v>
      </c>
      <c r="C209" s="2456"/>
      <c r="D209" s="2457"/>
      <c r="E209" s="1907" t="s">
        <v>5755</v>
      </c>
      <c r="F209" s="1907">
        <v>90</v>
      </c>
      <c r="G209" s="1907">
        <v>260</v>
      </c>
      <c r="H209" s="1907">
        <v>2</v>
      </c>
      <c r="I209" s="1908">
        <f t="shared" ref="I209:AN209" si="185">((I$208-$I$4)/1000)*$N$67*(($C$8/70)^$X$67)*IF($C$13=1,$AF$67,IF($C$13=2,$AG$67,IF($C$13=3,$AH$67,1)))</f>
        <v>429.50159999999994</v>
      </c>
      <c r="J209" s="1908">
        <f t="shared" si="185"/>
        <v>572.66879999999992</v>
      </c>
      <c r="K209" s="1908">
        <f t="shared" si="185"/>
        <v>715.8359999999999</v>
      </c>
      <c r="L209" s="1908">
        <f t="shared" si="185"/>
        <v>859.00319999999988</v>
      </c>
      <c r="M209" s="1908">
        <f t="shared" si="185"/>
        <v>1002.1703999999999</v>
      </c>
      <c r="N209" s="1908">
        <f t="shared" si="185"/>
        <v>1145.3375999999998</v>
      </c>
      <c r="O209" s="1908">
        <f t="shared" si="185"/>
        <v>1288.5047999999999</v>
      </c>
      <c r="P209" s="1908">
        <f t="shared" si="185"/>
        <v>1431.6719999999998</v>
      </c>
      <c r="Q209" s="1908">
        <f t="shared" si="185"/>
        <v>1574.8391999999999</v>
      </c>
      <c r="R209" s="1908">
        <f t="shared" si="185"/>
        <v>1718.0063999999998</v>
      </c>
      <c r="S209" s="1908">
        <f t="shared" si="185"/>
        <v>1861.1735999999999</v>
      </c>
      <c r="T209" s="1908">
        <f t="shared" si="185"/>
        <v>2004.3407999999997</v>
      </c>
      <c r="U209" s="1908">
        <f t="shared" si="185"/>
        <v>2147.5079999999998</v>
      </c>
      <c r="V209" s="1908">
        <f t="shared" si="185"/>
        <v>2290.6751999999997</v>
      </c>
      <c r="W209" s="1908">
        <f t="shared" si="185"/>
        <v>2433.8423999999995</v>
      </c>
      <c r="X209" s="1908">
        <f t="shared" si="185"/>
        <v>2577.0095999999999</v>
      </c>
      <c r="Y209" s="1908">
        <f t="shared" si="185"/>
        <v>2720.1767999999993</v>
      </c>
      <c r="Z209" s="1908">
        <f t="shared" si="185"/>
        <v>2863.3439999999996</v>
      </c>
      <c r="AA209" s="1908">
        <f t="shared" si="185"/>
        <v>3006.5111999999999</v>
      </c>
      <c r="AB209" s="1908">
        <f t="shared" si="185"/>
        <v>3149.6783999999998</v>
      </c>
      <c r="AC209" s="1908">
        <f t="shared" si="185"/>
        <v>3292.8455999999992</v>
      </c>
      <c r="AD209" s="1908">
        <f t="shared" si="185"/>
        <v>3436.0127999999995</v>
      </c>
      <c r="AE209" s="1908">
        <f t="shared" si="185"/>
        <v>3579.18</v>
      </c>
      <c r="AF209" s="1908">
        <f t="shared" si="185"/>
        <v>3722.3471999999997</v>
      </c>
      <c r="AG209" s="1908">
        <f t="shared" si="185"/>
        <v>3865.5144</v>
      </c>
      <c r="AH209" s="1908">
        <f t="shared" si="185"/>
        <v>4008.6815999999994</v>
      </c>
      <c r="AI209" s="1908">
        <f t="shared" si="185"/>
        <v>4151.8487999999988</v>
      </c>
      <c r="AJ209" s="1908">
        <f t="shared" si="185"/>
        <v>4295.0159999999996</v>
      </c>
      <c r="AK209" s="1908">
        <f t="shared" si="185"/>
        <v>4438.1831999999995</v>
      </c>
      <c r="AL209" s="1908">
        <f t="shared" si="185"/>
        <v>4581.3503999999994</v>
      </c>
      <c r="AM209" s="1908">
        <f t="shared" si="185"/>
        <v>4724.5175999999992</v>
      </c>
      <c r="AN209" s="1908">
        <f t="shared" si="185"/>
        <v>4867.6847999999991</v>
      </c>
      <c r="AO209" s="1908">
        <f t="shared" ref="AO209:BG209" si="186">((AO$208-$I$4)/1000)*$N$67*(($C$8/70)^$X$67)*IF($C$13=1,$AF$67,IF($C$13=2,$AG$67,IF($C$13=3,$AH$67,1)))</f>
        <v>5010.851999999999</v>
      </c>
      <c r="AP209" s="1908">
        <f t="shared" si="186"/>
        <v>5154.0191999999997</v>
      </c>
      <c r="AQ209" s="1908">
        <f t="shared" si="186"/>
        <v>5297.1863999999996</v>
      </c>
      <c r="AR209" s="1908">
        <f t="shared" si="186"/>
        <v>5440.3535999999986</v>
      </c>
      <c r="AS209" s="1908">
        <f t="shared" si="186"/>
        <v>5583.5207999999993</v>
      </c>
      <c r="AT209" s="1908">
        <f t="shared" si="186"/>
        <v>5726.6879999999992</v>
      </c>
      <c r="AU209" s="1908">
        <f t="shared" si="186"/>
        <v>5869.8551999999991</v>
      </c>
      <c r="AV209" s="1908">
        <f t="shared" si="186"/>
        <v>6013.0223999999998</v>
      </c>
      <c r="AW209" s="1908">
        <f t="shared" si="186"/>
        <v>6156.1895999999988</v>
      </c>
      <c r="AX209" s="1908">
        <f t="shared" si="186"/>
        <v>6299.3567999999996</v>
      </c>
      <c r="AY209" s="1908">
        <f t="shared" si="186"/>
        <v>6442.5239999999994</v>
      </c>
      <c r="AZ209" s="1908">
        <f t="shared" si="186"/>
        <v>6585.6911999999984</v>
      </c>
      <c r="BA209" s="1908">
        <f t="shared" si="186"/>
        <v>6728.8583999999992</v>
      </c>
      <c r="BB209" s="1908">
        <f t="shared" si="186"/>
        <v>6872.025599999999</v>
      </c>
      <c r="BC209" s="1908">
        <f t="shared" si="186"/>
        <v>7015.1927999999998</v>
      </c>
      <c r="BD209" s="1908">
        <f t="shared" si="186"/>
        <v>7158.36</v>
      </c>
      <c r="BE209" s="1908">
        <f t="shared" si="186"/>
        <v>7301.5271999999986</v>
      </c>
      <c r="BF209" s="1908">
        <f t="shared" si="186"/>
        <v>7444.6943999999994</v>
      </c>
      <c r="BG209" s="1908">
        <f t="shared" si="186"/>
        <v>7587.8615999999993</v>
      </c>
    </row>
    <row r="210" spans="1:111" hidden="1">
      <c r="A210" s="2309"/>
      <c r="B210" s="2460" t="s">
        <v>5774</v>
      </c>
      <c r="C210" s="2461"/>
      <c r="D210" s="2458"/>
      <c r="E210" s="1909" t="s">
        <v>5755</v>
      </c>
      <c r="F210" s="1909">
        <v>90</v>
      </c>
      <c r="G210" s="1909">
        <v>300</v>
      </c>
      <c r="H210" s="1909">
        <v>2</v>
      </c>
      <c r="I210" s="1910">
        <f t="shared" ref="I210:AN210" si="187">((I$208-$I$4)/1000)*$O$67*(($C$8/70)^$Y$67)*IF($C$13=1,$AF$67,IF($C$13=2,$AG$67,IF($C$13=3,$AH$67,1)))</f>
        <v>499.42871999999988</v>
      </c>
      <c r="J210" s="1910">
        <f t="shared" si="187"/>
        <v>665.90495999999985</v>
      </c>
      <c r="K210" s="1910">
        <f t="shared" si="187"/>
        <v>832.38119999999981</v>
      </c>
      <c r="L210" s="1910">
        <f t="shared" si="187"/>
        <v>998.85743999999977</v>
      </c>
      <c r="M210" s="1910">
        <f t="shared" si="187"/>
        <v>1165.3336799999997</v>
      </c>
      <c r="N210" s="1910">
        <f t="shared" si="187"/>
        <v>1331.8099199999997</v>
      </c>
      <c r="O210" s="1910">
        <f t="shared" si="187"/>
        <v>1498.2861599999999</v>
      </c>
      <c r="P210" s="1910">
        <f t="shared" si="187"/>
        <v>1664.7623999999996</v>
      </c>
      <c r="Q210" s="1910">
        <f t="shared" si="187"/>
        <v>1831.2386399999998</v>
      </c>
      <c r="R210" s="1910">
        <f t="shared" si="187"/>
        <v>1997.7148799999995</v>
      </c>
      <c r="S210" s="1910">
        <f t="shared" si="187"/>
        <v>2164.1911199999995</v>
      </c>
      <c r="T210" s="1910">
        <f t="shared" si="187"/>
        <v>2330.6673599999995</v>
      </c>
      <c r="U210" s="1910">
        <f t="shared" si="187"/>
        <v>2497.1435999999994</v>
      </c>
      <c r="V210" s="1910">
        <f t="shared" si="187"/>
        <v>2663.6198399999994</v>
      </c>
      <c r="W210" s="1910">
        <f t="shared" si="187"/>
        <v>2830.0960799999993</v>
      </c>
      <c r="X210" s="1910">
        <f t="shared" si="187"/>
        <v>2996.5723199999998</v>
      </c>
      <c r="Y210" s="1910">
        <f t="shared" si="187"/>
        <v>3163.0485599999993</v>
      </c>
      <c r="Z210" s="1910">
        <f t="shared" si="187"/>
        <v>3329.5247999999992</v>
      </c>
      <c r="AA210" s="1910">
        <f t="shared" si="187"/>
        <v>3496.0010399999996</v>
      </c>
      <c r="AB210" s="1910">
        <f t="shared" si="187"/>
        <v>3662.4772799999996</v>
      </c>
      <c r="AC210" s="1910">
        <f t="shared" si="187"/>
        <v>3828.9535199999991</v>
      </c>
      <c r="AD210" s="1910">
        <f t="shared" si="187"/>
        <v>3995.4297599999991</v>
      </c>
      <c r="AE210" s="1910">
        <f t="shared" si="187"/>
        <v>4161.905999999999</v>
      </c>
      <c r="AF210" s="1910">
        <f t="shared" si="187"/>
        <v>4328.382239999999</v>
      </c>
      <c r="AG210" s="1910">
        <f t="shared" si="187"/>
        <v>4494.858479999999</v>
      </c>
      <c r="AH210" s="1910">
        <f t="shared" si="187"/>
        <v>4661.3347199999989</v>
      </c>
      <c r="AI210" s="1910">
        <f t="shared" si="187"/>
        <v>4827.8109599999989</v>
      </c>
      <c r="AJ210" s="1910">
        <f t="shared" si="187"/>
        <v>4994.2871999999988</v>
      </c>
      <c r="AK210" s="1910">
        <f t="shared" si="187"/>
        <v>5160.7634399999988</v>
      </c>
      <c r="AL210" s="1910">
        <f t="shared" si="187"/>
        <v>5327.2396799999988</v>
      </c>
      <c r="AM210" s="1910">
        <f t="shared" si="187"/>
        <v>5493.7159199999987</v>
      </c>
      <c r="AN210" s="1910">
        <f t="shared" si="187"/>
        <v>5660.1921599999987</v>
      </c>
      <c r="AO210" s="1910">
        <f t="shared" ref="AO210:BG210" si="188">((AO$208-$I$4)/1000)*$O$67*(($C$8/70)^$Y$67)*IF($C$13=1,$AF$67,IF($C$13=2,$AG$67,IF($C$13=3,$AH$67,1)))</f>
        <v>5826.6683999999987</v>
      </c>
      <c r="AP210" s="1910">
        <f t="shared" si="188"/>
        <v>5993.1446399999995</v>
      </c>
      <c r="AQ210" s="1910">
        <f t="shared" si="188"/>
        <v>6159.6208799999995</v>
      </c>
      <c r="AR210" s="1910">
        <f t="shared" si="188"/>
        <v>6326.0971199999985</v>
      </c>
      <c r="AS210" s="1910">
        <f t="shared" si="188"/>
        <v>6492.5733599999985</v>
      </c>
      <c r="AT210" s="1910">
        <f t="shared" si="188"/>
        <v>6659.0495999999985</v>
      </c>
      <c r="AU210" s="1910">
        <f t="shared" si="188"/>
        <v>6825.5258399999975</v>
      </c>
      <c r="AV210" s="1910">
        <f t="shared" si="188"/>
        <v>6992.0020799999993</v>
      </c>
      <c r="AW210" s="1910">
        <f t="shared" si="188"/>
        <v>7158.4783199999983</v>
      </c>
      <c r="AX210" s="1910">
        <f t="shared" si="188"/>
        <v>7324.9545599999992</v>
      </c>
      <c r="AY210" s="1910">
        <f t="shared" si="188"/>
        <v>7491.4307999999983</v>
      </c>
      <c r="AZ210" s="1910">
        <f t="shared" si="188"/>
        <v>7657.9070399999982</v>
      </c>
      <c r="BA210" s="1910">
        <f t="shared" si="188"/>
        <v>7824.3832799999982</v>
      </c>
      <c r="BB210" s="1910">
        <f t="shared" si="188"/>
        <v>7990.8595199999982</v>
      </c>
      <c r="BC210" s="1910">
        <f t="shared" si="188"/>
        <v>8157.335759999999</v>
      </c>
      <c r="BD210" s="1910">
        <f t="shared" si="188"/>
        <v>8323.8119999999981</v>
      </c>
      <c r="BE210" s="1910">
        <f t="shared" si="188"/>
        <v>8490.288239999998</v>
      </c>
      <c r="BF210" s="1910">
        <f t="shared" si="188"/>
        <v>8656.764479999998</v>
      </c>
      <c r="BG210" s="1910">
        <f t="shared" si="188"/>
        <v>8823.240719999998</v>
      </c>
      <c r="BI210" s="632">
        <f t="shared" ref="BI210:BX211" si="189">I216/I210</f>
        <v>1.309381663113006</v>
      </c>
      <c r="BJ210" s="632">
        <f t="shared" si="189"/>
        <v>1.3093816631130062</v>
      </c>
      <c r="BK210" s="632">
        <f t="shared" si="189"/>
        <v>1.3093816631130062</v>
      </c>
      <c r="BL210" s="632">
        <f t="shared" si="189"/>
        <v>1.309381663113006</v>
      </c>
      <c r="BM210" s="632">
        <f t="shared" si="189"/>
        <v>1.309381663113006</v>
      </c>
      <c r="BN210" s="632">
        <f t="shared" si="189"/>
        <v>1.3093816631130062</v>
      </c>
      <c r="BO210" s="632">
        <f t="shared" si="189"/>
        <v>1.309381663113006</v>
      </c>
      <c r="BP210" s="632">
        <f t="shared" si="189"/>
        <v>1.3093816631130062</v>
      </c>
      <c r="BQ210" s="632">
        <f t="shared" si="189"/>
        <v>1.3093816631130062</v>
      </c>
      <c r="BR210" s="632">
        <f t="shared" si="189"/>
        <v>1.309381663113006</v>
      </c>
      <c r="BS210" s="632">
        <f t="shared" si="189"/>
        <v>1.3093816631130062</v>
      </c>
      <c r="BT210" s="632">
        <f t="shared" si="189"/>
        <v>1.309381663113006</v>
      </c>
      <c r="BU210" s="632">
        <f t="shared" si="189"/>
        <v>1.3093816631130062</v>
      </c>
      <c r="BV210" s="632">
        <f t="shared" si="189"/>
        <v>1.3093816631130062</v>
      </c>
      <c r="BW210" s="632">
        <f t="shared" si="189"/>
        <v>1.3093816631130062</v>
      </c>
      <c r="BX210" s="632">
        <f t="shared" si="189"/>
        <v>1.309381663113006</v>
      </c>
      <c r="BY210" s="632">
        <f t="shared" ref="BY210:CN211" si="190">Y216/Y210</f>
        <v>1.3093816631130062</v>
      </c>
      <c r="BZ210" s="632">
        <f t="shared" si="190"/>
        <v>1.3093816631130062</v>
      </c>
      <c r="CA210" s="632">
        <f t="shared" si="190"/>
        <v>1.3093816631130062</v>
      </c>
      <c r="CB210" s="632">
        <f t="shared" si="190"/>
        <v>1.3093816631130062</v>
      </c>
      <c r="CC210" s="632">
        <f t="shared" si="190"/>
        <v>1.309381663113006</v>
      </c>
      <c r="CD210" s="632">
        <f t="shared" si="190"/>
        <v>1.309381663113006</v>
      </c>
      <c r="CE210" s="632">
        <f t="shared" si="190"/>
        <v>1.3093816631130062</v>
      </c>
      <c r="CF210" s="632">
        <f t="shared" si="190"/>
        <v>1.3093816631130062</v>
      </c>
      <c r="CG210" s="632">
        <f t="shared" si="190"/>
        <v>1.3093816631130064</v>
      </c>
      <c r="CH210" s="632">
        <f t="shared" si="190"/>
        <v>1.309381663113006</v>
      </c>
      <c r="CI210" s="632">
        <f t="shared" si="190"/>
        <v>1.3093816631130062</v>
      </c>
      <c r="CJ210" s="632">
        <f t="shared" si="190"/>
        <v>1.3093816631130062</v>
      </c>
      <c r="CK210" s="632">
        <f t="shared" si="190"/>
        <v>1.3093816631130062</v>
      </c>
      <c r="CL210" s="632">
        <f t="shared" si="190"/>
        <v>1.3093816631130062</v>
      </c>
      <c r="CM210" s="632">
        <f t="shared" si="190"/>
        <v>1.3093816631130062</v>
      </c>
      <c r="CN210" s="632">
        <f t="shared" si="190"/>
        <v>1.3093816631130062</v>
      </c>
      <c r="CO210" s="632">
        <f t="shared" ref="CO210:DD211" si="191">AO216/AO210</f>
        <v>1.3093816631130062</v>
      </c>
      <c r="CP210" s="632">
        <f t="shared" si="191"/>
        <v>1.309381663113006</v>
      </c>
      <c r="CQ210" s="632">
        <f t="shared" si="191"/>
        <v>1.3093816631130062</v>
      </c>
      <c r="CR210" s="632">
        <f t="shared" si="191"/>
        <v>1.3093816631130062</v>
      </c>
      <c r="CS210" s="632">
        <f t="shared" si="191"/>
        <v>1.3093816631130062</v>
      </c>
      <c r="CT210" s="632">
        <f t="shared" si="191"/>
        <v>1.3093816631130062</v>
      </c>
      <c r="CU210" s="632">
        <f t="shared" si="191"/>
        <v>1.3093816631130064</v>
      </c>
      <c r="CV210" s="632">
        <f t="shared" si="191"/>
        <v>1.3093816631130062</v>
      </c>
      <c r="CW210" s="632">
        <f t="shared" si="191"/>
        <v>1.3093816631130062</v>
      </c>
      <c r="CX210" s="632">
        <f t="shared" si="191"/>
        <v>1.3093816631130062</v>
      </c>
      <c r="CY210" s="632">
        <f t="shared" si="191"/>
        <v>1.3093816631130062</v>
      </c>
      <c r="CZ210" s="632">
        <f t="shared" si="191"/>
        <v>1.309381663113006</v>
      </c>
      <c r="DA210" s="632">
        <f t="shared" si="191"/>
        <v>1.3093816631130062</v>
      </c>
      <c r="DB210" s="632">
        <f t="shared" si="191"/>
        <v>1.309381663113006</v>
      </c>
      <c r="DC210" s="632">
        <f t="shared" si="191"/>
        <v>1.3093816631130064</v>
      </c>
      <c r="DD210" s="632">
        <f t="shared" si="191"/>
        <v>1.3093816631130062</v>
      </c>
      <c r="DE210" s="632">
        <f t="shared" ref="CW210:DG211" si="192">BE216/BE210</f>
        <v>1.3093816631130062</v>
      </c>
      <c r="DF210" s="632">
        <f t="shared" si="192"/>
        <v>1.3093816631130062</v>
      </c>
      <c r="DG210" s="632">
        <f t="shared" si="192"/>
        <v>1.309381663113006</v>
      </c>
    </row>
    <row r="211" spans="1:111" hidden="1">
      <c r="A211" s="2309"/>
      <c r="B211" s="2460" t="s">
        <v>5775</v>
      </c>
      <c r="C211" s="2461"/>
      <c r="D211" s="2458"/>
      <c r="E211" s="1909" t="s">
        <v>5755</v>
      </c>
      <c r="F211" s="1909">
        <v>90</v>
      </c>
      <c r="G211" s="1909">
        <v>360</v>
      </c>
      <c r="H211" s="1909">
        <v>2</v>
      </c>
      <c r="I211" s="1910">
        <f t="shared" ref="I211:AN211" si="193">((I$208-$I$4)/1000)*$Q$67*(($C$8/70)^$AA$67)*IF($C$13=1,$AF$67,IF($C$13=2,$AG$67,IF($C$13=3,$AH$67,1)))</f>
        <v>534.38873039999999</v>
      </c>
      <c r="J211" s="1910">
        <f t="shared" si="193"/>
        <v>712.51830720000009</v>
      </c>
      <c r="K211" s="1910">
        <f t="shared" si="193"/>
        <v>890.64788399999998</v>
      </c>
      <c r="L211" s="1910">
        <f t="shared" si="193"/>
        <v>1068.7774608</v>
      </c>
      <c r="M211" s="1910">
        <f t="shared" si="193"/>
        <v>1246.9070376</v>
      </c>
      <c r="N211" s="1910">
        <f t="shared" si="193"/>
        <v>1425.0366144000002</v>
      </c>
      <c r="O211" s="1910">
        <f t="shared" si="193"/>
        <v>1603.1661912000002</v>
      </c>
      <c r="P211" s="1910">
        <f t="shared" si="193"/>
        <v>1781.295768</v>
      </c>
      <c r="Q211" s="1910">
        <f t="shared" si="193"/>
        <v>1959.4253448000002</v>
      </c>
      <c r="R211" s="1910">
        <f t="shared" si="193"/>
        <v>2137.5549215999999</v>
      </c>
      <c r="S211" s="1910">
        <f t="shared" si="193"/>
        <v>2315.6844983999999</v>
      </c>
      <c r="T211" s="1910">
        <f t="shared" si="193"/>
        <v>2493.8140751999999</v>
      </c>
      <c r="U211" s="1910">
        <f t="shared" si="193"/>
        <v>2671.9436519999999</v>
      </c>
      <c r="V211" s="1910">
        <f t="shared" si="193"/>
        <v>2850.0732288000004</v>
      </c>
      <c r="W211" s="1910">
        <f t="shared" si="193"/>
        <v>3028.2028055999999</v>
      </c>
      <c r="X211" s="1910">
        <f t="shared" si="193"/>
        <v>3206.3323824000004</v>
      </c>
      <c r="Y211" s="1910">
        <f t="shared" si="193"/>
        <v>3384.4619592000004</v>
      </c>
      <c r="Z211" s="1910">
        <f t="shared" si="193"/>
        <v>3562.5915359999999</v>
      </c>
      <c r="AA211" s="1910">
        <f t="shared" si="193"/>
        <v>3740.7211127999999</v>
      </c>
      <c r="AB211" s="1910">
        <f t="shared" si="193"/>
        <v>3918.8506896000004</v>
      </c>
      <c r="AC211" s="1910">
        <f t="shared" si="193"/>
        <v>4096.9802663999999</v>
      </c>
      <c r="AD211" s="1910">
        <f t="shared" si="193"/>
        <v>4275.1098431999999</v>
      </c>
      <c r="AE211" s="1910">
        <f t="shared" si="193"/>
        <v>4453.2394199999999</v>
      </c>
      <c r="AF211" s="1910">
        <f t="shared" si="193"/>
        <v>4631.3689967999999</v>
      </c>
      <c r="AG211" s="1910">
        <f t="shared" si="193"/>
        <v>4809.4985736000008</v>
      </c>
      <c r="AH211" s="1910">
        <f t="shared" si="193"/>
        <v>4987.6281503999999</v>
      </c>
      <c r="AI211" s="1910">
        <f t="shared" si="193"/>
        <v>5165.7577271999999</v>
      </c>
      <c r="AJ211" s="1910">
        <f t="shared" si="193"/>
        <v>5343.8873039999999</v>
      </c>
      <c r="AK211" s="1910">
        <f t="shared" si="193"/>
        <v>5522.0168807999999</v>
      </c>
      <c r="AL211" s="1910">
        <f t="shared" si="193"/>
        <v>5700.1464576000008</v>
      </c>
      <c r="AM211" s="1910">
        <f t="shared" si="193"/>
        <v>5878.2760343999998</v>
      </c>
      <c r="AN211" s="1910">
        <f t="shared" si="193"/>
        <v>6056.4056111999998</v>
      </c>
      <c r="AO211" s="1910">
        <f t="shared" ref="AO211:BG211" si="194">((AO$208-$I$4)/1000)*$Q$67*(($C$8/70)^$AA$67)*IF($C$13=1,$AF$67,IF($C$13=2,$AG$67,IF($C$13=3,$AH$67,1)))</f>
        <v>6234.5351880000007</v>
      </c>
      <c r="AP211" s="1910">
        <f t="shared" si="194"/>
        <v>6412.6647648000007</v>
      </c>
      <c r="AQ211" s="1910">
        <f t="shared" si="194"/>
        <v>6590.7943416000007</v>
      </c>
      <c r="AR211" s="1910">
        <f t="shared" si="194"/>
        <v>6768.9239184000007</v>
      </c>
      <c r="AS211" s="1910">
        <f t="shared" si="194"/>
        <v>6947.0534951999998</v>
      </c>
      <c r="AT211" s="1910">
        <f t="shared" si="194"/>
        <v>7125.1830719999998</v>
      </c>
      <c r="AU211" s="1910">
        <f t="shared" si="194"/>
        <v>7303.3126487999998</v>
      </c>
      <c r="AV211" s="1910">
        <f t="shared" si="194"/>
        <v>7481.4422255999998</v>
      </c>
      <c r="AW211" s="1910">
        <f t="shared" si="194"/>
        <v>7659.5718023999998</v>
      </c>
      <c r="AX211" s="1910">
        <f t="shared" si="194"/>
        <v>7837.7013792000007</v>
      </c>
      <c r="AY211" s="1910">
        <f t="shared" si="194"/>
        <v>8015.8309559999998</v>
      </c>
      <c r="AZ211" s="1910">
        <f t="shared" si="194"/>
        <v>8193.9605327999998</v>
      </c>
      <c r="BA211" s="1910">
        <f t="shared" si="194"/>
        <v>8372.0901095999998</v>
      </c>
      <c r="BB211" s="1910">
        <f t="shared" si="194"/>
        <v>8550.2196863999998</v>
      </c>
      <c r="BC211" s="1910">
        <f t="shared" si="194"/>
        <v>8728.3492631999998</v>
      </c>
      <c r="BD211" s="1910">
        <f t="shared" si="194"/>
        <v>8906.4788399999998</v>
      </c>
      <c r="BE211" s="1910">
        <f t="shared" si="194"/>
        <v>9084.6084167999998</v>
      </c>
      <c r="BF211" s="1910">
        <f t="shared" si="194"/>
        <v>9262.7379935999998</v>
      </c>
      <c r="BG211" s="1910">
        <f t="shared" si="194"/>
        <v>9440.8675703999997</v>
      </c>
      <c r="BI211" s="632">
        <f t="shared" si="189"/>
        <v>0.72170339316721477</v>
      </c>
      <c r="BJ211" s="632">
        <f t="shared" si="189"/>
        <v>0.72170339316721466</v>
      </c>
      <c r="BK211" s="632">
        <f t="shared" si="189"/>
        <v>0.72170339316721488</v>
      </c>
      <c r="BL211" s="632">
        <f t="shared" si="189"/>
        <v>0.72170339316721477</v>
      </c>
      <c r="BM211" s="632">
        <f t="shared" si="189"/>
        <v>0.72170339316721477</v>
      </c>
      <c r="BN211" s="632">
        <f t="shared" si="189"/>
        <v>0.72170339316721466</v>
      </c>
      <c r="BO211" s="632">
        <f t="shared" si="189"/>
        <v>0.72170339316721477</v>
      </c>
      <c r="BP211" s="632">
        <f t="shared" si="189"/>
        <v>0.72170339316721488</v>
      </c>
      <c r="BQ211" s="632">
        <f t="shared" si="189"/>
        <v>0.72170339316721488</v>
      </c>
      <c r="BR211" s="632">
        <f t="shared" si="189"/>
        <v>0.72170339316721477</v>
      </c>
      <c r="BS211" s="632">
        <f t="shared" si="189"/>
        <v>0.72170339316721488</v>
      </c>
      <c r="BT211" s="632">
        <f t="shared" si="189"/>
        <v>0.72170339316721477</v>
      </c>
      <c r="BU211" s="632">
        <f t="shared" si="189"/>
        <v>0.72170339316721477</v>
      </c>
      <c r="BV211" s="632">
        <f t="shared" si="189"/>
        <v>0.72170339316721466</v>
      </c>
      <c r="BW211" s="632">
        <f t="shared" si="189"/>
        <v>0.72170339316721488</v>
      </c>
      <c r="BX211" s="632">
        <f t="shared" si="189"/>
        <v>0.72170339316721477</v>
      </c>
      <c r="BY211" s="632">
        <f t="shared" si="190"/>
        <v>0.72170339316721477</v>
      </c>
      <c r="BZ211" s="632">
        <f t="shared" si="190"/>
        <v>0.72170339316721488</v>
      </c>
      <c r="CA211" s="632">
        <f t="shared" si="190"/>
        <v>0.72170339316721488</v>
      </c>
      <c r="CB211" s="632">
        <f t="shared" si="190"/>
        <v>0.72170339316721488</v>
      </c>
      <c r="CC211" s="632">
        <f t="shared" si="190"/>
        <v>0.72170339316721477</v>
      </c>
      <c r="CD211" s="632">
        <f t="shared" si="190"/>
        <v>0.72170339316721477</v>
      </c>
      <c r="CE211" s="632">
        <f t="shared" si="190"/>
        <v>0.72170339316721488</v>
      </c>
      <c r="CF211" s="632">
        <f t="shared" si="190"/>
        <v>0.72170339316721488</v>
      </c>
      <c r="CG211" s="632">
        <f t="shared" si="190"/>
        <v>0.72170339316721477</v>
      </c>
      <c r="CH211" s="632">
        <f t="shared" si="190"/>
        <v>0.72170339316721477</v>
      </c>
      <c r="CI211" s="632">
        <f t="shared" si="190"/>
        <v>0.72170339316721477</v>
      </c>
      <c r="CJ211" s="632">
        <f t="shared" si="190"/>
        <v>0.72170339316721477</v>
      </c>
      <c r="CK211" s="632">
        <f t="shared" si="190"/>
        <v>0.72170339316721477</v>
      </c>
      <c r="CL211" s="632">
        <f t="shared" si="190"/>
        <v>0.72170339316721466</v>
      </c>
      <c r="CM211" s="632">
        <f t="shared" si="190"/>
        <v>0.72170339316721477</v>
      </c>
      <c r="CN211" s="632">
        <f t="shared" si="190"/>
        <v>0.72170339316721488</v>
      </c>
      <c r="CO211" s="632">
        <f t="shared" si="191"/>
        <v>0.72170339316721466</v>
      </c>
      <c r="CP211" s="632">
        <f t="shared" si="191"/>
        <v>0.72170339316721477</v>
      </c>
      <c r="CQ211" s="632">
        <f t="shared" si="191"/>
        <v>0.72170339316721466</v>
      </c>
      <c r="CR211" s="632">
        <f t="shared" si="191"/>
        <v>0.72170339316721477</v>
      </c>
      <c r="CS211" s="632">
        <f t="shared" si="191"/>
        <v>0.72170339316721477</v>
      </c>
      <c r="CT211" s="632">
        <f t="shared" si="191"/>
        <v>0.72170339316721488</v>
      </c>
      <c r="CU211" s="632">
        <f t="shared" si="191"/>
        <v>0.72170339316721466</v>
      </c>
      <c r="CV211" s="632">
        <f t="shared" si="191"/>
        <v>0.72170339316721488</v>
      </c>
      <c r="CW211" s="632">
        <f t="shared" si="192"/>
        <v>0.72170339316721488</v>
      </c>
      <c r="CX211" s="632">
        <f t="shared" si="192"/>
        <v>0.72170339316721488</v>
      </c>
      <c r="CY211" s="632">
        <f t="shared" si="192"/>
        <v>0.72170339316721488</v>
      </c>
      <c r="CZ211" s="632">
        <f t="shared" si="192"/>
        <v>0.72170339316721477</v>
      </c>
      <c r="DA211" s="632">
        <f t="shared" si="192"/>
        <v>0.72170339316721488</v>
      </c>
      <c r="DB211" s="632">
        <f t="shared" si="192"/>
        <v>0.72170339316721477</v>
      </c>
      <c r="DC211" s="632">
        <f t="shared" si="192"/>
        <v>0.72170339316721488</v>
      </c>
      <c r="DD211" s="632">
        <f t="shared" si="192"/>
        <v>0.72170339316721488</v>
      </c>
      <c r="DE211" s="632">
        <f t="shared" si="192"/>
        <v>0.72170339316721477</v>
      </c>
      <c r="DF211" s="632">
        <f t="shared" si="192"/>
        <v>0.72170339316721488</v>
      </c>
      <c r="DG211" s="632">
        <f t="shared" si="192"/>
        <v>0.72170339316721477</v>
      </c>
    </row>
    <row r="212" spans="1:111" ht="15.75" hidden="1" thickBot="1">
      <c r="A212" s="2309"/>
      <c r="B212" s="2462" t="s">
        <v>5776</v>
      </c>
      <c r="C212" s="2463"/>
      <c r="D212" s="2459"/>
      <c r="E212" s="1911" t="s">
        <v>5755</v>
      </c>
      <c r="F212" s="1911">
        <v>90</v>
      </c>
      <c r="G212" s="1911">
        <v>400</v>
      </c>
      <c r="H212" s="1911">
        <v>2</v>
      </c>
      <c r="I212" s="1912">
        <f t="shared" ref="I212:AN212" si="195">((I$208-$I$4)/1000)*$R$67*(($C$8/70)^$AB$67)*IF($C$13=1,$AF$67,IF($C$13=2,$AG$67,IF($C$13=3,$AH$67,1)))</f>
        <v>574.34302799999978</v>
      </c>
      <c r="J212" s="1912">
        <f t="shared" si="195"/>
        <v>765.79070399999989</v>
      </c>
      <c r="K212" s="1912">
        <f t="shared" si="195"/>
        <v>957.23837999999978</v>
      </c>
      <c r="L212" s="1912">
        <f t="shared" si="195"/>
        <v>1148.6860559999996</v>
      </c>
      <c r="M212" s="1912">
        <f t="shared" si="195"/>
        <v>1340.1337319999998</v>
      </c>
      <c r="N212" s="1912">
        <f t="shared" si="195"/>
        <v>1531.5814079999998</v>
      </c>
      <c r="O212" s="1912">
        <f t="shared" si="195"/>
        <v>1723.0290839999998</v>
      </c>
      <c r="P212" s="1912">
        <f t="shared" si="195"/>
        <v>1914.4767599999996</v>
      </c>
      <c r="Q212" s="1912">
        <f t="shared" si="195"/>
        <v>2105.9244359999998</v>
      </c>
      <c r="R212" s="1912">
        <f t="shared" si="195"/>
        <v>2297.3721119999991</v>
      </c>
      <c r="S212" s="1912">
        <f t="shared" si="195"/>
        <v>2488.8197879999993</v>
      </c>
      <c r="T212" s="1912">
        <f t="shared" si="195"/>
        <v>2680.2674639999996</v>
      </c>
      <c r="U212" s="1912">
        <f t="shared" si="195"/>
        <v>2871.7151399999993</v>
      </c>
      <c r="V212" s="1912">
        <f t="shared" si="195"/>
        <v>3063.1628159999996</v>
      </c>
      <c r="W212" s="1912">
        <f t="shared" si="195"/>
        <v>3254.6104919999993</v>
      </c>
      <c r="X212" s="1912">
        <f t="shared" si="195"/>
        <v>3446.0581679999996</v>
      </c>
      <c r="Y212" s="1912">
        <f t="shared" si="195"/>
        <v>3637.5058439999989</v>
      </c>
      <c r="Z212" s="1912">
        <f t="shared" si="195"/>
        <v>3828.9535199999991</v>
      </c>
      <c r="AA212" s="1912">
        <f t="shared" si="195"/>
        <v>4020.4011959999993</v>
      </c>
      <c r="AB212" s="1912">
        <f t="shared" si="195"/>
        <v>4211.8488719999996</v>
      </c>
      <c r="AC212" s="1912">
        <f t="shared" si="195"/>
        <v>4403.2965479999984</v>
      </c>
      <c r="AD212" s="1912">
        <f t="shared" si="195"/>
        <v>4594.7442239999982</v>
      </c>
      <c r="AE212" s="1912">
        <f t="shared" si="195"/>
        <v>4786.1918999999989</v>
      </c>
      <c r="AF212" s="1912">
        <f t="shared" si="195"/>
        <v>4977.6395759999987</v>
      </c>
      <c r="AG212" s="1912">
        <f t="shared" si="195"/>
        <v>5169.0872519999994</v>
      </c>
      <c r="AH212" s="1912">
        <f t="shared" si="195"/>
        <v>5360.5349279999991</v>
      </c>
      <c r="AI212" s="1912">
        <f t="shared" si="195"/>
        <v>5551.9826039999989</v>
      </c>
      <c r="AJ212" s="1912">
        <f t="shared" si="195"/>
        <v>5743.4302799999987</v>
      </c>
      <c r="AK212" s="1912">
        <f t="shared" si="195"/>
        <v>5934.8779559999994</v>
      </c>
      <c r="AL212" s="1912">
        <f t="shared" si="195"/>
        <v>6126.3256319999991</v>
      </c>
      <c r="AM212" s="1912">
        <f t="shared" si="195"/>
        <v>6317.773307999998</v>
      </c>
      <c r="AN212" s="1912">
        <f t="shared" si="195"/>
        <v>6509.2209839999987</v>
      </c>
      <c r="AO212" s="1912">
        <f t="shared" ref="AO212:BG212" si="196">((AO$208-$I$4)/1000)*$R$67*(($C$8/70)^$AB$67)*IF($C$13=1,$AF$67,IF($C$13=2,$AG$67,IF($C$13=3,$AH$67,1)))</f>
        <v>6700.6686599999985</v>
      </c>
      <c r="AP212" s="1912">
        <f t="shared" si="196"/>
        <v>6892.1163359999991</v>
      </c>
      <c r="AQ212" s="1912">
        <f t="shared" si="196"/>
        <v>7083.5640119999989</v>
      </c>
      <c r="AR212" s="1912">
        <f t="shared" si="196"/>
        <v>7275.0116879999978</v>
      </c>
      <c r="AS212" s="1912">
        <f t="shared" si="196"/>
        <v>7466.4593639999985</v>
      </c>
      <c r="AT212" s="1912">
        <f t="shared" si="196"/>
        <v>7657.9070399999982</v>
      </c>
      <c r="AU212" s="1912">
        <f t="shared" si="196"/>
        <v>7849.3547159999971</v>
      </c>
      <c r="AV212" s="1912">
        <f t="shared" si="196"/>
        <v>8040.8023919999987</v>
      </c>
      <c r="AW212" s="1912">
        <f t="shared" si="196"/>
        <v>8232.2500679999976</v>
      </c>
      <c r="AX212" s="1912">
        <f t="shared" si="196"/>
        <v>8423.6977439999991</v>
      </c>
      <c r="AY212" s="1912">
        <f t="shared" si="196"/>
        <v>8615.1454199999971</v>
      </c>
      <c r="AZ212" s="1912">
        <f t="shared" si="196"/>
        <v>8806.5930959999969</v>
      </c>
      <c r="BA212" s="1912">
        <f t="shared" si="196"/>
        <v>8998.0407719999985</v>
      </c>
      <c r="BB212" s="1912">
        <f t="shared" si="196"/>
        <v>9189.4884479999964</v>
      </c>
      <c r="BC212" s="1912">
        <f t="shared" si="196"/>
        <v>9380.936123999998</v>
      </c>
      <c r="BD212" s="1912">
        <f t="shared" si="196"/>
        <v>9572.3837999999978</v>
      </c>
      <c r="BE212" s="1912">
        <f t="shared" si="196"/>
        <v>9763.8314759999957</v>
      </c>
      <c r="BF212" s="1912">
        <f t="shared" si="196"/>
        <v>9955.2791519999973</v>
      </c>
      <c r="BG212" s="1912">
        <f t="shared" si="196"/>
        <v>10146.726827999997</v>
      </c>
      <c r="BI212" s="632">
        <f>0</f>
        <v>0</v>
      </c>
      <c r="BJ212" s="632">
        <f>0</f>
        <v>0</v>
      </c>
      <c r="BK212" s="632">
        <f>0</f>
        <v>0</v>
      </c>
      <c r="BL212" s="632">
        <f>0</f>
        <v>0</v>
      </c>
      <c r="BM212" s="632">
        <f>0</f>
        <v>0</v>
      </c>
      <c r="BN212" s="632">
        <f>0</f>
        <v>0</v>
      </c>
      <c r="BO212" s="632">
        <f>0</f>
        <v>0</v>
      </c>
      <c r="BP212" s="632">
        <f>0</f>
        <v>0</v>
      </c>
      <c r="BQ212" s="632">
        <f>0</f>
        <v>0</v>
      </c>
      <c r="BR212" s="632">
        <f>0</f>
        <v>0</v>
      </c>
      <c r="BS212" s="632">
        <f>0</f>
        <v>0</v>
      </c>
      <c r="BT212" s="632">
        <f>0</f>
        <v>0</v>
      </c>
      <c r="BU212" s="632">
        <f>0</f>
        <v>0</v>
      </c>
      <c r="BV212" s="632">
        <f>0</f>
        <v>0</v>
      </c>
      <c r="BW212" s="632">
        <f>0</f>
        <v>0</v>
      </c>
      <c r="BX212" s="632">
        <f>0</f>
        <v>0</v>
      </c>
      <c r="BY212" s="632">
        <f>0</f>
        <v>0</v>
      </c>
      <c r="BZ212" s="632">
        <f>0</f>
        <v>0</v>
      </c>
      <c r="CA212" s="632">
        <f>0</f>
        <v>0</v>
      </c>
      <c r="CB212" s="632">
        <f>0</f>
        <v>0</v>
      </c>
      <c r="CC212" s="632">
        <f>0</f>
        <v>0</v>
      </c>
      <c r="CD212" s="632">
        <f>0</f>
        <v>0</v>
      </c>
      <c r="CE212" s="632">
        <f>0</f>
        <v>0</v>
      </c>
      <c r="CF212" s="632">
        <f>0</f>
        <v>0</v>
      </c>
      <c r="CG212" s="632">
        <f>0</f>
        <v>0</v>
      </c>
      <c r="CH212" s="632">
        <f>0</f>
        <v>0</v>
      </c>
      <c r="CI212" s="632">
        <f>0</f>
        <v>0</v>
      </c>
      <c r="CJ212" s="632">
        <f>0</f>
        <v>0</v>
      </c>
      <c r="CK212" s="632">
        <f>0</f>
        <v>0</v>
      </c>
      <c r="CL212" s="632">
        <f>0</f>
        <v>0</v>
      </c>
      <c r="CM212" s="632">
        <f>0</f>
        <v>0</v>
      </c>
      <c r="CN212" s="632">
        <f>0</f>
        <v>0</v>
      </c>
      <c r="CO212" s="632">
        <f>0</f>
        <v>0</v>
      </c>
      <c r="CP212" s="632">
        <f>0</f>
        <v>0</v>
      </c>
      <c r="CQ212" s="632">
        <f>0</f>
        <v>0</v>
      </c>
      <c r="CR212" s="632">
        <f>0</f>
        <v>0</v>
      </c>
      <c r="CS212" s="632">
        <f>0</f>
        <v>0</v>
      </c>
      <c r="CT212" s="632">
        <f>0</f>
        <v>0</v>
      </c>
      <c r="CU212" s="632">
        <f>0</f>
        <v>0</v>
      </c>
      <c r="CV212" s="632">
        <f>0</f>
        <v>0</v>
      </c>
      <c r="CW212" s="632">
        <f>0</f>
        <v>0</v>
      </c>
      <c r="CX212" s="632">
        <f>0</f>
        <v>0</v>
      </c>
      <c r="CY212" s="632">
        <f>0</f>
        <v>0</v>
      </c>
      <c r="CZ212" s="632">
        <f>0</f>
        <v>0</v>
      </c>
      <c r="DA212" s="632">
        <f>0</f>
        <v>0</v>
      </c>
      <c r="DB212" s="632">
        <f>0</f>
        <v>0</v>
      </c>
      <c r="DC212" s="632">
        <f>0</f>
        <v>0</v>
      </c>
      <c r="DD212" s="632">
        <f>0</f>
        <v>0</v>
      </c>
      <c r="DE212" s="632">
        <f>0</f>
        <v>0</v>
      </c>
      <c r="DF212" s="632">
        <f>0</f>
        <v>0</v>
      </c>
      <c r="DG212" s="632">
        <f>0</f>
        <v>0</v>
      </c>
    </row>
    <row r="213" spans="1:111" hidden="1">
      <c r="A213" s="2309"/>
      <c r="B213" s="2464" t="s">
        <v>5777</v>
      </c>
      <c r="C213" s="2465"/>
      <c r="D213" s="2466"/>
      <c r="E213" s="1913" t="s">
        <v>5755</v>
      </c>
      <c r="F213" s="1913">
        <v>110</v>
      </c>
      <c r="G213" s="1913">
        <v>260</v>
      </c>
      <c r="H213" s="1913">
        <v>2</v>
      </c>
      <c r="I213" s="1914">
        <f t="shared" ref="I213:AN213" si="197">((I$208-$I$4)/1000)*$N$68*(($C$8/70)^$X$68)*IF($C$13=1,$AF$68,IF($C$13=2,$AG$68,IF($C$13=3,$AH$68,1)))</f>
        <v>471.2093999999999</v>
      </c>
      <c r="J213" s="1914">
        <f t="shared" si="197"/>
        <v>628.27919999999995</v>
      </c>
      <c r="K213" s="1914">
        <f t="shared" si="197"/>
        <v>785.34899999999982</v>
      </c>
      <c r="L213" s="1914">
        <f t="shared" si="197"/>
        <v>942.41879999999981</v>
      </c>
      <c r="M213" s="1914">
        <f t="shared" si="197"/>
        <v>1099.4885999999997</v>
      </c>
      <c r="N213" s="1914">
        <f t="shared" si="197"/>
        <v>1256.5583999999999</v>
      </c>
      <c r="O213" s="1914">
        <f t="shared" si="197"/>
        <v>1413.6281999999997</v>
      </c>
      <c r="P213" s="1914">
        <f t="shared" si="197"/>
        <v>1570.6979999999996</v>
      </c>
      <c r="Q213" s="1914">
        <f t="shared" si="197"/>
        <v>1727.7677999999999</v>
      </c>
      <c r="R213" s="1914">
        <f t="shared" si="197"/>
        <v>1884.8375999999996</v>
      </c>
      <c r="S213" s="1914">
        <f t="shared" si="197"/>
        <v>2041.9073999999996</v>
      </c>
      <c r="T213" s="1914">
        <f t="shared" si="197"/>
        <v>2198.9771999999994</v>
      </c>
      <c r="U213" s="1914">
        <f t="shared" si="197"/>
        <v>2356.0469999999996</v>
      </c>
      <c r="V213" s="1914">
        <f t="shared" si="197"/>
        <v>2513.1167999999998</v>
      </c>
      <c r="W213" s="1914">
        <f t="shared" si="197"/>
        <v>2670.1865999999991</v>
      </c>
      <c r="X213" s="1914">
        <f t="shared" si="197"/>
        <v>2827.2563999999993</v>
      </c>
      <c r="Y213" s="1914">
        <f t="shared" si="197"/>
        <v>2984.3261999999995</v>
      </c>
      <c r="Z213" s="1914">
        <f t="shared" si="197"/>
        <v>3141.3959999999993</v>
      </c>
      <c r="AA213" s="1914">
        <f t="shared" si="197"/>
        <v>3298.4657999999995</v>
      </c>
      <c r="AB213" s="1914">
        <f t="shared" si="197"/>
        <v>3455.5355999999997</v>
      </c>
      <c r="AC213" s="1914">
        <f t="shared" si="197"/>
        <v>3612.605399999999</v>
      </c>
      <c r="AD213" s="1914">
        <f t="shared" si="197"/>
        <v>3769.6751999999992</v>
      </c>
      <c r="AE213" s="1914">
        <f t="shared" si="197"/>
        <v>3926.7449999999994</v>
      </c>
      <c r="AF213" s="1914">
        <f t="shared" si="197"/>
        <v>4083.8147999999992</v>
      </c>
      <c r="AG213" s="1914">
        <f t="shared" si="197"/>
        <v>4240.8845999999994</v>
      </c>
      <c r="AH213" s="1914">
        <f t="shared" si="197"/>
        <v>4397.9543999999987</v>
      </c>
      <c r="AI213" s="1914">
        <f t="shared" si="197"/>
        <v>4555.0241999999989</v>
      </c>
      <c r="AJ213" s="1914">
        <f t="shared" si="197"/>
        <v>4712.0939999999991</v>
      </c>
      <c r="AK213" s="1914">
        <f t="shared" si="197"/>
        <v>4869.1637999999994</v>
      </c>
      <c r="AL213" s="1914">
        <f t="shared" si="197"/>
        <v>5026.2335999999996</v>
      </c>
      <c r="AM213" s="1914">
        <f t="shared" si="197"/>
        <v>5183.3033999999989</v>
      </c>
      <c r="AN213" s="1914">
        <f t="shared" si="197"/>
        <v>5340.3731999999982</v>
      </c>
      <c r="AO213" s="1914">
        <f t="shared" ref="AO213:BG213" si="198">((AO$208-$I$4)/1000)*$N$68*(($C$8/70)^$X$68)*IF($C$13=1,$AF$68,IF($C$13=2,$AG$68,IF($C$13=3,$AH$68,1)))</f>
        <v>5497.4429999999993</v>
      </c>
      <c r="AP213" s="1914">
        <f t="shared" si="198"/>
        <v>5654.5127999999986</v>
      </c>
      <c r="AQ213" s="1914">
        <f t="shared" si="198"/>
        <v>5811.5825999999997</v>
      </c>
      <c r="AR213" s="1914">
        <f t="shared" si="198"/>
        <v>5968.652399999999</v>
      </c>
      <c r="AS213" s="1914">
        <f t="shared" si="198"/>
        <v>6125.7221999999983</v>
      </c>
      <c r="AT213" s="1914">
        <f t="shared" si="198"/>
        <v>6282.7919999999986</v>
      </c>
      <c r="AU213" s="1914">
        <f t="shared" si="198"/>
        <v>6439.8617999999988</v>
      </c>
      <c r="AV213" s="1914">
        <f t="shared" si="198"/>
        <v>6596.931599999999</v>
      </c>
      <c r="AW213" s="1914">
        <f t="shared" si="198"/>
        <v>6754.0013999999983</v>
      </c>
      <c r="AX213" s="1914">
        <f t="shared" si="198"/>
        <v>6911.0711999999994</v>
      </c>
      <c r="AY213" s="1914">
        <f t="shared" si="198"/>
        <v>7068.1409999999987</v>
      </c>
      <c r="AZ213" s="1914">
        <f t="shared" si="198"/>
        <v>7225.210799999998</v>
      </c>
      <c r="BA213" s="1914">
        <f t="shared" si="198"/>
        <v>7382.2805999999991</v>
      </c>
      <c r="BB213" s="1914">
        <f t="shared" si="198"/>
        <v>7539.3503999999984</v>
      </c>
      <c r="BC213" s="1914">
        <f t="shared" si="198"/>
        <v>7696.4201999999987</v>
      </c>
      <c r="BD213" s="1914">
        <f t="shared" si="198"/>
        <v>7853.4899999999989</v>
      </c>
      <c r="BE213" s="1914">
        <f t="shared" si="198"/>
        <v>8010.5597999999982</v>
      </c>
      <c r="BF213" s="1914">
        <f t="shared" si="198"/>
        <v>8167.6295999999984</v>
      </c>
      <c r="BG213" s="1914">
        <f t="shared" si="198"/>
        <v>8324.6993999999977</v>
      </c>
    </row>
    <row r="214" spans="1:111" hidden="1">
      <c r="A214" s="2309"/>
      <c r="B214" s="2464" t="s">
        <v>5778</v>
      </c>
      <c r="C214" s="2465"/>
      <c r="D214" s="2467"/>
      <c r="E214" s="1913" t="s">
        <v>5755</v>
      </c>
      <c r="F214" s="1913">
        <v>110</v>
      </c>
      <c r="G214" s="1913">
        <v>300</v>
      </c>
      <c r="H214" s="1913">
        <v>2</v>
      </c>
      <c r="I214" s="1914">
        <f t="shared" ref="I214:AN214" si="199">((I$208-$I$4)/1000)*$O$68*(($C$8/70)^$Y$68)*IF($C$13=1,$AH$33,IF($C$13=2,$AI$33,IF($C$13=3,$AJ$33,1)))</f>
        <v>568.64591999999982</v>
      </c>
      <c r="J214" s="1914">
        <f t="shared" si="199"/>
        <v>758.19455999999991</v>
      </c>
      <c r="K214" s="1914">
        <f t="shared" si="199"/>
        <v>947.74319999999989</v>
      </c>
      <c r="L214" s="1914">
        <f t="shared" si="199"/>
        <v>1137.2918399999996</v>
      </c>
      <c r="M214" s="1914">
        <f t="shared" si="199"/>
        <v>1326.8404799999998</v>
      </c>
      <c r="N214" s="1914">
        <f t="shared" si="199"/>
        <v>1516.3891199999998</v>
      </c>
      <c r="O214" s="1914">
        <f t="shared" si="199"/>
        <v>1705.9377599999998</v>
      </c>
      <c r="P214" s="1914">
        <f t="shared" si="199"/>
        <v>1895.4863999999998</v>
      </c>
      <c r="Q214" s="1914">
        <f t="shared" si="199"/>
        <v>2085.0350399999998</v>
      </c>
      <c r="R214" s="1914">
        <f t="shared" si="199"/>
        <v>2274.5836799999993</v>
      </c>
      <c r="S214" s="1914">
        <f t="shared" si="199"/>
        <v>2464.1323199999997</v>
      </c>
      <c r="T214" s="1914">
        <f t="shared" si="199"/>
        <v>2653.6809599999997</v>
      </c>
      <c r="U214" s="1914">
        <f t="shared" si="199"/>
        <v>2843.2295999999992</v>
      </c>
      <c r="V214" s="1914">
        <f t="shared" si="199"/>
        <v>3032.7782399999996</v>
      </c>
      <c r="W214" s="1914">
        <f t="shared" si="199"/>
        <v>3222.3268799999992</v>
      </c>
      <c r="X214" s="1914">
        <f t="shared" si="199"/>
        <v>3411.8755199999996</v>
      </c>
      <c r="Y214" s="1914">
        <f t="shared" si="199"/>
        <v>3601.4241599999996</v>
      </c>
      <c r="Z214" s="1914">
        <f t="shared" si="199"/>
        <v>3790.9727999999996</v>
      </c>
      <c r="AA214" s="1914">
        <f t="shared" si="199"/>
        <v>3980.5214399999991</v>
      </c>
      <c r="AB214" s="1914">
        <f t="shared" si="199"/>
        <v>4170.0700799999995</v>
      </c>
      <c r="AC214" s="1914">
        <f t="shared" si="199"/>
        <v>4359.6187199999995</v>
      </c>
      <c r="AD214" s="1914">
        <f t="shared" si="199"/>
        <v>4549.1673599999986</v>
      </c>
      <c r="AE214" s="1914">
        <f t="shared" si="199"/>
        <v>4738.7159999999994</v>
      </c>
      <c r="AF214" s="1914">
        <f t="shared" si="199"/>
        <v>4928.2646399999994</v>
      </c>
      <c r="AG214" s="1914">
        <f t="shared" si="199"/>
        <v>5117.8132799999994</v>
      </c>
      <c r="AH214" s="1914">
        <f t="shared" si="199"/>
        <v>5307.3619199999994</v>
      </c>
      <c r="AI214" s="1914">
        <f t="shared" si="199"/>
        <v>5496.9105599999994</v>
      </c>
      <c r="AJ214" s="1914">
        <f t="shared" si="199"/>
        <v>5686.4591999999984</v>
      </c>
      <c r="AK214" s="1914">
        <f t="shared" si="199"/>
        <v>5876.0078399999993</v>
      </c>
      <c r="AL214" s="1914">
        <f t="shared" si="199"/>
        <v>6065.5564799999993</v>
      </c>
      <c r="AM214" s="1914">
        <f t="shared" si="199"/>
        <v>6255.1051199999993</v>
      </c>
      <c r="AN214" s="1914">
        <f t="shared" si="199"/>
        <v>6444.6537599999983</v>
      </c>
      <c r="AO214" s="1914">
        <f t="shared" ref="AO214:BG214" si="200">((AO$208-$I$4)/1000)*$O$68*(($C$8/70)^$Y$68)*IF($C$13=1,$AH$33,IF($C$13=2,$AI$33,IF($C$13=3,$AJ$33,1)))</f>
        <v>6634.2023999999992</v>
      </c>
      <c r="AP214" s="1914">
        <f t="shared" si="200"/>
        <v>6823.7510399999992</v>
      </c>
      <c r="AQ214" s="1914">
        <f t="shared" si="200"/>
        <v>7013.2996800000001</v>
      </c>
      <c r="AR214" s="1914">
        <f t="shared" si="200"/>
        <v>7202.8483199999991</v>
      </c>
      <c r="AS214" s="1914">
        <f t="shared" si="200"/>
        <v>7392.3969599999982</v>
      </c>
      <c r="AT214" s="1914">
        <f t="shared" si="200"/>
        <v>7581.9455999999991</v>
      </c>
      <c r="AU214" s="1914">
        <f t="shared" si="200"/>
        <v>7771.4942399999982</v>
      </c>
      <c r="AV214" s="1914">
        <f t="shared" si="200"/>
        <v>7961.0428799999981</v>
      </c>
      <c r="AW214" s="1914">
        <f t="shared" si="200"/>
        <v>8150.5915199999981</v>
      </c>
      <c r="AX214" s="1914">
        <f t="shared" si="200"/>
        <v>8340.140159999999</v>
      </c>
      <c r="AY214" s="1914">
        <f t="shared" si="200"/>
        <v>8529.6887999999981</v>
      </c>
      <c r="AZ214" s="1914">
        <f t="shared" si="200"/>
        <v>8719.237439999999</v>
      </c>
      <c r="BA214" s="1914">
        <f t="shared" si="200"/>
        <v>8908.786079999998</v>
      </c>
      <c r="BB214" s="1914">
        <f t="shared" si="200"/>
        <v>9098.3347199999971</v>
      </c>
      <c r="BC214" s="1914">
        <f t="shared" si="200"/>
        <v>9287.8833599999998</v>
      </c>
      <c r="BD214" s="1914">
        <f t="shared" si="200"/>
        <v>9477.4319999999989</v>
      </c>
      <c r="BE214" s="1914">
        <f t="shared" si="200"/>
        <v>9666.9806399999979</v>
      </c>
      <c r="BF214" s="1914">
        <f t="shared" si="200"/>
        <v>9856.5292799999988</v>
      </c>
      <c r="BG214" s="1914">
        <f t="shared" si="200"/>
        <v>10046.077919999998</v>
      </c>
      <c r="BI214" s="632">
        <f t="shared" ref="BI214:BX215" si="201">I220/I215</f>
        <v>1.1220349563046195</v>
      </c>
      <c r="BJ214" s="632">
        <f t="shared" si="201"/>
        <v>1.1220349563046195</v>
      </c>
      <c r="BK214" s="632">
        <f t="shared" si="201"/>
        <v>1.1220349563046195</v>
      </c>
      <c r="BL214" s="632">
        <f t="shared" si="201"/>
        <v>1.1220349563046195</v>
      </c>
      <c r="BM214" s="632">
        <f t="shared" si="201"/>
        <v>1.1220349563046195</v>
      </c>
      <c r="BN214" s="632">
        <f t="shared" si="201"/>
        <v>1.1220349563046195</v>
      </c>
      <c r="BO214" s="632">
        <f t="shared" si="201"/>
        <v>1.1220349563046195</v>
      </c>
      <c r="BP214" s="632">
        <f t="shared" si="201"/>
        <v>1.1220349563046195</v>
      </c>
      <c r="BQ214" s="632">
        <f t="shared" si="201"/>
        <v>1.1220349563046195</v>
      </c>
      <c r="BR214" s="632">
        <f t="shared" si="201"/>
        <v>1.1220349563046195</v>
      </c>
      <c r="BS214" s="632">
        <f t="shared" si="201"/>
        <v>1.1220349563046195</v>
      </c>
      <c r="BT214" s="632">
        <f t="shared" si="201"/>
        <v>1.1220349563046195</v>
      </c>
      <c r="BU214" s="632">
        <f t="shared" si="201"/>
        <v>1.1220349563046195</v>
      </c>
      <c r="BV214" s="632">
        <f t="shared" si="201"/>
        <v>1.1220349563046195</v>
      </c>
      <c r="BW214" s="632">
        <f t="shared" si="201"/>
        <v>1.1220349563046195</v>
      </c>
      <c r="BX214" s="632">
        <f t="shared" si="201"/>
        <v>1.1220349563046195</v>
      </c>
      <c r="BY214" s="632">
        <f t="shared" ref="BY214:CN215" si="202">Y220/Y215</f>
        <v>1.1220349563046195</v>
      </c>
      <c r="BZ214" s="632">
        <f t="shared" si="202"/>
        <v>1.1220349563046195</v>
      </c>
      <c r="CA214" s="632">
        <f t="shared" si="202"/>
        <v>1.1220349563046195</v>
      </c>
      <c r="CB214" s="632">
        <f t="shared" si="202"/>
        <v>1.1220349563046195</v>
      </c>
      <c r="CC214" s="632">
        <f t="shared" si="202"/>
        <v>1.1220349563046192</v>
      </c>
      <c r="CD214" s="632">
        <f t="shared" si="202"/>
        <v>1.1220349563046195</v>
      </c>
      <c r="CE214" s="632">
        <f t="shared" si="202"/>
        <v>1.1220349563046195</v>
      </c>
      <c r="CF214" s="632">
        <f t="shared" si="202"/>
        <v>1.1220349563046195</v>
      </c>
      <c r="CG214" s="632">
        <f t="shared" si="202"/>
        <v>1.1220349563046192</v>
      </c>
      <c r="CH214" s="632">
        <f t="shared" si="202"/>
        <v>1.1220349563046195</v>
      </c>
      <c r="CI214" s="632">
        <f t="shared" si="202"/>
        <v>1.1220349563046192</v>
      </c>
      <c r="CJ214" s="632">
        <f t="shared" si="202"/>
        <v>1.1220349563046195</v>
      </c>
      <c r="CK214" s="632">
        <f t="shared" si="202"/>
        <v>1.1220349563046195</v>
      </c>
      <c r="CL214" s="632">
        <f t="shared" si="202"/>
        <v>1.1220349563046195</v>
      </c>
      <c r="CM214" s="632">
        <f t="shared" si="202"/>
        <v>1.1220349563046195</v>
      </c>
      <c r="CN214" s="632">
        <f t="shared" si="202"/>
        <v>1.1220349563046195</v>
      </c>
      <c r="CO214" s="632">
        <f t="shared" ref="CO214:DD215" si="203">AO220/AO215</f>
        <v>1.1220349563046195</v>
      </c>
      <c r="CP214" s="632">
        <f t="shared" si="203"/>
        <v>1.1220349563046195</v>
      </c>
      <c r="CQ214" s="632">
        <f t="shared" si="203"/>
        <v>1.1220349563046195</v>
      </c>
      <c r="CR214" s="632">
        <f t="shared" si="203"/>
        <v>1.1220349563046195</v>
      </c>
      <c r="CS214" s="632">
        <f t="shared" si="203"/>
        <v>1.1220349563046195</v>
      </c>
      <c r="CT214" s="632">
        <f t="shared" si="203"/>
        <v>1.1220349563046195</v>
      </c>
      <c r="CU214" s="632">
        <f t="shared" si="203"/>
        <v>1.1220349563046195</v>
      </c>
      <c r="CV214" s="632">
        <f t="shared" si="203"/>
        <v>1.1220349563046195</v>
      </c>
      <c r="CW214" s="632">
        <f t="shared" si="203"/>
        <v>1.1220349563046195</v>
      </c>
      <c r="CX214" s="632">
        <f t="shared" si="203"/>
        <v>1.1220349563046195</v>
      </c>
      <c r="CY214" s="632">
        <f t="shared" si="203"/>
        <v>1.1220349563046195</v>
      </c>
      <c r="CZ214" s="632">
        <f t="shared" si="203"/>
        <v>1.1220349563046192</v>
      </c>
      <c r="DA214" s="632">
        <f t="shared" si="203"/>
        <v>1.1220349563046195</v>
      </c>
      <c r="DB214" s="632">
        <f t="shared" si="203"/>
        <v>1.1220349563046195</v>
      </c>
      <c r="DC214" s="632">
        <f t="shared" si="203"/>
        <v>1.1220349563046197</v>
      </c>
      <c r="DD214" s="632">
        <f t="shared" si="203"/>
        <v>1.1220349563046195</v>
      </c>
      <c r="DE214" s="632">
        <f t="shared" ref="DE214:DG215" si="204">BE220/BE215</f>
        <v>1.1220349563046195</v>
      </c>
      <c r="DF214" s="632">
        <f t="shared" si="204"/>
        <v>1.1220349563046195</v>
      </c>
      <c r="DG214" s="632">
        <f t="shared" si="204"/>
        <v>1.1220349563046195</v>
      </c>
    </row>
    <row r="215" spans="1:111" hidden="1">
      <c r="A215" s="2309"/>
      <c r="B215" s="2464" t="s">
        <v>5779</v>
      </c>
      <c r="C215" s="2465"/>
      <c r="D215" s="2467"/>
      <c r="E215" s="1913" t="s">
        <v>5755</v>
      </c>
      <c r="F215" s="1913">
        <v>110</v>
      </c>
      <c r="G215" s="1913">
        <v>360</v>
      </c>
      <c r="H215" s="1913">
        <v>2</v>
      </c>
      <c r="I215" s="1914">
        <f t="shared" ref="I215:AN215" si="205">((I$208-$I$4)/1000)*$Q68*(($C$8/70)^$AA$68)*IF($C$13=1,$AF$68,IF($C$13=2,$AG$68,IF($C$13=3,$AH$68,1)))</f>
        <v>608.45113439999989</v>
      </c>
      <c r="J215" s="1914">
        <f t="shared" si="205"/>
        <v>811.26817919999985</v>
      </c>
      <c r="K215" s="1914">
        <f t="shared" si="205"/>
        <v>1014.0852239999998</v>
      </c>
      <c r="L215" s="1914">
        <f t="shared" si="205"/>
        <v>1216.9022687999998</v>
      </c>
      <c r="M215" s="1914">
        <f t="shared" si="205"/>
        <v>1419.7193135999996</v>
      </c>
      <c r="N215" s="1914">
        <f t="shared" si="205"/>
        <v>1622.5363583999997</v>
      </c>
      <c r="O215" s="1914">
        <f t="shared" si="205"/>
        <v>1825.3534031999995</v>
      </c>
      <c r="P215" s="1914">
        <f t="shared" si="205"/>
        <v>2028.1704479999996</v>
      </c>
      <c r="Q215" s="1914">
        <f t="shared" si="205"/>
        <v>2230.9874927999995</v>
      </c>
      <c r="R215" s="1914">
        <f t="shared" si="205"/>
        <v>2433.8045375999995</v>
      </c>
      <c r="S215" s="1914">
        <f t="shared" si="205"/>
        <v>2636.6215823999996</v>
      </c>
      <c r="T215" s="1914">
        <f t="shared" si="205"/>
        <v>2839.4386271999992</v>
      </c>
      <c r="U215" s="1914">
        <f t="shared" si="205"/>
        <v>3042.2556719999993</v>
      </c>
      <c r="V215" s="1914">
        <f t="shared" si="205"/>
        <v>3245.0727167999994</v>
      </c>
      <c r="W215" s="1914">
        <f t="shared" si="205"/>
        <v>3447.889761599999</v>
      </c>
      <c r="X215" s="1914">
        <f t="shared" si="205"/>
        <v>3650.7068063999991</v>
      </c>
      <c r="Y215" s="1914">
        <f t="shared" si="205"/>
        <v>3853.5238511999992</v>
      </c>
      <c r="Z215" s="1914">
        <f t="shared" si="205"/>
        <v>4056.3408959999992</v>
      </c>
      <c r="AA215" s="1914">
        <f t="shared" si="205"/>
        <v>4259.1579407999989</v>
      </c>
      <c r="AB215" s="1914">
        <f t="shared" si="205"/>
        <v>4461.9749855999989</v>
      </c>
      <c r="AC215" s="1914">
        <f t="shared" si="205"/>
        <v>4664.792030399999</v>
      </c>
      <c r="AD215" s="1914">
        <f t="shared" si="205"/>
        <v>4867.6090751999991</v>
      </c>
      <c r="AE215" s="1914">
        <f t="shared" si="205"/>
        <v>5070.4261199999992</v>
      </c>
      <c r="AF215" s="1914">
        <f t="shared" si="205"/>
        <v>5273.2431647999992</v>
      </c>
      <c r="AG215" s="1914">
        <f t="shared" si="205"/>
        <v>5476.0602095999993</v>
      </c>
      <c r="AH215" s="1914">
        <f t="shared" si="205"/>
        <v>5678.8772543999985</v>
      </c>
      <c r="AI215" s="1914">
        <f t="shared" si="205"/>
        <v>5881.6942991999986</v>
      </c>
      <c r="AJ215" s="1914">
        <f t="shared" si="205"/>
        <v>6084.5113439999986</v>
      </c>
      <c r="AK215" s="1914">
        <f t="shared" si="205"/>
        <v>6287.3283887999987</v>
      </c>
      <c r="AL215" s="1914">
        <f t="shared" si="205"/>
        <v>6490.1454335999988</v>
      </c>
      <c r="AM215" s="1914">
        <f t="shared" si="205"/>
        <v>6692.9624783999989</v>
      </c>
      <c r="AN215" s="1914">
        <f t="shared" si="205"/>
        <v>6895.779523199998</v>
      </c>
      <c r="AO215" s="1914">
        <f t="shared" ref="AO215:BG215" si="206">((AO$208-$I$4)/1000)*$Q68*(($C$8/70)^$AA$68)*IF($C$13=1,$AF$68,IF($C$13=2,$AG$68,IF($C$13=3,$AH$68,1)))</f>
        <v>7098.596567999999</v>
      </c>
      <c r="AP215" s="1914">
        <f t="shared" si="206"/>
        <v>7301.4136127999982</v>
      </c>
      <c r="AQ215" s="1914">
        <f t="shared" si="206"/>
        <v>7504.2306575999983</v>
      </c>
      <c r="AR215" s="1914">
        <f t="shared" si="206"/>
        <v>7707.0477023999983</v>
      </c>
      <c r="AS215" s="1914">
        <f t="shared" si="206"/>
        <v>7909.8647471999975</v>
      </c>
      <c r="AT215" s="1914">
        <f t="shared" si="206"/>
        <v>8112.6817919999985</v>
      </c>
      <c r="AU215" s="1914">
        <f t="shared" si="206"/>
        <v>8315.4988367999977</v>
      </c>
      <c r="AV215" s="1914">
        <f t="shared" si="206"/>
        <v>8518.3158815999977</v>
      </c>
      <c r="AW215" s="1914">
        <f t="shared" si="206"/>
        <v>8721.1329263999978</v>
      </c>
      <c r="AX215" s="1914">
        <f t="shared" si="206"/>
        <v>8923.9499711999979</v>
      </c>
      <c r="AY215" s="1914">
        <f t="shared" si="206"/>
        <v>9126.767015999998</v>
      </c>
      <c r="AZ215" s="1914">
        <f t="shared" si="206"/>
        <v>9329.584060799998</v>
      </c>
      <c r="BA215" s="1914">
        <f t="shared" si="206"/>
        <v>9532.4011055999981</v>
      </c>
      <c r="BB215" s="1914">
        <f t="shared" si="206"/>
        <v>9735.2181503999982</v>
      </c>
      <c r="BC215" s="1914">
        <f t="shared" si="206"/>
        <v>9938.0351951999983</v>
      </c>
      <c r="BD215" s="1914">
        <f t="shared" si="206"/>
        <v>10140.852239999998</v>
      </c>
      <c r="BE215" s="1914">
        <f t="shared" si="206"/>
        <v>10343.669284799997</v>
      </c>
      <c r="BF215" s="1914">
        <f t="shared" si="206"/>
        <v>10546.486329599998</v>
      </c>
      <c r="BG215" s="1914">
        <f t="shared" si="206"/>
        <v>10749.303374399999</v>
      </c>
      <c r="BI215" s="632" t="e">
        <f t="shared" si="201"/>
        <v>#REF!</v>
      </c>
      <c r="BJ215" s="632" t="e">
        <f t="shared" si="201"/>
        <v>#REF!</v>
      </c>
      <c r="BK215" s="632" t="e">
        <f t="shared" si="201"/>
        <v>#REF!</v>
      </c>
      <c r="BL215" s="632" t="e">
        <f t="shared" si="201"/>
        <v>#REF!</v>
      </c>
      <c r="BM215" s="632" t="e">
        <f t="shared" si="201"/>
        <v>#REF!</v>
      </c>
      <c r="BN215" s="632" t="e">
        <f t="shared" si="201"/>
        <v>#REF!</v>
      </c>
      <c r="BO215" s="632" t="e">
        <f t="shared" si="201"/>
        <v>#REF!</v>
      </c>
      <c r="BP215" s="632" t="e">
        <f t="shared" si="201"/>
        <v>#REF!</v>
      </c>
      <c r="BQ215" s="632" t="e">
        <f t="shared" si="201"/>
        <v>#REF!</v>
      </c>
      <c r="BR215" s="632" t="e">
        <f t="shared" si="201"/>
        <v>#REF!</v>
      </c>
      <c r="BS215" s="632" t="e">
        <f t="shared" si="201"/>
        <v>#REF!</v>
      </c>
      <c r="BT215" s="632" t="e">
        <f t="shared" si="201"/>
        <v>#REF!</v>
      </c>
      <c r="BU215" s="632" t="e">
        <f t="shared" si="201"/>
        <v>#REF!</v>
      </c>
      <c r="BV215" s="632" t="e">
        <f t="shared" si="201"/>
        <v>#REF!</v>
      </c>
      <c r="BW215" s="632" t="e">
        <f t="shared" si="201"/>
        <v>#REF!</v>
      </c>
      <c r="BX215" s="632" t="e">
        <f t="shared" si="201"/>
        <v>#REF!</v>
      </c>
      <c r="BY215" s="632" t="e">
        <f t="shared" si="202"/>
        <v>#REF!</v>
      </c>
      <c r="BZ215" s="632" t="e">
        <f t="shared" si="202"/>
        <v>#REF!</v>
      </c>
      <c r="CA215" s="632" t="e">
        <f t="shared" si="202"/>
        <v>#REF!</v>
      </c>
      <c r="CB215" s="632" t="e">
        <f t="shared" si="202"/>
        <v>#REF!</v>
      </c>
      <c r="CC215" s="632" t="e">
        <f t="shared" si="202"/>
        <v>#REF!</v>
      </c>
      <c r="CD215" s="632" t="e">
        <f t="shared" si="202"/>
        <v>#REF!</v>
      </c>
      <c r="CE215" s="632" t="e">
        <f t="shared" si="202"/>
        <v>#REF!</v>
      </c>
      <c r="CF215" s="632" t="e">
        <f t="shared" si="202"/>
        <v>#REF!</v>
      </c>
      <c r="CG215" s="632" t="e">
        <f t="shared" si="202"/>
        <v>#REF!</v>
      </c>
      <c r="CH215" s="632" t="e">
        <f t="shared" si="202"/>
        <v>#REF!</v>
      </c>
      <c r="CI215" s="632" t="e">
        <f t="shared" si="202"/>
        <v>#REF!</v>
      </c>
      <c r="CJ215" s="632" t="e">
        <f t="shared" si="202"/>
        <v>#REF!</v>
      </c>
      <c r="CK215" s="632" t="e">
        <f t="shared" si="202"/>
        <v>#REF!</v>
      </c>
      <c r="CL215" s="632" t="e">
        <f t="shared" si="202"/>
        <v>#REF!</v>
      </c>
      <c r="CM215" s="632" t="e">
        <f t="shared" si="202"/>
        <v>#REF!</v>
      </c>
      <c r="CN215" s="632" t="e">
        <f t="shared" si="202"/>
        <v>#REF!</v>
      </c>
      <c r="CO215" s="632" t="e">
        <f t="shared" si="203"/>
        <v>#REF!</v>
      </c>
      <c r="CP215" s="632" t="e">
        <f t="shared" si="203"/>
        <v>#REF!</v>
      </c>
      <c r="CQ215" s="632" t="e">
        <f t="shared" si="203"/>
        <v>#REF!</v>
      </c>
      <c r="CR215" s="632" t="e">
        <f t="shared" si="203"/>
        <v>#REF!</v>
      </c>
      <c r="CS215" s="632" t="e">
        <f t="shared" si="203"/>
        <v>#REF!</v>
      </c>
      <c r="CT215" s="632" t="e">
        <f t="shared" si="203"/>
        <v>#REF!</v>
      </c>
      <c r="CU215" s="632" t="e">
        <f t="shared" si="203"/>
        <v>#REF!</v>
      </c>
      <c r="CV215" s="632" t="e">
        <f t="shared" si="203"/>
        <v>#REF!</v>
      </c>
      <c r="CW215" s="632" t="e">
        <f t="shared" si="203"/>
        <v>#REF!</v>
      </c>
      <c r="CX215" s="632" t="e">
        <f t="shared" si="203"/>
        <v>#REF!</v>
      </c>
      <c r="CY215" s="632" t="e">
        <f t="shared" si="203"/>
        <v>#REF!</v>
      </c>
      <c r="CZ215" s="632" t="e">
        <f t="shared" si="203"/>
        <v>#REF!</v>
      </c>
      <c r="DA215" s="632" t="e">
        <f t="shared" si="203"/>
        <v>#REF!</v>
      </c>
      <c r="DB215" s="632" t="e">
        <f t="shared" si="203"/>
        <v>#REF!</v>
      </c>
      <c r="DC215" s="632" t="e">
        <f t="shared" si="203"/>
        <v>#REF!</v>
      </c>
      <c r="DD215" s="632" t="e">
        <f t="shared" si="203"/>
        <v>#REF!</v>
      </c>
      <c r="DE215" s="632" t="e">
        <f t="shared" si="204"/>
        <v>#REF!</v>
      </c>
      <c r="DF215" s="632" t="e">
        <f t="shared" si="204"/>
        <v>#REF!</v>
      </c>
      <c r="DG215" s="632" t="e">
        <f t="shared" si="204"/>
        <v>#REF!</v>
      </c>
    </row>
    <row r="216" spans="1:111" ht="15.75" hidden="1" thickBot="1">
      <c r="A216" s="2309"/>
      <c r="B216" s="2450" t="s">
        <v>5780</v>
      </c>
      <c r="C216" s="2451"/>
      <c r="D216" s="2468"/>
      <c r="E216" s="1915" t="s">
        <v>5755</v>
      </c>
      <c r="F216" s="1915">
        <v>110</v>
      </c>
      <c r="G216" s="1915">
        <v>400</v>
      </c>
      <c r="H216" s="1915">
        <v>2</v>
      </c>
      <c r="I216" s="1916">
        <f t="shared" ref="I216:AN216" si="207">((I$208-$I$4)/1000)*$R$68*(($C$8/70)^$AB$68)*IF($C$13=1,$AF$68,IF($C$13=2,$AG$68,IF($C$13=3,$AH$68,1)))</f>
        <v>653.94280799999967</v>
      </c>
      <c r="J216" s="1916">
        <f t="shared" si="207"/>
        <v>871.92374399999972</v>
      </c>
      <c r="K216" s="1916">
        <f t="shared" si="207"/>
        <v>1089.9046799999996</v>
      </c>
      <c r="L216" s="1916">
        <f t="shared" si="207"/>
        <v>1307.8856159999993</v>
      </c>
      <c r="M216" s="1916">
        <f t="shared" si="207"/>
        <v>1525.8665519999993</v>
      </c>
      <c r="N216" s="1916">
        <f t="shared" si="207"/>
        <v>1743.8474879999994</v>
      </c>
      <c r="O216" s="1916">
        <f t="shared" si="207"/>
        <v>1961.8284239999994</v>
      </c>
      <c r="P216" s="1916">
        <f t="shared" si="207"/>
        <v>2179.8093599999993</v>
      </c>
      <c r="Q216" s="1916">
        <f t="shared" si="207"/>
        <v>2397.7902959999992</v>
      </c>
      <c r="R216" s="1916">
        <f t="shared" si="207"/>
        <v>2615.7712319999987</v>
      </c>
      <c r="S216" s="1916">
        <f t="shared" si="207"/>
        <v>2833.7521679999991</v>
      </c>
      <c r="T216" s="1916">
        <f t="shared" si="207"/>
        <v>3051.7331039999985</v>
      </c>
      <c r="U216" s="1916">
        <f t="shared" si="207"/>
        <v>3269.7140399999989</v>
      </c>
      <c r="V216" s="1916">
        <f t="shared" si="207"/>
        <v>3487.6949759999989</v>
      </c>
      <c r="W216" s="1916">
        <f t="shared" si="207"/>
        <v>3705.6759119999988</v>
      </c>
      <c r="X216" s="1916">
        <f t="shared" si="207"/>
        <v>3923.6568479999987</v>
      </c>
      <c r="Y216" s="1916">
        <f t="shared" si="207"/>
        <v>4141.6377839999986</v>
      </c>
      <c r="Z216" s="1916">
        <f t="shared" si="207"/>
        <v>4359.6187199999986</v>
      </c>
      <c r="AA216" s="1916">
        <f t="shared" si="207"/>
        <v>4577.5996559999985</v>
      </c>
      <c r="AB216" s="1916">
        <f t="shared" si="207"/>
        <v>4795.5805919999984</v>
      </c>
      <c r="AC216" s="1916">
        <f t="shared" si="207"/>
        <v>5013.5615279999975</v>
      </c>
      <c r="AD216" s="1916">
        <f t="shared" si="207"/>
        <v>5231.5424639999974</v>
      </c>
      <c r="AE216" s="1916">
        <f t="shared" si="207"/>
        <v>5449.5233999999982</v>
      </c>
      <c r="AF216" s="1916">
        <f t="shared" si="207"/>
        <v>5667.5043359999981</v>
      </c>
      <c r="AG216" s="1916">
        <f t="shared" si="207"/>
        <v>5885.485271999999</v>
      </c>
      <c r="AH216" s="1916">
        <f t="shared" si="207"/>
        <v>6103.4662079999971</v>
      </c>
      <c r="AI216" s="1916">
        <f t="shared" si="207"/>
        <v>6321.4471439999979</v>
      </c>
      <c r="AJ216" s="1916">
        <f t="shared" si="207"/>
        <v>6539.4280799999979</v>
      </c>
      <c r="AK216" s="1916">
        <f t="shared" si="207"/>
        <v>6757.4090159999978</v>
      </c>
      <c r="AL216" s="1916">
        <f t="shared" si="207"/>
        <v>6975.3899519999977</v>
      </c>
      <c r="AM216" s="1916">
        <f t="shared" si="207"/>
        <v>7193.3708879999967</v>
      </c>
      <c r="AN216" s="1916">
        <f t="shared" si="207"/>
        <v>7411.3518239999976</v>
      </c>
      <c r="AO216" s="1916">
        <f t="shared" ref="AO216:BG216" si="208">((AO$208-$I$4)/1000)*$R$68*(($C$8/70)^$AB$68)*IF($C$13=1,$AF$68,IF($C$13=2,$AG$68,IF($C$13=3,$AH$68,1)))</f>
        <v>7629.3327599999966</v>
      </c>
      <c r="AP216" s="1916">
        <f t="shared" si="208"/>
        <v>7847.3136959999974</v>
      </c>
      <c r="AQ216" s="1916">
        <f t="shared" si="208"/>
        <v>8065.2946319999983</v>
      </c>
      <c r="AR216" s="1916">
        <f t="shared" si="208"/>
        <v>8283.2755679999973</v>
      </c>
      <c r="AS216" s="1916">
        <f t="shared" si="208"/>
        <v>8501.2565039999972</v>
      </c>
      <c r="AT216" s="1916">
        <f t="shared" si="208"/>
        <v>8719.2374399999972</v>
      </c>
      <c r="AU216" s="1916">
        <f t="shared" si="208"/>
        <v>8937.2183759999971</v>
      </c>
      <c r="AV216" s="1916">
        <f t="shared" si="208"/>
        <v>9155.199311999997</v>
      </c>
      <c r="AW216" s="1916">
        <f t="shared" si="208"/>
        <v>9373.1802479999969</v>
      </c>
      <c r="AX216" s="1916">
        <f t="shared" si="208"/>
        <v>9591.1611839999969</v>
      </c>
      <c r="AY216" s="1916">
        <f t="shared" si="208"/>
        <v>9809.1421199999968</v>
      </c>
      <c r="AZ216" s="1916">
        <f t="shared" si="208"/>
        <v>10027.123055999995</v>
      </c>
      <c r="BA216" s="1916">
        <f t="shared" si="208"/>
        <v>10245.103991999997</v>
      </c>
      <c r="BB216" s="1916">
        <f t="shared" si="208"/>
        <v>10463.084927999995</v>
      </c>
      <c r="BC216" s="1916">
        <f t="shared" si="208"/>
        <v>10681.065863999998</v>
      </c>
      <c r="BD216" s="1916">
        <f t="shared" si="208"/>
        <v>10899.046799999996</v>
      </c>
      <c r="BE216" s="1916">
        <f t="shared" si="208"/>
        <v>11117.027735999996</v>
      </c>
      <c r="BF216" s="1916">
        <f t="shared" si="208"/>
        <v>11335.008671999996</v>
      </c>
      <c r="BG216" s="1916">
        <f t="shared" si="208"/>
        <v>11552.989607999994</v>
      </c>
      <c r="BI216" s="632">
        <f t="shared" ref="BI216:BX220" si="209">I220/I216</f>
        <v>1.0439803506486462</v>
      </c>
      <c r="BJ216" s="632">
        <f t="shared" si="209"/>
        <v>1.043980350648646</v>
      </c>
      <c r="BK216" s="632">
        <f t="shared" si="209"/>
        <v>1.043980350648646</v>
      </c>
      <c r="BL216" s="632">
        <f t="shared" si="209"/>
        <v>1.0439803506486462</v>
      </c>
      <c r="BM216" s="632">
        <f t="shared" si="209"/>
        <v>1.0439803506486462</v>
      </c>
      <c r="BN216" s="632">
        <f t="shared" si="209"/>
        <v>1.043980350648646</v>
      </c>
      <c r="BO216" s="632">
        <f t="shared" si="209"/>
        <v>1.043980350648646</v>
      </c>
      <c r="BP216" s="632">
        <f t="shared" si="209"/>
        <v>1.043980350648646</v>
      </c>
      <c r="BQ216" s="632">
        <f t="shared" si="209"/>
        <v>1.043980350648646</v>
      </c>
      <c r="BR216" s="632">
        <f t="shared" si="209"/>
        <v>1.0439803506486462</v>
      </c>
      <c r="BS216" s="632">
        <f t="shared" si="209"/>
        <v>1.043980350648646</v>
      </c>
      <c r="BT216" s="632">
        <f t="shared" si="209"/>
        <v>1.0439803506486462</v>
      </c>
      <c r="BU216" s="632">
        <f t="shared" si="209"/>
        <v>1.043980350648646</v>
      </c>
      <c r="BV216" s="632">
        <f t="shared" si="209"/>
        <v>1.043980350648646</v>
      </c>
      <c r="BW216" s="632">
        <f t="shared" si="209"/>
        <v>1.043980350648646</v>
      </c>
      <c r="BX216" s="632">
        <f t="shared" si="209"/>
        <v>1.043980350648646</v>
      </c>
      <c r="BY216" s="632">
        <f t="shared" ref="BY216:CN220" si="210">Y220/Y216</f>
        <v>1.043980350648646</v>
      </c>
      <c r="BZ216" s="632">
        <f t="shared" si="210"/>
        <v>1.043980350648646</v>
      </c>
      <c r="CA216" s="632">
        <f t="shared" si="210"/>
        <v>1.043980350648646</v>
      </c>
      <c r="CB216" s="632">
        <f t="shared" si="210"/>
        <v>1.043980350648646</v>
      </c>
      <c r="CC216" s="632">
        <f t="shared" si="210"/>
        <v>1.043980350648646</v>
      </c>
      <c r="CD216" s="632">
        <f t="shared" si="210"/>
        <v>1.0439803506486462</v>
      </c>
      <c r="CE216" s="632">
        <f t="shared" si="210"/>
        <v>1.043980350648646</v>
      </c>
      <c r="CF216" s="632">
        <f t="shared" si="210"/>
        <v>1.043980350648646</v>
      </c>
      <c r="CG216" s="632">
        <f t="shared" si="210"/>
        <v>1.0439803506486458</v>
      </c>
      <c r="CH216" s="632">
        <f t="shared" si="210"/>
        <v>1.0439803506486462</v>
      </c>
      <c r="CI216" s="632">
        <f t="shared" si="210"/>
        <v>1.0439803506486458</v>
      </c>
      <c r="CJ216" s="632">
        <f t="shared" si="210"/>
        <v>1.043980350648646</v>
      </c>
      <c r="CK216" s="632">
        <f t="shared" si="210"/>
        <v>1.043980350648646</v>
      </c>
      <c r="CL216" s="632">
        <f t="shared" si="210"/>
        <v>1.043980350648646</v>
      </c>
      <c r="CM216" s="632">
        <f t="shared" si="210"/>
        <v>1.0439803506486462</v>
      </c>
      <c r="CN216" s="632">
        <f t="shared" si="210"/>
        <v>1.043980350648646</v>
      </c>
      <c r="CO216" s="632">
        <f t="shared" ref="CO216:DD220" si="211">AO220/AO216</f>
        <v>1.0439803506486462</v>
      </c>
      <c r="CP216" s="632">
        <f t="shared" si="211"/>
        <v>1.043980350648646</v>
      </c>
      <c r="CQ216" s="632">
        <f t="shared" si="211"/>
        <v>1.043980350648646</v>
      </c>
      <c r="CR216" s="632">
        <f t="shared" si="211"/>
        <v>1.043980350648646</v>
      </c>
      <c r="CS216" s="632">
        <f t="shared" si="211"/>
        <v>1.043980350648646</v>
      </c>
      <c r="CT216" s="632">
        <f t="shared" si="211"/>
        <v>1.043980350648646</v>
      </c>
      <c r="CU216" s="632">
        <f t="shared" si="211"/>
        <v>1.043980350648646</v>
      </c>
      <c r="CV216" s="632">
        <f t="shared" si="211"/>
        <v>1.043980350648646</v>
      </c>
      <c r="CW216" s="632">
        <f t="shared" si="211"/>
        <v>1.043980350648646</v>
      </c>
      <c r="CX216" s="632">
        <f t="shared" si="211"/>
        <v>1.043980350648646</v>
      </c>
      <c r="CY216" s="632">
        <f t="shared" si="211"/>
        <v>1.043980350648646</v>
      </c>
      <c r="CZ216" s="632">
        <f t="shared" si="211"/>
        <v>1.043980350648646</v>
      </c>
      <c r="DA216" s="632">
        <f t="shared" si="211"/>
        <v>1.043980350648646</v>
      </c>
      <c r="DB216" s="632">
        <f t="shared" si="211"/>
        <v>1.0439803506486462</v>
      </c>
      <c r="DC216" s="632">
        <f t="shared" si="211"/>
        <v>1.043980350648646</v>
      </c>
      <c r="DD216" s="632">
        <f t="shared" si="211"/>
        <v>1.043980350648646</v>
      </c>
      <c r="DE216" s="632">
        <f t="shared" ref="DE216:DG220" si="212">BE220/BE216</f>
        <v>1.0439803506486458</v>
      </c>
      <c r="DF216" s="632">
        <f t="shared" si="212"/>
        <v>1.043980350648646</v>
      </c>
      <c r="DG216" s="632">
        <f t="shared" si="212"/>
        <v>1.0439803506486462</v>
      </c>
    </row>
    <row r="217" spans="1:111" hidden="1">
      <c r="A217" s="2309"/>
      <c r="B217" s="2434" t="s">
        <v>5781</v>
      </c>
      <c r="C217" s="2435"/>
      <c r="D217" s="2436"/>
      <c r="E217" s="1917" t="s">
        <v>5755</v>
      </c>
      <c r="F217" s="1917">
        <v>150</v>
      </c>
      <c r="G217" s="1917">
        <v>200</v>
      </c>
      <c r="H217" s="1917">
        <v>2</v>
      </c>
      <c r="I217" s="1918">
        <f t="shared" ref="I217:AN217" si="213">((I$208-$I$4)/1000)*$M$69*(($C$8/70)^$W$69)*IF($C$13=1,$AF$70,IF($C$13=2,$AG$70,IF($C$13=3,$AH$70,1)))</f>
        <v>385.67015999999995</v>
      </c>
      <c r="J217" s="1918">
        <f t="shared" si="213"/>
        <v>514.22687999999994</v>
      </c>
      <c r="K217" s="1918">
        <f t="shared" si="213"/>
        <v>642.78359999999998</v>
      </c>
      <c r="L217" s="1918">
        <f t="shared" si="213"/>
        <v>771.34031999999991</v>
      </c>
      <c r="M217" s="1918">
        <f t="shared" si="213"/>
        <v>899.89703999999983</v>
      </c>
      <c r="N217" s="1918">
        <f t="shared" si="213"/>
        <v>1028.4537599999999</v>
      </c>
      <c r="O217" s="1918">
        <f t="shared" si="213"/>
        <v>1157.0104799999999</v>
      </c>
      <c r="P217" s="1918">
        <f t="shared" si="213"/>
        <v>1285.5672</v>
      </c>
      <c r="Q217" s="1918">
        <f t="shared" si="213"/>
        <v>1414.12392</v>
      </c>
      <c r="R217" s="1918">
        <f t="shared" si="213"/>
        <v>1542.6806399999998</v>
      </c>
      <c r="S217" s="1918">
        <f t="shared" si="213"/>
        <v>1671.2373599999999</v>
      </c>
      <c r="T217" s="1918">
        <f t="shared" si="213"/>
        <v>1799.7940799999997</v>
      </c>
      <c r="U217" s="1918">
        <f t="shared" si="213"/>
        <v>1928.3507999999997</v>
      </c>
      <c r="V217" s="1918">
        <f t="shared" si="213"/>
        <v>2056.9075199999997</v>
      </c>
      <c r="W217" s="1918">
        <f t="shared" si="213"/>
        <v>2185.4642399999998</v>
      </c>
      <c r="X217" s="1918">
        <f t="shared" si="213"/>
        <v>2314.0209599999998</v>
      </c>
      <c r="Y217" s="1918">
        <f t="shared" si="213"/>
        <v>2442.5776799999999</v>
      </c>
      <c r="Z217" s="1918">
        <f t="shared" si="213"/>
        <v>2571.1343999999999</v>
      </c>
      <c r="AA217" s="1918">
        <f t="shared" si="213"/>
        <v>2699.69112</v>
      </c>
      <c r="AB217" s="1918">
        <f t="shared" si="213"/>
        <v>2828.24784</v>
      </c>
      <c r="AC217" s="1918">
        <f t="shared" si="213"/>
        <v>2956.8045599999996</v>
      </c>
      <c r="AD217" s="1918">
        <f t="shared" si="213"/>
        <v>3085.3612799999996</v>
      </c>
      <c r="AE217" s="1918">
        <f t="shared" si="213"/>
        <v>3213.9179999999997</v>
      </c>
      <c r="AF217" s="1918">
        <f t="shared" si="213"/>
        <v>3342.4747199999997</v>
      </c>
      <c r="AG217" s="1918">
        <f t="shared" si="213"/>
        <v>3471.0314399999997</v>
      </c>
      <c r="AH217" s="1918">
        <f t="shared" si="213"/>
        <v>3599.5881599999993</v>
      </c>
      <c r="AI217" s="1918">
        <f t="shared" si="213"/>
        <v>3728.1448799999994</v>
      </c>
      <c r="AJ217" s="1918">
        <f t="shared" si="213"/>
        <v>3856.7015999999994</v>
      </c>
      <c r="AK217" s="1918">
        <f t="shared" si="213"/>
        <v>3985.2583199999995</v>
      </c>
      <c r="AL217" s="1918">
        <f t="shared" si="213"/>
        <v>4113.8150399999995</v>
      </c>
      <c r="AM217" s="1918">
        <f t="shared" si="213"/>
        <v>4242.3717599999991</v>
      </c>
      <c r="AN217" s="1918">
        <f t="shared" si="213"/>
        <v>4370.9284799999996</v>
      </c>
      <c r="AO217" s="1918">
        <f t="shared" ref="AO217:BG217" si="214">((AO$208-$I$4)/1000)*$M$69*(($C$8/70)^$W$69)*IF($C$13=1,$AF$70,IF($C$13=2,$AG$70,IF($C$13=3,$AH$70,1)))</f>
        <v>4499.4851999999992</v>
      </c>
      <c r="AP217" s="1918">
        <f t="shared" si="214"/>
        <v>4628.0419199999997</v>
      </c>
      <c r="AQ217" s="1918">
        <f t="shared" si="214"/>
        <v>4756.5986399999992</v>
      </c>
      <c r="AR217" s="1918">
        <f t="shared" si="214"/>
        <v>4885.1553599999997</v>
      </c>
      <c r="AS217" s="1918">
        <f t="shared" si="214"/>
        <v>5013.7120799999993</v>
      </c>
      <c r="AT217" s="1918">
        <f t="shared" si="214"/>
        <v>5142.2687999999998</v>
      </c>
      <c r="AU217" s="1918">
        <f t="shared" si="214"/>
        <v>5270.8255199999985</v>
      </c>
      <c r="AV217" s="1918">
        <f t="shared" si="214"/>
        <v>5399.3822399999999</v>
      </c>
      <c r="AW217" s="1918">
        <f t="shared" si="214"/>
        <v>5527.9389599999995</v>
      </c>
      <c r="AX217" s="1918">
        <f t="shared" si="214"/>
        <v>5656.49568</v>
      </c>
      <c r="AY217" s="1918">
        <f t="shared" si="214"/>
        <v>5785.0523999999996</v>
      </c>
      <c r="AZ217" s="1918">
        <f t="shared" si="214"/>
        <v>5913.6091199999992</v>
      </c>
      <c r="BA217" s="1918">
        <f t="shared" si="214"/>
        <v>6042.1658399999997</v>
      </c>
      <c r="BB217" s="1918">
        <f t="shared" si="214"/>
        <v>6170.7225599999992</v>
      </c>
      <c r="BC217" s="1918">
        <f t="shared" si="214"/>
        <v>6299.2792799999997</v>
      </c>
      <c r="BD217" s="1918">
        <f t="shared" si="214"/>
        <v>6427.8359999999993</v>
      </c>
      <c r="BE217" s="1918">
        <f t="shared" si="214"/>
        <v>6556.3927199999989</v>
      </c>
      <c r="BF217" s="1918">
        <f t="shared" si="214"/>
        <v>6684.9494399999994</v>
      </c>
      <c r="BG217" s="1918">
        <f t="shared" si="214"/>
        <v>6813.506159999999</v>
      </c>
      <c r="BI217" s="632" t="e">
        <f t="shared" si="209"/>
        <v>#REF!</v>
      </c>
      <c r="BJ217" s="632" t="e">
        <f t="shared" si="209"/>
        <v>#REF!</v>
      </c>
      <c r="BK217" s="632" t="e">
        <f t="shared" si="209"/>
        <v>#REF!</v>
      </c>
      <c r="BL217" s="632" t="e">
        <f t="shared" si="209"/>
        <v>#REF!</v>
      </c>
      <c r="BM217" s="632" t="e">
        <f t="shared" si="209"/>
        <v>#REF!</v>
      </c>
      <c r="BN217" s="632" t="e">
        <f t="shared" si="209"/>
        <v>#REF!</v>
      </c>
      <c r="BO217" s="632" t="e">
        <f t="shared" si="209"/>
        <v>#REF!</v>
      </c>
      <c r="BP217" s="632" t="e">
        <f t="shared" si="209"/>
        <v>#REF!</v>
      </c>
      <c r="BQ217" s="632" t="e">
        <f t="shared" si="209"/>
        <v>#REF!</v>
      </c>
      <c r="BR217" s="632" t="e">
        <f t="shared" si="209"/>
        <v>#REF!</v>
      </c>
      <c r="BS217" s="632" t="e">
        <f t="shared" si="209"/>
        <v>#REF!</v>
      </c>
      <c r="BT217" s="632" t="e">
        <f t="shared" si="209"/>
        <v>#REF!</v>
      </c>
      <c r="BU217" s="632" t="e">
        <f t="shared" si="209"/>
        <v>#REF!</v>
      </c>
      <c r="BV217" s="632" t="e">
        <f t="shared" si="209"/>
        <v>#REF!</v>
      </c>
      <c r="BW217" s="632" t="e">
        <f t="shared" si="209"/>
        <v>#REF!</v>
      </c>
      <c r="BX217" s="632" t="e">
        <f t="shared" si="209"/>
        <v>#REF!</v>
      </c>
      <c r="BY217" s="632" t="e">
        <f t="shared" si="210"/>
        <v>#REF!</v>
      </c>
      <c r="BZ217" s="632" t="e">
        <f t="shared" si="210"/>
        <v>#REF!</v>
      </c>
      <c r="CA217" s="632" t="e">
        <f t="shared" si="210"/>
        <v>#REF!</v>
      </c>
      <c r="CB217" s="632" t="e">
        <f t="shared" si="210"/>
        <v>#REF!</v>
      </c>
      <c r="CC217" s="632" t="e">
        <f t="shared" si="210"/>
        <v>#REF!</v>
      </c>
      <c r="CD217" s="632" t="e">
        <f t="shared" si="210"/>
        <v>#REF!</v>
      </c>
      <c r="CE217" s="632" t="e">
        <f t="shared" si="210"/>
        <v>#REF!</v>
      </c>
      <c r="CF217" s="632" t="e">
        <f t="shared" si="210"/>
        <v>#REF!</v>
      </c>
      <c r="CG217" s="632" t="e">
        <f t="shared" si="210"/>
        <v>#REF!</v>
      </c>
      <c r="CH217" s="632" t="e">
        <f t="shared" si="210"/>
        <v>#REF!</v>
      </c>
      <c r="CI217" s="632" t="e">
        <f t="shared" si="210"/>
        <v>#REF!</v>
      </c>
      <c r="CJ217" s="632" t="e">
        <f t="shared" si="210"/>
        <v>#REF!</v>
      </c>
      <c r="CK217" s="632" t="e">
        <f t="shared" si="210"/>
        <v>#REF!</v>
      </c>
      <c r="CL217" s="632" t="e">
        <f t="shared" si="210"/>
        <v>#REF!</v>
      </c>
      <c r="CM217" s="632" t="e">
        <f t="shared" si="210"/>
        <v>#REF!</v>
      </c>
      <c r="CN217" s="632" t="e">
        <f t="shared" si="210"/>
        <v>#REF!</v>
      </c>
      <c r="CO217" s="632" t="e">
        <f t="shared" si="211"/>
        <v>#REF!</v>
      </c>
      <c r="CP217" s="632" t="e">
        <f t="shared" si="211"/>
        <v>#REF!</v>
      </c>
      <c r="CQ217" s="632" t="e">
        <f t="shared" si="211"/>
        <v>#REF!</v>
      </c>
      <c r="CR217" s="632" t="e">
        <f t="shared" si="211"/>
        <v>#REF!</v>
      </c>
      <c r="CS217" s="632" t="e">
        <f t="shared" si="211"/>
        <v>#REF!</v>
      </c>
      <c r="CT217" s="632" t="e">
        <f t="shared" si="211"/>
        <v>#REF!</v>
      </c>
      <c r="CU217" s="632" t="e">
        <f t="shared" si="211"/>
        <v>#REF!</v>
      </c>
      <c r="CV217" s="632" t="e">
        <f t="shared" si="211"/>
        <v>#REF!</v>
      </c>
      <c r="CW217" s="632" t="e">
        <f t="shared" si="211"/>
        <v>#REF!</v>
      </c>
      <c r="CX217" s="632" t="e">
        <f t="shared" si="211"/>
        <v>#REF!</v>
      </c>
      <c r="CY217" s="632" t="e">
        <f t="shared" si="211"/>
        <v>#REF!</v>
      </c>
      <c r="CZ217" s="632" t="e">
        <f t="shared" si="211"/>
        <v>#REF!</v>
      </c>
      <c r="DA217" s="632" t="e">
        <f t="shared" si="211"/>
        <v>#REF!</v>
      </c>
      <c r="DB217" s="632" t="e">
        <f t="shared" si="211"/>
        <v>#REF!</v>
      </c>
      <c r="DC217" s="632" t="e">
        <f t="shared" si="211"/>
        <v>#REF!</v>
      </c>
      <c r="DD217" s="632" t="e">
        <f t="shared" si="211"/>
        <v>#REF!</v>
      </c>
      <c r="DE217" s="632" t="e">
        <f t="shared" si="212"/>
        <v>#REF!</v>
      </c>
      <c r="DF217" s="632" t="e">
        <f t="shared" si="212"/>
        <v>#REF!</v>
      </c>
      <c r="DG217" s="632" t="e">
        <f t="shared" si="212"/>
        <v>#REF!</v>
      </c>
    </row>
    <row r="218" spans="1:111" hidden="1">
      <c r="A218" s="2309"/>
      <c r="B218" s="2453" t="s">
        <v>5782</v>
      </c>
      <c r="C218" s="2454"/>
      <c r="D218" s="2452"/>
      <c r="E218" s="1919" t="s">
        <v>5755</v>
      </c>
      <c r="F218" s="1919">
        <v>150</v>
      </c>
      <c r="G218" s="1919">
        <v>260</v>
      </c>
      <c r="H218" s="1919">
        <v>2</v>
      </c>
      <c r="I218" s="1918">
        <f t="shared" ref="I218:AN218" si="215">((I$208-$I$4)/1000)*$N$69*(($C$8/70)^$X$69)*IF($C$13=1,$AF$69,IF($C$13=2,$AG$69,IF($C$13=3,$AH$69,1)))</f>
        <v>505.88721719999984</v>
      </c>
      <c r="J218" s="1918">
        <f t="shared" si="215"/>
        <v>674.51628959999971</v>
      </c>
      <c r="K218" s="1918">
        <f t="shared" si="215"/>
        <v>843.14536199999975</v>
      </c>
      <c r="L218" s="1918">
        <f t="shared" si="215"/>
        <v>1011.7744343999997</v>
      </c>
      <c r="M218" s="1918">
        <f t="shared" si="215"/>
        <v>1180.4035067999996</v>
      </c>
      <c r="N218" s="1918">
        <f t="shared" si="215"/>
        <v>1349.0325791999994</v>
      </c>
      <c r="O218" s="1918">
        <f t="shared" si="215"/>
        <v>1517.6616515999995</v>
      </c>
      <c r="P218" s="1918">
        <f t="shared" si="215"/>
        <v>1686.2907239999995</v>
      </c>
      <c r="Q218" s="1918">
        <f t="shared" si="215"/>
        <v>1854.9197963999993</v>
      </c>
      <c r="R218" s="1918">
        <f t="shared" si="215"/>
        <v>2023.5488687999994</v>
      </c>
      <c r="S218" s="1918">
        <f t="shared" si="215"/>
        <v>2192.1779411999992</v>
      </c>
      <c r="T218" s="1918">
        <f t="shared" si="215"/>
        <v>2360.8070135999992</v>
      </c>
      <c r="U218" s="1918">
        <f t="shared" si="215"/>
        <v>2529.4360859999992</v>
      </c>
      <c r="V218" s="1918">
        <f t="shared" si="215"/>
        <v>2698.0651583999988</v>
      </c>
      <c r="W218" s="1918">
        <f t="shared" si="215"/>
        <v>2866.6942307999993</v>
      </c>
      <c r="X218" s="1918">
        <f t="shared" si="215"/>
        <v>3035.3233031999989</v>
      </c>
      <c r="Y218" s="1918">
        <f t="shared" si="215"/>
        <v>3203.9523755999985</v>
      </c>
      <c r="Z218" s="1918">
        <f t="shared" si="215"/>
        <v>3372.581447999999</v>
      </c>
      <c r="AA218" s="1918">
        <f t="shared" si="215"/>
        <v>3541.210520399999</v>
      </c>
      <c r="AB218" s="1918">
        <f t="shared" si="215"/>
        <v>3709.8395927999986</v>
      </c>
      <c r="AC218" s="1918">
        <f t="shared" si="215"/>
        <v>3878.4686651999987</v>
      </c>
      <c r="AD218" s="1918">
        <f t="shared" si="215"/>
        <v>4047.0977375999987</v>
      </c>
      <c r="AE218" s="1918">
        <f t="shared" si="215"/>
        <v>4215.7268099999983</v>
      </c>
      <c r="AF218" s="1918">
        <f t="shared" si="215"/>
        <v>4384.3558823999983</v>
      </c>
      <c r="AG218" s="1918">
        <f t="shared" si="215"/>
        <v>4552.9849547999993</v>
      </c>
      <c r="AH218" s="1918">
        <f t="shared" si="215"/>
        <v>4721.6140271999984</v>
      </c>
      <c r="AI218" s="1918">
        <f t="shared" si="215"/>
        <v>4890.2430995999985</v>
      </c>
      <c r="AJ218" s="1918">
        <f t="shared" si="215"/>
        <v>5058.8721719999985</v>
      </c>
      <c r="AK218" s="1918">
        <f t="shared" si="215"/>
        <v>5227.5012443999985</v>
      </c>
      <c r="AL218" s="1918">
        <f t="shared" si="215"/>
        <v>5396.1303167999977</v>
      </c>
      <c r="AM218" s="1918">
        <f t="shared" si="215"/>
        <v>5564.7593891999986</v>
      </c>
      <c r="AN218" s="1918">
        <f t="shared" si="215"/>
        <v>5733.3884615999987</v>
      </c>
      <c r="AO218" s="1918">
        <f t="shared" ref="AO218:BG218" si="216">((AO$208-$I$4)/1000)*$N$69*(($C$8/70)^$X$69)*IF($C$13=1,$AF$69,IF($C$13=2,$AG$69,IF($C$13=3,$AH$69,1)))</f>
        <v>5902.0175339999978</v>
      </c>
      <c r="AP218" s="1918">
        <f t="shared" si="216"/>
        <v>6070.6466063999978</v>
      </c>
      <c r="AQ218" s="1918">
        <f t="shared" si="216"/>
        <v>6239.2756787999979</v>
      </c>
      <c r="AR218" s="1918">
        <f t="shared" si="216"/>
        <v>6407.904751199997</v>
      </c>
      <c r="AS218" s="1918">
        <f t="shared" si="216"/>
        <v>6576.533823599997</v>
      </c>
      <c r="AT218" s="1918">
        <f t="shared" si="216"/>
        <v>6745.162895999998</v>
      </c>
      <c r="AU218" s="1918">
        <f t="shared" si="216"/>
        <v>6913.7919683999971</v>
      </c>
      <c r="AV218" s="1918">
        <f t="shared" si="216"/>
        <v>7082.4210407999981</v>
      </c>
      <c r="AW218" s="1918">
        <f t="shared" si="216"/>
        <v>7251.0501131999972</v>
      </c>
      <c r="AX218" s="1918">
        <f t="shared" si="216"/>
        <v>7419.6791855999973</v>
      </c>
      <c r="AY218" s="1918">
        <f t="shared" si="216"/>
        <v>7588.3082579999982</v>
      </c>
      <c r="AZ218" s="1918">
        <f t="shared" si="216"/>
        <v>7756.9373303999973</v>
      </c>
      <c r="BA218" s="1918">
        <f t="shared" si="216"/>
        <v>7925.5664027999974</v>
      </c>
      <c r="BB218" s="1918">
        <f t="shared" si="216"/>
        <v>8094.1954751999974</v>
      </c>
      <c r="BC218" s="1918">
        <f t="shared" si="216"/>
        <v>8262.8245475999975</v>
      </c>
      <c r="BD218" s="1918">
        <f t="shared" si="216"/>
        <v>8431.4536199999966</v>
      </c>
      <c r="BE218" s="1918">
        <f t="shared" si="216"/>
        <v>8600.0826923999957</v>
      </c>
      <c r="BF218" s="1918">
        <f t="shared" si="216"/>
        <v>8768.7117647999967</v>
      </c>
      <c r="BG218" s="1918">
        <f t="shared" si="216"/>
        <v>8937.3408371999958</v>
      </c>
      <c r="BI218" s="632" t="e">
        <f t="shared" si="209"/>
        <v>#REF!</v>
      </c>
      <c r="BJ218" s="632" t="e">
        <f t="shared" si="209"/>
        <v>#REF!</v>
      </c>
      <c r="BK218" s="632" t="e">
        <f t="shared" si="209"/>
        <v>#REF!</v>
      </c>
      <c r="BL218" s="632" t="e">
        <f t="shared" si="209"/>
        <v>#REF!</v>
      </c>
      <c r="BM218" s="632" t="e">
        <f t="shared" si="209"/>
        <v>#REF!</v>
      </c>
      <c r="BN218" s="632" t="e">
        <f t="shared" si="209"/>
        <v>#REF!</v>
      </c>
      <c r="BO218" s="632" t="e">
        <f t="shared" si="209"/>
        <v>#REF!</v>
      </c>
      <c r="BP218" s="632" t="e">
        <f t="shared" si="209"/>
        <v>#REF!</v>
      </c>
      <c r="BQ218" s="632" t="e">
        <f t="shared" si="209"/>
        <v>#REF!</v>
      </c>
      <c r="BR218" s="632" t="e">
        <f t="shared" si="209"/>
        <v>#REF!</v>
      </c>
      <c r="BS218" s="632" t="e">
        <f t="shared" si="209"/>
        <v>#REF!</v>
      </c>
      <c r="BT218" s="632" t="e">
        <f t="shared" si="209"/>
        <v>#REF!</v>
      </c>
      <c r="BU218" s="632" t="e">
        <f t="shared" si="209"/>
        <v>#REF!</v>
      </c>
      <c r="BV218" s="632" t="e">
        <f t="shared" si="209"/>
        <v>#REF!</v>
      </c>
      <c r="BW218" s="632" t="e">
        <f t="shared" si="209"/>
        <v>#REF!</v>
      </c>
      <c r="BX218" s="632" t="e">
        <f t="shared" si="209"/>
        <v>#REF!</v>
      </c>
      <c r="BY218" s="632" t="e">
        <f t="shared" si="210"/>
        <v>#REF!</v>
      </c>
      <c r="BZ218" s="632" t="e">
        <f t="shared" si="210"/>
        <v>#REF!</v>
      </c>
      <c r="CA218" s="632" t="e">
        <f t="shared" si="210"/>
        <v>#REF!</v>
      </c>
      <c r="CB218" s="632" t="e">
        <f t="shared" si="210"/>
        <v>#REF!</v>
      </c>
      <c r="CC218" s="632" t="e">
        <f t="shared" si="210"/>
        <v>#REF!</v>
      </c>
      <c r="CD218" s="632" t="e">
        <f t="shared" si="210"/>
        <v>#REF!</v>
      </c>
      <c r="CE218" s="632" t="e">
        <f t="shared" si="210"/>
        <v>#REF!</v>
      </c>
      <c r="CF218" s="632" t="e">
        <f t="shared" si="210"/>
        <v>#REF!</v>
      </c>
      <c r="CG218" s="632" t="e">
        <f t="shared" si="210"/>
        <v>#REF!</v>
      </c>
      <c r="CH218" s="632" t="e">
        <f t="shared" si="210"/>
        <v>#REF!</v>
      </c>
      <c r="CI218" s="632" t="e">
        <f t="shared" si="210"/>
        <v>#REF!</v>
      </c>
      <c r="CJ218" s="632" t="e">
        <f t="shared" si="210"/>
        <v>#REF!</v>
      </c>
      <c r="CK218" s="632" t="e">
        <f t="shared" si="210"/>
        <v>#REF!</v>
      </c>
      <c r="CL218" s="632" t="e">
        <f t="shared" si="210"/>
        <v>#REF!</v>
      </c>
      <c r="CM218" s="632" t="e">
        <f t="shared" si="210"/>
        <v>#REF!</v>
      </c>
      <c r="CN218" s="632" t="e">
        <f t="shared" si="210"/>
        <v>#REF!</v>
      </c>
      <c r="CO218" s="632" t="e">
        <f t="shared" si="211"/>
        <v>#REF!</v>
      </c>
      <c r="CP218" s="632" t="e">
        <f t="shared" si="211"/>
        <v>#REF!</v>
      </c>
      <c r="CQ218" s="632" t="e">
        <f t="shared" si="211"/>
        <v>#REF!</v>
      </c>
      <c r="CR218" s="632" t="e">
        <f t="shared" si="211"/>
        <v>#REF!</v>
      </c>
      <c r="CS218" s="632" t="e">
        <f t="shared" si="211"/>
        <v>#REF!</v>
      </c>
      <c r="CT218" s="632" t="e">
        <f t="shared" si="211"/>
        <v>#REF!</v>
      </c>
      <c r="CU218" s="632" t="e">
        <f t="shared" si="211"/>
        <v>#REF!</v>
      </c>
      <c r="CV218" s="632" t="e">
        <f t="shared" si="211"/>
        <v>#REF!</v>
      </c>
      <c r="CW218" s="632" t="e">
        <f t="shared" si="211"/>
        <v>#REF!</v>
      </c>
      <c r="CX218" s="632" t="e">
        <f t="shared" si="211"/>
        <v>#REF!</v>
      </c>
      <c r="CY218" s="632" t="e">
        <f t="shared" si="211"/>
        <v>#REF!</v>
      </c>
      <c r="CZ218" s="632" t="e">
        <f t="shared" si="211"/>
        <v>#REF!</v>
      </c>
      <c r="DA218" s="632" t="e">
        <f t="shared" si="211"/>
        <v>#REF!</v>
      </c>
      <c r="DB218" s="632" t="e">
        <f t="shared" si="211"/>
        <v>#REF!</v>
      </c>
      <c r="DC218" s="632" t="e">
        <f t="shared" si="211"/>
        <v>#REF!</v>
      </c>
      <c r="DD218" s="632" t="e">
        <f t="shared" si="211"/>
        <v>#REF!</v>
      </c>
      <c r="DE218" s="632" t="e">
        <f t="shared" si="212"/>
        <v>#REF!</v>
      </c>
      <c r="DF218" s="632" t="e">
        <f t="shared" si="212"/>
        <v>#REF!</v>
      </c>
      <c r="DG218" s="632" t="e">
        <f t="shared" si="212"/>
        <v>#REF!</v>
      </c>
    </row>
    <row r="219" spans="1:111" hidden="1">
      <c r="A219" s="2309"/>
      <c r="B219" s="2453" t="s">
        <v>5783</v>
      </c>
      <c r="C219" s="2454"/>
      <c r="D219" s="2452"/>
      <c r="E219" s="1919" t="s">
        <v>5755</v>
      </c>
      <c r="F219" s="1919">
        <v>150</v>
      </c>
      <c r="G219" s="1919">
        <v>300</v>
      </c>
      <c r="H219" s="1919">
        <v>2</v>
      </c>
      <c r="I219" s="1918">
        <f t="shared" ref="I219:AN219" si="217">((I$208-$I$4)/1000)*$O$69*(($C$8/70)^$Z$69)*IF($C$13=1,$AF$72,IF($C$13=2,$AG$72,IF($C$13=3,$AH$72,1)))</f>
        <v>599.2145999999999</v>
      </c>
      <c r="J219" s="1918">
        <f t="shared" si="217"/>
        <v>798.95280000000002</v>
      </c>
      <c r="K219" s="1918">
        <f t="shared" si="217"/>
        <v>998.69099999999992</v>
      </c>
      <c r="L219" s="1918">
        <f t="shared" si="217"/>
        <v>1198.4291999999998</v>
      </c>
      <c r="M219" s="1918">
        <f t="shared" si="217"/>
        <v>1398.1673999999998</v>
      </c>
      <c r="N219" s="1918">
        <f t="shared" si="217"/>
        <v>1597.9056</v>
      </c>
      <c r="O219" s="1918">
        <f t="shared" si="217"/>
        <v>1797.6437999999998</v>
      </c>
      <c r="P219" s="1918">
        <f t="shared" si="217"/>
        <v>1997.3819999999998</v>
      </c>
      <c r="Q219" s="1918">
        <f t="shared" si="217"/>
        <v>2197.1201999999998</v>
      </c>
      <c r="R219" s="1918">
        <f t="shared" si="217"/>
        <v>2396.8583999999996</v>
      </c>
      <c r="S219" s="1918">
        <f t="shared" si="217"/>
        <v>2596.5965999999999</v>
      </c>
      <c r="T219" s="1918">
        <f t="shared" si="217"/>
        <v>2796.3347999999996</v>
      </c>
      <c r="U219" s="1918">
        <f t="shared" si="217"/>
        <v>2996.0729999999994</v>
      </c>
      <c r="V219" s="1918">
        <f t="shared" si="217"/>
        <v>3195.8112000000001</v>
      </c>
      <c r="W219" s="1918">
        <f t="shared" si="217"/>
        <v>3395.5493999999999</v>
      </c>
      <c r="X219" s="1918">
        <f t="shared" si="217"/>
        <v>3595.2875999999997</v>
      </c>
      <c r="Y219" s="1918">
        <f t="shared" si="217"/>
        <v>3795.0257999999999</v>
      </c>
      <c r="Z219" s="1918">
        <f t="shared" si="217"/>
        <v>3994.7639999999997</v>
      </c>
      <c r="AA219" s="1918">
        <f t="shared" si="217"/>
        <v>4194.5021999999999</v>
      </c>
      <c r="AB219" s="1918">
        <f t="shared" si="217"/>
        <v>4394.2403999999997</v>
      </c>
      <c r="AC219" s="1918">
        <f t="shared" si="217"/>
        <v>4593.9785999999995</v>
      </c>
      <c r="AD219" s="1918">
        <f t="shared" si="217"/>
        <v>4793.7167999999992</v>
      </c>
      <c r="AE219" s="1918">
        <f t="shared" si="217"/>
        <v>4993.4549999999999</v>
      </c>
      <c r="AF219" s="1918">
        <f t="shared" si="217"/>
        <v>5193.1931999999997</v>
      </c>
      <c r="AG219" s="1918">
        <f t="shared" si="217"/>
        <v>5392.9313999999995</v>
      </c>
      <c r="AH219" s="1918">
        <f t="shared" si="217"/>
        <v>5592.6695999999993</v>
      </c>
      <c r="AI219" s="1918">
        <f t="shared" si="217"/>
        <v>5792.4078</v>
      </c>
      <c r="AJ219" s="1918">
        <f t="shared" si="217"/>
        <v>5992.1459999999988</v>
      </c>
      <c r="AK219" s="1918">
        <f t="shared" si="217"/>
        <v>6191.8841999999995</v>
      </c>
      <c r="AL219" s="1918">
        <f t="shared" si="217"/>
        <v>6391.6224000000002</v>
      </c>
      <c r="AM219" s="1918">
        <f t="shared" si="217"/>
        <v>6591.3605999999991</v>
      </c>
      <c r="AN219" s="1918">
        <f t="shared" si="217"/>
        <v>6791.0987999999998</v>
      </c>
      <c r="AO219" s="1918">
        <f t="shared" ref="AO219:BG219" si="218">((AO$208-$I$4)/1000)*$O$69*(($C$8/70)^$Z$69)*IF($C$13=1,$AF$72,IF($C$13=2,$AG$72,IF($C$13=3,$AH$72,1)))</f>
        <v>6990.8369999999995</v>
      </c>
      <c r="AP219" s="1918">
        <f t="shared" si="218"/>
        <v>7190.5751999999993</v>
      </c>
      <c r="AQ219" s="1918">
        <f t="shared" si="218"/>
        <v>7390.3134</v>
      </c>
      <c r="AR219" s="1918">
        <f t="shared" si="218"/>
        <v>7590.0515999999998</v>
      </c>
      <c r="AS219" s="1918">
        <f t="shared" si="218"/>
        <v>7789.7897999999986</v>
      </c>
      <c r="AT219" s="1918">
        <f t="shared" si="218"/>
        <v>7989.5279999999993</v>
      </c>
      <c r="AU219" s="1918">
        <f t="shared" si="218"/>
        <v>8189.2661999999991</v>
      </c>
      <c r="AV219" s="1918">
        <f t="shared" si="218"/>
        <v>8389.0043999999998</v>
      </c>
      <c r="AW219" s="1918">
        <f t="shared" si="218"/>
        <v>8588.7425999999978</v>
      </c>
      <c r="AX219" s="1918">
        <f t="shared" si="218"/>
        <v>8788.4807999999994</v>
      </c>
      <c r="AY219" s="1918">
        <f t="shared" si="218"/>
        <v>8988.2189999999991</v>
      </c>
      <c r="AZ219" s="1918">
        <f t="shared" si="218"/>
        <v>9187.9571999999989</v>
      </c>
      <c r="BA219" s="1918">
        <f t="shared" si="218"/>
        <v>9387.6953999999987</v>
      </c>
      <c r="BB219" s="1918">
        <f t="shared" si="218"/>
        <v>9587.4335999999985</v>
      </c>
      <c r="BC219" s="1918">
        <f t="shared" si="218"/>
        <v>9787.1718000000001</v>
      </c>
      <c r="BD219" s="1918">
        <f t="shared" si="218"/>
        <v>9986.91</v>
      </c>
      <c r="BE219" s="1918">
        <f t="shared" si="218"/>
        <v>10186.6482</v>
      </c>
      <c r="BF219" s="1918">
        <f t="shared" si="218"/>
        <v>10386.386399999999</v>
      </c>
      <c r="BG219" s="1918">
        <f t="shared" si="218"/>
        <v>10586.124599999997</v>
      </c>
      <c r="BI219" s="632" t="e">
        <f t="shared" si="209"/>
        <v>#REF!</v>
      </c>
      <c r="BJ219" s="632" t="e">
        <f t="shared" si="209"/>
        <v>#REF!</v>
      </c>
      <c r="BK219" s="632" t="e">
        <f t="shared" si="209"/>
        <v>#REF!</v>
      </c>
      <c r="BL219" s="632" t="e">
        <f t="shared" si="209"/>
        <v>#REF!</v>
      </c>
      <c r="BM219" s="632" t="e">
        <f t="shared" si="209"/>
        <v>#REF!</v>
      </c>
      <c r="BN219" s="632" t="e">
        <f t="shared" si="209"/>
        <v>#REF!</v>
      </c>
      <c r="BO219" s="632" t="e">
        <f t="shared" si="209"/>
        <v>#REF!</v>
      </c>
      <c r="BP219" s="632" t="e">
        <f t="shared" si="209"/>
        <v>#REF!</v>
      </c>
      <c r="BQ219" s="632" t="e">
        <f t="shared" si="209"/>
        <v>#REF!</v>
      </c>
      <c r="BR219" s="632" t="e">
        <f t="shared" si="209"/>
        <v>#REF!</v>
      </c>
      <c r="BS219" s="632" t="e">
        <f t="shared" si="209"/>
        <v>#REF!</v>
      </c>
      <c r="BT219" s="632" t="e">
        <f t="shared" si="209"/>
        <v>#REF!</v>
      </c>
      <c r="BU219" s="632" t="e">
        <f t="shared" si="209"/>
        <v>#REF!</v>
      </c>
      <c r="BV219" s="632" t="e">
        <f t="shared" si="209"/>
        <v>#REF!</v>
      </c>
      <c r="BW219" s="632" t="e">
        <f t="shared" si="209"/>
        <v>#REF!</v>
      </c>
      <c r="BX219" s="632" t="e">
        <f t="shared" si="209"/>
        <v>#REF!</v>
      </c>
      <c r="BY219" s="632" t="e">
        <f t="shared" si="210"/>
        <v>#REF!</v>
      </c>
      <c r="BZ219" s="632" t="e">
        <f t="shared" si="210"/>
        <v>#REF!</v>
      </c>
      <c r="CA219" s="632" t="e">
        <f t="shared" si="210"/>
        <v>#REF!</v>
      </c>
      <c r="CB219" s="632" t="e">
        <f t="shared" si="210"/>
        <v>#REF!</v>
      </c>
      <c r="CC219" s="632" t="e">
        <f t="shared" si="210"/>
        <v>#REF!</v>
      </c>
      <c r="CD219" s="632" t="e">
        <f t="shared" si="210"/>
        <v>#REF!</v>
      </c>
      <c r="CE219" s="632" t="e">
        <f t="shared" si="210"/>
        <v>#REF!</v>
      </c>
      <c r="CF219" s="632" t="e">
        <f t="shared" si="210"/>
        <v>#REF!</v>
      </c>
      <c r="CG219" s="632" t="e">
        <f t="shared" si="210"/>
        <v>#REF!</v>
      </c>
      <c r="CH219" s="632" t="e">
        <f t="shared" si="210"/>
        <v>#REF!</v>
      </c>
      <c r="CI219" s="632" t="e">
        <f t="shared" si="210"/>
        <v>#REF!</v>
      </c>
      <c r="CJ219" s="632" t="e">
        <f t="shared" si="210"/>
        <v>#REF!</v>
      </c>
      <c r="CK219" s="632" t="e">
        <f t="shared" si="210"/>
        <v>#REF!</v>
      </c>
      <c r="CL219" s="632" t="e">
        <f t="shared" si="210"/>
        <v>#REF!</v>
      </c>
      <c r="CM219" s="632" t="e">
        <f t="shared" si="210"/>
        <v>#REF!</v>
      </c>
      <c r="CN219" s="632" t="e">
        <f t="shared" si="210"/>
        <v>#REF!</v>
      </c>
      <c r="CO219" s="632" t="e">
        <f t="shared" si="211"/>
        <v>#REF!</v>
      </c>
      <c r="CP219" s="632" t="e">
        <f t="shared" si="211"/>
        <v>#REF!</v>
      </c>
      <c r="CQ219" s="632" t="e">
        <f t="shared" si="211"/>
        <v>#REF!</v>
      </c>
      <c r="CR219" s="632" t="e">
        <f t="shared" si="211"/>
        <v>#REF!</v>
      </c>
      <c r="CS219" s="632" t="e">
        <f t="shared" si="211"/>
        <v>#REF!</v>
      </c>
      <c r="CT219" s="632" t="e">
        <f t="shared" si="211"/>
        <v>#REF!</v>
      </c>
      <c r="CU219" s="632" t="e">
        <f t="shared" si="211"/>
        <v>#REF!</v>
      </c>
      <c r="CV219" s="632" t="e">
        <f t="shared" si="211"/>
        <v>#REF!</v>
      </c>
      <c r="CW219" s="632" t="e">
        <f t="shared" si="211"/>
        <v>#REF!</v>
      </c>
      <c r="CX219" s="632" t="e">
        <f t="shared" si="211"/>
        <v>#REF!</v>
      </c>
      <c r="CY219" s="632" t="e">
        <f t="shared" si="211"/>
        <v>#REF!</v>
      </c>
      <c r="CZ219" s="632" t="e">
        <f t="shared" si="211"/>
        <v>#REF!</v>
      </c>
      <c r="DA219" s="632" t="e">
        <f t="shared" si="211"/>
        <v>#REF!</v>
      </c>
      <c r="DB219" s="632" t="e">
        <f t="shared" si="211"/>
        <v>#REF!</v>
      </c>
      <c r="DC219" s="632" t="e">
        <f t="shared" si="211"/>
        <v>#REF!</v>
      </c>
      <c r="DD219" s="632" t="e">
        <f t="shared" si="211"/>
        <v>#REF!</v>
      </c>
      <c r="DE219" s="632" t="e">
        <f t="shared" si="212"/>
        <v>#REF!</v>
      </c>
      <c r="DF219" s="632" t="e">
        <f t="shared" si="212"/>
        <v>#REF!</v>
      </c>
      <c r="DG219" s="632" t="e">
        <f t="shared" si="212"/>
        <v>#REF!</v>
      </c>
    </row>
    <row r="220" spans="1:111" ht="15.75" hidden="1" thickBot="1">
      <c r="A220" s="2309"/>
      <c r="B220" s="2438" t="s">
        <v>5784</v>
      </c>
      <c r="C220" s="2439"/>
      <c r="D220" s="2437"/>
      <c r="E220" s="1920" t="s">
        <v>5755</v>
      </c>
      <c r="F220" s="1920">
        <v>150</v>
      </c>
      <c r="G220" s="1920">
        <v>360</v>
      </c>
      <c r="H220" s="1920">
        <v>2</v>
      </c>
      <c r="I220" s="1921">
        <f t="shared" ref="I220:AN220" si="219">((I$208-$I$4)/1000)*$Q$69*(($C$8/70)^$AA$69)*IF($C$13=1,$AF$69,IF($C$13=2,$AG$69,IF($C$13=3,$AH$69,1)))</f>
        <v>682.703442</v>
      </c>
      <c r="J220" s="1921">
        <f t="shared" si="219"/>
        <v>910.27125599999999</v>
      </c>
      <c r="K220" s="1921">
        <f t="shared" si="219"/>
        <v>1137.83907</v>
      </c>
      <c r="L220" s="1921">
        <f t="shared" si="219"/>
        <v>1365.406884</v>
      </c>
      <c r="M220" s="1921">
        <f t="shared" si="219"/>
        <v>1592.974698</v>
      </c>
      <c r="N220" s="1921">
        <f t="shared" si="219"/>
        <v>1820.542512</v>
      </c>
      <c r="O220" s="1921">
        <f t="shared" si="219"/>
        <v>2048.110326</v>
      </c>
      <c r="P220" s="1921">
        <f t="shared" si="219"/>
        <v>2275.67814</v>
      </c>
      <c r="Q220" s="1921">
        <f t="shared" si="219"/>
        <v>2503.245954</v>
      </c>
      <c r="R220" s="1921">
        <f t="shared" si="219"/>
        <v>2730.813768</v>
      </c>
      <c r="S220" s="1921">
        <f t="shared" si="219"/>
        <v>2958.381582</v>
      </c>
      <c r="T220" s="1921">
        <f t="shared" si="219"/>
        <v>3185.949396</v>
      </c>
      <c r="U220" s="1921">
        <f t="shared" si="219"/>
        <v>3413.51721</v>
      </c>
      <c r="V220" s="1921">
        <f t="shared" si="219"/>
        <v>3641.085024</v>
      </c>
      <c r="W220" s="1921">
        <f t="shared" si="219"/>
        <v>3868.6528379999995</v>
      </c>
      <c r="X220" s="1921">
        <f t="shared" si="219"/>
        <v>4096.220652</v>
      </c>
      <c r="Y220" s="1921">
        <f t="shared" si="219"/>
        <v>4323.788466</v>
      </c>
      <c r="Z220" s="1921">
        <f t="shared" si="219"/>
        <v>4551.35628</v>
      </c>
      <c r="AA220" s="1921">
        <f t="shared" si="219"/>
        <v>4778.924094</v>
      </c>
      <c r="AB220" s="1921">
        <f t="shared" si="219"/>
        <v>5006.491908</v>
      </c>
      <c r="AC220" s="1921">
        <f t="shared" si="219"/>
        <v>5234.0597219999991</v>
      </c>
      <c r="AD220" s="1921">
        <f t="shared" si="219"/>
        <v>5461.627536</v>
      </c>
      <c r="AE220" s="1921">
        <f t="shared" si="219"/>
        <v>5689.19535</v>
      </c>
      <c r="AF220" s="1921">
        <f t="shared" si="219"/>
        <v>5916.763164</v>
      </c>
      <c r="AG220" s="1921">
        <f t="shared" si="219"/>
        <v>6144.330978</v>
      </c>
      <c r="AH220" s="1921">
        <f t="shared" si="219"/>
        <v>6371.898792</v>
      </c>
      <c r="AI220" s="1921">
        <f t="shared" si="219"/>
        <v>6599.466605999999</v>
      </c>
      <c r="AJ220" s="1921">
        <f t="shared" si="219"/>
        <v>6827.03442</v>
      </c>
      <c r="AK220" s="1921">
        <f t="shared" si="219"/>
        <v>7054.602234</v>
      </c>
      <c r="AL220" s="1921">
        <f t="shared" si="219"/>
        <v>7282.170048</v>
      </c>
      <c r="AM220" s="1921">
        <f t="shared" si="219"/>
        <v>7509.737862</v>
      </c>
      <c r="AN220" s="1921">
        <f t="shared" si="219"/>
        <v>7737.305675999999</v>
      </c>
      <c r="AO220" s="1921">
        <f t="shared" ref="AO220:BG220" si="220">((AO$208-$I$4)/1000)*$Q$69*(($C$8/70)^$AA$69)*IF($C$13=1,$AF$69,IF($C$13=2,$AG$69,IF($C$13=3,$AH$69,1)))</f>
        <v>7964.8734899999999</v>
      </c>
      <c r="AP220" s="1921">
        <f t="shared" si="220"/>
        <v>8192.4413039999999</v>
      </c>
      <c r="AQ220" s="1921">
        <f t="shared" si="220"/>
        <v>8420.0091179999999</v>
      </c>
      <c r="AR220" s="1921">
        <f t="shared" si="220"/>
        <v>8647.5769319999999</v>
      </c>
      <c r="AS220" s="1921">
        <f t="shared" si="220"/>
        <v>8875.1447459999999</v>
      </c>
      <c r="AT220" s="1921">
        <f t="shared" si="220"/>
        <v>9102.7125599999999</v>
      </c>
      <c r="AU220" s="1921">
        <f t="shared" si="220"/>
        <v>9330.2803739999999</v>
      </c>
      <c r="AV220" s="1921">
        <f t="shared" si="220"/>
        <v>9557.8481879999999</v>
      </c>
      <c r="AW220" s="1921">
        <f t="shared" si="220"/>
        <v>9785.4160019999999</v>
      </c>
      <c r="AX220" s="1921">
        <f t="shared" si="220"/>
        <v>10012.983816</v>
      </c>
      <c r="AY220" s="1921">
        <f t="shared" si="220"/>
        <v>10240.55163</v>
      </c>
      <c r="AZ220" s="1921">
        <f t="shared" si="220"/>
        <v>10468.119443999998</v>
      </c>
      <c r="BA220" s="1921">
        <f t="shared" si="220"/>
        <v>10695.687258</v>
      </c>
      <c r="BB220" s="1921">
        <f t="shared" si="220"/>
        <v>10923.255072</v>
      </c>
      <c r="BC220" s="1921">
        <f t="shared" si="220"/>
        <v>11150.822886000002</v>
      </c>
      <c r="BD220" s="1921">
        <f t="shared" si="220"/>
        <v>11378.3907</v>
      </c>
      <c r="BE220" s="1921">
        <f t="shared" si="220"/>
        <v>11605.958513999998</v>
      </c>
      <c r="BF220" s="1921">
        <f t="shared" si="220"/>
        <v>11833.526328</v>
      </c>
      <c r="BG220" s="1921">
        <f t="shared" si="220"/>
        <v>12061.094142</v>
      </c>
      <c r="BI220" s="632" t="e">
        <f t="shared" si="209"/>
        <v>#REF!</v>
      </c>
      <c r="BJ220" s="632" t="e">
        <f t="shared" si="209"/>
        <v>#REF!</v>
      </c>
      <c r="BK220" s="632" t="e">
        <f t="shared" si="209"/>
        <v>#REF!</v>
      </c>
      <c r="BL220" s="632" t="e">
        <f t="shared" si="209"/>
        <v>#REF!</v>
      </c>
      <c r="BM220" s="632" t="e">
        <f t="shared" si="209"/>
        <v>#REF!</v>
      </c>
      <c r="BN220" s="632" t="e">
        <f t="shared" si="209"/>
        <v>#REF!</v>
      </c>
      <c r="BO220" s="632" t="e">
        <f t="shared" si="209"/>
        <v>#REF!</v>
      </c>
      <c r="BP220" s="632" t="e">
        <f t="shared" si="209"/>
        <v>#REF!</v>
      </c>
      <c r="BQ220" s="632" t="e">
        <f t="shared" si="209"/>
        <v>#REF!</v>
      </c>
      <c r="BR220" s="632" t="e">
        <f t="shared" si="209"/>
        <v>#REF!</v>
      </c>
      <c r="BS220" s="632" t="e">
        <f t="shared" si="209"/>
        <v>#REF!</v>
      </c>
      <c r="BT220" s="632" t="e">
        <f t="shared" si="209"/>
        <v>#REF!</v>
      </c>
      <c r="BU220" s="632" t="e">
        <f t="shared" si="209"/>
        <v>#REF!</v>
      </c>
      <c r="BV220" s="632" t="e">
        <f t="shared" si="209"/>
        <v>#REF!</v>
      </c>
      <c r="BW220" s="632" t="e">
        <f t="shared" si="209"/>
        <v>#REF!</v>
      </c>
      <c r="BX220" s="632" t="e">
        <f t="shared" si="209"/>
        <v>#REF!</v>
      </c>
      <c r="BY220" s="632" t="e">
        <f t="shared" si="210"/>
        <v>#REF!</v>
      </c>
      <c r="BZ220" s="632" t="e">
        <f t="shared" si="210"/>
        <v>#REF!</v>
      </c>
      <c r="CA220" s="632" t="e">
        <f t="shared" si="210"/>
        <v>#REF!</v>
      </c>
      <c r="CB220" s="632" t="e">
        <f t="shared" si="210"/>
        <v>#REF!</v>
      </c>
      <c r="CC220" s="632" t="e">
        <f t="shared" si="210"/>
        <v>#REF!</v>
      </c>
      <c r="CD220" s="632" t="e">
        <f t="shared" si="210"/>
        <v>#REF!</v>
      </c>
      <c r="CE220" s="632" t="e">
        <f t="shared" si="210"/>
        <v>#REF!</v>
      </c>
      <c r="CF220" s="632" t="e">
        <f t="shared" si="210"/>
        <v>#REF!</v>
      </c>
      <c r="CG220" s="632" t="e">
        <f t="shared" si="210"/>
        <v>#REF!</v>
      </c>
      <c r="CH220" s="632" t="e">
        <f t="shared" si="210"/>
        <v>#REF!</v>
      </c>
      <c r="CI220" s="632" t="e">
        <f t="shared" si="210"/>
        <v>#REF!</v>
      </c>
      <c r="CJ220" s="632" t="e">
        <f t="shared" si="210"/>
        <v>#REF!</v>
      </c>
      <c r="CK220" s="632" t="e">
        <f t="shared" si="210"/>
        <v>#REF!</v>
      </c>
      <c r="CL220" s="632" t="e">
        <f t="shared" si="210"/>
        <v>#REF!</v>
      </c>
      <c r="CM220" s="632" t="e">
        <f t="shared" si="210"/>
        <v>#REF!</v>
      </c>
      <c r="CN220" s="632" t="e">
        <f t="shared" si="210"/>
        <v>#REF!</v>
      </c>
      <c r="CO220" s="632" t="e">
        <f t="shared" si="211"/>
        <v>#REF!</v>
      </c>
      <c r="CP220" s="632" t="e">
        <f t="shared" si="211"/>
        <v>#REF!</v>
      </c>
      <c r="CQ220" s="632" t="e">
        <f t="shared" si="211"/>
        <v>#REF!</v>
      </c>
      <c r="CR220" s="632" t="e">
        <f t="shared" si="211"/>
        <v>#REF!</v>
      </c>
      <c r="CS220" s="632" t="e">
        <f t="shared" si="211"/>
        <v>#REF!</v>
      </c>
      <c r="CT220" s="632" t="e">
        <f t="shared" si="211"/>
        <v>#REF!</v>
      </c>
      <c r="CU220" s="632" t="e">
        <f t="shared" si="211"/>
        <v>#REF!</v>
      </c>
      <c r="CV220" s="632" t="e">
        <f t="shared" si="211"/>
        <v>#REF!</v>
      </c>
      <c r="CW220" s="632" t="e">
        <f t="shared" si="211"/>
        <v>#REF!</v>
      </c>
      <c r="CX220" s="632" t="e">
        <f t="shared" si="211"/>
        <v>#REF!</v>
      </c>
      <c r="CY220" s="632" t="e">
        <f t="shared" si="211"/>
        <v>#REF!</v>
      </c>
      <c r="CZ220" s="632" t="e">
        <f t="shared" si="211"/>
        <v>#REF!</v>
      </c>
      <c r="DA220" s="632" t="e">
        <f t="shared" si="211"/>
        <v>#REF!</v>
      </c>
      <c r="DB220" s="632" t="e">
        <f t="shared" si="211"/>
        <v>#REF!</v>
      </c>
      <c r="DC220" s="632" t="e">
        <f t="shared" si="211"/>
        <v>#REF!</v>
      </c>
      <c r="DD220" s="632" t="e">
        <f t="shared" si="211"/>
        <v>#REF!</v>
      </c>
      <c r="DE220" s="632" t="e">
        <f t="shared" si="212"/>
        <v>#REF!</v>
      </c>
      <c r="DF220" s="632" t="e">
        <f t="shared" si="212"/>
        <v>#REF!</v>
      </c>
      <c r="DG220" s="632" t="e">
        <f t="shared" si="212"/>
        <v>#REF!</v>
      </c>
    </row>
    <row r="221" spans="1:111" hidden="1">
      <c r="B221" s="2440" t="s">
        <v>5785</v>
      </c>
      <c r="C221" s="2441"/>
      <c r="D221" s="1927"/>
      <c r="E221" s="1927"/>
      <c r="F221" s="1927"/>
      <c r="G221" s="1927"/>
      <c r="H221" s="1927"/>
      <c r="I221" s="1928" t="e">
        <f>((#REF!-$I$4)/1000)*$M$70*(($C$8/70)^$W$70)*IF($C$13=1,$AF$71,IF($C$13=2,$AG$71,IF($C$13=3,$AH$71,1)))</f>
        <v>#REF!</v>
      </c>
      <c r="J221" s="1928" t="e">
        <f>((#REF!-$I$4)/1000)*$M$70*(($C$8/70)^$W$70)*IF($C$13=1,$AF$71,IF($C$13=2,$AG$71,IF($C$13=3,$AH$71,1)))</f>
        <v>#REF!</v>
      </c>
      <c r="K221" s="1928" t="e">
        <f>((#REF!-$I$4)/1000)*$M$70*(($C$8/70)^$W$70)*IF($C$13=1,$AF$71,IF($C$13=2,$AG$71,IF($C$13=3,$AH$71,1)))</f>
        <v>#REF!</v>
      </c>
      <c r="L221" s="1928" t="e">
        <f>((#REF!-$I$4)/1000)*$M$70*(($C$8/70)^$W$70)*IF($C$13=1,$AF$71,IF($C$13=2,$AG$71,IF($C$13=3,$AH$71,1)))</f>
        <v>#REF!</v>
      </c>
      <c r="M221" s="1928" t="e">
        <f>((#REF!-$I$4)/1000)*$M$70*(($C$8/70)^$W$70)*IF($C$13=1,$AF$71,IF($C$13=2,$AG$71,IF($C$13=3,$AH$71,1)))</f>
        <v>#REF!</v>
      </c>
      <c r="N221" s="1928" t="e">
        <f>((#REF!-$I$4)/1000)*$M$70*(($C$8/70)^$W$70)*IF($C$13=1,$AF$71,IF($C$13=2,$AG$71,IF($C$13=3,$AH$71,1)))</f>
        <v>#REF!</v>
      </c>
      <c r="O221" s="1928" t="e">
        <f>((#REF!-$I$4)/1000)*$M$70*(($C$8/70)^$W$70)*IF($C$13=1,$AF$71,IF($C$13=2,$AG$71,IF($C$13=3,$AH$71,1)))</f>
        <v>#REF!</v>
      </c>
      <c r="P221" s="1928" t="e">
        <f>((#REF!-$I$4)/1000)*$M$70*(($C$8/70)^$W$70)*IF($C$13=1,$AF$71,IF($C$13=2,$AG$71,IF($C$13=3,$AH$71,1)))</f>
        <v>#REF!</v>
      </c>
      <c r="Q221" s="1928" t="e">
        <f>((#REF!-$I$4)/1000)*$M$70*(($C$8/70)^$W$70)*IF($C$13=1,$AF$71,IF($C$13=2,$AG$71,IF($C$13=3,$AH$71,1)))</f>
        <v>#REF!</v>
      </c>
      <c r="R221" s="1928" t="e">
        <f>((#REF!-$I$4)/1000)*$M$70*(($C$8/70)^$W$70)*IF($C$13=1,$AF$71,IF($C$13=2,$AG$71,IF($C$13=3,$AH$71,1)))</f>
        <v>#REF!</v>
      </c>
      <c r="S221" s="1928" t="e">
        <f>((#REF!-$I$4)/1000)*$M$70*(($C$8/70)^$W$70)*IF($C$13=1,$AF$71,IF($C$13=2,$AG$71,IF($C$13=3,$AH$71,1)))</f>
        <v>#REF!</v>
      </c>
      <c r="T221" s="1928" t="e">
        <f>((#REF!-$I$4)/1000)*$M$70*(($C$8/70)^$W$70)*IF($C$13=1,$AF$71,IF($C$13=2,$AG$71,IF($C$13=3,$AH$71,1)))</f>
        <v>#REF!</v>
      </c>
      <c r="U221" s="1928" t="e">
        <f>((#REF!-$I$4)/1000)*$M$70*(($C$8/70)^$W$70)*IF($C$13=1,$AF$71,IF($C$13=2,$AG$71,IF($C$13=3,$AH$71,1)))</f>
        <v>#REF!</v>
      </c>
      <c r="V221" s="1928" t="e">
        <f>((#REF!-$I$4)/1000)*$M$70*(($C$8/70)^$W$70)*IF($C$13=1,$AF$71,IF($C$13=2,$AG$71,IF($C$13=3,$AH$71,1)))</f>
        <v>#REF!</v>
      </c>
      <c r="W221" s="1928" t="e">
        <f>((#REF!-$I$4)/1000)*$M$70*(($C$8/70)^$W$70)*IF($C$13=1,$AF$71,IF($C$13=2,$AG$71,IF($C$13=3,$AH$71,1)))</f>
        <v>#REF!</v>
      </c>
      <c r="X221" s="1928" t="e">
        <f>((#REF!-$I$4)/1000)*$M$70*(($C$8/70)^$W$70)*IF($C$13=1,$AF$71,IF($C$13=2,$AG$71,IF($C$13=3,$AH$71,1)))</f>
        <v>#REF!</v>
      </c>
      <c r="Y221" s="1928" t="e">
        <f>((#REF!-$I$4)/1000)*$M$70*(($C$8/70)^$W$70)*IF($C$13=1,$AF$71,IF($C$13=2,$AG$71,IF($C$13=3,$AH$71,1)))</f>
        <v>#REF!</v>
      </c>
      <c r="Z221" s="1928" t="e">
        <f>((#REF!-$I$4)/1000)*$M$70*(($C$8/70)^$W$70)*IF($C$13=1,$AF$71,IF($C$13=2,$AG$71,IF($C$13=3,$AH$71,1)))</f>
        <v>#REF!</v>
      </c>
      <c r="AA221" s="1928" t="e">
        <f>((#REF!-$I$4)/1000)*$M$70*(($C$8/70)^$W$70)*IF($C$13=1,$AF$71,IF($C$13=2,$AG$71,IF($C$13=3,$AH$71,1)))</f>
        <v>#REF!</v>
      </c>
      <c r="AB221" s="1928" t="e">
        <f>((#REF!-$I$4)/1000)*$M$70*(($C$8/70)^$W$70)*IF($C$13=1,$AF$71,IF($C$13=2,$AG$71,IF($C$13=3,$AH$71,1)))</f>
        <v>#REF!</v>
      </c>
      <c r="AC221" s="1928" t="e">
        <f>((#REF!-$I$4)/1000)*$M$70*(($C$8/70)^$W$70)*IF($C$13=1,$AF$71,IF($C$13=2,$AG$71,IF($C$13=3,$AH$71,1)))</f>
        <v>#REF!</v>
      </c>
      <c r="AD221" s="1928" t="e">
        <f>((#REF!-$I$4)/1000)*$M$70*(($C$8/70)^$W$70)*IF($C$13=1,$AF$71,IF($C$13=2,$AG$71,IF($C$13=3,$AH$71,1)))</f>
        <v>#REF!</v>
      </c>
      <c r="AE221" s="1928" t="e">
        <f>((#REF!-$I$4)/1000)*$M$70*(($C$8/70)^$W$70)*IF($C$13=1,$AF$71,IF($C$13=2,$AG$71,IF($C$13=3,$AH$71,1)))</f>
        <v>#REF!</v>
      </c>
      <c r="AF221" s="1928" t="e">
        <f>((#REF!-$I$4)/1000)*$M$70*(($C$8/70)^$W$70)*IF($C$13=1,$AF$71,IF($C$13=2,$AG$71,IF($C$13=3,$AH$71,1)))</f>
        <v>#REF!</v>
      </c>
      <c r="AG221" s="1928" t="e">
        <f>((#REF!-$I$4)/1000)*$M$70*(($C$8/70)^$W$70)*IF($C$13=1,$AF$71,IF($C$13=2,$AG$71,IF($C$13=3,$AH$71,1)))</f>
        <v>#REF!</v>
      </c>
      <c r="AH221" s="1928" t="e">
        <f>((#REF!-$I$4)/1000)*$M$70*(($C$8/70)^$W$70)*IF($C$13=1,$AF$71,IF($C$13=2,$AG$71,IF($C$13=3,$AH$71,1)))</f>
        <v>#REF!</v>
      </c>
      <c r="AI221" s="1928" t="e">
        <f>((#REF!-$I$4)/1000)*$M$70*(($C$8/70)^$W$70)*IF($C$13=1,$AF$71,IF($C$13=2,$AG$71,IF($C$13=3,$AH$71,1)))</f>
        <v>#REF!</v>
      </c>
      <c r="AJ221" s="1928" t="e">
        <f>((#REF!-$I$4)/1000)*$M$70*(($C$8/70)^$W$70)*IF($C$13=1,$AF$71,IF($C$13=2,$AG$71,IF($C$13=3,$AH$71,1)))</f>
        <v>#REF!</v>
      </c>
      <c r="AK221" s="1928" t="e">
        <f>((#REF!-$I$4)/1000)*$M$70*(($C$8/70)^$W$70)*IF($C$13=1,$AF$71,IF($C$13=2,$AG$71,IF($C$13=3,$AH$71,1)))</f>
        <v>#REF!</v>
      </c>
      <c r="AL221" s="1928" t="e">
        <f>((#REF!-$I$4)/1000)*$M$70*(($C$8/70)^$W$70)*IF($C$13=1,$AF$71,IF($C$13=2,$AG$71,IF($C$13=3,$AH$71,1)))</f>
        <v>#REF!</v>
      </c>
      <c r="AM221" s="1928" t="e">
        <f>((#REF!-$I$4)/1000)*$M$70*(($C$8/70)^$W$70)*IF($C$13=1,$AF$71,IF($C$13=2,$AG$71,IF($C$13=3,$AH$71,1)))</f>
        <v>#REF!</v>
      </c>
      <c r="AN221" s="1928" t="e">
        <f>((#REF!-$I$4)/1000)*$M$70*(($C$8/70)^$W$70)*IF($C$13=1,$AF$71,IF($C$13=2,$AG$71,IF($C$13=3,$AH$71,1)))</f>
        <v>#REF!</v>
      </c>
      <c r="AO221" s="1928" t="e">
        <f>((#REF!-$I$4)/1000)*$M$70*(($C$8/70)^$W$70)*IF($C$13=1,$AF$71,IF($C$13=2,$AG$71,IF($C$13=3,$AH$71,1)))</f>
        <v>#REF!</v>
      </c>
      <c r="AP221" s="1928" t="e">
        <f>((#REF!-$I$4)/1000)*$M$70*(($C$8/70)^$W$70)*IF($C$13=1,$AF$71,IF($C$13=2,$AG$71,IF($C$13=3,$AH$71,1)))</f>
        <v>#REF!</v>
      </c>
      <c r="AQ221" s="1928" t="e">
        <f>((#REF!-$I$4)/1000)*$M$70*(($C$8/70)^$W$70)*IF($C$13=1,$AF$71,IF($C$13=2,$AG$71,IF($C$13=3,$AH$71,1)))</f>
        <v>#REF!</v>
      </c>
      <c r="AR221" s="1928" t="e">
        <f>((#REF!-$I$4)/1000)*$M$70*(($C$8/70)^$W$70)*IF($C$13=1,$AF$71,IF($C$13=2,$AG$71,IF($C$13=3,$AH$71,1)))</f>
        <v>#REF!</v>
      </c>
      <c r="AS221" s="1928" t="e">
        <f>((#REF!-$I$4)/1000)*$M$70*(($C$8/70)^$W$70)*IF($C$13=1,$AF$71,IF($C$13=2,$AG$71,IF($C$13=3,$AH$71,1)))</f>
        <v>#REF!</v>
      </c>
      <c r="AT221" s="1928" t="e">
        <f>((#REF!-$I$4)/1000)*$M$70*(($C$8/70)^$W$70)*IF($C$13=1,$AF$71,IF($C$13=2,$AG$71,IF($C$13=3,$AH$71,1)))</f>
        <v>#REF!</v>
      </c>
      <c r="AU221" s="1928" t="e">
        <f>((#REF!-$I$4)/1000)*$M$70*(($C$8/70)^$W$70)*IF($C$13=1,$AF$71,IF($C$13=2,$AG$71,IF($C$13=3,$AH$71,1)))</f>
        <v>#REF!</v>
      </c>
      <c r="AV221" s="1928" t="e">
        <f>((#REF!-$I$4)/1000)*$M$70*(($C$8/70)^$W$70)*IF($C$13=1,$AF$71,IF($C$13=2,$AG$71,IF($C$13=3,$AH$71,1)))</f>
        <v>#REF!</v>
      </c>
      <c r="AW221" s="1928" t="e">
        <f>((#REF!-$I$4)/1000)*$M$70*(($C$8/70)^$W$70)*IF($C$13=1,$AF$71,IF($C$13=2,$AG$71,IF($C$13=3,$AH$71,1)))</f>
        <v>#REF!</v>
      </c>
      <c r="AX221" s="1928" t="e">
        <f>((#REF!-$I$4)/1000)*$M$70*(($C$8/70)^$W$70)*IF($C$13=1,$AF$71,IF($C$13=2,$AG$71,IF($C$13=3,$AH$71,1)))</f>
        <v>#REF!</v>
      </c>
      <c r="AY221" s="1928" t="e">
        <f>((#REF!-$I$4)/1000)*$M$70*(($C$8/70)^$W$70)*IF($C$13=1,$AF$71,IF($C$13=2,$AG$71,IF($C$13=3,$AH$71,1)))</f>
        <v>#REF!</v>
      </c>
      <c r="AZ221" s="1928" t="e">
        <f>((#REF!-$I$4)/1000)*$M$70*(($C$8/70)^$W$70)*IF($C$13=1,$AF$71,IF($C$13=2,$AG$71,IF($C$13=3,$AH$71,1)))</f>
        <v>#REF!</v>
      </c>
      <c r="BA221" s="1928" t="e">
        <f>((#REF!-$I$4)/1000)*$M$70*(($C$8/70)^$W$70)*IF($C$13=1,$AF$71,IF($C$13=2,$AG$71,IF($C$13=3,$AH$71,1)))</f>
        <v>#REF!</v>
      </c>
      <c r="BB221" s="1928" t="e">
        <f>((#REF!-$I$4)/1000)*$M$70*(($C$8/70)^$W$70)*IF($C$13=1,$AF$71,IF($C$13=2,$AG$71,IF($C$13=3,$AH$71,1)))</f>
        <v>#REF!</v>
      </c>
      <c r="BC221" s="1928" t="e">
        <f>((#REF!-$I$4)/1000)*$M$70*(($C$8/70)^$W$70)*IF($C$13=1,$AF$71,IF($C$13=2,$AG$71,IF($C$13=3,$AH$71,1)))</f>
        <v>#REF!</v>
      </c>
      <c r="BD221" s="1928" t="e">
        <f>((#REF!-$I$4)/1000)*$M$70*(($C$8/70)^$W$70)*IF($C$13=1,$AF$71,IF($C$13=2,$AG$71,IF($C$13=3,$AH$71,1)))</f>
        <v>#REF!</v>
      </c>
      <c r="BE221" s="1928" t="e">
        <f>((#REF!-$I$4)/1000)*$M$70*(($C$8/70)^$W$70)*IF($C$13=1,$AF$71,IF($C$13=2,$AG$71,IF($C$13=3,$AH$71,1)))</f>
        <v>#REF!</v>
      </c>
      <c r="BF221" s="1928" t="e">
        <f>((#REF!-$I$4)/1000)*$M$70*(($C$8/70)^$W$70)*IF($C$13=1,$AF$71,IF($C$13=2,$AG$71,IF($C$13=3,$AH$71,1)))</f>
        <v>#REF!</v>
      </c>
      <c r="BG221" s="1928" t="e">
        <f>((#REF!-$I$4)/1000)*$M$70*(($C$8/70)^$W$70)*IF($C$13=1,$AF$71,IF($C$13=2,$AG$71,IF($C$13=3,$AH$71,1)))</f>
        <v>#REF!</v>
      </c>
      <c r="BI221" s="632" t="e">
        <f>#REF!/I221</f>
        <v>#REF!</v>
      </c>
      <c r="BJ221" s="632" t="e">
        <f>#REF!/J221</f>
        <v>#REF!</v>
      </c>
      <c r="BK221" s="632" t="e">
        <f>#REF!/K221</f>
        <v>#REF!</v>
      </c>
      <c r="BL221" s="632" t="e">
        <f>#REF!/L221</f>
        <v>#REF!</v>
      </c>
      <c r="BM221" s="632" t="e">
        <f>#REF!/M221</f>
        <v>#REF!</v>
      </c>
      <c r="BN221" s="632" t="e">
        <f>#REF!/N221</f>
        <v>#REF!</v>
      </c>
      <c r="BO221" s="632" t="e">
        <f>#REF!/O221</f>
        <v>#REF!</v>
      </c>
      <c r="BP221" s="632" t="e">
        <f>#REF!/P221</f>
        <v>#REF!</v>
      </c>
      <c r="BQ221" s="632" t="e">
        <f>#REF!/Q221</f>
        <v>#REF!</v>
      </c>
      <c r="BR221" s="632" t="e">
        <f>#REF!/R221</f>
        <v>#REF!</v>
      </c>
      <c r="BS221" s="632" t="e">
        <f>#REF!/S221</f>
        <v>#REF!</v>
      </c>
      <c r="BT221" s="632" t="e">
        <f>#REF!/T221</f>
        <v>#REF!</v>
      </c>
      <c r="BU221" s="632" t="e">
        <f>#REF!/U221</f>
        <v>#REF!</v>
      </c>
      <c r="BV221" s="632" t="e">
        <f>#REF!/V221</f>
        <v>#REF!</v>
      </c>
      <c r="BW221" s="632" t="e">
        <f>#REF!/W221</f>
        <v>#REF!</v>
      </c>
      <c r="BX221" s="632" t="e">
        <f>#REF!/X221</f>
        <v>#REF!</v>
      </c>
      <c r="BY221" s="632" t="e">
        <f>#REF!/Y221</f>
        <v>#REF!</v>
      </c>
      <c r="BZ221" s="632" t="e">
        <f>#REF!/Z221</f>
        <v>#REF!</v>
      </c>
      <c r="CA221" s="632" t="e">
        <f>#REF!/AA221</f>
        <v>#REF!</v>
      </c>
      <c r="CB221" s="632" t="e">
        <f>#REF!/AB221</f>
        <v>#REF!</v>
      </c>
      <c r="CC221" s="632" t="e">
        <f>#REF!/AC221</f>
        <v>#REF!</v>
      </c>
      <c r="CD221" s="632" t="e">
        <f>#REF!/AD221</f>
        <v>#REF!</v>
      </c>
      <c r="CE221" s="632" t="e">
        <f>#REF!/AE221</f>
        <v>#REF!</v>
      </c>
      <c r="CF221" s="632" t="e">
        <f>#REF!/AF221</f>
        <v>#REF!</v>
      </c>
      <c r="CG221" s="632" t="e">
        <f>#REF!/AG221</f>
        <v>#REF!</v>
      </c>
      <c r="CH221" s="632" t="e">
        <f>#REF!/AH221</f>
        <v>#REF!</v>
      </c>
      <c r="CI221" s="632" t="e">
        <f>#REF!/AI221</f>
        <v>#REF!</v>
      </c>
      <c r="CJ221" s="632" t="e">
        <f>#REF!/AJ221</f>
        <v>#REF!</v>
      </c>
      <c r="CK221" s="632" t="e">
        <f>#REF!/AK221</f>
        <v>#REF!</v>
      </c>
      <c r="CL221" s="632" t="e">
        <f>#REF!/AL221</f>
        <v>#REF!</v>
      </c>
      <c r="CM221" s="632" t="e">
        <f>#REF!/AM221</f>
        <v>#REF!</v>
      </c>
      <c r="CN221" s="632" t="e">
        <f>#REF!/AN221</f>
        <v>#REF!</v>
      </c>
      <c r="CO221" s="632" t="e">
        <f>#REF!/AO221</f>
        <v>#REF!</v>
      </c>
      <c r="CP221" s="632" t="e">
        <f>#REF!/AP221</f>
        <v>#REF!</v>
      </c>
      <c r="CQ221" s="632" t="e">
        <f>#REF!/AQ221</f>
        <v>#REF!</v>
      </c>
      <c r="CR221" s="632" t="e">
        <f>#REF!/AR221</f>
        <v>#REF!</v>
      </c>
      <c r="CS221" s="632" t="e">
        <f>#REF!/AS221</f>
        <v>#REF!</v>
      </c>
      <c r="CT221" s="632" t="e">
        <f>#REF!/AT221</f>
        <v>#REF!</v>
      </c>
      <c r="CU221" s="632" t="e">
        <f>#REF!/AU221</f>
        <v>#REF!</v>
      </c>
      <c r="CV221" s="632" t="e">
        <f>#REF!/AV221</f>
        <v>#REF!</v>
      </c>
      <c r="CW221" s="632" t="e">
        <f>#REF!/AW221</f>
        <v>#REF!</v>
      </c>
      <c r="CX221" s="632" t="e">
        <f>#REF!/AX221</f>
        <v>#REF!</v>
      </c>
      <c r="CY221" s="632" t="e">
        <f>#REF!/AY221</f>
        <v>#REF!</v>
      </c>
      <c r="CZ221" s="632" t="e">
        <f>#REF!/AZ221</f>
        <v>#REF!</v>
      </c>
      <c r="DA221" s="632" t="e">
        <f>#REF!/BA221</f>
        <v>#REF!</v>
      </c>
      <c r="DB221" s="632" t="e">
        <f>#REF!/BB221</f>
        <v>#REF!</v>
      </c>
      <c r="DC221" s="632" t="e">
        <f>#REF!/BC221</f>
        <v>#REF!</v>
      </c>
      <c r="DD221" s="632" t="e">
        <f>#REF!/BD221</f>
        <v>#REF!</v>
      </c>
      <c r="DE221" s="632" t="e">
        <f>#REF!/BE221</f>
        <v>#REF!</v>
      </c>
      <c r="DF221" s="632" t="e">
        <f>#REF!/BF221</f>
        <v>#REF!</v>
      </c>
      <c r="DG221" s="632" t="e">
        <f>#REF!/BG221</f>
        <v>#REF!</v>
      </c>
    </row>
    <row r="222" spans="1:111" hidden="1">
      <c r="B222" s="2440" t="s">
        <v>5786</v>
      </c>
      <c r="C222" s="2441"/>
      <c r="D222" s="1927"/>
      <c r="E222" s="1927"/>
      <c r="F222" s="1927"/>
      <c r="G222" s="1927"/>
      <c r="H222" s="1927"/>
      <c r="I222" s="1928" t="e">
        <f>((#REF!-$I$4)/1000)*$N$70*(($C$8/70)^$X$70)*IF($C$13=1,$AF$69,IF($C$13=2,$AG$69,IF($C$13=3,$AH$69,1)))</f>
        <v>#REF!</v>
      </c>
      <c r="J222" s="1928" t="e">
        <f>((#REF!-$I$4)/1000)*$N$70*(($C$8/70)^$X$70)*IF($C$13=1,$AF$69,IF($C$13=2,$AG$69,IF($C$13=3,$AH$69,1)))</f>
        <v>#REF!</v>
      </c>
      <c r="K222" s="1928" t="e">
        <f>((#REF!-$I$4)/1000)*$N$70*(($C$8/70)^$X$70)*IF($C$13=1,$AF$69,IF($C$13=2,$AG$69,IF($C$13=3,$AH$69,1)))</f>
        <v>#REF!</v>
      </c>
      <c r="L222" s="1928" t="e">
        <f>((#REF!-$I$4)/1000)*$N$70*(($C$8/70)^$X$70)*IF($C$13=1,$AF$69,IF($C$13=2,$AG$69,IF($C$13=3,$AH$69,1)))</f>
        <v>#REF!</v>
      </c>
      <c r="M222" s="1928" t="e">
        <f>((#REF!-$I$4)/1000)*$N$70*(($C$8/70)^$X$70)*IF($C$13=1,$AF$69,IF($C$13=2,$AG$69,IF($C$13=3,$AH$69,1)))</f>
        <v>#REF!</v>
      </c>
      <c r="N222" s="1928" t="e">
        <f>((#REF!-$I$4)/1000)*$N$70*(($C$8/70)^$X$70)*IF($C$13=1,$AF$69,IF($C$13=2,$AG$69,IF($C$13=3,$AH$69,1)))</f>
        <v>#REF!</v>
      </c>
      <c r="O222" s="1928" t="e">
        <f>((#REF!-$I$4)/1000)*$N$70*(($C$8/70)^$X$70)*IF($C$13=1,$AF$69,IF($C$13=2,$AG$69,IF($C$13=3,$AH$69,1)))</f>
        <v>#REF!</v>
      </c>
      <c r="P222" s="1928" t="e">
        <f>((#REF!-$I$4)/1000)*$N$70*(($C$8/70)^$X$70)*IF($C$13=1,$AF$69,IF($C$13=2,$AG$69,IF($C$13=3,$AH$69,1)))</f>
        <v>#REF!</v>
      </c>
      <c r="Q222" s="1928" t="e">
        <f>((#REF!-$I$4)/1000)*$N$70*(($C$8/70)^$X$70)*IF($C$13=1,$AF$69,IF($C$13=2,$AG$69,IF($C$13=3,$AH$69,1)))</f>
        <v>#REF!</v>
      </c>
      <c r="R222" s="1928" t="e">
        <f>((#REF!-$I$4)/1000)*$N$70*(($C$8/70)^$X$70)*IF($C$13=1,$AF$69,IF($C$13=2,$AG$69,IF($C$13=3,$AH$69,1)))</f>
        <v>#REF!</v>
      </c>
      <c r="S222" s="1928" t="e">
        <f>((#REF!-$I$4)/1000)*$N$70*(($C$8/70)^$X$70)*IF($C$13=1,$AF$69,IF($C$13=2,$AG$69,IF($C$13=3,$AH$69,1)))</f>
        <v>#REF!</v>
      </c>
      <c r="T222" s="1928" t="e">
        <f>((#REF!-$I$4)/1000)*$N$70*(($C$8/70)^$X$70)*IF($C$13=1,$AF$69,IF($C$13=2,$AG$69,IF($C$13=3,$AH$69,1)))</f>
        <v>#REF!</v>
      </c>
      <c r="U222" s="1928" t="e">
        <f>((#REF!-$I$4)/1000)*$N$70*(($C$8/70)^$X$70)*IF($C$13=1,$AF$69,IF($C$13=2,$AG$69,IF($C$13=3,$AH$69,1)))</f>
        <v>#REF!</v>
      </c>
      <c r="V222" s="1928" t="e">
        <f>((#REF!-$I$4)/1000)*$N$70*(($C$8/70)^$X$70)*IF($C$13=1,$AF$69,IF($C$13=2,$AG$69,IF($C$13=3,$AH$69,1)))</f>
        <v>#REF!</v>
      </c>
      <c r="W222" s="1928" t="e">
        <f>((#REF!-$I$4)/1000)*$N$70*(($C$8/70)^$X$70)*IF($C$13=1,$AF$69,IF($C$13=2,$AG$69,IF($C$13=3,$AH$69,1)))</f>
        <v>#REF!</v>
      </c>
      <c r="X222" s="1928" t="e">
        <f>((#REF!-$I$4)/1000)*$N$70*(($C$8/70)^$X$70)*IF($C$13=1,$AF$69,IF($C$13=2,$AG$69,IF($C$13=3,$AH$69,1)))</f>
        <v>#REF!</v>
      </c>
      <c r="Y222" s="1928" t="e">
        <f>((#REF!-$I$4)/1000)*$N$70*(($C$8/70)^$X$70)*IF($C$13=1,$AF$69,IF($C$13=2,$AG$69,IF($C$13=3,$AH$69,1)))</f>
        <v>#REF!</v>
      </c>
      <c r="Z222" s="1928" t="e">
        <f>((#REF!-$I$4)/1000)*$N$70*(($C$8/70)^$X$70)*IF($C$13=1,$AF$69,IF($C$13=2,$AG$69,IF($C$13=3,$AH$69,1)))</f>
        <v>#REF!</v>
      </c>
      <c r="AA222" s="1928" t="e">
        <f>((#REF!-$I$4)/1000)*$N$70*(($C$8/70)^$X$70)*IF($C$13=1,$AF$69,IF($C$13=2,$AG$69,IF($C$13=3,$AH$69,1)))</f>
        <v>#REF!</v>
      </c>
      <c r="AB222" s="1928" t="e">
        <f>((#REF!-$I$4)/1000)*$N$70*(($C$8/70)^$X$70)*IF($C$13=1,$AF$69,IF($C$13=2,$AG$69,IF($C$13=3,$AH$69,1)))</f>
        <v>#REF!</v>
      </c>
      <c r="AC222" s="1928" t="e">
        <f>((#REF!-$I$4)/1000)*$N$70*(($C$8/70)^$X$70)*IF($C$13=1,$AF$69,IF($C$13=2,$AG$69,IF($C$13=3,$AH$69,1)))</f>
        <v>#REF!</v>
      </c>
      <c r="AD222" s="1928" t="e">
        <f>((#REF!-$I$4)/1000)*$N$70*(($C$8/70)^$X$70)*IF($C$13=1,$AF$69,IF($C$13=2,$AG$69,IF($C$13=3,$AH$69,1)))</f>
        <v>#REF!</v>
      </c>
      <c r="AE222" s="1928" t="e">
        <f>((#REF!-$I$4)/1000)*$N$70*(($C$8/70)^$X$70)*IF($C$13=1,$AF$69,IF($C$13=2,$AG$69,IF($C$13=3,$AH$69,1)))</f>
        <v>#REF!</v>
      </c>
      <c r="AF222" s="1928" t="e">
        <f>((#REF!-$I$4)/1000)*$N$70*(($C$8/70)^$X$70)*IF($C$13=1,$AF$69,IF($C$13=2,$AG$69,IF($C$13=3,$AH$69,1)))</f>
        <v>#REF!</v>
      </c>
      <c r="AG222" s="1928" t="e">
        <f>((#REF!-$I$4)/1000)*$N$70*(($C$8/70)^$X$70)*IF($C$13=1,$AF$69,IF($C$13=2,$AG$69,IF($C$13=3,$AH$69,1)))</f>
        <v>#REF!</v>
      </c>
      <c r="AH222" s="1928" t="e">
        <f>((#REF!-$I$4)/1000)*$N$70*(($C$8/70)^$X$70)*IF($C$13=1,$AF$69,IF($C$13=2,$AG$69,IF($C$13=3,$AH$69,1)))</f>
        <v>#REF!</v>
      </c>
      <c r="AI222" s="1928" t="e">
        <f>((#REF!-$I$4)/1000)*$N$70*(($C$8/70)^$X$70)*IF($C$13=1,$AF$69,IF($C$13=2,$AG$69,IF($C$13=3,$AH$69,1)))</f>
        <v>#REF!</v>
      </c>
      <c r="AJ222" s="1928" t="e">
        <f>((#REF!-$I$4)/1000)*$N$70*(($C$8/70)^$X$70)*IF($C$13=1,$AF$69,IF($C$13=2,$AG$69,IF($C$13=3,$AH$69,1)))</f>
        <v>#REF!</v>
      </c>
      <c r="AK222" s="1928" t="e">
        <f>((#REF!-$I$4)/1000)*$N$70*(($C$8/70)^$X$70)*IF($C$13=1,$AF$69,IF($C$13=2,$AG$69,IF($C$13=3,$AH$69,1)))</f>
        <v>#REF!</v>
      </c>
      <c r="AL222" s="1928" t="e">
        <f>((#REF!-$I$4)/1000)*$N$70*(($C$8/70)^$X$70)*IF($C$13=1,$AF$69,IF($C$13=2,$AG$69,IF($C$13=3,$AH$69,1)))</f>
        <v>#REF!</v>
      </c>
      <c r="AM222" s="1928" t="e">
        <f>((#REF!-$I$4)/1000)*$N$70*(($C$8/70)^$X$70)*IF($C$13=1,$AF$69,IF($C$13=2,$AG$69,IF($C$13=3,$AH$69,1)))</f>
        <v>#REF!</v>
      </c>
      <c r="AN222" s="1928" t="e">
        <f>((#REF!-$I$4)/1000)*$N$70*(($C$8/70)^$X$70)*IF($C$13=1,$AF$69,IF($C$13=2,$AG$69,IF($C$13=3,$AH$69,1)))</f>
        <v>#REF!</v>
      </c>
      <c r="AO222" s="1928" t="e">
        <f>((#REF!-$I$4)/1000)*$N$70*(($C$8/70)^$X$70)*IF($C$13=1,$AF$69,IF($C$13=2,$AG$69,IF($C$13=3,$AH$69,1)))</f>
        <v>#REF!</v>
      </c>
      <c r="AP222" s="1928" t="e">
        <f>((#REF!-$I$4)/1000)*$N$70*(($C$8/70)^$X$70)*IF($C$13=1,$AF$69,IF($C$13=2,$AG$69,IF($C$13=3,$AH$69,1)))</f>
        <v>#REF!</v>
      </c>
      <c r="AQ222" s="1928" t="e">
        <f>((#REF!-$I$4)/1000)*$N$70*(($C$8/70)^$X$70)*IF($C$13=1,$AF$69,IF($C$13=2,$AG$69,IF($C$13=3,$AH$69,1)))</f>
        <v>#REF!</v>
      </c>
      <c r="AR222" s="1928" t="e">
        <f>((#REF!-$I$4)/1000)*$N$70*(($C$8/70)^$X$70)*IF($C$13=1,$AF$69,IF($C$13=2,$AG$69,IF($C$13=3,$AH$69,1)))</f>
        <v>#REF!</v>
      </c>
      <c r="AS222" s="1928" t="e">
        <f>((#REF!-$I$4)/1000)*$N$70*(($C$8/70)^$X$70)*IF($C$13=1,$AF$69,IF($C$13=2,$AG$69,IF($C$13=3,$AH$69,1)))</f>
        <v>#REF!</v>
      </c>
      <c r="AT222" s="1928" t="e">
        <f>((#REF!-$I$4)/1000)*$N$70*(($C$8/70)^$X$70)*IF($C$13=1,$AF$69,IF($C$13=2,$AG$69,IF($C$13=3,$AH$69,1)))</f>
        <v>#REF!</v>
      </c>
      <c r="AU222" s="1928" t="e">
        <f>((#REF!-$I$4)/1000)*$N$70*(($C$8/70)^$X$70)*IF($C$13=1,$AF$69,IF($C$13=2,$AG$69,IF($C$13=3,$AH$69,1)))</f>
        <v>#REF!</v>
      </c>
      <c r="AV222" s="1928" t="e">
        <f>((#REF!-$I$4)/1000)*$N$70*(($C$8/70)^$X$70)*IF($C$13=1,$AF$69,IF($C$13=2,$AG$69,IF($C$13=3,$AH$69,1)))</f>
        <v>#REF!</v>
      </c>
      <c r="AW222" s="1928" t="e">
        <f>((#REF!-$I$4)/1000)*$N$70*(($C$8/70)^$X$70)*IF($C$13=1,$AF$69,IF($C$13=2,$AG$69,IF($C$13=3,$AH$69,1)))</f>
        <v>#REF!</v>
      </c>
      <c r="AX222" s="1928" t="e">
        <f>((#REF!-$I$4)/1000)*$N$70*(($C$8/70)^$X$70)*IF($C$13=1,$AF$69,IF($C$13=2,$AG$69,IF($C$13=3,$AH$69,1)))</f>
        <v>#REF!</v>
      </c>
      <c r="AY222" s="1928" t="e">
        <f>((#REF!-$I$4)/1000)*$N$70*(($C$8/70)^$X$70)*IF($C$13=1,$AF$69,IF($C$13=2,$AG$69,IF($C$13=3,$AH$69,1)))</f>
        <v>#REF!</v>
      </c>
      <c r="AZ222" s="1928" t="e">
        <f>((#REF!-$I$4)/1000)*$N$70*(($C$8/70)^$X$70)*IF($C$13=1,$AF$69,IF($C$13=2,$AG$69,IF($C$13=3,$AH$69,1)))</f>
        <v>#REF!</v>
      </c>
      <c r="BA222" s="1928" t="e">
        <f>((#REF!-$I$4)/1000)*$N$70*(($C$8/70)^$X$70)*IF($C$13=1,$AF$69,IF($C$13=2,$AG$69,IF($C$13=3,$AH$69,1)))</f>
        <v>#REF!</v>
      </c>
      <c r="BB222" s="1928" t="e">
        <f>((#REF!-$I$4)/1000)*$N$70*(($C$8/70)^$X$70)*IF($C$13=1,$AF$69,IF($C$13=2,$AG$69,IF($C$13=3,$AH$69,1)))</f>
        <v>#REF!</v>
      </c>
      <c r="BC222" s="1928" t="e">
        <f>((#REF!-$I$4)/1000)*$N$70*(($C$8/70)^$X$70)*IF($C$13=1,$AF$69,IF($C$13=2,$AG$69,IF($C$13=3,$AH$69,1)))</f>
        <v>#REF!</v>
      </c>
      <c r="BD222" s="1928" t="e">
        <f>((#REF!-$I$4)/1000)*$N$70*(($C$8/70)^$X$70)*IF($C$13=1,$AF$69,IF($C$13=2,$AG$69,IF($C$13=3,$AH$69,1)))</f>
        <v>#REF!</v>
      </c>
      <c r="BE222" s="1928" t="e">
        <f>((#REF!-$I$4)/1000)*$N$70*(($C$8/70)^$X$70)*IF($C$13=1,$AF$69,IF($C$13=2,$AG$69,IF($C$13=3,$AH$69,1)))</f>
        <v>#REF!</v>
      </c>
      <c r="BF222" s="1928" t="e">
        <f>((#REF!-$I$4)/1000)*$N$70*(($C$8/70)^$X$70)*IF($C$13=1,$AF$69,IF($C$13=2,$AG$69,IF($C$13=3,$AH$69,1)))</f>
        <v>#REF!</v>
      </c>
      <c r="BG222" s="1928" t="e">
        <f>((#REF!-$I$4)/1000)*$N$70*(($C$8/70)^$X$70)*IF($C$13=1,$AF$69,IF($C$13=2,$AG$69,IF($C$13=3,$AH$69,1)))</f>
        <v>#REF!</v>
      </c>
      <c r="BI222" s="632" t="e">
        <f>#REF!/I222</f>
        <v>#REF!</v>
      </c>
      <c r="BJ222" s="632" t="e">
        <f>#REF!/J222</f>
        <v>#REF!</v>
      </c>
      <c r="BK222" s="632" t="e">
        <f>#REF!/K222</f>
        <v>#REF!</v>
      </c>
      <c r="BL222" s="632" t="e">
        <f>#REF!/L222</f>
        <v>#REF!</v>
      </c>
      <c r="BM222" s="632" t="e">
        <f>#REF!/M222</f>
        <v>#REF!</v>
      </c>
      <c r="BN222" s="632" t="e">
        <f>#REF!/N222</f>
        <v>#REF!</v>
      </c>
      <c r="BO222" s="632" t="e">
        <f>#REF!/O222</f>
        <v>#REF!</v>
      </c>
      <c r="BP222" s="632" t="e">
        <f>#REF!/P222</f>
        <v>#REF!</v>
      </c>
      <c r="BQ222" s="632" t="e">
        <f>#REF!/Q222</f>
        <v>#REF!</v>
      </c>
      <c r="BR222" s="632" t="e">
        <f>#REF!/R222</f>
        <v>#REF!</v>
      </c>
      <c r="BS222" s="632" t="e">
        <f>#REF!/S222</f>
        <v>#REF!</v>
      </c>
      <c r="BT222" s="632" t="e">
        <f>#REF!/T222</f>
        <v>#REF!</v>
      </c>
      <c r="BU222" s="632" t="e">
        <f>#REF!/U222</f>
        <v>#REF!</v>
      </c>
      <c r="BV222" s="632" t="e">
        <f>#REF!/V222</f>
        <v>#REF!</v>
      </c>
      <c r="BW222" s="632" t="e">
        <f>#REF!/W222</f>
        <v>#REF!</v>
      </c>
      <c r="BX222" s="632" t="e">
        <f>#REF!/X222</f>
        <v>#REF!</v>
      </c>
      <c r="BY222" s="632" t="e">
        <f>#REF!/Y222</f>
        <v>#REF!</v>
      </c>
      <c r="BZ222" s="632" t="e">
        <f>#REF!/Z222</f>
        <v>#REF!</v>
      </c>
      <c r="CA222" s="632" t="e">
        <f>#REF!/AA222</f>
        <v>#REF!</v>
      </c>
      <c r="CB222" s="632" t="e">
        <f>#REF!/AB222</f>
        <v>#REF!</v>
      </c>
      <c r="CC222" s="632" t="e">
        <f>#REF!/AC222</f>
        <v>#REF!</v>
      </c>
      <c r="CD222" s="632" t="e">
        <f>#REF!/AD222</f>
        <v>#REF!</v>
      </c>
      <c r="CE222" s="632" t="e">
        <f>#REF!/AE222</f>
        <v>#REF!</v>
      </c>
      <c r="CF222" s="632" t="e">
        <f>#REF!/AF222</f>
        <v>#REF!</v>
      </c>
      <c r="CG222" s="632" t="e">
        <f>#REF!/AG222</f>
        <v>#REF!</v>
      </c>
      <c r="CH222" s="632" t="e">
        <f>#REF!/AH222</f>
        <v>#REF!</v>
      </c>
      <c r="CI222" s="632" t="e">
        <f>#REF!/AI222</f>
        <v>#REF!</v>
      </c>
      <c r="CJ222" s="632" t="e">
        <f>#REF!/AJ222</f>
        <v>#REF!</v>
      </c>
      <c r="CK222" s="632" t="e">
        <f>#REF!/AK222</f>
        <v>#REF!</v>
      </c>
      <c r="CL222" s="632" t="e">
        <f>#REF!/AL222</f>
        <v>#REF!</v>
      </c>
      <c r="CM222" s="632" t="e">
        <f>#REF!/AM222</f>
        <v>#REF!</v>
      </c>
      <c r="CN222" s="632" t="e">
        <f>#REF!/AN222</f>
        <v>#REF!</v>
      </c>
      <c r="CO222" s="632" t="e">
        <f>#REF!/AO222</f>
        <v>#REF!</v>
      </c>
      <c r="CP222" s="632" t="e">
        <f>#REF!/AP222</f>
        <v>#REF!</v>
      </c>
      <c r="CQ222" s="632" t="e">
        <f>#REF!/AQ222</f>
        <v>#REF!</v>
      </c>
      <c r="CR222" s="632" t="e">
        <f>#REF!/AR222</f>
        <v>#REF!</v>
      </c>
      <c r="CS222" s="632" t="e">
        <f>#REF!/AS222</f>
        <v>#REF!</v>
      </c>
      <c r="CT222" s="632" t="e">
        <f>#REF!/AT222</f>
        <v>#REF!</v>
      </c>
      <c r="CU222" s="632" t="e">
        <f>#REF!/AU222</f>
        <v>#REF!</v>
      </c>
      <c r="CV222" s="632" t="e">
        <f>#REF!/AV222</f>
        <v>#REF!</v>
      </c>
      <c r="CW222" s="632" t="e">
        <f>#REF!/AW222</f>
        <v>#REF!</v>
      </c>
      <c r="CX222" s="632" t="e">
        <f>#REF!/AX222</f>
        <v>#REF!</v>
      </c>
      <c r="CY222" s="632" t="e">
        <f>#REF!/AY222</f>
        <v>#REF!</v>
      </c>
      <c r="CZ222" s="632" t="e">
        <f>#REF!/AZ222</f>
        <v>#REF!</v>
      </c>
      <c r="DA222" s="632" t="e">
        <f>#REF!/BA222</f>
        <v>#REF!</v>
      </c>
      <c r="DB222" s="632" t="e">
        <f>#REF!/BB222</f>
        <v>#REF!</v>
      </c>
      <c r="DC222" s="632" t="e">
        <f>#REF!/BC222</f>
        <v>#REF!</v>
      </c>
      <c r="DD222" s="632" t="e">
        <f>#REF!/BD222</f>
        <v>#REF!</v>
      </c>
      <c r="DE222" s="632" t="e">
        <f>#REF!/BE222</f>
        <v>#REF!</v>
      </c>
      <c r="DF222" s="632" t="e">
        <f>#REF!/BF222</f>
        <v>#REF!</v>
      </c>
      <c r="DG222" s="632" t="e">
        <f>#REF!/BG222</f>
        <v>#REF!</v>
      </c>
    </row>
    <row r="223" spans="1:111" hidden="1">
      <c r="B223" s="2440" t="s">
        <v>5787</v>
      </c>
      <c r="C223" s="2441"/>
      <c r="D223" s="1927"/>
      <c r="E223" s="1927"/>
      <c r="F223" s="1927"/>
      <c r="G223" s="1927"/>
      <c r="H223" s="1927"/>
      <c r="I223" s="1928" t="e">
        <f>((#REF!-$I$4)/1000)*$P70*(($C$8/70)^$Z$70)*IF($C$13=1,$AF$72,IF($C$13=2,$AG$72,IF($C$13=3,$AH$72,1)))</f>
        <v>#REF!</v>
      </c>
      <c r="J223" s="1928" t="e">
        <f>((#REF!-$I$4)/1000)*$P70*(($C$8/70)^$Z$70)*IF($C$13=1,$AF$72,IF($C$13=2,$AG$72,IF($C$13=3,$AH$72,1)))</f>
        <v>#REF!</v>
      </c>
      <c r="K223" s="1928" t="e">
        <f>((#REF!-$I$4)/1000)*$P70*(($C$8/70)^$Z$70)*IF($C$13=1,$AF$72,IF($C$13=2,$AG$72,IF($C$13=3,$AH$72,1)))</f>
        <v>#REF!</v>
      </c>
      <c r="L223" s="1928" t="e">
        <f>((#REF!-$I$4)/1000)*$P70*(($C$8/70)^$Z$70)*IF($C$13=1,$AF$72,IF($C$13=2,$AG$72,IF($C$13=3,$AH$72,1)))</f>
        <v>#REF!</v>
      </c>
      <c r="M223" s="1928" t="e">
        <f>((#REF!-$I$4)/1000)*$P70*(($C$8/70)^$Z$70)*IF($C$13=1,$AF$72,IF($C$13=2,$AG$72,IF($C$13=3,$AH$72,1)))</f>
        <v>#REF!</v>
      </c>
      <c r="N223" s="1928" t="e">
        <f>((#REF!-$I$4)/1000)*$P70*(($C$8/70)^$Z$70)*IF($C$13=1,$AF$72,IF($C$13=2,$AG$72,IF($C$13=3,$AH$72,1)))</f>
        <v>#REF!</v>
      </c>
      <c r="O223" s="1928" t="e">
        <f>((#REF!-$I$4)/1000)*$P70*(($C$8/70)^$Z$70)*IF($C$13=1,$AF$72,IF($C$13=2,$AG$72,IF($C$13=3,$AH$72,1)))</f>
        <v>#REF!</v>
      </c>
      <c r="P223" s="1928" t="e">
        <f>((#REF!-$I$4)/1000)*$P70*(($C$8/70)^$Z$70)*IF($C$13=1,$AF$72,IF($C$13=2,$AG$72,IF($C$13=3,$AH$72,1)))</f>
        <v>#REF!</v>
      </c>
      <c r="Q223" s="1928" t="e">
        <f>((#REF!-$I$4)/1000)*$P70*(($C$8/70)^$Z$70)*IF($C$13=1,$AF$72,IF($C$13=2,$AG$72,IF($C$13=3,$AH$72,1)))</f>
        <v>#REF!</v>
      </c>
      <c r="R223" s="1928" t="e">
        <f>((#REF!-$I$4)/1000)*$P70*(($C$8/70)^$Z$70)*IF($C$13=1,$AF$72,IF($C$13=2,$AG$72,IF($C$13=3,$AH$72,1)))</f>
        <v>#REF!</v>
      </c>
      <c r="S223" s="1928" t="e">
        <f>((#REF!-$I$4)/1000)*$P70*(($C$8/70)^$Z$70)*IF($C$13=1,$AF$72,IF($C$13=2,$AG$72,IF($C$13=3,$AH$72,1)))</f>
        <v>#REF!</v>
      </c>
      <c r="T223" s="1928" t="e">
        <f>((#REF!-$I$4)/1000)*$P70*(($C$8/70)^$Z$70)*IF($C$13=1,$AF$72,IF($C$13=2,$AG$72,IF($C$13=3,$AH$72,1)))</f>
        <v>#REF!</v>
      </c>
      <c r="U223" s="1928" t="e">
        <f>((#REF!-$I$4)/1000)*$P70*(($C$8/70)^$Z$70)*IF($C$13=1,$AF$72,IF($C$13=2,$AG$72,IF($C$13=3,$AH$72,1)))</f>
        <v>#REF!</v>
      </c>
      <c r="V223" s="1928" t="e">
        <f>((#REF!-$I$4)/1000)*$P70*(($C$8/70)^$Z$70)*IF($C$13=1,$AF$72,IF($C$13=2,$AG$72,IF($C$13=3,$AH$72,1)))</f>
        <v>#REF!</v>
      </c>
      <c r="W223" s="1928" t="e">
        <f>((#REF!-$I$4)/1000)*$P70*(($C$8/70)^$Z$70)*IF($C$13=1,$AF$72,IF($C$13=2,$AG$72,IF($C$13=3,$AH$72,1)))</f>
        <v>#REF!</v>
      </c>
      <c r="X223" s="1928" t="e">
        <f>((#REF!-$I$4)/1000)*$P70*(($C$8/70)^$Z$70)*IF($C$13=1,$AF$72,IF($C$13=2,$AG$72,IF($C$13=3,$AH$72,1)))</f>
        <v>#REF!</v>
      </c>
      <c r="Y223" s="1928" t="e">
        <f>((#REF!-$I$4)/1000)*$P70*(($C$8/70)^$Z$70)*IF($C$13=1,$AF$72,IF($C$13=2,$AG$72,IF($C$13=3,$AH$72,1)))</f>
        <v>#REF!</v>
      </c>
      <c r="Z223" s="1928" t="e">
        <f>((#REF!-$I$4)/1000)*$P70*(($C$8/70)^$Z$70)*IF($C$13=1,$AF$72,IF($C$13=2,$AG$72,IF($C$13=3,$AH$72,1)))</f>
        <v>#REF!</v>
      </c>
      <c r="AA223" s="1928" t="e">
        <f>((#REF!-$I$4)/1000)*$P70*(($C$8/70)^$Z$70)*IF($C$13=1,$AF$72,IF($C$13=2,$AG$72,IF($C$13=3,$AH$72,1)))</f>
        <v>#REF!</v>
      </c>
      <c r="AB223" s="1928" t="e">
        <f>((#REF!-$I$4)/1000)*$P70*(($C$8/70)^$Z$70)*IF($C$13=1,$AF$72,IF($C$13=2,$AG$72,IF($C$13=3,$AH$72,1)))</f>
        <v>#REF!</v>
      </c>
      <c r="AC223" s="1928" t="e">
        <f>((#REF!-$I$4)/1000)*$P70*(($C$8/70)^$Z$70)*IF($C$13=1,$AF$72,IF($C$13=2,$AG$72,IF($C$13=3,$AH$72,1)))</f>
        <v>#REF!</v>
      </c>
      <c r="AD223" s="1928" t="e">
        <f>((#REF!-$I$4)/1000)*$P70*(($C$8/70)^$Z$70)*IF($C$13=1,$AF$72,IF($C$13=2,$AG$72,IF($C$13=3,$AH$72,1)))</f>
        <v>#REF!</v>
      </c>
      <c r="AE223" s="1928" t="e">
        <f>((#REF!-$I$4)/1000)*$P70*(($C$8/70)^$Z$70)*IF($C$13=1,$AF$72,IF($C$13=2,$AG$72,IF($C$13=3,$AH$72,1)))</f>
        <v>#REF!</v>
      </c>
      <c r="AF223" s="1928" t="e">
        <f>((#REF!-$I$4)/1000)*$P70*(($C$8/70)^$Z$70)*IF($C$13=1,$AF$72,IF($C$13=2,$AG$72,IF($C$13=3,$AH$72,1)))</f>
        <v>#REF!</v>
      </c>
      <c r="AG223" s="1928" t="e">
        <f>((#REF!-$I$4)/1000)*$P70*(($C$8/70)^$Z$70)*IF($C$13=1,$AF$72,IF($C$13=2,$AG$72,IF($C$13=3,$AH$72,1)))</f>
        <v>#REF!</v>
      </c>
      <c r="AH223" s="1928" t="e">
        <f>((#REF!-$I$4)/1000)*$P70*(($C$8/70)^$Z$70)*IF($C$13=1,$AF$72,IF($C$13=2,$AG$72,IF($C$13=3,$AH$72,1)))</f>
        <v>#REF!</v>
      </c>
      <c r="AI223" s="1928" t="e">
        <f>((#REF!-$I$4)/1000)*$P70*(($C$8/70)^$Z$70)*IF($C$13=1,$AF$72,IF($C$13=2,$AG$72,IF($C$13=3,$AH$72,1)))</f>
        <v>#REF!</v>
      </c>
      <c r="AJ223" s="1928" t="e">
        <f>((#REF!-$I$4)/1000)*$P70*(($C$8/70)^$Z$70)*IF($C$13=1,$AF$72,IF($C$13=2,$AG$72,IF($C$13=3,$AH$72,1)))</f>
        <v>#REF!</v>
      </c>
      <c r="AK223" s="1928" t="e">
        <f>((#REF!-$I$4)/1000)*$P70*(($C$8/70)^$Z$70)*IF($C$13=1,$AF$72,IF($C$13=2,$AG$72,IF($C$13=3,$AH$72,1)))</f>
        <v>#REF!</v>
      </c>
      <c r="AL223" s="1928" t="e">
        <f>((#REF!-$I$4)/1000)*$P70*(($C$8/70)^$Z$70)*IF($C$13=1,$AF$72,IF($C$13=2,$AG$72,IF($C$13=3,$AH$72,1)))</f>
        <v>#REF!</v>
      </c>
      <c r="AM223" s="1928" t="e">
        <f>((#REF!-$I$4)/1000)*$P70*(($C$8/70)^$Z$70)*IF($C$13=1,$AF$72,IF($C$13=2,$AG$72,IF($C$13=3,$AH$72,1)))</f>
        <v>#REF!</v>
      </c>
      <c r="AN223" s="1928" t="e">
        <f>((#REF!-$I$4)/1000)*$P70*(($C$8/70)^$Z$70)*IF($C$13=1,$AF$72,IF($C$13=2,$AG$72,IF($C$13=3,$AH$72,1)))</f>
        <v>#REF!</v>
      </c>
      <c r="AO223" s="1928" t="e">
        <f>((#REF!-$I$4)/1000)*$P70*(($C$8/70)^$Z$70)*IF($C$13=1,$AF$72,IF($C$13=2,$AG$72,IF($C$13=3,$AH$72,1)))</f>
        <v>#REF!</v>
      </c>
      <c r="AP223" s="1928" t="e">
        <f>((#REF!-$I$4)/1000)*$P70*(($C$8/70)^$Z$70)*IF($C$13=1,$AF$72,IF($C$13=2,$AG$72,IF($C$13=3,$AH$72,1)))</f>
        <v>#REF!</v>
      </c>
      <c r="AQ223" s="1928" t="e">
        <f>((#REF!-$I$4)/1000)*$P70*(($C$8/70)^$Z$70)*IF($C$13=1,$AF$72,IF($C$13=2,$AG$72,IF($C$13=3,$AH$72,1)))</f>
        <v>#REF!</v>
      </c>
      <c r="AR223" s="1928" t="e">
        <f>((#REF!-$I$4)/1000)*$P70*(($C$8/70)^$Z$70)*IF($C$13=1,$AF$72,IF($C$13=2,$AG$72,IF($C$13=3,$AH$72,1)))</f>
        <v>#REF!</v>
      </c>
      <c r="AS223" s="1928" t="e">
        <f>((#REF!-$I$4)/1000)*$P70*(($C$8/70)^$Z$70)*IF($C$13=1,$AF$72,IF($C$13=2,$AG$72,IF($C$13=3,$AH$72,1)))</f>
        <v>#REF!</v>
      </c>
      <c r="AT223" s="1928" t="e">
        <f>((#REF!-$I$4)/1000)*$P70*(($C$8/70)^$Z$70)*IF($C$13=1,$AF$72,IF($C$13=2,$AG$72,IF($C$13=3,$AH$72,1)))</f>
        <v>#REF!</v>
      </c>
      <c r="AU223" s="1928" t="e">
        <f>((#REF!-$I$4)/1000)*$P70*(($C$8/70)^$Z$70)*IF($C$13=1,$AF$72,IF($C$13=2,$AG$72,IF($C$13=3,$AH$72,1)))</f>
        <v>#REF!</v>
      </c>
      <c r="AV223" s="1928" t="e">
        <f>((#REF!-$I$4)/1000)*$P70*(($C$8/70)^$Z$70)*IF($C$13=1,$AF$72,IF($C$13=2,$AG$72,IF($C$13=3,$AH$72,1)))</f>
        <v>#REF!</v>
      </c>
      <c r="AW223" s="1928" t="e">
        <f>((#REF!-$I$4)/1000)*$P70*(($C$8/70)^$Z$70)*IF($C$13=1,$AF$72,IF($C$13=2,$AG$72,IF($C$13=3,$AH$72,1)))</f>
        <v>#REF!</v>
      </c>
      <c r="AX223" s="1928" t="e">
        <f>((#REF!-$I$4)/1000)*$P70*(($C$8/70)^$Z$70)*IF($C$13=1,$AF$72,IF($C$13=2,$AG$72,IF($C$13=3,$AH$72,1)))</f>
        <v>#REF!</v>
      </c>
      <c r="AY223" s="1928" t="e">
        <f>((#REF!-$I$4)/1000)*$P70*(($C$8/70)^$Z$70)*IF($C$13=1,$AF$72,IF($C$13=2,$AG$72,IF($C$13=3,$AH$72,1)))</f>
        <v>#REF!</v>
      </c>
      <c r="AZ223" s="1928" t="e">
        <f>((#REF!-$I$4)/1000)*$P70*(($C$8/70)^$Z$70)*IF($C$13=1,$AF$72,IF($C$13=2,$AG$72,IF($C$13=3,$AH$72,1)))</f>
        <v>#REF!</v>
      </c>
      <c r="BA223" s="1928" t="e">
        <f>((#REF!-$I$4)/1000)*$P70*(($C$8/70)^$Z$70)*IF($C$13=1,$AF$72,IF($C$13=2,$AG$72,IF($C$13=3,$AH$72,1)))</f>
        <v>#REF!</v>
      </c>
      <c r="BB223" s="1928" t="e">
        <f>((#REF!-$I$4)/1000)*$P70*(($C$8/70)^$Z$70)*IF($C$13=1,$AF$72,IF($C$13=2,$AG$72,IF($C$13=3,$AH$72,1)))</f>
        <v>#REF!</v>
      </c>
      <c r="BC223" s="1928" t="e">
        <f>((#REF!-$I$4)/1000)*$P70*(($C$8/70)^$Z$70)*IF($C$13=1,$AF$72,IF($C$13=2,$AG$72,IF($C$13=3,$AH$72,1)))</f>
        <v>#REF!</v>
      </c>
      <c r="BD223" s="1928" t="e">
        <f>((#REF!-$I$4)/1000)*$P70*(($C$8/70)^$Z$70)*IF($C$13=1,$AF$72,IF($C$13=2,$AG$72,IF($C$13=3,$AH$72,1)))</f>
        <v>#REF!</v>
      </c>
      <c r="BE223" s="1928" t="e">
        <f>((#REF!-$I$4)/1000)*$P70*(($C$8/70)^$Z$70)*IF($C$13=1,$AF$72,IF($C$13=2,$AG$72,IF($C$13=3,$AH$72,1)))</f>
        <v>#REF!</v>
      </c>
      <c r="BF223" s="1928" t="e">
        <f>((#REF!-$I$4)/1000)*$P70*(($C$8/70)^$Z$70)*IF($C$13=1,$AF$72,IF($C$13=2,$AG$72,IF($C$13=3,$AH$72,1)))</f>
        <v>#REF!</v>
      </c>
      <c r="BG223" s="1928" t="e">
        <f>((#REF!-$I$4)/1000)*$P70*(($C$8/70)^$Z$70)*IF($C$13=1,$AF$72,IF($C$13=2,$AG$72,IF($C$13=3,$AH$72,1)))</f>
        <v>#REF!</v>
      </c>
      <c r="BI223" s="632" t="e">
        <f t="shared" ref="BI223:BX224" si="221">I231/I223</f>
        <v>#VALUE!</v>
      </c>
      <c r="BJ223" s="632" t="e">
        <f t="shared" si="221"/>
        <v>#REF!</v>
      </c>
      <c r="BK223" s="632" t="e">
        <f t="shared" si="221"/>
        <v>#REF!</v>
      </c>
      <c r="BL223" s="632" t="e">
        <f t="shared" si="221"/>
        <v>#REF!</v>
      </c>
      <c r="BM223" s="632" t="e">
        <f t="shared" si="221"/>
        <v>#REF!</v>
      </c>
      <c r="BN223" s="632" t="e">
        <f t="shared" si="221"/>
        <v>#REF!</v>
      </c>
      <c r="BO223" s="632" t="e">
        <f t="shared" si="221"/>
        <v>#REF!</v>
      </c>
      <c r="BP223" s="632" t="e">
        <f t="shared" si="221"/>
        <v>#REF!</v>
      </c>
      <c r="BQ223" s="632" t="e">
        <f t="shared" si="221"/>
        <v>#REF!</v>
      </c>
      <c r="BR223" s="632" t="e">
        <f t="shared" si="221"/>
        <v>#REF!</v>
      </c>
      <c r="BS223" s="632" t="e">
        <f t="shared" si="221"/>
        <v>#REF!</v>
      </c>
      <c r="BT223" s="632" t="e">
        <f t="shared" si="221"/>
        <v>#REF!</v>
      </c>
      <c r="BU223" s="632" t="e">
        <f t="shared" si="221"/>
        <v>#REF!</v>
      </c>
      <c r="BV223" s="632" t="e">
        <f t="shared" si="221"/>
        <v>#REF!</v>
      </c>
      <c r="BW223" s="632" t="e">
        <f t="shared" si="221"/>
        <v>#REF!</v>
      </c>
      <c r="BX223" s="632" t="e">
        <f t="shared" si="221"/>
        <v>#REF!</v>
      </c>
      <c r="BY223" s="632" t="e">
        <f t="shared" ref="BY223:CN224" si="222">Y231/Y223</f>
        <v>#REF!</v>
      </c>
      <c r="BZ223" s="632" t="e">
        <f t="shared" si="222"/>
        <v>#REF!</v>
      </c>
      <c r="CA223" s="632" t="e">
        <f t="shared" si="222"/>
        <v>#REF!</v>
      </c>
      <c r="CB223" s="632" t="e">
        <f t="shared" si="222"/>
        <v>#REF!</v>
      </c>
      <c r="CC223" s="632" t="e">
        <f t="shared" si="222"/>
        <v>#REF!</v>
      </c>
      <c r="CD223" s="632" t="e">
        <f t="shared" si="222"/>
        <v>#REF!</v>
      </c>
      <c r="CE223" s="632" t="e">
        <f t="shared" si="222"/>
        <v>#REF!</v>
      </c>
      <c r="CF223" s="632" t="e">
        <f t="shared" si="222"/>
        <v>#REF!</v>
      </c>
      <c r="CG223" s="632" t="e">
        <f t="shared" si="222"/>
        <v>#REF!</v>
      </c>
      <c r="CH223" s="632" t="e">
        <f t="shared" si="222"/>
        <v>#REF!</v>
      </c>
      <c r="CI223" s="632" t="e">
        <f t="shared" si="222"/>
        <v>#REF!</v>
      </c>
      <c r="CJ223" s="632" t="e">
        <f t="shared" si="222"/>
        <v>#REF!</v>
      </c>
      <c r="CK223" s="632" t="e">
        <f t="shared" si="222"/>
        <v>#REF!</v>
      </c>
      <c r="CL223" s="632" t="e">
        <f t="shared" si="222"/>
        <v>#REF!</v>
      </c>
      <c r="CM223" s="632" t="e">
        <f t="shared" si="222"/>
        <v>#REF!</v>
      </c>
      <c r="CN223" s="632" t="e">
        <f t="shared" si="222"/>
        <v>#REF!</v>
      </c>
      <c r="CO223" s="632" t="e">
        <f t="shared" ref="CO223:DD224" si="223">AO231/AO223</f>
        <v>#REF!</v>
      </c>
      <c r="CP223" s="632" t="e">
        <f t="shared" si="223"/>
        <v>#REF!</v>
      </c>
      <c r="CQ223" s="632" t="e">
        <f t="shared" si="223"/>
        <v>#REF!</v>
      </c>
      <c r="CR223" s="632" t="e">
        <f t="shared" si="223"/>
        <v>#REF!</v>
      </c>
      <c r="CS223" s="632" t="e">
        <f t="shared" si="223"/>
        <v>#REF!</v>
      </c>
      <c r="CT223" s="632" t="e">
        <f t="shared" si="223"/>
        <v>#REF!</v>
      </c>
      <c r="CU223" s="632" t="e">
        <f t="shared" si="223"/>
        <v>#REF!</v>
      </c>
      <c r="CV223" s="632" t="e">
        <f t="shared" si="223"/>
        <v>#REF!</v>
      </c>
      <c r="CW223" s="632" t="e">
        <f t="shared" si="223"/>
        <v>#REF!</v>
      </c>
      <c r="CX223" s="632" t="e">
        <f t="shared" si="223"/>
        <v>#REF!</v>
      </c>
      <c r="CY223" s="632" t="e">
        <f t="shared" si="223"/>
        <v>#REF!</v>
      </c>
      <c r="CZ223" s="632" t="e">
        <f t="shared" si="223"/>
        <v>#REF!</v>
      </c>
      <c r="DA223" s="632" t="e">
        <f t="shared" si="223"/>
        <v>#REF!</v>
      </c>
      <c r="DB223" s="632" t="e">
        <f t="shared" si="223"/>
        <v>#REF!</v>
      </c>
      <c r="DC223" s="632" t="e">
        <f t="shared" si="223"/>
        <v>#REF!</v>
      </c>
      <c r="DD223" s="632" t="e">
        <f t="shared" si="223"/>
        <v>#REF!</v>
      </c>
      <c r="DE223" s="632" t="e">
        <f t="shared" ref="CW223:DF224" si="224">BE231/BE223</f>
        <v>#REF!</v>
      </c>
      <c r="DF223" s="632" t="e">
        <f t="shared" si="224"/>
        <v>#REF!</v>
      </c>
      <c r="DG223" s="632" t="e">
        <f>BG231/BG223</f>
        <v>#REF!</v>
      </c>
    </row>
    <row r="224" spans="1:111" ht="15.75" hidden="1" thickBot="1">
      <c r="B224" s="2442" t="s">
        <v>5788</v>
      </c>
      <c r="C224" s="2443"/>
      <c r="D224" s="1929"/>
      <c r="E224" s="1929"/>
      <c r="F224" s="1929"/>
      <c r="G224" s="1929"/>
      <c r="H224" s="1929"/>
      <c r="I224" s="1930" t="e">
        <f>((#REF!-$I$4)/1000)*$Q70*(($C$8/70)^$AA$70)*IF($C$13=1,$AF$69,IF($C$13=2,$AG$69,IF($C$13=3,$AH$69,1)))</f>
        <v>#REF!</v>
      </c>
      <c r="J224" s="1930" t="e">
        <f>((#REF!-$I$4)/1000)*$Q70*(($C$8/70)^$AA$70)*IF($C$13=1,$AF$69,IF($C$13=2,$AG$69,IF($C$13=3,$AH$69,1)))</f>
        <v>#REF!</v>
      </c>
      <c r="K224" s="1930" t="e">
        <f>((#REF!-$I$4)/1000)*$Q70*(($C$8/70)^$AA$70)*IF($C$13=1,$AF$69,IF($C$13=2,$AG$69,IF($C$13=3,$AH$69,1)))</f>
        <v>#REF!</v>
      </c>
      <c r="L224" s="1930" t="e">
        <f>((#REF!-$I$4)/1000)*$Q70*(($C$8/70)^$AA$70)*IF($C$13=1,$AF$69,IF($C$13=2,$AG$69,IF($C$13=3,$AH$69,1)))</f>
        <v>#REF!</v>
      </c>
      <c r="M224" s="1930" t="e">
        <f>((#REF!-$I$4)/1000)*$Q70*(($C$8/70)^$AA$70)*IF($C$13=1,$AF$69,IF($C$13=2,$AG$69,IF($C$13=3,$AH$69,1)))</f>
        <v>#REF!</v>
      </c>
      <c r="N224" s="1930" t="e">
        <f>((#REF!-$I$4)/1000)*$Q70*(($C$8/70)^$AA$70)*IF($C$13=1,$AF$69,IF($C$13=2,$AG$69,IF($C$13=3,$AH$69,1)))</f>
        <v>#REF!</v>
      </c>
      <c r="O224" s="1930" t="e">
        <f>((#REF!-$I$4)/1000)*$Q70*(($C$8/70)^$AA$70)*IF($C$13=1,$AF$69,IF($C$13=2,$AG$69,IF($C$13=3,$AH$69,1)))</f>
        <v>#REF!</v>
      </c>
      <c r="P224" s="1930" t="e">
        <f>((#REF!-$I$4)/1000)*$Q70*(($C$8/70)^$AA$70)*IF($C$13=1,$AF$69,IF($C$13=2,$AG$69,IF($C$13=3,$AH$69,1)))</f>
        <v>#REF!</v>
      </c>
      <c r="Q224" s="1930" t="e">
        <f>((#REF!-$I$4)/1000)*$Q70*(($C$8/70)^$AA$70)*IF($C$13=1,$AF$69,IF($C$13=2,$AG$69,IF($C$13=3,$AH$69,1)))</f>
        <v>#REF!</v>
      </c>
      <c r="R224" s="1930" t="e">
        <f>((#REF!-$I$4)/1000)*$Q70*(($C$8/70)^$AA$70)*IF($C$13=1,$AF$69,IF($C$13=2,$AG$69,IF($C$13=3,$AH$69,1)))</f>
        <v>#REF!</v>
      </c>
      <c r="S224" s="1930" t="e">
        <f>((#REF!-$I$4)/1000)*$Q70*(($C$8/70)^$AA$70)*IF($C$13=1,$AF$69,IF($C$13=2,$AG$69,IF($C$13=3,$AH$69,1)))</f>
        <v>#REF!</v>
      </c>
      <c r="T224" s="1930" t="e">
        <f>((#REF!-$I$4)/1000)*$Q70*(($C$8/70)^$AA$70)*IF($C$13=1,$AF$69,IF($C$13=2,$AG$69,IF($C$13=3,$AH$69,1)))</f>
        <v>#REF!</v>
      </c>
      <c r="U224" s="1930" t="e">
        <f>((#REF!-$I$4)/1000)*$Q70*(($C$8/70)^$AA$70)*IF($C$13=1,$AF$69,IF($C$13=2,$AG$69,IF($C$13=3,$AH$69,1)))</f>
        <v>#REF!</v>
      </c>
      <c r="V224" s="1930" t="e">
        <f>((#REF!-$I$4)/1000)*$Q70*(($C$8/70)^$AA$70)*IF($C$13=1,$AF$69,IF($C$13=2,$AG$69,IF($C$13=3,$AH$69,1)))</f>
        <v>#REF!</v>
      </c>
      <c r="W224" s="1930" t="e">
        <f>((#REF!-$I$4)/1000)*$Q70*(($C$8/70)^$AA$70)*IF($C$13=1,$AF$69,IF($C$13=2,$AG$69,IF($C$13=3,$AH$69,1)))</f>
        <v>#REF!</v>
      </c>
      <c r="X224" s="1930" t="e">
        <f>((#REF!-$I$4)/1000)*$Q70*(($C$8/70)^$AA$70)*IF($C$13=1,$AF$69,IF($C$13=2,$AG$69,IF($C$13=3,$AH$69,1)))</f>
        <v>#REF!</v>
      </c>
      <c r="Y224" s="1930" t="e">
        <f>((#REF!-$I$4)/1000)*$Q70*(($C$8/70)^$AA$70)*IF($C$13=1,$AF$69,IF($C$13=2,$AG$69,IF($C$13=3,$AH$69,1)))</f>
        <v>#REF!</v>
      </c>
      <c r="Z224" s="1930" t="e">
        <f>((#REF!-$I$4)/1000)*$Q70*(($C$8/70)^$AA$70)*IF($C$13=1,$AF$69,IF($C$13=2,$AG$69,IF($C$13=3,$AH$69,1)))</f>
        <v>#REF!</v>
      </c>
      <c r="AA224" s="1930" t="e">
        <f>((#REF!-$I$4)/1000)*$Q70*(($C$8/70)^$AA$70)*IF($C$13=1,$AF$69,IF($C$13=2,$AG$69,IF($C$13=3,$AH$69,1)))</f>
        <v>#REF!</v>
      </c>
      <c r="AB224" s="1930" t="e">
        <f>((#REF!-$I$4)/1000)*$Q70*(($C$8/70)^$AA$70)*IF($C$13=1,$AF$69,IF($C$13=2,$AG$69,IF($C$13=3,$AH$69,1)))</f>
        <v>#REF!</v>
      </c>
      <c r="AC224" s="1930" t="e">
        <f>((#REF!-$I$4)/1000)*$Q70*(($C$8/70)^$AA$70)*IF($C$13=1,$AF$69,IF($C$13=2,$AG$69,IF($C$13=3,$AH$69,1)))</f>
        <v>#REF!</v>
      </c>
      <c r="AD224" s="1930" t="e">
        <f>((#REF!-$I$4)/1000)*$Q70*(($C$8/70)^$AA$70)*IF($C$13=1,$AF$69,IF($C$13=2,$AG$69,IF($C$13=3,$AH$69,1)))</f>
        <v>#REF!</v>
      </c>
      <c r="AE224" s="1930" t="e">
        <f>((#REF!-$I$4)/1000)*$Q70*(($C$8/70)^$AA$70)*IF($C$13=1,$AF$69,IF($C$13=2,$AG$69,IF($C$13=3,$AH$69,1)))</f>
        <v>#REF!</v>
      </c>
      <c r="AF224" s="1930" t="e">
        <f>((#REF!-$I$4)/1000)*$Q70*(($C$8/70)^$AA$70)*IF($C$13=1,$AF$69,IF($C$13=2,$AG$69,IF($C$13=3,$AH$69,1)))</f>
        <v>#REF!</v>
      </c>
      <c r="AG224" s="1930" t="e">
        <f>((#REF!-$I$4)/1000)*$Q70*(($C$8/70)^$AA$70)*IF($C$13=1,$AF$69,IF($C$13=2,$AG$69,IF($C$13=3,$AH$69,1)))</f>
        <v>#REF!</v>
      </c>
      <c r="AH224" s="1930" t="e">
        <f>((#REF!-$I$4)/1000)*$Q70*(($C$8/70)^$AA$70)*IF($C$13=1,$AF$69,IF($C$13=2,$AG$69,IF($C$13=3,$AH$69,1)))</f>
        <v>#REF!</v>
      </c>
      <c r="AI224" s="1930" t="e">
        <f>((#REF!-$I$4)/1000)*$Q70*(($C$8/70)^$AA$70)*IF($C$13=1,$AF$69,IF($C$13=2,$AG$69,IF($C$13=3,$AH$69,1)))</f>
        <v>#REF!</v>
      </c>
      <c r="AJ224" s="1930" t="e">
        <f>((#REF!-$I$4)/1000)*$Q70*(($C$8/70)^$AA$70)*IF($C$13=1,$AF$69,IF($C$13=2,$AG$69,IF($C$13=3,$AH$69,1)))</f>
        <v>#REF!</v>
      </c>
      <c r="AK224" s="1930" t="e">
        <f>((#REF!-$I$4)/1000)*$Q70*(($C$8/70)^$AA$70)*IF($C$13=1,$AF$69,IF($C$13=2,$AG$69,IF($C$13=3,$AH$69,1)))</f>
        <v>#REF!</v>
      </c>
      <c r="AL224" s="1930" t="e">
        <f>((#REF!-$I$4)/1000)*$Q70*(($C$8/70)^$AA$70)*IF($C$13=1,$AF$69,IF($C$13=2,$AG$69,IF($C$13=3,$AH$69,1)))</f>
        <v>#REF!</v>
      </c>
      <c r="AM224" s="1930" t="e">
        <f>((#REF!-$I$4)/1000)*$Q70*(($C$8/70)^$AA$70)*IF($C$13=1,$AF$69,IF($C$13=2,$AG$69,IF($C$13=3,$AH$69,1)))</f>
        <v>#REF!</v>
      </c>
      <c r="AN224" s="1930" t="e">
        <f>((#REF!-$I$4)/1000)*$Q70*(($C$8/70)^$AA$70)*IF($C$13=1,$AF$69,IF($C$13=2,$AG$69,IF($C$13=3,$AH$69,1)))</f>
        <v>#REF!</v>
      </c>
      <c r="AO224" s="1930" t="e">
        <f>((#REF!-$I$4)/1000)*$Q70*(($C$8/70)^$AA$70)*IF($C$13=1,$AF$69,IF($C$13=2,$AG$69,IF($C$13=3,$AH$69,1)))</f>
        <v>#REF!</v>
      </c>
      <c r="AP224" s="1930" t="e">
        <f>((#REF!-$I$4)/1000)*$Q70*(($C$8/70)^$AA$70)*IF($C$13=1,$AF$69,IF($C$13=2,$AG$69,IF($C$13=3,$AH$69,1)))</f>
        <v>#REF!</v>
      </c>
      <c r="AQ224" s="1930" t="e">
        <f>((#REF!-$I$4)/1000)*$Q70*(($C$8/70)^$AA$70)*IF($C$13=1,$AF$69,IF($C$13=2,$AG$69,IF($C$13=3,$AH$69,1)))</f>
        <v>#REF!</v>
      </c>
      <c r="AR224" s="1930" t="e">
        <f>((#REF!-$I$4)/1000)*$Q70*(($C$8/70)^$AA$70)*IF($C$13=1,$AF$69,IF($C$13=2,$AG$69,IF($C$13=3,$AH$69,1)))</f>
        <v>#REF!</v>
      </c>
      <c r="AS224" s="1930" t="e">
        <f>((#REF!-$I$4)/1000)*$Q70*(($C$8/70)^$AA$70)*IF($C$13=1,$AF$69,IF($C$13=2,$AG$69,IF($C$13=3,$AH$69,1)))</f>
        <v>#REF!</v>
      </c>
      <c r="AT224" s="1930" t="e">
        <f>((#REF!-$I$4)/1000)*$Q70*(($C$8/70)^$AA$70)*IF($C$13=1,$AF$69,IF($C$13=2,$AG$69,IF($C$13=3,$AH$69,1)))</f>
        <v>#REF!</v>
      </c>
      <c r="AU224" s="1930" t="e">
        <f>((#REF!-$I$4)/1000)*$Q70*(($C$8/70)^$AA$70)*IF($C$13=1,$AF$69,IF($C$13=2,$AG$69,IF($C$13=3,$AH$69,1)))</f>
        <v>#REF!</v>
      </c>
      <c r="AV224" s="1930" t="e">
        <f>((#REF!-$I$4)/1000)*$Q70*(($C$8/70)^$AA$70)*IF($C$13=1,$AF$69,IF($C$13=2,$AG$69,IF($C$13=3,$AH$69,1)))</f>
        <v>#REF!</v>
      </c>
      <c r="AW224" s="1930" t="e">
        <f>((#REF!-$I$4)/1000)*$Q70*(($C$8/70)^$AA$70)*IF($C$13=1,$AF$69,IF($C$13=2,$AG$69,IF($C$13=3,$AH$69,1)))</f>
        <v>#REF!</v>
      </c>
      <c r="AX224" s="1930" t="e">
        <f>((#REF!-$I$4)/1000)*$Q70*(($C$8/70)^$AA$70)*IF($C$13=1,$AF$69,IF($C$13=2,$AG$69,IF($C$13=3,$AH$69,1)))</f>
        <v>#REF!</v>
      </c>
      <c r="AY224" s="1930" t="e">
        <f>((#REF!-$I$4)/1000)*$Q70*(($C$8/70)^$AA$70)*IF($C$13=1,$AF$69,IF($C$13=2,$AG$69,IF($C$13=3,$AH$69,1)))</f>
        <v>#REF!</v>
      </c>
      <c r="AZ224" s="1930" t="e">
        <f>((#REF!-$I$4)/1000)*$Q70*(($C$8/70)^$AA$70)*IF($C$13=1,$AF$69,IF($C$13=2,$AG$69,IF($C$13=3,$AH$69,1)))</f>
        <v>#REF!</v>
      </c>
      <c r="BA224" s="1930" t="e">
        <f>((#REF!-$I$4)/1000)*$Q70*(($C$8/70)^$AA$70)*IF($C$13=1,$AF$69,IF($C$13=2,$AG$69,IF($C$13=3,$AH$69,1)))</f>
        <v>#REF!</v>
      </c>
      <c r="BB224" s="1930" t="e">
        <f>((#REF!-$I$4)/1000)*$Q70*(($C$8/70)^$AA$70)*IF($C$13=1,$AF$69,IF($C$13=2,$AG$69,IF($C$13=3,$AH$69,1)))</f>
        <v>#REF!</v>
      </c>
      <c r="BC224" s="1930" t="e">
        <f>((#REF!-$I$4)/1000)*$Q70*(($C$8/70)^$AA$70)*IF($C$13=1,$AF$69,IF($C$13=2,$AG$69,IF($C$13=3,$AH$69,1)))</f>
        <v>#REF!</v>
      </c>
      <c r="BD224" s="1930" t="e">
        <f>((#REF!-$I$4)/1000)*$Q70*(($C$8/70)^$AA$70)*IF($C$13=1,$AF$69,IF($C$13=2,$AG$69,IF($C$13=3,$AH$69,1)))</f>
        <v>#REF!</v>
      </c>
      <c r="BE224" s="1930" t="e">
        <f>((#REF!-$I$4)/1000)*$Q70*(($C$8/70)^$AA$70)*IF($C$13=1,$AF$69,IF($C$13=2,$AG$69,IF($C$13=3,$AH$69,1)))</f>
        <v>#REF!</v>
      </c>
      <c r="BF224" s="1930" t="e">
        <f>((#REF!-$I$4)/1000)*$Q70*(($C$8/70)^$AA$70)*IF($C$13=1,$AF$69,IF($C$13=2,$AG$69,IF($C$13=3,$AH$69,1)))</f>
        <v>#REF!</v>
      </c>
      <c r="BG224" s="1930" t="e">
        <f>((#REF!-$I$4)/1000)*$Q70*(($C$8/70)^$AA$70)*IF($C$13=1,$AF$69,IF($C$13=2,$AG$69,IF($C$13=3,$AH$69,1)))</f>
        <v>#REF!</v>
      </c>
      <c r="BI224" s="632" t="e">
        <f t="shared" si="221"/>
        <v>#REF!</v>
      </c>
      <c r="BJ224" s="632" t="e">
        <f t="shared" si="221"/>
        <v>#REF!</v>
      </c>
      <c r="BK224" s="632" t="e">
        <f t="shared" si="221"/>
        <v>#REF!</v>
      </c>
      <c r="BL224" s="632" t="e">
        <f t="shared" si="221"/>
        <v>#REF!</v>
      </c>
      <c r="BM224" s="632" t="e">
        <f t="shared" si="221"/>
        <v>#REF!</v>
      </c>
      <c r="BN224" s="632" t="e">
        <f t="shared" si="221"/>
        <v>#REF!</v>
      </c>
      <c r="BO224" s="632" t="e">
        <f t="shared" si="221"/>
        <v>#REF!</v>
      </c>
      <c r="BP224" s="632" t="e">
        <f t="shared" si="221"/>
        <v>#REF!</v>
      </c>
      <c r="BQ224" s="632" t="e">
        <f t="shared" si="221"/>
        <v>#REF!</v>
      </c>
      <c r="BR224" s="632" t="e">
        <f t="shared" si="221"/>
        <v>#REF!</v>
      </c>
      <c r="BS224" s="632" t="e">
        <f t="shared" si="221"/>
        <v>#REF!</v>
      </c>
      <c r="BT224" s="632" t="e">
        <f t="shared" si="221"/>
        <v>#REF!</v>
      </c>
      <c r="BU224" s="632" t="e">
        <f t="shared" si="221"/>
        <v>#REF!</v>
      </c>
      <c r="BV224" s="632" t="e">
        <f t="shared" si="221"/>
        <v>#REF!</v>
      </c>
      <c r="BW224" s="632" t="e">
        <f t="shared" si="221"/>
        <v>#REF!</v>
      </c>
      <c r="BX224" s="632" t="e">
        <f t="shared" si="221"/>
        <v>#REF!</v>
      </c>
      <c r="BY224" s="632" t="e">
        <f t="shared" si="222"/>
        <v>#REF!</v>
      </c>
      <c r="BZ224" s="632" t="e">
        <f t="shared" si="222"/>
        <v>#REF!</v>
      </c>
      <c r="CA224" s="632" t="e">
        <f t="shared" si="222"/>
        <v>#REF!</v>
      </c>
      <c r="CB224" s="632" t="e">
        <f t="shared" si="222"/>
        <v>#REF!</v>
      </c>
      <c r="CC224" s="632" t="e">
        <f t="shared" si="222"/>
        <v>#REF!</v>
      </c>
      <c r="CD224" s="632" t="e">
        <f t="shared" si="222"/>
        <v>#REF!</v>
      </c>
      <c r="CE224" s="632" t="e">
        <f t="shared" si="222"/>
        <v>#REF!</v>
      </c>
      <c r="CF224" s="632" t="e">
        <f t="shared" si="222"/>
        <v>#REF!</v>
      </c>
      <c r="CG224" s="632" t="e">
        <f t="shared" si="222"/>
        <v>#REF!</v>
      </c>
      <c r="CH224" s="632" t="e">
        <f t="shared" si="222"/>
        <v>#REF!</v>
      </c>
      <c r="CI224" s="632" t="e">
        <f t="shared" si="222"/>
        <v>#REF!</v>
      </c>
      <c r="CJ224" s="632" t="e">
        <f t="shared" si="222"/>
        <v>#REF!</v>
      </c>
      <c r="CK224" s="632" t="e">
        <f t="shared" si="222"/>
        <v>#REF!</v>
      </c>
      <c r="CL224" s="632" t="e">
        <f t="shared" si="222"/>
        <v>#REF!</v>
      </c>
      <c r="CM224" s="632" t="e">
        <f t="shared" si="222"/>
        <v>#REF!</v>
      </c>
      <c r="CN224" s="632" t="e">
        <f t="shared" si="222"/>
        <v>#REF!</v>
      </c>
      <c r="CO224" s="632" t="e">
        <f t="shared" si="223"/>
        <v>#REF!</v>
      </c>
      <c r="CP224" s="632" t="e">
        <f t="shared" si="223"/>
        <v>#REF!</v>
      </c>
      <c r="CQ224" s="632" t="e">
        <f t="shared" si="223"/>
        <v>#REF!</v>
      </c>
      <c r="CR224" s="632" t="e">
        <f t="shared" si="223"/>
        <v>#REF!</v>
      </c>
      <c r="CS224" s="632" t="e">
        <f t="shared" si="223"/>
        <v>#REF!</v>
      </c>
      <c r="CT224" s="632" t="e">
        <f t="shared" si="223"/>
        <v>#REF!</v>
      </c>
      <c r="CU224" s="632" t="e">
        <f t="shared" si="223"/>
        <v>#REF!</v>
      </c>
      <c r="CV224" s="632" t="e">
        <f t="shared" si="223"/>
        <v>#REF!</v>
      </c>
      <c r="CW224" s="632" t="e">
        <f t="shared" si="224"/>
        <v>#REF!</v>
      </c>
      <c r="CX224" s="632" t="e">
        <f t="shared" si="224"/>
        <v>#REF!</v>
      </c>
      <c r="CY224" s="632" t="e">
        <f t="shared" si="224"/>
        <v>#REF!</v>
      </c>
      <c r="CZ224" s="632" t="e">
        <f t="shared" si="224"/>
        <v>#REF!</v>
      </c>
      <c r="DA224" s="632" t="e">
        <f t="shared" si="224"/>
        <v>#REF!</v>
      </c>
      <c r="DB224" s="632" t="e">
        <f t="shared" si="224"/>
        <v>#REF!</v>
      </c>
      <c r="DC224" s="632" t="e">
        <f t="shared" si="224"/>
        <v>#REF!</v>
      </c>
      <c r="DD224" s="632" t="e">
        <f t="shared" si="224"/>
        <v>#REF!</v>
      </c>
      <c r="DE224" s="632" t="e">
        <f t="shared" si="224"/>
        <v>#REF!</v>
      </c>
      <c r="DF224" s="632" t="e">
        <f t="shared" si="224"/>
        <v>#REF!</v>
      </c>
      <c r="DG224" s="632" t="e">
        <f>BG232/BG224</f>
        <v>#REF!</v>
      </c>
    </row>
    <row r="225" spans="1:111" hidden="1">
      <c r="B225" s="1931"/>
      <c r="C225" s="1931"/>
      <c r="D225" s="1932"/>
      <c r="E225" s="1932"/>
      <c r="F225" s="1932"/>
      <c r="G225" s="1932"/>
      <c r="H225" s="1932"/>
      <c r="I225" s="1933"/>
      <c r="J225" s="1933"/>
      <c r="K225" s="1933"/>
      <c r="L225" s="1933"/>
      <c r="M225" s="1933"/>
      <c r="N225" s="1933"/>
      <c r="O225" s="1933"/>
      <c r="P225" s="1933"/>
      <c r="Q225" s="1933"/>
      <c r="R225" s="1933"/>
      <c r="S225" s="1933"/>
      <c r="T225" s="1933"/>
      <c r="U225" s="1933"/>
      <c r="V225" s="1933"/>
      <c r="W225" s="1933"/>
      <c r="X225" s="1933"/>
      <c r="Y225" s="1933"/>
      <c r="Z225" s="1933"/>
      <c r="AA225" s="1933"/>
      <c r="AB225" s="1933"/>
      <c r="AC225" s="1933"/>
      <c r="AD225" s="1933"/>
      <c r="AE225" s="1933"/>
      <c r="AF225" s="1933"/>
      <c r="AG225" s="1933"/>
      <c r="AH225" s="1933"/>
      <c r="AI225" s="1933"/>
      <c r="AJ225" s="1933"/>
      <c r="AK225" s="1933"/>
      <c r="AL225" s="1933"/>
      <c r="AM225" s="1933"/>
      <c r="AN225" s="1933"/>
      <c r="AO225" s="1933"/>
      <c r="AP225" s="1933"/>
      <c r="AQ225" s="1933"/>
      <c r="AR225" s="1933"/>
      <c r="AS225" s="1933"/>
      <c r="AT225" s="1933"/>
      <c r="AU225" s="1933"/>
      <c r="AV225" s="1933"/>
      <c r="AW225" s="1933"/>
      <c r="AX225" s="1933"/>
      <c r="AY225" s="1933"/>
      <c r="AZ225" s="1933"/>
      <c r="BA225" s="1933"/>
      <c r="BB225" s="1933"/>
      <c r="BC225" s="1933"/>
      <c r="BD225" s="1933"/>
      <c r="BE225" s="1933"/>
      <c r="BF225" s="1933"/>
      <c r="BG225" s="1933"/>
    </row>
    <row r="226" spans="1:111" ht="15.75" hidden="1" thickBot="1">
      <c r="A226" s="1984"/>
      <c r="B226" s="2444" t="s">
        <v>375</v>
      </c>
      <c r="C226" s="2445"/>
      <c r="D226" s="1934"/>
      <c r="E226" s="2448" t="s">
        <v>224</v>
      </c>
      <c r="F226" s="2427" t="s">
        <v>0</v>
      </c>
      <c r="G226" s="2427" t="s">
        <v>1</v>
      </c>
      <c r="H226" s="2429" t="s">
        <v>185</v>
      </c>
      <c r="I226" s="2431" t="s">
        <v>18</v>
      </c>
      <c r="J226" s="2432"/>
      <c r="K226" s="2432"/>
      <c r="L226" s="2432"/>
      <c r="M226" s="2432"/>
      <c r="N226" s="2432"/>
      <c r="O226" s="2432"/>
      <c r="P226" s="2432"/>
      <c r="Q226" s="2432"/>
      <c r="R226" s="2432"/>
      <c r="S226" s="2432"/>
      <c r="T226" s="2432"/>
      <c r="U226" s="2432"/>
      <c r="V226" s="2432"/>
      <c r="W226" s="2432"/>
      <c r="X226" s="2432"/>
      <c r="Y226" s="2432"/>
      <c r="Z226" s="2432"/>
      <c r="AA226" s="2432"/>
      <c r="AB226" s="2432"/>
      <c r="AC226" s="2432"/>
      <c r="AD226" s="2432"/>
      <c r="AE226" s="2432"/>
      <c r="AF226" s="2432"/>
      <c r="AG226" s="2432"/>
      <c r="AH226" s="2432"/>
      <c r="AI226" s="2432"/>
      <c r="AJ226" s="2432"/>
      <c r="AK226" s="2432"/>
      <c r="AL226" s="2432"/>
      <c r="AM226" s="2432"/>
      <c r="AN226" s="2432"/>
      <c r="AO226" s="2432"/>
      <c r="AP226" s="2432"/>
      <c r="AQ226" s="2432"/>
      <c r="AR226" s="2432"/>
      <c r="AS226" s="2432"/>
      <c r="AT226" s="2432"/>
      <c r="AU226" s="2432"/>
      <c r="AV226" s="2432"/>
      <c r="AW226" s="2432"/>
      <c r="AX226" s="2432"/>
      <c r="AY226" s="2432"/>
      <c r="AZ226" s="2432"/>
      <c r="BA226" s="2432"/>
      <c r="BB226" s="2432"/>
      <c r="BC226" s="2432"/>
      <c r="BD226" s="2432"/>
      <c r="BE226" s="2432"/>
      <c r="BF226" s="2432"/>
      <c r="BG226" s="2433"/>
    </row>
    <row r="227" spans="1:111" ht="15.75" hidden="1" thickBot="1">
      <c r="A227" s="1984"/>
      <c r="B227" s="2446"/>
      <c r="C227" s="2447"/>
      <c r="D227" s="1935"/>
      <c r="E227" s="2449"/>
      <c r="F227" s="2428"/>
      <c r="G227" s="2428"/>
      <c r="H227" s="2430"/>
      <c r="I227" s="1936">
        <v>500</v>
      </c>
      <c r="J227" s="1937">
        <v>550</v>
      </c>
      <c r="K227" s="1938">
        <v>600</v>
      </c>
      <c r="L227" s="1939">
        <v>650</v>
      </c>
      <c r="M227" s="1939">
        <v>700</v>
      </c>
      <c r="N227" s="1939">
        <v>750</v>
      </c>
      <c r="O227" s="1939">
        <v>800</v>
      </c>
      <c r="P227" s="1939">
        <v>850</v>
      </c>
      <c r="Q227" s="1939">
        <v>900</v>
      </c>
      <c r="R227" s="1939">
        <v>950</v>
      </c>
      <c r="S227" s="1939">
        <v>1000</v>
      </c>
      <c r="T227" s="1939">
        <v>1050</v>
      </c>
      <c r="U227" s="1939">
        <v>1100</v>
      </c>
      <c r="V227" s="1939">
        <v>1150</v>
      </c>
      <c r="W227" s="1939">
        <v>1200</v>
      </c>
      <c r="X227" s="1939">
        <v>1250</v>
      </c>
      <c r="Y227" s="1939">
        <v>1300</v>
      </c>
      <c r="Z227" s="1939">
        <v>1350</v>
      </c>
      <c r="AA227" s="1939">
        <v>1400</v>
      </c>
      <c r="AB227" s="1939">
        <v>1450</v>
      </c>
      <c r="AC227" s="1939">
        <v>1500</v>
      </c>
      <c r="AD227" s="1939">
        <v>1550</v>
      </c>
      <c r="AE227" s="1939">
        <v>1600</v>
      </c>
      <c r="AF227" s="1939">
        <v>1650</v>
      </c>
      <c r="AG227" s="1939">
        <v>1700</v>
      </c>
      <c r="AH227" s="1939">
        <v>1750</v>
      </c>
      <c r="AI227" s="1939">
        <v>1800</v>
      </c>
      <c r="AJ227" s="1939">
        <v>1850</v>
      </c>
      <c r="AK227" s="1939">
        <v>1900</v>
      </c>
      <c r="AL227" s="1939">
        <v>1950</v>
      </c>
      <c r="AM227" s="1939">
        <v>2000</v>
      </c>
      <c r="AN227" s="1939">
        <v>2050</v>
      </c>
      <c r="AO227" s="1939">
        <v>2100</v>
      </c>
      <c r="AP227" s="1939">
        <v>2150</v>
      </c>
      <c r="AQ227" s="1939">
        <v>2200</v>
      </c>
      <c r="AR227" s="1939">
        <v>2250</v>
      </c>
      <c r="AS227" s="1939">
        <v>2300</v>
      </c>
      <c r="AT227" s="1939">
        <v>2350</v>
      </c>
      <c r="AU227" s="1939">
        <v>2400</v>
      </c>
      <c r="AV227" s="1939">
        <v>2450</v>
      </c>
      <c r="AW227" s="1939">
        <v>2500</v>
      </c>
      <c r="AX227" s="1939">
        <v>2550</v>
      </c>
      <c r="AY227" s="1939">
        <v>2600</v>
      </c>
      <c r="AZ227" s="1939">
        <v>2650</v>
      </c>
      <c r="BA227" s="1939">
        <v>2700</v>
      </c>
      <c r="BB227" s="1939">
        <v>2750</v>
      </c>
      <c r="BC227" s="1939">
        <v>2800</v>
      </c>
      <c r="BD227" s="1939">
        <v>2850</v>
      </c>
      <c r="BE227" s="1939">
        <v>2900</v>
      </c>
      <c r="BF227" s="1940">
        <v>2950</v>
      </c>
      <c r="BG227" s="1941">
        <v>3000</v>
      </c>
      <c r="BI227" s="1980">
        <v>500</v>
      </c>
      <c r="BJ227" s="693">
        <v>550</v>
      </c>
      <c r="BK227" s="694">
        <v>600</v>
      </c>
      <c r="BL227" s="695">
        <v>650</v>
      </c>
      <c r="BM227" s="695">
        <v>700</v>
      </c>
      <c r="BN227" s="695">
        <v>750</v>
      </c>
      <c r="BO227" s="695">
        <v>800</v>
      </c>
      <c r="BP227" s="695">
        <v>850</v>
      </c>
      <c r="BQ227" s="695">
        <v>900</v>
      </c>
      <c r="BR227" s="695">
        <v>950</v>
      </c>
      <c r="BS227" s="695">
        <v>1000</v>
      </c>
      <c r="BT227" s="695">
        <v>1050</v>
      </c>
      <c r="BU227" s="695">
        <v>1100</v>
      </c>
      <c r="BV227" s="695">
        <v>1150</v>
      </c>
      <c r="BW227" s="695">
        <v>1200</v>
      </c>
      <c r="BX227" s="695">
        <v>1250</v>
      </c>
      <c r="BY227" s="695">
        <v>1300</v>
      </c>
      <c r="BZ227" s="695">
        <v>1350</v>
      </c>
      <c r="CA227" s="695">
        <v>1400</v>
      </c>
      <c r="CB227" s="695">
        <v>1450</v>
      </c>
      <c r="CC227" s="695">
        <v>1500</v>
      </c>
      <c r="CD227" s="695">
        <v>1550</v>
      </c>
      <c r="CE227" s="695">
        <v>1600</v>
      </c>
      <c r="CF227" s="695">
        <v>1650</v>
      </c>
      <c r="CG227" s="695">
        <v>1700</v>
      </c>
      <c r="CH227" s="695">
        <v>1750</v>
      </c>
      <c r="CI227" s="695">
        <v>1800</v>
      </c>
      <c r="CJ227" s="695">
        <v>1850</v>
      </c>
      <c r="CK227" s="695">
        <v>1900</v>
      </c>
      <c r="CL227" s="695">
        <v>1950</v>
      </c>
      <c r="CM227" s="695">
        <v>2000</v>
      </c>
      <c r="CN227" s="695">
        <v>2050</v>
      </c>
      <c r="CO227" s="695">
        <v>2100</v>
      </c>
      <c r="CP227" s="695">
        <v>2150</v>
      </c>
      <c r="CQ227" s="695">
        <v>2200</v>
      </c>
      <c r="CR227" s="695">
        <v>2250</v>
      </c>
      <c r="CS227" s="695">
        <v>2300</v>
      </c>
      <c r="CT227" s="695">
        <v>2350</v>
      </c>
      <c r="CU227" s="695">
        <v>2400</v>
      </c>
      <c r="CV227" s="695">
        <v>2450</v>
      </c>
      <c r="CW227" s="695">
        <v>2500</v>
      </c>
      <c r="CX227" s="695">
        <v>2550</v>
      </c>
      <c r="CY227" s="695">
        <v>2600</v>
      </c>
      <c r="CZ227" s="695">
        <v>2650</v>
      </c>
      <c r="DA227" s="695">
        <v>2700</v>
      </c>
      <c r="DB227" s="695">
        <v>2750</v>
      </c>
      <c r="DC227" s="695">
        <v>2800</v>
      </c>
      <c r="DD227" s="695">
        <v>2850</v>
      </c>
      <c r="DE227" s="695">
        <v>2900</v>
      </c>
      <c r="DF227" s="696">
        <v>2950</v>
      </c>
      <c r="DG227" s="697">
        <v>3000</v>
      </c>
    </row>
    <row r="228" spans="1:111" hidden="1">
      <c r="B228" s="2434" t="s">
        <v>576</v>
      </c>
      <c r="C228" s="2435"/>
      <c r="D228" s="2436"/>
      <c r="E228" s="1942" t="s">
        <v>184</v>
      </c>
      <c r="F228" s="1942">
        <v>130</v>
      </c>
      <c r="G228" s="1942">
        <v>260</v>
      </c>
      <c r="H228" s="1943">
        <v>4</v>
      </c>
      <c r="I228" s="1944">
        <f t="shared" ref="I228:AN228" si="225">((I$227-$I$4)/1000)*$N108*(($C$8/70)^$X$108)*IF($C$13=1,$AF$108,IF($C$13=2,$AG$108,IF($C$13=3,$AH$108,1)))</f>
        <v>733.51004999999998</v>
      </c>
      <c r="J228" s="1944">
        <f t="shared" si="225"/>
        <v>978.01339999999993</v>
      </c>
      <c r="K228" s="1944">
        <f t="shared" si="225"/>
        <v>1222.51675</v>
      </c>
      <c r="L228" s="1944">
        <f t="shared" si="225"/>
        <v>1467.0201</v>
      </c>
      <c r="M228" s="1944">
        <f t="shared" si="225"/>
        <v>1711.5234499999997</v>
      </c>
      <c r="N228" s="1944">
        <f t="shared" si="225"/>
        <v>1956.0267999999999</v>
      </c>
      <c r="O228" s="1944">
        <f t="shared" si="225"/>
        <v>2200.53015</v>
      </c>
      <c r="P228" s="1944">
        <f t="shared" si="225"/>
        <v>2445.0335</v>
      </c>
      <c r="Q228" s="1944">
        <f t="shared" si="225"/>
        <v>2689.5368500000004</v>
      </c>
      <c r="R228" s="1944">
        <f t="shared" si="225"/>
        <v>2934.0401999999999</v>
      </c>
      <c r="S228" s="1944">
        <f t="shared" si="225"/>
        <v>3178.5435499999999</v>
      </c>
      <c r="T228" s="1944">
        <f t="shared" si="225"/>
        <v>3423.0468999999994</v>
      </c>
      <c r="U228" s="1944">
        <f t="shared" si="225"/>
        <v>3667.5502499999998</v>
      </c>
      <c r="V228" s="1944">
        <f t="shared" si="225"/>
        <v>3912.0535999999997</v>
      </c>
      <c r="W228" s="1944">
        <f t="shared" si="225"/>
        <v>4156.5569500000001</v>
      </c>
      <c r="X228" s="1944">
        <f t="shared" si="225"/>
        <v>4401.0603000000001</v>
      </c>
      <c r="Y228" s="1944">
        <f t="shared" si="225"/>
        <v>4645.5636499999991</v>
      </c>
      <c r="Z228" s="1944">
        <f t="shared" si="225"/>
        <v>4890.067</v>
      </c>
      <c r="AA228" s="1944">
        <f t="shared" si="225"/>
        <v>5134.57035</v>
      </c>
      <c r="AB228" s="1944">
        <f t="shared" si="225"/>
        <v>5379.0737000000008</v>
      </c>
      <c r="AC228" s="1944">
        <f t="shared" si="225"/>
        <v>5623.577049999999</v>
      </c>
      <c r="AD228" s="1944">
        <f t="shared" si="225"/>
        <v>5868.0803999999998</v>
      </c>
      <c r="AE228" s="1944">
        <f t="shared" si="225"/>
        <v>6112.5837499999998</v>
      </c>
      <c r="AF228" s="1944">
        <f t="shared" si="225"/>
        <v>6357.0870999999997</v>
      </c>
      <c r="AG228" s="1944">
        <f t="shared" si="225"/>
        <v>6601.5904499999997</v>
      </c>
      <c r="AH228" s="1944">
        <f t="shared" si="225"/>
        <v>6846.0937999999987</v>
      </c>
      <c r="AI228" s="1944">
        <f t="shared" si="225"/>
        <v>7090.5971499999987</v>
      </c>
      <c r="AJ228" s="1944">
        <f t="shared" si="225"/>
        <v>7335.1004999999996</v>
      </c>
      <c r="AK228" s="1944">
        <f t="shared" si="225"/>
        <v>7579.6038499999995</v>
      </c>
      <c r="AL228" s="1944">
        <f t="shared" si="225"/>
        <v>7824.1071999999995</v>
      </c>
      <c r="AM228" s="1944">
        <f t="shared" si="225"/>
        <v>8068.6105499999985</v>
      </c>
      <c r="AN228" s="1944">
        <f t="shared" si="225"/>
        <v>8313.1139000000003</v>
      </c>
      <c r="AO228" s="1944">
        <f t="shared" ref="AO228:BT228" si="226">((AO$227-$I$4)/1000)*$N108*(($C$8/70)^$X$108)*IF($C$13=1,$AF$108,IF($C$13=2,$AG$108,IF($C$13=3,$AH$108,1)))</f>
        <v>8557.6172499999993</v>
      </c>
      <c r="AP228" s="1944">
        <f t="shared" si="226"/>
        <v>8802.1206000000002</v>
      </c>
      <c r="AQ228" s="1944">
        <f t="shared" si="226"/>
        <v>9046.6239499999992</v>
      </c>
      <c r="AR228" s="1944">
        <f t="shared" si="226"/>
        <v>9291.1272999999983</v>
      </c>
      <c r="AS228" s="1944">
        <f t="shared" si="226"/>
        <v>9535.6306499999992</v>
      </c>
      <c r="AT228" s="1944">
        <f t="shared" si="226"/>
        <v>9780.134</v>
      </c>
      <c r="AU228" s="1944">
        <f t="shared" si="226"/>
        <v>10024.637349999999</v>
      </c>
      <c r="AV228" s="1944">
        <f t="shared" si="226"/>
        <v>10269.1407</v>
      </c>
      <c r="AW228" s="1944">
        <f t="shared" si="226"/>
        <v>10513.644049999999</v>
      </c>
      <c r="AX228" s="1944">
        <f t="shared" si="226"/>
        <v>10758.147400000002</v>
      </c>
      <c r="AY228" s="1944">
        <f t="shared" si="226"/>
        <v>11002.650750000001</v>
      </c>
      <c r="AZ228" s="1944">
        <f t="shared" si="226"/>
        <v>11247.154099999998</v>
      </c>
      <c r="BA228" s="1944">
        <f t="shared" si="226"/>
        <v>11491.657450000001</v>
      </c>
      <c r="BB228" s="1944">
        <f t="shared" si="226"/>
        <v>11736.1608</v>
      </c>
      <c r="BC228" s="1944">
        <f t="shared" si="226"/>
        <v>11980.664150000001</v>
      </c>
      <c r="BD228" s="1944">
        <f t="shared" si="226"/>
        <v>12225.1675</v>
      </c>
      <c r="BE228" s="1944">
        <f t="shared" si="226"/>
        <v>12469.670849999999</v>
      </c>
      <c r="BF228" s="1944">
        <f t="shared" si="226"/>
        <v>12714.174199999999</v>
      </c>
      <c r="BG228" s="1945">
        <f t="shared" si="226"/>
        <v>12958.677549999999</v>
      </c>
      <c r="BH228" s="995">
        <f t="shared" si="226"/>
        <v>-1711.5234499999997</v>
      </c>
      <c r="BI228" s="991">
        <f t="shared" si="226"/>
        <v>733.51004999999998</v>
      </c>
      <c r="BJ228" s="991">
        <f t="shared" si="226"/>
        <v>978.01339999999993</v>
      </c>
      <c r="BK228" s="991">
        <f t="shared" si="226"/>
        <v>1222.51675</v>
      </c>
      <c r="BL228" s="991">
        <f t="shared" si="226"/>
        <v>1467.0201</v>
      </c>
      <c r="BM228" s="991">
        <f t="shared" si="226"/>
        <v>1711.5234499999997</v>
      </c>
      <c r="BN228" s="991">
        <f t="shared" si="226"/>
        <v>1956.0267999999999</v>
      </c>
      <c r="BO228" s="991">
        <f t="shared" si="226"/>
        <v>2200.53015</v>
      </c>
      <c r="BP228" s="991">
        <f t="shared" si="226"/>
        <v>2445.0335</v>
      </c>
      <c r="BQ228" s="991">
        <f t="shared" si="226"/>
        <v>2689.5368500000004</v>
      </c>
      <c r="BR228" s="991">
        <f t="shared" si="226"/>
        <v>2934.0401999999999</v>
      </c>
      <c r="BS228" s="991">
        <f t="shared" si="226"/>
        <v>3178.5435499999999</v>
      </c>
      <c r="BT228" s="991">
        <f t="shared" si="226"/>
        <v>3423.0468999999994</v>
      </c>
      <c r="BU228" s="991">
        <f t="shared" ref="BU228:CZ228" si="227">((BU$227-$I$4)/1000)*$N108*(($C$8/70)^$X$108)*IF($C$13=1,$AF$108,IF($C$13=2,$AG$108,IF($C$13=3,$AH$108,1)))</f>
        <v>3667.5502499999998</v>
      </c>
      <c r="BV228" s="991">
        <f t="shared" si="227"/>
        <v>3912.0535999999997</v>
      </c>
      <c r="BW228" s="991">
        <f t="shared" si="227"/>
        <v>4156.5569500000001</v>
      </c>
      <c r="BX228" s="991">
        <f t="shared" si="227"/>
        <v>4401.0603000000001</v>
      </c>
      <c r="BY228" s="991">
        <f t="shared" si="227"/>
        <v>4645.5636499999991</v>
      </c>
      <c r="BZ228" s="991">
        <f t="shared" si="227"/>
        <v>4890.067</v>
      </c>
      <c r="CA228" s="991">
        <f t="shared" si="227"/>
        <v>5134.57035</v>
      </c>
      <c r="CB228" s="991">
        <f t="shared" si="227"/>
        <v>5379.0737000000008</v>
      </c>
      <c r="CC228" s="991">
        <f t="shared" si="227"/>
        <v>5623.577049999999</v>
      </c>
      <c r="CD228" s="991">
        <f t="shared" si="227"/>
        <v>5868.0803999999998</v>
      </c>
      <c r="CE228" s="991">
        <f t="shared" si="227"/>
        <v>6112.5837499999998</v>
      </c>
      <c r="CF228" s="991">
        <f t="shared" si="227"/>
        <v>6357.0870999999997</v>
      </c>
      <c r="CG228" s="991">
        <f t="shared" si="227"/>
        <v>6601.5904499999997</v>
      </c>
      <c r="CH228" s="991">
        <f t="shared" si="227"/>
        <v>6846.0937999999987</v>
      </c>
      <c r="CI228" s="991">
        <f t="shared" si="227"/>
        <v>7090.5971499999987</v>
      </c>
      <c r="CJ228" s="991">
        <f t="shared" si="227"/>
        <v>7335.1004999999996</v>
      </c>
      <c r="CK228" s="991">
        <f t="shared" si="227"/>
        <v>7579.6038499999995</v>
      </c>
      <c r="CL228" s="991">
        <f t="shared" si="227"/>
        <v>7824.1071999999995</v>
      </c>
      <c r="CM228" s="991">
        <f t="shared" si="227"/>
        <v>8068.6105499999985</v>
      </c>
      <c r="CN228" s="991">
        <f t="shared" si="227"/>
        <v>8313.1139000000003</v>
      </c>
      <c r="CO228" s="991">
        <f t="shared" si="227"/>
        <v>8557.6172499999993</v>
      </c>
      <c r="CP228" s="991">
        <f t="shared" si="227"/>
        <v>8802.1206000000002</v>
      </c>
      <c r="CQ228" s="991">
        <f t="shared" si="227"/>
        <v>9046.6239499999992</v>
      </c>
      <c r="CR228" s="991">
        <f t="shared" si="227"/>
        <v>9291.1272999999983</v>
      </c>
      <c r="CS228" s="991">
        <f t="shared" si="227"/>
        <v>9535.6306499999992</v>
      </c>
      <c r="CT228" s="991">
        <f t="shared" si="227"/>
        <v>9780.134</v>
      </c>
      <c r="CU228" s="991">
        <f t="shared" si="227"/>
        <v>10024.637349999999</v>
      </c>
      <c r="CV228" s="991">
        <f t="shared" si="227"/>
        <v>10269.1407</v>
      </c>
      <c r="CW228" s="991">
        <f t="shared" si="227"/>
        <v>10513.644049999999</v>
      </c>
      <c r="CX228" s="991">
        <f t="shared" si="227"/>
        <v>10758.147400000002</v>
      </c>
      <c r="CY228" s="991">
        <f t="shared" si="227"/>
        <v>11002.650750000001</v>
      </c>
      <c r="CZ228" s="991">
        <f t="shared" si="227"/>
        <v>11247.154099999998</v>
      </c>
      <c r="DA228" s="991">
        <f t="shared" ref="DA228:DG228" si="228">((DA$227-$I$4)/1000)*$N108*(($C$8/70)^$X$108)*IF($C$13=1,$AF$108,IF($C$13=2,$AG$108,IF($C$13=3,$AH$108,1)))</f>
        <v>11491.657450000001</v>
      </c>
      <c r="DB228" s="991">
        <f t="shared" si="228"/>
        <v>11736.1608</v>
      </c>
      <c r="DC228" s="991">
        <f t="shared" si="228"/>
        <v>11980.664150000001</v>
      </c>
      <c r="DD228" s="991">
        <f t="shared" si="228"/>
        <v>12225.1675</v>
      </c>
      <c r="DE228" s="991">
        <f t="shared" si="228"/>
        <v>12469.670849999999</v>
      </c>
      <c r="DF228" s="991">
        <f t="shared" si="228"/>
        <v>12714.174199999999</v>
      </c>
      <c r="DG228" s="991">
        <f t="shared" si="228"/>
        <v>12958.677549999999</v>
      </c>
    </row>
    <row r="229" spans="1:111" ht="15.75" hidden="1" thickBot="1">
      <c r="B229" s="2438" t="s">
        <v>577</v>
      </c>
      <c r="C229" s="2439"/>
      <c r="D229" s="2437"/>
      <c r="E229" s="1946" t="s">
        <v>184</v>
      </c>
      <c r="F229" s="1946">
        <v>150</v>
      </c>
      <c r="G229" s="1946">
        <v>300</v>
      </c>
      <c r="H229" s="1947">
        <v>4</v>
      </c>
      <c r="I229" s="1948">
        <f t="shared" ref="I229:AN229" si="229">((I$227-$I$4)/1000)*$P108*(($C$8/70)^$Z$108)*IF($C$13=1,$AF$108,IF($C$13=2,$AG$108,IF($C$13=3,$AH$108,1)))</f>
        <v>836.4706349999999</v>
      </c>
      <c r="J229" s="1948">
        <f t="shared" si="229"/>
        <v>1115.2941800000001</v>
      </c>
      <c r="K229" s="1948">
        <f t="shared" si="229"/>
        <v>1394.1177250000001</v>
      </c>
      <c r="L229" s="1948">
        <f t="shared" si="229"/>
        <v>1672.9412699999998</v>
      </c>
      <c r="M229" s="1948">
        <f t="shared" si="229"/>
        <v>1951.764815</v>
      </c>
      <c r="N229" s="1948">
        <f t="shared" si="229"/>
        <v>2230.5883600000002</v>
      </c>
      <c r="O229" s="1948">
        <f t="shared" si="229"/>
        <v>2509.4119050000004</v>
      </c>
      <c r="P229" s="1948">
        <f t="shared" si="229"/>
        <v>2788.2354500000001</v>
      </c>
      <c r="Q229" s="1948">
        <f t="shared" si="229"/>
        <v>3067.0589950000003</v>
      </c>
      <c r="R229" s="1948">
        <f t="shared" si="229"/>
        <v>3345.8825399999996</v>
      </c>
      <c r="S229" s="1948">
        <f t="shared" si="229"/>
        <v>3624.7060850000003</v>
      </c>
      <c r="T229" s="1948">
        <f t="shared" si="229"/>
        <v>3903.52963</v>
      </c>
      <c r="U229" s="1948">
        <f t="shared" si="229"/>
        <v>4182.3531750000002</v>
      </c>
      <c r="V229" s="1948">
        <f t="shared" si="229"/>
        <v>4461.1767200000004</v>
      </c>
      <c r="W229" s="1948">
        <f t="shared" si="229"/>
        <v>4740.0002649999997</v>
      </c>
      <c r="X229" s="1948">
        <f t="shared" si="229"/>
        <v>5018.8238100000008</v>
      </c>
      <c r="Y229" s="1948">
        <f t="shared" si="229"/>
        <v>5297.6473549999992</v>
      </c>
      <c r="Z229" s="1948">
        <f t="shared" si="229"/>
        <v>5576.4709000000003</v>
      </c>
      <c r="AA229" s="1948">
        <f t="shared" si="229"/>
        <v>5855.2944450000005</v>
      </c>
      <c r="AB229" s="1948">
        <f t="shared" si="229"/>
        <v>6134.1179900000006</v>
      </c>
      <c r="AC229" s="1948">
        <f t="shared" si="229"/>
        <v>6412.9415349999999</v>
      </c>
      <c r="AD229" s="1948">
        <f t="shared" si="229"/>
        <v>6691.7650799999992</v>
      </c>
      <c r="AE229" s="1948">
        <f t="shared" si="229"/>
        <v>6970.5886250000003</v>
      </c>
      <c r="AF229" s="1948">
        <f t="shared" si="229"/>
        <v>7249.4121700000005</v>
      </c>
      <c r="AG229" s="1948">
        <f t="shared" si="229"/>
        <v>7528.2357150000007</v>
      </c>
      <c r="AH229" s="1948">
        <f t="shared" si="229"/>
        <v>7807.05926</v>
      </c>
      <c r="AI229" s="1948">
        <f t="shared" si="229"/>
        <v>8085.8828049999993</v>
      </c>
      <c r="AJ229" s="1948">
        <f t="shared" si="229"/>
        <v>8364.7063500000004</v>
      </c>
      <c r="AK229" s="1948">
        <f t="shared" si="229"/>
        <v>8643.5298950000015</v>
      </c>
      <c r="AL229" s="1948">
        <f t="shared" si="229"/>
        <v>8922.3534400000008</v>
      </c>
      <c r="AM229" s="1948">
        <f t="shared" si="229"/>
        <v>9201.1769850000001</v>
      </c>
      <c r="AN229" s="1948">
        <f t="shared" si="229"/>
        <v>9480.0005299999993</v>
      </c>
      <c r="AO229" s="1948">
        <f t="shared" ref="AO229:BT229" si="230">((AO$227-$I$4)/1000)*$P108*(($C$8/70)^$Z$108)*IF($C$13=1,$AF$108,IF($C$13=2,$AG$108,IF($C$13=3,$AH$108,1)))</f>
        <v>9758.8240750000004</v>
      </c>
      <c r="AP229" s="1948">
        <f t="shared" si="230"/>
        <v>10037.647620000002</v>
      </c>
      <c r="AQ229" s="1948">
        <f t="shared" si="230"/>
        <v>10316.471165000001</v>
      </c>
      <c r="AR229" s="1948">
        <f t="shared" si="230"/>
        <v>10595.294709999998</v>
      </c>
      <c r="AS229" s="1948">
        <f t="shared" si="230"/>
        <v>10874.118254999999</v>
      </c>
      <c r="AT229" s="1948">
        <f t="shared" si="230"/>
        <v>11152.941800000001</v>
      </c>
      <c r="AU229" s="1948">
        <f t="shared" si="230"/>
        <v>11431.765344999998</v>
      </c>
      <c r="AV229" s="1948">
        <f t="shared" si="230"/>
        <v>11710.588890000001</v>
      </c>
      <c r="AW229" s="1948">
        <f t="shared" si="230"/>
        <v>11989.412435</v>
      </c>
      <c r="AX229" s="1948">
        <f t="shared" si="230"/>
        <v>12268.235980000001</v>
      </c>
      <c r="AY229" s="1948">
        <f t="shared" si="230"/>
        <v>12547.059525000002</v>
      </c>
      <c r="AZ229" s="1948">
        <f t="shared" si="230"/>
        <v>12825.88307</v>
      </c>
      <c r="BA229" s="1948">
        <f t="shared" si="230"/>
        <v>13104.706615000001</v>
      </c>
      <c r="BB229" s="1948">
        <f t="shared" si="230"/>
        <v>13383.530159999998</v>
      </c>
      <c r="BC229" s="1948">
        <f t="shared" si="230"/>
        <v>13662.353705000001</v>
      </c>
      <c r="BD229" s="1948">
        <f t="shared" si="230"/>
        <v>13941.177250000001</v>
      </c>
      <c r="BE229" s="1948">
        <f t="shared" si="230"/>
        <v>14220.000794999998</v>
      </c>
      <c r="BF229" s="1948">
        <f t="shared" si="230"/>
        <v>14498.824340000001</v>
      </c>
      <c r="BG229" s="1949">
        <f t="shared" si="230"/>
        <v>14777.647885</v>
      </c>
      <c r="BH229" s="995">
        <f t="shared" si="230"/>
        <v>-1951.764815</v>
      </c>
      <c r="BI229" s="991">
        <f t="shared" si="230"/>
        <v>836.4706349999999</v>
      </c>
      <c r="BJ229" s="991">
        <f t="shared" si="230"/>
        <v>1115.2941800000001</v>
      </c>
      <c r="BK229" s="991">
        <f t="shared" si="230"/>
        <v>1394.1177250000001</v>
      </c>
      <c r="BL229" s="991">
        <f t="shared" si="230"/>
        <v>1672.9412699999998</v>
      </c>
      <c r="BM229" s="991">
        <f t="shared" si="230"/>
        <v>1951.764815</v>
      </c>
      <c r="BN229" s="991">
        <f t="shared" si="230"/>
        <v>2230.5883600000002</v>
      </c>
      <c r="BO229" s="991">
        <f t="shared" si="230"/>
        <v>2509.4119050000004</v>
      </c>
      <c r="BP229" s="991">
        <f t="shared" si="230"/>
        <v>2788.2354500000001</v>
      </c>
      <c r="BQ229" s="991">
        <f t="shared" si="230"/>
        <v>3067.0589950000003</v>
      </c>
      <c r="BR229" s="991">
        <f t="shared" si="230"/>
        <v>3345.8825399999996</v>
      </c>
      <c r="BS229" s="991">
        <f t="shared" si="230"/>
        <v>3624.7060850000003</v>
      </c>
      <c r="BT229" s="991">
        <f t="shared" si="230"/>
        <v>3903.52963</v>
      </c>
      <c r="BU229" s="991">
        <f t="shared" ref="BU229:CZ229" si="231">((BU$227-$I$4)/1000)*$P108*(($C$8/70)^$Z$108)*IF($C$13=1,$AF$108,IF($C$13=2,$AG$108,IF($C$13=3,$AH$108,1)))</f>
        <v>4182.3531750000002</v>
      </c>
      <c r="BV229" s="991">
        <f t="shared" si="231"/>
        <v>4461.1767200000004</v>
      </c>
      <c r="BW229" s="991">
        <f t="shared" si="231"/>
        <v>4740.0002649999997</v>
      </c>
      <c r="BX229" s="991">
        <f t="shared" si="231"/>
        <v>5018.8238100000008</v>
      </c>
      <c r="BY229" s="991">
        <f t="shared" si="231"/>
        <v>5297.6473549999992</v>
      </c>
      <c r="BZ229" s="991">
        <f t="shared" si="231"/>
        <v>5576.4709000000003</v>
      </c>
      <c r="CA229" s="991">
        <f t="shared" si="231"/>
        <v>5855.2944450000005</v>
      </c>
      <c r="CB229" s="991">
        <f t="shared" si="231"/>
        <v>6134.1179900000006</v>
      </c>
      <c r="CC229" s="991">
        <f t="shared" si="231"/>
        <v>6412.9415349999999</v>
      </c>
      <c r="CD229" s="991">
        <f t="shared" si="231"/>
        <v>6691.7650799999992</v>
      </c>
      <c r="CE229" s="991">
        <f t="shared" si="231"/>
        <v>6970.5886250000003</v>
      </c>
      <c r="CF229" s="991">
        <f t="shared" si="231"/>
        <v>7249.4121700000005</v>
      </c>
      <c r="CG229" s="991">
        <f t="shared" si="231"/>
        <v>7528.2357150000007</v>
      </c>
      <c r="CH229" s="991">
        <f t="shared" si="231"/>
        <v>7807.05926</v>
      </c>
      <c r="CI229" s="991">
        <f t="shared" si="231"/>
        <v>8085.8828049999993</v>
      </c>
      <c r="CJ229" s="991">
        <f t="shared" si="231"/>
        <v>8364.7063500000004</v>
      </c>
      <c r="CK229" s="991">
        <f t="shared" si="231"/>
        <v>8643.5298950000015</v>
      </c>
      <c r="CL229" s="991">
        <f t="shared" si="231"/>
        <v>8922.3534400000008</v>
      </c>
      <c r="CM229" s="991">
        <f t="shared" si="231"/>
        <v>9201.1769850000001</v>
      </c>
      <c r="CN229" s="991">
        <f t="shared" si="231"/>
        <v>9480.0005299999993</v>
      </c>
      <c r="CO229" s="991">
        <f t="shared" si="231"/>
        <v>9758.8240750000004</v>
      </c>
      <c r="CP229" s="991">
        <f t="shared" si="231"/>
        <v>10037.647620000002</v>
      </c>
      <c r="CQ229" s="991">
        <f t="shared" si="231"/>
        <v>10316.471165000001</v>
      </c>
      <c r="CR229" s="991">
        <f t="shared" si="231"/>
        <v>10595.294709999998</v>
      </c>
      <c r="CS229" s="991">
        <f t="shared" si="231"/>
        <v>10874.118254999999</v>
      </c>
      <c r="CT229" s="991">
        <f t="shared" si="231"/>
        <v>11152.941800000001</v>
      </c>
      <c r="CU229" s="991">
        <f t="shared" si="231"/>
        <v>11431.765344999998</v>
      </c>
      <c r="CV229" s="991">
        <f t="shared" si="231"/>
        <v>11710.588890000001</v>
      </c>
      <c r="CW229" s="991">
        <f t="shared" si="231"/>
        <v>11989.412435</v>
      </c>
      <c r="CX229" s="991">
        <f t="shared" si="231"/>
        <v>12268.235980000001</v>
      </c>
      <c r="CY229" s="991">
        <f t="shared" si="231"/>
        <v>12547.059525000002</v>
      </c>
      <c r="CZ229" s="991">
        <f t="shared" si="231"/>
        <v>12825.88307</v>
      </c>
      <c r="DA229" s="991">
        <f t="shared" ref="DA229:DG229" si="232">((DA$227-$I$4)/1000)*$P108*(($C$8/70)^$Z$108)*IF($C$13=1,$AF$108,IF($C$13=2,$AG$108,IF($C$13=3,$AH$108,1)))</f>
        <v>13104.706615000001</v>
      </c>
      <c r="DB229" s="991">
        <f t="shared" si="232"/>
        <v>13383.530159999998</v>
      </c>
      <c r="DC229" s="991">
        <f t="shared" si="232"/>
        <v>13662.353705000001</v>
      </c>
      <c r="DD229" s="991">
        <f t="shared" si="232"/>
        <v>13941.177250000001</v>
      </c>
      <c r="DE229" s="991">
        <f t="shared" si="232"/>
        <v>14220.000794999998</v>
      </c>
      <c r="DF229" s="991">
        <f t="shared" si="232"/>
        <v>14498.824340000001</v>
      </c>
      <c r="DG229" s="991">
        <f t="shared" si="232"/>
        <v>14777.647885</v>
      </c>
    </row>
    <row r="230" spans="1:111" hidden="1">
      <c r="B230" s="1931"/>
      <c r="C230" s="1931"/>
      <c r="D230" s="1932"/>
      <c r="E230" s="1932"/>
      <c r="F230" s="1932"/>
      <c r="G230" s="1932"/>
      <c r="H230" s="1932"/>
      <c r="I230" s="1933"/>
      <c r="J230" s="1933"/>
      <c r="K230" s="1933"/>
      <c r="L230" s="1933"/>
      <c r="M230" s="1933"/>
      <c r="N230" s="1933"/>
      <c r="O230" s="1933"/>
      <c r="P230" s="1933"/>
      <c r="Q230" s="1933"/>
      <c r="R230" s="1933"/>
      <c r="S230" s="1933"/>
      <c r="T230" s="1933"/>
      <c r="U230" s="1933"/>
      <c r="V230" s="1933"/>
      <c r="W230" s="1933"/>
      <c r="X230" s="1933"/>
      <c r="Y230" s="1933"/>
      <c r="Z230" s="1933"/>
      <c r="AA230" s="1933"/>
      <c r="AB230" s="1933"/>
      <c r="AC230" s="1933"/>
      <c r="AD230" s="1933"/>
      <c r="AE230" s="1933"/>
      <c r="AF230" s="1933"/>
      <c r="AG230" s="1933"/>
      <c r="AH230" s="1933"/>
      <c r="AI230" s="1933"/>
      <c r="AJ230" s="1933"/>
      <c r="AK230" s="1933"/>
      <c r="AL230" s="1933"/>
      <c r="AM230" s="1933"/>
      <c r="AN230" s="1933"/>
      <c r="AO230" s="1933"/>
      <c r="AP230" s="1933"/>
      <c r="AQ230" s="1933"/>
      <c r="AR230" s="1933"/>
      <c r="AS230" s="1933"/>
      <c r="AT230" s="1933"/>
      <c r="AU230" s="1933"/>
      <c r="AV230" s="1933"/>
      <c r="AW230" s="1933"/>
      <c r="AX230" s="1933"/>
      <c r="AY230" s="1933"/>
      <c r="AZ230" s="1933"/>
      <c r="BA230" s="1933"/>
      <c r="BB230" s="1933"/>
      <c r="BC230" s="1933"/>
      <c r="BD230" s="1933"/>
      <c r="BE230" s="1933"/>
      <c r="BF230" s="1933"/>
      <c r="BG230" s="1933"/>
    </row>
    <row r="231" spans="1:111" ht="21.75" hidden="1" thickBot="1">
      <c r="B231" s="2407" t="s">
        <v>375</v>
      </c>
      <c r="C231" s="2408"/>
      <c r="D231" s="1899"/>
      <c r="E231" s="1950"/>
      <c r="F231" s="1950"/>
      <c r="G231" s="1950"/>
      <c r="H231" s="1950"/>
      <c r="I231" s="2411" t="s">
        <v>18</v>
      </c>
      <c r="J231" s="2412"/>
      <c r="K231" s="2412"/>
      <c r="L231" s="2412"/>
      <c r="M231" s="2412"/>
      <c r="N231" s="2412"/>
      <c r="O231" s="2412"/>
      <c r="P231" s="2412"/>
      <c r="Q231" s="2412"/>
      <c r="R231" s="2412"/>
      <c r="S231" s="2412"/>
      <c r="T231" s="2412"/>
      <c r="U231" s="2412"/>
      <c r="V231" s="2412"/>
      <c r="W231" s="2412"/>
      <c r="X231" s="2412"/>
      <c r="Y231" s="2412"/>
      <c r="Z231" s="2412"/>
      <c r="AA231" s="2412"/>
      <c r="AB231" s="2412"/>
      <c r="AC231" s="2412"/>
      <c r="AD231" s="2412"/>
      <c r="AE231" s="2412"/>
      <c r="AF231" s="2412"/>
      <c r="AG231" s="2412"/>
      <c r="AH231" s="2412"/>
      <c r="AI231" s="2412"/>
      <c r="AJ231" s="2412"/>
      <c r="AK231" s="2412"/>
      <c r="AL231" s="2412"/>
      <c r="AM231" s="2412"/>
      <c r="AN231" s="2412"/>
      <c r="AO231" s="2412"/>
      <c r="AP231" s="2412"/>
      <c r="AQ231" s="2412"/>
      <c r="AR231" s="2412"/>
      <c r="AS231" s="2412"/>
      <c r="AT231" s="2412"/>
      <c r="AU231" s="2412"/>
      <c r="AV231" s="2412"/>
      <c r="AW231" s="2412"/>
      <c r="AX231" s="2412"/>
      <c r="AY231" s="2412"/>
      <c r="AZ231" s="2412"/>
      <c r="BA231" s="2412"/>
      <c r="BB231" s="2412"/>
      <c r="BC231" s="2412"/>
      <c r="BD231" s="2412"/>
      <c r="BE231" s="2412"/>
      <c r="BF231" s="2412"/>
      <c r="BG231" s="2413"/>
    </row>
    <row r="232" spans="1:111" ht="21.75" hidden="1" thickBot="1">
      <c r="B232" s="2409"/>
      <c r="C232" s="2410"/>
      <c r="D232" s="1900"/>
      <c r="E232" s="1951"/>
      <c r="F232" s="1951"/>
      <c r="G232" s="1951"/>
      <c r="H232" s="1951"/>
      <c r="I232" s="1901">
        <v>500</v>
      </c>
      <c r="J232" s="1902">
        <v>550</v>
      </c>
      <c r="K232" s="1903">
        <v>600</v>
      </c>
      <c r="L232" s="1904">
        <v>650</v>
      </c>
      <c r="M232" s="1904">
        <v>700</v>
      </c>
      <c r="N232" s="1904">
        <v>750</v>
      </c>
      <c r="O232" s="1904">
        <v>800</v>
      </c>
      <c r="P232" s="1904">
        <v>850</v>
      </c>
      <c r="Q232" s="1904">
        <v>900</v>
      </c>
      <c r="R232" s="1904">
        <v>950</v>
      </c>
      <c r="S232" s="1904">
        <v>1000</v>
      </c>
      <c r="T232" s="1904">
        <v>1050</v>
      </c>
      <c r="U232" s="1904">
        <v>1100</v>
      </c>
      <c r="V232" s="1904">
        <v>1150</v>
      </c>
      <c r="W232" s="1904">
        <v>1200</v>
      </c>
      <c r="X232" s="1904">
        <v>1250</v>
      </c>
      <c r="Y232" s="1904">
        <v>1300</v>
      </c>
      <c r="Z232" s="1904">
        <v>1350</v>
      </c>
      <c r="AA232" s="1904">
        <v>1400</v>
      </c>
      <c r="AB232" s="1904">
        <v>1450</v>
      </c>
      <c r="AC232" s="1904">
        <v>1500</v>
      </c>
      <c r="AD232" s="1904">
        <v>1550</v>
      </c>
      <c r="AE232" s="1904">
        <v>1600</v>
      </c>
      <c r="AF232" s="1904">
        <v>1650</v>
      </c>
      <c r="AG232" s="1904">
        <v>1700</v>
      </c>
      <c r="AH232" s="1904">
        <v>1750</v>
      </c>
      <c r="AI232" s="1904">
        <v>1800</v>
      </c>
      <c r="AJ232" s="1904">
        <v>1850</v>
      </c>
      <c r="AK232" s="1904">
        <v>1900</v>
      </c>
      <c r="AL232" s="1904">
        <v>1950</v>
      </c>
      <c r="AM232" s="1904">
        <v>2000</v>
      </c>
      <c r="AN232" s="1904">
        <v>2050</v>
      </c>
      <c r="AO232" s="1904">
        <v>2100</v>
      </c>
      <c r="AP232" s="1904">
        <v>2150</v>
      </c>
      <c r="AQ232" s="1904">
        <v>2200</v>
      </c>
      <c r="AR232" s="1904">
        <v>2250</v>
      </c>
      <c r="AS232" s="1904">
        <v>2300</v>
      </c>
      <c r="AT232" s="1904">
        <v>2350</v>
      </c>
      <c r="AU232" s="1904">
        <v>2400</v>
      </c>
      <c r="AV232" s="1904">
        <v>2450</v>
      </c>
      <c r="AW232" s="1904">
        <v>2500</v>
      </c>
      <c r="AX232" s="1904">
        <v>2550</v>
      </c>
      <c r="AY232" s="1904">
        <v>2600</v>
      </c>
      <c r="AZ232" s="1904">
        <v>2650</v>
      </c>
      <c r="BA232" s="1904">
        <v>2700</v>
      </c>
      <c r="BB232" s="1904">
        <v>2750</v>
      </c>
      <c r="BC232" s="1904">
        <v>2800</v>
      </c>
      <c r="BD232" s="1904">
        <v>2850</v>
      </c>
      <c r="BE232" s="1904">
        <v>2900</v>
      </c>
      <c r="BF232" s="1905">
        <v>2950</v>
      </c>
      <c r="BG232" s="1906">
        <v>3000</v>
      </c>
    </row>
    <row r="233" spans="1:111" hidden="1">
      <c r="B233" s="2414" t="s">
        <v>578</v>
      </c>
      <c r="C233" s="2415"/>
      <c r="D233" s="2416"/>
      <c r="E233" s="1952" t="s">
        <v>313</v>
      </c>
      <c r="F233" s="1952">
        <v>75</v>
      </c>
      <c r="G233" s="1952">
        <v>260</v>
      </c>
      <c r="H233" s="1952">
        <v>2</v>
      </c>
      <c r="I233" s="1953">
        <f t="shared" ref="I233:AN233" si="233">((I$232-$I$4)/1000)*$N$118*(($C$8/70)^$X$118)*IF($C$13=1,$AF$117,IF($C$13=2,$AG$117,IF($C$13=3,$AH$117,1)))</f>
        <v>268.90801199999993</v>
      </c>
      <c r="J233" s="1953">
        <f t="shared" si="233"/>
        <v>358.54401599999994</v>
      </c>
      <c r="K233" s="1953">
        <f t="shared" si="233"/>
        <v>448.1800199999999</v>
      </c>
      <c r="L233" s="1953">
        <f t="shared" si="233"/>
        <v>537.81602399999986</v>
      </c>
      <c r="M233" s="1953">
        <f t="shared" si="233"/>
        <v>627.45202799999993</v>
      </c>
      <c r="N233" s="1953">
        <f t="shared" si="233"/>
        <v>717.08803199999988</v>
      </c>
      <c r="O233" s="1953">
        <f t="shared" si="233"/>
        <v>806.72403599999984</v>
      </c>
      <c r="P233" s="1953">
        <f t="shared" si="233"/>
        <v>896.3600399999998</v>
      </c>
      <c r="Q233" s="1953">
        <f t="shared" si="233"/>
        <v>985.99604399999987</v>
      </c>
      <c r="R233" s="1953">
        <f t="shared" si="233"/>
        <v>1075.6320479999997</v>
      </c>
      <c r="S233" s="1953">
        <f t="shared" si="233"/>
        <v>1165.2680519999999</v>
      </c>
      <c r="T233" s="1953">
        <f t="shared" si="233"/>
        <v>1254.9040559999999</v>
      </c>
      <c r="U233" s="1953">
        <f t="shared" si="233"/>
        <v>1344.5400599999998</v>
      </c>
      <c r="V233" s="1953">
        <f t="shared" si="233"/>
        <v>1434.1760639999998</v>
      </c>
      <c r="W233" s="1953">
        <f t="shared" si="233"/>
        <v>1523.8120679999997</v>
      </c>
      <c r="X233" s="1953">
        <f t="shared" si="233"/>
        <v>1613.4480719999997</v>
      </c>
      <c r="Y233" s="1953">
        <f t="shared" si="233"/>
        <v>1703.0840759999996</v>
      </c>
      <c r="Z233" s="1953">
        <f t="shared" si="233"/>
        <v>1792.7200799999996</v>
      </c>
      <c r="AA233" s="1953">
        <f t="shared" si="233"/>
        <v>1882.3560839999998</v>
      </c>
      <c r="AB233" s="1953">
        <f t="shared" si="233"/>
        <v>1971.9920879999997</v>
      </c>
      <c r="AC233" s="1953">
        <f t="shared" si="233"/>
        <v>2061.6280919999995</v>
      </c>
      <c r="AD233" s="1953">
        <f t="shared" si="233"/>
        <v>2151.2640959999994</v>
      </c>
      <c r="AE233" s="1953">
        <f t="shared" si="233"/>
        <v>2240.9000999999998</v>
      </c>
      <c r="AF233" s="1953">
        <f t="shared" si="233"/>
        <v>2330.5361039999998</v>
      </c>
      <c r="AG233" s="1953">
        <f t="shared" si="233"/>
        <v>2420.1721079999998</v>
      </c>
      <c r="AH233" s="1953">
        <f t="shared" si="233"/>
        <v>2509.8081119999997</v>
      </c>
      <c r="AI233" s="1953">
        <f t="shared" si="233"/>
        <v>2599.4441159999992</v>
      </c>
      <c r="AJ233" s="1953">
        <f t="shared" si="233"/>
        <v>2689.0801199999996</v>
      </c>
      <c r="AK233" s="1953">
        <f t="shared" si="233"/>
        <v>2778.7161239999996</v>
      </c>
      <c r="AL233" s="1953">
        <f t="shared" si="233"/>
        <v>2868.3521279999995</v>
      </c>
      <c r="AM233" s="1953">
        <f t="shared" si="233"/>
        <v>2957.9881319999995</v>
      </c>
      <c r="AN233" s="1953">
        <f t="shared" si="233"/>
        <v>3047.6241359999995</v>
      </c>
      <c r="AO233" s="1953">
        <f t="shared" ref="AO233:BT233" si="234">((AO$232-$I$4)/1000)*$N$118*(($C$8/70)^$X$118)*IF($C$13=1,$AF$117,IF($C$13=2,$AG$117,IF($C$13=3,$AH$117,1)))</f>
        <v>3137.2601399999994</v>
      </c>
      <c r="AP233" s="1953">
        <f t="shared" si="234"/>
        <v>3226.8961439999994</v>
      </c>
      <c r="AQ233" s="1953">
        <f t="shared" si="234"/>
        <v>3316.5321479999998</v>
      </c>
      <c r="AR233" s="1953">
        <f t="shared" si="234"/>
        <v>3406.1681519999993</v>
      </c>
      <c r="AS233" s="1953">
        <f t="shared" si="234"/>
        <v>3495.8041559999992</v>
      </c>
      <c r="AT233" s="1953">
        <f t="shared" si="234"/>
        <v>3585.4401599999992</v>
      </c>
      <c r="AU233" s="1953">
        <f t="shared" si="234"/>
        <v>3675.0761639999987</v>
      </c>
      <c r="AV233" s="1953">
        <f t="shared" si="234"/>
        <v>3764.7121679999996</v>
      </c>
      <c r="AW233" s="1953">
        <f t="shared" si="234"/>
        <v>3854.3481719999991</v>
      </c>
      <c r="AX233" s="1953">
        <f t="shared" si="234"/>
        <v>3943.9841759999995</v>
      </c>
      <c r="AY233" s="1953">
        <f t="shared" si="234"/>
        <v>4033.6201799999994</v>
      </c>
      <c r="AZ233" s="1953">
        <f t="shared" si="234"/>
        <v>4123.2561839999989</v>
      </c>
      <c r="BA233" s="1953">
        <f t="shared" si="234"/>
        <v>4212.8921879999989</v>
      </c>
      <c r="BB233" s="1953">
        <f t="shared" si="234"/>
        <v>4302.5281919999989</v>
      </c>
      <c r="BC233" s="1953">
        <f t="shared" si="234"/>
        <v>4392.1641959999997</v>
      </c>
      <c r="BD233" s="1953">
        <f t="shared" si="234"/>
        <v>4481.8001999999997</v>
      </c>
      <c r="BE233" s="1953">
        <f t="shared" si="234"/>
        <v>4571.4362039999987</v>
      </c>
      <c r="BF233" s="1953">
        <f t="shared" si="234"/>
        <v>4661.0722079999996</v>
      </c>
      <c r="BG233" s="1953">
        <f t="shared" si="234"/>
        <v>4750.7082119999995</v>
      </c>
      <c r="BH233" s="865">
        <f t="shared" si="234"/>
        <v>-627.45202799999993</v>
      </c>
      <c r="BI233" s="865">
        <f t="shared" si="234"/>
        <v>-627.45202799999993</v>
      </c>
      <c r="BJ233" s="865">
        <f t="shared" si="234"/>
        <v>-627.45202799999993</v>
      </c>
      <c r="BK233" s="865">
        <f t="shared" si="234"/>
        <v>-627.45202799999993</v>
      </c>
      <c r="BL233" s="865">
        <f t="shared" si="234"/>
        <v>-627.45202799999993</v>
      </c>
      <c r="BM233" s="865">
        <f t="shared" si="234"/>
        <v>-627.45202799999993</v>
      </c>
      <c r="BN233" s="865">
        <f t="shared" si="234"/>
        <v>-627.45202799999993</v>
      </c>
      <c r="BO233" s="865">
        <f t="shared" si="234"/>
        <v>-627.45202799999993</v>
      </c>
      <c r="BP233" s="865">
        <f t="shared" si="234"/>
        <v>-627.45202799999993</v>
      </c>
      <c r="BQ233" s="865">
        <f t="shared" si="234"/>
        <v>-627.45202799999993</v>
      </c>
      <c r="BR233" s="865">
        <f t="shared" si="234"/>
        <v>-627.45202799999993</v>
      </c>
      <c r="BS233" s="865">
        <f t="shared" si="234"/>
        <v>-627.45202799999993</v>
      </c>
      <c r="BT233" s="865">
        <f t="shared" si="234"/>
        <v>-627.45202799999993</v>
      </c>
      <c r="BU233" s="865">
        <f t="shared" ref="BU233:CZ233" si="235">((BU$232-$I$4)/1000)*$N$118*(($C$8/70)^$X$118)*IF($C$13=1,$AF$117,IF($C$13=2,$AG$117,IF($C$13=3,$AH$117,1)))</f>
        <v>-627.45202799999993</v>
      </c>
      <c r="BV233" s="865">
        <f t="shared" si="235"/>
        <v>-627.45202799999993</v>
      </c>
      <c r="BW233" s="865">
        <f t="shared" si="235"/>
        <v>-627.45202799999993</v>
      </c>
      <c r="BX233" s="865">
        <f t="shared" si="235"/>
        <v>-627.45202799999993</v>
      </c>
      <c r="BY233" s="865">
        <f t="shared" si="235"/>
        <v>-627.45202799999993</v>
      </c>
      <c r="BZ233" s="865">
        <f t="shared" si="235"/>
        <v>-627.45202799999993</v>
      </c>
      <c r="CA233" s="865">
        <f t="shared" si="235"/>
        <v>-627.45202799999993</v>
      </c>
      <c r="CB233" s="865">
        <f t="shared" si="235"/>
        <v>-627.45202799999993</v>
      </c>
      <c r="CC233" s="865">
        <f t="shared" si="235"/>
        <v>-627.45202799999993</v>
      </c>
      <c r="CD233" s="865">
        <f t="shared" si="235"/>
        <v>-627.45202799999993</v>
      </c>
      <c r="CE233" s="865">
        <f t="shared" si="235"/>
        <v>-627.45202799999993</v>
      </c>
      <c r="CF233" s="865">
        <f t="shared" si="235"/>
        <v>-627.45202799999993</v>
      </c>
      <c r="CG233" s="865">
        <f t="shared" si="235"/>
        <v>-627.45202799999993</v>
      </c>
      <c r="CH233" s="865">
        <f t="shared" si="235"/>
        <v>-627.45202799999993</v>
      </c>
      <c r="CI233" s="865">
        <f t="shared" si="235"/>
        <v>-627.45202799999993</v>
      </c>
      <c r="CJ233" s="865">
        <f t="shared" si="235"/>
        <v>-627.45202799999993</v>
      </c>
      <c r="CK233" s="865">
        <f t="shared" si="235"/>
        <v>-627.45202799999993</v>
      </c>
      <c r="CL233" s="865">
        <f t="shared" si="235"/>
        <v>-627.45202799999993</v>
      </c>
      <c r="CM233" s="865">
        <f t="shared" si="235"/>
        <v>-627.45202799999993</v>
      </c>
      <c r="CN233" s="865">
        <f t="shared" si="235"/>
        <v>-627.45202799999993</v>
      </c>
      <c r="CO233" s="865">
        <f t="shared" si="235"/>
        <v>-627.45202799999993</v>
      </c>
      <c r="CP233" s="865">
        <f t="shared" si="235"/>
        <v>-627.45202799999993</v>
      </c>
      <c r="CQ233" s="865">
        <f t="shared" si="235"/>
        <v>-627.45202799999993</v>
      </c>
      <c r="CR233" s="865">
        <f t="shared" si="235"/>
        <v>-627.45202799999993</v>
      </c>
      <c r="CS233" s="865">
        <f t="shared" si="235"/>
        <v>-627.45202799999993</v>
      </c>
      <c r="CT233" s="865">
        <f t="shared" si="235"/>
        <v>-627.45202799999993</v>
      </c>
      <c r="CU233" s="865">
        <f t="shared" si="235"/>
        <v>-627.45202799999993</v>
      </c>
      <c r="CV233" s="865">
        <f t="shared" si="235"/>
        <v>-627.45202799999993</v>
      </c>
      <c r="CW233" s="865">
        <f t="shared" si="235"/>
        <v>-627.45202799999993</v>
      </c>
      <c r="CX233" s="865">
        <f t="shared" si="235"/>
        <v>-627.45202799999993</v>
      </c>
      <c r="CY233" s="865">
        <f t="shared" si="235"/>
        <v>-627.45202799999993</v>
      </c>
      <c r="CZ233" s="865">
        <f t="shared" si="235"/>
        <v>-627.45202799999993</v>
      </c>
      <c r="DA233" s="865">
        <f t="shared" ref="DA233:DG233" si="236">((DA$232-$I$4)/1000)*$N$118*(($C$8/70)^$X$118)*IF($C$13=1,$AF$117,IF($C$13=2,$AG$117,IF($C$13=3,$AH$117,1)))</f>
        <v>-627.45202799999993</v>
      </c>
      <c r="DB233" s="865">
        <f t="shared" si="236"/>
        <v>-627.45202799999993</v>
      </c>
      <c r="DC233" s="865">
        <f t="shared" si="236"/>
        <v>-627.45202799999993</v>
      </c>
      <c r="DD233" s="865">
        <f t="shared" si="236"/>
        <v>-627.45202799999993</v>
      </c>
      <c r="DE233" s="865">
        <f t="shared" si="236"/>
        <v>-627.45202799999993</v>
      </c>
      <c r="DF233" s="865">
        <f t="shared" si="236"/>
        <v>-627.45202799999993</v>
      </c>
      <c r="DG233" s="865">
        <f t="shared" si="236"/>
        <v>-627.45202799999993</v>
      </c>
    </row>
    <row r="234" spans="1:111" ht="15.75" hidden="1" customHeight="1">
      <c r="B234" s="2419" t="s">
        <v>361</v>
      </c>
      <c r="C234" s="2420"/>
      <c r="D234" s="2417"/>
      <c r="E234" s="1954"/>
      <c r="F234" s="1954"/>
      <c r="G234" s="1954"/>
      <c r="H234" s="1954"/>
      <c r="I234" s="1955">
        <f t="shared" ref="I234:AN234" si="237">((I$232-$I$4)/1000)*$O$118*(($C$8/70)^$Y$118)*IF($C$13=1,$AF$117,IF($C$13=2,$AG$117,IF($C$13=3,$AH$117,1)))</f>
        <v>297.82285200000001</v>
      </c>
      <c r="J234" s="1955">
        <f t="shared" si="237"/>
        <v>397.09713600000003</v>
      </c>
      <c r="K234" s="1955">
        <f t="shared" si="237"/>
        <v>496.37142</v>
      </c>
      <c r="L234" s="1955">
        <f t="shared" si="237"/>
        <v>595.64570400000002</v>
      </c>
      <c r="M234" s="1955">
        <f t="shared" si="237"/>
        <v>694.91998799999999</v>
      </c>
      <c r="N234" s="1955">
        <f t="shared" si="237"/>
        <v>794.19427200000007</v>
      </c>
      <c r="O234" s="1955">
        <f t="shared" si="237"/>
        <v>893.46855600000004</v>
      </c>
      <c r="P234" s="1955">
        <f t="shared" si="237"/>
        <v>992.74284</v>
      </c>
      <c r="Q234" s="1955">
        <f t="shared" si="237"/>
        <v>1092.0171240000002</v>
      </c>
      <c r="R234" s="1955">
        <f t="shared" si="237"/>
        <v>1191.291408</v>
      </c>
      <c r="S234" s="1955">
        <f t="shared" si="237"/>
        <v>1290.5656920000001</v>
      </c>
      <c r="T234" s="1955">
        <f t="shared" si="237"/>
        <v>1389.839976</v>
      </c>
      <c r="U234" s="1955">
        <f t="shared" si="237"/>
        <v>1489.1142599999998</v>
      </c>
      <c r="V234" s="1955">
        <f t="shared" si="237"/>
        <v>1588.3885440000001</v>
      </c>
      <c r="W234" s="1955">
        <f t="shared" si="237"/>
        <v>1687.6628279999998</v>
      </c>
      <c r="X234" s="1955">
        <f t="shared" si="237"/>
        <v>1786.9371120000001</v>
      </c>
      <c r="Y234" s="1955">
        <f t="shared" si="237"/>
        <v>1886.2113959999997</v>
      </c>
      <c r="Z234" s="1955">
        <f t="shared" si="237"/>
        <v>1985.48568</v>
      </c>
      <c r="AA234" s="1955">
        <f t="shared" si="237"/>
        <v>2084.7599640000003</v>
      </c>
      <c r="AB234" s="1955">
        <f t="shared" si="237"/>
        <v>2184.0342480000004</v>
      </c>
      <c r="AC234" s="1955">
        <f t="shared" si="237"/>
        <v>2283.3085319999996</v>
      </c>
      <c r="AD234" s="1955">
        <f t="shared" si="237"/>
        <v>2382.5828160000001</v>
      </c>
      <c r="AE234" s="1955">
        <f t="shared" si="237"/>
        <v>2481.8571000000002</v>
      </c>
      <c r="AF234" s="1955">
        <f t="shared" si="237"/>
        <v>2581.1313840000003</v>
      </c>
      <c r="AG234" s="1955">
        <f t="shared" si="237"/>
        <v>2680.4056679999999</v>
      </c>
      <c r="AH234" s="1955">
        <f t="shared" si="237"/>
        <v>2779.679952</v>
      </c>
      <c r="AI234" s="1955">
        <f t="shared" si="237"/>
        <v>2878.954236</v>
      </c>
      <c r="AJ234" s="1955">
        <f t="shared" si="237"/>
        <v>2978.2285199999997</v>
      </c>
      <c r="AK234" s="1955">
        <f t="shared" si="237"/>
        <v>3077.5028039999997</v>
      </c>
      <c r="AL234" s="1955">
        <f t="shared" si="237"/>
        <v>3176.7770880000003</v>
      </c>
      <c r="AM234" s="1955">
        <f t="shared" si="237"/>
        <v>3276.0513719999999</v>
      </c>
      <c r="AN234" s="1955">
        <f t="shared" si="237"/>
        <v>3375.3256559999995</v>
      </c>
      <c r="AO234" s="1955">
        <f t="shared" ref="AO234:BT234" si="238">((AO$232-$I$4)/1000)*$O$118*(($C$8/70)^$Y$118)*IF($C$13=1,$AF$117,IF($C$13=2,$AG$117,IF($C$13=3,$AH$117,1)))</f>
        <v>3474.5999400000001</v>
      </c>
      <c r="AP234" s="1955">
        <f t="shared" si="238"/>
        <v>3573.8742240000001</v>
      </c>
      <c r="AQ234" s="1955">
        <f t="shared" si="238"/>
        <v>3673.1485080000002</v>
      </c>
      <c r="AR234" s="1955">
        <f t="shared" si="238"/>
        <v>3772.4227919999994</v>
      </c>
      <c r="AS234" s="1955">
        <f t="shared" si="238"/>
        <v>3871.6970759999999</v>
      </c>
      <c r="AT234" s="1955">
        <f t="shared" si="238"/>
        <v>3970.97136</v>
      </c>
      <c r="AU234" s="1955">
        <f t="shared" si="238"/>
        <v>4070.2456439999992</v>
      </c>
      <c r="AV234" s="1955">
        <f t="shared" si="238"/>
        <v>4169.5199280000006</v>
      </c>
      <c r="AW234" s="1955">
        <f t="shared" si="238"/>
        <v>4268.7942119999998</v>
      </c>
      <c r="AX234" s="1955">
        <f t="shared" si="238"/>
        <v>4368.0684960000008</v>
      </c>
      <c r="AY234" s="1955">
        <f t="shared" si="238"/>
        <v>4467.3427799999999</v>
      </c>
      <c r="AZ234" s="1955">
        <f t="shared" si="238"/>
        <v>4566.6170639999991</v>
      </c>
      <c r="BA234" s="1955">
        <f t="shared" si="238"/>
        <v>4665.8913480000001</v>
      </c>
      <c r="BB234" s="1955">
        <f t="shared" si="238"/>
        <v>4765.1656320000002</v>
      </c>
      <c r="BC234" s="1955">
        <f t="shared" si="238"/>
        <v>4864.4399160000003</v>
      </c>
      <c r="BD234" s="1955">
        <f t="shared" si="238"/>
        <v>4963.7142000000003</v>
      </c>
      <c r="BE234" s="1955">
        <f t="shared" si="238"/>
        <v>5062.9884839999995</v>
      </c>
      <c r="BF234" s="1955">
        <f t="shared" si="238"/>
        <v>5162.2627680000005</v>
      </c>
      <c r="BG234" s="1955">
        <f t="shared" si="238"/>
        <v>5261.5370519999997</v>
      </c>
      <c r="BH234" s="865">
        <f t="shared" si="238"/>
        <v>-694.91998799999999</v>
      </c>
      <c r="BI234" s="865">
        <f t="shared" si="238"/>
        <v>-694.91998799999999</v>
      </c>
      <c r="BJ234" s="865">
        <f t="shared" si="238"/>
        <v>-694.91998799999999</v>
      </c>
      <c r="BK234" s="865">
        <f t="shared" si="238"/>
        <v>-694.91998799999999</v>
      </c>
      <c r="BL234" s="865">
        <f t="shared" si="238"/>
        <v>-694.91998799999999</v>
      </c>
      <c r="BM234" s="865">
        <f t="shared" si="238"/>
        <v>-694.91998799999999</v>
      </c>
      <c r="BN234" s="865">
        <f t="shared" si="238"/>
        <v>-694.91998799999999</v>
      </c>
      <c r="BO234" s="865">
        <f t="shared" si="238"/>
        <v>-694.91998799999999</v>
      </c>
      <c r="BP234" s="865">
        <f t="shared" si="238"/>
        <v>-694.91998799999999</v>
      </c>
      <c r="BQ234" s="865">
        <f t="shared" si="238"/>
        <v>-694.91998799999999</v>
      </c>
      <c r="BR234" s="865">
        <f t="shared" si="238"/>
        <v>-694.91998799999999</v>
      </c>
      <c r="BS234" s="865">
        <f t="shared" si="238"/>
        <v>-694.91998799999999</v>
      </c>
      <c r="BT234" s="865">
        <f t="shared" si="238"/>
        <v>-694.91998799999999</v>
      </c>
      <c r="BU234" s="865">
        <f t="shared" ref="BU234:CZ234" si="239">((BU$232-$I$4)/1000)*$O$118*(($C$8/70)^$Y$118)*IF($C$13=1,$AF$117,IF($C$13=2,$AG$117,IF($C$13=3,$AH$117,1)))</f>
        <v>-694.91998799999999</v>
      </c>
      <c r="BV234" s="865">
        <f t="shared" si="239"/>
        <v>-694.91998799999999</v>
      </c>
      <c r="BW234" s="865">
        <f t="shared" si="239"/>
        <v>-694.91998799999999</v>
      </c>
      <c r="BX234" s="865">
        <f t="shared" si="239"/>
        <v>-694.91998799999999</v>
      </c>
      <c r="BY234" s="865">
        <f t="shared" si="239"/>
        <v>-694.91998799999999</v>
      </c>
      <c r="BZ234" s="865">
        <f t="shared" si="239"/>
        <v>-694.91998799999999</v>
      </c>
      <c r="CA234" s="865">
        <f t="shared" si="239"/>
        <v>-694.91998799999999</v>
      </c>
      <c r="CB234" s="865">
        <f t="shared" si="239"/>
        <v>-694.91998799999999</v>
      </c>
      <c r="CC234" s="865">
        <f t="shared" si="239"/>
        <v>-694.91998799999999</v>
      </c>
      <c r="CD234" s="865">
        <f t="shared" si="239"/>
        <v>-694.91998799999999</v>
      </c>
      <c r="CE234" s="865">
        <f t="shared" si="239"/>
        <v>-694.91998799999999</v>
      </c>
      <c r="CF234" s="865">
        <f t="shared" si="239"/>
        <v>-694.91998799999999</v>
      </c>
      <c r="CG234" s="865">
        <f t="shared" si="239"/>
        <v>-694.91998799999999</v>
      </c>
      <c r="CH234" s="865">
        <f t="shared" si="239"/>
        <v>-694.91998799999999</v>
      </c>
      <c r="CI234" s="865">
        <f t="shared" si="239"/>
        <v>-694.91998799999999</v>
      </c>
      <c r="CJ234" s="865">
        <f t="shared" si="239"/>
        <v>-694.91998799999999</v>
      </c>
      <c r="CK234" s="865">
        <f t="shared" si="239"/>
        <v>-694.91998799999999</v>
      </c>
      <c r="CL234" s="865">
        <f t="shared" si="239"/>
        <v>-694.91998799999999</v>
      </c>
      <c r="CM234" s="865">
        <f t="shared" si="239"/>
        <v>-694.91998799999999</v>
      </c>
      <c r="CN234" s="865">
        <f t="shared" si="239"/>
        <v>-694.91998799999999</v>
      </c>
      <c r="CO234" s="865">
        <f t="shared" si="239"/>
        <v>-694.91998799999999</v>
      </c>
      <c r="CP234" s="865">
        <f t="shared" si="239"/>
        <v>-694.91998799999999</v>
      </c>
      <c r="CQ234" s="865">
        <f t="shared" si="239"/>
        <v>-694.91998799999999</v>
      </c>
      <c r="CR234" s="865">
        <f t="shared" si="239"/>
        <v>-694.91998799999999</v>
      </c>
      <c r="CS234" s="865">
        <f t="shared" si="239"/>
        <v>-694.91998799999999</v>
      </c>
      <c r="CT234" s="865">
        <f t="shared" si="239"/>
        <v>-694.91998799999999</v>
      </c>
      <c r="CU234" s="865">
        <f t="shared" si="239"/>
        <v>-694.91998799999999</v>
      </c>
      <c r="CV234" s="865">
        <f t="shared" si="239"/>
        <v>-694.91998799999999</v>
      </c>
      <c r="CW234" s="865">
        <f t="shared" si="239"/>
        <v>-694.91998799999999</v>
      </c>
      <c r="CX234" s="865">
        <f t="shared" si="239"/>
        <v>-694.91998799999999</v>
      </c>
      <c r="CY234" s="865">
        <f t="shared" si="239"/>
        <v>-694.91998799999999</v>
      </c>
      <c r="CZ234" s="865">
        <f t="shared" si="239"/>
        <v>-694.91998799999999</v>
      </c>
      <c r="DA234" s="865">
        <f t="shared" ref="DA234:DG234" si="240">((DA$232-$I$4)/1000)*$O$118*(($C$8/70)^$Y$118)*IF($C$13=1,$AF$117,IF($C$13=2,$AG$117,IF($C$13=3,$AH$117,1)))</f>
        <v>-694.91998799999999</v>
      </c>
      <c r="DB234" s="865">
        <f t="shared" si="240"/>
        <v>-694.91998799999999</v>
      </c>
      <c r="DC234" s="865">
        <f t="shared" si="240"/>
        <v>-694.91998799999999</v>
      </c>
      <c r="DD234" s="865">
        <f t="shared" si="240"/>
        <v>-694.91998799999999</v>
      </c>
      <c r="DE234" s="865">
        <f t="shared" si="240"/>
        <v>-694.91998799999999</v>
      </c>
      <c r="DF234" s="865">
        <f t="shared" si="240"/>
        <v>-694.91998799999999</v>
      </c>
      <c r="DG234" s="865">
        <f t="shared" si="240"/>
        <v>-694.91998799999999</v>
      </c>
    </row>
    <row r="235" spans="1:111" ht="15.75" hidden="1" customHeight="1">
      <c r="B235" s="2419" t="s">
        <v>362</v>
      </c>
      <c r="C235" s="2420"/>
      <c r="D235" s="2417"/>
      <c r="E235" s="1954"/>
      <c r="F235" s="1954"/>
      <c r="G235" s="1954"/>
      <c r="H235" s="1954"/>
      <c r="I235" s="1955">
        <f t="shared" ref="I235:AN235" si="241">((I$232-$I$4)/1000)*$Q$118*(($C$8/70)^$AA$118)*IF($C$13=1,$AF$117,IF($C$13=2,$AG$117,IF($C$13=3,$AH$117,1)))</f>
        <v>415.4098679999999</v>
      </c>
      <c r="J235" s="1955">
        <f t="shared" si="241"/>
        <v>553.87982399999999</v>
      </c>
      <c r="K235" s="1955">
        <f t="shared" si="241"/>
        <v>692.3497799999999</v>
      </c>
      <c r="L235" s="1955">
        <f t="shared" si="241"/>
        <v>830.81973599999981</v>
      </c>
      <c r="M235" s="1955">
        <f t="shared" si="241"/>
        <v>969.28969199999983</v>
      </c>
      <c r="N235" s="1955">
        <f t="shared" si="241"/>
        <v>1107.759648</v>
      </c>
      <c r="O235" s="1955">
        <f t="shared" si="241"/>
        <v>1246.2296039999999</v>
      </c>
      <c r="P235" s="1955">
        <f t="shared" si="241"/>
        <v>1384.6995599999998</v>
      </c>
      <c r="Q235" s="1955">
        <f t="shared" si="241"/>
        <v>1523.1695159999999</v>
      </c>
      <c r="R235" s="1955">
        <f t="shared" si="241"/>
        <v>1661.6394719999996</v>
      </c>
      <c r="S235" s="1955">
        <f t="shared" si="241"/>
        <v>1800.1094279999998</v>
      </c>
      <c r="T235" s="1955">
        <f t="shared" si="241"/>
        <v>1938.5793839999997</v>
      </c>
      <c r="U235" s="1955">
        <f t="shared" si="241"/>
        <v>2077.04934</v>
      </c>
      <c r="V235" s="1955">
        <f t="shared" si="241"/>
        <v>2215.5192959999999</v>
      </c>
      <c r="W235" s="1955">
        <f t="shared" si="241"/>
        <v>2353.9892519999999</v>
      </c>
      <c r="X235" s="1955">
        <f t="shared" si="241"/>
        <v>2492.4592079999998</v>
      </c>
      <c r="Y235" s="1955">
        <f t="shared" si="241"/>
        <v>2630.9291639999997</v>
      </c>
      <c r="Z235" s="1955">
        <f t="shared" si="241"/>
        <v>2769.3991199999996</v>
      </c>
      <c r="AA235" s="1955">
        <f t="shared" si="241"/>
        <v>2907.8690759999995</v>
      </c>
      <c r="AB235" s="1955">
        <f t="shared" si="241"/>
        <v>3046.3390319999999</v>
      </c>
      <c r="AC235" s="1955">
        <f t="shared" si="241"/>
        <v>3184.8089879999993</v>
      </c>
      <c r="AD235" s="1955">
        <f t="shared" si="241"/>
        <v>3323.2789439999992</v>
      </c>
      <c r="AE235" s="1955">
        <f t="shared" si="241"/>
        <v>3461.7488999999991</v>
      </c>
      <c r="AF235" s="1955">
        <f t="shared" si="241"/>
        <v>3600.2188559999995</v>
      </c>
      <c r="AG235" s="1955">
        <f t="shared" si="241"/>
        <v>3738.6888119999999</v>
      </c>
      <c r="AH235" s="1955">
        <f t="shared" si="241"/>
        <v>3877.1587679999993</v>
      </c>
      <c r="AI235" s="1955">
        <f t="shared" si="241"/>
        <v>4015.6287239999992</v>
      </c>
      <c r="AJ235" s="1955">
        <f t="shared" si="241"/>
        <v>4154.0986800000001</v>
      </c>
      <c r="AK235" s="1955">
        <f t="shared" si="241"/>
        <v>4292.568636</v>
      </c>
      <c r="AL235" s="1955">
        <f t="shared" si="241"/>
        <v>4431.0385919999999</v>
      </c>
      <c r="AM235" s="1955">
        <f t="shared" si="241"/>
        <v>4569.5085479999989</v>
      </c>
      <c r="AN235" s="1955">
        <f t="shared" si="241"/>
        <v>4707.9785039999997</v>
      </c>
      <c r="AO235" s="1955">
        <f t="shared" ref="AO235:BT235" si="242">((AO$232-$I$4)/1000)*$Q$118*(($C$8/70)^$AA$118)*IF($C$13=1,$AF$117,IF($C$13=2,$AG$117,IF($C$13=3,$AH$117,1)))</f>
        <v>4846.4484599999996</v>
      </c>
      <c r="AP235" s="1955">
        <f t="shared" si="242"/>
        <v>4984.9184159999995</v>
      </c>
      <c r="AQ235" s="1955">
        <f t="shared" si="242"/>
        <v>5123.3883719999994</v>
      </c>
      <c r="AR235" s="1955">
        <f t="shared" si="242"/>
        <v>5261.8583279999993</v>
      </c>
      <c r="AS235" s="1955">
        <f t="shared" si="242"/>
        <v>5400.3282839999993</v>
      </c>
      <c r="AT235" s="1955">
        <f t="shared" si="242"/>
        <v>5538.7982399999992</v>
      </c>
      <c r="AU235" s="1955">
        <f t="shared" si="242"/>
        <v>5677.2681959999982</v>
      </c>
      <c r="AV235" s="1955">
        <f t="shared" si="242"/>
        <v>5815.738151999999</v>
      </c>
      <c r="AW235" s="1955">
        <f t="shared" si="242"/>
        <v>5954.2081079999989</v>
      </c>
      <c r="AX235" s="1955">
        <f t="shared" si="242"/>
        <v>6092.6780639999997</v>
      </c>
      <c r="AY235" s="1955">
        <f t="shared" si="242"/>
        <v>6231.1480199999987</v>
      </c>
      <c r="AZ235" s="1955">
        <f t="shared" si="242"/>
        <v>6369.6179759999986</v>
      </c>
      <c r="BA235" s="1955">
        <f t="shared" si="242"/>
        <v>6508.0879319999995</v>
      </c>
      <c r="BB235" s="1955">
        <f t="shared" si="242"/>
        <v>6646.5578879999985</v>
      </c>
      <c r="BC235" s="1955">
        <f t="shared" si="242"/>
        <v>6785.0278439999993</v>
      </c>
      <c r="BD235" s="1955">
        <f t="shared" si="242"/>
        <v>6923.4977999999983</v>
      </c>
      <c r="BE235" s="1955">
        <f t="shared" si="242"/>
        <v>7061.9677559999982</v>
      </c>
      <c r="BF235" s="1955">
        <f t="shared" si="242"/>
        <v>7200.437711999999</v>
      </c>
      <c r="BG235" s="1955">
        <f t="shared" si="242"/>
        <v>7338.9076679999989</v>
      </c>
      <c r="BH235" s="865">
        <f t="shared" si="242"/>
        <v>-969.28969199999983</v>
      </c>
      <c r="BI235" s="865">
        <f t="shared" si="242"/>
        <v>-969.28969199999983</v>
      </c>
      <c r="BJ235" s="865">
        <f t="shared" si="242"/>
        <v>-969.28969199999983</v>
      </c>
      <c r="BK235" s="865">
        <f t="shared" si="242"/>
        <v>-969.28969199999983</v>
      </c>
      <c r="BL235" s="865">
        <f t="shared" si="242"/>
        <v>-969.28969199999983</v>
      </c>
      <c r="BM235" s="865">
        <f t="shared" si="242"/>
        <v>-969.28969199999983</v>
      </c>
      <c r="BN235" s="865">
        <f t="shared" si="242"/>
        <v>-969.28969199999983</v>
      </c>
      <c r="BO235" s="865">
        <f t="shared" si="242"/>
        <v>-969.28969199999983</v>
      </c>
      <c r="BP235" s="865">
        <f t="shared" si="242"/>
        <v>-969.28969199999983</v>
      </c>
      <c r="BQ235" s="865">
        <f t="shared" si="242"/>
        <v>-969.28969199999983</v>
      </c>
      <c r="BR235" s="865">
        <f t="shared" si="242"/>
        <v>-969.28969199999983</v>
      </c>
      <c r="BS235" s="865">
        <f t="shared" si="242"/>
        <v>-969.28969199999983</v>
      </c>
      <c r="BT235" s="865">
        <f t="shared" si="242"/>
        <v>-969.28969199999983</v>
      </c>
      <c r="BU235" s="865">
        <f t="shared" ref="BU235:CZ235" si="243">((BU$232-$I$4)/1000)*$Q$118*(($C$8/70)^$AA$118)*IF($C$13=1,$AF$117,IF($C$13=2,$AG$117,IF($C$13=3,$AH$117,1)))</f>
        <v>-969.28969199999983</v>
      </c>
      <c r="BV235" s="865">
        <f t="shared" si="243"/>
        <v>-969.28969199999983</v>
      </c>
      <c r="BW235" s="865">
        <f t="shared" si="243"/>
        <v>-969.28969199999983</v>
      </c>
      <c r="BX235" s="865">
        <f t="shared" si="243"/>
        <v>-969.28969199999983</v>
      </c>
      <c r="BY235" s="865">
        <f t="shared" si="243"/>
        <v>-969.28969199999983</v>
      </c>
      <c r="BZ235" s="865">
        <f t="shared" si="243"/>
        <v>-969.28969199999983</v>
      </c>
      <c r="CA235" s="865">
        <f t="shared" si="243"/>
        <v>-969.28969199999983</v>
      </c>
      <c r="CB235" s="865">
        <f t="shared" si="243"/>
        <v>-969.28969199999983</v>
      </c>
      <c r="CC235" s="865">
        <f t="shared" si="243"/>
        <v>-969.28969199999983</v>
      </c>
      <c r="CD235" s="865">
        <f t="shared" si="243"/>
        <v>-969.28969199999983</v>
      </c>
      <c r="CE235" s="865">
        <f t="shared" si="243"/>
        <v>-969.28969199999983</v>
      </c>
      <c r="CF235" s="865">
        <f t="shared" si="243"/>
        <v>-969.28969199999983</v>
      </c>
      <c r="CG235" s="865">
        <f t="shared" si="243"/>
        <v>-969.28969199999983</v>
      </c>
      <c r="CH235" s="865">
        <f t="shared" si="243"/>
        <v>-969.28969199999983</v>
      </c>
      <c r="CI235" s="865">
        <f t="shared" si="243"/>
        <v>-969.28969199999983</v>
      </c>
      <c r="CJ235" s="865">
        <f t="shared" si="243"/>
        <v>-969.28969199999983</v>
      </c>
      <c r="CK235" s="865">
        <f t="shared" si="243"/>
        <v>-969.28969199999983</v>
      </c>
      <c r="CL235" s="865">
        <f t="shared" si="243"/>
        <v>-969.28969199999983</v>
      </c>
      <c r="CM235" s="865">
        <f t="shared" si="243"/>
        <v>-969.28969199999983</v>
      </c>
      <c r="CN235" s="865">
        <f t="shared" si="243"/>
        <v>-969.28969199999983</v>
      </c>
      <c r="CO235" s="865">
        <f t="shared" si="243"/>
        <v>-969.28969199999983</v>
      </c>
      <c r="CP235" s="865">
        <f t="shared" si="243"/>
        <v>-969.28969199999983</v>
      </c>
      <c r="CQ235" s="865">
        <f t="shared" si="243"/>
        <v>-969.28969199999983</v>
      </c>
      <c r="CR235" s="865">
        <f t="shared" si="243"/>
        <v>-969.28969199999983</v>
      </c>
      <c r="CS235" s="865">
        <f t="shared" si="243"/>
        <v>-969.28969199999983</v>
      </c>
      <c r="CT235" s="865">
        <f t="shared" si="243"/>
        <v>-969.28969199999983</v>
      </c>
      <c r="CU235" s="865">
        <f t="shared" si="243"/>
        <v>-969.28969199999983</v>
      </c>
      <c r="CV235" s="865">
        <f t="shared" si="243"/>
        <v>-969.28969199999983</v>
      </c>
      <c r="CW235" s="865">
        <f t="shared" si="243"/>
        <v>-969.28969199999983</v>
      </c>
      <c r="CX235" s="865">
        <f t="shared" si="243"/>
        <v>-969.28969199999983</v>
      </c>
      <c r="CY235" s="865">
        <f t="shared" si="243"/>
        <v>-969.28969199999983</v>
      </c>
      <c r="CZ235" s="865">
        <f t="shared" si="243"/>
        <v>-969.28969199999983</v>
      </c>
      <c r="DA235" s="865">
        <f t="shared" ref="DA235:DG235" si="244">((DA$232-$I$4)/1000)*$Q$118*(($C$8/70)^$AA$118)*IF($C$13=1,$AF$117,IF($C$13=2,$AG$117,IF($C$13=3,$AH$117,1)))</f>
        <v>-969.28969199999983</v>
      </c>
      <c r="DB235" s="865">
        <f t="shared" si="244"/>
        <v>-969.28969199999983</v>
      </c>
      <c r="DC235" s="865">
        <f t="shared" si="244"/>
        <v>-969.28969199999983</v>
      </c>
      <c r="DD235" s="865">
        <f t="shared" si="244"/>
        <v>-969.28969199999983</v>
      </c>
      <c r="DE235" s="865">
        <f t="shared" si="244"/>
        <v>-969.28969199999983</v>
      </c>
      <c r="DF235" s="865">
        <f t="shared" si="244"/>
        <v>-969.28969199999983</v>
      </c>
      <c r="DG235" s="865">
        <f t="shared" si="244"/>
        <v>-969.28969199999983</v>
      </c>
    </row>
    <row r="236" spans="1:111" ht="15.75" hidden="1" customHeight="1">
      <c r="B236" s="2421" t="s">
        <v>363</v>
      </c>
      <c r="C236" s="2422"/>
      <c r="D236" s="2417"/>
      <c r="E236" s="1956"/>
      <c r="F236" s="1956"/>
      <c r="G236" s="1956"/>
      <c r="H236" s="1956"/>
      <c r="I236" s="1957">
        <f t="shared" ref="I236:AN236" si="245">((I$232-$I$4)/1000)*$R$118*(($C$8/70)^$AB$118)*IF($C$13=1,$AF$117,IF($C$13=2,$AG$117,IF($C$13=3,$AH$117,1)))</f>
        <v>446.25236399999994</v>
      </c>
      <c r="J236" s="1957">
        <f t="shared" si="245"/>
        <v>595.003152</v>
      </c>
      <c r="K236" s="1957">
        <f t="shared" si="245"/>
        <v>743.75393999999994</v>
      </c>
      <c r="L236" s="1957">
        <f t="shared" si="245"/>
        <v>892.50472799999989</v>
      </c>
      <c r="M236" s="1957">
        <f t="shared" si="245"/>
        <v>1041.2555159999999</v>
      </c>
      <c r="N236" s="1957">
        <f t="shared" si="245"/>
        <v>1190.006304</v>
      </c>
      <c r="O236" s="1957">
        <f t="shared" si="245"/>
        <v>1338.7570919999998</v>
      </c>
      <c r="P236" s="1957">
        <f t="shared" si="245"/>
        <v>1487.5078799999999</v>
      </c>
      <c r="Q236" s="1957">
        <f t="shared" si="245"/>
        <v>1636.2586679999999</v>
      </c>
      <c r="R236" s="1957">
        <f t="shared" si="245"/>
        <v>1785.0094559999998</v>
      </c>
      <c r="S236" s="1957">
        <f t="shared" si="245"/>
        <v>1933.7602440000001</v>
      </c>
      <c r="T236" s="1957">
        <f t="shared" si="245"/>
        <v>2082.5110319999999</v>
      </c>
      <c r="U236" s="1957">
        <f t="shared" si="245"/>
        <v>2231.2618199999997</v>
      </c>
      <c r="V236" s="1957">
        <f t="shared" si="245"/>
        <v>2380.012608</v>
      </c>
      <c r="W236" s="1957">
        <f t="shared" si="245"/>
        <v>2528.7633959999998</v>
      </c>
      <c r="X236" s="1957">
        <f t="shared" si="245"/>
        <v>2677.5141839999997</v>
      </c>
      <c r="Y236" s="1957">
        <f t="shared" si="245"/>
        <v>2826.2649719999995</v>
      </c>
      <c r="Z236" s="1957">
        <f t="shared" si="245"/>
        <v>2975.0157599999998</v>
      </c>
      <c r="AA236" s="1957">
        <f t="shared" si="245"/>
        <v>3123.7665479999996</v>
      </c>
      <c r="AB236" s="1957">
        <f t="shared" si="245"/>
        <v>3272.5173359999999</v>
      </c>
      <c r="AC236" s="1957">
        <f t="shared" si="245"/>
        <v>3421.2681239999993</v>
      </c>
      <c r="AD236" s="1957">
        <f t="shared" si="245"/>
        <v>3570.0189119999995</v>
      </c>
      <c r="AE236" s="1957">
        <f t="shared" si="245"/>
        <v>3718.7696999999994</v>
      </c>
      <c r="AF236" s="1957">
        <f t="shared" si="245"/>
        <v>3867.5204880000001</v>
      </c>
      <c r="AG236" s="1957">
        <f t="shared" si="245"/>
        <v>4016.2712759999995</v>
      </c>
      <c r="AH236" s="1957">
        <f t="shared" si="245"/>
        <v>4165.0220639999998</v>
      </c>
      <c r="AI236" s="1957">
        <f t="shared" si="245"/>
        <v>4313.7728519999991</v>
      </c>
      <c r="AJ236" s="1957">
        <f t="shared" si="245"/>
        <v>4462.5236399999994</v>
      </c>
      <c r="AK236" s="1957">
        <f t="shared" si="245"/>
        <v>4611.2744279999997</v>
      </c>
      <c r="AL236" s="1957">
        <f t="shared" si="245"/>
        <v>4760.025216</v>
      </c>
      <c r="AM236" s="1957">
        <f t="shared" si="245"/>
        <v>4908.7760039999985</v>
      </c>
      <c r="AN236" s="1957">
        <f t="shared" si="245"/>
        <v>5057.5267919999997</v>
      </c>
      <c r="AO236" s="1957">
        <f t="shared" ref="AO236:BT236" si="246">((AO$232-$I$4)/1000)*$R$118*(($C$8/70)^$AB$118)*IF($C$13=1,$AF$117,IF($C$13=2,$AG$117,IF($C$13=3,$AH$117,1)))</f>
        <v>5206.277579999999</v>
      </c>
      <c r="AP236" s="1957">
        <f t="shared" si="246"/>
        <v>5355.0283679999993</v>
      </c>
      <c r="AQ236" s="1957">
        <f t="shared" si="246"/>
        <v>5503.7791559999996</v>
      </c>
      <c r="AR236" s="1957">
        <f t="shared" si="246"/>
        <v>5652.529943999999</v>
      </c>
      <c r="AS236" s="1957">
        <f t="shared" si="246"/>
        <v>5801.2807319999984</v>
      </c>
      <c r="AT236" s="1957">
        <f t="shared" si="246"/>
        <v>5950.0315199999995</v>
      </c>
      <c r="AU236" s="1957">
        <f t="shared" si="246"/>
        <v>6098.7823079999989</v>
      </c>
      <c r="AV236" s="1957">
        <f t="shared" si="246"/>
        <v>6247.5330959999992</v>
      </c>
      <c r="AW236" s="1957">
        <f t="shared" si="246"/>
        <v>6396.2838839999995</v>
      </c>
      <c r="AX236" s="1957">
        <f t="shared" si="246"/>
        <v>6545.0346719999998</v>
      </c>
      <c r="AY236" s="1957">
        <f t="shared" si="246"/>
        <v>6693.7854599999991</v>
      </c>
      <c r="AZ236" s="1957">
        <f t="shared" si="246"/>
        <v>6842.5362479999985</v>
      </c>
      <c r="BA236" s="1957">
        <f t="shared" si="246"/>
        <v>6991.2870359999988</v>
      </c>
      <c r="BB236" s="1957">
        <f t="shared" si="246"/>
        <v>7140.0378239999991</v>
      </c>
      <c r="BC236" s="1957">
        <f t="shared" si="246"/>
        <v>7288.7886120000003</v>
      </c>
      <c r="BD236" s="1957">
        <f t="shared" si="246"/>
        <v>7437.5393999999987</v>
      </c>
      <c r="BE236" s="1957">
        <f t="shared" si="246"/>
        <v>7586.2901879999981</v>
      </c>
      <c r="BF236" s="1957">
        <f t="shared" si="246"/>
        <v>7735.0409760000002</v>
      </c>
      <c r="BG236" s="1957">
        <f t="shared" si="246"/>
        <v>7883.7917639999987</v>
      </c>
      <c r="BH236" s="865">
        <f t="shared" si="246"/>
        <v>-1041.2555159999999</v>
      </c>
      <c r="BI236" s="865">
        <f t="shared" si="246"/>
        <v>-1041.2555159999999</v>
      </c>
      <c r="BJ236" s="865">
        <f t="shared" si="246"/>
        <v>-1041.2555159999999</v>
      </c>
      <c r="BK236" s="865">
        <f t="shared" si="246"/>
        <v>-1041.2555159999999</v>
      </c>
      <c r="BL236" s="865">
        <f t="shared" si="246"/>
        <v>-1041.2555159999999</v>
      </c>
      <c r="BM236" s="865">
        <f t="shared" si="246"/>
        <v>-1041.2555159999999</v>
      </c>
      <c r="BN236" s="865">
        <f t="shared" si="246"/>
        <v>-1041.2555159999999</v>
      </c>
      <c r="BO236" s="865">
        <f t="shared" si="246"/>
        <v>-1041.2555159999999</v>
      </c>
      <c r="BP236" s="865">
        <f t="shared" si="246"/>
        <v>-1041.2555159999999</v>
      </c>
      <c r="BQ236" s="865">
        <f t="shared" si="246"/>
        <v>-1041.2555159999999</v>
      </c>
      <c r="BR236" s="865">
        <f t="shared" si="246"/>
        <v>-1041.2555159999999</v>
      </c>
      <c r="BS236" s="865">
        <f t="shared" si="246"/>
        <v>-1041.2555159999999</v>
      </c>
      <c r="BT236" s="865">
        <f t="shared" si="246"/>
        <v>-1041.2555159999999</v>
      </c>
      <c r="BU236" s="865">
        <f t="shared" ref="BU236:CZ236" si="247">((BU$232-$I$4)/1000)*$R$118*(($C$8/70)^$AB$118)*IF($C$13=1,$AF$117,IF($C$13=2,$AG$117,IF($C$13=3,$AH$117,1)))</f>
        <v>-1041.2555159999999</v>
      </c>
      <c r="BV236" s="865">
        <f t="shared" si="247"/>
        <v>-1041.2555159999999</v>
      </c>
      <c r="BW236" s="865">
        <f t="shared" si="247"/>
        <v>-1041.2555159999999</v>
      </c>
      <c r="BX236" s="865">
        <f t="shared" si="247"/>
        <v>-1041.2555159999999</v>
      </c>
      <c r="BY236" s="865">
        <f t="shared" si="247"/>
        <v>-1041.2555159999999</v>
      </c>
      <c r="BZ236" s="865">
        <f t="shared" si="247"/>
        <v>-1041.2555159999999</v>
      </c>
      <c r="CA236" s="865">
        <f t="shared" si="247"/>
        <v>-1041.2555159999999</v>
      </c>
      <c r="CB236" s="865">
        <f t="shared" si="247"/>
        <v>-1041.2555159999999</v>
      </c>
      <c r="CC236" s="865">
        <f t="shared" si="247"/>
        <v>-1041.2555159999999</v>
      </c>
      <c r="CD236" s="865">
        <f t="shared" si="247"/>
        <v>-1041.2555159999999</v>
      </c>
      <c r="CE236" s="865">
        <f t="shared" si="247"/>
        <v>-1041.2555159999999</v>
      </c>
      <c r="CF236" s="865">
        <f t="shared" si="247"/>
        <v>-1041.2555159999999</v>
      </c>
      <c r="CG236" s="865">
        <f t="shared" si="247"/>
        <v>-1041.2555159999999</v>
      </c>
      <c r="CH236" s="865">
        <f t="shared" si="247"/>
        <v>-1041.2555159999999</v>
      </c>
      <c r="CI236" s="865">
        <f t="shared" si="247"/>
        <v>-1041.2555159999999</v>
      </c>
      <c r="CJ236" s="865">
        <f t="shared" si="247"/>
        <v>-1041.2555159999999</v>
      </c>
      <c r="CK236" s="865">
        <f t="shared" si="247"/>
        <v>-1041.2555159999999</v>
      </c>
      <c r="CL236" s="865">
        <f t="shared" si="247"/>
        <v>-1041.2555159999999</v>
      </c>
      <c r="CM236" s="865">
        <f t="shared" si="247"/>
        <v>-1041.2555159999999</v>
      </c>
      <c r="CN236" s="865">
        <f t="shared" si="247"/>
        <v>-1041.2555159999999</v>
      </c>
      <c r="CO236" s="865">
        <f t="shared" si="247"/>
        <v>-1041.2555159999999</v>
      </c>
      <c r="CP236" s="865">
        <f t="shared" si="247"/>
        <v>-1041.2555159999999</v>
      </c>
      <c r="CQ236" s="865">
        <f t="shared" si="247"/>
        <v>-1041.2555159999999</v>
      </c>
      <c r="CR236" s="865">
        <f t="shared" si="247"/>
        <v>-1041.2555159999999</v>
      </c>
      <c r="CS236" s="865">
        <f t="shared" si="247"/>
        <v>-1041.2555159999999</v>
      </c>
      <c r="CT236" s="865">
        <f t="shared" si="247"/>
        <v>-1041.2555159999999</v>
      </c>
      <c r="CU236" s="865">
        <f t="shared" si="247"/>
        <v>-1041.2555159999999</v>
      </c>
      <c r="CV236" s="865">
        <f t="shared" si="247"/>
        <v>-1041.2555159999999</v>
      </c>
      <c r="CW236" s="865">
        <f t="shared" si="247"/>
        <v>-1041.2555159999999</v>
      </c>
      <c r="CX236" s="865">
        <f t="shared" si="247"/>
        <v>-1041.2555159999999</v>
      </c>
      <c r="CY236" s="865">
        <f t="shared" si="247"/>
        <v>-1041.2555159999999</v>
      </c>
      <c r="CZ236" s="865">
        <f t="shared" si="247"/>
        <v>-1041.2555159999999</v>
      </c>
      <c r="DA236" s="865">
        <f t="shared" ref="DA236:DG236" si="248">((DA$232-$I$4)/1000)*$R$118*(($C$8/70)^$AB$118)*IF($C$13=1,$AF$117,IF($C$13=2,$AG$117,IF($C$13=3,$AH$117,1)))</f>
        <v>-1041.2555159999999</v>
      </c>
      <c r="DB236" s="865">
        <f t="shared" si="248"/>
        <v>-1041.2555159999999</v>
      </c>
      <c r="DC236" s="865">
        <f t="shared" si="248"/>
        <v>-1041.2555159999999</v>
      </c>
      <c r="DD236" s="865">
        <f t="shared" si="248"/>
        <v>-1041.2555159999999</v>
      </c>
      <c r="DE236" s="865">
        <f t="shared" si="248"/>
        <v>-1041.2555159999999</v>
      </c>
      <c r="DF236" s="865">
        <f t="shared" si="248"/>
        <v>-1041.2555159999999</v>
      </c>
      <c r="DG236" s="865">
        <f t="shared" si="248"/>
        <v>-1041.2555159999999</v>
      </c>
    </row>
    <row r="237" spans="1:111" ht="15.75" hidden="1" customHeight="1">
      <c r="B237" s="2423" t="s">
        <v>579</v>
      </c>
      <c r="C237" s="2424"/>
      <c r="D237" s="2417"/>
      <c r="E237" s="1958"/>
      <c r="F237" s="1958"/>
      <c r="G237" s="1958"/>
      <c r="H237" s="1958"/>
      <c r="I237" s="1959">
        <f t="shared" ref="I237:AN237" si="249">((I$232-$I$4)/1000)*$M$119*(($C$8/70)^$W$119)*IF($C$13=1,$AF$118,IF($C$13=2,$AG$118,IF($C$13=3,$AH$118,1)))</f>
        <v>212.48496</v>
      </c>
      <c r="J237" s="1959">
        <f t="shared" si="249"/>
        <v>283.31327999999996</v>
      </c>
      <c r="K237" s="1959">
        <f t="shared" si="249"/>
        <v>354.14159999999998</v>
      </c>
      <c r="L237" s="1959">
        <f t="shared" si="249"/>
        <v>424.96992</v>
      </c>
      <c r="M237" s="1959">
        <f t="shared" si="249"/>
        <v>495.79823999999996</v>
      </c>
      <c r="N237" s="1959">
        <f t="shared" si="249"/>
        <v>566.62655999999993</v>
      </c>
      <c r="O237" s="1959">
        <f t="shared" si="249"/>
        <v>637.45488</v>
      </c>
      <c r="P237" s="1959">
        <f t="shared" si="249"/>
        <v>708.28319999999997</v>
      </c>
      <c r="Q237" s="1959">
        <f t="shared" si="249"/>
        <v>779.11151999999993</v>
      </c>
      <c r="R237" s="1959">
        <f t="shared" si="249"/>
        <v>849.93984</v>
      </c>
      <c r="S237" s="1959">
        <f t="shared" si="249"/>
        <v>920.76815999999997</v>
      </c>
      <c r="T237" s="1959">
        <f t="shared" si="249"/>
        <v>991.59647999999993</v>
      </c>
      <c r="U237" s="1959">
        <f t="shared" si="249"/>
        <v>1062.4248</v>
      </c>
      <c r="V237" s="1959">
        <f t="shared" si="249"/>
        <v>1133.2531199999999</v>
      </c>
      <c r="W237" s="1959">
        <f t="shared" si="249"/>
        <v>1204.0814399999999</v>
      </c>
      <c r="X237" s="1959">
        <f t="shared" si="249"/>
        <v>1274.90976</v>
      </c>
      <c r="Y237" s="1959">
        <f t="shared" si="249"/>
        <v>1345.7380799999999</v>
      </c>
      <c r="Z237" s="1959">
        <f t="shared" si="249"/>
        <v>1416.5663999999999</v>
      </c>
      <c r="AA237" s="1959">
        <f t="shared" si="249"/>
        <v>1487.39472</v>
      </c>
      <c r="AB237" s="1959">
        <f t="shared" si="249"/>
        <v>1558.2230399999999</v>
      </c>
      <c r="AC237" s="1959">
        <f t="shared" si="249"/>
        <v>1629.0513599999997</v>
      </c>
      <c r="AD237" s="1959">
        <f t="shared" si="249"/>
        <v>1699.87968</v>
      </c>
      <c r="AE237" s="1959">
        <f t="shared" si="249"/>
        <v>1770.7079999999999</v>
      </c>
      <c r="AF237" s="1959">
        <f t="shared" si="249"/>
        <v>1841.5363199999999</v>
      </c>
      <c r="AG237" s="1959">
        <f t="shared" si="249"/>
        <v>1912.36464</v>
      </c>
      <c r="AH237" s="1959">
        <f t="shared" si="249"/>
        <v>1983.1929599999999</v>
      </c>
      <c r="AI237" s="1959">
        <f t="shared" si="249"/>
        <v>2054.0212799999999</v>
      </c>
      <c r="AJ237" s="1959">
        <f t="shared" si="249"/>
        <v>2124.8496</v>
      </c>
      <c r="AK237" s="1959">
        <f t="shared" si="249"/>
        <v>2195.6779200000001</v>
      </c>
      <c r="AL237" s="1959">
        <f t="shared" si="249"/>
        <v>2266.5062399999997</v>
      </c>
      <c r="AM237" s="1959">
        <f t="shared" si="249"/>
        <v>2337.3345599999998</v>
      </c>
      <c r="AN237" s="1959">
        <f t="shared" si="249"/>
        <v>2408.1628799999999</v>
      </c>
      <c r="AO237" s="1959">
        <f t="shared" ref="AO237:BT237" si="250">((AO$232-$I$4)/1000)*$M$119*(($C$8/70)^$W$119)*IF($C$13=1,$AF$118,IF($C$13=2,$AG$118,IF($C$13=3,$AH$118,1)))</f>
        <v>2478.9911999999999</v>
      </c>
      <c r="AP237" s="1959">
        <f t="shared" si="250"/>
        <v>2549.81952</v>
      </c>
      <c r="AQ237" s="1959">
        <f t="shared" si="250"/>
        <v>2620.6478399999996</v>
      </c>
      <c r="AR237" s="1959">
        <f t="shared" si="250"/>
        <v>2691.4761599999997</v>
      </c>
      <c r="AS237" s="1959">
        <f t="shared" si="250"/>
        <v>2762.3044800000002</v>
      </c>
      <c r="AT237" s="1959">
        <f t="shared" si="250"/>
        <v>2833.1327999999999</v>
      </c>
      <c r="AU237" s="1959">
        <f t="shared" si="250"/>
        <v>2903.9611199999999</v>
      </c>
      <c r="AV237" s="1959">
        <f t="shared" si="250"/>
        <v>2974.78944</v>
      </c>
      <c r="AW237" s="1959">
        <f t="shared" si="250"/>
        <v>3045.6177600000001</v>
      </c>
      <c r="AX237" s="1959">
        <f t="shared" si="250"/>
        <v>3116.4460799999997</v>
      </c>
      <c r="AY237" s="1959">
        <f t="shared" si="250"/>
        <v>3187.2743999999998</v>
      </c>
      <c r="AZ237" s="1959">
        <f t="shared" si="250"/>
        <v>3258.1027199999994</v>
      </c>
      <c r="BA237" s="1959">
        <f t="shared" si="250"/>
        <v>3328.9310399999999</v>
      </c>
      <c r="BB237" s="1959">
        <f t="shared" si="250"/>
        <v>3399.75936</v>
      </c>
      <c r="BC237" s="1959">
        <f t="shared" si="250"/>
        <v>3470.5876800000001</v>
      </c>
      <c r="BD237" s="1959">
        <f t="shared" si="250"/>
        <v>3541.4159999999997</v>
      </c>
      <c r="BE237" s="1959">
        <f t="shared" si="250"/>
        <v>3612.2443199999993</v>
      </c>
      <c r="BF237" s="1959">
        <f t="shared" si="250"/>
        <v>3683.0726399999999</v>
      </c>
      <c r="BG237" s="1959">
        <f t="shared" si="250"/>
        <v>3753.9009599999999</v>
      </c>
      <c r="BH237" s="865">
        <f t="shared" si="250"/>
        <v>-495.79823999999996</v>
      </c>
      <c r="BI237" s="865">
        <f t="shared" si="250"/>
        <v>-495.79823999999996</v>
      </c>
      <c r="BJ237" s="865">
        <f t="shared" si="250"/>
        <v>-495.79823999999996</v>
      </c>
      <c r="BK237" s="865">
        <f t="shared" si="250"/>
        <v>-495.79823999999996</v>
      </c>
      <c r="BL237" s="865">
        <f t="shared" si="250"/>
        <v>-495.79823999999996</v>
      </c>
      <c r="BM237" s="865">
        <f t="shared" si="250"/>
        <v>-495.79823999999996</v>
      </c>
      <c r="BN237" s="865">
        <f t="shared" si="250"/>
        <v>-495.79823999999996</v>
      </c>
      <c r="BO237" s="865">
        <f t="shared" si="250"/>
        <v>-495.79823999999996</v>
      </c>
      <c r="BP237" s="865">
        <f t="shared" si="250"/>
        <v>-495.79823999999996</v>
      </c>
      <c r="BQ237" s="865">
        <f t="shared" si="250"/>
        <v>-495.79823999999996</v>
      </c>
      <c r="BR237" s="865">
        <f t="shared" si="250"/>
        <v>-495.79823999999996</v>
      </c>
      <c r="BS237" s="865">
        <f t="shared" si="250"/>
        <v>-495.79823999999996</v>
      </c>
      <c r="BT237" s="865">
        <f t="shared" si="250"/>
        <v>-495.79823999999996</v>
      </c>
      <c r="BU237" s="865">
        <f t="shared" ref="BU237:CZ237" si="251">((BU$232-$I$4)/1000)*$M$119*(($C$8/70)^$W$119)*IF($C$13=1,$AF$118,IF($C$13=2,$AG$118,IF($C$13=3,$AH$118,1)))</f>
        <v>-495.79823999999996</v>
      </c>
      <c r="BV237" s="865">
        <f t="shared" si="251"/>
        <v>-495.79823999999996</v>
      </c>
      <c r="BW237" s="865">
        <f t="shared" si="251"/>
        <v>-495.79823999999996</v>
      </c>
      <c r="BX237" s="865">
        <f t="shared" si="251"/>
        <v>-495.79823999999996</v>
      </c>
      <c r="BY237" s="865">
        <f t="shared" si="251"/>
        <v>-495.79823999999996</v>
      </c>
      <c r="BZ237" s="865">
        <f t="shared" si="251"/>
        <v>-495.79823999999996</v>
      </c>
      <c r="CA237" s="865">
        <f t="shared" si="251"/>
        <v>-495.79823999999996</v>
      </c>
      <c r="CB237" s="865">
        <f t="shared" si="251"/>
        <v>-495.79823999999996</v>
      </c>
      <c r="CC237" s="865">
        <f t="shared" si="251"/>
        <v>-495.79823999999996</v>
      </c>
      <c r="CD237" s="865">
        <f t="shared" si="251"/>
        <v>-495.79823999999996</v>
      </c>
      <c r="CE237" s="865">
        <f t="shared" si="251"/>
        <v>-495.79823999999996</v>
      </c>
      <c r="CF237" s="865">
        <f t="shared" si="251"/>
        <v>-495.79823999999996</v>
      </c>
      <c r="CG237" s="865">
        <f t="shared" si="251"/>
        <v>-495.79823999999996</v>
      </c>
      <c r="CH237" s="865">
        <f t="shared" si="251"/>
        <v>-495.79823999999996</v>
      </c>
      <c r="CI237" s="865">
        <f t="shared" si="251"/>
        <v>-495.79823999999996</v>
      </c>
      <c r="CJ237" s="865">
        <f t="shared" si="251"/>
        <v>-495.79823999999996</v>
      </c>
      <c r="CK237" s="865">
        <f t="shared" si="251"/>
        <v>-495.79823999999996</v>
      </c>
      <c r="CL237" s="865">
        <f t="shared" si="251"/>
        <v>-495.79823999999996</v>
      </c>
      <c r="CM237" s="865">
        <f t="shared" si="251"/>
        <v>-495.79823999999996</v>
      </c>
      <c r="CN237" s="865">
        <f t="shared" si="251"/>
        <v>-495.79823999999996</v>
      </c>
      <c r="CO237" s="865">
        <f t="shared" si="251"/>
        <v>-495.79823999999996</v>
      </c>
      <c r="CP237" s="865">
        <f t="shared" si="251"/>
        <v>-495.79823999999996</v>
      </c>
      <c r="CQ237" s="865">
        <f t="shared" si="251"/>
        <v>-495.79823999999996</v>
      </c>
      <c r="CR237" s="865">
        <f t="shared" si="251"/>
        <v>-495.79823999999996</v>
      </c>
      <c r="CS237" s="865">
        <f t="shared" si="251"/>
        <v>-495.79823999999996</v>
      </c>
      <c r="CT237" s="865">
        <f t="shared" si="251"/>
        <v>-495.79823999999996</v>
      </c>
      <c r="CU237" s="865">
        <f t="shared" si="251"/>
        <v>-495.79823999999996</v>
      </c>
      <c r="CV237" s="865">
        <f t="shared" si="251"/>
        <v>-495.79823999999996</v>
      </c>
      <c r="CW237" s="865">
        <f t="shared" si="251"/>
        <v>-495.79823999999996</v>
      </c>
      <c r="CX237" s="865">
        <f t="shared" si="251"/>
        <v>-495.79823999999996</v>
      </c>
      <c r="CY237" s="865">
        <f t="shared" si="251"/>
        <v>-495.79823999999996</v>
      </c>
      <c r="CZ237" s="865">
        <f t="shared" si="251"/>
        <v>-495.79823999999996</v>
      </c>
      <c r="DA237" s="865">
        <f t="shared" ref="DA237:DG237" si="252">((DA$232-$I$4)/1000)*$M$119*(($C$8/70)^$W$119)*IF($C$13=1,$AF$118,IF($C$13=2,$AG$118,IF($C$13=3,$AH$118,1)))</f>
        <v>-495.79823999999996</v>
      </c>
      <c r="DB237" s="865">
        <f t="shared" si="252"/>
        <v>-495.79823999999996</v>
      </c>
      <c r="DC237" s="865">
        <f t="shared" si="252"/>
        <v>-495.79823999999996</v>
      </c>
      <c r="DD237" s="865">
        <f t="shared" si="252"/>
        <v>-495.79823999999996</v>
      </c>
      <c r="DE237" s="865">
        <f t="shared" si="252"/>
        <v>-495.79823999999996</v>
      </c>
      <c r="DF237" s="865">
        <f t="shared" si="252"/>
        <v>-495.79823999999996</v>
      </c>
      <c r="DG237" s="865">
        <f t="shared" si="252"/>
        <v>-495.79823999999996</v>
      </c>
    </row>
    <row r="238" spans="1:111" ht="15.75" hidden="1" thickBot="1">
      <c r="B238" s="2425" t="s">
        <v>580</v>
      </c>
      <c r="C238" s="2426"/>
      <c r="D238" s="2418"/>
      <c r="E238" s="1960" t="s">
        <v>313</v>
      </c>
      <c r="F238" s="1960">
        <v>90</v>
      </c>
      <c r="G238" s="1960">
        <v>260</v>
      </c>
      <c r="H238" s="1960">
        <v>2</v>
      </c>
      <c r="I238" s="1961">
        <f t="shared" ref="I238:AN238" si="253">((I$232-$I$4)/1000)*$N$119*(($C$8/70)^$X$119)*IF($C$13=1,$AF$118,IF($C$13=2,$AG$118,IF($C$13=3,$AH$118,1)))</f>
        <v>281.45548799999995</v>
      </c>
      <c r="J238" s="1961">
        <f t="shared" si="253"/>
        <v>375.27398399999998</v>
      </c>
      <c r="K238" s="1961">
        <f t="shared" si="253"/>
        <v>469.09247999999991</v>
      </c>
      <c r="L238" s="1961">
        <f t="shared" si="253"/>
        <v>562.91097599999989</v>
      </c>
      <c r="M238" s="1961">
        <f t="shared" si="253"/>
        <v>656.72947199999976</v>
      </c>
      <c r="N238" s="1961">
        <f t="shared" si="253"/>
        <v>750.54796799999997</v>
      </c>
      <c r="O238" s="1961">
        <f t="shared" si="253"/>
        <v>844.36646399999984</v>
      </c>
      <c r="P238" s="1961">
        <f t="shared" si="253"/>
        <v>938.18495999999982</v>
      </c>
      <c r="Q238" s="1961">
        <f t="shared" si="253"/>
        <v>1032.0034559999999</v>
      </c>
      <c r="R238" s="1961">
        <f t="shared" si="253"/>
        <v>1125.8219519999998</v>
      </c>
      <c r="S238" s="1961">
        <f t="shared" si="253"/>
        <v>1219.6404479999999</v>
      </c>
      <c r="T238" s="1961">
        <f t="shared" si="253"/>
        <v>1313.4589439999995</v>
      </c>
      <c r="U238" s="1961">
        <f t="shared" si="253"/>
        <v>1407.2774399999996</v>
      </c>
      <c r="V238" s="1961">
        <f t="shared" si="253"/>
        <v>1501.0959359999999</v>
      </c>
      <c r="W238" s="1961">
        <f t="shared" si="253"/>
        <v>1594.9144319999996</v>
      </c>
      <c r="X238" s="1961">
        <f t="shared" si="253"/>
        <v>1688.7329279999997</v>
      </c>
      <c r="Y238" s="1961">
        <f t="shared" si="253"/>
        <v>1782.5514239999995</v>
      </c>
      <c r="Z238" s="1961">
        <f t="shared" si="253"/>
        <v>1876.3699199999996</v>
      </c>
      <c r="AA238" s="1961">
        <f t="shared" si="253"/>
        <v>1970.1884159999997</v>
      </c>
      <c r="AB238" s="1961">
        <f t="shared" si="253"/>
        <v>2064.0069119999998</v>
      </c>
      <c r="AC238" s="1961">
        <f t="shared" si="253"/>
        <v>2157.8254079999992</v>
      </c>
      <c r="AD238" s="1961">
        <f t="shared" si="253"/>
        <v>2251.6439039999996</v>
      </c>
      <c r="AE238" s="1961">
        <f t="shared" si="253"/>
        <v>2345.4623999999999</v>
      </c>
      <c r="AF238" s="1961">
        <f t="shared" si="253"/>
        <v>2439.2808959999998</v>
      </c>
      <c r="AG238" s="1961">
        <f t="shared" si="253"/>
        <v>2533.0993919999996</v>
      </c>
      <c r="AH238" s="1961">
        <f t="shared" si="253"/>
        <v>2626.917887999999</v>
      </c>
      <c r="AI238" s="1961">
        <f t="shared" si="253"/>
        <v>2720.7363839999994</v>
      </c>
      <c r="AJ238" s="1961">
        <f t="shared" si="253"/>
        <v>2814.5548799999992</v>
      </c>
      <c r="AK238" s="1961">
        <f t="shared" si="253"/>
        <v>2908.3733759999996</v>
      </c>
      <c r="AL238" s="1961">
        <f t="shared" si="253"/>
        <v>3002.1918719999999</v>
      </c>
      <c r="AM238" s="1961">
        <f t="shared" si="253"/>
        <v>3096.0103679999993</v>
      </c>
      <c r="AN238" s="1961">
        <f t="shared" si="253"/>
        <v>3189.8288639999992</v>
      </c>
      <c r="AO238" s="1961">
        <f t="shared" ref="AO238:BT238" si="254">((AO$232-$I$4)/1000)*$N$119*(($C$8/70)^$X$119)*IF($C$13=1,$AF$118,IF($C$13=2,$AG$118,IF($C$13=3,$AH$118,1)))</f>
        <v>3283.647359999999</v>
      </c>
      <c r="AP238" s="1961">
        <f t="shared" si="254"/>
        <v>3377.4658559999993</v>
      </c>
      <c r="AQ238" s="1961">
        <f t="shared" si="254"/>
        <v>3471.2843519999992</v>
      </c>
      <c r="AR238" s="1961">
        <f t="shared" si="254"/>
        <v>3565.1028479999991</v>
      </c>
      <c r="AS238" s="1961">
        <f t="shared" si="254"/>
        <v>3658.9213439999994</v>
      </c>
      <c r="AT238" s="1961">
        <f t="shared" si="254"/>
        <v>3752.7398399999993</v>
      </c>
      <c r="AU238" s="1961">
        <f t="shared" si="254"/>
        <v>3846.5583359999987</v>
      </c>
      <c r="AV238" s="1961">
        <f t="shared" si="254"/>
        <v>3940.3768319999995</v>
      </c>
      <c r="AW238" s="1961">
        <f t="shared" si="254"/>
        <v>4034.1953279999993</v>
      </c>
      <c r="AX238" s="1961">
        <f t="shared" si="254"/>
        <v>4128.0138239999997</v>
      </c>
      <c r="AY238" s="1961">
        <f t="shared" si="254"/>
        <v>4221.8323199999995</v>
      </c>
      <c r="AZ238" s="1961">
        <f t="shared" si="254"/>
        <v>4315.6508159999985</v>
      </c>
      <c r="BA238" s="1961">
        <f t="shared" si="254"/>
        <v>4409.4693119999993</v>
      </c>
      <c r="BB238" s="1961">
        <f t="shared" si="254"/>
        <v>4503.2878079999991</v>
      </c>
      <c r="BC238" s="1961">
        <f t="shared" si="254"/>
        <v>4597.106303999999</v>
      </c>
      <c r="BD238" s="1961">
        <f t="shared" si="254"/>
        <v>4690.9247999999998</v>
      </c>
      <c r="BE238" s="1961">
        <f t="shared" si="254"/>
        <v>4784.7432959999987</v>
      </c>
      <c r="BF238" s="1961">
        <f t="shared" si="254"/>
        <v>4878.5617919999995</v>
      </c>
      <c r="BG238" s="1961">
        <f t="shared" si="254"/>
        <v>4972.3802879999994</v>
      </c>
      <c r="BH238" s="865">
        <f t="shared" si="254"/>
        <v>-656.72947199999976</v>
      </c>
      <c r="BI238" s="865">
        <f t="shared" si="254"/>
        <v>-656.72947199999976</v>
      </c>
      <c r="BJ238" s="865">
        <f t="shared" si="254"/>
        <v>-656.72947199999976</v>
      </c>
      <c r="BK238" s="865">
        <f t="shared" si="254"/>
        <v>-656.72947199999976</v>
      </c>
      <c r="BL238" s="865">
        <f t="shared" si="254"/>
        <v>-656.72947199999976</v>
      </c>
      <c r="BM238" s="865">
        <f t="shared" si="254"/>
        <v>-656.72947199999976</v>
      </c>
      <c r="BN238" s="865">
        <f t="shared" si="254"/>
        <v>-656.72947199999976</v>
      </c>
      <c r="BO238" s="865">
        <f t="shared" si="254"/>
        <v>-656.72947199999976</v>
      </c>
      <c r="BP238" s="865">
        <f t="shared" si="254"/>
        <v>-656.72947199999976</v>
      </c>
      <c r="BQ238" s="865">
        <f t="shared" si="254"/>
        <v>-656.72947199999976</v>
      </c>
      <c r="BR238" s="865">
        <f t="shared" si="254"/>
        <v>-656.72947199999976</v>
      </c>
      <c r="BS238" s="865">
        <f t="shared" si="254"/>
        <v>-656.72947199999976</v>
      </c>
      <c r="BT238" s="865">
        <f t="shared" si="254"/>
        <v>-656.72947199999976</v>
      </c>
      <c r="BU238" s="865">
        <f t="shared" ref="BU238:CZ238" si="255">((BU$232-$I$4)/1000)*$N$119*(($C$8/70)^$X$119)*IF($C$13=1,$AF$118,IF($C$13=2,$AG$118,IF($C$13=3,$AH$118,1)))</f>
        <v>-656.72947199999976</v>
      </c>
      <c r="BV238" s="865">
        <f t="shared" si="255"/>
        <v>-656.72947199999976</v>
      </c>
      <c r="BW238" s="865">
        <f t="shared" si="255"/>
        <v>-656.72947199999976</v>
      </c>
      <c r="BX238" s="865">
        <f t="shared" si="255"/>
        <v>-656.72947199999976</v>
      </c>
      <c r="BY238" s="865">
        <f t="shared" si="255"/>
        <v>-656.72947199999976</v>
      </c>
      <c r="BZ238" s="865">
        <f t="shared" si="255"/>
        <v>-656.72947199999976</v>
      </c>
      <c r="CA238" s="865">
        <f t="shared" si="255"/>
        <v>-656.72947199999976</v>
      </c>
      <c r="CB238" s="865">
        <f t="shared" si="255"/>
        <v>-656.72947199999976</v>
      </c>
      <c r="CC238" s="865">
        <f t="shared" si="255"/>
        <v>-656.72947199999976</v>
      </c>
      <c r="CD238" s="865">
        <f t="shared" si="255"/>
        <v>-656.72947199999976</v>
      </c>
      <c r="CE238" s="865">
        <f t="shared" si="255"/>
        <v>-656.72947199999976</v>
      </c>
      <c r="CF238" s="865">
        <f t="shared" si="255"/>
        <v>-656.72947199999976</v>
      </c>
      <c r="CG238" s="865">
        <f t="shared" si="255"/>
        <v>-656.72947199999976</v>
      </c>
      <c r="CH238" s="865">
        <f t="shared" si="255"/>
        <v>-656.72947199999976</v>
      </c>
      <c r="CI238" s="865">
        <f t="shared" si="255"/>
        <v>-656.72947199999976</v>
      </c>
      <c r="CJ238" s="865">
        <f t="shared" si="255"/>
        <v>-656.72947199999976</v>
      </c>
      <c r="CK238" s="865">
        <f t="shared" si="255"/>
        <v>-656.72947199999976</v>
      </c>
      <c r="CL238" s="865">
        <f t="shared" si="255"/>
        <v>-656.72947199999976</v>
      </c>
      <c r="CM238" s="865">
        <f t="shared" si="255"/>
        <v>-656.72947199999976</v>
      </c>
      <c r="CN238" s="865">
        <f t="shared" si="255"/>
        <v>-656.72947199999976</v>
      </c>
      <c r="CO238" s="865">
        <f t="shared" si="255"/>
        <v>-656.72947199999976</v>
      </c>
      <c r="CP238" s="865">
        <f t="shared" si="255"/>
        <v>-656.72947199999976</v>
      </c>
      <c r="CQ238" s="865">
        <f t="shared" si="255"/>
        <v>-656.72947199999976</v>
      </c>
      <c r="CR238" s="865">
        <f t="shared" si="255"/>
        <v>-656.72947199999976</v>
      </c>
      <c r="CS238" s="865">
        <f t="shared" si="255"/>
        <v>-656.72947199999976</v>
      </c>
      <c r="CT238" s="865">
        <f t="shared" si="255"/>
        <v>-656.72947199999976</v>
      </c>
      <c r="CU238" s="865">
        <f t="shared" si="255"/>
        <v>-656.72947199999976</v>
      </c>
      <c r="CV238" s="865">
        <f t="shared" si="255"/>
        <v>-656.72947199999976</v>
      </c>
      <c r="CW238" s="865">
        <f t="shared" si="255"/>
        <v>-656.72947199999976</v>
      </c>
      <c r="CX238" s="865">
        <f t="shared" si="255"/>
        <v>-656.72947199999976</v>
      </c>
      <c r="CY238" s="865">
        <f t="shared" si="255"/>
        <v>-656.72947199999976</v>
      </c>
      <c r="CZ238" s="865">
        <f t="shared" si="255"/>
        <v>-656.72947199999976</v>
      </c>
      <c r="DA238" s="865">
        <f t="shared" ref="DA238:DG238" si="256">((DA$232-$I$4)/1000)*$N$119*(($C$8/70)^$X$119)*IF($C$13=1,$AF$118,IF($C$13=2,$AG$118,IF($C$13=3,$AH$118,1)))</f>
        <v>-656.72947199999976</v>
      </c>
      <c r="DB238" s="865">
        <f t="shared" si="256"/>
        <v>-656.72947199999976</v>
      </c>
      <c r="DC238" s="865">
        <f t="shared" si="256"/>
        <v>-656.72947199999976</v>
      </c>
      <c r="DD238" s="865">
        <f t="shared" si="256"/>
        <v>-656.72947199999976</v>
      </c>
      <c r="DE238" s="865">
        <f t="shared" si="256"/>
        <v>-656.72947199999976</v>
      </c>
      <c r="DF238" s="865">
        <f t="shared" si="256"/>
        <v>-656.72947199999976</v>
      </c>
      <c r="DG238" s="865">
        <f t="shared" si="256"/>
        <v>-656.72947199999976</v>
      </c>
    </row>
    <row r="239" spans="1:111" hidden="1">
      <c r="B239" s="2391" t="s">
        <v>364</v>
      </c>
      <c r="C239" s="2392"/>
      <c r="D239" s="1985"/>
      <c r="E239" s="1985"/>
      <c r="F239" s="1985"/>
      <c r="G239" s="1985"/>
      <c r="H239" s="1985"/>
      <c r="I239" s="1010">
        <f t="shared" ref="I239:AN239" si="257">((I$232-$I$4)/1000)*$O$119*(($C$8/70)^$Y$119)*IF($C$13=1,$AF$118,IF($C$13=2,$AG$118,IF($C$13=3,$AH$118,1)))</f>
        <v>326.73916799999995</v>
      </c>
      <c r="J239" s="1010">
        <f t="shared" si="257"/>
        <v>435.65222399999999</v>
      </c>
      <c r="K239" s="1010">
        <f t="shared" si="257"/>
        <v>544.56527999999992</v>
      </c>
      <c r="L239" s="1010">
        <f t="shared" si="257"/>
        <v>653.4783359999999</v>
      </c>
      <c r="M239" s="1010">
        <f t="shared" si="257"/>
        <v>762.39139199999988</v>
      </c>
      <c r="N239" s="1010">
        <f t="shared" si="257"/>
        <v>871.30444799999998</v>
      </c>
      <c r="O239" s="1010">
        <f t="shared" si="257"/>
        <v>980.21750399999996</v>
      </c>
      <c r="P239" s="1010">
        <f t="shared" si="257"/>
        <v>1089.1305599999998</v>
      </c>
      <c r="Q239" s="1010">
        <f t="shared" si="257"/>
        <v>1198.0436159999999</v>
      </c>
      <c r="R239" s="1010">
        <f t="shared" si="257"/>
        <v>1306.9566719999998</v>
      </c>
      <c r="S239" s="1010">
        <f t="shared" si="257"/>
        <v>1415.8697279999999</v>
      </c>
      <c r="T239" s="1010">
        <f t="shared" si="257"/>
        <v>1524.7827839999998</v>
      </c>
      <c r="U239" s="1010">
        <f t="shared" si="257"/>
        <v>1633.6958399999996</v>
      </c>
      <c r="V239" s="1010">
        <f t="shared" si="257"/>
        <v>1742.608896</v>
      </c>
      <c r="W239" s="1010">
        <f t="shared" si="257"/>
        <v>1851.5219519999998</v>
      </c>
      <c r="X239" s="1010">
        <f t="shared" si="257"/>
        <v>1960.4350079999999</v>
      </c>
      <c r="Y239" s="1010">
        <f t="shared" si="257"/>
        <v>2069.3480639999998</v>
      </c>
      <c r="Z239" s="1010">
        <f t="shared" si="257"/>
        <v>2178.2611199999997</v>
      </c>
      <c r="AA239" s="1010">
        <f t="shared" si="257"/>
        <v>2287.174176</v>
      </c>
      <c r="AB239" s="1010">
        <f t="shared" si="257"/>
        <v>2396.0872319999999</v>
      </c>
      <c r="AC239" s="1010">
        <f t="shared" si="257"/>
        <v>2505.0002879999997</v>
      </c>
      <c r="AD239" s="1010">
        <f t="shared" si="257"/>
        <v>2613.9133439999996</v>
      </c>
      <c r="AE239" s="1010">
        <f t="shared" si="257"/>
        <v>2722.8263999999999</v>
      </c>
      <c r="AF239" s="1010">
        <f t="shared" si="257"/>
        <v>2831.7394559999998</v>
      </c>
      <c r="AG239" s="1010">
        <f t="shared" si="257"/>
        <v>2940.6525119999997</v>
      </c>
      <c r="AH239" s="1010">
        <f t="shared" si="257"/>
        <v>3049.5655679999995</v>
      </c>
      <c r="AI239" s="1010">
        <f t="shared" si="257"/>
        <v>3158.4786239999994</v>
      </c>
      <c r="AJ239" s="1010">
        <f t="shared" si="257"/>
        <v>3267.3916799999993</v>
      </c>
      <c r="AK239" s="1010">
        <f t="shared" si="257"/>
        <v>3376.304736</v>
      </c>
      <c r="AL239" s="1010">
        <f t="shared" si="257"/>
        <v>3485.2177919999999</v>
      </c>
      <c r="AM239" s="1010">
        <f t="shared" si="257"/>
        <v>3594.1308479999998</v>
      </c>
      <c r="AN239" s="1010">
        <f t="shared" si="257"/>
        <v>3703.0439039999997</v>
      </c>
      <c r="AO239" s="1010">
        <f t="shared" ref="AO239:BT239" si="258">((AO$232-$I$4)/1000)*$O$119*(($C$8/70)^$Y$119)*IF($C$13=1,$AF$118,IF($C$13=2,$AG$118,IF($C$13=3,$AH$118,1)))</f>
        <v>3811.9569599999995</v>
      </c>
      <c r="AP239" s="1010">
        <f t="shared" si="258"/>
        <v>3920.8700159999999</v>
      </c>
      <c r="AQ239" s="1010">
        <f t="shared" si="258"/>
        <v>4029.7830719999997</v>
      </c>
      <c r="AR239" s="1010">
        <f t="shared" si="258"/>
        <v>4138.6961279999996</v>
      </c>
      <c r="AS239" s="1010">
        <f t="shared" si="258"/>
        <v>4247.6091839999999</v>
      </c>
      <c r="AT239" s="1010">
        <f t="shared" si="258"/>
        <v>4356.5222399999993</v>
      </c>
      <c r="AU239" s="1010">
        <f t="shared" si="258"/>
        <v>4465.4352959999987</v>
      </c>
      <c r="AV239" s="1010">
        <f t="shared" si="258"/>
        <v>4574.348352</v>
      </c>
      <c r="AW239" s="1010">
        <f t="shared" si="258"/>
        <v>4683.2614079999994</v>
      </c>
      <c r="AX239" s="1010">
        <f t="shared" si="258"/>
        <v>4792.1744639999997</v>
      </c>
      <c r="AY239" s="1010">
        <f t="shared" si="258"/>
        <v>4901.08752</v>
      </c>
      <c r="AZ239" s="1010">
        <f t="shared" si="258"/>
        <v>5010.0005759999995</v>
      </c>
      <c r="BA239" s="1010">
        <f t="shared" si="258"/>
        <v>5118.9136319999998</v>
      </c>
      <c r="BB239" s="1010">
        <f t="shared" si="258"/>
        <v>5227.8266879999992</v>
      </c>
      <c r="BC239" s="1010">
        <f t="shared" si="258"/>
        <v>5336.7397440000004</v>
      </c>
      <c r="BD239" s="1010">
        <f t="shared" si="258"/>
        <v>5445.6527999999998</v>
      </c>
      <c r="BE239" s="1010">
        <f t="shared" si="258"/>
        <v>5554.5658559999993</v>
      </c>
      <c r="BF239" s="1010">
        <f t="shared" si="258"/>
        <v>5663.4789119999996</v>
      </c>
      <c r="BG239" s="1010">
        <f t="shared" si="258"/>
        <v>5772.391967999999</v>
      </c>
      <c r="BH239" s="865">
        <f t="shared" si="258"/>
        <v>-762.39139199999988</v>
      </c>
      <c r="BI239" s="865">
        <f t="shared" si="258"/>
        <v>-762.39139199999988</v>
      </c>
      <c r="BJ239" s="865">
        <f t="shared" si="258"/>
        <v>-762.39139199999988</v>
      </c>
      <c r="BK239" s="865">
        <f t="shared" si="258"/>
        <v>-762.39139199999988</v>
      </c>
      <c r="BL239" s="865">
        <f t="shared" si="258"/>
        <v>-762.39139199999988</v>
      </c>
      <c r="BM239" s="865">
        <f t="shared" si="258"/>
        <v>-762.39139199999988</v>
      </c>
      <c r="BN239" s="865">
        <f t="shared" si="258"/>
        <v>-762.39139199999988</v>
      </c>
      <c r="BO239" s="865">
        <f t="shared" si="258"/>
        <v>-762.39139199999988</v>
      </c>
      <c r="BP239" s="865">
        <f t="shared" si="258"/>
        <v>-762.39139199999988</v>
      </c>
      <c r="BQ239" s="865">
        <f t="shared" si="258"/>
        <v>-762.39139199999988</v>
      </c>
      <c r="BR239" s="865">
        <f t="shared" si="258"/>
        <v>-762.39139199999988</v>
      </c>
      <c r="BS239" s="865">
        <f t="shared" si="258"/>
        <v>-762.39139199999988</v>
      </c>
      <c r="BT239" s="865">
        <f t="shared" si="258"/>
        <v>-762.39139199999988</v>
      </c>
      <c r="BU239" s="865">
        <f t="shared" ref="BU239:CZ239" si="259">((BU$232-$I$4)/1000)*$O$119*(($C$8/70)^$Y$119)*IF($C$13=1,$AF$118,IF($C$13=2,$AG$118,IF($C$13=3,$AH$118,1)))</f>
        <v>-762.39139199999988</v>
      </c>
      <c r="BV239" s="865">
        <f t="shared" si="259"/>
        <v>-762.39139199999988</v>
      </c>
      <c r="BW239" s="865">
        <f t="shared" si="259"/>
        <v>-762.39139199999988</v>
      </c>
      <c r="BX239" s="865">
        <f t="shared" si="259"/>
        <v>-762.39139199999988</v>
      </c>
      <c r="BY239" s="865">
        <f t="shared" si="259"/>
        <v>-762.39139199999988</v>
      </c>
      <c r="BZ239" s="865">
        <f t="shared" si="259"/>
        <v>-762.39139199999988</v>
      </c>
      <c r="CA239" s="865">
        <f t="shared" si="259"/>
        <v>-762.39139199999988</v>
      </c>
      <c r="CB239" s="865">
        <f t="shared" si="259"/>
        <v>-762.39139199999988</v>
      </c>
      <c r="CC239" s="865">
        <f t="shared" si="259"/>
        <v>-762.39139199999988</v>
      </c>
      <c r="CD239" s="865">
        <f t="shared" si="259"/>
        <v>-762.39139199999988</v>
      </c>
      <c r="CE239" s="865">
        <f t="shared" si="259"/>
        <v>-762.39139199999988</v>
      </c>
      <c r="CF239" s="865">
        <f t="shared" si="259"/>
        <v>-762.39139199999988</v>
      </c>
      <c r="CG239" s="865">
        <f t="shared" si="259"/>
        <v>-762.39139199999988</v>
      </c>
      <c r="CH239" s="865">
        <f t="shared" si="259"/>
        <v>-762.39139199999988</v>
      </c>
      <c r="CI239" s="865">
        <f t="shared" si="259"/>
        <v>-762.39139199999988</v>
      </c>
      <c r="CJ239" s="865">
        <f t="shared" si="259"/>
        <v>-762.39139199999988</v>
      </c>
      <c r="CK239" s="865">
        <f t="shared" si="259"/>
        <v>-762.39139199999988</v>
      </c>
      <c r="CL239" s="865">
        <f t="shared" si="259"/>
        <v>-762.39139199999988</v>
      </c>
      <c r="CM239" s="865">
        <f t="shared" si="259"/>
        <v>-762.39139199999988</v>
      </c>
      <c r="CN239" s="865">
        <f t="shared" si="259"/>
        <v>-762.39139199999988</v>
      </c>
      <c r="CO239" s="865">
        <f t="shared" si="259"/>
        <v>-762.39139199999988</v>
      </c>
      <c r="CP239" s="865">
        <f t="shared" si="259"/>
        <v>-762.39139199999988</v>
      </c>
      <c r="CQ239" s="865">
        <f t="shared" si="259"/>
        <v>-762.39139199999988</v>
      </c>
      <c r="CR239" s="865">
        <f t="shared" si="259"/>
        <v>-762.39139199999988</v>
      </c>
      <c r="CS239" s="865">
        <f t="shared" si="259"/>
        <v>-762.39139199999988</v>
      </c>
      <c r="CT239" s="865">
        <f t="shared" si="259"/>
        <v>-762.39139199999988</v>
      </c>
      <c r="CU239" s="865">
        <f t="shared" si="259"/>
        <v>-762.39139199999988</v>
      </c>
      <c r="CV239" s="865">
        <f t="shared" si="259"/>
        <v>-762.39139199999988</v>
      </c>
      <c r="CW239" s="865">
        <f t="shared" si="259"/>
        <v>-762.39139199999988</v>
      </c>
      <c r="CX239" s="865">
        <f t="shared" si="259"/>
        <v>-762.39139199999988</v>
      </c>
      <c r="CY239" s="865">
        <f t="shared" si="259"/>
        <v>-762.39139199999988</v>
      </c>
      <c r="CZ239" s="865">
        <f t="shared" si="259"/>
        <v>-762.39139199999988</v>
      </c>
      <c r="DA239" s="865">
        <f t="shared" ref="DA239:DG239" si="260">((DA$232-$I$4)/1000)*$O$119*(($C$8/70)^$Y$119)*IF($C$13=1,$AF$118,IF($C$13=2,$AG$118,IF($C$13=3,$AH$118,1)))</f>
        <v>-762.39139199999988</v>
      </c>
      <c r="DB239" s="865">
        <f t="shared" si="260"/>
        <v>-762.39139199999988</v>
      </c>
      <c r="DC239" s="865">
        <f t="shared" si="260"/>
        <v>-762.39139199999988</v>
      </c>
      <c r="DD239" s="865">
        <f t="shared" si="260"/>
        <v>-762.39139199999988</v>
      </c>
      <c r="DE239" s="865">
        <f t="shared" si="260"/>
        <v>-762.39139199999988</v>
      </c>
      <c r="DF239" s="865">
        <f t="shared" si="260"/>
        <v>-762.39139199999988</v>
      </c>
      <c r="DG239" s="865">
        <f t="shared" si="260"/>
        <v>-762.39139199999988</v>
      </c>
    </row>
    <row r="240" spans="1:111" ht="15.75" hidden="1" thickBot="1">
      <c r="B240" s="2312" t="s">
        <v>365</v>
      </c>
      <c r="C240" s="2313"/>
      <c r="D240" s="1983"/>
      <c r="E240" s="1983"/>
      <c r="F240" s="1983"/>
      <c r="G240" s="1983"/>
      <c r="H240" s="1983"/>
      <c r="I240" s="679">
        <f t="shared" ref="I240:AN240" si="261">((I$232-$I$4)/1000)*$Q$119*(($C$8/70)^$AA$119)*IF($C$13=1,$AF$118,IF($C$13=2,$AG$118,IF($C$13=3,$AH$118,1)))</f>
        <v>405.46310399999993</v>
      </c>
      <c r="J240" s="679">
        <f t="shared" si="261"/>
        <v>540.61747199999991</v>
      </c>
      <c r="K240" s="679">
        <f t="shared" si="261"/>
        <v>675.77183999999977</v>
      </c>
      <c r="L240" s="679">
        <f t="shared" si="261"/>
        <v>810.92620799999986</v>
      </c>
      <c r="M240" s="679">
        <f t="shared" si="261"/>
        <v>946.08057599999961</v>
      </c>
      <c r="N240" s="679">
        <f t="shared" si="261"/>
        <v>1081.2349439999998</v>
      </c>
      <c r="O240" s="679">
        <f t="shared" si="261"/>
        <v>1216.3893119999998</v>
      </c>
      <c r="P240" s="679">
        <f t="shared" si="261"/>
        <v>1351.5436799999995</v>
      </c>
      <c r="Q240" s="679">
        <f t="shared" si="261"/>
        <v>1486.6980479999997</v>
      </c>
      <c r="R240" s="679">
        <f t="shared" si="261"/>
        <v>1621.8524159999997</v>
      </c>
      <c r="S240" s="679">
        <f t="shared" si="261"/>
        <v>1757.0067839999995</v>
      </c>
      <c r="T240" s="679">
        <f t="shared" si="261"/>
        <v>1892.1611519999992</v>
      </c>
      <c r="U240" s="679">
        <f t="shared" si="261"/>
        <v>2027.3155199999994</v>
      </c>
      <c r="V240" s="679">
        <f t="shared" si="261"/>
        <v>2162.4698879999996</v>
      </c>
      <c r="W240" s="679">
        <f t="shared" si="261"/>
        <v>2297.6242559999996</v>
      </c>
      <c r="X240" s="679">
        <f t="shared" si="261"/>
        <v>2432.7786239999996</v>
      </c>
      <c r="Y240" s="679">
        <f t="shared" si="261"/>
        <v>2567.9329919999991</v>
      </c>
      <c r="Z240" s="679">
        <f t="shared" si="261"/>
        <v>2703.0873599999991</v>
      </c>
      <c r="AA240" s="679">
        <f t="shared" si="261"/>
        <v>2838.2417279999995</v>
      </c>
      <c r="AB240" s="679">
        <f t="shared" si="261"/>
        <v>2973.3960959999995</v>
      </c>
      <c r="AC240" s="679">
        <f t="shared" si="261"/>
        <v>3108.550463999999</v>
      </c>
      <c r="AD240" s="679">
        <f t="shared" si="261"/>
        <v>3243.7048319999994</v>
      </c>
      <c r="AE240" s="679">
        <f t="shared" si="261"/>
        <v>3378.8591999999994</v>
      </c>
      <c r="AF240" s="679">
        <f t="shared" si="261"/>
        <v>3514.0135679999989</v>
      </c>
      <c r="AG240" s="679">
        <f t="shared" si="261"/>
        <v>3649.1679359999989</v>
      </c>
      <c r="AH240" s="679">
        <f t="shared" si="261"/>
        <v>3784.3223039999984</v>
      </c>
      <c r="AI240" s="679">
        <f t="shared" si="261"/>
        <v>3919.4766719999989</v>
      </c>
      <c r="AJ240" s="679">
        <f t="shared" si="261"/>
        <v>4054.6310399999988</v>
      </c>
      <c r="AK240" s="679">
        <f t="shared" si="261"/>
        <v>4189.7854079999988</v>
      </c>
      <c r="AL240" s="679">
        <f t="shared" si="261"/>
        <v>4324.9397759999993</v>
      </c>
      <c r="AM240" s="679">
        <f t="shared" si="261"/>
        <v>4460.0941439999988</v>
      </c>
      <c r="AN240" s="679">
        <f t="shared" si="261"/>
        <v>4595.2485119999992</v>
      </c>
      <c r="AO240" s="679">
        <f t="shared" ref="AO240:BT240" si="262">((AO$232-$I$4)/1000)*$Q$119*(($C$8/70)^$AA$119)*IF($C$13=1,$AF$118,IF($C$13=2,$AG$118,IF($C$13=3,$AH$118,1)))</f>
        <v>4730.4028799999987</v>
      </c>
      <c r="AP240" s="679">
        <f t="shared" si="262"/>
        <v>4865.5572479999992</v>
      </c>
      <c r="AQ240" s="679">
        <f t="shared" si="262"/>
        <v>5000.7116159999987</v>
      </c>
      <c r="AR240" s="679">
        <f t="shared" si="262"/>
        <v>5135.8659839999982</v>
      </c>
      <c r="AS240" s="679">
        <f t="shared" si="262"/>
        <v>5271.0203519999986</v>
      </c>
      <c r="AT240" s="679">
        <f t="shared" si="262"/>
        <v>5406.1747199999982</v>
      </c>
      <c r="AU240" s="679">
        <f t="shared" si="262"/>
        <v>5541.3290879999977</v>
      </c>
      <c r="AV240" s="679">
        <f t="shared" si="262"/>
        <v>5676.483455999999</v>
      </c>
      <c r="AW240" s="679">
        <f t="shared" si="262"/>
        <v>5811.6378239999985</v>
      </c>
      <c r="AX240" s="679">
        <f t="shared" si="262"/>
        <v>5946.792191999999</v>
      </c>
      <c r="AY240" s="679">
        <f t="shared" si="262"/>
        <v>6081.9465599999985</v>
      </c>
      <c r="AZ240" s="679">
        <f t="shared" si="262"/>
        <v>6217.100927999998</v>
      </c>
      <c r="BA240" s="679">
        <f t="shared" si="262"/>
        <v>6352.2552959999985</v>
      </c>
      <c r="BB240" s="679">
        <f t="shared" si="262"/>
        <v>6487.4096639999989</v>
      </c>
      <c r="BC240" s="679">
        <f t="shared" si="262"/>
        <v>6622.5640319999993</v>
      </c>
      <c r="BD240" s="679">
        <f t="shared" si="262"/>
        <v>6757.7183999999988</v>
      </c>
      <c r="BE240" s="679">
        <f t="shared" si="262"/>
        <v>6892.8727679999974</v>
      </c>
      <c r="BF240" s="679">
        <f t="shared" si="262"/>
        <v>7028.0271359999979</v>
      </c>
      <c r="BG240" s="679">
        <f t="shared" si="262"/>
        <v>7163.1815039999974</v>
      </c>
      <c r="BH240" s="865">
        <f t="shared" si="262"/>
        <v>-946.08057599999961</v>
      </c>
      <c r="BI240" s="865">
        <f t="shared" si="262"/>
        <v>-946.08057599999961</v>
      </c>
      <c r="BJ240" s="865">
        <f t="shared" si="262"/>
        <v>-946.08057599999961</v>
      </c>
      <c r="BK240" s="865">
        <f t="shared" si="262"/>
        <v>-946.08057599999961</v>
      </c>
      <c r="BL240" s="865">
        <f t="shared" si="262"/>
        <v>-946.08057599999961</v>
      </c>
      <c r="BM240" s="865">
        <f t="shared" si="262"/>
        <v>-946.08057599999961</v>
      </c>
      <c r="BN240" s="865">
        <f t="shared" si="262"/>
        <v>-946.08057599999961</v>
      </c>
      <c r="BO240" s="865">
        <f t="shared" si="262"/>
        <v>-946.08057599999961</v>
      </c>
      <c r="BP240" s="865">
        <f t="shared" si="262"/>
        <v>-946.08057599999961</v>
      </c>
      <c r="BQ240" s="865">
        <f t="shared" si="262"/>
        <v>-946.08057599999961</v>
      </c>
      <c r="BR240" s="865">
        <f t="shared" si="262"/>
        <v>-946.08057599999961</v>
      </c>
      <c r="BS240" s="865">
        <f t="shared" si="262"/>
        <v>-946.08057599999961</v>
      </c>
      <c r="BT240" s="865">
        <f t="shared" si="262"/>
        <v>-946.08057599999961</v>
      </c>
      <c r="BU240" s="865">
        <f t="shared" ref="BU240:CZ240" si="263">((BU$232-$I$4)/1000)*$Q$119*(($C$8/70)^$AA$119)*IF($C$13=1,$AF$118,IF($C$13=2,$AG$118,IF($C$13=3,$AH$118,1)))</f>
        <v>-946.08057599999961</v>
      </c>
      <c r="BV240" s="865">
        <f t="shared" si="263"/>
        <v>-946.08057599999961</v>
      </c>
      <c r="BW240" s="865">
        <f t="shared" si="263"/>
        <v>-946.08057599999961</v>
      </c>
      <c r="BX240" s="865">
        <f t="shared" si="263"/>
        <v>-946.08057599999961</v>
      </c>
      <c r="BY240" s="865">
        <f t="shared" si="263"/>
        <v>-946.08057599999961</v>
      </c>
      <c r="BZ240" s="865">
        <f t="shared" si="263"/>
        <v>-946.08057599999961</v>
      </c>
      <c r="CA240" s="865">
        <f t="shared" si="263"/>
        <v>-946.08057599999961</v>
      </c>
      <c r="CB240" s="865">
        <f t="shared" si="263"/>
        <v>-946.08057599999961</v>
      </c>
      <c r="CC240" s="865">
        <f t="shared" si="263"/>
        <v>-946.08057599999961</v>
      </c>
      <c r="CD240" s="865">
        <f t="shared" si="263"/>
        <v>-946.08057599999961</v>
      </c>
      <c r="CE240" s="865">
        <f t="shared" si="263"/>
        <v>-946.08057599999961</v>
      </c>
      <c r="CF240" s="865">
        <f t="shared" si="263"/>
        <v>-946.08057599999961</v>
      </c>
      <c r="CG240" s="865">
        <f t="shared" si="263"/>
        <v>-946.08057599999961</v>
      </c>
      <c r="CH240" s="865">
        <f t="shared" si="263"/>
        <v>-946.08057599999961</v>
      </c>
      <c r="CI240" s="865">
        <f t="shared" si="263"/>
        <v>-946.08057599999961</v>
      </c>
      <c r="CJ240" s="865">
        <f t="shared" si="263"/>
        <v>-946.08057599999961</v>
      </c>
      <c r="CK240" s="865">
        <f t="shared" si="263"/>
        <v>-946.08057599999961</v>
      </c>
      <c r="CL240" s="865">
        <f t="shared" si="263"/>
        <v>-946.08057599999961</v>
      </c>
      <c r="CM240" s="865">
        <f t="shared" si="263"/>
        <v>-946.08057599999961</v>
      </c>
      <c r="CN240" s="865">
        <f t="shared" si="263"/>
        <v>-946.08057599999961</v>
      </c>
      <c r="CO240" s="865">
        <f t="shared" si="263"/>
        <v>-946.08057599999961</v>
      </c>
      <c r="CP240" s="865">
        <f t="shared" si="263"/>
        <v>-946.08057599999961</v>
      </c>
      <c r="CQ240" s="865">
        <f t="shared" si="263"/>
        <v>-946.08057599999961</v>
      </c>
      <c r="CR240" s="865">
        <f t="shared" si="263"/>
        <v>-946.08057599999961</v>
      </c>
      <c r="CS240" s="865">
        <f t="shared" si="263"/>
        <v>-946.08057599999961</v>
      </c>
      <c r="CT240" s="865">
        <f t="shared" si="263"/>
        <v>-946.08057599999961</v>
      </c>
      <c r="CU240" s="865">
        <f t="shared" si="263"/>
        <v>-946.08057599999961</v>
      </c>
      <c r="CV240" s="865">
        <f t="shared" si="263"/>
        <v>-946.08057599999961</v>
      </c>
      <c r="CW240" s="865">
        <f t="shared" si="263"/>
        <v>-946.08057599999961</v>
      </c>
      <c r="CX240" s="865">
        <f t="shared" si="263"/>
        <v>-946.08057599999961</v>
      </c>
      <c r="CY240" s="865">
        <f t="shared" si="263"/>
        <v>-946.08057599999961</v>
      </c>
      <c r="CZ240" s="865">
        <f t="shared" si="263"/>
        <v>-946.08057599999961</v>
      </c>
      <c r="DA240" s="865">
        <f t="shared" ref="DA240:DG240" si="264">((DA$232-$I$4)/1000)*$Q$119*(($C$8/70)^$AA$119)*IF($C$13=1,$AF$118,IF($C$13=2,$AG$118,IF($C$13=3,$AH$118,1)))</f>
        <v>-946.08057599999961</v>
      </c>
      <c r="DB240" s="865">
        <f t="shared" si="264"/>
        <v>-946.08057599999961</v>
      </c>
      <c r="DC240" s="865">
        <f t="shared" si="264"/>
        <v>-946.08057599999961</v>
      </c>
      <c r="DD240" s="865">
        <f t="shared" si="264"/>
        <v>-946.08057599999961</v>
      </c>
      <c r="DE240" s="865">
        <f t="shared" si="264"/>
        <v>-946.08057599999961</v>
      </c>
      <c r="DF240" s="865">
        <f t="shared" si="264"/>
        <v>-946.08057599999961</v>
      </c>
      <c r="DG240" s="865">
        <f t="shared" si="264"/>
        <v>-946.08057599999961</v>
      </c>
    </row>
    <row r="241" spans="2:111" hidden="1">
      <c r="B241" s="2393" t="s">
        <v>366</v>
      </c>
      <c r="C241" s="2394"/>
      <c r="D241" s="1986"/>
      <c r="E241" s="1986"/>
      <c r="F241" s="1986"/>
      <c r="G241" s="1986"/>
      <c r="H241" s="1986"/>
      <c r="I241" s="865">
        <f t="shared" ref="I241:AN241" si="265">((I$232-$I$4)/1000)*$M$120*(($C$8/70)^$W$120)*IF($C$13=1,$AF$119,IF($C$13=2,$AG$119,IF($C$13=3,$AH$119,1)))</f>
        <v>278.33070169157037</v>
      </c>
      <c r="J241" s="865">
        <f t="shared" si="265"/>
        <v>371.1076022554272</v>
      </c>
      <c r="K241" s="865">
        <f t="shared" si="265"/>
        <v>463.88450281928397</v>
      </c>
      <c r="L241" s="865">
        <f t="shared" si="265"/>
        <v>556.66140338314074</v>
      </c>
      <c r="M241" s="865">
        <f t="shared" si="265"/>
        <v>649.43830394699751</v>
      </c>
      <c r="N241" s="865">
        <f t="shared" si="265"/>
        <v>742.21520451085439</v>
      </c>
      <c r="O241" s="865">
        <f t="shared" si="265"/>
        <v>834.99210507471116</v>
      </c>
      <c r="P241" s="865">
        <f t="shared" si="265"/>
        <v>927.76900563856793</v>
      </c>
      <c r="Q241" s="865">
        <f t="shared" si="265"/>
        <v>1020.5459062024248</v>
      </c>
      <c r="R241" s="865">
        <f t="shared" si="265"/>
        <v>1113.3228067662815</v>
      </c>
      <c r="S241" s="865">
        <f t="shared" si="265"/>
        <v>1206.0997073301385</v>
      </c>
      <c r="T241" s="865">
        <f t="shared" si="265"/>
        <v>1298.876607893995</v>
      </c>
      <c r="U241" s="865">
        <f t="shared" si="265"/>
        <v>1391.653508457852</v>
      </c>
      <c r="V241" s="865">
        <f t="shared" si="265"/>
        <v>1484.4304090217088</v>
      </c>
      <c r="W241" s="865">
        <f t="shared" si="265"/>
        <v>1577.2073095855653</v>
      </c>
      <c r="X241" s="865">
        <f t="shared" si="265"/>
        <v>1669.9842101494223</v>
      </c>
      <c r="Y241" s="865">
        <f t="shared" si="265"/>
        <v>1762.7611107132789</v>
      </c>
      <c r="Z241" s="865">
        <f t="shared" si="265"/>
        <v>1855.5380112771359</v>
      </c>
      <c r="AA241" s="865">
        <f t="shared" si="265"/>
        <v>1948.3149118409929</v>
      </c>
      <c r="AB241" s="865">
        <f t="shared" si="265"/>
        <v>2041.0918124048496</v>
      </c>
      <c r="AC241" s="865">
        <f t="shared" si="265"/>
        <v>2133.8687129687059</v>
      </c>
      <c r="AD241" s="865">
        <f t="shared" si="265"/>
        <v>2226.6456135325629</v>
      </c>
      <c r="AE241" s="865">
        <f t="shared" si="265"/>
        <v>2319.4225140964199</v>
      </c>
      <c r="AF241" s="865">
        <f t="shared" si="265"/>
        <v>2412.1994146602769</v>
      </c>
      <c r="AG241" s="865">
        <f t="shared" si="265"/>
        <v>2504.9763152241335</v>
      </c>
      <c r="AH241" s="865">
        <f t="shared" si="265"/>
        <v>2597.75321578799</v>
      </c>
      <c r="AI241" s="865">
        <f t="shared" si="265"/>
        <v>2690.5301163518466</v>
      </c>
      <c r="AJ241" s="865">
        <f t="shared" si="265"/>
        <v>2783.307016915704</v>
      </c>
      <c r="AK241" s="865">
        <f t="shared" si="265"/>
        <v>2876.0839174795606</v>
      </c>
      <c r="AL241" s="865">
        <f t="shared" si="265"/>
        <v>2968.8608180434176</v>
      </c>
      <c r="AM241" s="865">
        <f t="shared" si="265"/>
        <v>3061.6377186072741</v>
      </c>
      <c r="AN241" s="865">
        <f t="shared" si="265"/>
        <v>3154.4146191711307</v>
      </c>
      <c r="AO241" s="865">
        <f t="shared" ref="AO241:BT241" si="266">((AO$232-$I$4)/1000)*$M$120*(($C$8/70)^$W$120)*IF($C$13=1,$AF$119,IF($C$13=2,$AG$119,IF($C$13=3,$AH$119,1)))</f>
        <v>3247.1915197349877</v>
      </c>
      <c r="AP241" s="865">
        <f t="shared" si="266"/>
        <v>3339.9684202988446</v>
      </c>
      <c r="AQ241" s="865">
        <f t="shared" si="266"/>
        <v>3432.7453208627016</v>
      </c>
      <c r="AR241" s="865">
        <f t="shared" si="266"/>
        <v>3525.5222214265577</v>
      </c>
      <c r="AS241" s="865">
        <f t="shared" si="266"/>
        <v>3618.2991219904152</v>
      </c>
      <c r="AT241" s="865">
        <f t="shared" si="266"/>
        <v>3711.0760225542717</v>
      </c>
      <c r="AU241" s="865">
        <f t="shared" si="266"/>
        <v>3803.8529231181283</v>
      </c>
      <c r="AV241" s="865">
        <f t="shared" si="266"/>
        <v>3896.6298236819857</v>
      </c>
      <c r="AW241" s="865">
        <f t="shared" si="266"/>
        <v>3989.4067242458418</v>
      </c>
      <c r="AX241" s="865">
        <f t="shared" si="266"/>
        <v>4082.1836248096993</v>
      </c>
      <c r="AY241" s="865">
        <f t="shared" si="266"/>
        <v>4174.9605253735563</v>
      </c>
      <c r="AZ241" s="865">
        <f t="shared" si="266"/>
        <v>4267.7374259374119</v>
      </c>
      <c r="BA241" s="865">
        <f t="shared" si="266"/>
        <v>4360.5143265012694</v>
      </c>
      <c r="BB241" s="865">
        <f t="shared" si="266"/>
        <v>4453.2912270651259</v>
      </c>
      <c r="BC241" s="865">
        <f t="shared" si="266"/>
        <v>4546.0681276289833</v>
      </c>
      <c r="BD241" s="865">
        <f t="shared" si="266"/>
        <v>4638.8450281928399</v>
      </c>
      <c r="BE241" s="865">
        <f t="shared" si="266"/>
        <v>4731.6219287566964</v>
      </c>
      <c r="BF241" s="865">
        <f t="shared" si="266"/>
        <v>4824.3988293205539</v>
      </c>
      <c r="BG241" s="865">
        <f t="shared" si="266"/>
        <v>4917.1757298844095</v>
      </c>
      <c r="BH241" s="865">
        <f t="shared" si="266"/>
        <v>-649.43830394699751</v>
      </c>
      <c r="BI241" s="865">
        <f t="shared" si="266"/>
        <v>-649.43830394699751</v>
      </c>
      <c r="BJ241" s="865">
        <f t="shared" si="266"/>
        <v>-649.43830394699751</v>
      </c>
      <c r="BK241" s="865">
        <f t="shared" si="266"/>
        <v>-649.43830394699751</v>
      </c>
      <c r="BL241" s="865">
        <f t="shared" si="266"/>
        <v>-649.43830394699751</v>
      </c>
      <c r="BM241" s="865">
        <f t="shared" si="266"/>
        <v>-649.43830394699751</v>
      </c>
      <c r="BN241" s="865">
        <f t="shared" si="266"/>
        <v>-649.43830394699751</v>
      </c>
      <c r="BO241" s="865">
        <f t="shared" si="266"/>
        <v>-649.43830394699751</v>
      </c>
      <c r="BP241" s="865">
        <f t="shared" si="266"/>
        <v>-649.43830394699751</v>
      </c>
      <c r="BQ241" s="865">
        <f t="shared" si="266"/>
        <v>-649.43830394699751</v>
      </c>
      <c r="BR241" s="865">
        <f t="shared" si="266"/>
        <v>-649.43830394699751</v>
      </c>
      <c r="BS241" s="865">
        <f t="shared" si="266"/>
        <v>-649.43830394699751</v>
      </c>
      <c r="BT241" s="865">
        <f t="shared" si="266"/>
        <v>-649.43830394699751</v>
      </c>
      <c r="BU241" s="865">
        <f t="shared" ref="BU241:CZ241" si="267">((BU$232-$I$4)/1000)*$M$120*(($C$8/70)^$W$120)*IF($C$13=1,$AF$119,IF($C$13=2,$AG$119,IF($C$13=3,$AH$119,1)))</f>
        <v>-649.43830394699751</v>
      </c>
      <c r="BV241" s="865">
        <f t="shared" si="267"/>
        <v>-649.43830394699751</v>
      </c>
      <c r="BW241" s="865">
        <f t="shared" si="267"/>
        <v>-649.43830394699751</v>
      </c>
      <c r="BX241" s="865">
        <f t="shared" si="267"/>
        <v>-649.43830394699751</v>
      </c>
      <c r="BY241" s="865">
        <f t="shared" si="267"/>
        <v>-649.43830394699751</v>
      </c>
      <c r="BZ241" s="865">
        <f t="shared" si="267"/>
        <v>-649.43830394699751</v>
      </c>
      <c r="CA241" s="865">
        <f t="shared" si="267"/>
        <v>-649.43830394699751</v>
      </c>
      <c r="CB241" s="865">
        <f t="shared" si="267"/>
        <v>-649.43830394699751</v>
      </c>
      <c r="CC241" s="865">
        <f t="shared" si="267"/>
        <v>-649.43830394699751</v>
      </c>
      <c r="CD241" s="865">
        <f t="shared" si="267"/>
        <v>-649.43830394699751</v>
      </c>
      <c r="CE241" s="865">
        <f t="shared" si="267"/>
        <v>-649.43830394699751</v>
      </c>
      <c r="CF241" s="865">
        <f t="shared" si="267"/>
        <v>-649.43830394699751</v>
      </c>
      <c r="CG241" s="865">
        <f t="shared" si="267"/>
        <v>-649.43830394699751</v>
      </c>
      <c r="CH241" s="865">
        <f t="shared" si="267"/>
        <v>-649.43830394699751</v>
      </c>
      <c r="CI241" s="865">
        <f t="shared" si="267"/>
        <v>-649.43830394699751</v>
      </c>
      <c r="CJ241" s="865">
        <f t="shared" si="267"/>
        <v>-649.43830394699751</v>
      </c>
      <c r="CK241" s="865">
        <f t="shared" si="267"/>
        <v>-649.43830394699751</v>
      </c>
      <c r="CL241" s="865">
        <f t="shared" si="267"/>
        <v>-649.43830394699751</v>
      </c>
      <c r="CM241" s="865">
        <f t="shared" si="267"/>
        <v>-649.43830394699751</v>
      </c>
      <c r="CN241" s="865">
        <f t="shared" si="267"/>
        <v>-649.43830394699751</v>
      </c>
      <c r="CO241" s="865">
        <f t="shared" si="267"/>
        <v>-649.43830394699751</v>
      </c>
      <c r="CP241" s="865">
        <f t="shared" si="267"/>
        <v>-649.43830394699751</v>
      </c>
      <c r="CQ241" s="865">
        <f t="shared" si="267"/>
        <v>-649.43830394699751</v>
      </c>
      <c r="CR241" s="865">
        <f t="shared" si="267"/>
        <v>-649.43830394699751</v>
      </c>
      <c r="CS241" s="865">
        <f t="shared" si="267"/>
        <v>-649.43830394699751</v>
      </c>
      <c r="CT241" s="865">
        <f t="shared" si="267"/>
        <v>-649.43830394699751</v>
      </c>
      <c r="CU241" s="865">
        <f t="shared" si="267"/>
        <v>-649.43830394699751</v>
      </c>
      <c r="CV241" s="865">
        <f t="shared" si="267"/>
        <v>-649.43830394699751</v>
      </c>
      <c r="CW241" s="865">
        <f t="shared" si="267"/>
        <v>-649.43830394699751</v>
      </c>
      <c r="CX241" s="865">
        <f t="shared" si="267"/>
        <v>-649.43830394699751</v>
      </c>
      <c r="CY241" s="865">
        <f t="shared" si="267"/>
        <v>-649.43830394699751</v>
      </c>
      <c r="CZ241" s="865">
        <f t="shared" si="267"/>
        <v>-649.43830394699751</v>
      </c>
      <c r="DA241" s="865">
        <f t="shared" ref="DA241:DG241" si="268">((DA$232-$I$4)/1000)*$M$120*(($C$8/70)^$W$120)*IF($C$13=1,$AF$119,IF($C$13=2,$AG$119,IF($C$13=3,$AH$119,1)))</f>
        <v>-649.43830394699751</v>
      </c>
      <c r="DB241" s="865">
        <f t="shared" si="268"/>
        <v>-649.43830394699751</v>
      </c>
      <c r="DC241" s="865">
        <f t="shared" si="268"/>
        <v>-649.43830394699751</v>
      </c>
      <c r="DD241" s="865">
        <f t="shared" si="268"/>
        <v>-649.43830394699751</v>
      </c>
      <c r="DE241" s="865">
        <f t="shared" si="268"/>
        <v>-649.43830394699751</v>
      </c>
      <c r="DF241" s="865">
        <f t="shared" si="268"/>
        <v>-649.43830394699751</v>
      </c>
      <c r="DG241" s="865">
        <f t="shared" si="268"/>
        <v>-649.43830394699751</v>
      </c>
    </row>
    <row r="242" spans="2:111" hidden="1">
      <c r="B242" s="2310" t="s">
        <v>367</v>
      </c>
      <c r="C242" s="2311"/>
      <c r="D242" s="1982"/>
      <c r="E242" s="1982"/>
      <c r="F242" s="1982"/>
      <c r="G242" s="1982"/>
      <c r="H242" s="1982"/>
      <c r="I242" s="712">
        <f t="shared" ref="I242:AN242" si="269">((I$232-$I$4)/1000)*$N$120*(($C$8/70)^$X$120)*IF($C$13=1,$AF$119,IF($C$13=2,$AG$119,IF($C$13=3,$AH$119,1)))</f>
        <v>292.88637</v>
      </c>
      <c r="J242" s="712">
        <f t="shared" si="269"/>
        <v>390.51515999999998</v>
      </c>
      <c r="K242" s="712">
        <f t="shared" si="269"/>
        <v>488.14394999999996</v>
      </c>
      <c r="L242" s="712">
        <f t="shared" si="269"/>
        <v>585.77274</v>
      </c>
      <c r="M242" s="712">
        <f t="shared" si="269"/>
        <v>683.40152999999987</v>
      </c>
      <c r="N242" s="712">
        <f t="shared" si="269"/>
        <v>781.03031999999996</v>
      </c>
      <c r="O242" s="712">
        <f t="shared" si="269"/>
        <v>878.65910999999994</v>
      </c>
      <c r="P242" s="712">
        <f t="shared" si="269"/>
        <v>976.28789999999992</v>
      </c>
      <c r="Q242" s="712">
        <f t="shared" si="269"/>
        <v>1073.91669</v>
      </c>
      <c r="R242" s="712">
        <f t="shared" si="269"/>
        <v>1171.54548</v>
      </c>
      <c r="S242" s="712">
        <f t="shared" si="269"/>
        <v>1269.17427</v>
      </c>
      <c r="T242" s="712">
        <f t="shared" si="269"/>
        <v>1366.8030599999997</v>
      </c>
      <c r="U242" s="712">
        <f t="shared" si="269"/>
        <v>1464.4318499999999</v>
      </c>
      <c r="V242" s="712">
        <f t="shared" si="269"/>
        <v>1562.0606399999999</v>
      </c>
      <c r="W242" s="712">
        <f t="shared" si="269"/>
        <v>1659.6894299999999</v>
      </c>
      <c r="X242" s="712">
        <f t="shared" si="269"/>
        <v>1757.3182199999999</v>
      </c>
      <c r="Y242" s="712">
        <f t="shared" si="269"/>
        <v>1854.9470099999999</v>
      </c>
      <c r="Z242" s="712">
        <f t="shared" si="269"/>
        <v>1952.5757999999998</v>
      </c>
      <c r="AA242" s="712">
        <f t="shared" si="269"/>
        <v>2050.2045899999998</v>
      </c>
      <c r="AB242" s="712">
        <f t="shared" si="269"/>
        <v>2147.83338</v>
      </c>
      <c r="AC242" s="712">
        <f t="shared" si="269"/>
        <v>2245.4621699999998</v>
      </c>
      <c r="AD242" s="712">
        <f t="shared" si="269"/>
        <v>2343.09096</v>
      </c>
      <c r="AE242" s="712">
        <f t="shared" si="269"/>
        <v>2440.7197499999997</v>
      </c>
      <c r="AF242" s="712">
        <f t="shared" si="269"/>
        <v>2538.34854</v>
      </c>
      <c r="AG242" s="712">
        <f t="shared" si="269"/>
        <v>2635.9773300000002</v>
      </c>
      <c r="AH242" s="712">
        <f t="shared" si="269"/>
        <v>2733.6061199999995</v>
      </c>
      <c r="AI242" s="712">
        <f t="shared" si="269"/>
        <v>2831.2349100000001</v>
      </c>
      <c r="AJ242" s="712">
        <f t="shared" si="269"/>
        <v>2928.8636999999999</v>
      </c>
      <c r="AK242" s="712">
        <f t="shared" si="269"/>
        <v>3026.4924900000001</v>
      </c>
      <c r="AL242" s="712">
        <f t="shared" si="269"/>
        <v>3124.1212799999998</v>
      </c>
      <c r="AM242" s="712">
        <f t="shared" si="269"/>
        <v>3221.7500700000001</v>
      </c>
      <c r="AN242" s="712">
        <f t="shared" si="269"/>
        <v>3319.3788599999998</v>
      </c>
      <c r="AO242" s="712">
        <f t="shared" ref="AO242:BT242" si="270">((AO$232-$I$4)/1000)*$N$120*(($C$8/70)^$X$120)*IF($C$13=1,$AF$119,IF($C$13=2,$AG$119,IF($C$13=3,$AH$119,1)))</f>
        <v>3417.00765</v>
      </c>
      <c r="AP242" s="712">
        <f t="shared" si="270"/>
        <v>3514.6364399999998</v>
      </c>
      <c r="AQ242" s="712">
        <f t="shared" si="270"/>
        <v>3612.26523</v>
      </c>
      <c r="AR242" s="712">
        <f t="shared" si="270"/>
        <v>3709.8940199999997</v>
      </c>
      <c r="AS242" s="712">
        <f t="shared" si="270"/>
        <v>3807.5228099999999</v>
      </c>
      <c r="AT242" s="712">
        <f t="shared" si="270"/>
        <v>3905.1515999999997</v>
      </c>
      <c r="AU242" s="712">
        <f t="shared" si="270"/>
        <v>4002.7803899999994</v>
      </c>
      <c r="AV242" s="712">
        <f t="shared" si="270"/>
        <v>4100.4091799999997</v>
      </c>
      <c r="AW242" s="712">
        <f t="shared" si="270"/>
        <v>4198.0379699999994</v>
      </c>
      <c r="AX242" s="712">
        <f t="shared" si="270"/>
        <v>4295.6667600000001</v>
      </c>
      <c r="AY242" s="712">
        <f t="shared" si="270"/>
        <v>4393.2955499999998</v>
      </c>
      <c r="AZ242" s="712">
        <f t="shared" si="270"/>
        <v>4490.9243399999996</v>
      </c>
      <c r="BA242" s="712">
        <f t="shared" si="270"/>
        <v>4588.5531299999993</v>
      </c>
      <c r="BB242" s="712">
        <f t="shared" si="270"/>
        <v>4686.18192</v>
      </c>
      <c r="BC242" s="712">
        <f t="shared" si="270"/>
        <v>4783.8107099999997</v>
      </c>
      <c r="BD242" s="712">
        <f t="shared" si="270"/>
        <v>4881.4394999999995</v>
      </c>
      <c r="BE242" s="712">
        <f t="shared" si="270"/>
        <v>4979.0682899999993</v>
      </c>
      <c r="BF242" s="712">
        <f t="shared" si="270"/>
        <v>5076.6970799999999</v>
      </c>
      <c r="BG242" s="712">
        <f t="shared" si="270"/>
        <v>5174.3258699999997</v>
      </c>
      <c r="BH242" s="865">
        <f t="shared" si="270"/>
        <v>-683.40152999999987</v>
      </c>
      <c r="BI242" s="865">
        <f t="shared" si="270"/>
        <v>-683.40152999999987</v>
      </c>
      <c r="BJ242" s="865">
        <f t="shared" si="270"/>
        <v>-683.40152999999987</v>
      </c>
      <c r="BK242" s="865">
        <f t="shared" si="270"/>
        <v>-683.40152999999987</v>
      </c>
      <c r="BL242" s="865">
        <f t="shared" si="270"/>
        <v>-683.40152999999987</v>
      </c>
      <c r="BM242" s="865">
        <f t="shared" si="270"/>
        <v>-683.40152999999987</v>
      </c>
      <c r="BN242" s="865">
        <f t="shared" si="270"/>
        <v>-683.40152999999987</v>
      </c>
      <c r="BO242" s="865">
        <f t="shared" si="270"/>
        <v>-683.40152999999987</v>
      </c>
      <c r="BP242" s="865">
        <f t="shared" si="270"/>
        <v>-683.40152999999987</v>
      </c>
      <c r="BQ242" s="865">
        <f t="shared" si="270"/>
        <v>-683.40152999999987</v>
      </c>
      <c r="BR242" s="865">
        <f t="shared" si="270"/>
        <v>-683.40152999999987</v>
      </c>
      <c r="BS242" s="865">
        <f t="shared" si="270"/>
        <v>-683.40152999999987</v>
      </c>
      <c r="BT242" s="865">
        <f t="shared" si="270"/>
        <v>-683.40152999999987</v>
      </c>
      <c r="BU242" s="865">
        <f t="shared" ref="BU242:CZ242" si="271">((BU$232-$I$4)/1000)*$N$120*(($C$8/70)^$X$120)*IF($C$13=1,$AF$119,IF($C$13=2,$AG$119,IF($C$13=3,$AH$119,1)))</f>
        <v>-683.40152999999987</v>
      </c>
      <c r="BV242" s="865">
        <f t="shared" si="271"/>
        <v>-683.40152999999987</v>
      </c>
      <c r="BW242" s="865">
        <f t="shared" si="271"/>
        <v>-683.40152999999987</v>
      </c>
      <c r="BX242" s="865">
        <f t="shared" si="271"/>
        <v>-683.40152999999987</v>
      </c>
      <c r="BY242" s="865">
        <f t="shared" si="271"/>
        <v>-683.40152999999987</v>
      </c>
      <c r="BZ242" s="865">
        <f t="shared" si="271"/>
        <v>-683.40152999999987</v>
      </c>
      <c r="CA242" s="865">
        <f t="shared" si="271"/>
        <v>-683.40152999999987</v>
      </c>
      <c r="CB242" s="865">
        <f t="shared" si="271"/>
        <v>-683.40152999999987</v>
      </c>
      <c r="CC242" s="865">
        <f t="shared" si="271"/>
        <v>-683.40152999999987</v>
      </c>
      <c r="CD242" s="865">
        <f t="shared" si="271"/>
        <v>-683.40152999999987</v>
      </c>
      <c r="CE242" s="865">
        <f t="shared" si="271"/>
        <v>-683.40152999999987</v>
      </c>
      <c r="CF242" s="865">
        <f t="shared" si="271"/>
        <v>-683.40152999999987</v>
      </c>
      <c r="CG242" s="865">
        <f t="shared" si="271"/>
        <v>-683.40152999999987</v>
      </c>
      <c r="CH242" s="865">
        <f t="shared" si="271"/>
        <v>-683.40152999999987</v>
      </c>
      <c r="CI242" s="865">
        <f t="shared" si="271"/>
        <v>-683.40152999999987</v>
      </c>
      <c r="CJ242" s="865">
        <f t="shared" si="271"/>
        <v>-683.40152999999987</v>
      </c>
      <c r="CK242" s="865">
        <f t="shared" si="271"/>
        <v>-683.40152999999987</v>
      </c>
      <c r="CL242" s="865">
        <f t="shared" si="271"/>
        <v>-683.40152999999987</v>
      </c>
      <c r="CM242" s="865">
        <f t="shared" si="271"/>
        <v>-683.40152999999987</v>
      </c>
      <c r="CN242" s="865">
        <f t="shared" si="271"/>
        <v>-683.40152999999987</v>
      </c>
      <c r="CO242" s="865">
        <f t="shared" si="271"/>
        <v>-683.40152999999987</v>
      </c>
      <c r="CP242" s="865">
        <f t="shared" si="271"/>
        <v>-683.40152999999987</v>
      </c>
      <c r="CQ242" s="865">
        <f t="shared" si="271"/>
        <v>-683.40152999999987</v>
      </c>
      <c r="CR242" s="865">
        <f t="shared" si="271"/>
        <v>-683.40152999999987</v>
      </c>
      <c r="CS242" s="865">
        <f t="shared" si="271"/>
        <v>-683.40152999999987</v>
      </c>
      <c r="CT242" s="865">
        <f t="shared" si="271"/>
        <v>-683.40152999999987</v>
      </c>
      <c r="CU242" s="865">
        <f t="shared" si="271"/>
        <v>-683.40152999999987</v>
      </c>
      <c r="CV242" s="865">
        <f t="shared" si="271"/>
        <v>-683.40152999999987</v>
      </c>
      <c r="CW242" s="865">
        <f t="shared" si="271"/>
        <v>-683.40152999999987</v>
      </c>
      <c r="CX242" s="865">
        <f t="shared" si="271"/>
        <v>-683.40152999999987</v>
      </c>
      <c r="CY242" s="865">
        <f t="shared" si="271"/>
        <v>-683.40152999999987</v>
      </c>
      <c r="CZ242" s="865">
        <f t="shared" si="271"/>
        <v>-683.40152999999987</v>
      </c>
      <c r="DA242" s="865">
        <f t="shared" ref="DA242:DG242" si="272">((DA$232-$I$4)/1000)*$N$120*(($C$8/70)^$X$120)*IF($C$13=1,$AF$119,IF($C$13=2,$AG$119,IF($C$13=3,$AH$119,1)))</f>
        <v>-683.40152999999987</v>
      </c>
      <c r="DB242" s="865">
        <f t="shared" si="272"/>
        <v>-683.40152999999987</v>
      </c>
      <c r="DC242" s="865">
        <f t="shared" si="272"/>
        <v>-683.40152999999987</v>
      </c>
      <c r="DD242" s="865">
        <f t="shared" si="272"/>
        <v>-683.40152999999987</v>
      </c>
      <c r="DE242" s="865">
        <f t="shared" si="272"/>
        <v>-683.40152999999987</v>
      </c>
      <c r="DF242" s="865">
        <f t="shared" si="272"/>
        <v>-683.40152999999987</v>
      </c>
      <c r="DG242" s="865">
        <f t="shared" si="272"/>
        <v>-683.40152999999987</v>
      </c>
    </row>
    <row r="243" spans="2:111" hidden="1">
      <c r="B243" s="2310" t="s">
        <v>368</v>
      </c>
      <c r="C243" s="2311"/>
      <c r="D243" s="1982"/>
      <c r="E243" s="1982"/>
      <c r="F243" s="1982"/>
      <c r="G243" s="1982"/>
      <c r="H243" s="1982"/>
      <c r="I243" s="712">
        <f t="shared" ref="I243:AN243" si="273">((I$232-$I$4)/1000)*$O$120*(($C$8/70)^$Y$120)*IF($C$13=1,$AF$119,IF($C$13=2,$AG$119,IF($C$13=3,$AH$119,1)))</f>
        <v>323.81225999999998</v>
      </c>
      <c r="J243" s="712">
        <f t="shared" si="273"/>
        <v>431.74968000000001</v>
      </c>
      <c r="K243" s="712">
        <f t="shared" si="273"/>
        <v>539.68709999999999</v>
      </c>
      <c r="L243" s="712">
        <f t="shared" si="273"/>
        <v>647.62451999999996</v>
      </c>
      <c r="M243" s="712">
        <f t="shared" si="273"/>
        <v>755.56193999999982</v>
      </c>
      <c r="N243" s="712">
        <f t="shared" si="273"/>
        <v>863.49936000000002</v>
      </c>
      <c r="O243" s="712">
        <f t="shared" si="273"/>
        <v>971.43677999999989</v>
      </c>
      <c r="P243" s="712">
        <f t="shared" si="273"/>
        <v>1079.3742</v>
      </c>
      <c r="Q243" s="712">
        <f t="shared" si="273"/>
        <v>1187.3116199999999</v>
      </c>
      <c r="R243" s="712">
        <f t="shared" si="273"/>
        <v>1295.2490399999999</v>
      </c>
      <c r="S243" s="712">
        <f t="shared" si="273"/>
        <v>1403.1864599999999</v>
      </c>
      <c r="T243" s="712">
        <f t="shared" si="273"/>
        <v>1511.1238799999996</v>
      </c>
      <c r="U243" s="712">
        <f t="shared" si="273"/>
        <v>1619.0612999999998</v>
      </c>
      <c r="V243" s="712">
        <f t="shared" si="273"/>
        <v>1726.99872</v>
      </c>
      <c r="W243" s="712">
        <f t="shared" si="273"/>
        <v>1834.9361399999998</v>
      </c>
      <c r="X243" s="712">
        <f t="shared" si="273"/>
        <v>1942.8735599999998</v>
      </c>
      <c r="Y243" s="712">
        <f t="shared" si="273"/>
        <v>2050.8109799999997</v>
      </c>
      <c r="Z243" s="712">
        <f t="shared" si="273"/>
        <v>2158.7483999999999</v>
      </c>
      <c r="AA243" s="712">
        <f t="shared" si="273"/>
        <v>2266.6858199999997</v>
      </c>
      <c r="AB243" s="712">
        <f t="shared" si="273"/>
        <v>2374.6232399999999</v>
      </c>
      <c r="AC243" s="712">
        <f t="shared" si="273"/>
        <v>2482.5606599999996</v>
      </c>
      <c r="AD243" s="712">
        <f t="shared" si="273"/>
        <v>2590.4980799999998</v>
      </c>
      <c r="AE243" s="712">
        <f t="shared" si="273"/>
        <v>2698.4355</v>
      </c>
      <c r="AF243" s="712">
        <f t="shared" si="273"/>
        <v>2806.3729199999998</v>
      </c>
      <c r="AG243" s="712">
        <f t="shared" si="273"/>
        <v>2914.31034</v>
      </c>
      <c r="AH243" s="712">
        <f t="shared" si="273"/>
        <v>3022.2477599999993</v>
      </c>
      <c r="AI243" s="712">
        <f t="shared" si="273"/>
        <v>3130.1851799999995</v>
      </c>
      <c r="AJ243" s="712">
        <f t="shared" si="273"/>
        <v>3238.1225999999997</v>
      </c>
      <c r="AK243" s="712">
        <f t="shared" si="273"/>
        <v>3346.0600199999999</v>
      </c>
      <c r="AL243" s="712">
        <f t="shared" si="273"/>
        <v>3453.9974400000001</v>
      </c>
      <c r="AM243" s="712">
        <f t="shared" si="273"/>
        <v>3561.9348599999994</v>
      </c>
      <c r="AN243" s="712">
        <f t="shared" si="273"/>
        <v>3669.8722799999996</v>
      </c>
      <c r="AO243" s="712">
        <f t="shared" ref="AO243:BT243" si="274">((AO$232-$I$4)/1000)*$O$120*(($C$8/70)^$Y$120)*IF($C$13=1,$AF$119,IF($C$13=2,$AG$119,IF($C$13=3,$AH$119,1)))</f>
        <v>3777.8096999999998</v>
      </c>
      <c r="AP243" s="712">
        <f t="shared" si="274"/>
        <v>3885.7471199999995</v>
      </c>
      <c r="AQ243" s="712">
        <f t="shared" si="274"/>
        <v>3993.6845399999997</v>
      </c>
      <c r="AR243" s="712">
        <f t="shared" si="274"/>
        <v>4101.6219599999995</v>
      </c>
      <c r="AS243" s="712">
        <f t="shared" si="274"/>
        <v>4209.5593799999997</v>
      </c>
      <c r="AT243" s="712">
        <f t="shared" si="274"/>
        <v>4317.4967999999999</v>
      </c>
      <c r="AU243" s="712">
        <f t="shared" si="274"/>
        <v>4425.4342199999992</v>
      </c>
      <c r="AV243" s="712">
        <f t="shared" si="274"/>
        <v>4533.3716399999994</v>
      </c>
      <c r="AW243" s="712">
        <f t="shared" si="274"/>
        <v>4641.3090599999996</v>
      </c>
      <c r="AX243" s="712">
        <f t="shared" si="274"/>
        <v>4749.2464799999998</v>
      </c>
      <c r="AY243" s="712">
        <f t="shared" si="274"/>
        <v>4857.1839</v>
      </c>
      <c r="AZ243" s="712">
        <f t="shared" si="274"/>
        <v>4965.1213199999993</v>
      </c>
      <c r="BA243" s="712">
        <f t="shared" si="274"/>
        <v>5073.0587399999995</v>
      </c>
      <c r="BB243" s="712">
        <f t="shared" si="274"/>
        <v>5180.9961599999997</v>
      </c>
      <c r="BC243" s="712">
        <f t="shared" si="274"/>
        <v>5288.9335799999999</v>
      </c>
      <c r="BD243" s="712">
        <f t="shared" si="274"/>
        <v>5396.8710000000001</v>
      </c>
      <c r="BE243" s="712">
        <f t="shared" si="274"/>
        <v>5504.8084199999985</v>
      </c>
      <c r="BF243" s="712">
        <f t="shared" si="274"/>
        <v>5612.7458399999996</v>
      </c>
      <c r="BG243" s="712">
        <f t="shared" si="274"/>
        <v>5720.6832599999998</v>
      </c>
      <c r="BH243" s="865">
        <f t="shared" si="274"/>
        <v>-755.56193999999982</v>
      </c>
      <c r="BI243" s="865">
        <f t="shared" si="274"/>
        <v>-755.56193999999982</v>
      </c>
      <c r="BJ243" s="865">
        <f t="shared" si="274"/>
        <v>-755.56193999999982</v>
      </c>
      <c r="BK243" s="865">
        <f t="shared" si="274"/>
        <v>-755.56193999999982</v>
      </c>
      <c r="BL243" s="865">
        <f t="shared" si="274"/>
        <v>-755.56193999999982</v>
      </c>
      <c r="BM243" s="865">
        <f t="shared" si="274"/>
        <v>-755.56193999999982</v>
      </c>
      <c r="BN243" s="865">
        <f t="shared" si="274"/>
        <v>-755.56193999999982</v>
      </c>
      <c r="BO243" s="865">
        <f t="shared" si="274"/>
        <v>-755.56193999999982</v>
      </c>
      <c r="BP243" s="865">
        <f t="shared" si="274"/>
        <v>-755.56193999999982</v>
      </c>
      <c r="BQ243" s="865">
        <f t="shared" si="274"/>
        <v>-755.56193999999982</v>
      </c>
      <c r="BR243" s="865">
        <f t="shared" si="274"/>
        <v>-755.56193999999982</v>
      </c>
      <c r="BS243" s="865">
        <f t="shared" si="274"/>
        <v>-755.56193999999982</v>
      </c>
      <c r="BT243" s="865">
        <f t="shared" si="274"/>
        <v>-755.56193999999982</v>
      </c>
      <c r="BU243" s="865">
        <f t="shared" ref="BU243:CZ243" si="275">((BU$232-$I$4)/1000)*$O$120*(($C$8/70)^$Y$120)*IF($C$13=1,$AF$119,IF($C$13=2,$AG$119,IF($C$13=3,$AH$119,1)))</f>
        <v>-755.56193999999982</v>
      </c>
      <c r="BV243" s="865">
        <f t="shared" si="275"/>
        <v>-755.56193999999982</v>
      </c>
      <c r="BW243" s="865">
        <f t="shared" si="275"/>
        <v>-755.56193999999982</v>
      </c>
      <c r="BX243" s="865">
        <f t="shared" si="275"/>
        <v>-755.56193999999982</v>
      </c>
      <c r="BY243" s="865">
        <f t="shared" si="275"/>
        <v>-755.56193999999982</v>
      </c>
      <c r="BZ243" s="865">
        <f t="shared" si="275"/>
        <v>-755.56193999999982</v>
      </c>
      <c r="CA243" s="865">
        <f t="shared" si="275"/>
        <v>-755.56193999999982</v>
      </c>
      <c r="CB243" s="865">
        <f t="shared" si="275"/>
        <v>-755.56193999999982</v>
      </c>
      <c r="CC243" s="865">
        <f t="shared" si="275"/>
        <v>-755.56193999999982</v>
      </c>
      <c r="CD243" s="865">
        <f t="shared" si="275"/>
        <v>-755.56193999999982</v>
      </c>
      <c r="CE243" s="865">
        <f t="shared" si="275"/>
        <v>-755.56193999999982</v>
      </c>
      <c r="CF243" s="865">
        <f t="shared" si="275"/>
        <v>-755.56193999999982</v>
      </c>
      <c r="CG243" s="865">
        <f t="shared" si="275"/>
        <v>-755.56193999999982</v>
      </c>
      <c r="CH243" s="865">
        <f t="shared" si="275"/>
        <v>-755.56193999999982</v>
      </c>
      <c r="CI243" s="865">
        <f t="shared" si="275"/>
        <v>-755.56193999999982</v>
      </c>
      <c r="CJ243" s="865">
        <f t="shared" si="275"/>
        <v>-755.56193999999982</v>
      </c>
      <c r="CK243" s="865">
        <f t="shared" si="275"/>
        <v>-755.56193999999982</v>
      </c>
      <c r="CL243" s="865">
        <f t="shared" si="275"/>
        <v>-755.56193999999982</v>
      </c>
      <c r="CM243" s="865">
        <f t="shared" si="275"/>
        <v>-755.56193999999982</v>
      </c>
      <c r="CN243" s="865">
        <f t="shared" si="275"/>
        <v>-755.56193999999982</v>
      </c>
      <c r="CO243" s="865">
        <f t="shared" si="275"/>
        <v>-755.56193999999982</v>
      </c>
      <c r="CP243" s="865">
        <f t="shared" si="275"/>
        <v>-755.56193999999982</v>
      </c>
      <c r="CQ243" s="865">
        <f t="shared" si="275"/>
        <v>-755.56193999999982</v>
      </c>
      <c r="CR243" s="865">
        <f t="shared" si="275"/>
        <v>-755.56193999999982</v>
      </c>
      <c r="CS243" s="865">
        <f t="shared" si="275"/>
        <v>-755.56193999999982</v>
      </c>
      <c r="CT243" s="865">
        <f t="shared" si="275"/>
        <v>-755.56193999999982</v>
      </c>
      <c r="CU243" s="865">
        <f t="shared" si="275"/>
        <v>-755.56193999999982</v>
      </c>
      <c r="CV243" s="865">
        <f t="shared" si="275"/>
        <v>-755.56193999999982</v>
      </c>
      <c r="CW243" s="865">
        <f t="shared" si="275"/>
        <v>-755.56193999999982</v>
      </c>
      <c r="CX243" s="865">
        <f t="shared" si="275"/>
        <v>-755.56193999999982</v>
      </c>
      <c r="CY243" s="865">
        <f t="shared" si="275"/>
        <v>-755.56193999999982</v>
      </c>
      <c r="CZ243" s="865">
        <f t="shared" si="275"/>
        <v>-755.56193999999982</v>
      </c>
      <c r="DA243" s="865">
        <f t="shared" ref="DA243:DG243" si="276">((DA$232-$I$4)/1000)*$O$120*(($C$8/70)^$Y$120)*IF($C$13=1,$AF$119,IF($C$13=2,$AG$119,IF($C$13=3,$AH$119,1)))</f>
        <v>-755.56193999999982</v>
      </c>
      <c r="DB243" s="865">
        <f t="shared" si="276"/>
        <v>-755.56193999999982</v>
      </c>
      <c r="DC243" s="865">
        <f t="shared" si="276"/>
        <v>-755.56193999999982</v>
      </c>
      <c r="DD243" s="865">
        <f t="shared" si="276"/>
        <v>-755.56193999999982</v>
      </c>
      <c r="DE243" s="865">
        <f t="shared" si="276"/>
        <v>-755.56193999999982</v>
      </c>
      <c r="DF243" s="865">
        <f t="shared" si="276"/>
        <v>-755.56193999999982</v>
      </c>
      <c r="DG243" s="865">
        <f t="shared" si="276"/>
        <v>-755.56193999999982</v>
      </c>
    </row>
    <row r="244" spans="2:111" ht="15.75" hidden="1" thickBot="1">
      <c r="B244" s="2312" t="s">
        <v>369</v>
      </c>
      <c r="C244" s="2313"/>
      <c r="D244" s="1983"/>
      <c r="E244" s="1983"/>
      <c r="F244" s="1983"/>
      <c r="G244" s="1983"/>
      <c r="H244" s="1983"/>
      <c r="I244" s="679">
        <f t="shared" ref="I244:AN244" si="277">((I$232-$I$4)/1000)*$Q$120*(($C$8/70)^$AA$120)*IF($C$13=1,$AF$119,IF($C$13=2,$AG$119,IF($C$13=3,$AH$119,1)))</f>
        <v>520.47841216323661</v>
      </c>
      <c r="J244" s="679">
        <f t="shared" si="277"/>
        <v>693.97121621764893</v>
      </c>
      <c r="K244" s="679">
        <f t="shared" si="277"/>
        <v>867.46402027206102</v>
      </c>
      <c r="L244" s="679">
        <f t="shared" si="277"/>
        <v>1040.9568243264732</v>
      </c>
      <c r="M244" s="679">
        <f t="shared" si="277"/>
        <v>1214.4496283808853</v>
      </c>
      <c r="N244" s="679">
        <f t="shared" si="277"/>
        <v>1387.9424324352979</v>
      </c>
      <c r="O244" s="679">
        <f t="shared" si="277"/>
        <v>1561.4352364897097</v>
      </c>
      <c r="P244" s="679">
        <f t="shared" si="277"/>
        <v>1734.928040544122</v>
      </c>
      <c r="Q244" s="679">
        <f t="shared" si="277"/>
        <v>1908.4208445985344</v>
      </c>
      <c r="R244" s="679">
        <f t="shared" si="277"/>
        <v>2081.9136486529464</v>
      </c>
      <c r="S244" s="679">
        <f t="shared" si="277"/>
        <v>2255.4064527073588</v>
      </c>
      <c r="T244" s="679">
        <f t="shared" si="277"/>
        <v>2428.8992567617706</v>
      </c>
      <c r="U244" s="679">
        <f t="shared" si="277"/>
        <v>2602.3920608161829</v>
      </c>
      <c r="V244" s="679">
        <f t="shared" si="277"/>
        <v>2775.8848648705957</v>
      </c>
      <c r="W244" s="679">
        <f t="shared" si="277"/>
        <v>2949.3776689250076</v>
      </c>
      <c r="X244" s="679">
        <f t="shared" si="277"/>
        <v>3122.8704729794194</v>
      </c>
      <c r="Y244" s="679">
        <f t="shared" si="277"/>
        <v>3296.3632770338313</v>
      </c>
      <c r="Z244" s="679">
        <f t="shared" si="277"/>
        <v>3469.8560810882441</v>
      </c>
      <c r="AA244" s="679">
        <f t="shared" si="277"/>
        <v>3643.3488851426564</v>
      </c>
      <c r="AB244" s="679">
        <f t="shared" si="277"/>
        <v>3816.8416891970687</v>
      </c>
      <c r="AC244" s="679">
        <f t="shared" si="277"/>
        <v>3990.3344932514806</v>
      </c>
      <c r="AD244" s="679">
        <f t="shared" si="277"/>
        <v>4163.8272973058929</v>
      </c>
      <c r="AE244" s="679">
        <f t="shared" si="277"/>
        <v>4337.3201013603048</v>
      </c>
      <c r="AF244" s="679">
        <f t="shared" si="277"/>
        <v>4510.8129054147175</v>
      </c>
      <c r="AG244" s="679">
        <f t="shared" si="277"/>
        <v>4684.3057094691294</v>
      </c>
      <c r="AH244" s="679">
        <f t="shared" si="277"/>
        <v>4857.7985135235413</v>
      </c>
      <c r="AI244" s="679">
        <f t="shared" si="277"/>
        <v>5031.2913175779531</v>
      </c>
      <c r="AJ244" s="679">
        <f t="shared" si="277"/>
        <v>5204.7841216323659</v>
      </c>
      <c r="AK244" s="679">
        <f t="shared" si="277"/>
        <v>5378.2769256867787</v>
      </c>
      <c r="AL244" s="679">
        <f t="shared" si="277"/>
        <v>5551.7697297411914</v>
      </c>
      <c r="AM244" s="679">
        <f t="shared" si="277"/>
        <v>5725.2625337956024</v>
      </c>
      <c r="AN244" s="679">
        <f t="shared" si="277"/>
        <v>5898.7553378500152</v>
      </c>
      <c r="AO244" s="679">
        <f t="shared" ref="AO244:BT244" si="278">((AO$232-$I$4)/1000)*$Q$120*(($C$8/70)^$AA$120)*IF($C$13=1,$AF$119,IF($C$13=2,$AG$119,IF($C$13=3,$AH$119,1)))</f>
        <v>6072.2481419044261</v>
      </c>
      <c r="AP244" s="679">
        <f t="shared" si="278"/>
        <v>6245.7409459588389</v>
      </c>
      <c r="AQ244" s="679">
        <f t="shared" si="278"/>
        <v>6419.2337500132517</v>
      </c>
      <c r="AR244" s="679">
        <f t="shared" si="278"/>
        <v>6592.7265540676626</v>
      </c>
      <c r="AS244" s="679">
        <f t="shared" si="278"/>
        <v>6766.2193581220754</v>
      </c>
      <c r="AT244" s="679">
        <f t="shared" si="278"/>
        <v>6939.7121621764882</v>
      </c>
      <c r="AU244" s="679">
        <f t="shared" si="278"/>
        <v>7113.2049662308991</v>
      </c>
      <c r="AV244" s="679">
        <f t="shared" si="278"/>
        <v>7286.6977702853128</v>
      </c>
      <c r="AW244" s="679">
        <f t="shared" si="278"/>
        <v>7460.1905743397247</v>
      </c>
      <c r="AX244" s="679">
        <f t="shared" si="278"/>
        <v>7633.6833783941374</v>
      </c>
      <c r="AY244" s="679">
        <f t="shared" si="278"/>
        <v>7807.1761824485493</v>
      </c>
      <c r="AZ244" s="679">
        <f t="shared" si="278"/>
        <v>7980.6689865029612</v>
      </c>
      <c r="BA244" s="679">
        <f t="shared" si="278"/>
        <v>8154.1617905573739</v>
      </c>
      <c r="BB244" s="679">
        <f t="shared" si="278"/>
        <v>8327.6545946117858</v>
      </c>
      <c r="BC244" s="679">
        <f t="shared" si="278"/>
        <v>8501.1473986661986</v>
      </c>
      <c r="BD244" s="679">
        <f t="shared" si="278"/>
        <v>8674.6402027206095</v>
      </c>
      <c r="BE244" s="679">
        <f t="shared" si="278"/>
        <v>8848.1330067750223</v>
      </c>
      <c r="BF244" s="679">
        <f t="shared" si="278"/>
        <v>9021.6258108294351</v>
      </c>
      <c r="BG244" s="679">
        <f t="shared" si="278"/>
        <v>9195.118614883846</v>
      </c>
      <c r="BH244" s="865">
        <f t="shared" si="278"/>
        <v>-1214.4496283808853</v>
      </c>
      <c r="BI244" s="865">
        <f t="shared" si="278"/>
        <v>-1214.4496283808853</v>
      </c>
      <c r="BJ244" s="865">
        <f t="shared" si="278"/>
        <v>-1214.4496283808853</v>
      </c>
      <c r="BK244" s="865">
        <f t="shared" si="278"/>
        <v>-1214.4496283808853</v>
      </c>
      <c r="BL244" s="865">
        <f t="shared" si="278"/>
        <v>-1214.4496283808853</v>
      </c>
      <c r="BM244" s="865">
        <f t="shared" si="278"/>
        <v>-1214.4496283808853</v>
      </c>
      <c r="BN244" s="865">
        <f t="shared" si="278"/>
        <v>-1214.4496283808853</v>
      </c>
      <c r="BO244" s="865">
        <f t="shared" si="278"/>
        <v>-1214.4496283808853</v>
      </c>
      <c r="BP244" s="865">
        <f t="shared" si="278"/>
        <v>-1214.4496283808853</v>
      </c>
      <c r="BQ244" s="865">
        <f t="shared" si="278"/>
        <v>-1214.4496283808853</v>
      </c>
      <c r="BR244" s="865">
        <f t="shared" si="278"/>
        <v>-1214.4496283808853</v>
      </c>
      <c r="BS244" s="865">
        <f t="shared" si="278"/>
        <v>-1214.4496283808853</v>
      </c>
      <c r="BT244" s="865">
        <f t="shared" si="278"/>
        <v>-1214.4496283808853</v>
      </c>
      <c r="BU244" s="865">
        <f t="shared" ref="BU244:CZ244" si="279">((BU$232-$I$4)/1000)*$Q$120*(($C$8/70)^$AA$120)*IF($C$13=1,$AF$119,IF($C$13=2,$AG$119,IF($C$13=3,$AH$119,1)))</f>
        <v>-1214.4496283808853</v>
      </c>
      <c r="BV244" s="865">
        <f t="shared" si="279"/>
        <v>-1214.4496283808853</v>
      </c>
      <c r="BW244" s="865">
        <f t="shared" si="279"/>
        <v>-1214.4496283808853</v>
      </c>
      <c r="BX244" s="865">
        <f t="shared" si="279"/>
        <v>-1214.4496283808853</v>
      </c>
      <c r="BY244" s="865">
        <f t="shared" si="279"/>
        <v>-1214.4496283808853</v>
      </c>
      <c r="BZ244" s="865">
        <f t="shared" si="279"/>
        <v>-1214.4496283808853</v>
      </c>
      <c r="CA244" s="865">
        <f t="shared" si="279"/>
        <v>-1214.4496283808853</v>
      </c>
      <c r="CB244" s="865">
        <f t="shared" si="279"/>
        <v>-1214.4496283808853</v>
      </c>
      <c r="CC244" s="865">
        <f t="shared" si="279"/>
        <v>-1214.4496283808853</v>
      </c>
      <c r="CD244" s="865">
        <f t="shared" si="279"/>
        <v>-1214.4496283808853</v>
      </c>
      <c r="CE244" s="865">
        <f t="shared" si="279"/>
        <v>-1214.4496283808853</v>
      </c>
      <c r="CF244" s="865">
        <f t="shared" si="279"/>
        <v>-1214.4496283808853</v>
      </c>
      <c r="CG244" s="865">
        <f t="shared" si="279"/>
        <v>-1214.4496283808853</v>
      </c>
      <c r="CH244" s="865">
        <f t="shared" si="279"/>
        <v>-1214.4496283808853</v>
      </c>
      <c r="CI244" s="865">
        <f t="shared" si="279"/>
        <v>-1214.4496283808853</v>
      </c>
      <c r="CJ244" s="865">
        <f t="shared" si="279"/>
        <v>-1214.4496283808853</v>
      </c>
      <c r="CK244" s="865">
        <f t="shared" si="279"/>
        <v>-1214.4496283808853</v>
      </c>
      <c r="CL244" s="865">
        <f t="shared" si="279"/>
        <v>-1214.4496283808853</v>
      </c>
      <c r="CM244" s="865">
        <f t="shared" si="279"/>
        <v>-1214.4496283808853</v>
      </c>
      <c r="CN244" s="865">
        <f t="shared" si="279"/>
        <v>-1214.4496283808853</v>
      </c>
      <c r="CO244" s="865">
        <f t="shared" si="279"/>
        <v>-1214.4496283808853</v>
      </c>
      <c r="CP244" s="865">
        <f t="shared" si="279"/>
        <v>-1214.4496283808853</v>
      </c>
      <c r="CQ244" s="865">
        <f t="shared" si="279"/>
        <v>-1214.4496283808853</v>
      </c>
      <c r="CR244" s="865">
        <f t="shared" si="279"/>
        <v>-1214.4496283808853</v>
      </c>
      <c r="CS244" s="865">
        <f t="shared" si="279"/>
        <v>-1214.4496283808853</v>
      </c>
      <c r="CT244" s="865">
        <f t="shared" si="279"/>
        <v>-1214.4496283808853</v>
      </c>
      <c r="CU244" s="865">
        <f t="shared" si="279"/>
        <v>-1214.4496283808853</v>
      </c>
      <c r="CV244" s="865">
        <f t="shared" si="279"/>
        <v>-1214.4496283808853</v>
      </c>
      <c r="CW244" s="865">
        <f t="shared" si="279"/>
        <v>-1214.4496283808853</v>
      </c>
      <c r="CX244" s="865">
        <f t="shared" si="279"/>
        <v>-1214.4496283808853</v>
      </c>
      <c r="CY244" s="865">
        <f t="shared" si="279"/>
        <v>-1214.4496283808853</v>
      </c>
      <c r="CZ244" s="865">
        <f t="shared" si="279"/>
        <v>-1214.4496283808853</v>
      </c>
      <c r="DA244" s="865">
        <f t="shared" ref="DA244:DG244" si="280">((DA$232-$I$4)/1000)*$Q$120*(($C$8/70)^$AA$120)*IF($C$13=1,$AF$119,IF($C$13=2,$AG$119,IF($C$13=3,$AH$119,1)))</f>
        <v>-1214.4496283808853</v>
      </c>
      <c r="DB244" s="865">
        <f t="shared" si="280"/>
        <v>-1214.4496283808853</v>
      </c>
      <c r="DC244" s="865">
        <f t="shared" si="280"/>
        <v>-1214.4496283808853</v>
      </c>
      <c r="DD244" s="865">
        <f t="shared" si="280"/>
        <v>-1214.4496283808853</v>
      </c>
      <c r="DE244" s="865">
        <f t="shared" si="280"/>
        <v>-1214.4496283808853</v>
      </c>
      <c r="DF244" s="865">
        <f t="shared" si="280"/>
        <v>-1214.4496283808853</v>
      </c>
      <c r="DG244" s="865">
        <f t="shared" si="280"/>
        <v>-1214.4496283808853</v>
      </c>
    </row>
    <row r="245" spans="2:111" hidden="1">
      <c r="B245" s="2393" t="s">
        <v>370</v>
      </c>
      <c r="C245" s="2394"/>
      <c r="D245" s="1986"/>
      <c r="E245" s="1986"/>
      <c r="F245" s="1986"/>
      <c r="G245" s="1986"/>
      <c r="H245" s="1986"/>
      <c r="I245" s="865">
        <f t="shared" ref="I245:AN245" si="281">((I$232-$I$4)/1000)*$L$121*(($C$8/70)^$V$121)*IF($C$13=1,$AF$121,IF($C$13=2,$AG$121,IF($C$13=3,$AH$121,1)))</f>
        <v>209.56985999999995</v>
      </c>
      <c r="J245" s="865">
        <f t="shared" si="281"/>
        <v>279.42647999999991</v>
      </c>
      <c r="K245" s="865">
        <f t="shared" si="281"/>
        <v>349.28309999999993</v>
      </c>
      <c r="L245" s="865">
        <f t="shared" si="281"/>
        <v>419.1397199999999</v>
      </c>
      <c r="M245" s="865">
        <f t="shared" si="281"/>
        <v>488.99633999999986</v>
      </c>
      <c r="N245" s="865">
        <f t="shared" si="281"/>
        <v>558.85295999999983</v>
      </c>
      <c r="O245" s="865">
        <f t="shared" si="281"/>
        <v>628.70957999999985</v>
      </c>
      <c r="P245" s="865">
        <f t="shared" si="281"/>
        <v>698.56619999999987</v>
      </c>
      <c r="Q245" s="865">
        <f t="shared" si="281"/>
        <v>768.42281999999989</v>
      </c>
      <c r="R245" s="865">
        <f t="shared" si="281"/>
        <v>838.27943999999979</v>
      </c>
      <c r="S245" s="865">
        <f t="shared" si="281"/>
        <v>908.13605999999982</v>
      </c>
      <c r="T245" s="865">
        <f t="shared" si="281"/>
        <v>977.99267999999972</v>
      </c>
      <c r="U245" s="865">
        <f t="shared" si="281"/>
        <v>1047.8492999999999</v>
      </c>
      <c r="V245" s="865">
        <f t="shared" si="281"/>
        <v>1117.7059199999997</v>
      </c>
      <c r="W245" s="865">
        <f t="shared" si="281"/>
        <v>1187.5625399999999</v>
      </c>
      <c r="X245" s="865">
        <f t="shared" si="281"/>
        <v>1257.4191599999997</v>
      </c>
      <c r="Y245" s="865">
        <f t="shared" si="281"/>
        <v>1327.2757799999995</v>
      </c>
      <c r="Z245" s="865">
        <f t="shared" si="281"/>
        <v>1397.1323999999997</v>
      </c>
      <c r="AA245" s="865">
        <f t="shared" si="281"/>
        <v>1466.9890199999998</v>
      </c>
      <c r="AB245" s="865">
        <f t="shared" si="281"/>
        <v>1536.8456399999998</v>
      </c>
      <c r="AC245" s="865">
        <f t="shared" si="281"/>
        <v>1606.7022599999996</v>
      </c>
      <c r="AD245" s="865">
        <f t="shared" si="281"/>
        <v>1676.5588799999996</v>
      </c>
      <c r="AE245" s="865">
        <f t="shared" si="281"/>
        <v>1746.4154999999996</v>
      </c>
      <c r="AF245" s="865">
        <f t="shared" si="281"/>
        <v>1816.2721199999996</v>
      </c>
      <c r="AG245" s="865">
        <f t="shared" si="281"/>
        <v>1886.1287399999999</v>
      </c>
      <c r="AH245" s="865">
        <f t="shared" si="281"/>
        <v>1955.9853599999994</v>
      </c>
      <c r="AI245" s="865">
        <f t="shared" si="281"/>
        <v>2025.8419799999992</v>
      </c>
      <c r="AJ245" s="865">
        <f t="shared" si="281"/>
        <v>2095.6985999999997</v>
      </c>
      <c r="AK245" s="865">
        <f t="shared" si="281"/>
        <v>2165.5552199999997</v>
      </c>
      <c r="AL245" s="865">
        <f t="shared" si="281"/>
        <v>2235.4118399999993</v>
      </c>
      <c r="AM245" s="865">
        <f t="shared" si="281"/>
        <v>2305.2684599999993</v>
      </c>
      <c r="AN245" s="865">
        <f t="shared" si="281"/>
        <v>2375.1250799999998</v>
      </c>
      <c r="AO245" s="865">
        <f t="shared" ref="AO245:BT245" si="282">((AO$232-$I$4)/1000)*$L$121*(($C$8/70)^$V$121)*IF($C$13=1,$AF$121,IF($C$13=2,$AG$121,IF($C$13=3,$AH$121,1)))</f>
        <v>2444.9816999999994</v>
      </c>
      <c r="AP245" s="865">
        <f t="shared" si="282"/>
        <v>2514.8383199999994</v>
      </c>
      <c r="AQ245" s="865">
        <f t="shared" si="282"/>
        <v>2584.6949399999999</v>
      </c>
      <c r="AR245" s="865">
        <f t="shared" si="282"/>
        <v>2654.551559999999</v>
      </c>
      <c r="AS245" s="865">
        <f t="shared" si="282"/>
        <v>2724.4081799999994</v>
      </c>
      <c r="AT245" s="865">
        <f t="shared" si="282"/>
        <v>2794.2647999999995</v>
      </c>
      <c r="AU245" s="865">
        <f t="shared" si="282"/>
        <v>2864.1214199999995</v>
      </c>
      <c r="AV245" s="865">
        <f t="shared" si="282"/>
        <v>2933.9780399999995</v>
      </c>
      <c r="AW245" s="865">
        <f t="shared" si="282"/>
        <v>3003.8346599999991</v>
      </c>
      <c r="AX245" s="865">
        <f t="shared" si="282"/>
        <v>3073.6912799999996</v>
      </c>
      <c r="AY245" s="865">
        <f t="shared" si="282"/>
        <v>3143.5478999999991</v>
      </c>
      <c r="AZ245" s="865">
        <f t="shared" si="282"/>
        <v>3213.4045199999991</v>
      </c>
      <c r="BA245" s="865">
        <f t="shared" si="282"/>
        <v>3283.2611399999996</v>
      </c>
      <c r="BB245" s="865">
        <f t="shared" si="282"/>
        <v>3353.1177599999992</v>
      </c>
      <c r="BC245" s="865">
        <f t="shared" si="282"/>
        <v>3422.9743799999997</v>
      </c>
      <c r="BD245" s="865">
        <f t="shared" si="282"/>
        <v>3492.8309999999992</v>
      </c>
      <c r="BE245" s="865">
        <f t="shared" si="282"/>
        <v>3562.6876199999992</v>
      </c>
      <c r="BF245" s="865">
        <f t="shared" si="282"/>
        <v>3632.5442399999993</v>
      </c>
      <c r="BG245" s="865">
        <f t="shared" si="282"/>
        <v>3702.4008599999993</v>
      </c>
      <c r="BH245" s="865">
        <f t="shared" si="282"/>
        <v>-488.99633999999986</v>
      </c>
      <c r="BI245" s="865">
        <f t="shared" si="282"/>
        <v>-488.99633999999986</v>
      </c>
      <c r="BJ245" s="865">
        <f t="shared" si="282"/>
        <v>-488.99633999999986</v>
      </c>
      <c r="BK245" s="865">
        <f t="shared" si="282"/>
        <v>-488.99633999999986</v>
      </c>
      <c r="BL245" s="865">
        <f t="shared" si="282"/>
        <v>-488.99633999999986</v>
      </c>
      <c r="BM245" s="865">
        <f t="shared" si="282"/>
        <v>-488.99633999999986</v>
      </c>
      <c r="BN245" s="865">
        <f t="shared" si="282"/>
        <v>-488.99633999999986</v>
      </c>
      <c r="BO245" s="865">
        <f t="shared" si="282"/>
        <v>-488.99633999999986</v>
      </c>
      <c r="BP245" s="865">
        <f t="shared" si="282"/>
        <v>-488.99633999999986</v>
      </c>
      <c r="BQ245" s="865">
        <f t="shared" si="282"/>
        <v>-488.99633999999986</v>
      </c>
      <c r="BR245" s="865">
        <f t="shared" si="282"/>
        <v>-488.99633999999986</v>
      </c>
      <c r="BS245" s="865">
        <f t="shared" si="282"/>
        <v>-488.99633999999986</v>
      </c>
      <c r="BT245" s="865">
        <f t="shared" si="282"/>
        <v>-488.99633999999986</v>
      </c>
      <c r="BU245" s="865">
        <f t="shared" ref="BU245:CZ245" si="283">((BU$232-$I$4)/1000)*$L$121*(($C$8/70)^$V$121)*IF($C$13=1,$AF$121,IF($C$13=2,$AG$121,IF($C$13=3,$AH$121,1)))</f>
        <v>-488.99633999999986</v>
      </c>
      <c r="BV245" s="865">
        <f t="shared" si="283"/>
        <v>-488.99633999999986</v>
      </c>
      <c r="BW245" s="865">
        <f t="shared" si="283"/>
        <v>-488.99633999999986</v>
      </c>
      <c r="BX245" s="865">
        <f t="shared" si="283"/>
        <v>-488.99633999999986</v>
      </c>
      <c r="BY245" s="865">
        <f t="shared" si="283"/>
        <v>-488.99633999999986</v>
      </c>
      <c r="BZ245" s="865">
        <f t="shared" si="283"/>
        <v>-488.99633999999986</v>
      </c>
      <c r="CA245" s="865">
        <f t="shared" si="283"/>
        <v>-488.99633999999986</v>
      </c>
      <c r="CB245" s="865">
        <f t="shared" si="283"/>
        <v>-488.99633999999986</v>
      </c>
      <c r="CC245" s="865">
        <f t="shared" si="283"/>
        <v>-488.99633999999986</v>
      </c>
      <c r="CD245" s="865">
        <f t="shared" si="283"/>
        <v>-488.99633999999986</v>
      </c>
      <c r="CE245" s="865">
        <f t="shared" si="283"/>
        <v>-488.99633999999986</v>
      </c>
      <c r="CF245" s="865">
        <f t="shared" si="283"/>
        <v>-488.99633999999986</v>
      </c>
      <c r="CG245" s="865">
        <f t="shared" si="283"/>
        <v>-488.99633999999986</v>
      </c>
      <c r="CH245" s="865">
        <f t="shared" si="283"/>
        <v>-488.99633999999986</v>
      </c>
      <c r="CI245" s="865">
        <f t="shared" si="283"/>
        <v>-488.99633999999986</v>
      </c>
      <c r="CJ245" s="865">
        <f t="shared" si="283"/>
        <v>-488.99633999999986</v>
      </c>
      <c r="CK245" s="865">
        <f t="shared" si="283"/>
        <v>-488.99633999999986</v>
      </c>
      <c r="CL245" s="865">
        <f t="shared" si="283"/>
        <v>-488.99633999999986</v>
      </c>
      <c r="CM245" s="865">
        <f t="shared" si="283"/>
        <v>-488.99633999999986</v>
      </c>
      <c r="CN245" s="865">
        <f t="shared" si="283"/>
        <v>-488.99633999999986</v>
      </c>
      <c r="CO245" s="865">
        <f t="shared" si="283"/>
        <v>-488.99633999999986</v>
      </c>
      <c r="CP245" s="865">
        <f t="shared" si="283"/>
        <v>-488.99633999999986</v>
      </c>
      <c r="CQ245" s="865">
        <f t="shared" si="283"/>
        <v>-488.99633999999986</v>
      </c>
      <c r="CR245" s="865">
        <f t="shared" si="283"/>
        <v>-488.99633999999986</v>
      </c>
      <c r="CS245" s="865">
        <f t="shared" si="283"/>
        <v>-488.99633999999986</v>
      </c>
      <c r="CT245" s="865">
        <f t="shared" si="283"/>
        <v>-488.99633999999986</v>
      </c>
      <c r="CU245" s="865">
        <f t="shared" si="283"/>
        <v>-488.99633999999986</v>
      </c>
      <c r="CV245" s="865">
        <f t="shared" si="283"/>
        <v>-488.99633999999986</v>
      </c>
      <c r="CW245" s="865">
        <f t="shared" si="283"/>
        <v>-488.99633999999986</v>
      </c>
      <c r="CX245" s="865">
        <f t="shared" si="283"/>
        <v>-488.99633999999986</v>
      </c>
      <c r="CY245" s="865">
        <f t="shared" si="283"/>
        <v>-488.99633999999986</v>
      </c>
      <c r="CZ245" s="865">
        <f t="shared" si="283"/>
        <v>-488.99633999999986</v>
      </c>
      <c r="DA245" s="865">
        <f t="shared" ref="DA245:DG245" si="284">((DA$232-$I$4)/1000)*$L$121*(($C$8/70)^$V$121)*IF($C$13=1,$AF$121,IF($C$13=2,$AG$121,IF($C$13=3,$AH$121,1)))</f>
        <v>-488.99633999999986</v>
      </c>
      <c r="DB245" s="865">
        <f t="shared" si="284"/>
        <v>-488.99633999999986</v>
      </c>
      <c r="DC245" s="865">
        <f t="shared" si="284"/>
        <v>-488.99633999999986</v>
      </c>
      <c r="DD245" s="865">
        <f t="shared" si="284"/>
        <v>-488.99633999999986</v>
      </c>
      <c r="DE245" s="865">
        <f t="shared" si="284"/>
        <v>-488.99633999999986</v>
      </c>
      <c r="DF245" s="865">
        <f t="shared" si="284"/>
        <v>-488.99633999999986</v>
      </c>
      <c r="DG245" s="865">
        <f t="shared" si="284"/>
        <v>-488.99633999999986</v>
      </c>
    </row>
    <row r="246" spans="2:111" hidden="1">
      <c r="B246" s="2310" t="s">
        <v>371</v>
      </c>
      <c r="C246" s="2311"/>
      <c r="D246" s="1982"/>
      <c r="E246" s="1982"/>
      <c r="F246" s="1982"/>
      <c r="G246" s="1982"/>
      <c r="H246" s="1982"/>
      <c r="I246" s="712">
        <f t="shared" ref="I246:AN246" si="285">((I$232-$I$4)/1000)*$M$121*(($C$8/70)^$W$121)*IF($C$13=1,$AF$122,IF($C$13=2,$AG$122,IF($C$13=3,$AH$122,1)))</f>
        <v>247.95914400000001</v>
      </c>
      <c r="J246" s="712">
        <f t="shared" si="285"/>
        <v>330.61219200000005</v>
      </c>
      <c r="K246" s="712">
        <f t="shared" si="285"/>
        <v>413.26524000000001</v>
      </c>
      <c r="L246" s="712">
        <f t="shared" si="285"/>
        <v>495.91828800000002</v>
      </c>
      <c r="M246" s="712">
        <f t="shared" si="285"/>
        <v>578.57133599999997</v>
      </c>
      <c r="N246" s="712">
        <f t="shared" si="285"/>
        <v>661.2243840000001</v>
      </c>
      <c r="O246" s="712">
        <f t="shared" si="285"/>
        <v>743.87743200000011</v>
      </c>
      <c r="P246" s="712">
        <f t="shared" si="285"/>
        <v>826.53048000000001</v>
      </c>
      <c r="Q246" s="712">
        <f t="shared" si="285"/>
        <v>909.18352800000014</v>
      </c>
      <c r="R246" s="712">
        <f t="shared" si="285"/>
        <v>991.83657600000004</v>
      </c>
      <c r="S246" s="712">
        <f t="shared" si="285"/>
        <v>1074.4896240000003</v>
      </c>
      <c r="T246" s="712">
        <f t="shared" si="285"/>
        <v>1157.1426719999999</v>
      </c>
      <c r="U246" s="712">
        <f t="shared" si="285"/>
        <v>1239.7957200000001</v>
      </c>
      <c r="V246" s="712">
        <f t="shared" si="285"/>
        <v>1322.4487680000002</v>
      </c>
      <c r="W246" s="712">
        <f t="shared" si="285"/>
        <v>1405.1018160000001</v>
      </c>
      <c r="X246" s="712">
        <f t="shared" si="285"/>
        <v>1487.7548640000002</v>
      </c>
      <c r="Y246" s="712">
        <f t="shared" si="285"/>
        <v>1570.4079119999999</v>
      </c>
      <c r="Z246" s="712">
        <f t="shared" si="285"/>
        <v>1653.06096</v>
      </c>
      <c r="AA246" s="712">
        <f t="shared" si="285"/>
        <v>1735.7140080000001</v>
      </c>
      <c r="AB246" s="712">
        <f t="shared" si="285"/>
        <v>1818.3670560000003</v>
      </c>
      <c r="AC246" s="712">
        <f t="shared" si="285"/>
        <v>1901.0201040000002</v>
      </c>
      <c r="AD246" s="712">
        <f t="shared" si="285"/>
        <v>1983.6731520000001</v>
      </c>
      <c r="AE246" s="712">
        <f t="shared" si="285"/>
        <v>2066.3262000000004</v>
      </c>
      <c r="AF246" s="712">
        <f t="shared" si="285"/>
        <v>2148.9792480000006</v>
      </c>
      <c r="AG246" s="712">
        <f t="shared" si="285"/>
        <v>2231.6322960000002</v>
      </c>
      <c r="AH246" s="712">
        <f t="shared" si="285"/>
        <v>2314.2853439999999</v>
      </c>
      <c r="AI246" s="712">
        <f t="shared" si="285"/>
        <v>2396.938392</v>
      </c>
      <c r="AJ246" s="712">
        <f t="shared" si="285"/>
        <v>2479.5914400000001</v>
      </c>
      <c r="AK246" s="712">
        <f t="shared" si="285"/>
        <v>2562.2444880000003</v>
      </c>
      <c r="AL246" s="712">
        <f t="shared" si="285"/>
        <v>2644.8975360000004</v>
      </c>
      <c r="AM246" s="712">
        <f t="shared" si="285"/>
        <v>2727.5505840000001</v>
      </c>
      <c r="AN246" s="712">
        <f t="shared" si="285"/>
        <v>2810.2036320000002</v>
      </c>
      <c r="AO246" s="712">
        <f t="shared" ref="AO246:BT246" si="286">((AO$232-$I$4)/1000)*$M$121*(($C$8/70)^$W$121)*IF($C$13=1,$AF$122,IF($C$13=2,$AG$122,IF($C$13=3,$AH$122,1)))</f>
        <v>2892.8566800000003</v>
      </c>
      <c r="AP246" s="712">
        <f t="shared" si="286"/>
        <v>2975.5097280000005</v>
      </c>
      <c r="AQ246" s="712">
        <f t="shared" si="286"/>
        <v>3058.1627760000006</v>
      </c>
      <c r="AR246" s="712">
        <f t="shared" si="286"/>
        <v>3140.8158239999998</v>
      </c>
      <c r="AS246" s="712">
        <f t="shared" si="286"/>
        <v>3223.4688719999999</v>
      </c>
      <c r="AT246" s="712">
        <f t="shared" si="286"/>
        <v>3306.12192</v>
      </c>
      <c r="AU246" s="712">
        <f t="shared" si="286"/>
        <v>3388.7749679999997</v>
      </c>
      <c r="AV246" s="712">
        <f t="shared" si="286"/>
        <v>3471.4280160000003</v>
      </c>
      <c r="AW246" s="712">
        <f t="shared" si="286"/>
        <v>3554.081064</v>
      </c>
      <c r="AX246" s="712">
        <f t="shared" si="286"/>
        <v>3636.7341120000006</v>
      </c>
      <c r="AY246" s="712">
        <f t="shared" si="286"/>
        <v>3719.3871600000002</v>
      </c>
      <c r="AZ246" s="712">
        <f t="shared" si="286"/>
        <v>3802.0402080000003</v>
      </c>
      <c r="BA246" s="712">
        <f t="shared" si="286"/>
        <v>3884.6932560000009</v>
      </c>
      <c r="BB246" s="712">
        <f t="shared" si="286"/>
        <v>3967.3463040000001</v>
      </c>
      <c r="BC246" s="712">
        <f t="shared" si="286"/>
        <v>4049.9993520000007</v>
      </c>
      <c r="BD246" s="712">
        <f t="shared" si="286"/>
        <v>4132.6524000000009</v>
      </c>
      <c r="BE246" s="712">
        <f t="shared" si="286"/>
        <v>4215.3054480000001</v>
      </c>
      <c r="BF246" s="712">
        <f t="shared" si="286"/>
        <v>4297.9584960000011</v>
      </c>
      <c r="BG246" s="712">
        <f t="shared" si="286"/>
        <v>4380.6115440000003</v>
      </c>
      <c r="BH246" s="865">
        <f t="shared" si="286"/>
        <v>-578.57133599999997</v>
      </c>
      <c r="BI246" s="865">
        <f t="shared" si="286"/>
        <v>-578.57133599999997</v>
      </c>
      <c r="BJ246" s="865">
        <f t="shared" si="286"/>
        <v>-578.57133599999997</v>
      </c>
      <c r="BK246" s="865">
        <f t="shared" si="286"/>
        <v>-578.57133599999997</v>
      </c>
      <c r="BL246" s="865">
        <f t="shared" si="286"/>
        <v>-578.57133599999997</v>
      </c>
      <c r="BM246" s="865">
        <f t="shared" si="286"/>
        <v>-578.57133599999997</v>
      </c>
      <c r="BN246" s="865">
        <f t="shared" si="286"/>
        <v>-578.57133599999997</v>
      </c>
      <c r="BO246" s="865">
        <f t="shared" si="286"/>
        <v>-578.57133599999997</v>
      </c>
      <c r="BP246" s="865">
        <f t="shared" si="286"/>
        <v>-578.57133599999997</v>
      </c>
      <c r="BQ246" s="865">
        <f t="shared" si="286"/>
        <v>-578.57133599999997</v>
      </c>
      <c r="BR246" s="865">
        <f t="shared" si="286"/>
        <v>-578.57133599999997</v>
      </c>
      <c r="BS246" s="865">
        <f t="shared" si="286"/>
        <v>-578.57133599999997</v>
      </c>
      <c r="BT246" s="865">
        <f t="shared" si="286"/>
        <v>-578.57133599999997</v>
      </c>
      <c r="BU246" s="865">
        <f t="shared" ref="BU246:CZ246" si="287">((BU$232-$I$4)/1000)*$M$121*(($C$8/70)^$W$121)*IF($C$13=1,$AF$122,IF($C$13=2,$AG$122,IF($C$13=3,$AH$122,1)))</f>
        <v>-578.57133599999997</v>
      </c>
      <c r="BV246" s="865">
        <f t="shared" si="287"/>
        <v>-578.57133599999997</v>
      </c>
      <c r="BW246" s="865">
        <f t="shared" si="287"/>
        <v>-578.57133599999997</v>
      </c>
      <c r="BX246" s="865">
        <f t="shared" si="287"/>
        <v>-578.57133599999997</v>
      </c>
      <c r="BY246" s="865">
        <f t="shared" si="287"/>
        <v>-578.57133599999997</v>
      </c>
      <c r="BZ246" s="865">
        <f t="shared" si="287"/>
        <v>-578.57133599999997</v>
      </c>
      <c r="CA246" s="865">
        <f t="shared" si="287"/>
        <v>-578.57133599999997</v>
      </c>
      <c r="CB246" s="865">
        <f t="shared" si="287"/>
        <v>-578.57133599999997</v>
      </c>
      <c r="CC246" s="865">
        <f t="shared" si="287"/>
        <v>-578.57133599999997</v>
      </c>
      <c r="CD246" s="865">
        <f t="shared" si="287"/>
        <v>-578.57133599999997</v>
      </c>
      <c r="CE246" s="865">
        <f t="shared" si="287"/>
        <v>-578.57133599999997</v>
      </c>
      <c r="CF246" s="865">
        <f t="shared" si="287"/>
        <v>-578.57133599999997</v>
      </c>
      <c r="CG246" s="865">
        <f t="shared" si="287"/>
        <v>-578.57133599999997</v>
      </c>
      <c r="CH246" s="865">
        <f t="shared" si="287"/>
        <v>-578.57133599999997</v>
      </c>
      <c r="CI246" s="865">
        <f t="shared" si="287"/>
        <v>-578.57133599999997</v>
      </c>
      <c r="CJ246" s="865">
        <f t="shared" si="287"/>
        <v>-578.57133599999997</v>
      </c>
      <c r="CK246" s="865">
        <f t="shared" si="287"/>
        <v>-578.57133599999997</v>
      </c>
      <c r="CL246" s="865">
        <f t="shared" si="287"/>
        <v>-578.57133599999997</v>
      </c>
      <c r="CM246" s="865">
        <f t="shared" si="287"/>
        <v>-578.57133599999997</v>
      </c>
      <c r="CN246" s="865">
        <f t="shared" si="287"/>
        <v>-578.57133599999997</v>
      </c>
      <c r="CO246" s="865">
        <f t="shared" si="287"/>
        <v>-578.57133599999997</v>
      </c>
      <c r="CP246" s="865">
        <f t="shared" si="287"/>
        <v>-578.57133599999997</v>
      </c>
      <c r="CQ246" s="865">
        <f t="shared" si="287"/>
        <v>-578.57133599999997</v>
      </c>
      <c r="CR246" s="865">
        <f t="shared" si="287"/>
        <v>-578.57133599999997</v>
      </c>
      <c r="CS246" s="865">
        <f t="shared" si="287"/>
        <v>-578.57133599999997</v>
      </c>
      <c r="CT246" s="865">
        <f t="shared" si="287"/>
        <v>-578.57133599999997</v>
      </c>
      <c r="CU246" s="865">
        <f t="shared" si="287"/>
        <v>-578.57133599999997</v>
      </c>
      <c r="CV246" s="865">
        <f t="shared" si="287"/>
        <v>-578.57133599999997</v>
      </c>
      <c r="CW246" s="865">
        <f t="shared" si="287"/>
        <v>-578.57133599999997</v>
      </c>
      <c r="CX246" s="865">
        <f t="shared" si="287"/>
        <v>-578.57133599999997</v>
      </c>
      <c r="CY246" s="865">
        <f t="shared" si="287"/>
        <v>-578.57133599999997</v>
      </c>
      <c r="CZ246" s="865">
        <f t="shared" si="287"/>
        <v>-578.57133599999997</v>
      </c>
      <c r="DA246" s="865">
        <f t="shared" ref="DA246:DG246" si="288">((DA$232-$I$4)/1000)*$M$121*(($C$8/70)^$W$121)*IF($C$13=1,$AF$122,IF($C$13=2,$AG$122,IF($C$13=3,$AH$122,1)))</f>
        <v>-578.57133599999997</v>
      </c>
      <c r="DB246" s="865">
        <f t="shared" si="288"/>
        <v>-578.57133599999997</v>
      </c>
      <c r="DC246" s="865">
        <f t="shared" si="288"/>
        <v>-578.57133599999997</v>
      </c>
      <c r="DD246" s="865">
        <f t="shared" si="288"/>
        <v>-578.57133599999997</v>
      </c>
      <c r="DE246" s="865">
        <f t="shared" si="288"/>
        <v>-578.57133599999997</v>
      </c>
      <c r="DF246" s="865">
        <f t="shared" si="288"/>
        <v>-578.57133599999997</v>
      </c>
      <c r="DG246" s="865">
        <f t="shared" si="288"/>
        <v>-578.57133599999997</v>
      </c>
    </row>
    <row r="247" spans="2:111" hidden="1">
      <c r="B247" s="2310" t="s">
        <v>372</v>
      </c>
      <c r="C247" s="2311"/>
      <c r="D247" s="1982"/>
      <c r="E247" s="1982"/>
      <c r="F247" s="1982"/>
      <c r="G247" s="1982"/>
      <c r="H247" s="1982"/>
      <c r="I247" s="712">
        <f t="shared" ref="I247:AN247" si="289">((I$232-$I$4)/1000)*$N$121*(($C$8/70)^$X$121)*IF($C$13=1,$AF$120,IF($C$13=2,$AG$120,IF($C$13=3,$AH$120,1)))</f>
        <v>555.2106839999999</v>
      </c>
      <c r="J247" s="712">
        <f t="shared" si="289"/>
        <v>740.28091199999994</v>
      </c>
      <c r="K247" s="712">
        <f t="shared" si="289"/>
        <v>925.35113999999987</v>
      </c>
      <c r="L247" s="712">
        <f t="shared" si="289"/>
        <v>1110.4213679999998</v>
      </c>
      <c r="M247" s="712">
        <f t="shared" si="289"/>
        <v>1295.4915959999996</v>
      </c>
      <c r="N247" s="712">
        <f t="shared" si="289"/>
        <v>1480.5618239999999</v>
      </c>
      <c r="O247" s="712">
        <f t="shared" si="289"/>
        <v>1665.6320519999997</v>
      </c>
      <c r="P247" s="712">
        <f t="shared" si="289"/>
        <v>1850.7022799999997</v>
      </c>
      <c r="Q247" s="712">
        <f t="shared" si="289"/>
        <v>2035.7725079999998</v>
      </c>
      <c r="R247" s="712">
        <f t="shared" si="289"/>
        <v>2220.8427359999996</v>
      </c>
      <c r="S247" s="712">
        <f t="shared" si="289"/>
        <v>2405.9129639999996</v>
      </c>
      <c r="T247" s="712">
        <f t="shared" si="289"/>
        <v>2590.9831919999992</v>
      </c>
      <c r="U247" s="712">
        <f t="shared" si="289"/>
        <v>2776.0534199999997</v>
      </c>
      <c r="V247" s="712">
        <f t="shared" si="289"/>
        <v>2961.1236479999998</v>
      </c>
      <c r="W247" s="712">
        <f t="shared" si="289"/>
        <v>3146.1938759999994</v>
      </c>
      <c r="X247" s="712">
        <f t="shared" si="289"/>
        <v>3331.2641039999994</v>
      </c>
      <c r="Y247" s="712">
        <f t="shared" si="289"/>
        <v>3516.334331999999</v>
      </c>
      <c r="Z247" s="712">
        <f t="shared" si="289"/>
        <v>3701.4045599999995</v>
      </c>
      <c r="AA247" s="712">
        <f t="shared" si="289"/>
        <v>3886.4747879999995</v>
      </c>
      <c r="AB247" s="712">
        <f t="shared" si="289"/>
        <v>4071.5450159999996</v>
      </c>
      <c r="AC247" s="712">
        <f t="shared" si="289"/>
        <v>4256.6152439999996</v>
      </c>
      <c r="AD247" s="712">
        <f t="shared" si="289"/>
        <v>4441.6854719999992</v>
      </c>
      <c r="AE247" s="712">
        <f t="shared" si="289"/>
        <v>4626.7556999999988</v>
      </c>
      <c r="AF247" s="712">
        <f t="shared" si="289"/>
        <v>4811.8259279999993</v>
      </c>
      <c r="AG247" s="712">
        <f t="shared" si="289"/>
        <v>4996.8961559999989</v>
      </c>
      <c r="AH247" s="712">
        <f t="shared" si="289"/>
        <v>5181.9663839999985</v>
      </c>
      <c r="AI247" s="712">
        <f t="shared" si="289"/>
        <v>5367.036611999999</v>
      </c>
      <c r="AJ247" s="712">
        <f t="shared" si="289"/>
        <v>5552.1068399999995</v>
      </c>
      <c r="AK247" s="712">
        <f t="shared" si="289"/>
        <v>5737.1770679999991</v>
      </c>
      <c r="AL247" s="712">
        <f t="shared" si="289"/>
        <v>5922.2472959999996</v>
      </c>
      <c r="AM247" s="712">
        <f t="shared" si="289"/>
        <v>6107.3175239999991</v>
      </c>
      <c r="AN247" s="712">
        <f t="shared" si="289"/>
        <v>6292.3877519999987</v>
      </c>
      <c r="AO247" s="712">
        <f t="shared" ref="AO247:BT247" si="290">((AO$232-$I$4)/1000)*$N$121*(($C$8/70)^$X$121)*IF($C$13=1,$AF$120,IF($C$13=2,$AG$120,IF($C$13=3,$AH$120,1)))</f>
        <v>6477.4579799999992</v>
      </c>
      <c r="AP247" s="712">
        <f t="shared" si="290"/>
        <v>6662.5282079999988</v>
      </c>
      <c r="AQ247" s="712">
        <f t="shared" si="290"/>
        <v>6847.5984359999993</v>
      </c>
      <c r="AR247" s="712">
        <f t="shared" si="290"/>
        <v>7032.668663999998</v>
      </c>
      <c r="AS247" s="712">
        <f t="shared" si="290"/>
        <v>7217.7388919999985</v>
      </c>
      <c r="AT247" s="712">
        <f t="shared" si="290"/>
        <v>7402.809119999999</v>
      </c>
      <c r="AU247" s="712">
        <f t="shared" si="290"/>
        <v>7587.8793479999977</v>
      </c>
      <c r="AV247" s="712">
        <f t="shared" si="290"/>
        <v>7772.9495759999991</v>
      </c>
      <c r="AW247" s="712">
        <f t="shared" si="290"/>
        <v>7958.0198039999987</v>
      </c>
      <c r="AX247" s="712">
        <f t="shared" si="290"/>
        <v>8143.0900319999992</v>
      </c>
      <c r="AY247" s="712">
        <f t="shared" si="290"/>
        <v>8328.1602599999987</v>
      </c>
      <c r="AZ247" s="712">
        <f t="shared" si="290"/>
        <v>8513.2304879999992</v>
      </c>
      <c r="BA247" s="712">
        <f t="shared" si="290"/>
        <v>8698.3007159999979</v>
      </c>
      <c r="BB247" s="712">
        <f t="shared" si="290"/>
        <v>8883.3709439999984</v>
      </c>
      <c r="BC247" s="712">
        <f t="shared" si="290"/>
        <v>9068.4411719999989</v>
      </c>
      <c r="BD247" s="712">
        <f t="shared" si="290"/>
        <v>9253.5113999999976</v>
      </c>
      <c r="BE247" s="712">
        <f t="shared" si="290"/>
        <v>9438.5816279999981</v>
      </c>
      <c r="BF247" s="712">
        <f t="shared" si="290"/>
        <v>9623.6518559999986</v>
      </c>
      <c r="BG247" s="712">
        <f t="shared" si="290"/>
        <v>9808.7220839999991</v>
      </c>
      <c r="BH247" s="865">
        <f t="shared" si="290"/>
        <v>-1295.4915959999996</v>
      </c>
      <c r="BI247" s="865">
        <f t="shared" si="290"/>
        <v>-1295.4915959999996</v>
      </c>
      <c r="BJ247" s="865">
        <f t="shared" si="290"/>
        <v>-1295.4915959999996</v>
      </c>
      <c r="BK247" s="865">
        <f t="shared" si="290"/>
        <v>-1295.4915959999996</v>
      </c>
      <c r="BL247" s="865">
        <f t="shared" si="290"/>
        <v>-1295.4915959999996</v>
      </c>
      <c r="BM247" s="865">
        <f t="shared" si="290"/>
        <v>-1295.4915959999996</v>
      </c>
      <c r="BN247" s="865">
        <f t="shared" si="290"/>
        <v>-1295.4915959999996</v>
      </c>
      <c r="BO247" s="865">
        <f t="shared" si="290"/>
        <v>-1295.4915959999996</v>
      </c>
      <c r="BP247" s="865">
        <f t="shared" si="290"/>
        <v>-1295.4915959999996</v>
      </c>
      <c r="BQ247" s="865">
        <f t="shared" si="290"/>
        <v>-1295.4915959999996</v>
      </c>
      <c r="BR247" s="865">
        <f t="shared" si="290"/>
        <v>-1295.4915959999996</v>
      </c>
      <c r="BS247" s="865">
        <f t="shared" si="290"/>
        <v>-1295.4915959999996</v>
      </c>
      <c r="BT247" s="865">
        <f t="shared" si="290"/>
        <v>-1295.4915959999996</v>
      </c>
      <c r="BU247" s="865">
        <f t="shared" ref="BU247:CZ247" si="291">((BU$232-$I$4)/1000)*$N$121*(($C$8/70)^$X$121)*IF($C$13=1,$AF$120,IF($C$13=2,$AG$120,IF($C$13=3,$AH$120,1)))</f>
        <v>-1295.4915959999996</v>
      </c>
      <c r="BV247" s="865">
        <f t="shared" si="291"/>
        <v>-1295.4915959999996</v>
      </c>
      <c r="BW247" s="865">
        <f t="shared" si="291"/>
        <v>-1295.4915959999996</v>
      </c>
      <c r="BX247" s="865">
        <f t="shared" si="291"/>
        <v>-1295.4915959999996</v>
      </c>
      <c r="BY247" s="865">
        <f t="shared" si="291"/>
        <v>-1295.4915959999996</v>
      </c>
      <c r="BZ247" s="865">
        <f t="shared" si="291"/>
        <v>-1295.4915959999996</v>
      </c>
      <c r="CA247" s="865">
        <f t="shared" si="291"/>
        <v>-1295.4915959999996</v>
      </c>
      <c r="CB247" s="865">
        <f t="shared" si="291"/>
        <v>-1295.4915959999996</v>
      </c>
      <c r="CC247" s="865">
        <f t="shared" si="291"/>
        <v>-1295.4915959999996</v>
      </c>
      <c r="CD247" s="865">
        <f t="shared" si="291"/>
        <v>-1295.4915959999996</v>
      </c>
      <c r="CE247" s="865">
        <f t="shared" si="291"/>
        <v>-1295.4915959999996</v>
      </c>
      <c r="CF247" s="865">
        <f t="shared" si="291"/>
        <v>-1295.4915959999996</v>
      </c>
      <c r="CG247" s="865">
        <f t="shared" si="291"/>
        <v>-1295.4915959999996</v>
      </c>
      <c r="CH247" s="865">
        <f t="shared" si="291"/>
        <v>-1295.4915959999996</v>
      </c>
      <c r="CI247" s="865">
        <f t="shared" si="291"/>
        <v>-1295.4915959999996</v>
      </c>
      <c r="CJ247" s="865">
        <f t="shared" si="291"/>
        <v>-1295.4915959999996</v>
      </c>
      <c r="CK247" s="865">
        <f t="shared" si="291"/>
        <v>-1295.4915959999996</v>
      </c>
      <c r="CL247" s="865">
        <f t="shared" si="291"/>
        <v>-1295.4915959999996</v>
      </c>
      <c r="CM247" s="865">
        <f t="shared" si="291"/>
        <v>-1295.4915959999996</v>
      </c>
      <c r="CN247" s="865">
        <f t="shared" si="291"/>
        <v>-1295.4915959999996</v>
      </c>
      <c r="CO247" s="865">
        <f t="shared" si="291"/>
        <v>-1295.4915959999996</v>
      </c>
      <c r="CP247" s="865">
        <f t="shared" si="291"/>
        <v>-1295.4915959999996</v>
      </c>
      <c r="CQ247" s="865">
        <f t="shared" si="291"/>
        <v>-1295.4915959999996</v>
      </c>
      <c r="CR247" s="865">
        <f t="shared" si="291"/>
        <v>-1295.4915959999996</v>
      </c>
      <c r="CS247" s="865">
        <f t="shared" si="291"/>
        <v>-1295.4915959999996</v>
      </c>
      <c r="CT247" s="865">
        <f t="shared" si="291"/>
        <v>-1295.4915959999996</v>
      </c>
      <c r="CU247" s="865">
        <f t="shared" si="291"/>
        <v>-1295.4915959999996</v>
      </c>
      <c r="CV247" s="865">
        <f t="shared" si="291"/>
        <v>-1295.4915959999996</v>
      </c>
      <c r="CW247" s="865">
        <f t="shared" si="291"/>
        <v>-1295.4915959999996</v>
      </c>
      <c r="CX247" s="865">
        <f t="shared" si="291"/>
        <v>-1295.4915959999996</v>
      </c>
      <c r="CY247" s="865">
        <f t="shared" si="291"/>
        <v>-1295.4915959999996</v>
      </c>
      <c r="CZ247" s="865">
        <f t="shared" si="291"/>
        <v>-1295.4915959999996</v>
      </c>
      <c r="DA247" s="865">
        <f t="shared" ref="DA247:DG247" si="292">((DA$232-$I$4)/1000)*$N$121*(($C$8/70)^$X$121)*IF($C$13=1,$AF$120,IF($C$13=2,$AG$120,IF($C$13=3,$AH$120,1)))</f>
        <v>-1295.4915959999996</v>
      </c>
      <c r="DB247" s="865">
        <f t="shared" si="292"/>
        <v>-1295.4915959999996</v>
      </c>
      <c r="DC247" s="865">
        <f t="shared" si="292"/>
        <v>-1295.4915959999996</v>
      </c>
      <c r="DD247" s="865">
        <f t="shared" si="292"/>
        <v>-1295.4915959999996</v>
      </c>
      <c r="DE247" s="865">
        <f t="shared" si="292"/>
        <v>-1295.4915959999996</v>
      </c>
      <c r="DF247" s="865">
        <f t="shared" si="292"/>
        <v>-1295.4915959999996</v>
      </c>
      <c r="DG247" s="865">
        <f t="shared" si="292"/>
        <v>-1295.4915959999996</v>
      </c>
    </row>
    <row r="248" spans="2:111" hidden="1">
      <c r="B248" s="2310" t="s">
        <v>373</v>
      </c>
      <c r="C248" s="2311"/>
      <c r="D248" s="1982"/>
      <c r="E248" s="1982"/>
      <c r="F248" s="1982"/>
      <c r="G248" s="1982"/>
      <c r="H248" s="1982"/>
      <c r="I248" s="712">
        <f t="shared" ref="I248:AN248" si="293">((I$232-$I$4)/1000)*$P$121*(($C$8/70)^$Z$121)*IF($C$13=1,$AF$123,IF($C$13=2,$AG$123,IF($C$13=3,$AH$123,1)))</f>
        <v>540.55990799999995</v>
      </c>
      <c r="J248" s="712">
        <f t="shared" si="293"/>
        <v>720.74654399999997</v>
      </c>
      <c r="K248" s="712">
        <f t="shared" si="293"/>
        <v>900.93317999999988</v>
      </c>
      <c r="L248" s="712">
        <f t="shared" si="293"/>
        <v>1081.1198159999999</v>
      </c>
      <c r="M248" s="712">
        <f t="shared" si="293"/>
        <v>1261.3064519999998</v>
      </c>
      <c r="N248" s="712">
        <f t="shared" si="293"/>
        <v>1441.4930879999999</v>
      </c>
      <c r="O248" s="712">
        <f t="shared" si="293"/>
        <v>1621.6797239999999</v>
      </c>
      <c r="P248" s="712">
        <f t="shared" si="293"/>
        <v>1801.8663599999998</v>
      </c>
      <c r="Q248" s="712">
        <f t="shared" si="293"/>
        <v>1982.0529959999999</v>
      </c>
      <c r="R248" s="712">
        <f t="shared" si="293"/>
        <v>2162.2396319999998</v>
      </c>
      <c r="S248" s="712">
        <f t="shared" si="293"/>
        <v>2342.4262679999997</v>
      </c>
      <c r="T248" s="712">
        <f t="shared" si="293"/>
        <v>2522.6129039999996</v>
      </c>
      <c r="U248" s="712">
        <f t="shared" si="293"/>
        <v>2702.7995399999995</v>
      </c>
      <c r="V248" s="712">
        <f t="shared" si="293"/>
        <v>2882.9861759999999</v>
      </c>
      <c r="W248" s="712">
        <f t="shared" si="293"/>
        <v>3063.1728119999993</v>
      </c>
      <c r="X248" s="712">
        <f t="shared" si="293"/>
        <v>3243.3594479999997</v>
      </c>
      <c r="Y248" s="712">
        <f t="shared" si="293"/>
        <v>3423.5460839999996</v>
      </c>
      <c r="Z248" s="712">
        <f t="shared" si="293"/>
        <v>3603.7327199999995</v>
      </c>
      <c r="AA248" s="712">
        <f t="shared" si="293"/>
        <v>3783.9193559999994</v>
      </c>
      <c r="AB248" s="712">
        <f t="shared" si="293"/>
        <v>3964.1059919999998</v>
      </c>
      <c r="AC248" s="712">
        <f t="shared" si="293"/>
        <v>4144.2926279999992</v>
      </c>
      <c r="AD248" s="712">
        <f t="shared" si="293"/>
        <v>4324.4792639999996</v>
      </c>
      <c r="AE248" s="712">
        <f t="shared" si="293"/>
        <v>4504.6659</v>
      </c>
      <c r="AF248" s="712">
        <f t="shared" si="293"/>
        <v>4684.8525359999994</v>
      </c>
      <c r="AG248" s="712">
        <f t="shared" si="293"/>
        <v>4865.0391719999998</v>
      </c>
      <c r="AH248" s="712">
        <f t="shared" si="293"/>
        <v>5045.2258079999992</v>
      </c>
      <c r="AI248" s="712">
        <f t="shared" si="293"/>
        <v>5225.4124439999996</v>
      </c>
      <c r="AJ248" s="712">
        <f t="shared" si="293"/>
        <v>5405.599079999999</v>
      </c>
      <c r="AK248" s="712">
        <f t="shared" si="293"/>
        <v>5585.7857159999994</v>
      </c>
      <c r="AL248" s="712">
        <f t="shared" si="293"/>
        <v>5765.9723519999998</v>
      </c>
      <c r="AM248" s="712">
        <f t="shared" si="293"/>
        <v>5946.1589879999992</v>
      </c>
      <c r="AN248" s="712">
        <f t="shared" si="293"/>
        <v>6126.3456239999987</v>
      </c>
      <c r="AO248" s="712">
        <f t="shared" ref="AO248:BT248" si="294">((AO$232-$I$4)/1000)*$P$121*(($C$8/70)^$Z$121)*IF($C$13=1,$AF$123,IF($C$13=2,$AG$123,IF($C$13=3,$AH$123,1)))</f>
        <v>6306.532259999999</v>
      </c>
      <c r="AP248" s="712">
        <f t="shared" si="294"/>
        <v>6486.7188959999994</v>
      </c>
      <c r="AQ248" s="712">
        <f t="shared" si="294"/>
        <v>6666.9055319999998</v>
      </c>
      <c r="AR248" s="712">
        <f t="shared" si="294"/>
        <v>6847.0921679999992</v>
      </c>
      <c r="AS248" s="712">
        <f t="shared" si="294"/>
        <v>7027.2788039999987</v>
      </c>
      <c r="AT248" s="712">
        <f t="shared" si="294"/>
        <v>7207.465439999999</v>
      </c>
      <c r="AU248" s="712">
        <f t="shared" si="294"/>
        <v>7387.6520759999985</v>
      </c>
      <c r="AV248" s="712">
        <f t="shared" si="294"/>
        <v>7567.8387119999988</v>
      </c>
      <c r="AW248" s="712">
        <f t="shared" si="294"/>
        <v>7748.0253479999983</v>
      </c>
      <c r="AX248" s="712">
        <f t="shared" si="294"/>
        <v>7928.2119839999996</v>
      </c>
      <c r="AY248" s="712">
        <f t="shared" si="294"/>
        <v>8108.398619999999</v>
      </c>
      <c r="AZ248" s="712">
        <f t="shared" si="294"/>
        <v>8288.5852559999985</v>
      </c>
      <c r="BA248" s="712">
        <f t="shared" si="294"/>
        <v>8468.7718919999988</v>
      </c>
      <c r="BB248" s="712">
        <f t="shared" si="294"/>
        <v>8648.9585279999992</v>
      </c>
      <c r="BC248" s="712">
        <f t="shared" si="294"/>
        <v>8829.1451639999996</v>
      </c>
      <c r="BD248" s="712">
        <f t="shared" si="294"/>
        <v>9009.3317999999999</v>
      </c>
      <c r="BE248" s="712">
        <f t="shared" si="294"/>
        <v>9189.5184359999985</v>
      </c>
      <c r="BF248" s="712">
        <f t="shared" si="294"/>
        <v>9369.7050719999988</v>
      </c>
      <c r="BG248" s="712">
        <f t="shared" si="294"/>
        <v>9549.8917079999992</v>
      </c>
      <c r="BH248" s="865">
        <f t="shared" si="294"/>
        <v>-1261.3064519999998</v>
      </c>
      <c r="BI248" s="865">
        <f t="shared" si="294"/>
        <v>-1261.3064519999998</v>
      </c>
      <c r="BJ248" s="865">
        <f t="shared" si="294"/>
        <v>-1261.3064519999998</v>
      </c>
      <c r="BK248" s="865">
        <f t="shared" si="294"/>
        <v>-1261.3064519999998</v>
      </c>
      <c r="BL248" s="865">
        <f t="shared" si="294"/>
        <v>-1261.3064519999998</v>
      </c>
      <c r="BM248" s="865">
        <f t="shared" si="294"/>
        <v>-1261.3064519999998</v>
      </c>
      <c r="BN248" s="865">
        <f t="shared" si="294"/>
        <v>-1261.3064519999998</v>
      </c>
      <c r="BO248" s="865">
        <f t="shared" si="294"/>
        <v>-1261.3064519999998</v>
      </c>
      <c r="BP248" s="865">
        <f t="shared" si="294"/>
        <v>-1261.3064519999998</v>
      </c>
      <c r="BQ248" s="865">
        <f t="shared" si="294"/>
        <v>-1261.3064519999998</v>
      </c>
      <c r="BR248" s="865">
        <f t="shared" si="294"/>
        <v>-1261.3064519999998</v>
      </c>
      <c r="BS248" s="865">
        <f t="shared" si="294"/>
        <v>-1261.3064519999998</v>
      </c>
      <c r="BT248" s="865">
        <f t="shared" si="294"/>
        <v>-1261.3064519999998</v>
      </c>
      <c r="BU248" s="865">
        <f t="shared" ref="BU248:CZ248" si="295">((BU$232-$I$4)/1000)*$P$121*(($C$8/70)^$Z$121)*IF($C$13=1,$AF$123,IF($C$13=2,$AG$123,IF($C$13=3,$AH$123,1)))</f>
        <v>-1261.3064519999998</v>
      </c>
      <c r="BV248" s="865">
        <f t="shared" si="295"/>
        <v>-1261.3064519999998</v>
      </c>
      <c r="BW248" s="865">
        <f t="shared" si="295"/>
        <v>-1261.3064519999998</v>
      </c>
      <c r="BX248" s="865">
        <f t="shared" si="295"/>
        <v>-1261.3064519999998</v>
      </c>
      <c r="BY248" s="865">
        <f t="shared" si="295"/>
        <v>-1261.3064519999998</v>
      </c>
      <c r="BZ248" s="865">
        <f t="shared" si="295"/>
        <v>-1261.3064519999998</v>
      </c>
      <c r="CA248" s="865">
        <f t="shared" si="295"/>
        <v>-1261.3064519999998</v>
      </c>
      <c r="CB248" s="865">
        <f t="shared" si="295"/>
        <v>-1261.3064519999998</v>
      </c>
      <c r="CC248" s="865">
        <f t="shared" si="295"/>
        <v>-1261.3064519999998</v>
      </c>
      <c r="CD248" s="865">
        <f t="shared" si="295"/>
        <v>-1261.3064519999998</v>
      </c>
      <c r="CE248" s="865">
        <f t="shared" si="295"/>
        <v>-1261.3064519999998</v>
      </c>
      <c r="CF248" s="865">
        <f t="shared" si="295"/>
        <v>-1261.3064519999998</v>
      </c>
      <c r="CG248" s="865">
        <f t="shared" si="295"/>
        <v>-1261.3064519999998</v>
      </c>
      <c r="CH248" s="865">
        <f t="shared" si="295"/>
        <v>-1261.3064519999998</v>
      </c>
      <c r="CI248" s="865">
        <f t="shared" si="295"/>
        <v>-1261.3064519999998</v>
      </c>
      <c r="CJ248" s="865">
        <f t="shared" si="295"/>
        <v>-1261.3064519999998</v>
      </c>
      <c r="CK248" s="865">
        <f t="shared" si="295"/>
        <v>-1261.3064519999998</v>
      </c>
      <c r="CL248" s="865">
        <f t="shared" si="295"/>
        <v>-1261.3064519999998</v>
      </c>
      <c r="CM248" s="865">
        <f t="shared" si="295"/>
        <v>-1261.3064519999998</v>
      </c>
      <c r="CN248" s="865">
        <f t="shared" si="295"/>
        <v>-1261.3064519999998</v>
      </c>
      <c r="CO248" s="865">
        <f t="shared" si="295"/>
        <v>-1261.3064519999998</v>
      </c>
      <c r="CP248" s="865">
        <f t="shared" si="295"/>
        <v>-1261.3064519999998</v>
      </c>
      <c r="CQ248" s="865">
        <f t="shared" si="295"/>
        <v>-1261.3064519999998</v>
      </c>
      <c r="CR248" s="865">
        <f t="shared" si="295"/>
        <v>-1261.3064519999998</v>
      </c>
      <c r="CS248" s="865">
        <f t="shared" si="295"/>
        <v>-1261.3064519999998</v>
      </c>
      <c r="CT248" s="865">
        <f t="shared" si="295"/>
        <v>-1261.3064519999998</v>
      </c>
      <c r="CU248" s="865">
        <f t="shared" si="295"/>
        <v>-1261.3064519999998</v>
      </c>
      <c r="CV248" s="865">
        <f t="shared" si="295"/>
        <v>-1261.3064519999998</v>
      </c>
      <c r="CW248" s="865">
        <f t="shared" si="295"/>
        <v>-1261.3064519999998</v>
      </c>
      <c r="CX248" s="865">
        <f t="shared" si="295"/>
        <v>-1261.3064519999998</v>
      </c>
      <c r="CY248" s="865">
        <f t="shared" si="295"/>
        <v>-1261.3064519999998</v>
      </c>
      <c r="CZ248" s="865">
        <f t="shared" si="295"/>
        <v>-1261.3064519999998</v>
      </c>
      <c r="DA248" s="865">
        <f t="shared" ref="DA248:DG248" si="296">((DA$232-$I$4)/1000)*$P$121*(($C$8/70)^$Z$121)*IF($C$13=1,$AF$123,IF($C$13=2,$AG$123,IF($C$13=3,$AH$123,1)))</f>
        <v>-1261.3064519999998</v>
      </c>
      <c r="DB248" s="865">
        <f t="shared" si="296"/>
        <v>-1261.3064519999998</v>
      </c>
      <c r="DC248" s="865">
        <f t="shared" si="296"/>
        <v>-1261.3064519999998</v>
      </c>
      <c r="DD248" s="865">
        <f t="shared" si="296"/>
        <v>-1261.3064519999998</v>
      </c>
      <c r="DE248" s="865">
        <f t="shared" si="296"/>
        <v>-1261.3064519999998</v>
      </c>
      <c r="DF248" s="865">
        <f t="shared" si="296"/>
        <v>-1261.3064519999998</v>
      </c>
      <c r="DG248" s="865">
        <f t="shared" si="296"/>
        <v>-1261.3064519999998</v>
      </c>
    </row>
    <row r="249" spans="2:111" ht="15.75" hidden="1" thickBot="1">
      <c r="B249" s="2312" t="s">
        <v>374</v>
      </c>
      <c r="C249" s="2313"/>
      <c r="D249" s="1983"/>
      <c r="E249" s="1983"/>
      <c r="F249" s="1983"/>
      <c r="G249" s="1983"/>
      <c r="H249" s="1983"/>
      <c r="I249" s="679">
        <f t="shared" ref="I249:AN249" si="297">((I$232-$I$4)/1000)*$Q$121*(($C$8/70)^$AA$121)*IF($C$13=1,$AF$120,IF($C$13=2,$AG$120,IF($C$13=3,$AH$120,1)))</f>
        <v>700.01661599999977</v>
      </c>
      <c r="J249" s="679">
        <f t="shared" si="297"/>
        <v>933.35548799999992</v>
      </c>
      <c r="K249" s="679">
        <f t="shared" si="297"/>
        <v>1166.6943599999997</v>
      </c>
      <c r="L249" s="679">
        <f t="shared" si="297"/>
        <v>1400.0332319999995</v>
      </c>
      <c r="M249" s="679">
        <f t="shared" si="297"/>
        <v>1633.3721039999996</v>
      </c>
      <c r="N249" s="679">
        <f t="shared" si="297"/>
        <v>1866.7109759999998</v>
      </c>
      <c r="O249" s="679">
        <f t="shared" si="297"/>
        <v>2100.0498479999997</v>
      </c>
      <c r="P249" s="679">
        <f t="shared" si="297"/>
        <v>2333.3887199999995</v>
      </c>
      <c r="Q249" s="679">
        <f t="shared" si="297"/>
        <v>2566.7275919999993</v>
      </c>
      <c r="R249" s="679">
        <f t="shared" si="297"/>
        <v>2800.0664639999991</v>
      </c>
      <c r="S249" s="679">
        <f t="shared" si="297"/>
        <v>3033.4053359999994</v>
      </c>
      <c r="T249" s="679">
        <f t="shared" si="297"/>
        <v>3266.7442079999992</v>
      </c>
      <c r="U249" s="679">
        <f t="shared" si="297"/>
        <v>3500.0830799999994</v>
      </c>
      <c r="V249" s="679">
        <f t="shared" si="297"/>
        <v>3733.4219519999997</v>
      </c>
      <c r="W249" s="679">
        <f t="shared" si="297"/>
        <v>3966.7608239999986</v>
      </c>
      <c r="X249" s="679">
        <f t="shared" si="297"/>
        <v>4200.0996959999993</v>
      </c>
      <c r="Y249" s="679">
        <f t="shared" si="297"/>
        <v>4433.4385679999987</v>
      </c>
      <c r="Z249" s="679">
        <f t="shared" si="297"/>
        <v>4666.7774399999989</v>
      </c>
      <c r="AA249" s="679">
        <f t="shared" si="297"/>
        <v>4900.1163119999992</v>
      </c>
      <c r="AB249" s="679">
        <f t="shared" si="297"/>
        <v>5133.4551839999986</v>
      </c>
      <c r="AC249" s="679">
        <f t="shared" si="297"/>
        <v>5366.7940559999979</v>
      </c>
      <c r="AD249" s="679">
        <f t="shared" si="297"/>
        <v>5600.1329279999982</v>
      </c>
      <c r="AE249" s="679">
        <f t="shared" si="297"/>
        <v>5833.4717999999984</v>
      </c>
      <c r="AF249" s="679">
        <f t="shared" si="297"/>
        <v>6066.8106719999987</v>
      </c>
      <c r="AG249" s="679">
        <f t="shared" si="297"/>
        <v>6300.149543999999</v>
      </c>
      <c r="AH249" s="679">
        <f t="shared" si="297"/>
        <v>6533.4884159999983</v>
      </c>
      <c r="AI249" s="679">
        <f t="shared" si="297"/>
        <v>6766.8272879999986</v>
      </c>
      <c r="AJ249" s="679">
        <f t="shared" si="297"/>
        <v>7000.1661599999989</v>
      </c>
      <c r="AK249" s="679">
        <f t="shared" si="297"/>
        <v>7233.5050319999991</v>
      </c>
      <c r="AL249" s="679">
        <f t="shared" si="297"/>
        <v>7466.8439039999994</v>
      </c>
      <c r="AM249" s="679">
        <f t="shared" si="297"/>
        <v>7700.1827759999987</v>
      </c>
      <c r="AN249" s="679">
        <f t="shared" si="297"/>
        <v>7933.5216479999972</v>
      </c>
      <c r="AO249" s="679">
        <f t="shared" ref="AO249:BT249" si="298">((AO$232-$I$4)/1000)*$Q$121*(($C$8/70)^$AA$121)*IF($C$13=1,$AF$120,IF($C$13=2,$AG$120,IF($C$13=3,$AH$120,1)))</f>
        <v>8166.8605199999975</v>
      </c>
      <c r="AP249" s="679">
        <f t="shared" si="298"/>
        <v>8400.1993919999986</v>
      </c>
      <c r="AQ249" s="679">
        <f t="shared" si="298"/>
        <v>8633.5382639999989</v>
      </c>
      <c r="AR249" s="679">
        <f t="shared" si="298"/>
        <v>8866.8771359999973</v>
      </c>
      <c r="AS249" s="679">
        <f t="shared" si="298"/>
        <v>9100.2160079999976</v>
      </c>
      <c r="AT249" s="679">
        <f t="shared" si="298"/>
        <v>9333.5548799999979</v>
      </c>
      <c r="AU249" s="679">
        <f t="shared" si="298"/>
        <v>9566.8937519999963</v>
      </c>
      <c r="AV249" s="679">
        <f t="shared" si="298"/>
        <v>9800.2326239999984</v>
      </c>
      <c r="AW249" s="679">
        <f t="shared" si="298"/>
        <v>10033.571495999997</v>
      </c>
      <c r="AX249" s="679">
        <f t="shared" si="298"/>
        <v>10266.910367999997</v>
      </c>
      <c r="AY249" s="679">
        <f t="shared" si="298"/>
        <v>10500.249239999997</v>
      </c>
      <c r="AZ249" s="679">
        <f t="shared" si="298"/>
        <v>10733.588111999996</v>
      </c>
      <c r="BA249" s="679">
        <f t="shared" si="298"/>
        <v>10966.926983999998</v>
      </c>
      <c r="BB249" s="679">
        <f t="shared" si="298"/>
        <v>11200.265855999996</v>
      </c>
      <c r="BC249" s="679">
        <f t="shared" si="298"/>
        <v>11433.604727999998</v>
      </c>
      <c r="BD249" s="679">
        <f t="shared" si="298"/>
        <v>11666.943599999997</v>
      </c>
      <c r="BE249" s="679">
        <f t="shared" si="298"/>
        <v>11900.282471999995</v>
      </c>
      <c r="BF249" s="679">
        <f t="shared" si="298"/>
        <v>12133.621343999997</v>
      </c>
      <c r="BG249" s="679">
        <f t="shared" si="298"/>
        <v>12366.960215999996</v>
      </c>
      <c r="BH249" s="865">
        <f t="shared" si="298"/>
        <v>-1633.3721039999996</v>
      </c>
      <c r="BI249" s="865">
        <f t="shared" si="298"/>
        <v>-1633.3721039999996</v>
      </c>
      <c r="BJ249" s="865">
        <f t="shared" si="298"/>
        <v>-1633.3721039999996</v>
      </c>
      <c r="BK249" s="865">
        <f t="shared" si="298"/>
        <v>-1633.3721039999996</v>
      </c>
      <c r="BL249" s="865">
        <f t="shared" si="298"/>
        <v>-1633.3721039999996</v>
      </c>
      <c r="BM249" s="865">
        <f t="shared" si="298"/>
        <v>-1633.3721039999996</v>
      </c>
      <c r="BN249" s="865">
        <f t="shared" si="298"/>
        <v>-1633.3721039999996</v>
      </c>
      <c r="BO249" s="865">
        <f t="shared" si="298"/>
        <v>-1633.3721039999996</v>
      </c>
      <c r="BP249" s="865">
        <f t="shared" si="298"/>
        <v>-1633.3721039999996</v>
      </c>
      <c r="BQ249" s="865">
        <f t="shared" si="298"/>
        <v>-1633.3721039999996</v>
      </c>
      <c r="BR249" s="865">
        <f t="shared" si="298"/>
        <v>-1633.3721039999996</v>
      </c>
      <c r="BS249" s="865">
        <f t="shared" si="298"/>
        <v>-1633.3721039999996</v>
      </c>
      <c r="BT249" s="865">
        <f t="shared" si="298"/>
        <v>-1633.3721039999996</v>
      </c>
      <c r="BU249" s="865">
        <f t="shared" ref="BU249:CZ249" si="299">((BU$232-$I$4)/1000)*$Q$121*(($C$8/70)^$AA$121)*IF($C$13=1,$AF$120,IF($C$13=2,$AG$120,IF($C$13=3,$AH$120,1)))</f>
        <v>-1633.3721039999996</v>
      </c>
      <c r="BV249" s="865">
        <f t="shared" si="299"/>
        <v>-1633.3721039999996</v>
      </c>
      <c r="BW249" s="865">
        <f t="shared" si="299"/>
        <v>-1633.3721039999996</v>
      </c>
      <c r="BX249" s="865">
        <f t="shared" si="299"/>
        <v>-1633.3721039999996</v>
      </c>
      <c r="BY249" s="865">
        <f t="shared" si="299"/>
        <v>-1633.3721039999996</v>
      </c>
      <c r="BZ249" s="865">
        <f t="shared" si="299"/>
        <v>-1633.3721039999996</v>
      </c>
      <c r="CA249" s="865">
        <f t="shared" si="299"/>
        <v>-1633.3721039999996</v>
      </c>
      <c r="CB249" s="865">
        <f t="shared" si="299"/>
        <v>-1633.3721039999996</v>
      </c>
      <c r="CC249" s="865">
        <f t="shared" si="299"/>
        <v>-1633.3721039999996</v>
      </c>
      <c r="CD249" s="865">
        <f t="shared" si="299"/>
        <v>-1633.3721039999996</v>
      </c>
      <c r="CE249" s="865">
        <f t="shared" si="299"/>
        <v>-1633.3721039999996</v>
      </c>
      <c r="CF249" s="865">
        <f t="shared" si="299"/>
        <v>-1633.3721039999996</v>
      </c>
      <c r="CG249" s="865">
        <f t="shared" si="299"/>
        <v>-1633.3721039999996</v>
      </c>
      <c r="CH249" s="865">
        <f t="shared" si="299"/>
        <v>-1633.3721039999996</v>
      </c>
      <c r="CI249" s="865">
        <f t="shared" si="299"/>
        <v>-1633.3721039999996</v>
      </c>
      <c r="CJ249" s="865">
        <f t="shared" si="299"/>
        <v>-1633.3721039999996</v>
      </c>
      <c r="CK249" s="865">
        <f t="shared" si="299"/>
        <v>-1633.3721039999996</v>
      </c>
      <c r="CL249" s="865">
        <f t="shared" si="299"/>
        <v>-1633.3721039999996</v>
      </c>
      <c r="CM249" s="865">
        <f t="shared" si="299"/>
        <v>-1633.3721039999996</v>
      </c>
      <c r="CN249" s="865">
        <f t="shared" si="299"/>
        <v>-1633.3721039999996</v>
      </c>
      <c r="CO249" s="865">
        <f t="shared" si="299"/>
        <v>-1633.3721039999996</v>
      </c>
      <c r="CP249" s="865">
        <f t="shared" si="299"/>
        <v>-1633.3721039999996</v>
      </c>
      <c r="CQ249" s="865">
        <f t="shared" si="299"/>
        <v>-1633.3721039999996</v>
      </c>
      <c r="CR249" s="865">
        <f t="shared" si="299"/>
        <v>-1633.3721039999996</v>
      </c>
      <c r="CS249" s="865">
        <f t="shared" si="299"/>
        <v>-1633.3721039999996</v>
      </c>
      <c r="CT249" s="865">
        <f t="shared" si="299"/>
        <v>-1633.3721039999996</v>
      </c>
      <c r="CU249" s="865">
        <f t="shared" si="299"/>
        <v>-1633.3721039999996</v>
      </c>
      <c r="CV249" s="865">
        <f t="shared" si="299"/>
        <v>-1633.3721039999996</v>
      </c>
      <c r="CW249" s="865">
        <f t="shared" si="299"/>
        <v>-1633.3721039999996</v>
      </c>
      <c r="CX249" s="865">
        <f t="shared" si="299"/>
        <v>-1633.3721039999996</v>
      </c>
      <c r="CY249" s="865">
        <f t="shared" si="299"/>
        <v>-1633.3721039999996</v>
      </c>
      <c r="CZ249" s="865">
        <f t="shared" si="299"/>
        <v>-1633.3721039999996</v>
      </c>
      <c r="DA249" s="865">
        <f t="shared" ref="DA249:DG249" si="300">((DA$232-$I$4)/1000)*$Q$121*(($C$8/70)^$AA$121)*IF($C$13=1,$AF$120,IF($C$13=2,$AG$120,IF($C$13=3,$AH$120,1)))</f>
        <v>-1633.3721039999996</v>
      </c>
      <c r="DB249" s="865">
        <f t="shared" si="300"/>
        <v>-1633.3721039999996</v>
      </c>
      <c r="DC249" s="865">
        <f t="shared" si="300"/>
        <v>-1633.3721039999996</v>
      </c>
      <c r="DD249" s="865">
        <f t="shared" si="300"/>
        <v>-1633.3721039999996</v>
      </c>
      <c r="DE249" s="865">
        <f t="shared" si="300"/>
        <v>-1633.3721039999996</v>
      </c>
      <c r="DF249" s="865">
        <f t="shared" si="300"/>
        <v>-1633.3721039999996</v>
      </c>
      <c r="DG249" s="865">
        <f t="shared" si="300"/>
        <v>-1633.3721039999996</v>
      </c>
    </row>
  </sheetData>
  <sheetProtection algorithmName="SHA-512" hashValue="DB03RgnwkLAZFauW1B57akNlRbpUm+xRG71UvGYWbUBH6WuwyGrgPIHbAtUhG+bbXK55FoSiN4RoD+EKDjomPg==" saltValue="Phq6kODY/o99aDAjxcbUEA==" spinCount="100000" sheet="1" objects="1" scenarios="1"/>
  <mergeCells count="250">
    <mergeCell ref="K1:AF3"/>
    <mergeCell ref="T17:T19"/>
    <mergeCell ref="U17:Y17"/>
    <mergeCell ref="U18:Y18"/>
    <mergeCell ref="K25:T25"/>
    <mergeCell ref="V25:AE25"/>
    <mergeCell ref="AG26:AJ26"/>
    <mergeCell ref="K41:AE41"/>
    <mergeCell ref="K42:T42"/>
    <mergeCell ref="V42:AE42"/>
    <mergeCell ref="Z26:AA26"/>
    <mergeCell ref="AB26:AC26"/>
    <mergeCell ref="AD26:AE26"/>
    <mergeCell ref="M43:M44"/>
    <mergeCell ref="N43:N44"/>
    <mergeCell ref="O43:P43"/>
    <mergeCell ref="Q43:R43"/>
    <mergeCell ref="S43:T43"/>
    <mergeCell ref="W26:W27"/>
    <mergeCell ref="X26:X27"/>
    <mergeCell ref="Y26:Y27"/>
    <mergeCell ref="L26:L27"/>
    <mergeCell ref="M26:M27"/>
    <mergeCell ref="N26:N27"/>
    <mergeCell ref="O26:P26"/>
    <mergeCell ref="Q26:R26"/>
    <mergeCell ref="S26:T26"/>
    <mergeCell ref="AG43:AJ43"/>
    <mergeCell ref="K59:AC59"/>
    <mergeCell ref="K60:S60"/>
    <mergeCell ref="U60:AC60"/>
    <mergeCell ref="L61:L62"/>
    <mergeCell ref="M61:M62"/>
    <mergeCell ref="N61:N62"/>
    <mergeCell ref="O61:P61"/>
    <mergeCell ref="Q61:Q62"/>
    <mergeCell ref="R61:S61"/>
    <mergeCell ref="W43:W44"/>
    <mergeCell ref="X43:X44"/>
    <mergeCell ref="Y43:Y44"/>
    <mergeCell ref="Z43:AA43"/>
    <mergeCell ref="AB43:AC43"/>
    <mergeCell ref="AD43:AE43"/>
    <mergeCell ref="AE61:AH61"/>
    <mergeCell ref="V61:V62"/>
    <mergeCell ref="W61:W62"/>
    <mergeCell ref="X61:X62"/>
    <mergeCell ref="Y61:Z61"/>
    <mergeCell ref="AA61:AA62"/>
    <mergeCell ref="AB61:AC61"/>
    <mergeCell ref="L43:L44"/>
    <mergeCell ref="K78:AC78"/>
    <mergeCell ref="K79:S79"/>
    <mergeCell ref="U79:AC79"/>
    <mergeCell ref="L80:L81"/>
    <mergeCell ref="M80:M81"/>
    <mergeCell ref="N80:N81"/>
    <mergeCell ref="O80:P80"/>
    <mergeCell ref="Q80:Q81"/>
    <mergeCell ref="R80:S80"/>
    <mergeCell ref="AE80:AH80"/>
    <mergeCell ref="K98:AC98"/>
    <mergeCell ref="K99:S99"/>
    <mergeCell ref="U99:AC99"/>
    <mergeCell ref="L100:L101"/>
    <mergeCell ref="M100:M101"/>
    <mergeCell ref="N100:N101"/>
    <mergeCell ref="O100:P100"/>
    <mergeCell ref="Q100:Q101"/>
    <mergeCell ref="R100:S100"/>
    <mergeCell ref="V80:V81"/>
    <mergeCell ref="W80:W81"/>
    <mergeCell ref="X80:X81"/>
    <mergeCell ref="Y80:Z80"/>
    <mergeCell ref="AA80:AA81"/>
    <mergeCell ref="AB80:AC80"/>
    <mergeCell ref="V116:V117"/>
    <mergeCell ref="W116:W117"/>
    <mergeCell ref="X116:X117"/>
    <mergeCell ref="Y116:Z116"/>
    <mergeCell ref="AA116:AA117"/>
    <mergeCell ref="AB116:AC116"/>
    <mergeCell ref="AE100:AH100"/>
    <mergeCell ref="K115:S115"/>
    <mergeCell ref="U115:AC115"/>
    <mergeCell ref="AE115:AH115"/>
    <mergeCell ref="L116:L117"/>
    <mergeCell ref="M116:M117"/>
    <mergeCell ref="N116:N117"/>
    <mergeCell ref="O116:P116"/>
    <mergeCell ref="Q116:Q117"/>
    <mergeCell ref="R116:S116"/>
    <mergeCell ref="V100:V101"/>
    <mergeCell ref="W100:W101"/>
    <mergeCell ref="X100:X101"/>
    <mergeCell ref="Y100:Z100"/>
    <mergeCell ref="AA100:AA101"/>
    <mergeCell ref="AB100:AC100"/>
    <mergeCell ref="BA136:BG136"/>
    <mergeCell ref="I137:BG137"/>
    <mergeCell ref="A141:A188"/>
    <mergeCell ref="B141:C141"/>
    <mergeCell ref="D141:D142"/>
    <mergeCell ref="B142:C142"/>
    <mergeCell ref="B143:C143"/>
    <mergeCell ref="B133:B134"/>
    <mergeCell ref="K134:BI134"/>
    <mergeCell ref="B135:C135"/>
    <mergeCell ref="B136:C138"/>
    <mergeCell ref="D136:D138"/>
    <mergeCell ref="E136:E138"/>
    <mergeCell ref="F136:F138"/>
    <mergeCell ref="G136:G138"/>
    <mergeCell ref="H136:H138"/>
    <mergeCell ref="K136:V136"/>
    <mergeCell ref="B144:C144"/>
    <mergeCell ref="B145:C145"/>
    <mergeCell ref="D145:D146"/>
    <mergeCell ref="B146:C146"/>
    <mergeCell ref="B147:C147"/>
    <mergeCell ref="B148:C148"/>
    <mergeCell ref="W136:AF136"/>
    <mergeCell ref="AG136:AP136"/>
    <mergeCell ref="AQ136:AZ136"/>
    <mergeCell ref="B149:C149"/>
    <mergeCell ref="D149:D152"/>
    <mergeCell ref="B150:C150"/>
    <mergeCell ref="B151:C151"/>
    <mergeCell ref="B152:C152"/>
    <mergeCell ref="B153:C153"/>
    <mergeCell ref="D153:D156"/>
    <mergeCell ref="B154:C154"/>
    <mergeCell ref="B155:C155"/>
    <mergeCell ref="B156:C156"/>
    <mergeCell ref="B157:C157"/>
    <mergeCell ref="D157:D164"/>
    <mergeCell ref="B158:C158"/>
    <mergeCell ref="B159:C159"/>
    <mergeCell ref="B160:C160"/>
    <mergeCell ref="B161:C161"/>
    <mergeCell ref="B162:C162"/>
    <mergeCell ref="B163:C163"/>
    <mergeCell ref="B164:C164"/>
    <mergeCell ref="B165:C165"/>
    <mergeCell ref="D165:D172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D173:D181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91:C191"/>
    <mergeCell ref="B192:C193"/>
    <mergeCell ref="E192:E193"/>
    <mergeCell ref="F192:F193"/>
    <mergeCell ref="G192:G193"/>
    <mergeCell ref="H192:H193"/>
    <mergeCell ref="B182:C182"/>
    <mergeCell ref="D182:D190"/>
    <mergeCell ref="B183:C183"/>
    <mergeCell ref="B184:C184"/>
    <mergeCell ref="B185:C185"/>
    <mergeCell ref="B186:C186"/>
    <mergeCell ref="B187:C187"/>
    <mergeCell ref="B188:C188"/>
    <mergeCell ref="B189:C189"/>
    <mergeCell ref="B190:C190"/>
    <mergeCell ref="I192:BG192"/>
    <mergeCell ref="A194:A205"/>
    <mergeCell ref="B194:C194"/>
    <mergeCell ref="D194:D197"/>
    <mergeCell ref="B195:C195"/>
    <mergeCell ref="B196:C196"/>
    <mergeCell ref="B197:C197"/>
    <mergeCell ref="B198:C198"/>
    <mergeCell ref="D198:D201"/>
    <mergeCell ref="B199:C199"/>
    <mergeCell ref="B207:C208"/>
    <mergeCell ref="E207:E208"/>
    <mergeCell ref="F207:F208"/>
    <mergeCell ref="G207:G208"/>
    <mergeCell ref="H207:H208"/>
    <mergeCell ref="I207:BG207"/>
    <mergeCell ref="B200:C200"/>
    <mergeCell ref="B201:C201"/>
    <mergeCell ref="B202:C202"/>
    <mergeCell ref="D202:D205"/>
    <mergeCell ref="B203:C203"/>
    <mergeCell ref="B204:C204"/>
    <mergeCell ref="B205:C205"/>
    <mergeCell ref="B216:C216"/>
    <mergeCell ref="B217:C217"/>
    <mergeCell ref="D217:D220"/>
    <mergeCell ref="B218:C218"/>
    <mergeCell ref="B219:C219"/>
    <mergeCell ref="B220:C220"/>
    <mergeCell ref="A209:A220"/>
    <mergeCell ref="B209:C209"/>
    <mergeCell ref="D209:D212"/>
    <mergeCell ref="B210:C210"/>
    <mergeCell ref="B211:C211"/>
    <mergeCell ref="B212:C212"/>
    <mergeCell ref="B213:C213"/>
    <mergeCell ref="D213:D216"/>
    <mergeCell ref="B214:C214"/>
    <mergeCell ref="B215:C215"/>
    <mergeCell ref="F226:F227"/>
    <mergeCell ref="G226:G227"/>
    <mergeCell ref="H226:H227"/>
    <mergeCell ref="I226:BG226"/>
    <mergeCell ref="B228:C228"/>
    <mergeCell ref="D228:D229"/>
    <mergeCell ref="B229:C229"/>
    <mergeCell ref="B221:C221"/>
    <mergeCell ref="B222:C222"/>
    <mergeCell ref="B223:C223"/>
    <mergeCell ref="B224:C224"/>
    <mergeCell ref="B226:C227"/>
    <mergeCell ref="E226:E227"/>
    <mergeCell ref="B231:C232"/>
    <mergeCell ref="I231:BG231"/>
    <mergeCell ref="B233:C233"/>
    <mergeCell ref="D233:D238"/>
    <mergeCell ref="B234:C234"/>
    <mergeCell ref="B235:C235"/>
    <mergeCell ref="B236:C236"/>
    <mergeCell ref="B237:C237"/>
    <mergeCell ref="B238:C238"/>
    <mergeCell ref="B245:C245"/>
    <mergeCell ref="B246:C246"/>
    <mergeCell ref="B247:C247"/>
    <mergeCell ref="B248:C248"/>
    <mergeCell ref="B249:C249"/>
    <mergeCell ref="B239:C239"/>
    <mergeCell ref="B240:C240"/>
    <mergeCell ref="B241:C241"/>
    <mergeCell ref="B242:C242"/>
    <mergeCell ref="B243:C243"/>
    <mergeCell ref="B244:C244"/>
  </mergeCells>
  <conditionalFormatting sqref="BH182:BI184 BH185:DG187 BH188:BI188 I230:BG230 BH157:DG157 BH158:BI168 BH170:BI170 BH169:DG169 BH173:BI177 BH178:DG179 BH181:DG181 K157:BG170 K181:BG190 K173:BG179">
    <cfRule type="cellIs" dxfId="55" priority="37" operator="between">
      <formula>$K$11</formula>
      <formula>$K$12</formula>
    </cfRule>
  </conditionalFormatting>
  <conditionalFormatting sqref="I209:BG212">
    <cfRule type="cellIs" dxfId="54" priority="36" operator="between">
      <formula>$K$11</formula>
      <formula>$K$12</formula>
    </cfRule>
  </conditionalFormatting>
  <conditionalFormatting sqref="I213:BG216">
    <cfRule type="cellIs" dxfId="53" priority="35" operator="between">
      <formula>$K$11</formula>
      <formula>$K$12</formula>
    </cfRule>
  </conditionalFormatting>
  <conditionalFormatting sqref="I217:BG220">
    <cfRule type="cellIs" dxfId="52" priority="34" operator="between">
      <formula>$K$11</formula>
      <formula>$K$12</formula>
    </cfRule>
  </conditionalFormatting>
  <conditionalFormatting sqref="I221:BG225">
    <cfRule type="cellIs" dxfId="51" priority="33" operator="between">
      <formula>$K$11</formula>
      <formula>$K$12</formula>
    </cfRule>
  </conditionalFormatting>
  <conditionalFormatting sqref="K149:BI152">
    <cfRule type="cellIs" dxfId="50" priority="32" operator="between">
      <formula>$K$11</formula>
      <formula>$K$12</formula>
    </cfRule>
  </conditionalFormatting>
  <conditionalFormatting sqref="K145:BI148">
    <cfRule type="cellIs" dxfId="49" priority="31" operator="between">
      <formula>$K$11</formula>
      <formula>$K$12</formula>
    </cfRule>
  </conditionalFormatting>
  <conditionalFormatting sqref="K141:BI144">
    <cfRule type="cellIs" dxfId="48" priority="30" operator="between">
      <formula>$K$11</formula>
      <formula>$K$12</formula>
    </cfRule>
  </conditionalFormatting>
  <conditionalFormatting sqref="K153:BI156">
    <cfRule type="cellIs" dxfId="47" priority="29" operator="between">
      <formula>$K$11</formula>
      <formula>$K$12</formula>
    </cfRule>
  </conditionalFormatting>
  <conditionalFormatting sqref="I233:DG249">
    <cfRule type="cellIs" dxfId="46" priority="28" operator="between">
      <formula>$K$11</formula>
      <formula>$K$12</formula>
    </cfRule>
  </conditionalFormatting>
  <conditionalFormatting sqref="I228:DG229">
    <cfRule type="cellIs" dxfId="45" priority="27" operator="between">
      <formula>$K$11</formula>
      <formula>$K$12</formula>
    </cfRule>
  </conditionalFormatting>
  <conditionalFormatting sqref="I194:BG197">
    <cfRule type="cellIs" dxfId="44" priority="26" operator="between">
      <formula>$K$11</formula>
      <formula>$K$12</formula>
    </cfRule>
  </conditionalFormatting>
  <conditionalFormatting sqref="I198:BG201">
    <cfRule type="cellIs" dxfId="43" priority="25" operator="between">
      <formula>$K$11</formula>
      <formula>$K$12</formula>
    </cfRule>
  </conditionalFormatting>
  <conditionalFormatting sqref="I202:BG205">
    <cfRule type="cellIs" dxfId="42" priority="24" operator="between">
      <formula>$K$11</formula>
      <formula>$K$12</formula>
    </cfRule>
  </conditionalFormatting>
  <conditionalFormatting sqref="K180:DG180">
    <cfRule type="cellIs" dxfId="41" priority="23" operator="between">
      <formula>$K$11</formula>
      <formula>$K$12</formula>
    </cfRule>
  </conditionalFormatting>
  <conditionalFormatting sqref="BH189:DG190">
    <cfRule type="cellIs" dxfId="40" priority="22" operator="between">
      <formula>$K$11</formula>
      <formula>$K$12</formula>
    </cfRule>
  </conditionalFormatting>
  <conditionalFormatting sqref="K171:DG172">
    <cfRule type="cellIs" dxfId="39" priority="21" operator="between">
      <formula>$K$11</formula>
      <formula>$K$12</formula>
    </cfRule>
  </conditionalFormatting>
  <conditionalFormatting sqref="K165:V181">
    <cfRule type="expression" dxfId="38" priority="38">
      <formula>$U$21&gt;$C$15</formula>
    </cfRule>
  </conditionalFormatting>
  <conditionalFormatting sqref="W165:AF172">
    <cfRule type="expression" dxfId="37" priority="39">
      <formula>$V$21&gt;$C$15</formula>
    </cfRule>
  </conditionalFormatting>
  <conditionalFormatting sqref="AG165:AP172">
    <cfRule type="expression" dxfId="36" priority="40">
      <formula>$W$21&gt;$C$15</formula>
    </cfRule>
  </conditionalFormatting>
  <conditionalFormatting sqref="AQ165:AZ172">
    <cfRule type="expression" dxfId="35" priority="41">
      <formula>$X$21&gt;$C$15</formula>
    </cfRule>
  </conditionalFormatting>
  <conditionalFormatting sqref="BA165:BG172">
    <cfRule type="expression" dxfId="34" priority="42">
      <formula>$Y$21&gt;$C$15</formula>
    </cfRule>
  </conditionalFormatting>
  <conditionalFormatting sqref="W173:AF181">
    <cfRule type="expression" dxfId="33" priority="43">
      <formula>$V$22&gt;$C$15</formula>
    </cfRule>
  </conditionalFormatting>
  <conditionalFormatting sqref="AG173:AP181">
    <cfRule type="expression" dxfId="32" priority="44">
      <formula>$W$22&gt;$C$15</formula>
    </cfRule>
  </conditionalFormatting>
  <conditionalFormatting sqref="AQ173:AZ181">
    <cfRule type="expression" dxfId="31" priority="45">
      <formula>$X$22&gt;$C$15</formula>
    </cfRule>
  </conditionalFormatting>
  <conditionalFormatting sqref="BA173:BG181">
    <cfRule type="expression" dxfId="30" priority="46">
      <formula>$Y$22&gt;$C$15</formula>
    </cfRule>
  </conditionalFormatting>
  <conditionalFormatting sqref="W182:AF190">
    <cfRule type="expression" dxfId="29" priority="47">
      <formula>$V$23&gt;$C$15</formula>
    </cfRule>
  </conditionalFormatting>
  <conditionalFormatting sqref="AG182:AP190">
    <cfRule type="expression" dxfId="28" priority="48">
      <formula>$W$23&gt;$C$15</formula>
    </cfRule>
  </conditionalFormatting>
  <conditionalFormatting sqref="AQ182:AZ190">
    <cfRule type="expression" dxfId="27" priority="49">
      <formula>$X$23&gt;$C$15</formula>
    </cfRule>
  </conditionalFormatting>
  <conditionalFormatting sqref="BA182:BG190">
    <cfRule type="expression" dxfId="26" priority="50">
      <formula>$Y$23&gt;$C$15</formula>
    </cfRule>
  </conditionalFormatting>
  <conditionalFormatting sqref="K157:V164">
    <cfRule type="expression" dxfId="25" priority="51">
      <formula>$U$20&gt;$C$15</formula>
    </cfRule>
  </conditionalFormatting>
  <conditionalFormatting sqref="W157:AF164">
    <cfRule type="expression" dxfId="24" priority="52">
      <formula>$V$20&gt;$C$15</formula>
    </cfRule>
  </conditionalFormatting>
  <conditionalFormatting sqref="AG157:AP164">
    <cfRule type="expression" dxfId="23" priority="53">
      <formula>$W$20&gt;$C$15</formula>
    </cfRule>
  </conditionalFormatting>
  <conditionalFormatting sqref="AQ157:AZ164">
    <cfRule type="expression" dxfId="22" priority="54">
      <formula>$X$20&gt;$C$15</formula>
    </cfRule>
  </conditionalFormatting>
  <conditionalFormatting sqref="BA157:BG164">
    <cfRule type="expression" dxfId="21" priority="55">
      <formula>$Y$20&gt;$C$15</formula>
    </cfRule>
  </conditionalFormatting>
  <conditionalFormatting sqref="K182:V190">
    <cfRule type="expression" dxfId="20" priority="56">
      <formula>$U$23&gt;$C$15</formula>
    </cfRule>
  </conditionalFormatting>
  <conditionalFormatting sqref="U20">
    <cfRule type="expression" dxfId="19" priority="20">
      <formula>$U$20&gt;$C$15</formula>
    </cfRule>
  </conditionalFormatting>
  <conditionalFormatting sqref="V20">
    <cfRule type="expression" dxfId="18" priority="19">
      <formula>$V$20&gt;$C$15</formula>
    </cfRule>
  </conditionalFormatting>
  <conditionalFormatting sqref="W20">
    <cfRule type="expression" dxfId="17" priority="18">
      <formula>$W$20&gt;$C$15</formula>
    </cfRule>
  </conditionalFormatting>
  <conditionalFormatting sqref="X20">
    <cfRule type="expression" dxfId="16" priority="17">
      <formula>$X$20&gt;$C$15</formula>
    </cfRule>
  </conditionalFormatting>
  <conditionalFormatting sqref="Y20">
    <cfRule type="expression" dxfId="15" priority="16">
      <formula>$Y$20&gt;$C$15</formula>
    </cfRule>
  </conditionalFormatting>
  <conditionalFormatting sqref="U21">
    <cfRule type="expression" dxfId="14" priority="15">
      <formula>$U$21&gt;$C$15</formula>
    </cfRule>
  </conditionalFormatting>
  <conditionalFormatting sqref="V21">
    <cfRule type="expression" dxfId="13" priority="14">
      <formula>$V$21&gt;$C$15</formula>
    </cfRule>
  </conditionalFormatting>
  <conditionalFormatting sqref="W21">
    <cfRule type="expression" dxfId="12" priority="13">
      <formula>$W$21&gt;$C$15</formula>
    </cfRule>
  </conditionalFormatting>
  <conditionalFormatting sqref="X21">
    <cfRule type="expression" dxfId="11" priority="12">
      <formula>$X$21&gt;$C$15</formula>
    </cfRule>
  </conditionalFormatting>
  <conditionalFormatting sqref="Y21">
    <cfRule type="expression" dxfId="10" priority="11">
      <formula>$Y$21&gt;$C$15</formula>
    </cfRule>
  </conditionalFormatting>
  <conditionalFormatting sqref="U22">
    <cfRule type="expression" dxfId="9" priority="10">
      <formula>$U$22&gt;$C$15</formula>
    </cfRule>
  </conditionalFormatting>
  <conditionalFormatting sqref="V22">
    <cfRule type="expression" dxfId="8" priority="9">
      <formula>$V$22&gt;$C$15</formula>
    </cfRule>
  </conditionalFormatting>
  <conditionalFormatting sqref="W22">
    <cfRule type="expression" dxfId="7" priority="8">
      <formula>$W$22&gt;$C$15</formula>
    </cfRule>
  </conditionalFormatting>
  <conditionalFormatting sqref="X22">
    <cfRule type="expression" dxfId="6" priority="7">
      <formula>$X$22&gt;$C$15</formula>
    </cfRule>
  </conditionalFormatting>
  <conditionalFormatting sqref="Y22">
    <cfRule type="expression" dxfId="5" priority="6">
      <formula>$Y$22&gt;$C$15</formula>
    </cfRule>
  </conditionalFormatting>
  <conditionalFormatting sqref="U23">
    <cfRule type="expression" dxfId="4" priority="5">
      <formula>$U$23&gt;$C$15</formula>
    </cfRule>
  </conditionalFormatting>
  <conditionalFormatting sqref="V23">
    <cfRule type="expression" dxfId="3" priority="4">
      <formula>$V$23&gt;$C$15</formula>
    </cfRule>
  </conditionalFormatting>
  <conditionalFormatting sqref="W23">
    <cfRule type="expression" dxfId="2" priority="3">
      <formula>$W$23&gt;$C$15</formula>
    </cfRule>
  </conditionalFormatting>
  <conditionalFormatting sqref="X23">
    <cfRule type="expression" dxfId="1" priority="2">
      <formula>$X$23&gt;$C$15</formula>
    </cfRule>
  </conditionalFormatting>
  <conditionalFormatting sqref="Y23">
    <cfRule type="expression" dxfId="0" priority="1">
      <formula>$Y$23&gt;$C$15</formula>
    </cfRule>
  </conditionalFormatting>
  <dataValidations count="1">
    <dataValidation type="list" allowBlank="1" showInputMessage="1" showErrorMessage="1" sqref="C13 E13:H14" xr:uid="{BECF5278-0BA9-4276-B3A1-D6C99695A72E}">
      <formula1>$AG$27:$AJ$27</formula1>
    </dataValidation>
  </dataValidations>
  <hyperlinks>
    <hyperlink ref="A1:J1" location="Главная!A1" display="Вернуться на главную страницу" xr:uid="{29904952-57E4-4CC9-A09E-DD2A1E00C6CA}"/>
    <hyperlink ref="B141:C144" location="'65 ВЕНТ 24В'!R1C1" display="ВКВ.065.260.ХХХ.2ТГ" xr:uid="{F1E4062D-A397-4BA0-A6A7-30198A4B85FB}"/>
    <hyperlink ref="B145:C148" location="'70 ВЕНТ 24В'!R1C1" display="ВКВ.070.260.ХХХ.2ТГ" xr:uid="{7AD827B4-A282-459D-89DD-2246A4F5B59F}"/>
    <hyperlink ref="B149:C152" location="'75 ВЕНТ 24В'!R1C1" display="ВКВ.075.260.ХХХ.2ТГ" xr:uid="{E1CBF07A-D0A9-451E-B66F-CC5575CE6ACE}"/>
    <hyperlink ref="B153:C156" location="'80 ВЕНТ 24В'!R1C1" display="ВКВ.080.260.ХХХ.2ТГ" xr:uid="{526B20CB-122E-44AD-97E7-4BC02143376E}"/>
    <hyperlink ref="B166:C170" location="'110 ВЕНТ 24В'!R1C1" display="ВКВ.110.200.ХХХ.2ТГ" xr:uid="{BB670E25-0833-4DF6-9C4D-F08F03B0452C}"/>
    <hyperlink ref="B182:C188" location="'150 ВЕНТ 24В'!R1C1" display="ВКВ.150.160.ХХХ.2ТВ" xr:uid="{86765CE4-9171-46BF-83C5-A797C937188F}"/>
    <hyperlink ref="B213:C216" location="'ВКВ.МАХ.110 ВЕНТ'!R1C1" display="ВКВ.МАХ.110.260.ХХХ.2ТГ" xr:uid="{A8301C1F-7F67-4D4F-BEB1-5826CEA9B847}"/>
    <hyperlink ref="B217:C220" location="'ВКВ.МАХ.150 ВЕНТ'!R1C1" display="ВКВ.МАХ.150.200.ХХХ.2ТГ" xr:uid="{E187DC79-44EC-42EB-8E87-9A311CC55036}"/>
    <hyperlink ref="B233:C233" location="ВКВ.ЭКО.75!R1C1" display="ВКВ.ЭКОНОМ.075.260.ХХХ.2ТГ" xr:uid="{7D072E08-C84A-4F28-A1C3-BD0ADC13A830}"/>
    <hyperlink ref="B238:C238" location="ВКВ.ЭКО.90!R1C1" display="ВКВ.ЭКОНОМ.090.260.ХХХ.2ТГ" xr:uid="{0B4FCA2F-D761-4B8C-A68C-D8D18E49C22D}"/>
    <hyperlink ref="B228:C229" location="ВКВТХ!R1C1" display="ВКВТХ.130.260.ХХХ.4ТК" xr:uid="{FCC4A70E-BFBD-4698-B8FF-06BA4C920206}"/>
    <hyperlink ref="B194:C197" location="'90 ВЕНТ.МАХ 24В'!A1" display="ВКВ.МАХ.090.260.ХХХ.2ТГ" xr:uid="{02C499D6-ABDF-4BE5-BB8C-ED3EE46BA659}"/>
    <hyperlink ref="B198:C201" location="'110 ВЕНТ.МАХ 24В'!A1" display="ВКВ.МАХ.110.260.ХХХ.2ТГ" xr:uid="{C19B091A-CEE4-4D42-9EDB-819A5787BE03}"/>
    <hyperlink ref="B202:C205" location="'150 ВЕНТ.МАХ 24В'!A1" display="ВКВ.МАХ.150.200.ХХХ.2ТГ" xr:uid="{2B2D5EE3-5DBC-4F89-83FC-DE4B21F0FB2E}"/>
    <hyperlink ref="B209:C212" location="'ВКВ.МАХ.90 ВЕНТ'!R1C1" display="ВКВ.МАХ.090.260.ХХХ.2ТГ" xr:uid="{FDB0F353-CBD2-42EE-B7F8-9F8ED83CC395}"/>
    <hyperlink ref="B190:C190" location="'150 ВЕНТ 24В'!R1C1" display="ВКВ.150.160.ХХХ.2ТВ" xr:uid="{859A4BEC-EA29-40D7-8E04-3F194F0F319E}"/>
    <hyperlink ref="B171:C171" location="'110 ВЕНТ 24В'!R1C1" display="ВКВ.110.200.ХХХ.2ТГ" xr:uid="{3A2972A8-3F34-425E-B612-5C6620CACFC1}"/>
    <hyperlink ref="B187:C187" location="'150 ВЕНТ 24В'!R1C1" display="ВКВ.150.160.ХХХ.2ТВ" xr:uid="{FD270B95-1742-452C-B9FB-4F1627F55E8F}"/>
    <hyperlink ref="B189:C189" location="'150 ВЕНТ 24В'!R1C1" display="ВКВ.150.160.ХХХ.2ТВ" xr:uid="{2CE2153B-03C8-4067-9B65-4C05BC981EF1}"/>
    <hyperlink ref="B165:C165" location="'110 ВЕНТ 24В'!R1C1" display="ВКВ.110.200.ХХХ.2ТГ" xr:uid="{76BA1F63-6406-4FE5-A088-64B7835C62EB}"/>
    <hyperlink ref="B169:C169" location="'110 ВЕНТ 24В'!R1C1" display="ВКВ.110.200.ХХХ.2ТГ" xr:uid="{889A5C3D-3065-4E2B-8E24-C7F5A03370A6}"/>
    <hyperlink ref="B172:C172" location="'110 ВЕНТ 24В'!R1C1" display="ВКВ.110.200.ХХХ.2ТГ" xr:uid="{560B8A7B-5CA3-4654-9B98-CE9B6FA12C37}"/>
    <hyperlink ref="B186:C186" location="'150 ВЕНТ 24В'!R1C1" display="ВКВ.150.160.ХХХ.2ТВ" xr:uid="{00F6E956-2531-4559-AEBE-1245B0F3D989}"/>
    <hyperlink ref="B157:C164" location="'90'!R1C1" display="ВК.090.160.ХХХ.2ТГ" xr:uid="{24F2B4BD-4399-48DB-948F-2B13467A7A5F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10">
    <tabColor rgb="FF3366FF"/>
  </sheetPr>
  <dimension ref="A1:U105"/>
  <sheetViews>
    <sheetView zoomScale="70" zoomScaleNormal="70" workbookViewId="0">
      <pane ySplit="6" topLeftCell="A7" activePane="bottomLeft" state="frozen"/>
      <selection pane="bottomLeft"/>
    </sheetView>
  </sheetViews>
  <sheetFormatPr defaultRowHeight="15"/>
  <cols>
    <col min="1" max="1" width="5.5703125" style="74" customWidth="1"/>
    <col min="2" max="2" width="6" style="74" customWidth="1"/>
    <col min="3" max="3" width="3" style="74" customWidth="1"/>
    <col min="4" max="4" width="6" style="74" customWidth="1"/>
    <col min="5" max="5" width="3" style="74" customWidth="1"/>
    <col min="6" max="6" width="7.7109375" style="74" customWidth="1"/>
    <col min="7" max="7" width="3" style="74" customWidth="1"/>
    <col min="8" max="8" width="6" style="74" customWidth="1"/>
    <col min="9" max="9" width="8.140625" style="74" customWidth="1"/>
    <col min="10" max="12" width="11.28515625" style="74" customWidth="1"/>
    <col min="13" max="13" width="15.5703125" style="74" customWidth="1"/>
    <col min="14" max="14" width="19.140625" style="74" customWidth="1"/>
    <col min="15" max="16" width="27.7109375" style="74" customWidth="1"/>
    <col min="17" max="17" width="26.28515625" style="74" customWidth="1"/>
    <col min="18" max="19" width="27.7109375" style="74" customWidth="1"/>
    <col min="20" max="20" width="9.140625" style="74"/>
    <col min="21" max="21" width="27.140625" style="74" customWidth="1"/>
    <col min="22" max="16384" width="9.140625" style="74"/>
  </cols>
  <sheetData>
    <row r="1" spans="1:21" ht="16.5" customHeight="1">
      <c r="A1" s="1217" t="s">
        <v>9</v>
      </c>
      <c r="B1" s="1217"/>
      <c r="C1" s="1217"/>
      <c r="D1" s="1217"/>
      <c r="E1" s="1217"/>
      <c r="F1" s="97"/>
      <c r="G1" s="1217"/>
      <c r="H1" s="1217"/>
      <c r="I1" s="1217"/>
      <c r="J1" s="7"/>
      <c r="K1" s="96"/>
      <c r="L1" s="96"/>
      <c r="M1" s="175"/>
      <c r="N1" s="7"/>
      <c r="O1" s="117"/>
      <c r="P1" s="117"/>
      <c r="Q1" s="117"/>
      <c r="R1" s="117"/>
      <c r="S1" s="117"/>
    </row>
    <row r="2" spans="1:21" ht="16.5" customHeight="1">
      <c r="A2" s="956" t="s">
        <v>377</v>
      </c>
      <c r="B2" s="1217"/>
      <c r="C2" s="1217"/>
      <c r="D2" s="1217"/>
      <c r="E2" s="1217"/>
      <c r="F2" s="97"/>
      <c r="G2" s="1217"/>
      <c r="H2" s="1217"/>
      <c r="I2" s="1217"/>
      <c r="J2" s="7"/>
      <c r="K2" s="96"/>
      <c r="L2" s="96"/>
      <c r="M2" s="175"/>
      <c r="N2" s="7"/>
      <c r="O2" s="117"/>
      <c r="P2" s="117"/>
      <c r="Q2" s="117"/>
      <c r="R2" s="117"/>
      <c r="S2" s="117"/>
    </row>
    <row r="3" spans="1:21" ht="13.5" customHeight="1" thickBot="1">
      <c r="B3" s="16"/>
      <c r="C3" s="16"/>
      <c r="D3" s="16"/>
      <c r="E3" s="16"/>
      <c r="F3" s="109"/>
      <c r="G3" s="16"/>
      <c r="H3" s="16"/>
      <c r="I3" s="1251"/>
      <c r="J3" s="16"/>
      <c r="K3" s="108"/>
      <c r="L3" s="108"/>
      <c r="M3" s="175"/>
      <c r="N3" s="7"/>
      <c r="O3" s="116"/>
      <c r="P3" s="116"/>
      <c r="Q3" s="117"/>
      <c r="R3" s="117"/>
      <c r="S3" s="117"/>
    </row>
    <row r="4" spans="1:21" ht="69" customHeight="1">
      <c r="A4" s="2598" t="s">
        <v>8</v>
      </c>
      <c r="B4" s="2599"/>
      <c r="C4" s="2599"/>
      <c r="D4" s="2599"/>
      <c r="E4" s="2599"/>
      <c r="F4" s="2599"/>
      <c r="G4" s="2599"/>
      <c r="H4" s="2599"/>
      <c r="I4" s="2600"/>
      <c r="J4" s="2607" t="s">
        <v>97</v>
      </c>
      <c r="K4" s="2608"/>
      <c r="L4" s="2608"/>
      <c r="M4" s="2609"/>
      <c r="N4" s="2613" t="s">
        <v>96</v>
      </c>
      <c r="O4" s="2586" t="s">
        <v>172</v>
      </c>
      <c r="P4" s="2617" t="s">
        <v>183</v>
      </c>
      <c r="Q4" s="2586" t="s">
        <v>151</v>
      </c>
      <c r="R4" s="2588" t="s">
        <v>5815</v>
      </c>
      <c r="S4" s="2590" t="s">
        <v>5816</v>
      </c>
    </row>
    <row r="5" spans="1:21" ht="72" customHeight="1" thickBot="1">
      <c r="A5" s="2601"/>
      <c r="B5" s="2602"/>
      <c r="C5" s="2602"/>
      <c r="D5" s="2602"/>
      <c r="E5" s="2602"/>
      <c r="F5" s="2602"/>
      <c r="G5" s="2602"/>
      <c r="H5" s="2602"/>
      <c r="I5" s="2603"/>
      <c r="J5" s="2610"/>
      <c r="K5" s="2611"/>
      <c r="L5" s="2611"/>
      <c r="M5" s="2612"/>
      <c r="N5" s="2614"/>
      <c r="O5" s="2616"/>
      <c r="P5" s="2618"/>
      <c r="Q5" s="2587"/>
      <c r="R5" s="2589"/>
      <c r="S5" s="2591"/>
    </row>
    <row r="6" spans="1:21" ht="61.5" customHeight="1" thickBot="1">
      <c r="A6" s="2604"/>
      <c r="B6" s="2605"/>
      <c r="C6" s="2605"/>
      <c r="D6" s="2605"/>
      <c r="E6" s="2605"/>
      <c r="F6" s="2605"/>
      <c r="G6" s="2605"/>
      <c r="H6" s="2605"/>
      <c r="I6" s="2606"/>
      <c r="J6" s="287" t="s">
        <v>0</v>
      </c>
      <c r="K6" s="295" t="s">
        <v>1</v>
      </c>
      <c r="L6" s="295" t="s">
        <v>2</v>
      </c>
      <c r="M6" s="258" t="s">
        <v>94</v>
      </c>
      <c r="N6" s="2615"/>
      <c r="O6" s="2592" t="s">
        <v>169</v>
      </c>
      <c r="P6" s="2593"/>
      <c r="Q6" s="2593"/>
      <c r="R6" s="2593"/>
      <c r="S6" s="2594"/>
    </row>
    <row r="7" spans="1:21" ht="30" customHeight="1" thickBot="1">
      <c r="A7" s="2595" t="s">
        <v>159</v>
      </c>
      <c r="B7" s="2596"/>
      <c r="C7" s="2596"/>
      <c r="D7" s="2596"/>
      <c r="E7" s="2596"/>
      <c r="F7" s="2596"/>
      <c r="G7" s="2596"/>
      <c r="H7" s="2596"/>
      <c r="I7" s="2596"/>
      <c r="J7" s="2596"/>
      <c r="K7" s="2596"/>
      <c r="L7" s="2596"/>
      <c r="M7" s="2596"/>
      <c r="N7" s="2596"/>
      <c r="O7" s="2596"/>
      <c r="P7" s="2596"/>
      <c r="Q7" s="2596"/>
      <c r="R7" s="2596"/>
      <c r="S7" s="2597"/>
    </row>
    <row r="8" spans="1:21" ht="22.5" customHeight="1" thickBot="1">
      <c r="A8" s="2580" t="s">
        <v>515</v>
      </c>
      <c r="B8" s="2581"/>
      <c r="C8" s="2581"/>
      <c r="D8" s="2581"/>
      <c r="E8" s="2581"/>
      <c r="F8" s="2581"/>
      <c r="G8" s="2581"/>
      <c r="H8" s="2581"/>
      <c r="I8" s="2581"/>
      <c r="J8" s="2581"/>
      <c r="K8" s="2581"/>
      <c r="L8" s="2581"/>
      <c r="M8" s="2581"/>
      <c r="N8" s="2581"/>
      <c r="O8" s="2581"/>
      <c r="P8" s="2581"/>
      <c r="Q8" s="2581"/>
      <c r="R8" s="2581"/>
      <c r="S8" s="2582"/>
    </row>
    <row r="9" spans="1:21" ht="16.5" customHeight="1" thickBot="1">
      <c r="A9" s="2583" t="s">
        <v>134</v>
      </c>
      <c r="B9" s="2584"/>
      <c r="C9" s="2584"/>
      <c r="D9" s="2584"/>
      <c r="E9" s="2584"/>
      <c r="F9" s="2584"/>
      <c r="G9" s="2584"/>
      <c r="H9" s="2584"/>
      <c r="I9" s="2584"/>
      <c r="J9" s="2584"/>
      <c r="K9" s="2584"/>
      <c r="L9" s="2584"/>
      <c r="M9" s="2584"/>
      <c r="N9" s="2584"/>
      <c r="O9" s="2584"/>
      <c r="P9" s="2584"/>
      <c r="Q9" s="2584"/>
      <c r="R9" s="2584"/>
      <c r="S9" s="2585"/>
    </row>
    <row r="10" spans="1:21" ht="16.5" customHeight="1" thickBot="1">
      <c r="A10" s="259" t="s">
        <v>10</v>
      </c>
      <c r="B10" s="263">
        <f t="shared" ref="B10:B56" si="0">J10</f>
        <v>65</v>
      </c>
      <c r="C10" s="263" t="s">
        <v>3</v>
      </c>
      <c r="D10" s="263">
        <f t="shared" ref="D10:D56" si="1">K10</f>
        <v>260</v>
      </c>
      <c r="E10" s="263" t="s">
        <v>3</v>
      </c>
      <c r="F10" s="261">
        <f t="shared" ref="F10:F56" si="2">L10</f>
        <v>700</v>
      </c>
      <c r="G10" s="263" t="s">
        <v>3</v>
      </c>
      <c r="H10" s="260">
        <v>2</v>
      </c>
      <c r="I10" s="262" t="s">
        <v>581</v>
      </c>
      <c r="J10" s="112">
        <v>65</v>
      </c>
      <c r="K10" s="75">
        <v>260</v>
      </c>
      <c r="L10" s="75">
        <v>700</v>
      </c>
      <c r="M10" s="202">
        <v>6.4063739953846426</v>
      </c>
      <c r="N10" s="87">
        <v>706.26612420000004</v>
      </c>
      <c r="O10" s="123">
        <v>25660.88457853784</v>
      </c>
      <c r="P10" s="123">
        <v>27292.430486212535</v>
      </c>
      <c r="Q10" s="120">
        <v>6115.6082962285891</v>
      </c>
      <c r="R10" s="123">
        <v>31776.492874766431</v>
      </c>
      <c r="S10" s="123">
        <v>33408.038782441123</v>
      </c>
      <c r="U10" s="7" t="s">
        <v>5839</v>
      </c>
    </row>
    <row r="11" spans="1:21" ht="16.5" customHeight="1" thickBot="1">
      <c r="A11" s="259" t="s">
        <v>10</v>
      </c>
      <c r="B11" s="263">
        <f t="shared" si="0"/>
        <v>65</v>
      </c>
      <c r="C11" s="263" t="s">
        <v>3</v>
      </c>
      <c r="D11" s="263">
        <f t="shared" si="1"/>
        <v>260</v>
      </c>
      <c r="E11" s="263" t="s">
        <v>3</v>
      </c>
      <c r="F11" s="261">
        <f t="shared" si="2"/>
        <v>750</v>
      </c>
      <c r="G11" s="263" t="s">
        <v>3</v>
      </c>
      <c r="H11" s="260">
        <v>2</v>
      </c>
      <c r="I11" s="262" t="s">
        <v>581</v>
      </c>
      <c r="J11" s="112">
        <v>65</v>
      </c>
      <c r="K11" s="75">
        <v>260</v>
      </c>
      <c r="L11" s="75">
        <v>750</v>
      </c>
      <c r="M11" s="202">
        <v>6.9149796352235704</v>
      </c>
      <c r="N11" s="87">
        <v>807.16128479999998</v>
      </c>
      <c r="O11" s="123">
        <v>27188.198487780042</v>
      </c>
      <c r="P11" s="123">
        <v>28890.004408150569</v>
      </c>
      <c r="Q11" s="120">
        <v>6547.7107065443497</v>
      </c>
      <c r="R11" s="123">
        <v>33735.909194324391</v>
      </c>
      <c r="S11" s="123">
        <v>35437.715114694918</v>
      </c>
      <c r="U11" s="7" t="s">
        <v>5840</v>
      </c>
    </row>
    <row r="12" spans="1:21" ht="16.5" customHeight="1" thickBot="1">
      <c r="A12" s="259" t="s">
        <v>10</v>
      </c>
      <c r="B12" s="263">
        <f t="shared" si="0"/>
        <v>65</v>
      </c>
      <c r="C12" s="263" t="s">
        <v>3</v>
      </c>
      <c r="D12" s="263">
        <f t="shared" si="1"/>
        <v>260</v>
      </c>
      <c r="E12" s="263" t="s">
        <v>3</v>
      </c>
      <c r="F12" s="261">
        <f t="shared" si="2"/>
        <v>800</v>
      </c>
      <c r="G12" s="263" t="s">
        <v>3</v>
      </c>
      <c r="H12" s="260">
        <v>2</v>
      </c>
      <c r="I12" s="262" t="s">
        <v>581</v>
      </c>
      <c r="J12" s="112">
        <v>65</v>
      </c>
      <c r="K12" s="75">
        <v>260</v>
      </c>
      <c r="L12" s="75">
        <v>800</v>
      </c>
      <c r="M12" s="202">
        <v>7.3045852750625002</v>
      </c>
      <c r="N12" s="87">
        <v>908.05644540000003</v>
      </c>
      <c r="O12" s="123">
        <v>28715.512277687896</v>
      </c>
      <c r="P12" s="123">
        <v>30487.578449422952</v>
      </c>
      <c r="Q12" s="120">
        <v>6979.8129764667756</v>
      </c>
      <c r="R12" s="123">
        <v>35695.325254154668</v>
      </c>
      <c r="S12" s="123">
        <v>37467.391425889728</v>
      </c>
      <c r="U12" s="7" t="s">
        <v>5841</v>
      </c>
    </row>
    <row r="13" spans="1:21" ht="16.5" customHeight="1" thickBot="1">
      <c r="A13" s="259" t="s">
        <v>10</v>
      </c>
      <c r="B13" s="263">
        <f t="shared" si="0"/>
        <v>65</v>
      </c>
      <c r="C13" s="263" t="s">
        <v>3</v>
      </c>
      <c r="D13" s="263">
        <f t="shared" si="1"/>
        <v>260</v>
      </c>
      <c r="E13" s="263" t="s">
        <v>3</v>
      </c>
      <c r="F13" s="261">
        <f t="shared" si="2"/>
        <v>850</v>
      </c>
      <c r="G13" s="263" t="s">
        <v>3</v>
      </c>
      <c r="H13" s="260">
        <v>2</v>
      </c>
      <c r="I13" s="262" t="s">
        <v>581</v>
      </c>
      <c r="J13" s="112">
        <v>65</v>
      </c>
      <c r="K13" s="75">
        <v>260</v>
      </c>
      <c r="L13" s="75">
        <v>850</v>
      </c>
      <c r="M13" s="202">
        <v>7.6941909149014283</v>
      </c>
      <c r="N13" s="87">
        <v>1008.951606</v>
      </c>
      <c r="O13" s="123">
        <v>30242.826067595743</v>
      </c>
      <c r="P13" s="123">
        <v>32085.152371360986</v>
      </c>
      <c r="Q13" s="120">
        <v>7411.9153867825516</v>
      </c>
      <c r="R13" s="123">
        <v>37654.741454378294</v>
      </c>
      <c r="S13" s="123">
        <v>39497.067758143538</v>
      </c>
      <c r="U13" s="7" t="s">
        <v>5842</v>
      </c>
    </row>
    <row r="14" spans="1:21" ht="16.5" customHeight="1" thickBot="1">
      <c r="A14" s="259" t="s">
        <v>10</v>
      </c>
      <c r="B14" s="263">
        <f t="shared" si="0"/>
        <v>65</v>
      </c>
      <c r="C14" s="263" t="s">
        <v>3</v>
      </c>
      <c r="D14" s="263">
        <f t="shared" si="1"/>
        <v>260</v>
      </c>
      <c r="E14" s="263" t="s">
        <v>3</v>
      </c>
      <c r="F14" s="261">
        <f t="shared" si="2"/>
        <v>900</v>
      </c>
      <c r="G14" s="263" t="s">
        <v>3</v>
      </c>
      <c r="H14" s="260">
        <v>2</v>
      </c>
      <c r="I14" s="262" t="s">
        <v>581</v>
      </c>
      <c r="J14" s="112">
        <v>65</v>
      </c>
      <c r="K14" s="75">
        <v>260</v>
      </c>
      <c r="L14" s="75">
        <v>900</v>
      </c>
      <c r="M14" s="202">
        <v>8.1217965547403583</v>
      </c>
      <c r="N14" s="87">
        <v>1109.8467666000001</v>
      </c>
      <c r="O14" s="123">
        <v>31770.139857503593</v>
      </c>
      <c r="P14" s="123">
        <v>33682.726412633376</v>
      </c>
      <c r="Q14" s="120">
        <v>7844.0177970983268</v>
      </c>
      <c r="R14" s="123">
        <v>39614.157654601921</v>
      </c>
      <c r="S14" s="123">
        <v>41526.744209731703</v>
      </c>
      <c r="U14" s="7" t="s">
        <v>5843</v>
      </c>
    </row>
    <row r="15" spans="1:21" ht="16.5" customHeight="1" thickBot="1">
      <c r="A15" s="259" t="s">
        <v>10</v>
      </c>
      <c r="B15" s="263">
        <f t="shared" si="0"/>
        <v>65</v>
      </c>
      <c r="C15" s="263" t="s">
        <v>3</v>
      </c>
      <c r="D15" s="263">
        <f t="shared" si="1"/>
        <v>260</v>
      </c>
      <c r="E15" s="263" t="s">
        <v>3</v>
      </c>
      <c r="F15" s="261">
        <f t="shared" si="2"/>
        <v>950</v>
      </c>
      <c r="G15" s="263" t="s">
        <v>3</v>
      </c>
      <c r="H15" s="260">
        <v>2</v>
      </c>
      <c r="I15" s="262" t="s">
        <v>581</v>
      </c>
      <c r="J15" s="112">
        <v>65</v>
      </c>
      <c r="K15" s="75">
        <v>260</v>
      </c>
      <c r="L15" s="75">
        <v>950</v>
      </c>
      <c r="M15" s="202">
        <v>8.5804021945792854</v>
      </c>
      <c r="N15" s="87">
        <v>1210.7419272</v>
      </c>
      <c r="O15" s="123">
        <v>33297.453647411443</v>
      </c>
      <c r="P15" s="123">
        <v>35280.30033457141</v>
      </c>
      <c r="Q15" s="120">
        <v>8276.12006702074</v>
      </c>
      <c r="R15" s="123">
        <v>41573.573714432183</v>
      </c>
      <c r="S15" s="123">
        <v>43556.42040159215</v>
      </c>
      <c r="U15" s="7" t="s">
        <v>5844</v>
      </c>
    </row>
    <row r="16" spans="1:21" s="7" customFormat="1" ht="16.5" customHeight="1" thickBot="1">
      <c r="A16" s="259" t="s">
        <v>10</v>
      </c>
      <c r="B16" s="263">
        <f t="shared" si="0"/>
        <v>65</v>
      </c>
      <c r="C16" s="263" t="s">
        <v>3</v>
      </c>
      <c r="D16" s="263">
        <f t="shared" si="1"/>
        <v>260</v>
      </c>
      <c r="E16" s="263" t="s">
        <v>3</v>
      </c>
      <c r="F16" s="261">
        <f t="shared" si="2"/>
        <v>1000</v>
      </c>
      <c r="G16" s="263" t="s">
        <v>3</v>
      </c>
      <c r="H16" s="260">
        <v>2</v>
      </c>
      <c r="I16" s="262" t="s">
        <v>581</v>
      </c>
      <c r="J16" s="112">
        <v>65</v>
      </c>
      <c r="K16" s="75">
        <v>260</v>
      </c>
      <c r="L16" s="75">
        <v>1000</v>
      </c>
      <c r="M16" s="202">
        <v>8.9700078344182153</v>
      </c>
      <c r="N16" s="87">
        <v>1311.6370878</v>
      </c>
      <c r="O16" s="123">
        <v>34729.635399699975</v>
      </c>
      <c r="P16" s="123">
        <v>36788.802733601857</v>
      </c>
      <c r="Q16" s="120">
        <v>8708.2224773365142</v>
      </c>
      <c r="R16" s="123">
        <v>43437.857877036491</v>
      </c>
      <c r="S16" s="123">
        <v>45497.025210938373</v>
      </c>
      <c r="U16" s="7" t="s">
        <v>5845</v>
      </c>
    </row>
    <row r="17" spans="1:21" s="7" customFormat="1" ht="16.5" customHeight="1" thickBot="1">
      <c r="A17" s="259" t="s">
        <v>10</v>
      </c>
      <c r="B17" s="263">
        <f t="shared" si="0"/>
        <v>65</v>
      </c>
      <c r="C17" s="263" t="s">
        <v>3</v>
      </c>
      <c r="D17" s="263">
        <f t="shared" si="1"/>
        <v>260</v>
      </c>
      <c r="E17" s="263" t="s">
        <v>3</v>
      </c>
      <c r="F17" s="261">
        <f t="shared" si="2"/>
        <v>1050</v>
      </c>
      <c r="G17" s="263" t="s">
        <v>3</v>
      </c>
      <c r="H17" s="260">
        <v>2</v>
      </c>
      <c r="I17" s="262" t="s">
        <v>581</v>
      </c>
      <c r="J17" s="112">
        <v>65</v>
      </c>
      <c r="K17" s="75">
        <v>260</v>
      </c>
      <c r="L17" s="75">
        <v>1050</v>
      </c>
      <c r="M17" s="202">
        <v>9.3596134742571415</v>
      </c>
      <c r="N17" s="87">
        <v>1412.5322484000001</v>
      </c>
      <c r="O17" s="123">
        <v>36482.887913204839</v>
      </c>
      <c r="P17" s="123">
        <v>38597.921865531658</v>
      </c>
      <c r="Q17" s="120">
        <v>9140.3247472589264</v>
      </c>
      <c r="R17" s="123">
        <v>45623.212660463767</v>
      </c>
      <c r="S17" s="123">
        <v>47738.246612790586</v>
      </c>
      <c r="U17" s="7" t="s">
        <v>5846</v>
      </c>
    </row>
    <row r="18" spans="1:21" s="7" customFormat="1" ht="16.5" customHeight="1" thickBot="1">
      <c r="A18" s="259" t="s">
        <v>10</v>
      </c>
      <c r="B18" s="260">
        <f t="shared" si="0"/>
        <v>65</v>
      </c>
      <c r="C18" s="260" t="s">
        <v>3</v>
      </c>
      <c r="D18" s="260">
        <f t="shared" si="1"/>
        <v>260</v>
      </c>
      <c r="E18" s="260" t="s">
        <v>3</v>
      </c>
      <c r="F18" s="261">
        <f t="shared" si="2"/>
        <v>1100</v>
      </c>
      <c r="G18" s="260" t="s">
        <v>3</v>
      </c>
      <c r="H18" s="260">
        <v>2</v>
      </c>
      <c r="I18" s="262" t="s">
        <v>581</v>
      </c>
      <c r="J18" s="112">
        <v>65</v>
      </c>
      <c r="K18" s="75">
        <v>260</v>
      </c>
      <c r="L18" s="75">
        <v>1100</v>
      </c>
      <c r="M18" s="202">
        <v>9.7492191140960713</v>
      </c>
      <c r="N18" s="87">
        <v>1513.4274090000001</v>
      </c>
      <c r="O18" s="123">
        <v>38010.201703112689</v>
      </c>
      <c r="P18" s="123">
        <v>40195.495787469685</v>
      </c>
      <c r="Q18" s="120">
        <v>9572.4271575747025</v>
      </c>
      <c r="R18" s="123">
        <v>47582.628860687393</v>
      </c>
      <c r="S18" s="123">
        <v>49767.922945044389</v>
      </c>
      <c r="U18" s="7" t="s">
        <v>5847</v>
      </c>
    </row>
    <row r="19" spans="1:21" s="7" customFormat="1" ht="16.5" customHeight="1" thickBot="1">
      <c r="A19" s="259" t="s">
        <v>10</v>
      </c>
      <c r="B19" s="263">
        <f t="shared" si="0"/>
        <v>65</v>
      </c>
      <c r="C19" s="263" t="s">
        <v>3</v>
      </c>
      <c r="D19" s="263">
        <f t="shared" si="1"/>
        <v>260</v>
      </c>
      <c r="E19" s="263" t="s">
        <v>3</v>
      </c>
      <c r="F19" s="261">
        <f t="shared" si="2"/>
        <v>1150</v>
      </c>
      <c r="G19" s="263" t="s">
        <v>3</v>
      </c>
      <c r="H19" s="260">
        <v>2</v>
      </c>
      <c r="I19" s="262" t="s">
        <v>581</v>
      </c>
      <c r="J19" s="112">
        <v>65</v>
      </c>
      <c r="K19" s="75">
        <v>260</v>
      </c>
      <c r="L19" s="75">
        <v>1150</v>
      </c>
      <c r="M19" s="202">
        <v>10.138824753934999</v>
      </c>
      <c r="N19" s="87">
        <v>1614.3225696</v>
      </c>
      <c r="O19" s="123">
        <v>38782.173040467438</v>
      </c>
      <c r="P19" s="123">
        <v>41085.846927418796</v>
      </c>
      <c r="Q19" s="120">
        <v>10004.529567890477</v>
      </c>
      <c r="R19" s="123">
        <v>48786.702608357911</v>
      </c>
      <c r="S19" s="123">
        <v>51090.376495309276</v>
      </c>
      <c r="U19" s="7" t="s">
        <v>5848</v>
      </c>
    </row>
    <row r="20" spans="1:21" s="7" customFormat="1" ht="16.5" customHeight="1" thickBot="1">
      <c r="A20" s="259" t="s">
        <v>10</v>
      </c>
      <c r="B20" s="263">
        <f t="shared" si="0"/>
        <v>65</v>
      </c>
      <c r="C20" s="263" t="s">
        <v>3</v>
      </c>
      <c r="D20" s="263">
        <f t="shared" si="1"/>
        <v>260</v>
      </c>
      <c r="E20" s="263" t="s">
        <v>3</v>
      </c>
      <c r="F20" s="261">
        <f t="shared" si="2"/>
        <v>1200</v>
      </c>
      <c r="G20" s="263" t="s">
        <v>3</v>
      </c>
      <c r="H20" s="260">
        <v>2</v>
      </c>
      <c r="I20" s="262" t="s">
        <v>581</v>
      </c>
      <c r="J20" s="112">
        <v>65</v>
      </c>
      <c r="K20" s="75">
        <v>260</v>
      </c>
      <c r="L20" s="75">
        <v>1200</v>
      </c>
      <c r="M20" s="202">
        <v>10.743680393773928</v>
      </c>
      <c r="N20" s="87">
        <v>1715.2177301999998</v>
      </c>
      <c r="O20" s="123">
        <v>39589.283214912597</v>
      </c>
      <c r="P20" s="123">
        <v>42009.098430568607</v>
      </c>
      <c r="Q20" s="120">
        <v>10436.631837812891</v>
      </c>
      <c r="R20" s="123">
        <v>50025.91505272549</v>
      </c>
      <c r="S20" s="123">
        <v>52445.7302683815</v>
      </c>
      <c r="U20" s="7" t="s">
        <v>5849</v>
      </c>
    </row>
    <row r="21" spans="1:21" s="7" customFormat="1" ht="16.5" customHeight="1" thickBot="1">
      <c r="A21" s="259" t="s">
        <v>10</v>
      </c>
      <c r="B21" s="263">
        <f t="shared" si="0"/>
        <v>65</v>
      </c>
      <c r="C21" s="263" t="s">
        <v>3</v>
      </c>
      <c r="D21" s="263">
        <f t="shared" si="1"/>
        <v>260</v>
      </c>
      <c r="E21" s="263" t="s">
        <v>3</v>
      </c>
      <c r="F21" s="261">
        <f t="shared" si="2"/>
        <v>1250</v>
      </c>
      <c r="G21" s="263" t="s">
        <v>3</v>
      </c>
      <c r="H21" s="260">
        <v>2</v>
      </c>
      <c r="I21" s="262" t="s">
        <v>581</v>
      </c>
      <c r="J21" s="112">
        <v>65</v>
      </c>
      <c r="K21" s="75">
        <v>260</v>
      </c>
      <c r="L21" s="75">
        <v>1250</v>
      </c>
      <c r="M21" s="202">
        <v>11.133286033612857</v>
      </c>
      <c r="N21" s="87">
        <v>1816.1128908000001</v>
      </c>
      <c r="O21" s="123">
        <v>40360.773515469737</v>
      </c>
      <c r="P21" s="123">
        <v>42898.999202650142</v>
      </c>
      <c r="Q21" s="120">
        <v>10868.734248128665</v>
      </c>
      <c r="R21" s="123">
        <v>51229.507763598405</v>
      </c>
      <c r="S21" s="123">
        <v>53767.733450778804</v>
      </c>
      <c r="U21" s="7" t="s">
        <v>5850</v>
      </c>
    </row>
    <row r="22" spans="1:21" s="7" customFormat="1" ht="16.5" customHeight="1" thickBot="1">
      <c r="A22" s="259" t="s">
        <v>10</v>
      </c>
      <c r="B22" s="263">
        <f t="shared" si="0"/>
        <v>65</v>
      </c>
      <c r="C22" s="263" t="s">
        <v>3</v>
      </c>
      <c r="D22" s="263">
        <f t="shared" si="1"/>
        <v>260</v>
      </c>
      <c r="E22" s="263" t="s">
        <v>3</v>
      </c>
      <c r="F22" s="261">
        <f t="shared" si="2"/>
        <v>1300</v>
      </c>
      <c r="G22" s="263" t="s">
        <v>3</v>
      </c>
      <c r="H22" s="260">
        <v>2</v>
      </c>
      <c r="I22" s="262" t="s">
        <v>581</v>
      </c>
      <c r="J22" s="112">
        <v>65</v>
      </c>
      <c r="K22" s="75">
        <v>260</v>
      </c>
      <c r="L22" s="75">
        <v>1300</v>
      </c>
      <c r="M22" s="202">
        <v>11.584891673451786</v>
      </c>
      <c r="N22" s="87">
        <v>1917.0080513999999</v>
      </c>
      <c r="O22" s="123">
        <v>43584.647406699296</v>
      </c>
      <c r="P22" s="123">
        <v>46085.052575093498</v>
      </c>
      <c r="Q22" s="120">
        <v>11300.836518051077</v>
      </c>
      <c r="R22" s="123">
        <v>54885.48392475037</v>
      </c>
      <c r="S22" s="123">
        <v>57385.889093144579</v>
      </c>
      <c r="U22" s="7" t="s">
        <v>5851</v>
      </c>
    </row>
    <row r="23" spans="1:21" s="7" customFormat="1" ht="16.5" customHeight="1" thickBot="1">
      <c r="A23" s="259" t="s">
        <v>10</v>
      </c>
      <c r="B23" s="263">
        <f t="shared" si="0"/>
        <v>65</v>
      </c>
      <c r="C23" s="263" t="s">
        <v>3</v>
      </c>
      <c r="D23" s="263">
        <f t="shared" si="1"/>
        <v>260</v>
      </c>
      <c r="E23" s="263" t="s">
        <v>3</v>
      </c>
      <c r="F23" s="261">
        <f t="shared" si="2"/>
        <v>1350</v>
      </c>
      <c r="G23" s="263" t="s">
        <v>3</v>
      </c>
      <c r="H23" s="260">
        <v>2</v>
      </c>
      <c r="I23" s="262" t="s">
        <v>581</v>
      </c>
      <c r="J23" s="112">
        <v>65</v>
      </c>
      <c r="K23" s="75">
        <v>260</v>
      </c>
      <c r="L23" s="75">
        <v>1350</v>
      </c>
      <c r="M23" s="202">
        <v>11.974497313290714</v>
      </c>
      <c r="N23" s="87">
        <v>2017.9032119999999</v>
      </c>
      <c r="O23" s="123">
        <v>44605.834111540767</v>
      </c>
      <c r="P23" s="123">
        <v>47208.742720190028</v>
      </c>
      <c r="Q23" s="120">
        <v>11732.938928366853</v>
      </c>
      <c r="R23" s="123">
        <v>56338.773039907624</v>
      </c>
      <c r="S23" s="123">
        <v>58941.681648556885</v>
      </c>
      <c r="U23" s="7" t="s">
        <v>5852</v>
      </c>
    </row>
    <row r="24" spans="1:21" s="7" customFormat="1" ht="16.5" customHeight="1" thickBot="1">
      <c r="A24" s="259" t="s">
        <v>10</v>
      </c>
      <c r="B24" s="263">
        <f t="shared" si="0"/>
        <v>65</v>
      </c>
      <c r="C24" s="263" t="s">
        <v>3</v>
      </c>
      <c r="D24" s="263">
        <f t="shared" si="1"/>
        <v>260</v>
      </c>
      <c r="E24" s="263" t="s">
        <v>3</v>
      </c>
      <c r="F24" s="261">
        <f t="shared" si="2"/>
        <v>1400</v>
      </c>
      <c r="G24" s="263" t="s">
        <v>3</v>
      </c>
      <c r="H24" s="260">
        <v>2</v>
      </c>
      <c r="I24" s="262" t="s">
        <v>581</v>
      </c>
      <c r="J24" s="112">
        <v>65</v>
      </c>
      <c r="K24" s="75">
        <v>260</v>
      </c>
      <c r="L24" s="75">
        <v>1400</v>
      </c>
      <c r="M24" s="202">
        <v>12.364102953129642</v>
      </c>
      <c r="N24" s="87">
        <v>2118.7983726000002</v>
      </c>
      <c r="O24" s="123">
        <v>45954.037292657791</v>
      </c>
      <c r="P24" s="123">
        <v>48638.616426658067</v>
      </c>
      <c r="Q24" s="120">
        <v>12165.041338682626</v>
      </c>
      <c r="R24" s="123">
        <v>58119.078631340417</v>
      </c>
      <c r="S24" s="123">
        <v>60803.657765340693</v>
      </c>
      <c r="U24" s="7" t="s">
        <v>5853</v>
      </c>
    </row>
    <row r="25" spans="1:21" s="7" customFormat="1" ht="16.5" customHeight="1" thickBot="1">
      <c r="A25" s="259" t="s">
        <v>10</v>
      </c>
      <c r="B25" s="263">
        <f t="shared" si="0"/>
        <v>65</v>
      </c>
      <c r="C25" s="263" t="s">
        <v>3</v>
      </c>
      <c r="D25" s="263">
        <f t="shared" si="1"/>
        <v>260</v>
      </c>
      <c r="E25" s="263" t="s">
        <v>3</v>
      </c>
      <c r="F25" s="261">
        <f t="shared" si="2"/>
        <v>1450</v>
      </c>
      <c r="G25" s="263" t="s">
        <v>3</v>
      </c>
      <c r="H25" s="260">
        <v>2</v>
      </c>
      <c r="I25" s="262" t="s">
        <v>581</v>
      </c>
      <c r="J25" s="112">
        <v>65</v>
      </c>
      <c r="K25" s="75">
        <v>260</v>
      </c>
      <c r="L25" s="75">
        <v>1450</v>
      </c>
      <c r="M25" s="202">
        <v>12.753708592968572</v>
      </c>
      <c r="N25" s="87">
        <v>2219.6935332000003</v>
      </c>
      <c r="O25" s="123">
        <v>46975.223997499263</v>
      </c>
      <c r="P25" s="123">
        <v>49762.306571754598</v>
      </c>
      <c r="Q25" s="120">
        <v>12597.14360860504</v>
      </c>
      <c r="R25" s="123">
        <v>59572.367606104301</v>
      </c>
      <c r="S25" s="123">
        <v>62359.450180359636</v>
      </c>
      <c r="U25" s="7" t="s">
        <v>5854</v>
      </c>
    </row>
    <row r="26" spans="1:21" s="7" customFormat="1" ht="16.5" customHeight="1" thickBot="1">
      <c r="A26" s="259" t="s">
        <v>10</v>
      </c>
      <c r="B26" s="263">
        <f t="shared" si="0"/>
        <v>65</v>
      </c>
      <c r="C26" s="263" t="s">
        <v>3</v>
      </c>
      <c r="D26" s="263">
        <f t="shared" si="1"/>
        <v>260</v>
      </c>
      <c r="E26" s="263" t="s">
        <v>3</v>
      </c>
      <c r="F26" s="261">
        <f t="shared" si="2"/>
        <v>1500</v>
      </c>
      <c r="G26" s="263" t="s">
        <v>3</v>
      </c>
      <c r="H26" s="260">
        <v>2</v>
      </c>
      <c r="I26" s="262" t="s">
        <v>581</v>
      </c>
      <c r="J26" s="112">
        <v>65</v>
      </c>
      <c r="K26" s="75">
        <v>260</v>
      </c>
      <c r="L26" s="75">
        <v>1500</v>
      </c>
      <c r="M26" s="202">
        <v>13.710078421607498</v>
      </c>
      <c r="N26" s="87">
        <v>2320.5886937999999</v>
      </c>
      <c r="O26" s="123">
        <v>48455.506923526358</v>
      </c>
      <c r="P26" s="123">
        <v>51423.229137703282</v>
      </c>
      <c r="Q26" s="120">
        <v>13029.246018920816</v>
      </c>
      <c r="R26" s="123">
        <v>61484.752942447172</v>
      </c>
      <c r="S26" s="123">
        <v>64452.475156624096</v>
      </c>
      <c r="U26" s="7" t="s">
        <v>5855</v>
      </c>
    </row>
    <row r="27" spans="1:21" s="7" customFormat="1" ht="16.5" customHeight="1" thickBot="1">
      <c r="A27" s="259" t="s">
        <v>10</v>
      </c>
      <c r="B27" s="263">
        <f t="shared" si="0"/>
        <v>65</v>
      </c>
      <c r="C27" s="263" t="s">
        <v>3</v>
      </c>
      <c r="D27" s="263">
        <f t="shared" si="1"/>
        <v>260</v>
      </c>
      <c r="E27" s="263" t="s">
        <v>3</v>
      </c>
      <c r="F27" s="261">
        <f t="shared" si="2"/>
        <v>1550</v>
      </c>
      <c r="G27" s="263" t="s">
        <v>3</v>
      </c>
      <c r="H27" s="260">
        <v>2</v>
      </c>
      <c r="I27" s="262" t="s">
        <v>581</v>
      </c>
      <c r="J27" s="112">
        <v>65</v>
      </c>
      <c r="K27" s="75">
        <v>260</v>
      </c>
      <c r="L27" s="75">
        <v>1550</v>
      </c>
      <c r="M27" s="202">
        <v>14.168684061446427</v>
      </c>
      <c r="N27" s="87">
        <v>2421.4838543999999</v>
      </c>
      <c r="O27" s="123">
        <v>49476.693628367953</v>
      </c>
      <c r="P27" s="123">
        <v>52546.919163465449</v>
      </c>
      <c r="Q27" s="120">
        <v>13461.348288843226</v>
      </c>
      <c r="R27" s="123">
        <v>62938.04191721118</v>
      </c>
      <c r="S27" s="123">
        <v>66008.267452308675</v>
      </c>
      <c r="U27" s="7" t="s">
        <v>5856</v>
      </c>
    </row>
    <row r="28" spans="1:21" s="7" customFormat="1" ht="16.5" customHeight="1" thickBot="1">
      <c r="A28" s="259" t="s">
        <v>10</v>
      </c>
      <c r="B28" s="260">
        <f t="shared" si="0"/>
        <v>65</v>
      </c>
      <c r="C28" s="260" t="s">
        <v>3</v>
      </c>
      <c r="D28" s="260">
        <f t="shared" si="1"/>
        <v>260</v>
      </c>
      <c r="E28" s="260" t="s">
        <v>3</v>
      </c>
      <c r="F28" s="261">
        <f t="shared" si="2"/>
        <v>1600</v>
      </c>
      <c r="G28" s="260" t="s">
        <v>3</v>
      </c>
      <c r="H28" s="260">
        <v>2</v>
      </c>
      <c r="I28" s="262" t="s">
        <v>581</v>
      </c>
      <c r="J28" s="112">
        <v>65</v>
      </c>
      <c r="K28" s="75">
        <v>260</v>
      </c>
      <c r="L28" s="75">
        <v>1600</v>
      </c>
      <c r="M28" s="202">
        <v>14.558289701285355</v>
      </c>
      <c r="N28" s="87">
        <v>2522.379015</v>
      </c>
      <c r="O28" s="123">
        <v>52443.921678967759</v>
      </c>
      <c r="P28" s="123">
        <v>55492.676695685768</v>
      </c>
      <c r="Q28" s="120">
        <v>13893.450699159002</v>
      </c>
      <c r="R28" s="123">
        <v>66337.372378126762</v>
      </c>
      <c r="S28" s="123">
        <v>69386.127394844778</v>
      </c>
      <c r="U28" s="7" t="s">
        <v>5857</v>
      </c>
    </row>
    <row r="29" spans="1:21" s="7" customFormat="1" ht="16.5" customHeight="1" thickBot="1">
      <c r="A29" s="259" t="s">
        <v>10</v>
      </c>
      <c r="B29" s="263">
        <f t="shared" si="0"/>
        <v>65</v>
      </c>
      <c r="C29" s="263" t="s">
        <v>3</v>
      </c>
      <c r="D29" s="263">
        <f t="shared" si="1"/>
        <v>260</v>
      </c>
      <c r="E29" s="263" t="s">
        <v>3</v>
      </c>
      <c r="F29" s="261">
        <f t="shared" si="2"/>
        <v>1650</v>
      </c>
      <c r="G29" s="263" t="s">
        <v>3</v>
      </c>
      <c r="H29" s="260">
        <v>2</v>
      </c>
      <c r="I29" s="262" t="s">
        <v>581</v>
      </c>
      <c r="J29" s="112">
        <v>65</v>
      </c>
      <c r="K29" s="75">
        <v>260</v>
      </c>
      <c r="L29" s="75">
        <v>1650</v>
      </c>
      <c r="M29" s="202">
        <v>14.985895341124285</v>
      </c>
      <c r="N29" s="87">
        <v>2623.2741756</v>
      </c>
      <c r="O29" s="123">
        <v>55663.40991320186</v>
      </c>
      <c r="P29" s="123">
        <v>58674.623772866042</v>
      </c>
      <c r="Q29" s="120">
        <v>14325.553109474778</v>
      </c>
      <c r="R29" s="123">
        <v>69988.963022676646</v>
      </c>
      <c r="S29" s="123">
        <v>73000.17688234082</v>
      </c>
      <c r="U29" s="7" t="s">
        <v>5858</v>
      </c>
    </row>
    <row r="30" spans="1:21" s="7" customFormat="1" ht="16.5" customHeight="1" thickBot="1">
      <c r="A30" s="259" t="s">
        <v>10</v>
      </c>
      <c r="B30" s="263">
        <f t="shared" si="0"/>
        <v>65</v>
      </c>
      <c r="C30" s="263" t="s">
        <v>3</v>
      </c>
      <c r="D30" s="263">
        <f t="shared" si="1"/>
        <v>260</v>
      </c>
      <c r="E30" s="263" t="s">
        <v>3</v>
      </c>
      <c r="F30" s="261">
        <f t="shared" si="2"/>
        <v>1700</v>
      </c>
      <c r="G30" s="263" t="s">
        <v>3</v>
      </c>
      <c r="H30" s="260">
        <v>2</v>
      </c>
      <c r="I30" s="262" t="s">
        <v>581</v>
      </c>
      <c r="J30" s="112">
        <v>65</v>
      </c>
      <c r="K30" s="75">
        <v>260</v>
      </c>
      <c r="L30" s="75">
        <v>1700</v>
      </c>
      <c r="M30" s="202">
        <v>15.375500980963213</v>
      </c>
      <c r="N30" s="87">
        <v>2724.1693362000001</v>
      </c>
      <c r="O30" s="123">
        <v>56479.449161659366</v>
      </c>
      <c r="P30" s="123">
        <v>59606.235483143013</v>
      </c>
      <c r="Q30" s="120">
        <v>14757.655379397189</v>
      </c>
      <c r="R30" s="123">
        <v>71237.104541056557</v>
      </c>
      <c r="S30" s="123">
        <v>74363.890862540196</v>
      </c>
      <c r="U30" s="7" t="s">
        <v>5859</v>
      </c>
    </row>
    <row r="31" spans="1:21" s="7" customFormat="1" ht="16.5" customHeight="1" thickBot="1">
      <c r="A31" s="259" t="s">
        <v>10</v>
      </c>
      <c r="B31" s="263">
        <f t="shared" si="0"/>
        <v>65</v>
      </c>
      <c r="C31" s="263" t="s">
        <v>3</v>
      </c>
      <c r="D31" s="263">
        <f t="shared" si="1"/>
        <v>260</v>
      </c>
      <c r="E31" s="263" t="s">
        <v>3</v>
      </c>
      <c r="F31" s="261">
        <f t="shared" si="2"/>
        <v>1750</v>
      </c>
      <c r="G31" s="263" t="s">
        <v>3</v>
      </c>
      <c r="H31" s="260">
        <v>2</v>
      </c>
      <c r="I31" s="262" t="s">
        <v>581</v>
      </c>
      <c r="J31" s="112">
        <v>65</v>
      </c>
      <c r="K31" s="75">
        <v>260</v>
      </c>
      <c r="L31" s="75">
        <v>1750</v>
      </c>
      <c r="M31" s="202">
        <v>15.76510662080214</v>
      </c>
      <c r="N31" s="87">
        <v>2825.0644968000001</v>
      </c>
      <c r="O31" s="123">
        <v>57219.334592807616</v>
      </c>
      <c r="P31" s="123">
        <v>60466.544914440303</v>
      </c>
      <c r="Q31" s="120">
        <v>15189.757789712965</v>
      </c>
      <c r="R31" s="123">
        <v>72409.092382520583</v>
      </c>
      <c r="S31" s="123">
        <v>75656.302704153262</v>
      </c>
      <c r="U31" s="7" t="s">
        <v>5860</v>
      </c>
    </row>
    <row r="32" spans="1:21" s="7" customFormat="1" ht="16.5" customHeight="1" thickBot="1">
      <c r="A32" s="259" t="s">
        <v>10</v>
      </c>
      <c r="B32" s="263">
        <f t="shared" si="0"/>
        <v>65</v>
      </c>
      <c r="C32" s="263" t="s">
        <v>3</v>
      </c>
      <c r="D32" s="263">
        <f t="shared" si="1"/>
        <v>260</v>
      </c>
      <c r="E32" s="263" t="s">
        <v>3</v>
      </c>
      <c r="F32" s="261">
        <f t="shared" si="2"/>
        <v>1800</v>
      </c>
      <c r="G32" s="263" t="s">
        <v>3</v>
      </c>
      <c r="H32" s="260">
        <v>2</v>
      </c>
      <c r="I32" s="262" t="s">
        <v>581</v>
      </c>
      <c r="J32" s="112">
        <v>65</v>
      </c>
      <c r="K32" s="75">
        <v>260</v>
      </c>
      <c r="L32" s="75">
        <v>1800</v>
      </c>
      <c r="M32" s="202">
        <v>16.223712260641072</v>
      </c>
      <c r="N32" s="87">
        <v>2925.9596573999997</v>
      </c>
      <c r="O32" s="123">
        <v>58036.070515247848</v>
      </c>
      <c r="P32" s="123">
        <v>61398.808786984431</v>
      </c>
      <c r="Q32" s="120">
        <v>15621.860059635379</v>
      </c>
      <c r="R32" s="123">
        <v>73657.930574883227</v>
      </c>
      <c r="S32" s="123">
        <v>77020.66884661981</v>
      </c>
      <c r="U32" s="7" t="s">
        <v>5861</v>
      </c>
    </row>
    <row r="33" spans="1:21" s="7" customFormat="1" ht="16.5" customHeight="1" thickBot="1">
      <c r="A33" s="259" t="s">
        <v>10</v>
      </c>
      <c r="B33" s="263">
        <f t="shared" si="0"/>
        <v>65</v>
      </c>
      <c r="C33" s="263" t="s">
        <v>3</v>
      </c>
      <c r="D33" s="263">
        <f t="shared" si="1"/>
        <v>260</v>
      </c>
      <c r="E33" s="263" t="s">
        <v>3</v>
      </c>
      <c r="F33" s="261">
        <f t="shared" si="2"/>
        <v>1850</v>
      </c>
      <c r="G33" s="263" t="s">
        <v>3</v>
      </c>
      <c r="H33" s="260">
        <v>2</v>
      </c>
      <c r="I33" s="262" t="s">
        <v>581</v>
      </c>
      <c r="J33" s="112">
        <v>65</v>
      </c>
      <c r="K33" s="75">
        <v>260</v>
      </c>
      <c r="L33" s="75">
        <v>1850</v>
      </c>
      <c r="M33" s="202">
        <v>16.67531790048</v>
      </c>
      <c r="N33" s="87">
        <v>3026.8548180000003</v>
      </c>
      <c r="O33" s="123">
        <v>58852.758226607402</v>
      </c>
      <c r="P33" s="123">
        <v>62331.027670475538</v>
      </c>
      <c r="Q33" s="120">
        <v>16053.962469951155</v>
      </c>
      <c r="R33" s="123">
        <v>74906.720696558565</v>
      </c>
      <c r="S33" s="123">
        <v>78384.9901404267</v>
      </c>
      <c r="U33" s="7" t="s">
        <v>5862</v>
      </c>
    </row>
    <row r="34" spans="1:21" s="7" customFormat="1" ht="16.5" customHeight="1" thickBot="1">
      <c r="A34" s="259" t="s">
        <v>10</v>
      </c>
      <c r="B34" s="263">
        <f t="shared" si="0"/>
        <v>65</v>
      </c>
      <c r="C34" s="263" t="s">
        <v>3</v>
      </c>
      <c r="D34" s="263">
        <f t="shared" si="1"/>
        <v>260</v>
      </c>
      <c r="E34" s="263" t="s">
        <v>3</v>
      </c>
      <c r="F34" s="261">
        <f t="shared" si="2"/>
        <v>1900</v>
      </c>
      <c r="G34" s="263" t="s">
        <v>3</v>
      </c>
      <c r="H34" s="260">
        <v>2</v>
      </c>
      <c r="I34" s="262" t="s">
        <v>581</v>
      </c>
      <c r="J34" s="112">
        <v>65</v>
      </c>
      <c r="K34" s="75">
        <v>260</v>
      </c>
      <c r="L34" s="75">
        <v>1900</v>
      </c>
      <c r="M34" s="202">
        <v>17.064923540318929</v>
      </c>
      <c r="N34" s="87">
        <v>3127.7499786000003</v>
      </c>
      <c r="O34" s="123">
        <v>59844.500371925118</v>
      </c>
      <c r="P34" s="123">
        <v>63427.148953489312</v>
      </c>
      <c r="Q34" s="120">
        <v>16486.064880266931</v>
      </c>
      <c r="R34" s="123">
        <v>76330.565252192057</v>
      </c>
      <c r="S34" s="123">
        <v>79913.21383375625</v>
      </c>
      <c r="U34" s="7" t="s">
        <v>5863</v>
      </c>
    </row>
    <row r="35" spans="1:21" s="7" customFormat="1" ht="16.5" customHeight="1" thickBot="1">
      <c r="A35" s="259" t="s">
        <v>10</v>
      </c>
      <c r="B35" s="263">
        <f t="shared" si="0"/>
        <v>65</v>
      </c>
      <c r="C35" s="263" t="s">
        <v>3</v>
      </c>
      <c r="D35" s="263">
        <f t="shared" si="1"/>
        <v>260</v>
      </c>
      <c r="E35" s="263" t="s">
        <v>3</v>
      </c>
      <c r="F35" s="261">
        <f t="shared" si="2"/>
        <v>1950</v>
      </c>
      <c r="G35" s="263" t="s">
        <v>3</v>
      </c>
      <c r="H35" s="260">
        <v>2</v>
      </c>
      <c r="I35" s="262" t="s">
        <v>581</v>
      </c>
      <c r="J35" s="112">
        <v>65</v>
      </c>
      <c r="K35" s="75">
        <v>260</v>
      </c>
      <c r="L35" s="75">
        <v>1950</v>
      </c>
      <c r="M35" s="202">
        <v>17.607779180157859</v>
      </c>
      <c r="N35" s="87">
        <v>3228.6451391999999</v>
      </c>
      <c r="O35" s="123">
        <v>60995.443739727154</v>
      </c>
      <c r="P35" s="123">
        <v>64672.329470559082</v>
      </c>
      <c r="Q35" s="120">
        <v>16918.16715018934</v>
      </c>
      <c r="R35" s="123">
        <v>77913.610889916497</v>
      </c>
      <c r="S35" s="123">
        <v>81590.496620748425</v>
      </c>
      <c r="U35" s="7" t="s">
        <v>5864</v>
      </c>
    </row>
    <row r="36" spans="1:21" s="7" customFormat="1" ht="16.5" customHeight="1" thickBot="1">
      <c r="A36" s="259" t="s">
        <v>10</v>
      </c>
      <c r="B36" s="263">
        <f t="shared" si="0"/>
        <v>65</v>
      </c>
      <c r="C36" s="263" t="s">
        <v>3</v>
      </c>
      <c r="D36" s="263">
        <f t="shared" si="1"/>
        <v>260</v>
      </c>
      <c r="E36" s="263" t="s">
        <v>3</v>
      </c>
      <c r="F36" s="261">
        <f t="shared" si="2"/>
        <v>2000</v>
      </c>
      <c r="G36" s="263" t="s">
        <v>3</v>
      </c>
      <c r="H36" s="260">
        <v>2</v>
      </c>
      <c r="I36" s="262" t="s">
        <v>581</v>
      </c>
      <c r="J36" s="112">
        <v>65</v>
      </c>
      <c r="K36" s="75">
        <v>260</v>
      </c>
      <c r="L36" s="75">
        <v>2000</v>
      </c>
      <c r="M36" s="202">
        <v>18.088947219996786</v>
      </c>
      <c r="N36" s="87">
        <v>3329.5402998</v>
      </c>
      <c r="O36" s="123">
        <v>62018.413299879023</v>
      </c>
      <c r="P36" s="123">
        <v>65987.946018502902</v>
      </c>
      <c r="Q36" s="120">
        <v>17350.269560505116</v>
      </c>
      <c r="R36" s="123">
        <v>79368.682860384142</v>
      </c>
      <c r="S36" s="123">
        <v>83338.215579008014</v>
      </c>
      <c r="U36" s="7" t="s">
        <v>5865</v>
      </c>
    </row>
    <row r="37" spans="1:21" s="7" customFormat="1" ht="16.5" customHeight="1" thickBot="1">
      <c r="A37" s="259" t="s">
        <v>10</v>
      </c>
      <c r="B37" s="263">
        <f t="shared" si="0"/>
        <v>65</v>
      </c>
      <c r="C37" s="263" t="s">
        <v>3</v>
      </c>
      <c r="D37" s="263">
        <f t="shared" si="1"/>
        <v>260</v>
      </c>
      <c r="E37" s="263" t="s">
        <v>3</v>
      </c>
      <c r="F37" s="261">
        <f t="shared" si="2"/>
        <v>2050</v>
      </c>
      <c r="G37" s="263" t="s">
        <v>3</v>
      </c>
      <c r="H37" s="260">
        <v>2</v>
      </c>
      <c r="I37" s="262" t="s">
        <v>581</v>
      </c>
      <c r="J37" s="112">
        <v>65</v>
      </c>
      <c r="K37" s="75">
        <v>260</v>
      </c>
      <c r="L37" s="75">
        <v>2050</v>
      </c>
      <c r="M37" s="202">
        <v>18.478552859835716</v>
      </c>
      <c r="N37" s="87">
        <v>3430.4354603999996</v>
      </c>
      <c r="O37" s="123">
        <v>64979.071397392261</v>
      </c>
      <c r="P37" s="123">
        <v>68927.55198389625</v>
      </c>
      <c r="Q37" s="120">
        <v>17782.371830427528</v>
      </c>
      <c r="R37" s="123">
        <v>82761.443227819793</v>
      </c>
      <c r="S37" s="123">
        <v>86709.923814323774</v>
      </c>
      <c r="U37" s="7" t="s">
        <v>5866</v>
      </c>
    </row>
    <row r="38" spans="1:21" s="7" customFormat="1" ht="16.5" customHeight="1" thickBot="1">
      <c r="A38" s="259" t="s">
        <v>10</v>
      </c>
      <c r="B38" s="260">
        <f t="shared" si="0"/>
        <v>65</v>
      </c>
      <c r="C38" s="260" t="s">
        <v>3</v>
      </c>
      <c r="D38" s="260">
        <f t="shared" si="1"/>
        <v>260</v>
      </c>
      <c r="E38" s="260" t="s">
        <v>3</v>
      </c>
      <c r="F38" s="261">
        <f t="shared" si="2"/>
        <v>2100</v>
      </c>
      <c r="G38" s="260" t="s">
        <v>3</v>
      </c>
      <c r="H38" s="260">
        <v>2</v>
      </c>
      <c r="I38" s="262" t="s">
        <v>581</v>
      </c>
      <c r="J38" s="112">
        <v>65</v>
      </c>
      <c r="K38" s="75">
        <v>260</v>
      </c>
      <c r="L38" s="75">
        <v>2100</v>
      </c>
      <c r="M38" s="202">
        <v>18.868158499674642</v>
      </c>
      <c r="N38" s="87">
        <v>3531.3306210000001</v>
      </c>
      <c r="O38" s="123">
        <v>65857.688986578723</v>
      </c>
      <c r="P38" s="123">
        <v>69917.755432000296</v>
      </c>
      <c r="Q38" s="120">
        <v>18214.474240743304</v>
      </c>
      <c r="R38" s="123">
        <v>84072.163227322031</v>
      </c>
      <c r="S38" s="123">
        <v>88132.229672743604</v>
      </c>
      <c r="U38" s="7" t="s">
        <v>5867</v>
      </c>
    </row>
    <row r="39" spans="1:21" s="7" customFormat="1" ht="16.5" customHeight="1" thickBot="1">
      <c r="A39" s="259" t="s">
        <v>10</v>
      </c>
      <c r="B39" s="263">
        <f t="shared" si="0"/>
        <v>65</v>
      </c>
      <c r="C39" s="263" t="s">
        <v>3</v>
      </c>
      <c r="D39" s="263">
        <f t="shared" si="1"/>
        <v>260</v>
      </c>
      <c r="E39" s="263" t="s">
        <v>3</v>
      </c>
      <c r="F39" s="261">
        <f t="shared" si="2"/>
        <v>2150</v>
      </c>
      <c r="G39" s="263" t="s">
        <v>3</v>
      </c>
      <c r="H39" s="260">
        <v>2</v>
      </c>
      <c r="I39" s="262" t="s">
        <v>581</v>
      </c>
      <c r="J39" s="112">
        <v>65</v>
      </c>
      <c r="K39" s="75">
        <v>260</v>
      </c>
      <c r="L39" s="75">
        <v>2150</v>
      </c>
      <c r="M39" s="202">
        <v>19.381764139513571</v>
      </c>
      <c r="N39" s="87">
        <v>3632.2257816000001</v>
      </c>
      <c r="O39" s="123">
        <v>66883.923892771971</v>
      </c>
      <c r="P39" s="123">
        <v>71046.172172353312</v>
      </c>
      <c r="Q39" s="120">
        <v>18646.576510665716</v>
      </c>
      <c r="R39" s="123">
        <v>85530.500403437691</v>
      </c>
      <c r="S39" s="123">
        <v>89692.748683019032</v>
      </c>
      <c r="U39" s="7" t="s">
        <v>5868</v>
      </c>
    </row>
    <row r="40" spans="1:21" s="7" customFormat="1" ht="16.5" customHeight="1" thickBot="1">
      <c r="A40" s="259" t="s">
        <v>10</v>
      </c>
      <c r="B40" s="263">
        <f t="shared" si="0"/>
        <v>65</v>
      </c>
      <c r="C40" s="263" t="s">
        <v>3</v>
      </c>
      <c r="D40" s="263">
        <f t="shared" si="1"/>
        <v>260</v>
      </c>
      <c r="E40" s="263" t="s">
        <v>3</v>
      </c>
      <c r="F40" s="261">
        <f t="shared" si="2"/>
        <v>2200</v>
      </c>
      <c r="G40" s="263" t="s">
        <v>3</v>
      </c>
      <c r="H40" s="260">
        <v>2</v>
      </c>
      <c r="I40" s="262" t="s">
        <v>581</v>
      </c>
      <c r="J40" s="112">
        <v>65</v>
      </c>
      <c r="K40" s="75">
        <v>260</v>
      </c>
      <c r="L40" s="75">
        <v>2200</v>
      </c>
      <c r="M40" s="202">
        <v>19.771369779352497</v>
      </c>
      <c r="N40" s="87">
        <v>3733.1209421999997</v>
      </c>
      <c r="O40" s="123">
        <v>67910.110707218875</v>
      </c>
      <c r="P40" s="123">
        <v>72174.543804319197</v>
      </c>
      <c r="Q40" s="120">
        <v>19078.678920981492</v>
      </c>
      <c r="R40" s="123">
        <v>86988.789628200364</v>
      </c>
      <c r="S40" s="123">
        <v>91253.222725300686</v>
      </c>
      <c r="U40" s="7" t="s">
        <v>5869</v>
      </c>
    </row>
    <row r="41" spans="1:21" s="7" customFormat="1" ht="16.5" customHeight="1" thickBot="1">
      <c r="A41" s="259" t="s">
        <v>10</v>
      </c>
      <c r="B41" s="263">
        <f t="shared" si="0"/>
        <v>65</v>
      </c>
      <c r="C41" s="263" t="s">
        <v>3</v>
      </c>
      <c r="D41" s="263">
        <f t="shared" si="1"/>
        <v>260</v>
      </c>
      <c r="E41" s="263" t="s">
        <v>3</v>
      </c>
      <c r="F41" s="261">
        <f t="shared" si="2"/>
        <v>2250</v>
      </c>
      <c r="G41" s="263" t="s">
        <v>3</v>
      </c>
      <c r="H41" s="260">
        <v>2</v>
      </c>
      <c r="I41" s="262" t="s">
        <v>581</v>
      </c>
      <c r="J41" s="112">
        <v>65</v>
      </c>
      <c r="K41" s="75">
        <v>260</v>
      </c>
      <c r="L41" s="75">
        <v>2250</v>
      </c>
      <c r="M41" s="202">
        <v>20.160975419191431</v>
      </c>
      <c r="N41" s="87">
        <v>3834.0161027999998</v>
      </c>
      <c r="O41" s="123">
        <v>69255.908704347894</v>
      </c>
      <c r="P41" s="123">
        <v>73602.165552115068</v>
      </c>
      <c r="Q41" s="120">
        <v>19510.781331297265</v>
      </c>
      <c r="R41" s="123">
        <v>88766.690035645152</v>
      </c>
      <c r="S41" s="123">
        <v>93112.94688341234</v>
      </c>
      <c r="U41" s="7" t="s">
        <v>5870</v>
      </c>
    </row>
    <row r="42" spans="1:21" s="7" customFormat="1" ht="16.5" customHeight="1" thickBot="1">
      <c r="A42" s="259" t="s">
        <v>10</v>
      </c>
      <c r="B42" s="263">
        <f t="shared" si="0"/>
        <v>65</v>
      </c>
      <c r="C42" s="263" t="s">
        <v>3</v>
      </c>
      <c r="D42" s="263">
        <f t="shared" si="1"/>
        <v>260</v>
      </c>
      <c r="E42" s="263" t="s">
        <v>3</v>
      </c>
      <c r="F42" s="261">
        <f t="shared" si="2"/>
        <v>2300</v>
      </c>
      <c r="G42" s="263" t="s">
        <v>3</v>
      </c>
      <c r="H42" s="260">
        <v>2</v>
      </c>
      <c r="I42" s="262" t="s">
        <v>581</v>
      </c>
      <c r="J42" s="112">
        <v>65</v>
      </c>
      <c r="K42" s="75">
        <v>260</v>
      </c>
      <c r="L42" s="75">
        <v>2300</v>
      </c>
      <c r="M42" s="202">
        <v>20.55058105903036</v>
      </c>
      <c r="N42" s="87">
        <v>3934.9112634000003</v>
      </c>
      <c r="O42" s="123">
        <v>70039.190074828293</v>
      </c>
      <c r="P42" s="123">
        <v>74503.106184335469</v>
      </c>
      <c r="Q42" s="120">
        <v>19942.883601219681</v>
      </c>
      <c r="R42" s="123">
        <v>89982.073676047978</v>
      </c>
      <c r="S42" s="123">
        <v>94445.989785555154</v>
      </c>
      <c r="U42" s="7" t="s">
        <v>5871</v>
      </c>
    </row>
    <row r="43" spans="1:21" s="7" customFormat="1" ht="16.5" customHeight="1" thickBot="1">
      <c r="A43" s="259" t="s">
        <v>10</v>
      </c>
      <c r="B43" s="263">
        <f t="shared" si="0"/>
        <v>65</v>
      </c>
      <c r="C43" s="263" t="s">
        <v>3</v>
      </c>
      <c r="D43" s="263">
        <f t="shared" si="1"/>
        <v>260</v>
      </c>
      <c r="E43" s="263" t="s">
        <v>3</v>
      </c>
      <c r="F43" s="261">
        <f t="shared" si="2"/>
        <v>2350</v>
      </c>
      <c r="G43" s="263" t="s">
        <v>3</v>
      </c>
      <c r="H43" s="260">
        <v>2</v>
      </c>
      <c r="I43" s="262" t="s">
        <v>581</v>
      </c>
      <c r="J43" s="112">
        <v>65</v>
      </c>
      <c r="K43" s="75">
        <v>260</v>
      </c>
      <c r="L43" s="75">
        <v>2350</v>
      </c>
      <c r="M43" s="202">
        <v>20.940186698869287</v>
      </c>
      <c r="N43" s="87">
        <v>4035.8064239999999</v>
      </c>
      <c r="O43" s="123">
        <v>70822.423353562364</v>
      </c>
      <c r="P43" s="123">
        <v>75404.001827502856</v>
      </c>
      <c r="Q43" s="120">
        <v>20374.986011535453</v>
      </c>
      <c r="R43" s="123">
        <v>91197.409365097817</v>
      </c>
      <c r="S43" s="123">
        <v>95778.987839038309</v>
      </c>
      <c r="U43" s="7" t="s">
        <v>5872</v>
      </c>
    </row>
    <row r="44" spans="1:21" s="7" customFormat="1" ht="16.5" customHeight="1" thickBot="1">
      <c r="A44" s="259" t="s">
        <v>10</v>
      </c>
      <c r="B44" s="263">
        <f t="shared" si="0"/>
        <v>65</v>
      </c>
      <c r="C44" s="263" t="s">
        <v>3</v>
      </c>
      <c r="D44" s="263">
        <f t="shared" si="1"/>
        <v>260</v>
      </c>
      <c r="E44" s="263" t="s">
        <v>3</v>
      </c>
      <c r="F44" s="261">
        <f t="shared" si="2"/>
        <v>2400</v>
      </c>
      <c r="G44" s="263" t="s">
        <v>3</v>
      </c>
      <c r="H44" s="260">
        <v>2</v>
      </c>
      <c r="I44" s="262" t="s">
        <v>581</v>
      </c>
      <c r="J44" s="112">
        <v>65</v>
      </c>
      <c r="K44" s="75">
        <v>260</v>
      </c>
      <c r="L44" s="75">
        <v>2400</v>
      </c>
      <c r="M44" s="202">
        <v>21.329792338708213</v>
      </c>
      <c r="N44" s="87">
        <v>4136.7015845999995</v>
      </c>
      <c r="O44" s="123">
        <v>71605.608540550122</v>
      </c>
      <c r="P44" s="123">
        <v>76304.852481617228</v>
      </c>
      <c r="Q44" s="120">
        <v>20807.088281457865</v>
      </c>
      <c r="R44" s="123">
        <v>92412.696822007987</v>
      </c>
      <c r="S44" s="123">
        <v>97111.940763075094</v>
      </c>
      <c r="U44" s="7" t="s">
        <v>5873</v>
      </c>
    </row>
    <row r="45" spans="1:21" s="7" customFormat="1" ht="16.5" customHeight="1" thickBot="1">
      <c r="A45" s="259" t="s">
        <v>10</v>
      </c>
      <c r="B45" s="263">
        <f t="shared" si="0"/>
        <v>65</v>
      </c>
      <c r="C45" s="263" t="s">
        <v>3</v>
      </c>
      <c r="D45" s="263">
        <f t="shared" si="1"/>
        <v>260</v>
      </c>
      <c r="E45" s="263" t="s">
        <v>3</v>
      </c>
      <c r="F45" s="261">
        <f t="shared" si="2"/>
        <v>2450</v>
      </c>
      <c r="G45" s="263" t="s">
        <v>3</v>
      </c>
      <c r="H45" s="260">
        <v>2</v>
      </c>
      <c r="I45" s="262" t="s">
        <v>581</v>
      </c>
      <c r="J45" s="112">
        <v>65</v>
      </c>
      <c r="K45" s="75">
        <v>260</v>
      </c>
      <c r="L45" s="75">
        <v>2450</v>
      </c>
      <c r="M45" s="202">
        <v>22.40016216734714</v>
      </c>
      <c r="N45" s="87">
        <v>4237.5967452000004</v>
      </c>
      <c r="O45" s="123">
        <v>72847.841856977277</v>
      </c>
      <c r="P45" s="123">
        <v>77742.89068686511</v>
      </c>
      <c r="Q45" s="120">
        <v>21239.190691773641</v>
      </c>
      <c r="R45" s="123">
        <v>94087.032548750925</v>
      </c>
      <c r="S45" s="123">
        <v>98982.081378638744</v>
      </c>
      <c r="U45" s="7" t="s">
        <v>5874</v>
      </c>
    </row>
    <row r="46" spans="1:21" s="7" customFormat="1" ht="16.5" customHeight="1" thickBot="1">
      <c r="A46" s="259" t="s">
        <v>10</v>
      </c>
      <c r="B46" s="263">
        <f t="shared" si="0"/>
        <v>65</v>
      </c>
      <c r="C46" s="263" t="s">
        <v>3</v>
      </c>
      <c r="D46" s="263">
        <f t="shared" si="1"/>
        <v>260</v>
      </c>
      <c r="E46" s="263" t="s">
        <v>3</v>
      </c>
      <c r="F46" s="261">
        <f t="shared" si="2"/>
        <v>2500</v>
      </c>
      <c r="G46" s="263" t="s">
        <v>3</v>
      </c>
      <c r="H46" s="260">
        <v>2</v>
      </c>
      <c r="I46" s="262" t="s">
        <v>581</v>
      </c>
      <c r="J46" s="112">
        <v>65</v>
      </c>
      <c r="K46" s="75">
        <v>260</v>
      </c>
      <c r="L46" s="75">
        <v>2500</v>
      </c>
      <c r="M46" s="202">
        <v>22.806767807186073</v>
      </c>
      <c r="N46" s="87">
        <v>4338.4919058000005</v>
      </c>
      <c r="O46" s="123">
        <v>73630.930860472377</v>
      </c>
      <c r="P46" s="123">
        <v>78643.651243539105</v>
      </c>
      <c r="Q46" s="120">
        <v>21671.293102089418</v>
      </c>
      <c r="R46" s="123">
        <v>95302.223962561795</v>
      </c>
      <c r="S46" s="123">
        <v>100314.94434562852</v>
      </c>
      <c r="U46" s="7" t="s">
        <v>5875</v>
      </c>
    </row>
    <row r="47" spans="1:21" s="7" customFormat="1" ht="16.5" customHeight="1" thickBot="1">
      <c r="A47" s="259" t="s">
        <v>10</v>
      </c>
      <c r="B47" s="263">
        <f t="shared" si="0"/>
        <v>65</v>
      </c>
      <c r="C47" s="263" t="s">
        <v>3</v>
      </c>
      <c r="D47" s="263">
        <f t="shared" si="1"/>
        <v>260</v>
      </c>
      <c r="E47" s="263" t="s">
        <v>3</v>
      </c>
      <c r="F47" s="261">
        <f t="shared" si="2"/>
        <v>2550</v>
      </c>
      <c r="G47" s="263" t="s">
        <v>3</v>
      </c>
      <c r="H47" s="260">
        <v>2</v>
      </c>
      <c r="I47" s="262" t="s">
        <v>581</v>
      </c>
      <c r="J47" s="112">
        <v>65</v>
      </c>
      <c r="K47" s="75">
        <v>260</v>
      </c>
      <c r="L47" s="75">
        <v>2550</v>
      </c>
      <c r="M47" s="202">
        <v>23.196373447025</v>
      </c>
      <c r="N47" s="87">
        <v>4439.3870664000005</v>
      </c>
      <c r="O47" s="123">
        <v>77708.307589880482</v>
      </c>
      <c r="P47" s="123">
        <v>82628.834424562359</v>
      </c>
      <c r="Q47" s="120">
        <v>22103.39537201183</v>
      </c>
      <c r="R47" s="123">
        <v>99811.702961892312</v>
      </c>
      <c r="S47" s="123">
        <v>104732.22979657419</v>
      </c>
      <c r="U47" s="7" t="s">
        <v>5876</v>
      </c>
    </row>
    <row r="48" spans="1:21" ht="16.5" customHeight="1" thickBot="1">
      <c r="A48" s="259" t="s">
        <v>10</v>
      </c>
      <c r="B48" s="260">
        <f t="shared" si="0"/>
        <v>65</v>
      </c>
      <c r="C48" s="260" t="s">
        <v>3</v>
      </c>
      <c r="D48" s="260">
        <f t="shared" si="1"/>
        <v>260</v>
      </c>
      <c r="E48" s="260" t="s">
        <v>3</v>
      </c>
      <c r="F48" s="261">
        <f t="shared" si="2"/>
        <v>2600</v>
      </c>
      <c r="G48" s="260" t="s">
        <v>3</v>
      </c>
      <c r="H48" s="260">
        <v>2</v>
      </c>
      <c r="I48" s="262" t="s">
        <v>581</v>
      </c>
      <c r="J48" s="112">
        <v>65</v>
      </c>
      <c r="K48" s="75">
        <v>260</v>
      </c>
      <c r="L48" s="75">
        <v>2600</v>
      </c>
      <c r="M48" s="202">
        <v>23.585979086863929</v>
      </c>
      <c r="N48" s="87">
        <v>4540.2822269999997</v>
      </c>
      <c r="O48" s="123">
        <v>78761.903955042057</v>
      </c>
      <c r="P48" s="123">
        <v>83782.869506914707</v>
      </c>
      <c r="Q48" s="120">
        <v>22535.497782327606</v>
      </c>
      <c r="R48" s="123">
        <v>101297.40173736966</v>
      </c>
      <c r="S48" s="123">
        <v>106318.36728924231</v>
      </c>
      <c r="U48" s="7" t="s">
        <v>5877</v>
      </c>
    </row>
    <row r="49" spans="1:21" ht="16.5" customHeight="1" thickBot="1">
      <c r="A49" s="259" t="s">
        <v>10</v>
      </c>
      <c r="B49" s="263">
        <f t="shared" si="0"/>
        <v>65</v>
      </c>
      <c r="C49" s="263" t="s">
        <v>3</v>
      </c>
      <c r="D49" s="263">
        <f t="shared" si="1"/>
        <v>260</v>
      </c>
      <c r="E49" s="263" t="s">
        <v>3</v>
      </c>
      <c r="F49" s="261">
        <f t="shared" si="2"/>
        <v>2650</v>
      </c>
      <c r="G49" s="263" t="s">
        <v>3</v>
      </c>
      <c r="H49" s="260">
        <v>2</v>
      </c>
      <c r="I49" s="262" t="s">
        <v>581</v>
      </c>
      <c r="J49" s="112">
        <v>65</v>
      </c>
      <c r="K49" s="75">
        <v>260</v>
      </c>
      <c r="L49" s="75">
        <v>2650</v>
      </c>
      <c r="M49" s="202">
        <v>24.082584726702862</v>
      </c>
      <c r="N49" s="87">
        <v>4641.1773875999997</v>
      </c>
      <c r="O49" s="123">
        <v>79384.880498894185</v>
      </c>
      <c r="P49" s="123">
        <v>84533.717708206474</v>
      </c>
      <c r="Q49" s="120">
        <v>22967.600052250018</v>
      </c>
      <c r="R49" s="123">
        <v>102352.4805511442</v>
      </c>
      <c r="S49" s="123">
        <v>107501.3177604565</v>
      </c>
      <c r="U49" s="7" t="s">
        <v>5878</v>
      </c>
    </row>
    <row r="50" spans="1:21" ht="16.5" customHeight="1" thickBot="1">
      <c r="A50" s="259" t="s">
        <v>10</v>
      </c>
      <c r="B50" s="263">
        <f t="shared" si="0"/>
        <v>65</v>
      </c>
      <c r="C50" s="263" t="s">
        <v>3</v>
      </c>
      <c r="D50" s="263">
        <f t="shared" si="1"/>
        <v>260</v>
      </c>
      <c r="E50" s="263" t="s">
        <v>3</v>
      </c>
      <c r="F50" s="261">
        <f t="shared" si="2"/>
        <v>2700</v>
      </c>
      <c r="G50" s="263" t="s">
        <v>3</v>
      </c>
      <c r="H50" s="260">
        <v>2</v>
      </c>
      <c r="I50" s="262" t="s">
        <v>581</v>
      </c>
      <c r="J50" s="112">
        <v>65</v>
      </c>
      <c r="K50" s="75">
        <v>260</v>
      </c>
      <c r="L50" s="75">
        <v>2700</v>
      </c>
      <c r="M50" s="202">
        <v>24.511440366541791</v>
      </c>
      <c r="N50" s="87">
        <v>4742.0725482000007</v>
      </c>
      <c r="O50" s="123">
        <v>80043.188366156392</v>
      </c>
      <c r="P50" s="123">
        <v>85317.64634824534</v>
      </c>
      <c r="Q50" s="120">
        <v>23399.70246256579</v>
      </c>
      <c r="R50" s="123">
        <v>103442.89082872219</v>
      </c>
      <c r="S50" s="123">
        <v>108717.34881081113</v>
      </c>
      <c r="U50" s="7" t="s">
        <v>5879</v>
      </c>
    </row>
    <row r="51" spans="1:21" ht="16.5" customHeight="1" thickBot="1">
      <c r="A51" s="259" t="s">
        <v>10</v>
      </c>
      <c r="B51" s="263">
        <f t="shared" si="0"/>
        <v>65</v>
      </c>
      <c r="C51" s="263" t="s">
        <v>3</v>
      </c>
      <c r="D51" s="263">
        <f t="shared" si="1"/>
        <v>260</v>
      </c>
      <c r="E51" s="263" t="s">
        <v>3</v>
      </c>
      <c r="F51" s="261">
        <f t="shared" si="2"/>
        <v>2750</v>
      </c>
      <c r="G51" s="263" t="s">
        <v>3</v>
      </c>
      <c r="H51" s="260">
        <v>2</v>
      </c>
      <c r="I51" s="262" t="s">
        <v>581</v>
      </c>
      <c r="J51" s="112">
        <v>65</v>
      </c>
      <c r="K51" s="75">
        <v>260</v>
      </c>
      <c r="L51" s="75">
        <v>2750</v>
      </c>
      <c r="M51" s="202">
        <v>24.901046006380717</v>
      </c>
      <c r="N51" s="87">
        <v>4842.9677087999999</v>
      </c>
      <c r="O51" s="123">
        <v>80747.822785917597</v>
      </c>
      <c r="P51" s="123">
        <v>86144.95040210677</v>
      </c>
      <c r="Q51" s="120">
        <v>23831.804872881567</v>
      </c>
      <c r="R51" s="123">
        <v>104579.62765879916</v>
      </c>
      <c r="S51" s="123">
        <v>109976.75527498833</v>
      </c>
      <c r="U51" s="7" t="s">
        <v>5880</v>
      </c>
    </row>
    <row r="52" spans="1:21" ht="16.5" customHeight="1" thickBot="1">
      <c r="A52" s="259" t="s">
        <v>10</v>
      </c>
      <c r="B52" s="263">
        <f t="shared" si="0"/>
        <v>65</v>
      </c>
      <c r="C52" s="263" t="s">
        <v>3</v>
      </c>
      <c r="D52" s="263">
        <f t="shared" si="1"/>
        <v>260</v>
      </c>
      <c r="E52" s="263" t="s">
        <v>3</v>
      </c>
      <c r="F52" s="261">
        <f t="shared" si="2"/>
        <v>2800</v>
      </c>
      <c r="G52" s="263" t="s">
        <v>3</v>
      </c>
      <c r="H52" s="260">
        <v>2</v>
      </c>
      <c r="I52" s="262" t="s">
        <v>581</v>
      </c>
      <c r="J52" s="112">
        <v>65</v>
      </c>
      <c r="K52" s="75">
        <v>260</v>
      </c>
      <c r="L52" s="75">
        <v>2800</v>
      </c>
      <c r="M52" s="202">
        <v>25.290651646219644</v>
      </c>
      <c r="N52" s="87">
        <v>4943.8628694000008</v>
      </c>
      <c r="O52" s="123">
        <v>81369.564935169285</v>
      </c>
      <c r="P52" s="123">
        <v>86894.642850140081</v>
      </c>
      <c r="Q52" s="120">
        <v>24263.907142803979</v>
      </c>
      <c r="R52" s="123">
        <v>105633.47207797326</v>
      </c>
      <c r="S52" s="123">
        <v>111158.54999294406</v>
      </c>
      <c r="U52" s="7" t="s">
        <v>5881</v>
      </c>
    </row>
    <row r="53" spans="1:21" ht="16.5" customHeight="1" thickBot="1">
      <c r="A53" s="259" t="s">
        <v>10</v>
      </c>
      <c r="B53" s="263">
        <f t="shared" si="0"/>
        <v>65</v>
      </c>
      <c r="C53" s="263" t="s">
        <v>3</v>
      </c>
      <c r="D53" s="263">
        <f t="shared" si="1"/>
        <v>260</v>
      </c>
      <c r="E53" s="263" t="s">
        <v>3</v>
      </c>
      <c r="F53" s="261">
        <f t="shared" si="2"/>
        <v>2850</v>
      </c>
      <c r="G53" s="263" t="s">
        <v>3</v>
      </c>
      <c r="H53" s="260">
        <v>2</v>
      </c>
      <c r="I53" s="262" t="s">
        <v>581</v>
      </c>
      <c r="J53" s="112">
        <v>65</v>
      </c>
      <c r="K53" s="75">
        <v>260</v>
      </c>
      <c r="L53" s="75">
        <v>2850</v>
      </c>
      <c r="M53" s="202">
        <v>25.680257286058573</v>
      </c>
      <c r="N53" s="87">
        <v>5044.75803</v>
      </c>
      <c r="O53" s="123">
        <v>81991.258992674659</v>
      </c>
      <c r="P53" s="123">
        <v>87644.290189786028</v>
      </c>
      <c r="Q53" s="120">
        <v>24696.009553119755</v>
      </c>
      <c r="R53" s="123">
        <v>106687.26854579442</v>
      </c>
      <c r="S53" s="123">
        <v>112340.29974290579</v>
      </c>
      <c r="U53" s="7" t="s">
        <v>5882</v>
      </c>
    </row>
    <row r="54" spans="1:21" ht="16.5" customHeight="1" thickBot="1">
      <c r="A54" s="259" t="s">
        <v>10</v>
      </c>
      <c r="B54" s="263">
        <f t="shared" si="0"/>
        <v>65</v>
      </c>
      <c r="C54" s="263" t="s">
        <v>3</v>
      </c>
      <c r="D54" s="263">
        <f t="shared" si="1"/>
        <v>260</v>
      </c>
      <c r="E54" s="263" t="s">
        <v>3</v>
      </c>
      <c r="F54" s="261">
        <f t="shared" si="2"/>
        <v>2900</v>
      </c>
      <c r="G54" s="263" t="s">
        <v>3</v>
      </c>
      <c r="H54" s="260">
        <v>2</v>
      </c>
      <c r="I54" s="262" t="s">
        <v>581</v>
      </c>
      <c r="J54" s="112">
        <v>65</v>
      </c>
      <c r="K54" s="75">
        <v>260</v>
      </c>
      <c r="L54" s="75">
        <v>2900</v>
      </c>
      <c r="M54" s="202">
        <v>26.245862925897498</v>
      </c>
      <c r="N54" s="87">
        <v>5145.6531905999991</v>
      </c>
      <c r="O54" s="123">
        <v>82612.90495843369</v>
      </c>
      <c r="P54" s="123">
        <v>88393.892540378947</v>
      </c>
      <c r="Q54" s="120">
        <v>25128.111823042171</v>
      </c>
      <c r="R54" s="123">
        <v>107741.01678147586</v>
      </c>
      <c r="S54" s="123">
        <v>113522.00436342112</v>
      </c>
      <c r="U54" s="7" t="s">
        <v>5883</v>
      </c>
    </row>
    <row r="55" spans="1:21" ht="16.5" customHeight="1" thickBot="1">
      <c r="A55" s="259" t="s">
        <v>10</v>
      </c>
      <c r="B55" s="263">
        <f t="shared" si="0"/>
        <v>65</v>
      </c>
      <c r="C55" s="263" t="s">
        <v>3</v>
      </c>
      <c r="D55" s="263">
        <f t="shared" si="1"/>
        <v>260</v>
      </c>
      <c r="E55" s="263" t="s">
        <v>3</v>
      </c>
      <c r="F55" s="261">
        <f t="shared" si="2"/>
        <v>2950</v>
      </c>
      <c r="G55" s="263" t="s">
        <v>3</v>
      </c>
      <c r="H55" s="260">
        <v>2</v>
      </c>
      <c r="I55" s="262" t="s">
        <v>581</v>
      </c>
      <c r="J55" s="112">
        <v>65</v>
      </c>
      <c r="K55" s="75">
        <v>260</v>
      </c>
      <c r="L55" s="75">
        <v>2950</v>
      </c>
      <c r="M55" s="202">
        <v>26.635468565736431</v>
      </c>
      <c r="N55" s="87">
        <v>5246.5483512000001</v>
      </c>
      <c r="O55" s="123">
        <v>83234.502832446407</v>
      </c>
      <c r="P55" s="123">
        <v>89143.449901918881</v>
      </c>
      <c r="Q55" s="120">
        <v>25560.214233357947</v>
      </c>
      <c r="R55" s="123">
        <v>108794.71706580435</v>
      </c>
      <c r="S55" s="123">
        <v>114703.66413527683</v>
      </c>
      <c r="U55" s="7" t="s">
        <v>5884</v>
      </c>
    </row>
    <row r="56" spans="1:21" ht="16.5" customHeight="1" thickBot="1">
      <c r="A56" s="264" t="s">
        <v>10</v>
      </c>
      <c r="B56" s="265">
        <f t="shared" si="0"/>
        <v>65</v>
      </c>
      <c r="C56" s="265" t="s">
        <v>3</v>
      </c>
      <c r="D56" s="265">
        <f t="shared" si="1"/>
        <v>260</v>
      </c>
      <c r="E56" s="265" t="s">
        <v>3</v>
      </c>
      <c r="F56" s="266">
        <f t="shared" si="2"/>
        <v>3000</v>
      </c>
      <c r="G56" s="265" t="s">
        <v>3</v>
      </c>
      <c r="H56" s="267">
        <v>2</v>
      </c>
      <c r="I56" s="262" t="s">
        <v>581</v>
      </c>
      <c r="J56" s="346">
        <v>65</v>
      </c>
      <c r="K56" s="322">
        <v>260</v>
      </c>
      <c r="L56" s="322">
        <v>3000</v>
      </c>
      <c r="M56" s="305">
        <v>27.025074205575358</v>
      </c>
      <c r="N56" s="306">
        <v>5347.4435118000001</v>
      </c>
      <c r="O56" s="307">
        <v>85572.889294160967</v>
      </c>
      <c r="P56" s="307">
        <v>91500.426627945213</v>
      </c>
      <c r="Q56" s="308">
        <v>25992.316643673719</v>
      </c>
      <c r="R56" s="307">
        <v>111565.20593783469</v>
      </c>
      <c r="S56" s="307">
        <v>117492.74327161894</v>
      </c>
      <c r="U56" s="7" t="s">
        <v>5885</v>
      </c>
    </row>
    <row r="57" spans="1:21" ht="22.5" customHeight="1" thickBot="1">
      <c r="A57" s="2580" t="s">
        <v>48</v>
      </c>
      <c r="B57" s="2581"/>
      <c r="C57" s="2581"/>
      <c r="D57" s="2581"/>
      <c r="E57" s="2581"/>
      <c r="F57" s="2581"/>
      <c r="G57" s="2581"/>
      <c r="H57" s="2581"/>
      <c r="I57" s="2581"/>
      <c r="J57" s="2581"/>
      <c r="K57" s="2581"/>
      <c r="L57" s="2581"/>
      <c r="M57" s="2581"/>
      <c r="N57" s="2581"/>
      <c r="O57" s="2581"/>
      <c r="P57" s="2581"/>
      <c r="Q57" s="2581"/>
      <c r="R57" s="2581"/>
      <c r="S57" s="2582"/>
      <c r="U57" s="7"/>
    </row>
    <row r="58" spans="1:21" ht="16.5" thickBot="1">
      <c r="A58" s="2583" t="s">
        <v>134</v>
      </c>
      <c r="B58" s="2584"/>
      <c r="C58" s="2584"/>
      <c r="D58" s="2584"/>
      <c r="E58" s="2584"/>
      <c r="F58" s="2584"/>
      <c r="G58" s="2584"/>
      <c r="H58" s="2584"/>
      <c r="I58" s="2584"/>
      <c r="J58" s="2584"/>
      <c r="K58" s="2584"/>
      <c r="L58" s="2584"/>
      <c r="M58" s="2584"/>
      <c r="N58" s="2584"/>
      <c r="O58" s="2584"/>
      <c r="P58" s="2584"/>
      <c r="Q58" s="2584"/>
      <c r="R58" s="2584"/>
      <c r="S58" s="2585"/>
      <c r="U58" s="7"/>
    </row>
    <row r="59" spans="1:21" ht="16.5" thickBot="1">
      <c r="A59" s="259" t="s">
        <v>10</v>
      </c>
      <c r="B59" s="260">
        <f t="shared" ref="B59:B105" si="3">J59</f>
        <v>65</v>
      </c>
      <c r="C59" s="260" t="s">
        <v>3</v>
      </c>
      <c r="D59" s="260">
        <f t="shared" ref="D59:D105" si="4">K59</f>
        <v>300</v>
      </c>
      <c r="E59" s="260" t="s">
        <v>3</v>
      </c>
      <c r="F59" s="261">
        <f t="shared" ref="F59:F105" si="5">L59</f>
        <v>700</v>
      </c>
      <c r="G59" s="260" t="s">
        <v>3</v>
      </c>
      <c r="H59" s="260">
        <v>2</v>
      </c>
      <c r="I59" s="262" t="s">
        <v>581</v>
      </c>
      <c r="J59" s="344">
        <v>65</v>
      </c>
      <c r="K59" s="327">
        <v>300</v>
      </c>
      <c r="L59" s="327">
        <v>700</v>
      </c>
      <c r="M59" s="301">
        <v>6.9780320962417859</v>
      </c>
      <c r="N59" s="302">
        <v>782.20871819999991</v>
      </c>
      <c r="O59" s="303">
        <v>26081.15787232912</v>
      </c>
      <c r="P59" s="303">
        <v>28036.969957327659</v>
      </c>
      <c r="Q59" s="304">
        <v>6855.9690431449135</v>
      </c>
      <c r="R59" s="303">
        <v>32937.126915474037</v>
      </c>
      <c r="S59" s="303">
        <v>34892.939000472572</v>
      </c>
      <c r="U59" s="7" t="s">
        <v>5886</v>
      </c>
    </row>
    <row r="60" spans="1:21" ht="16.5" thickBot="1">
      <c r="A60" s="259" t="s">
        <v>10</v>
      </c>
      <c r="B60" s="263">
        <f t="shared" si="3"/>
        <v>65</v>
      </c>
      <c r="C60" s="263" t="s">
        <v>3</v>
      </c>
      <c r="D60" s="263">
        <f t="shared" si="4"/>
        <v>300</v>
      </c>
      <c r="E60" s="263" t="s">
        <v>3</v>
      </c>
      <c r="F60" s="261">
        <f t="shared" si="5"/>
        <v>750</v>
      </c>
      <c r="G60" s="263" t="s">
        <v>3</v>
      </c>
      <c r="H60" s="260">
        <v>2</v>
      </c>
      <c r="I60" s="262" t="s">
        <v>581</v>
      </c>
      <c r="J60" s="112">
        <v>65</v>
      </c>
      <c r="K60" s="75">
        <v>300</v>
      </c>
      <c r="L60" s="75">
        <v>750</v>
      </c>
      <c r="M60" s="202">
        <v>7.5198613146521414</v>
      </c>
      <c r="N60" s="87">
        <v>893.95282080000004</v>
      </c>
      <c r="O60" s="123">
        <v>27623.994794876224</v>
      </c>
      <c r="P60" s="123">
        <v>29667.263928251265</v>
      </c>
      <c r="Q60" s="120">
        <v>7340.2588953492768</v>
      </c>
      <c r="R60" s="123">
        <v>34964.253690225501</v>
      </c>
      <c r="S60" s="123">
        <v>37007.522823600542</v>
      </c>
      <c r="U60" s="7" t="s">
        <v>5887</v>
      </c>
    </row>
    <row r="61" spans="1:21" ht="16.5" thickBot="1">
      <c r="A61" s="259" t="s">
        <v>10</v>
      </c>
      <c r="B61" s="263">
        <f t="shared" si="3"/>
        <v>65</v>
      </c>
      <c r="C61" s="263" t="s">
        <v>3</v>
      </c>
      <c r="D61" s="263">
        <f t="shared" si="4"/>
        <v>300</v>
      </c>
      <c r="E61" s="263" t="s">
        <v>3</v>
      </c>
      <c r="F61" s="261">
        <f t="shared" si="5"/>
        <v>800</v>
      </c>
      <c r="G61" s="263" t="s">
        <v>3</v>
      </c>
      <c r="H61" s="260">
        <v>2</v>
      </c>
      <c r="I61" s="262" t="s">
        <v>581</v>
      </c>
      <c r="J61" s="112">
        <v>65</v>
      </c>
      <c r="K61" s="75">
        <v>300</v>
      </c>
      <c r="L61" s="75">
        <v>800</v>
      </c>
      <c r="M61" s="202">
        <v>7.9426905330624997</v>
      </c>
      <c r="N61" s="87">
        <v>1005.6969234000002</v>
      </c>
      <c r="O61" s="123">
        <v>29166.83183675769</v>
      </c>
      <c r="P61" s="123">
        <v>31297.557899174873</v>
      </c>
      <c r="Q61" s="120">
        <v>7824.5486071602763</v>
      </c>
      <c r="R61" s="123">
        <v>36991.380443917966</v>
      </c>
      <c r="S61" s="123">
        <v>39122.106506335149</v>
      </c>
      <c r="U61" s="7" t="s">
        <v>5888</v>
      </c>
    </row>
    <row r="62" spans="1:21" ht="16.5" thickBot="1">
      <c r="A62" s="259" t="s">
        <v>10</v>
      </c>
      <c r="B62" s="263">
        <f t="shared" si="3"/>
        <v>65</v>
      </c>
      <c r="C62" s="263" t="s">
        <v>3</v>
      </c>
      <c r="D62" s="263">
        <f t="shared" si="4"/>
        <v>300</v>
      </c>
      <c r="E62" s="263" t="s">
        <v>3</v>
      </c>
      <c r="F62" s="261">
        <f t="shared" si="5"/>
        <v>850</v>
      </c>
      <c r="G62" s="263" t="s">
        <v>3</v>
      </c>
      <c r="H62" s="260">
        <v>2</v>
      </c>
      <c r="I62" s="262" t="s">
        <v>581</v>
      </c>
      <c r="J62" s="112">
        <v>65</v>
      </c>
      <c r="K62" s="75">
        <v>300</v>
      </c>
      <c r="L62" s="75">
        <v>850</v>
      </c>
      <c r="M62" s="202">
        <v>8.3655197514728563</v>
      </c>
      <c r="N62" s="87">
        <v>1117.441026</v>
      </c>
      <c r="O62" s="123">
        <v>30709.668878639153</v>
      </c>
      <c r="P62" s="123">
        <v>32927.851870098479</v>
      </c>
      <c r="Q62" s="120">
        <v>8308.8384593646388</v>
      </c>
      <c r="R62" s="123">
        <v>39018.507338003794</v>
      </c>
      <c r="S62" s="123">
        <v>41236.690329463119</v>
      </c>
      <c r="U62" s="7" t="s">
        <v>5889</v>
      </c>
    </row>
    <row r="63" spans="1:21" ht="16.5" thickBot="1">
      <c r="A63" s="259" t="s">
        <v>10</v>
      </c>
      <c r="B63" s="263">
        <f t="shared" si="3"/>
        <v>65</v>
      </c>
      <c r="C63" s="263" t="s">
        <v>3</v>
      </c>
      <c r="D63" s="263">
        <f t="shared" si="4"/>
        <v>300</v>
      </c>
      <c r="E63" s="263" t="s">
        <v>3</v>
      </c>
      <c r="F63" s="261">
        <f t="shared" si="5"/>
        <v>900</v>
      </c>
      <c r="G63" s="263" t="s">
        <v>3</v>
      </c>
      <c r="H63" s="260">
        <v>2</v>
      </c>
      <c r="I63" s="262" t="s">
        <v>581</v>
      </c>
      <c r="J63" s="112">
        <v>65</v>
      </c>
      <c r="K63" s="75">
        <v>300</v>
      </c>
      <c r="L63" s="75">
        <v>900</v>
      </c>
      <c r="M63" s="202">
        <v>8.8263489698832149</v>
      </c>
      <c r="N63" s="87">
        <v>1229.1851286000001</v>
      </c>
      <c r="O63" s="123">
        <v>32252.50580118626</v>
      </c>
      <c r="P63" s="123">
        <v>34558.145721687732</v>
      </c>
      <c r="Q63" s="120">
        <v>8793.1281711756401</v>
      </c>
      <c r="R63" s="123">
        <v>41045.633972361902</v>
      </c>
      <c r="S63" s="123">
        <v>43351.27389286337</v>
      </c>
      <c r="U63" s="7" t="s">
        <v>5890</v>
      </c>
    </row>
    <row r="64" spans="1:21" ht="16.5" thickBot="1">
      <c r="A64" s="259" t="s">
        <v>10</v>
      </c>
      <c r="B64" s="263">
        <f t="shared" si="3"/>
        <v>65</v>
      </c>
      <c r="C64" s="263" t="s">
        <v>3</v>
      </c>
      <c r="D64" s="263">
        <f t="shared" si="4"/>
        <v>300</v>
      </c>
      <c r="E64" s="263" t="s">
        <v>3</v>
      </c>
      <c r="F64" s="261">
        <f t="shared" si="5"/>
        <v>950</v>
      </c>
      <c r="G64" s="263" t="s">
        <v>3</v>
      </c>
      <c r="H64" s="260">
        <v>2</v>
      </c>
      <c r="I64" s="262" t="s">
        <v>581</v>
      </c>
      <c r="J64" s="112">
        <v>65</v>
      </c>
      <c r="K64" s="75">
        <v>300</v>
      </c>
      <c r="L64" s="75">
        <v>950</v>
      </c>
      <c r="M64" s="202">
        <v>9.3181781882935724</v>
      </c>
      <c r="N64" s="87">
        <v>1340.9292312</v>
      </c>
      <c r="O64" s="123">
        <v>33795.342843067723</v>
      </c>
      <c r="P64" s="123">
        <v>36188.43969261134</v>
      </c>
      <c r="Q64" s="120">
        <v>9277.4180233800016</v>
      </c>
      <c r="R64" s="123">
        <v>43072.760866447723</v>
      </c>
      <c r="S64" s="123">
        <v>45465.85771599134</v>
      </c>
      <c r="U64" s="7" t="s">
        <v>5891</v>
      </c>
    </row>
    <row r="65" spans="1:21" ht="16.5" thickBot="1">
      <c r="A65" s="259" t="s">
        <v>10</v>
      </c>
      <c r="B65" s="263">
        <f t="shared" si="3"/>
        <v>65</v>
      </c>
      <c r="C65" s="263" t="s">
        <v>3</v>
      </c>
      <c r="D65" s="263">
        <f t="shared" si="4"/>
        <v>300</v>
      </c>
      <c r="E65" s="263" t="s">
        <v>3</v>
      </c>
      <c r="F65" s="261">
        <f t="shared" si="5"/>
        <v>1000</v>
      </c>
      <c r="G65" s="263" t="s">
        <v>3</v>
      </c>
      <c r="H65" s="260">
        <v>2</v>
      </c>
      <c r="I65" s="262" t="s">
        <v>581</v>
      </c>
      <c r="J65" s="112">
        <v>65</v>
      </c>
      <c r="K65" s="75">
        <v>300</v>
      </c>
      <c r="L65" s="75">
        <v>1000</v>
      </c>
      <c r="M65" s="202">
        <v>9.7410074067039272</v>
      </c>
      <c r="N65" s="87">
        <v>1452.6733338000001</v>
      </c>
      <c r="O65" s="123">
        <v>35243.047727995523</v>
      </c>
      <c r="P65" s="123">
        <v>37729.662021293014</v>
      </c>
      <c r="Q65" s="120">
        <v>9761.7077351910029</v>
      </c>
      <c r="R65" s="123">
        <v>45004.755463186528</v>
      </c>
      <c r="S65" s="123">
        <v>47491.369756484019</v>
      </c>
      <c r="U65" s="7" t="s">
        <v>5892</v>
      </c>
    </row>
    <row r="66" spans="1:21" ht="16.5" thickBot="1">
      <c r="A66" s="259" t="s">
        <v>10</v>
      </c>
      <c r="B66" s="263">
        <f t="shared" si="3"/>
        <v>65</v>
      </c>
      <c r="C66" s="263" t="s">
        <v>3</v>
      </c>
      <c r="D66" s="263">
        <f t="shared" si="4"/>
        <v>300</v>
      </c>
      <c r="E66" s="263" t="s">
        <v>3</v>
      </c>
      <c r="F66" s="261">
        <f t="shared" si="5"/>
        <v>1050</v>
      </c>
      <c r="G66" s="263" t="s">
        <v>3</v>
      </c>
      <c r="H66" s="260">
        <v>2</v>
      </c>
      <c r="I66" s="262" t="s">
        <v>581</v>
      </c>
      <c r="J66" s="112">
        <v>65</v>
      </c>
      <c r="K66" s="75">
        <v>300</v>
      </c>
      <c r="L66" s="75">
        <v>1050</v>
      </c>
      <c r="M66" s="202">
        <v>10.163836625114286</v>
      </c>
      <c r="N66" s="87">
        <v>1564.4174363999998</v>
      </c>
      <c r="O66" s="123">
        <v>37011.823374139647</v>
      </c>
      <c r="P66" s="123">
        <v>39571.501082874034</v>
      </c>
      <c r="Q66" s="120">
        <v>10245.997587395364</v>
      </c>
      <c r="R66" s="123">
        <v>47257.820961535013</v>
      </c>
      <c r="S66" s="123">
        <v>49817.4986702694</v>
      </c>
      <c r="U66" s="7" t="s">
        <v>5893</v>
      </c>
    </row>
    <row r="67" spans="1:21" ht="16.5" thickBot="1">
      <c r="A67" s="259" t="s">
        <v>10</v>
      </c>
      <c r="B67" s="260">
        <f t="shared" si="3"/>
        <v>65</v>
      </c>
      <c r="C67" s="260" t="s">
        <v>3</v>
      </c>
      <c r="D67" s="260">
        <f t="shared" si="4"/>
        <v>300</v>
      </c>
      <c r="E67" s="260" t="s">
        <v>3</v>
      </c>
      <c r="F67" s="261">
        <f t="shared" si="5"/>
        <v>1100</v>
      </c>
      <c r="G67" s="260" t="s">
        <v>3</v>
      </c>
      <c r="H67" s="260">
        <v>2</v>
      </c>
      <c r="I67" s="262" t="s">
        <v>581</v>
      </c>
      <c r="J67" s="112">
        <v>65</v>
      </c>
      <c r="K67" s="75">
        <v>300</v>
      </c>
      <c r="L67" s="75">
        <v>1100</v>
      </c>
      <c r="M67" s="202">
        <v>10.586665843524642</v>
      </c>
      <c r="N67" s="87">
        <v>1676.1615390000002</v>
      </c>
      <c r="O67" s="123">
        <v>38554.660416021114</v>
      </c>
      <c r="P67" s="123">
        <v>41201.79493446328</v>
      </c>
      <c r="Q67" s="120">
        <v>10730.287299206364</v>
      </c>
      <c r="R67" s="123">
        <v>49284.947715227478</v>
      </c>
      <c r="S67" s="123">
        <v>51932.082233669644</v>
      </c>
      <c r="U67" s="7" t="s">
        <v>5894</v>
      </c>
    </row>
    <row r="68" spans="1:21" ht="16.5" thickBot="1">
      <c r="A68" s="259" t="s">
        <v>10</v>
      </c>
      <c r="B68" s="263">
        <f t="shared" si="3"/>
        <v>65</v>
      </c>
      <c r="C68" s="263" t="s">
        <v>3</v>
      </c>
      <c r="D68" s="263">
        <f t="shared" si="4"/>
        <v>300</v>
      </c>
      <c r="E68" s="263" t="s">
        <v>3</v>
      </c>
      <c r="F68" s="261">
        <f t="shared" si="5"/>
        <v>1150</v>
      </c>
      <c r="G68" s="263" t="s">
        <v>3</v>
      </c>
      <c r="H68" s="260">
        <v>2</v>
      </c>
      <c r="I68" s="262" t="s">
        <v>581</v>
      </c>
      <c r="J68" s="112">
        <v>65</v>
      </c>
      <c r="K68" s="75">
        <v>300</v>
      </c>
      <c r="L68" s="75">
        <v>1150</v>
      </c>
      <c r="M68" s="202">
        <v>11.009495061934999</v>
      </c>
      <c r="N68" s="87">
        <v>1787.9056416000001</v>
      </c>
      <c r="O68" s="123">
        <v>39342.154886015116</v>
      </c>
      <c r="P68" s="123">
        <v>42124.866123397966</v>
      </c>
      <c r="Q68" s="120">
        <v>11214.577151410727</v>
      </c>
      <c r="R68" s="123">
        <v>50556.732037425842</v>
      </c>
      <c r="S68" s="123">
        <v>53339.443274808691</v>
      </c>
      <c r="U68" s="7" t="s">
        <v>5895</v>
      </c>
    </row>
    <row r="69" spans="1:21" ht="16.5" thickBot="1">
      <c r="A69" s="259" t="s">
        <v>10</v>
      </c>
      <c r="B69" s="263">
        <f t="shared" si="3"/>
        <v>65</v>
      </c>
      <c r="C69" s="263" t="s">
        <v>3</v>
      </c>
      <c r="D69" s="263">
        <f t="shared" si="4"/>
        <v>300</v>
      </c>
      <c r="E69" s="263" t="s">
        <v>3</v>
      </c>
      <c r="F69" s="261">
        <f t="shared" si="5"/>
        <v>1200</v>
      </c>
      <c r="G69" s="263" t="s">
        <v>3</v>
      </c>
      <c r="H69" s="260">
        <v>2</v>
      </c>
      <c r="I69" s="262" t="s">
        <v>581</v>
      </c>
      <c r="J69" s="112">
        <v>65</v>
      </c>
      <c r="K69" s="75">
        <v>300</v>
      </c>
      <c r="L69" s="75">
        <v>1200</v>
      </c>
      <c r="M69" s="202">
        <v>11.647574280345356</v>
      </c>
      <c r="N69" s="87">
        <v>1899.6497442</v>
      </c>
      <c r="O69" s="123">
        <v>40164.788431768247</v>
      </c>
      <c r="P69" s="123">
        <v>43080.837556198989</v>
      </c>
      <c r="Q69" s="120">
        <v>11698.866863221729</v>
      </c>
      <c r="R69" s="123">
        <v>51863.655294989978</v>
      </c>
      <c r="S69" s="123">
        <v>54779.704419420719</v>
      </c>
      <c r="U69" s="7" t="s">
        <v>5896</v>
      </c>
    </row>
    <row r="70" spans="1:21" ht="16.5" thickBot="1">
      <c r="A70" s="259" t="s">
        <v>10</v>
      </c>
      <c r="B70" s="263">
        <f t="shared" si="3"/>
        <v>65</v>
      </c>
      <c r="C70" s="263" t="s">
        <v>3</v>
      </c>
      <c r="D70" s="263">
        <f t="shared" si="4"/>
        <v>300</v>
      </c>
      <c r="E70" s="263" t="s">
        <v>3</v>
      </c>
      <c r="F70" s="261">
        <f t="shared" si="5"/>
        <v>1250</v>
      </c>
      <c r="G70" s="263" t="s">
        <v>3</v>
      </c>
      <c r="H70" s="260">
        <v>2</v>
      </c>
      <c r="I70" s="262" t="s">
        <v>581</v>
      </c>
      <c r="J70" s="112">
        <v>65</v>
      </c>
      <c r="K70" s="75">
        <v>300</v>
      </c>
      <c r="L70" s="75">
        <v>1250</v>
      </c>
      <c r="M70" s="202">
        <v>12.070403498755713</v>
      </c>
      <c r="N70" s="87">
        <v>2011.3938468000003</v>
      </c>
      <c r="O70" s="123">
        <v>40951.801864964655</v>
      </c>
      <c r="P70" s="123">
        <v>44003.45825793175</v>
      </c>
      <c r="Q70" s="120">
        <v>12183.156715426092</v>
      </c>
      <c r="R70" s="123">
        <v>53134.958580390747</v>
      </c>
      <c r="S70" s="123">
        <v>56186.614973357842</v>
      </c>
      <c r="U70" s="7" t="s">
        <v>5897</v>
      </c>
    </row>
    <row r="71" spans="1:21" ht="16.5" thickBot="1">
      <c r="A71" s="259" t="s">
        <v>10</v>
      </c>
      <c r="B71" s="263">
        <f t="shared" si="3"/>
        <v>65</v>
      </c>
      <c r="C71" s="263" t="s">
        <v>3</v>
      </c>
      <c r="D71" s="263">
        <f t="shared" si="4"/>
        <v>300</v>
      </c>
      <c r="E71" s="263" t="s">
        <v>3</v>
      </c>
      <c r="F71" s="261">
        <f t="shared" si="5"/>
        <v>1300</v>
      </c>
      <c r="G71" s="263" t="s">
        <v>3</v>
      </c>
      <c r="H71" s="260">
        <v>2</v>
      </c>
      <c r="I71" s="262" t="s">
        <v>581</v>
      </c>
      <c r="J71" s="112">
        <v>65</v>
      </c>
      <c r="K71" s="75">
        <v>300</v>
      </c>
      <c r="L71" s="75">
        <v>1300</v>
      </c>
      <c r="M71" s="202">
        <v>12.555232717166069</v>
      </c>
      <c r="N71" s="87">
        <v>2123.1379493999998</v>
      </c>
      <c r="O71" s="123">
        <v>44191.198888833467</v>
      </c>
      <c r="P71" s="123">
        <v>47222.231679360681</v>
      </c>
      <c r="Q71" s="120">
        <v>12667.44642723709</v>
      </c>
      <c r="R71" s="123">
        <v>56858.645316070557</v>
      </c>
      <c r="S71" s="123">
        <v>59889.67810659777</v>
      </c>
      <c r="U71" s="7" t="s">
        <v>5898</v>
      </c>
    </row>
    <row r="72" spans="1:21" ht="16.5" thickBot="1">
      <c r="A72" s="259" t="s">
        <v>10</v>
      </c>
      <c r="B72" s="263">
        <f t="shared" si="3"/>
        <v>65</v>
      </c>
      <c r="C72" s="263" t="s">
        <v>3</v>
      </c>
      <c r="D72" s="263">
        <f t="shared" si="4"/>
        <v>300</v>
      </c>
      <c r="E72" s="263" t="s">
        <v>3</v>
      </c>
      <c r="F72" s="261">
        <f t="shared" si="5"/>
        <v>1350</v>
      </c>
      <c r="G72" s="263" t="s">
        <v>3</v>
      </c>
      <c r="H72" s="260">
        <v>2</v>
      </c>
      <c r="I72" s="262" t="s">
        <v>581</v>
      </c>
      <c r="J72" s="112">
        <v>65</v>
      </c>
      <c r="K72" s="75">
        <v>300</v>
      </c>
      <c r="L72" s="75">
        <v>1350</v>
      </c>
      <c r="M72" s="202">
        <v>12.978061935576427</v>
      </c>
      <c r="N72" s="87">
        <v>2234.8820519999999</v>
      </c>
      <c r="O72" s="123">
        <v>45227.908726314199</v>
      </c>
      <c r="P72" s="123">
        <v>48378.641634774074</v>
      </c>
      <c r="Q72" s="120">
        <v>13151.736279441453</v>
      </c>
      <c r="R72" s="123">
        <v>58379.64500575565</v>
      </c>
      <c r="S72" s="123">
        <v>61530.377914215525</v>
      </c>
      <c r="U72" s="7" t="s">
        <v>5899</v>
      </c>
    </row>
    <row r="73" spans="1:21" ht="16.5" thickBot="1">
      <c r="A73" s="259" t="s">
        <v>10</v>
      </c>
      <c r="B73" s="263">
        <f t="shared" si="3"/>
        <v>65</v>
      </c>
      <c r="C73" s="263" t="s">
        <v>3</v>
      </c>
      <c r="D73" s="263">
        <f t="shared" si="4"/>
        <v>300</v>
      </c>
      <c r="E73" s="263" t="s">
        <v>3</v>
      </c>
      <c r="F73" s="261">
        <f t="shared" si="5"/>
        <v>1400</v>
      </c>
      <c r="G73" s="263" t="s">
        <v>3</v>
      </c>
      <c r="H73" s="260">
        <v>2</v>
      </c>
      <c r="I73" s="262" t="s">
        <v>581</v>
      </c>
      <c r="J73" s="112">
        <v>65</v>
      </c>
      <c r="K73" s="75">
        <v>300</v>
      </c>
      <c r="L73" s="75">
        <v>1400</v>
      </c>
      <c r="M73" s="202">
        <v>13.400891153986786</v>
      </c>
      <c r="N73" s="87">
        <v>2346.6261546000005</v>
      </c>
      <c r="O73" s="123">
        <v>46591.635159404832</v>
      </c>
      <c r="P73" s="123">
        <v>49841.235390227695</v>
      </c>
      <c r="Q73" s="120">
        <v>13636.025991252453</v>
      </c>
      <c r="R73" s="123">
        <v>60227.661150657281</v>
      </c>
      <c r="S73" s="123">
        <v>63477.261381480144</v>
      </c>
      <c r="U73" s="7" t="s">
        <v>5900</v>
      </c>
    </row>
    <row r="74" spans="1:21" ht="16.5" thickBot="1">
      <c r="A74" s="259" t="s">
        <v>10</v>
      </c>
      <c r="B74" s="263">
        <f t="shared" si="3"/>
        <v>65</v>
      </c>
      <c r="C74" s="263" t="s">
        <v>3</v>
      </c>
      <c r="D74" s="263">
        <f t="shared" si="4"/>
        <v>300</v>
      </c>
      <c r="E74" s="263" t="s">
        <v>3</v>
      </c>
      <c r="F74" s="261">
        <f t="shared" si="5"/>
        <v>1450</v>
      </c>
      <c r="G74" s="263" t="s">
        <v>3</v>
      </c>
      <c r="H74" s="260">
        <v>2</v>
      </c>
      <c r="I74" s="262" t="s">
        <v>581</v>
      </c>
      <c r="J74" s="112">
        <v>65</v>
      </c>
      <c r="K74" s="75">
        <v>300</v>
      </c>
      <c r="L74" s="75">
        <v>1450</v>
      </c>
      <c r="M74" s="202">
        <v>13.82372037239714</v>
      </c>
      <c r="N74" s="87">
        <v>2458.3702572000002</v>
      </c>
      <c r="O74" s="123">
        <v>47628.345116219927</v>
      </c>
      <c r="P74" s="123">
        <v>50997.645345641075</v>
      </c>
      <c r="Q74" s="120">
        <v>14120.315843456816</v>
      </c>
      <c r="R74" s="123">
        <v>61748.660959676745</v>
      </c>
      <c r="S74" s="123">
        <v>65117.961189097892</v>
      </c>
      <c r="U74" s="7" t="s">
        <v>5901</v>
      </c>
    </row>
    <row r="75" spans="1:21" ht="16.5" thickBot="1">
      <c r="A75" s="259" t="s">
        <v>10</v>
      </c>
      <c r="B75" s="263">
        <f t="shared" si="3"/>
        <v>65</v>
      </c>
      <c r="C75" s="263" t="s">
        <v>3</v>
      </c>
      <c r="D75" s="263">
        <f t="shared" si="4"/>
        <v>300</v>
      </c>
      <c r="E75" s="263" t="s">
        <v>3</v>
      </c>
      <c r="F75" s="261">
        <f t="shared" si="5"/>
        <v>1500</v>
      </c>
      <c r="G75" s="263" t="s">
        <v>3</v>
      </c>
      <c r="H75" s="260">
        <v>2</v>
      </c>
      <c r="I75" s="262" t="s">
        <v>581</v>
      </c>
      <c r="J75" s="112">
        <v>65</v>
      </c>
      <c r="K75" s="75">
        <v>300</v>
      </c>
      <c r="L75" s="75">
        <v>1500</v>
      </c>
      <c r="M75" s="202">
        <v>14.8341144836075</v>
      </c>
      <c r="N75" s="87">
        <v>2570.1143597999999</v>
      </c>
      <c r="O75" s="123">
        <v>49193.815589800812</v>
      </c>
      <c r="P75" s="123">
        <v>52772.755140180117</v>
      </c>
      <c r="Q75" s="120">
        <v>14604.605555267815</v>
      </c>
      <c r="R75" s="123">
        <v>63798.421145068627</v>
      </c>
      <c r="S75" s="123">
        <v>67377.360695447933</v>
      </c>
      <c r="U75" s="7" t="s">
        <v>5902</v>
      </c>
    </row>
    <row r="76" spans="1:21" ht="16.5" thickBot="1">
      <c r="A76" s="259" t="s">
        <v>10</v>
      </c>
      <c r="B76" s="263">
        <f t="shared" si="3"/>
        <v>65</v>
      </c>
      <c r="C76" s="263" t="s">
        <v>3</v>
      </c>
      <c r="D76" s="263">
        <f t="shared" si="4"/>
        <v>300</v>
      </c>
      <c r="E76" s="263" t="s">
        <v>3</v>
      </c>
      <c r="F76" s="261">
        <f t="shared" si="5"/>
        <v>1550</v>
      </c>
      <c r="G76" s="263" t="s">
        <v>3</v>
      </c>
      <c r="H76" s="260">
        <v>2</v>
      </c>
      <c r="I76" s="262" t="s">
        <v>581</v>
      </c>
      <c r="J76" s="112">
        <v>65</v>
      </c>
      <c r="K76" s="75">
        <v>300</v>
      </c>
      <c r="L76" s="75">
        <v>1550</v>
      </c>
      <c r="M76" s="202">
        <v>15.325943702017856</v>
      </c>
      <c r="N76" s="87">
        <v>2681.8584624</v>
      </c>
      <c r="O76" s="123">
        <v>50230.525546615907</v>
      </c>
      <c r="P76" s="123">
        <v>53929.165095593511</v>
      </c>
      <c r="Q76" s="120">
        <v>15088.895407472179</v>
      </c>
      <c r="R76" s="123">
        <v>65319.420954088084</v>
      </c>
      <c r="S76" s="123">
        <v>69018.060503065688</v>
      </c>
      <c r="U76" s="7" t="s">
        <v>5903</v>
      </c>
    </row>
    <row r="77" spans="1:21" ht="16.5" thickBot="1">
      <c r="A77" s="259" t="s">
        <v>10</v>
      </c>
      <c r="B77" s="260">
        <f t="shared" si="3"/>
        <v>65</v>
      </c>
      <c r="C77" s="260" t="s">
        <v>3</v>
      </c>
      <c r="D77" s="260">
        <f t="shared" si="4"/>
        <v>300</v>
      </c>
      <c r="E77" s="260" t="s">
        <v>3</v>
      </c>
      <c r="F77" s="261">
        <f t="shared" si="5"/>
        <v>1600</v>
      </c>
      <c r="G77" s="260" t="s">
        <v>3</v>
      </c>
      <c r="H77" s="260">
        <v>2</v>
      </c>
      <c r="I77" s="262" t="s">
        <v>581</v>
      </c>
      <c r="J77" s="112">
        <v>65</v>
      </c>
      <c r="K77" s="75">
        <v>300</v>
      </c>
      <c r="L77" s="75">
        <v>1600</v>
      </c>
      <c r="M77" s="202">
        <v>15.748772920428213</v>
      </c>
      <c r="N77" s="87">
        <v>2793.6025650000001</v>
      </c>
      <c r="O77" s="123">
        <v>53213.276729854973</v>
      </c>
      <c r="P77" s="123">
        <v>56907.642557465042</v>
      </c>
      <c r="Q77" s="120">
        <v>15573.185119283178</v>
      </c>
      <c r="R77" s="123">
        <v>68786.461849138155</v>
      </c>
      <c r="S77" s="123">
        <v>72480.827676748217</v>
      </c>
      <c r="U77" s="7" t="s">
        <v>5904</v>
      </c>
    </row>
    <row r="78" spans="1:21" ht="16.5" thickBot="1">
      <c r="A78" s="259" t="s">
        <v>10</v>
      </c>
      <c r="B78" s="263">
        <f t="shared" si="3"/>
        <v>65</v>
      </c>
      <c r="C78" s="263" t="s">
        <v>3</v>
      </c>
      <c r="D78" s="263">
        <f t="shared" si="4"/>
        <v>300</v>
      </c>
      <c r="E78" s="263" t="s">
        <v>3</v>
      </c>
      <c r="F78" s="261">
        <f t="shared" si="5"/>
        <v>1650</v>
      </c>
      <c r="G78" s="263" t="s">
        <v>3</v>
      </c>
      <c r="H78" s="260">
        <v>2</v>
      </c>
      <c r="I78" s="262" t="s">
        <v>581</v>
      </c>
      <c r="J78" s="112">
        <v>65</v>
      </c>
      <c r="K78" s="75">
        <v>300</v>
      </c>
      <c r="L78" s="75">
        <v>1650</v>
      </c>
      <c r="M78" s="202">
        <v>16.209602138838569</v>
      </c>
      <c r="N78" s="87">
        <v>2905.3466676000003</v>
      </c>
      <c r="O78" s="123">
        <v>56448.288096728334</v>
      </c>
      <c r="P78" s="123">
        <v>60122.309683630898</v>
      </c>
      <c r="Q78" s="120">
        <v>16057.474971487542</v>
      </c>
      <c r="R78" s="123">
        <v>72505.763068215878</v>
      </c>
      <c r="S78" s="123">
        <v>76179.784655118434</v>
      </c>
      <c r="U78" s="7" t="s">
        <v>5905</v>
      </c>
    </row>
    <row r="79" spans="1:21" ht="16.5" thickBot="1">
      <c r="A79" s="259" t="s">
        <v>10</v>
      </c>
      <c r="B79" s="263">
        <f t="shared" si="3"/>
        <v>65</v>
      </c>
      <c r="C79" s="263" t="s">
        <v>3</v>
      </c>
      <c r="D79" s="263">
        <f t="shared" si="4"/>
        <v>300</v>
      </c>
      <c r="E79" s="263" t="s">
        <v>3</v>
      </c>
      <c r="F79" s="261">
        <f t="shared" si="5"/>
        <v>1700</v>
      </c>
      <c r="G79" s="263" t="s">
        <v>3</v>
      </c>
      <c r="H79" s="260">
        <v>2</v>
      </c>
      <c r="I79" s="262" t="s">
        <v>581</v>
      </c>
      <c r="J79" s="112">
        <v>65</v>
      </c>
      <c r="K79" s="75">
        <v>300</v>
      </c>
      <c r="L79" s="75">
        <v>1700</v>
      </c>
      <c r="M79" s="202">
        <v>16.63243135724893</v>
      </c>
      <c r="N79" s="87">
        <v>3017.0907702000004</v>
      </c>
      <c r="O79" s="123">
        <v>57279.850597159457</v>
      </c>
      <c r="P79" s="123">
        <v>61086.641323559088</v>
      </c>
      <c r="Q79" s="120">
        <v>16541.764683298541</v>
      </c>
      <c r="R79" s="123">
        <v>73821.615280458005</v>
      </c>
      <c r="S79" s="123">
        <v>77628.406006857636</v>
      </c>
      <c r="U79" s="7" t="s">
        <v>5906</v>
      </c>
    </row>
    <row r="80" spans="1:21" ht="16.5" thickBot="1">
      <c r="A80" s="259" t="s">
        <v>10</v>
      </c>
      <c r="B80" s="263">
        <f t="shared" si="3"/>
        <v>65</v>
      </c>
      <c r="C80" s="263" t="s">
        <v>3</v>
      </c>
      <c r="D80" s="263">
        <f t="shared" si="4"/>
        <v>300</v>
      </c>
      <c r="E80" s="263" t="s">
        <v>3</v>
      </c>
      <c r="F80" s="261">
        <f t="shared" si="5"/>
        <v>1750</v>
      </c>
      <c r="G80" s="263" t="s">
        <v>3</v>
      </c>
      <c r="H80" s="260">
        <v>2</v>
      </c>
      <c r="I80" s="262" t="s">
        <v>581</v>
      </c>
      <c r="J80" s="112">
        <v>65</v>
      </c>
      <c r="K80" s="75">
        <v>300</v>
      </c>
      <c r="L80" s="75">
        <v>1750</v>
      </c>
      <c r="M80" s="202">
        <v>17.055260575659286</v>
      </c>
      <c r="N80" s="87">
        <v>3128.8348727999996</v>
      </c>
      <c r="O80" s="123">
        <v>58035.259280281316</v>
      </c>
      <c r="P80" s="123">
        <v>61979.67068450759</v>
      </c>
      <c r="Q80" s="120">
        <v>17026.054535502903</v>
      </c>
      <c r="R80" s="123">
        <v>75061.313815784219</v>
      </c>
      <c r="S80" s="123">
        <v>79005.725220010499</v>
      </c>
      <c r="U80" s="7" t="s">
        <v>5907</v>
      </c>
    </row>
    <row r="81" spans="1:21" ht="16.5" thickBot="1">
      <c r="A81" s="259" t="s">
        <v>10</v>
      </c>
      <c r="B81" s="263">
        <f t="shared" si="3"/>
        <v>65</v>
      </c>
      <c r="C81" s="263" t="s">
        <v>3</v>
      </c>
      <c r="D81" s="263">
        <f t="shared" si="4"/>
        <v>300</v>
      </c>
      <c r="E81" s="263" t="s">
        <v>3</v>
      </c>
      <c r="F81" s="261">
        <f t="shared" si="5"/>
        <v>1800</v>
      </c>
      <c r="G81" s="263" t="s">
        <v>3</v>
      </c>
      <c r="H81" s="260">
        <v>2</v>
      </c>
      <c r="I81" s="262" t="s">
        <v>581</v>
      </c>
      <c r="J81" s="112">
        <v>65</v>
      </c>
      <c r="K81" s="75">
        <v>300</v>
      </c>
      <c r="L81" s="75">
        <v>1800</v>
      </c>
      <c r="M81" s="202">
        <v>17.547089794069645</v>
      </c>
      <c r="N81" s="87">
        <v>3240.5789754000002</v>
      </c>
      <c r="O81" s="123">
        <v>58867.518335360808</v>
      </c>
      <c r="P81" s="123">
        <v>62944.654486702937</v>
      </c>
      <c r="Q81" s="120">
        <v>17510.344247313904</v>
      </c>
      <c r="R81" s="123">
        <v>76377.862582674716</v>
      </c>
      <c r="S81" s="123">
        <v>80454.998734016845</v>
      </c>
      <c r="U81" s="7" t="s">
        <v>5908</v>
      </c>
    </row>
    <row r="82" spans="1:21" ht="16.5" thickBot="1">
      <c r="A82" s="259" t="s">
        <v>10</v>
      </c>
      <c r="B82" s="263">
        <f t="shared" si="3"/>
        <v>65</v>
      </c>
      <c r="C82" s="263" t="s">
        <v>3</v>
      </c>
      <c r="D82" s="263">
        <f t="shared" si="4"/>
        <v>300</v>
      </c>
      <c r="E82" s="263" t="s">
        <v>3</v>
      </c>
      <c r="F82" s="261">
        <f t="shared" si="5"/>
        <v>1850</v>
      </c>
      <c r="G82" s="263" t="s">
        <v>3</v>
      </c>
      <c r="H82" s="260">
        <v>2</v>
      </c>
      <c r="I82" s="262" t="s">
        <v>581</v>
      </c>
      <c r="J82" s="112">
        <v>65</v>
      </c>
      <c r="K82" s="75">
        <v>300</v>
      </c>
      <c r="L82" s="75">
        <v>1850</v>
      </c>
      <c r="M82" s="202">
        <v>18.03191901248</v>
      </c>
      <c r="N82" s="87">
        <v>3352.3230780000004</v>
      </c>
      <c r="O82" s="123">
        <v>59699.729298693986</v>
      </c>
      <c r="P82" s="123">
        <v>63909.593299845263</v>
      </c>
      <c r="Q82" s="120">
        <v>17994.634099518265</v>
      </c>
      <c r="R82" s="123">
        <v>77694.363398212256</v>
      </c>
      <c r="S82" s="123">
        <v>81904.227399363532</v>
      </c>
      <c r="U82" s="7" t="s">
        <v>5909</v>
      </c>
    </row>
    <row r="83" spans="1:21" ht="16.5" thickBot="1">
      <c r="A83" s="259" t="s">
        <v>10</v>
      </c>
      <c r="B83" s="263">
        <f t="shared" si="3"/>
        <v>65</v>
      </c>
      <c r="C83" s="263" t="s">
        <v>3</v>
      </c>
      <c r="D83" s="263">
        <f t="shared" si="4"/>
        <v>300</v>
      </c>
      <c r="E83" s="263" t="s">
        <v>3</v>
      </c>
      <c r="F83" s="261">
        <f t="shared" si="5"/>
        <v>1900</v>
      </c>
      <c r="G83" s="263" t="s">
        <v>3</v>
      </c>
      <c r="H83" s="260">
        <v>2</v>
      </c>
      <c r="I83" s="262" t="s">
        <v>581</v>
      </c>
      <c r="J83" s="112">
        <v>65</v>
      </c>
      <c r="K83" s="75">
        <v>300</v>
      </c>
      <c r="L83" s="75">
        <v>1900</v>
      </c>
      <c r="M83" s="202">
        <v>18.454748230890356</v>
      </c>
      <c r="N83" s="87">
        <v>3464.0671806000005</v>
      </c>
      <c r="O83" s="123">
        <v>60706.994576650955</v>
      </c>
      <c r="P83" s="123">
        <v>65038.434512510263</v>
      </c>
      <c r="Q83" s="120">
        <v>18478.923811329267</v>
      </c>
      <c r="R83" s="123">
        <v>79185.918387980229</v>
      </c>
      <c r="S83" s="123">
        <v>83517.358323839522</v>
      </c>
      <c r="U83" s="7" t="s">
        <v>5910</v>
      </c>
    </row>
    <row r="84" spans="1:21" ht="16.5" thickBot="1">
      <c r="A84" s="259" t="s">
        <v>10</v>
      </c>
      <c r="B84" s="263">
        <f t="shared" si="3"/>
        <v>65</v>
      </c>
      <c r="C84" s="263" t="s">
        <v>3</v>
      </c>
      <c r="D84" s="263">
        <f t="shared" si="4"/>
        <v>300</v>
      </c>
      <c r="E84" s="263" t="s">
        <v>3</v>
      </c>
      <c r="F84" s="261">
        <f t="shared" si="5"/>
        <v>1950</v>
      </c>
      <c r="G84" s="263" t="s">
        <v>3</v>
      </c>
      <c r="H84" s="260">
        <v>2</v>
      </c>
      <c r="I84" s="262" t="s">
        <v>581</v>
      </c>
      <c r="J84" s="112">
        <v>65</v>
      </c>
      <c r="K84" s="75">
        <v>300</v>
      </c>
      <c r="L84" s="75">
        <v>1950</v>
      </c>
      <c r="M84" s="202">
        <v>19.030827449300716</v>
      </c>
      <c r="N84" s="87">
        <v>3575.8112832000002</v>
      </c>
      <c r="O84" s="123">
        <v>61873.461196426615</v>
      </c>
      <c r="P84" s="123">
        <v>66316.335078565608</v>
      </c>
      <c r="Q84" s="120">
        <v>18963.213663533628</v>
      </c>
      <c r="R84" s="123">
        <v>80836.674859960243</v>
      </c>
      <c r="S84" s="123">
        <v>85279.548742099229</v>
      </c>
      <c r="U84" s="7" t="s">
        <v>5911</v>
      </c>
    </row>
    <row r="85" spans="1:21" ht="16.5" thickBot="1">
      <c r="A85" s="259" t="s">
        <v>10</v>
      </c>
      <c r="B85" s="263">
        <f t="shared" si="3"/>
        <v>65</v>
      </c>
      <c r="C85" s="263" t="s">
        <v>3</v>
      </c>
      <c r="D85" s="263">
        <f t="shared" si="4"/>
        <v>300</v>
      </c>
      <c r="E85" s="263" t="s">
        <v>3</v>
      </c>
      <c r="F85" s="261">
        <f t="shared" si="5"/>
        <v>2000</v>
      </c>
      <c r="G85" s="263" t="s">
        <v>3</v>
      </c>
      <c r="H85" s="260">
        <v>2</v>
      </c>
      <c r="I85" s="262" t="s">
        <v>581</v>
      </c>
      <c r="J85" s="112">
        <v>65</v>
      </c>
      <c r="K85" s="75">
        <v>300</v>
      </c>
      <c r="L85" s="75">
        <v>2000</v>
      </c>
      <c r="M85" s="202">
        <v>19.545219067711074</v>
      </c>
      <c r="N85" s="87">
        <v>3687.5553857999998</v>
      </c>
      <c r="O85" s="123">
        <v>62911.954008552093</v>
      </c>
      <c r="P85" s="123">
        <v>67664.671556160654</v>
      </c>
      <c r="Q85" s="120">
        <v>19447.50337534463</v>
      </c>
      <c r="R85" s="123">
        <v>82359.457383896719</v>
      </c>
      <c r="S85" s="123">
        <v>87112.174931505288</v>
      </c>
      <c r="U85" s="7" t="s">
        <v>5912</v>
      </c>
    </row>
    <row r="86" spans="1:21" ht="16.5" thickBot="1">
      <c r="A86" s="259" t="s">
        <v>10</v>
      </c>
      <c r="B86" s="263">
        <f t="shared" si="3"/>
        <v>65</v>
      </c>
      <c r="C86" s="263" t="s">
        <v>3</v>
      </c>
      <c r="D86" s="263">
        <f t="shared" si="4"/>
        <v>300</v>
      </c>
      <c r="E86" s="263" t="s">
        <v>3</v>
      </c>
      <c r="F86" s="261">
        <f t="shared" si="5"/>
        <v>2050</v>
      </c>
      <c r="G86" s="263" t="s">
        <v>3</v>
      </c>
      <c r="H86" s="260">
        <v>2</v>
      </c>
      <c r="I86" s="262" t="s">
        <v>581</v>
      </c>
      <c r="J86" s="112">
        <v>65</v>
      </c>
      <c r="K86" s="75">
        <v>300</v>
      </c>
      <c r="L86" s="75">
        <v>2050</v>
      </c>
      <c r="M86" s="202">
        <v>19.968048286121427</v>
      </c>
      <c r="N86" s="87">
        <v>3799.2994884</v>
      </c>
      <c r="O86" s="123">
        <v>65888.135119370228</v>
      </c>
      <c r="P86" s="123">
        <v>70636.997451205214</v>
      </c>
      <c r="Q86" s="120">
        <v>19931.793227548991</v>
      </c>
      <c r="R86" s="123">
        <v>85819.928346919216</v>
      </c>
      <c r="S86" s="123">
        <v>90568.790678754202</v>
      </c>
      <c r="U86" s="7" t="s">
        <v>5913</v>
      </c>
    </row>
    <row r="87" spans="1:21" ht="16.5" thickBot="1">
      <c r="A87" s="259" t="s">
        <v>10</v>
      </c>
      <c r="B87" s="260">
        <f t="shared" si="3"/>
        <v>65</v>
      </c>
      <c r="C87" s="260" t="s">
        <v>3</v>
      </c>
      <c r="D87" s="260">
        <f t="shared" si="4"/>
        <v>300</v>
      </c>
      <c r="E87" s="260" t="s">
        <v>3</v>
      </c>
      <c r="F87" s="261">
        <f t="shared" si="5"/>
        <v>2100</v>
      </c>
      <c r="G87" s="260" t="s">
        <v>3</v>
      </c>
      <c r="H87" s="260">
        <v>2</v>
      </c>
      <c r="I87" s="262" t="s">
        <v>581</v>
      </c>
      <c r="J87" s="112">
        <v>65</v>
      </c>
      <c r="K87" s="75">
        <v>300</v>
      </c>
      <c r="L87" s="75">
        <v>2100</v>
      </c>
      <c r="M87" s="202">
        <v>20.390877504531787</v>
      </c>
      <c r="N87" s="87">
        <v>3911.0435910000001</v>
      </c>
      <c r="O87" s="123">
        <v>66782.275960530314</v>
      </c>
      <c r="P87" s="123">
        <v>71659.920828960472</v>
      </c>
      <c r="Q87" s="120">
        <v>20416.082939359992</v>
      </c>
      <c r="R87" s="123">
        <v>87198.3588998903</v>
      </c>
      <c r="S87" s="123">
        <v>92076.003768320457</v>
      </c>
      <c r="U87" s="7" t="s">
        <v>5914</v>
      </c>
    </row>
    <row r="88" spans="1:21" ht="16.5" thickBot="1">
      <c r="A88" s="259" t="s">
        <v>10</v>
      </c>
      <c r="B88" s="263">
        <f t="shared" si="3"/>
        <v>65</v>
      </c>
      <c r="C88" s="263" t="s">
        <v>3</v>
      </c>
      <c r="D88" s="263">
        <f t="shared" si="4"/>
        <v>300</v>
      </c>
      <c r="E88" s="263" t="s">
        <v>3</v>
      </c>
      <c r="F88" s="261">
        <f t="shared" si="5"/>
        <v>2150</v>
      </c>
      <c r="G88" s="263" t="s">
        <v>3</v>
      </c>
      <c r="H88" s="260">
        <v>2</v>
      </c>
      <c r="I88" s="262" t="s">
        <v>581</v>
      </c>
      <c r="J88" s="112">
        <v>65</v>
      </c>
      <c r="K88" s="75">
        <v>300</v>
      </c>
      <c r="L88" s="75">
        <v>2150</v>
      </c>
      <c r="M88" s="202">
        <v>20.937706722942146</v>
      </c>
      <c r="N88" s="87">
        <v>4022.7876936000007</v>
      </c>
      <c r="O88" s="123">
        <v>67824.034118697164</v>
      </c>
      <c r="P88" s="123">
        <v>72821.057498964845</v>
      </c>
      <c r="Q88" s="120">
        <v>20900.372791564354</v>
      </c>
      <c r="R88" s="123">
        <v>88724.406910261518</v>
      </c>
      <c r="S88" s="123">
        <v>93721.430290529199</v>
      </c>
      <c r="U88" s="7" t="s">
        <v>5915</v>
      </c>
    </row>
    <row r="89" spans="1:21" ht="16.5" thickBot="1">
      <c r="A89" s="259" t="s">
        <v>10</v>
      </c>
      <c r="B89" s="263">
        <f t="shared" si="3"/>
        <v>65</v>
      </c>
      <c r="C89" s="263" t="s">
        <v>3</v>
      </c>
      <c r="D89" s="263">
        <f t="shared" si="4"/>
        <v>300</v>
      </c>
      <c r="E89" s="263" t="s">
        <v>3</v>
      </c>
      <c r="F89" s="261">
        <f t="shared" si="5"/>
        <v>2200</v>
      </c>
      <c r="G89" s="263" t="s">
        <v>3</v>
      </c>
      <c r="H89" s="260">
        <v>2</v>
      </c>
      <c r="I89" s="262" t="s">
        <v>581</v>
      </c>
      <c r="J89" s="112">
        <v>65</v>
      </c>
      <c r="K89" s="75">
        <v>300</v>
      </c>
      <c r="L89" s="75">
        <v>2200</v>
      </c>
      <c r="M89" s="202">
        <v>21.360535941352499</v>
      </c>
      <c r="N89" s="87">
        <v>4134.5317961999999</v>
      </c>
      <c r="O89" s="123">
        <v>68865.744185117699</v>
      </c>
      <c r="P89" s="123">
        <v>73982.149179916189</v>
      </c>
      <c r="Q89" s="120">
        <v>21384.662503375355</v>
      </c>
      <c r="R89" s="123">
        <v>90250.406688493051</v>
      </c>
      <c r="S89" s="123">
        <v>95366.81168329154</v>
      </c>
      <c r="U89" s="7" t="s">
        <v>5916</v>
      </c>
    </row>
    <row r="90" spans="1:21" ht="16.5" thickBot="1">
      <c r="A90" s="259" t="s">
        <v>10</v>
      </c>
      <c r="B90" s="263">
        <f t="shared" si="3"/>
        <v>65</v>
      </c>
      <c r="C90" s="263" t="s">
        <v>3</v>
      </c>
      <c r="D90" s="263">
        <f t="shared" si="4"/>
        <v>300</v>
      </c>
      <c r="E90" s="263" t="s">
        <v>3</v>
      </c>
      <c r="F90" s="261">
        <f t="shared" si="5"/>
        <v>2250</v>
      </c>
      <c r="G90" s="263" t="s">
        <v>3</v>
      </c>
      <c r="H90" s="260">
        <v>2</v>
      </c>
      <c r="I90" s="262" t="s">
        <v>581</v>
      </c>
      <c r="J90" s="112">
        <v>65</v>
      </c>
      <c r="K90" s="75">
        <v>300</v>
      </c>
      <c r="L90" s="75">
        <v>2250</v>
      </c>
      <c r="M90" s="202">
        <v>21.783365159762862</v>
      </c>
      <c r="N90" s="87">
        <v>4246.2758987999996</v>
      </c>
      <c r="O90" s="123">
        <v>70227.065314885971</v>
      </c>
      <c r="P90" s="123">
        <v>75442.490857363271</v>
      </c>
      <c r="Q90" s="120">
        <v>21868.952355579717</v>
      </c>
      <c r="R90" s="123">
        <v>92096.017670465691</v>
      </c>
      <c r="S90" s="123">
        <v>97311.443212942992</v>
      </c>
      <c r="U90" s="7" t="s">
        <v>5917</v>
      </c>
    </row>
    <row r="91" spans="1:21" ht="16.5" thickBot="1">
      <c r="A91" s="259" t="s">
        <v>10</v>
      </c>
      <c r="B91" s="263">
        <f t="shared" si="3"/>
        <v>65</v>
      </c>
      <c r="C91" s="263" t="s">
        <v>3</v>
      </c>
      <c r="D91" s="263">
        <f t="shared" si="4"/>
        <v>300</v>
      </c>
      <c r="E91" s="263" t="s">
        <v>3</v>
      </c>
      <c r="F91" s="261">
        <f t="shared" si="5"/>
        <v>2300</v>
      </c>
      <c r="G91" s="263" t="s">
        <v>3</v>
      </c>
      <c r="H91" s="260">
        <v>2</v>
      </c>
      <c r="I91" s="262" t="s">
        <v>581</v>
      </c>
      <c r="J91" s="112">
        <v>65</v>
      </c>
      <c r="K91" s="75">
        <v>300</v>
      </c>
      <c r="L91" s="75">
        <v>2300</v>
      </c>
      <c r="M91" s="202">
        <v>22.206194378173215</v>
      </c>
      <c r="N91" s="87">
        <v>4358.0200014000002</v>
      </c>
      <c r="O91" s="123">
        <v>71025.869818005624</v>
      </c>
      <c r="P91" s="123">
        <v>76376.151419234899</v>
      </c>
      <c r="Q91" s="120">
        <v>22353.242067390718</v>
      </c>
      <c r="R91" s="123">
        <v>93379.111885396342</v>
      </c>
      <c r="S91" s="123">
        <v>98729.393486625617</v>
      </c>
      <c r="U91" s="7" t="s">
        <v>5918</v>
      </c>
    </row>
    <row r="92" spans="1:21" ht="16.5" thickBot="1">
      <c r="A92" s="259" t="s">
        <v>10</v>
      </c>
      <c r="B92" s="263">
        <f t="shared" si="3"/>
        <v>65</v>
      </c>
      <c r="C92" s="263" t="s">
        <v>3</v>
      </c>
      <c r="D92" s="263">
        <f t="shared" si="4"/>
        <v>300</v>
      </c>
      <c r="E92" s="263" t="s">
        <v>3</v>
      </c>
      <c r="F92" s="261">
        <f t="shared" si="5"/>
        <v>2350</v>
      </c>
      <c r="G92" s="263" t="s">
        <v>3</v>
      </c>
      <c r="H92" s="260">
        <v>2</v>
      </c>
      <c r="I92" s="262" t="s">
        <v>581</v>
      </c>
      <c r="J92" s="112">
        <v>65</v>
      </c>
      <c r="K92" s="75">
        <v>300</v>
      </c>
      <c r="L92" s="75">
        <v>2350</v>
      </c>
      <c r="M92" s="202">
        <v>22.629023596583576</v>
      </c>
      <c r="N92" s="87">
        <v>4469.7641039999999</v>
      </c>
      <c r="O92" s="123">
        <v>71824.626348713326</v>
      </c>
      <c r="P92" s="123">
        <v>77309.76711138786</v>
      </c>
      <c r="Q92" s="120">
        <v>22837.53191959508</v>
      </c>
      <c r="R92" s="123">
        <v>94662.158268308413</v>
      </c>
      <c r="S92" s="123">
        <v>100147.29903098295</v>
      </c>
      <c r="U92" s="7" t="s">
        <v>5919</v>
      </c>
    </row>
    <row r="93" spans="1:21" ht="16.5" thickBot="1">
      <c r="A93" s="259" t="s">
        <v>10</v>
      </c>
      <c r="B93" s="263">
        <f t="shared" si="3"/>
        <v>65</v>
      </c>
      <c r="C93" s="263" t="s">
        <v>3</v>
      </c>
      <c r="D93" s="263">
        <f t="shared" si="4"/>
        <v>300</v>
      </c>
      <c r="E93" s="263" t="s">
        <v>3</v>
      </c>
      <c r="F93" s="261">
        <f t="shared" si="5"/>
        <v>2400</v>
      </c>
      <c r="G93" s="263" t="s">
        <v>3</v>
      </c>
      <c r="H93" s="260">
        <v>2</v>
      </c>
      <c r="I93" s="262" t="s">
        <v>581</v>
      </c>
      <c r="J93" s="112">
        <v>65</v>
      </c>
      <c r="K93" s="75">
        <v>300</v>
      </c>
      <c r="L93" s="75">
        <v>2400</v>
      </c>
      <c r="M93" s="202">
        <v>23.051852814993929</v>
      </c>
      <c r="N93" s="87">
        <v>4581.5082065999995</v>
      </c>
      <c r="O93" s="123">
        <v>72623.334668340336</v>
      </c>
      <c r="P93" s="123">
        <v>78243.337695153445</v>
      </c>
      <c r="Q93" s="120">
        <v>23321.821631406081</v>
      </c>
      <c r="R93" s="123">
        <v>95945.156299746421</v>
      </c>
      <c r="S93" s="123">
        <v>101565.15932655953</v>
      </c>
      <c r="U93" s="7" t="s">
        <v>5920</v>
      </c>
    </row>
    <row r="94" spans="1:21" ht="16.5" thickBot="1">
      <c r="A94" s="259" t="s">
        <v>10</v>
      </c>
      <c r="B94" s="263">
        <f t="shared" si="3"/>
        <v>65</v>
      </c>
      <c r="C94" s="263" t="s">
        <v>3</v>
      </c>
      <c r="D94" s="263">
        <f t="shared" si="4"/>
        <v>300</v>
      </c>
      <c r="E94" s="263" t="s">
        <v>3</v>
      </c>
      <c r="F94" s="261">
        <f t="shared" si="5"/>
        <v>2450</v>
      </c>
      <c r="G94" s="263" t="s">
        <v>3</v>
      </c>
      <c r="H94" s="260">
        <v>2</v>
      </c>
      <c r="I94" s="262" t="s">
        <v>581</v>
      </c>
      <c r="J94" s="112">
        <v>65</v>
      </c>
      <c r="K94" s="75">
        <v>300</v>
      </c>
      <c r="L94" s="75">
        <v>2450</v>
      </c>
      <c r="M94" s="202">
        <v>24.176246926204286</v>
      </c>
      <c r="N94" s="87">
        <v>4693.252309200001</v>
      </c>
      <c r="O94" s="123">
        <v>73950.75565165552</v>
      </c>
      <c r="P94" s="123">
        <v>79795.562890322966</v>
      </c>
      <c r="Q94" s="120">
        <v>23806.111483610443</v>
      </c>
      <c r="R94" s="123">
        <v>97756.867135265958</v>
      </c>
      <c r="S94" s="123">
        <v>103601.67437393341</v>
      </c>
      <c r="U94" s="7" t="s">
        <v>5921</v>
      </c>
    </row>
    <row r="95" spans="1:21" ht="16.5" thickBot="1">
      <c r="A95" s="259" t="s">
        <v>10</v>
      </c>
      <c r="B95" s="263">
        <f t="shared" si="3"/>
        <v>65</v>
      </c>
      <c r="C95" s="263" t="s">
        <v>3</v>
      </c>
      <c r="D95" s="263">
        <f t="shared" si="4"/>
        <v>300</v>
      </c>
      <c r="E95" s="263" t="s">
        <v>3</v>
      </c>
      <c r="F95" s="261">
        <f t="shared" si="5"/>
        <v>2500</v>
      </c>
      <c r="G95" s="263" t="s">
        <v>3</v>
      </c>
      <c r="H95" s="260">
        <v>2</v>
      </c>
      <c r="I95" s="262" t="s">
        <v>581</v>
      </c>
      <c r="J95" s="112">
        <v>65</v>
      </c>
      <c r="K95" s="75">
        <v>300</v>
      </c>
      <c r="L95" s="75">
        <v>2500</v>
      </c>
      <c r="M95" s="202">
        <v>24.616076144614645</v>
      </c>
      <c r="N95" s="87">
        <v>4804.9964118000007</v>
      </c>
      <c r="O95" s="123">
        <v>74749.367787789888</v>
      </c>
      <c r="P95" s="123">
        <v>80729.043376648187</v>
      </c>
      <c r="Q95" s="120">
        <v>24290.401195421444</v>
      </c>
      <c r="R95" s="123">
        <v>99039.768983211339</v>
      </c>
      <c r="S95" s="123">
        <v>105019.44457206962</v>
      </c>
      <c r="U95" s="7" t="s">
        <v>5922</v>
      </c>
    </row>
    <row r="96" spans="1:21" ht="16.5" thickBot="1">
      <c r="A96" s="259" t="s">
        <v>10</v>
      </c>
      <c r="B96" s="263">
        <f t="shared" si="3"/>
        <v>65</v>
      </c>
      <c r="C96" s="263" t="s">
        <v>3</v>
      </c>
      <c r="D96" s="263">
        <f t="shared" si="4"/>
        <v>300</v>
      </c>
      <c r="E96" s="263" t="s">
        <v>3</v>
      </c>
      <c r="F96" s="261">
        <f t="shared" si="5"/>
        <v>2550</v>
      </c>
      <c r="G96" s="263" t="s">
        <v>3</v>
      </c>
      <c r="H96" s="260">
        <v>2</v>
      </c>
      <c r="I96" s="262" t="s">
        <v>581</v>
      </c>
      <c r="J96" s="112">
        <v>65</v>
      </c>
      <c r="K96" s="75">
        <v>300</v>
      </c>
      <c r="L96" s="75">
        <v>2550</v>
      </c>
      <c r="M96" s="202">
        <v>25.038905363025002</v>
      </c>
      <c r="N96" s="87">
        <v>4916.7405144000004</v>
      </c>
      <c r="O96" s="123">
        <v>78842.267769171594</v>
      </c>
      <c r="P96" s="123">
        <v>84746.946606657017</v>
      </c>
      <c r="Q96" s="120">
        <v>24774.691047625805</v>
      </c>
      <c r="R96" s="123">
        <v>103616.9588167974</v>
      </c>
      <c r="S96" s="123">
        <v>109521.63765428282</v>
      </c>
      <c r="U96" s="7" t="s">
        <v>5923</v>
      </c>
    </row>
    <row r="97" spans="1:21" ht="16.5" thickBot="1">
      <c r="A97" s="259" t="s">
        <v>10</v>
      </c>
      <c r="B97" s="260">
        <f t="shared" si="3"/>
        <v>65</v>
      </c>
      <c r="C97" s="260" t="s">
        <v>3</v>
      </c>
      <c r="D97" s="260">
        <f t="shared" si="4"/>
        <v>300</v>
      </c>
      <c r="E97" s="260" t="s">
        <v>3</v>
      </c>
      <c r="F97" s="261">
        <f t="shared" si="5"/>
        <v>2600</v>
      </c>
      <c r="G97" s="260" t="s">
        <v>3</v>
      </c>
      <c r="H97" s="260">
        <v>2</v>
      </c>
      <c r="I97" s="262" t="s">
        <v>581</v>
      </c>
      <c r="J97" s="112">
        <v>65</v>
      </c>
      <c r="K97" s="75">
        <v>300</v>
      </c>
      <c r="L97" s="75">
        <v>2600</v>
      </c>
      <c r="M97" s="202">
        <v>25.461734581435358</v>
      </c>
      <c r="N97" s="87">
        <v>5028.4846170000001</v>
      </c>
      <c r="O97" s="123">
        <v>79911.387266972437</v>
      </c>
      <c r="P97" s="123">
        <v>85933.701618660576</v>
      </c>
      <c r="Q97" s="120">
        <v>25258.980759436807</v>
      </c>
      <c r="R97" s="123">
        <v>105170.36802640924</v>
      </c>
      <c r="S97" s="123">
        <v>111192.68237809738</v>
      </c>
      <c r="U97" s="7" t="s">
        <v>5924</v>
      </c>
    </row>
    <row r="98" spans="1:21" ht="16.5" thickBot="1">
      <c r="A98" s="259" t="s">
        <v>10</v>
      </c>
      <c r="B98" s="263">
        <f t="shared" si="3"/>
        <v>65</v>
      </c>
      <c r="C98" s="263" t="s">
        <v>3</v>
      </c>
      <c r="D98" s="263">
        <f t="shared" si="4"/>
        <v>300</v>
      </c>
      <c r="E98" s="263" t="s">
        <v>3</v>
      </c>
      <c r="F98" s="261">
        <f t="shared" si="5"/>
        <v>2650</v>
      </c>
      <c r="G98" s="263" t="s">
        <v>3</v>
      </c>
      <c r="H98" s="260">
        <v>2</v>
      </c>
      <c r="I98" s="262" t="s">
        <v>581</v>
      </c>
      <c r="J98" s="112">
        <v>65</v>
      </c>
      <c r="K98" s="75">
        <v>300</v>
      </c>
      <c r="L98" s="75">
        <v>2650</v>
      </c>
      <c r="M98" s="202">
        <v>25.991563799845721</v>
      </c>
      <c r="N98" s="87">
        <v>5140.2287195999997</v>
      </c>
      <c r="O98" s="123">
        <v>80549.887062798196</v>
      </c>
      <c r="P98" s="123">
        <v>86717.269749603554</v>
      </c>
      <c r="Q98" s="120">
        <v>25743.270611641168</v>
      </c>
      <c r="R98" s="123">
        <v>106293.15767443937</v>
      </c>
      <c r="S98" s="123">
        <v>112460.54036124473</v>
      </c>
      <c r="U98" s="7" t="s">
        <v>5925</v>
      </c>
    </row>
    <row r="99" spans="1:21" ht="16.5" thickBot="1">
      <c r="A99" s="259" t="s">
        <v>10</v>
      </c>
      <c r="B99" s="263">
        <f t="shared" si="3"/>
        <v>65</v>
      </c>
      <c r="C99" s="263" t="s">
        <v>3</v>
      </c>
      <c r="D99" s="263">
        <f t="shared" si="4"/>
        <v>300</v>
      </c>
      <c r="E99" s="263" t="s">
        <v>3</v>
      </c>
      <c r="F99" s="261">
        <f t="shared" si="5"/>
        <v>2700</v>
      </c>
      <c r="G99" s="263" t="s">
        <v>3</v>
      </c>
      <c r="H99" s="260">
        <v>2</v>
      </c>
      <c r="I99" s="262" t="s">
        <v>581</v>
      </c>
      <c r="J99" s="112">
        <v>65</v>
      </c>
      <c r="K99" s="75">
        <v>300</v>
      </c>
      <c r="L99" s="75">
        <v>2700</v>
      </c>
      <c r="M99" s="202">
        <v>26.453643018256074</v>
      </c>
      <c r="N99" s="87">
        <v>5251.9728222000003</v>
      </c>
      <c r="O99" s="123">
        <v>81223.718062699656</v>
      </c>
      <c r="P99" s="123">
        <v>87533.91843862801</v>
      </c>
      <c r="Q99" s="120">
        <v>26227.56032345217</v>
      </c>
      <c r="R99" s="123">
        <v>107451.27838615183</v>
      </c>
      <c r="S99" s="123">
        <v>113761.47876208018</v>
      </c>
      <c r="U99" s="7" t="s">
        <v>5926</v>
      </c>
    </row>
    <row r="100" spans="1:21" ht="16.5" thickBot="1">
      <c r="A100" s="259" t="s">
        <v>10</v>
      </c>
      <c r="B100" s="263">
        <f t="shared" si="3"/>
        <v>65</v>
      </c>
      <c r="C100" s="263" t="s">
        <v>3</v>
      </c>
      <c r="D100" s="263">
        <f t="shared" si="4"/>
        <v>300</v>
      </c>
      <c r="E100" s="263" t="s">
        <v>3</v>
      </c>
      <c r="F100" s="261">
        <f t="shared" si="5"/>
        <v>2750</v>
      </c>
      <c r="G100" s="263" t="s">
        <v>3</v>
      </c>
      <c r="H100" s="260">
        <v>2</v>
      </c>
      <c r="I100" s="262" t="s">
        <v>581</v>
      </c>
      <c r="J100" s="112">
        <v>65</v>
      </c>
      <c r="K100" s="75">
        <v>300</v>
      </c>
      <c r="L100" s="75">
        <v>2750</v>
      </c>
      <c r="M100" s="202">
        <v>26.87647223666643</v>
      </c>
      <c r="N100" s="87">
        <v>5363.7169248</v>
      </c>
      <c r="O100" s="123">
        <v>81943.875734434463</v>
      </c>
      <c r="P100" s="123">
        <v>88393.942422140652</v>
      </c>
      <c r="Q100" s="120">
        <v>26711.850175656393</v>
      </c>
      <c r="R100" s="123">
        <v>108655.72591009086</v>
      </c>
      <c r="S100" s="123">
        <v>115105.79259779704</v>
      </c>
      <c r="U100" s="7" t="s">
        <v>5927</v>
      </c>
    </row>
    <row r="101" spans="1:21" ht="16.5" thickBot="1">
      <c r="A101" s="259" t="s">
        <v>10</v>
      </c>
      <c r="B101" s="263">
        <f t="shared" si="3"/>
        <v>65</v>
      </c>
      <c r="C101" s="263" t="s">
        <v>3</v>
      </c>
      <c r="D101" s="263">
        <f t="shared" si="4"/>
        <v>300</v>
      </c>
      <c r="E101" s="263" t="s">
        <v>3</v>
      </c>
      <c r="F101" s="261">
        <f t="shared" si="5"/>
        <v>2800</v>
      </c>
      <c r="G101" s="263" t="s">
        <v>3</v>
      </c>
      <c r="H101" s="260">
        <v>2</v>
      </c>
      <c r="I101" s="262" t="s">
        <v>581</v>
      </c>
      <c r="J101" s="112">
        <v>65</v>
      </c>
      <c r="K101" s="75">
        <v>300</v>
      </c>
      <c r="L101" s="75">
        <v>2800</v>
      </c>
      <c r="M101" s="202">
        <v>27.29930145507679</v>
      </c>
      <c r="N101" s="87">
        <v>5475.4610274000006</v>
      </c>
      <c r="O101" s="123">
        <v>82581.141016325419</v>
      </c>
      <c r="P101" s="123">
        <v>89176.354799825203</v>
      </c>
      <c r="Q101" s="120">
        <v>27196.140027860896</v>
      </c>
      <c r="R101" s="123">
        <v>109777.28104418631</v>
      </c>
      <c r="S101" s="123">
        <v>116372.4948276861</v>
      </c>
      <c r="U101" s="7" t="s">
        <v>5928</v>
      </c>
    </row>
    <row r="102" spans="1:21" ht="16.5" thickBot="1">
      <c r="A102" s="259" t="s">
        <v>10</v>
      </c>
      <c r="B102" s="263">
        <f t="shared" si="3"/>
        <v>65</v>
      </c>
      <c r="C102" s="263" t="s">
        <v>3</v>
      </c>
      <c r="D102" s="263">
        <f t="shared" si="4"/>
        <v>300</v>
      </c>
      <c r="E102" s="263" t="s">
        <v>3</v>
      </c>
      <c r="F102" s="261">
        <f t="shared" si="5"/>
        <v>2850</v>
      </c>
      <c r="G102" s="263" t="s">
        <v>3</v>
      </c>
      <c r="H102" s="260">
        <v>2</v>
      </c>
      <c r="I102" s="262" t="s">
        <v>581</v>
      </c>
      <c r="J102" s="112">
        <v>65</v>
      </c>
      <c r="K102" s="75">
        <v>300</v>
      </c>
      <c r="L102" s="75">
        <v>2850</v>
      </c>
      <c r="M102" s="202">
        <v>27.722130673487143</v>
      </c>
      <c r="N102" s="87">
        <v>5587.2051300000003</v>
      </c>
      <c r="O102" s="123">
        <v>83218.358325804395</v>
      </c>
      <c r="P102" s="123">
        <v>89958.722188456712</v>
      </c>
      <c r="Q102" s="120">
        <v>27680.42973967189</v>
      </c>
      <c r="R102" s="123">
        <v>110898.78806547628</v>
      </c>
      <c r="S102" s="123">
        <v>117639.1519281286</v>
      </c>
      <c r="U102" s="7" t="s">
        <v>5929</v>
      </c>
    </row>
    <row r="103" spans="1:21" ht="16.5" thickBot="1">
      <c r="A103" s="259" t="s">
        <v>10</v>
      </c>
      <c r="B103" s="263">
        <f t="shared" si="3"/>
        <v>65</v>
      </c>
      <c r="C103" s="263" t="s">
        <v>3</v>
      </c>
      <c r="D103" s="263">
        <f t="shared" si="4"/>
        <v>300</v>
      </c>
      <c r="E103" s="263" t="s">
        <v>3</v>
      </c>
      <c r="F103" s="261">
        <f t="shared" si="5"/>
        <v>2900</v>
      </c>
      <c r="G103" s="263" t="s">
        <v>3</v>
      </c>
      <c r="H103" s="260">
        <v>2</v>
      </c>
      <c r="I103" s="262" t="s">
        <v>581</v>
      </c>
      <c r="J103" s="112">
        <v>65</v>
      </c>
      <c r="K103" s="75">
        <v>300</v>
      </c>
      <c r="L103" s="75">
        <v>2900</v>
      </c>
      <c r="M103" s="202">
        <v>28.320959891897498</v>
      </c>
      <c r="N103" s="87">
        <v>5698.9492326</v>
      </c>
      <c r="O103" s="123">
        <v>83855.527424202694</v>
      </c>
      <c r="P103" s="123">
        <v>90741.044468700857</v>
      </c>
      <c r="Q103" s="120">
        <v>28164.719591876255</v>
      </c>
      <c r="R103" s="123">
        <v>112020.24701607895</v>
      </c>
      <c r="S103" s="123">
        <v>118905.76406057712</v>
      </c>
      <c r="U103" s="7" t="s">
        <v>5930</v>
      </c>
    </row>
    <row r="104" spans="1:21" ht="16.5" thickBot="1">
      <c r="A104" s="259" t="s">
        <v>10</v>
      </c>
      <c r="B104" s="263">
        <f t="shared" si="3"/>
        <v>65</v>
      </c>
      <c r="C104" s="263" t="s">
        <v>3</v>
      </c>
      <c r="D104" s="263">
        <f t="shared" si="4"/>
        <v>300</v>
      </c>
      <c r="E104" s="263" t="s">
        <v>3</v>
      </c>
      <c r="F104" s="261">
        <f t="shared" si="5"/>
        <v>2950</v>
      </c>
      <c r="G104" s="263" t="s">
        <v>3</v>
      </c>
      <c r="H104" s="260">
        <v>2</v>
      </c>
      <c r="I104" s="262" t="s">
        <v>581</v>
      </c>
      <c r="J104" s="112">
        <v>65</v>
      </c>
      <c r="K104" s="75">
        <v>300</v>
      </c>
      <c r="L104" s="75">
        <v>2950</v>
      </c>
      <c r="M104" s="202">
        <v>28.743789110307858</v>
      </c>
      <c r="N104" s="87">
        <v>5810.6933352000005</v>
      </c>
      <c r="O104" s="123">
        <v>84492.648550189027</v>
      </c>
      <c r="P104" s="123">
        <v>91523.321759892002</v>
      </c>
      <c r="Q104" s="120">
        <v>28649.009303687253</v>
      </c>
      <c r="R104" s="123">
        <v>113141.65785387628</v>
      </c>
      <c r="S104" s="123">
        <v>120172.33106357926</v>
      </c>
      <c r="U104" s="7" t="s">
        <v>5931</v>
      </c>
    </row>
    <row r="105" spans="1:21" ht="16.5" thickBot="1">
      <c r="A105" s="259" t="s">
        <v>10</v>
      </c>
      <c r="B105" s="263">
        <f t="shared" si="3"/>
        <v>65</v>
      </c>
      <c r="C105" s="263" t="s">
        <v>3</v>
      </c>
      <c r="D105" s="263">
        <f t="shared" si="4"/>
        <v>300</v>
      </c>
      <c r="E105" s="263" t="s">
        <v>3</v>
      </c>
      <c r="F105" s="261">
        <f t="shared" si="5"/>
        <v>3000</v>
      </c>
      <c r="G105" s="263" t="s">
        <v>3</v>
      </c>
      <c r="H105" s="260">
        <v>2</v>
      </c>
      <c r="I105" s="262" t="s">
        <v>581</v>
      </c>
      <c r="J105" s="146">
        <v>65</v>
      </c>
      <c r="K105" s="147">
        <v>300</v>
      </c>
      <c r="L105" s="147">
        <v>3000</v>
      </c>
      <c r="M105" s="209">
        <v>29.166618328718215</v>
      </c>
      <c r="N105" s="148">
        <v>5922.4374378000002</v>
      </c>
      <c r="O105" s="149">
        <v>86846.558263877203</v>
      </c>
      <c r="P105" s="149">
        <v>93913.018415569561</v>
      </c>
      <c r="Q105" s="159">
        <v>29133.299155891618</v>
      </c>
      <c r="R105" s="149">
        <v>115979.85741976881</v>
      </c>
      <c r="S105" s="149">
        <v>123046.31757146117</v>
      </c>
      <c r="U105" s="7" t="s">
        <v>5932</v>
      </c>
    </row>
  </sheetData>
  <mergeCells count="14">
    <mergeCell ref="A8:S8"/>
    <mergeCell ref="A9:S9"/>
    <mergeCell ref="A57:S57"/>
    <mergeCell ref="A58:S58"/>
    <mergeCell ref="Q4:Q5"/>
    <mergeCell ref="R4:R5"/>
    <mergeCell ref="S4:S5"/>
    <mergeCell ref="O6:S6"/>
    <mergeCell ref="A7:S7"/>
    <mergeCell ref="A4:I6"/>
    <mergeCell ref="J4:M5"/>
    <mergeCell ref="N4:N6"/>
    <mergeCell ref="O4:O5"/>
    <mergeCell ref="P4:P5"/>
  </mergeCells>
  <hyperlinks>
    <hyperlink ref="A1:I1" location="Главная!A1" display="Вернуться на главную страницу" xr:uid="{00000000-0004-0000-0700-000000000000}"/>
    <hyperlink ref="A2" location="'Калькулятор теплоотдач ВКВ'!R1C1" display="Вернуться Калькулятор теплоотдач ВКВ" xr:uid="{00000000-0004-0000-0700-000001000000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11">
    <tabColor rgb="FF3366FF"/>
  </sheetPr>
  <dimension ref="A1:U105"/>
  <sheetViews>
    <sheetView zoomScale="70" zoomScaleNormal="70" workbookViewId="0">
      <pane ySplit="6" topLeftCell="A7" activePane="bottomLeft" state="frozen"/>
      <selection pane="bottomLeft" activeCell="V15" sqref="V15"/>
    </sheetView>
  </sheetViews>
  <sheetFormatPr defaultRowHeight="15"/>
  <cols>
    <col min="1" max="1" width="5.5703125" style="74" customWidth="1"/>
    <col min="2" max="2" width="6" style="74" customWidth="1"/>
    <col min="3" max="3" width="3" style="74" customWidth="1"/>
    <col min="4" max="4" width="6" style="74" customWidth="1"/>
    <col min="5" max="5" width="3" style="74" customWidth="1"/>
    <col min="6" max="6" width="7.7109375" style="74" customWidth="1"/>
    <col min="7" max="7" width="3" style="74" customWidth="1"/>
    <col min="8" max="8" width="6" style="74" customWidth="1"/>
    <col min="9" max="9" width="8.140625" style="74" customWidth="1"/>
    <col min="10" max="12" width="11.28515625" style="74" customWidth="1"/>
    <col min="13" max="13" width="15.5703125" style="74" customWidth="1"/>
    <col min="14" max="14" width="19.140625" style="74" customWidth="1"/>
    <col min="15" max="16" width="27.7109375" style="74" customWidth="1"/>
    <col min="17" max="17" width="26.28515625" style="74" customWidth="1"/>
    <col min="18" max="19" width="27.7109375" style="74" customWidth="1"/>
    <col min="20" max="20" width="9.140625" style="74"/>
    <col min="21" max="21" width="25.85546875" style="74" customWidth="1"/>
    <col min="22" max="16384" width="9.140625" style="74"/>
  </cols>
  <sheetData>
    <row r="1" spans="1:21" ht="15.75">
      <c r="A1" s="1217" t="s">
        <v>9</v>
      </c>
      <c r="B1" s="1217"/>
      <c r="C1" s="1217"/>
      <c r="D1" s="1217"/>
      <c r="E1" s="1217"/>
      <c r="F1" s="97"/>
      <c r="G1" s="1217"/>
      <c r="H1" s="1217"/>
      <c r="I1" s="1217"/>
      <c r="J1" s="7"/>
      <c r="K1" s="96"/>
      <c r="L1" s="96"/>
      <c r="M1" s="175"/>
      <c r="N1" s="7"/>
      <c r="O1" s="117"/>
      <c r="P1" s="117"/>
      <c r="Q1" s="117"/>
      <c r="R1" s="117"/>
      <c r="S1" s="117"/>
    </row>
    <row r="2" spans="1:21" ht="16.5" customHeight="1">
      <c r="A2" s="956" t="s">
        <v>377</v>
      </c>
      <c r="B2" s="1217"/>
      <c r="C2" s="1217"/>
      <c r="D2" s="1217"/>
      <c r="E2" s="1217"/>
      <c r="F2" s="97"/>
      <c r="G2" s="1217"/>
      <c r="H2" s="1217"/>
      <c r="I2" s="1217"/>
      <c r="J2" s="7"/>
      <c r="K2" s="96"/>
      <c r="L2" s="96"/>
      <c r="M2" s="175"/>
      <c r="N2" s="7"/>
      <c r="O2" s="117"/>
      <c r="P2" s="117"/>
      <c r="Q2" s="117"/>
      <c r="R2" s="117"/>
      <c r="S2" s="117"/>
    </row>
    <row r="3" spans="1:21" ht="13.5" customHeight="1" thickBot="1">
      <c r="A3" s="16"/>
      <c r="B3" s="16"/>
      <c r="C3" s="16"/>
      <c r="D3" s="16"/>
      <c r="E3" s="16"/>
      <c r="F3" s="109"/>
      <c r="G3" s="16"/>
      <c r="H3" s="16"/>
      <c r="I3" s="1251"/>
      <c r="J3" s="16"/>
      <c r="K3" s="108"/>
      <c r="L3" s="108"/>
      <c r="M3" s="175"/>
      <c r="N3" s="7"/>
      <c r="O3" s="116"/>
      <c r="P3" s="116"/>
      <c r="Q3" s="117"/>
      <c r="R3" s="117"/>
      <c r="S3" s="117"/>
    </row>
    <row r="4" spans="1:21" ht="69" customHeight="1">
      <c r="A4" s="2598" t="s">
        <v>8</v>
      </c>
      <c r="B4" s="2599"/>
      <c r="C4" s="2599"/>
      <c r="D4" s="2599"/>
      <c r="E4" s="2599"/>
      <c r="F4" s="2599"/>
      <c r="G4" s="2599"/>
      <c r="H4" s="2599"/>
      <c r="I4" s="2600"/>
      <c r="J4" s="2607" t="s">
        <v>97</v>
      </c>
      <c r="K4" s="2608"/>
      <c r="L4" s="2608"/>
      <c r="M4" s="2609"/>
      <c r="N4" s="2613" t="s">
        <v>96</v>
      </c>
      <c r="O4" s="2586" t="s">
        <v>172</v>
      </c>
      <c r="P4" s="2617" t="s">
        <v>183</v>
      </c>
      <c r="Q4" s="2586" t="s">
        <v>151</v>
      </c>
      <c r="R4" s="2588" t="s">
        <v>5815</v>
      </c>
      <c r="S4" s="2590" t="s">
        <v>5816</v>
      </c>
    </row>
    <row r="5" spans="1:21" ht="72" customHeight="1" thickBot="1">
      <c r="A5" s="2601"/>
      <c r="B5" s="2602"/>
      <c r="C5" s="2602"/>
      <c r="D5" s="2602"/>
      <c r="E5" s="2602"/>
      <c r="F5" s="2602"/>
      <c r="G5" s="2602"/>
      <c r="H5" s="2602"/>
      <c r="I5" s="2603"/>
      <c r="J5" s="2610"/>
      <c r="K5" s="2611"/>
      <c r="L5" s="2611"/>
      <c r="M5" s="2612"/>
      <c r="N5" s="2614"/>
      <c r="O5" s="2616"/>
      <c r="P5" s="2618"/>
      <c r="Q5" s="2587"/>
      <c r="R5" s="2589"/>
      <c r="S5" s="2591"/>
    </row>
    <row r="6" spans="1:21" ht="61.5" customHeight="1" thickBot="1">
      <c r="A6" s="2604"/>
      <c r="B6" s="2605"/>
      <c r="C6" s="2605"/>
      <c r="D6" s="2605"/>
      <c r="E6" s="2605"/>
      <c r="F6" s="2605"/>
      <c r="G6" s="2605"/>
      <c r="H6" s="2605"/>
      <c r="I6" s="2606"/>
      <c r="J6" s="287" t="s">
        <v>0</v>
      </c>
      <c r="K6" s="295" t="s">
        <v>1</v>
      </c>
      <c r="L6" s="295" t="s">
        <v>2</v>
      </c>
      <c r="M6" s="258" t="s">
        <v>94</v>
      </c>
      <c r="N6" s="2615"/>
      <c r="O6" s="2592" t="s">
        <v>169</v>
      </c>
      <c r="P6" s="2593"/>
      <c r="Q6" s="2593"/>
      <c r="R6" s="2593"/>
      <c r="S6" s="2594"/>
    </row>
    <row r="7" spans="1:21" ht="30" customHeight="1" thickBot="1">
      <c r="A7" s="2595" t="s">
        <v>159</v>
      </c>
      <c r="B7" s="2596"/>
      <c r="C7" s="2596"/>
      <c r="D7" s="2596"/>
      <c r="E7" s="2596"/>
      <c r="F7" s="2596"/>
      <c r="G7" s="2596"/>
      <c r="H7" s="2596"/>
      <c r="I7" s="2596"/>
      <c r="J7" s="2596"/>
      <c r="K7" s="2596"/>
      <c r="L7" s="2596"/>
      <c r="M7" s="2596"/>
      <c r="N7" s="2596"/>
      <c r="O7" s="2596"/>
      <c r="P7" s="2596"/>
      <c r="Q7" s="2596"/>
      <c r="R7" s="2596"/>
      <c r="S7" s="2597"/>
    </row>
    <row r="8" spans="1:21" ht="22.5" customHeight="1" thickBot="1">
      <c r="A8" s="2580" t="s">
        <v>515</v>
      </c>
      <c r="B8" s="2581"/>
      <c r="C8" s="2581"/>
      <c r="D8" s="2581"/>
      <c r="E8" s="2581"/>
      <c r="F8" s="2581"/>
      <c r="G8" s="2581"/>
      <c r="H8" s="2581"/>
      <c r="I8" s="2581"/>
      <c r="J8" s="2581"/>
      <c r="K8" s="2581"/>
      <c r="L8" s="2581"/>
      <c r="M8" s="2581"/>
      <c r="N8" s="2581"/>
      <c r="O8" s="2581"/>
      <c r="P8" s="2581"/>
      <c r="Q8" s="2581"/>
      <c r="R8" s="2581"/>
      <c r="S8" s="2582"/>
    </row>
    <row r="9" spans="1:21" ht="16.5" customHeight="1" thickBot="1">
      <c r="A9" s="2583" t="s">
        <v>134</v>
      </c>
      <c r="B9" s="2584"/>
      <c r="C9" s="2584"/>
      <c r="D9" s="2584"/>
      <c r="E9" s="2584"/>
      <c r="F9" s="2584"/>
      <c r="G9" s="2584"/>
      <c r="H9" s="2584"/>
      <c r="I9" s="2584"/>
      <c r="J9" s="2584"/>
      <c r="K9" s="2584"/>
      <c r="L9" s="2584"/>
      <c r="M9" s="2584"/>
      <c r="N9" s="2584"/>
      <c r="O9" s="2584"/>
      <c r="P9" s="2584"/>
      <c r="Q9" s="2584"/>
      <c r="R9" s="2584"/>
      <c r="S9" s="2585"/>
    </row>
    <row r="10" spans="1:21" ht="16.5" thickBot="1">
      <c r="A10" s="259" t="s">
        <v>10</v>
      </c>
      <c r="B10" s="263">
        <f t="shared" ref="B10:B56" si="0">J10</f>
        <v>70</v>
      </c>
      <c r="C10" s="263" t="s">
        <v>3</v>
      </c>
      <c r="D10" s="263">
        <f t="shared" ref="D10:D56" si="1">K10</f>
        <v>260</v>
      </c>
      <c r="E10" s="263" t="s">
        <v>3</v>
      </c>
      <c r="F10" s="261">
        <f t="shared" ref="F10:F56" si="2">L10</f>
        <v>700</v>
      </c>
      <c r="G10" s="263" t="s">
        <v>3</v>
      </c>
      <c r="H10" s="260">
        <v>2</v>
      </c>
      <c r="I10" s="262" t="s">
        <v>581</v>
      </c>
      <c r="J10" s="112">
        <v>70</v>
      </c>
      <c r="K10" s="75">
        <v>260</v>
      </c>
      <c r="L10" s="75">
        <v>700</v>
      </c>
      <c r="M10" s="202">
        <v>6.4825890748846424</v>
      </c>
      <c r="N10" s="87">
        <v>868.09979201399995</v>
      </c>
      <c r="O10" s="123">
        <v>25660.88457853784</v>
      </c>
      <c r="P10" s="123">
        <v>27292.430486212535</v>
      </c>
      <c r="Q10" s="120">
        <v>6115.6082962285891</v>
      </c>
      <c r="R10" s="123">
        <v>31776.492874766431</v>
      </c>
      <c r="S10" s="123">
        <v>33408.038782441123</v>
      </c>
      <c r="U10" s="7" t="s">
        <v>5933</v>
      </c>
    </row>
    <row r="11" spans="1:21" ht="16.5" thickBot="1">
      <c r="A11" s="259" t="s">
        <v>10</v>
      </c>
      <c r="B11" s="263">
        <f t="shared" si="0"/>
        <v>70</v>
      </c>
      <c r="C11" s="263" t="s">
        <v>3</v>
      </c>
      <c r="D11" s="263">
        <f t="shared" si="1"/>
        <v>260</v>
      </c>
      <c r="E11" s="263" t="s">
        <v>3</v>
      </c>
      <c r="F11" s="261">
        <f t="shared" si="2"/>
        <v>750</v>
      </c>
      <c r="G11" s="263" t="s">
        <v>3</v>
      </c>
      <c r="H11" s="260">
        <v>2</v>
      </c>
      <c r="I11" s="262" t="s">
        <v>581</v>
      </c>
      <c r="J11" s="112">
        <v>70</v>
      </c>
      <c r="K11" s="75">
        <v>260</v>
      </c>
      <c r="L11" s="75">
        <v>750</v>
      </c>
      <c r="M11" s="202">
        <v>6.9952573522235717</v>
      </c>
      <c r="N11" s="87">
        <v>992.11404801600008</v>
      </c>
      <c r="O11" s="123">
        <v>27188.198487780042</v>
      </c>
      <c r="P11" s="123">
        <v>28890.004408150569</v>
      </c>
      <c r="Q11" s="120">
        <v>6547.7107065443497</v>
      </c>
      <c r="R11" s="123">
        <v>33735.909194324391</v>
      </c>
      <c r="S11" s="123">
        <v>35437.715114694918</v>
      </c>
      <c r="U11" s="7" t="s">
        <v>5934</v>
      </c>
    </row>
    <row r="12" spans="1:21" ht="16.5" thickBot="1">
      <c r="A12" s="259" t="s">
        <v>10</v>
      </c>
      <c r="B12" s="263">
        <f t="shared" si="0"/>
        <v>70</v>
      </c>
      <c r="C12" s="263" t="s">
        <v>3</v>
      </c>
      <c r="D12" s="263">
        <f t="shared" si="1"/>
        <v>260</v>
      </c>
      <c r="E12" s="263" t="s">
        <v>3</v>
      </c>
      <c r="F12" s="261">
        <f t="shared" si="2"/>
        <v>800</v>
      </c>
      <c r="G12" s="263" t="s">
        <v>3</v>
      </c>
      <c r="H12" s="260">
        <v>2</v>
      </c>
      <c r="I12" s="262" t="s">
        <v>581</v>
      </c>
      <c r="J12" s="112">
        <v>70</v>
      </c>
      <c r="K12" s="75">
        <v>260</v>
      </c>
      <c r="L12" s="75">
        <v>800</v>
      </c>
      <c r="M12" s="202">
        <v>7.3889256295625003</v>
      </c>
      <c r="N12" s="87">
        <v>1116.1283040180001</v>
      </c>
      <c r="O12" s="123">
        <v>28715.512277687896</v>
      </c>
      <c r="P12" s="123">
        <v>30487.578449422952</v>
      </c>
      <c r="Q12" s="120">
        <v>6979.8129764667756</v>
      </c>
      <c r="R12" s="123">
        <v>35695.325254154668</v>
      </c>
      <c r="S12" s="123">
        <v>37467.391425889728</v>
      </c>
      <c r="U12" s="7" t="s">
        <v>5935</v>
      </c>
    </row>
    <row r="13" spans="1:21" ht="16.5" thickBot="1">
      <c r="A13" s="259" t="s">
        <v>10</v>
      </c>
      <c r="B13" s="263">
        <f t="shared" si="0"/>
        <v>70</v>
      </c>
      <c r="C13" s="263" t="s">
        <v>3</v>
      </c>
      <c r="D13" s="263">
        <f t="shared" si="1"/>
        <v>260</v>
      </c>
      <c r="E13" s="263" t="s">
        <v>3</v>
      </c>
      <c r="F13" s="261">
        <f t="shared" si="2"/>
        <v>850</v>
      </c>
      <c r="G13" s="263" t="s">
        <v>3</v>
      </c>
      <c r="H13" s="260">
        <v>2</v>
      </c>
      <c r="I13" s="262" t="s">
        <v>581</v>
      </c>
      <c r="J13" s="112">
        <v>70</v>
      </c>
      <c r="K13" s="75">
        <v>260</v>
      </c>
      <c r="L13" s="75">
        <v>850</v>
      </c>
      <c r="M13" s="202">
        <v>7.7825939069014289</v>
      </c>
      <c r="N13" s="87">
        <v>1240.14256002</v>
      </c>
      <c r="O13" s="123">
        <v>30242.826067595743</v>
      </c>
      <c r="P13" s="123">
        <v>32085.152371360986</v>
      </c>
      <c r="Q13" s="120">
        <v>7411.9153867825516</v>
      </c>
      <c r="R13" s="123">
        <v>37654.741454378294</v>
      </c>
      <c r="S13" s="123">
        <v>39497.067758143538</v>
      </c>
      <c r="U13" s="7" t="s">
        <v>5936</v>
      </c>
    </row>
    <row r="14" spans="1:21" ht="16.5" thickBot="1">
      <c r="A14" s="259" t="s">
        <v>10</v>
      </c>
      <c r="B14" s="263">
        <f t="shared" si="0"/>
        <v>70</v>
      </c>
      <c r="C14" s="263" t="s">
        <v>3</v>
      </c>
      <c r="D14" s="263">
        <f t="shared" si="1"/>
        <v>260</v>
      </c>
      <c r="E14" s="263" t="s">
        <v>3</v>
      </c>
      <c r="F14" s="261">
        <f t="shared" si="2"/>
        <v>900</v>
      </c>
      <c r="G14" s="263" t="s">
        <v>3</v>
      </c>
      <c r="H14" s="260">
        <v>2</v>
      </c>
      <c r="I14" s="262" t="s">
        <v>581</v>
      </c>
      <c r="J14" s="112">
        <v>70</v>
      </c>
      <c r="K14" s="75">
        <v>260</v>
      </c>
      <c r="L14" s="75">
        <v>900</v>
      </c>
      <c r="M14" s="202">
        <v>8.2142621842403578</v>
      </c>
      <c r="N14" s="87">
        <v>1364.1568160220002</v>
      </c>
      <c r="O14" s="123">
        <v>31770.139857503593</v>
      </c>
      <c r="P14" s="123">
        <v>33682.726412633376</v>
      </c>
      <c r="Q14" s="120">
        <v>7844.0177970983268</v>
      </c>
      <c r="R14" s="123">
        <v>39614.157654601921</v>
      </c>
      <c r="S14" s="123">
        <v>41526.744209731703</v>
      </c>
      <c r="U14" s="7" t="s">
        <v>5937</v>
      </c>
    </row>
    <row r="15" spans="1:21" ht="16.5" thickBot="1">
      <c r="A15" s="259" t="s">
        <v>10</v>
      </c>
      <c r="B15" s="263">
        <f t="shared" si="0"/>
        <v>70</v>
      </c>
      <c r="C15" s="263" t="s">
        <v>3</v>
      </c>
      <c r="D15" s="263">
        <f t="shared" si="1"/>
        <v>260</v>
      </c>
      <c r="E15" s="263" t="s">
        <v>3</v>
      </c>
      <c r="F15" s="261">
        <f t="shared" si="2"/>
        <v>950</v>
      </c>
      <c r="G15" s="263" t="s">
        <v>3</v>
      </c>
      <c r="H15" s="260">
        <v>2</v>
      </c>
      <c r="I15" s="262" t="s">
        <v>581</v>
      </c>
      <c r="J15" s="112">
        <v>70</v>
      </c>
      <c r="K15" s="75">
        <v>260</v>
      </c>
      <c r="L15" s="75">
        <v>950</v>
      </c>
      <c r="M15" s="202">
        <v>8.6769304615792855</v>
      </c>
      <c r="N15" s="87">
        <v>1488.1710720240001</v>
      </c>
      <c r="O15" s="123">
        <v>33297.453647411443</v>
      </c>
      <c r="P15" s="123">
        <v>35280.30033457141</v>
      </c>
      <c r="Q15" s="120">
        <v>8276.12006702074</v>
      </c>
      <c r="R15" s="123">
        <v>41573.573714432183</v>
      </c>
      <c r="S15" s="123">
        <v>43556.42040159215</v>
      </c>
      <c r="U15" s="7" t="s">
        <v>5938</v>
      </c>
    </row>
    <row r="16" spans="1:21" ht="16.5" thickBot="1">
      <c r="A16" s="259" t="s">
        <v>10</v>
      </c>
      <c r="B16" s="263">
        <f t="shared" si="0"/>
        <v>70</v>
      </c>
      <c r="C16" s="263" t="s">
        <v>3</v>
      </c>
      <c r="D16" s="263">
        <f t="shared" si="1"/>
        <v>260</v>
      </c>
      <c r="E16" s="263" t="s">
        <v>3</v>
      </c>
      <c r="F16" s="261">
        <f t="shared" si="2"/>
        <v>1000</v>
      </c>
      <c r="G16" s="263" t="s">
        <v>3</v>
      </c>
      <c r="H16" s="260">
        <v>2</v>
      </c>
      <c r="I16" s="262" t="s">
        <v>581</v>
      </c>
      <c r="J16" s="112">
        <v>70</v>
      </c>
      <c r="K16" s="75">
        <v>260</v>
      </c>
      <c r="L16" s="75">
        <v>1000</v>
      </c>
      <c r="M16" s="202">
        <v>9.0705987389182141</v>
      </c>
      <c r="N16" s="87">
        <v>1612.1853280260002</v>
      </c>
      <c r="O16" s="123">
        <v>34729.635399699975</v>
      </c>
      <c r="P16" s="123">
        <v>36788.802733601857</v>
      </c>
      <c r="Q16" s="120">
        <v>8708.2224773365142</v>
      </c>
      <c r="R16" s="123">
        <v>43437.857877036491</v>
      </c>
      <c r="S16" s="123">
        <v>45497.025210938373</v>
      </c>
      <c r="U16" s="7" t="s">
        <v>5939</v>
      </c>
    </row>
    <row r="17" spans="1:21" ht="16.5" thickBot="1">
      <c r="A17" s="259" t="s">
        <v>10</v>
      </c>
      <c r="B17" s="263">
        <f t="shared" si="0"/>
        <v>70</v>
      </c>
      <c r="C17" s="263" t="s">
        <v>3</v>
      </c>
      <c r="D17" s="263">
        <f t="shared" si="1"/>
        <v>260</v>
      </c>
      <c r="E17" s="263" t="s">
        <v>3</v>
      </c>
      <c r="F17" s="261">
        <f t="shared" si="2"/>
        <v>1050</v>
      </c>
      <c r="G17" s="263" t="s">
        <v>3</v>
      </c>
      <c r="H17" s="260">
        <v>2</v>
      </c>
      <c r="I17" s="262" t="s">
        <v>581</v>
      </c>
      <c r="J17" s="112">
        <v>70</v>
      </c>
      <c r="K17" s="75">
        <v>260</v>
      </c>
      <c r="L17" s="75">
        <v>1050</v>
      </c>
      <c r="M17" s="202">
        <v>9.4642670162571427</v>
      </c>
      <c r="N17" s="87">
        <v>1736.1995840279999</v>
      </c>
      <c r="O17" s="123">
        <v>36482.887913204839</v>
      </c>
      <c r="P17" s="123">
        <v>38597.921865531658</v>
      </c>
      <c r="Q17" s="120">
        <v>9140.3247472589264</v>
      </c>
      <c r="R17" s="123">
        <v>45623.212660463767</v>
      </c>
      <c r="S17" s="123">
        <v>47738.246612790586</v>
      </c>
      <c r="U17" s="7" t="s">
        <v>5940</v>
      </c>
    </row>
    <row r="18" spans="1:21" ht="16.5" thickBot="1">
      <c r="A18" s="259" t="s">
        <v>10</v>
      </c>
      <c r="B18" s="260">
        <f t="shared" si="0"/>
        <v>70</v>
      </c>
      <c r="C18" s="260" t="s">
        <v>3</v>
      </c>
      <c r="D18" s="260">
        <f t="shared" si="1"/>
        <v>260</v>
      </c>
      <c r="E18" s="260" t="s">
        <v>3</v>
      </c>
      <c r="F18" s="261">
        <f t="shared" si="2"/>
        <v>1100</v>
      </c>
      <c r="G18" s="260" t="s">
        <v>3</v>
      </c>
      <c r="H18" s="260">
        <v>2</v>
      </c>
      <c r="I18" s="262" t="s">
        <v>581</v>
      </c>
      <c r="J18" s="112">
        <v>70</v>
      </c>
      <c r="K18" s="75">
        <v>260</v>
      </c>
      <c r="L18" s="75">
        <v>1100</v>
      </c>
      <c r="M18" s="202">
        <v>9.8579352935960713</v>
      </c>
      <c r="N18" s="87">
        <v>1860.2138400300003</v>
      </c>
      <c r="O18" s="123">
        <v>38010.201703112689</v>
      </c>
      <c r="P18" s="123">
        <v>40195.495787469685</v>
      </c>
      <c r="Q18" s="120">
        <v>9572.4271575747025</v>
      </c>
      <c r="R18" s="123">
        <v>47582.628860687393</v>
      </c>
      <c r="S18" s="123">
        <v>49767.922945044389</v>
      </c>
      <c r="U18" s="7" t="s">
        <v>5941</v>
      </c>
    </row>
    <row r="19" spans="1:21" ht="16.5" thickBot="1">
      <c r="A19" s="259" t="s">
        <v>10</v>
      </c>
      <c r="B19" s="263">
        <f t="shared" si="0"/>
        <v>70</v>
      </c>
      <c r="C19" s="263" t="s">
        <v>3</v>
      </c>
      <c r="D19" s="263">
        <f t="shared" si="1"/>
        <v>260</v>
      </c>
      <c r="E19" s="263" t="s">
        <v>3</v>
      </c>
      <c r="F19" s="261">
        <f t="shared" si="2"/>
        <v>1150</v>
      </c>
      <c r="G19" s="263" t="s">
        <v>3</v>
      </c>
      <c r="H19" s="260">
        <v>2</v>
      </c>
      <c r="I19" s="262" t="s">
        <v>581</v>
      </c>
      <c r="J19" s="112">
        <v>70</v>
      </c>
      <c r="K19" s="75">
        <v>260</v>
      </c>
      <c r="L19" s="75">
        <v>1150</v>
      </c>
      <c r="M19" s="202">
        <v>10.251603570935</v>
      </c>
      <c r="N19" s="87">
        <v>1984.2280960320002</v>
      </c>
      <c r="O19" s="123">
        <v>38782.173040467438</v>
      </c>
      <c r="P19" s="123">
        <v>41085.846927418796</v>
      </c>
      <c r="Q19" s="120">
        <v>10004.529567890477</v>
      </c>
      <c r="R19" s="123">
        <v>48786.702608357911</v>
      </c>
      <c r="S19" s="123">
        <v>51090.376495309276</v>
      </c>
      <c r="U19" s="7" t="s">
        <v>5942</v>
      </c>
    </row>
    <row r="20" spans="1:21" ht="16.5" thickBot="1">
      <c r="A20" s="259" t="s">
        <v>10</v>
      </c>
      <c r="B20" s="263">
        <f t="shared" si="0"/>
        <v>70</v>
      </c>
      <c r="C20" s="263" t="s">
        <v>3</v>
      </c>
      <c r="D20" s="263">
        <f t="shared" si="1"/>
        <v>260</v>
      </c>
      <c r="E20" s="263" t="s">
        <v>3</v>
      </c>
      <c r="F20" s="261">
        <f t="shared" si="2"/>
        <v>1200</v>
      </c>
      <c r="G20" s="263" t="s">
        <v>3</v>
      </c>
      <c r="H20" s="260">
        <v>2</v>
      </c>
      <c r="I20" s="262" t="s">
        <v>581</v>
      </c>
      <c r="J20" s="112">
        <v>70</v>
      </c>
      <c r="K20" s="75">
        <v>260</v>
      </c>
      <c r="L20" s="75">
        <v>1200</v>
      </c>
      <c r="M20" s="202">
        <v>10.86052184827393</v>
      </c>
      <c r="N20" s="87">
        <v>2108.2423520339999</v>
      </c>
      <c r="O20" s="123">
        <v>39589.283214912597</v>
      </c>
      <c r="P20" s="123">
        <v>42009.098430568607</v>
      </c>
      <c r="Q20" s="120">
        <v>10436.631837812891</v>
      </c>
      <c r="R20" s="123">
        <v>50025.91505272549</v>
      </c>
      <c r="S20" s="123">
        <v>52445.7302683815</v>
      </c>
      <c r="U20" s="7" t="s">
        <v>5943</v>
      </c>
    </row>
    <row r="21" spans="1:21" ht="16.5" thickBot="1">
      <c r="A21" s="259" t="s">
        <v>10</v>
      </c>
      <c r="B21" s="263">
        <f t="shared" si="0"/>
        <v>70</v>
      </c>
      <c r="C21" s="263" t="s">
        <v>3</v>
      </c>
      <c r="D21" s="263">
        <f t="shared" si="1"/>
        <v>260</v>
      </c>
      <c r="E21" s="263" t="s">
        <v>3</v>
      </c>
      <c r="F21" s="261">
        <f t="shared" si="2"/>
        <v>1250</v>
      </c>
      <c r="G21" s="263" t="s">
        <v>3</v>
      </c>
      <c r="H21" s="260">
        <v>2</v>
      </c>
      <c r="I21" s="262" t="s">
        <v>581</v>
      </c>
      <c r="J21" s="112">
        <v>70</v>
      </c>
      <c r="K21" s="75">
        <v>260</v>
      </c>
      <c r="L21" s="75">
        <v>1250</v>
      </c>
      <c r="M21" s="202">
        <v>11.254190125612858</v>
      </c>
      <c r="N21" s="87">
        <v>2232.2566080360002</v>
      </c>
      <c r="O21" s="123">
        <v>40360.773515469737</v>
      </c>
      <c r="P21" s="123">
        <v>42898.999202650142</v>
      </c>
      <c r="Q21" s="120">
        <v>10868.734248128665</v>
      </c>
      <c r="R21" s="123">
        <v>51229.507763598405</v>
      </c>
      <c r="S21" s="123">
        <v>53767.733450778804</v>
      </c>
      <c r="U21" s="7" t="s">
        <v>5944</v>
      </c>
    </row>
    <row r="22" spans="1:21" ht="16.5" thickBot="1">
      <c r="A22" s="259" t="s">
        <v>10</v>
      </c>
      <c r="B22" s="263">
        <f t="shared" si="0"/>
        <v>70</v>
      </c>
      <c r="C22" s="263" t="s">
        <v>3</v>
      </c>
      <c r="D22" s="263">
        <f t="shared" si="1"/>
        <v>260</v>
      </c>
      <c r="E22" s="263" t="s">
        <v>3</v>
      </c>
      <c r="F22" s="261">
        <f t="shared" si="2"/>
        <v>1300</v>
      </c>
      <c r="G22" s="263" t="s">
        <v>3</v>
      </c>
      <c r="H22" s="260">
        <v>2</v>
      </c>
      <c r="I22" s="262" t="s">
        <v>581</v>
      </c>
      <c r="J22" s="112">
        <v>70</v>
      </c>
      <c r="K22" s="75">
        <v>260</v>
      </c>
      <c r="L22" s="75">
        <v>1300</v>
      </c>
      <c r="M22" s="202">
        <v>11.709858402951786</v>
      </c>
      <c r="N22" s="87">
        <v>2356.2708640379997</v>
      </c>
      <c r="O22" s="123">
        <v>43584.647406699296</v>
      </c>
      <c r="P22" s="123">
        <v>46085.052575093498</v>
      </c>
      <c r="Q22" s="120">
        <v>11300.836518051077</v>
      </c>
      <c r="R22" s="123">
        <v>54885.48392475037</v>
      </c>
      <c r="S22" s="123">
        <v>57385.889093144579</v>
      </c>
      <c r="U22" s="7" t="s">
        <v>5945</v>
      </c>
    </row>
    <row r="23" spans="1:21" ht="16.5" thickBot="1">
      <c r="A23" s="259" t="s">
        <v>10</v>
      </c>
      <c r="B23" s="263">
        <f t="shared" si="0"/>
        <v>70</v>
      </c>
      <c r="C23" s="263" t="s">
        <v>3</v>
      </c>
      <c r="D23" s="263">
        <f t="shared" si="1"/>
        <v>260</v>
      </c>
      <c r="E23" s="263" t="s">
        <v>3</v>
      </c>
      <c r="F23" s="261">
        <f t="shared" si="2"/>
        <v>1350</v>
      </c>
      <c r="G23" s="263" t="s">
        <v>3</v>
      </c>
      <c r="H23" s="260">
        <v>2</v>
      </c>
      <c r="I23" s="262" t="s">
        <v>581</v>
      </c>
      <c r="J23" s="112">
        <v>70</v>
      </c>
      <c r="K23" s="75">
        <v>260</v>
      </c>
      <c r="L23" s="75">
        <v>1350</v>
      </c>
      <c r="M23" s="202">
        <v>12.103526680290713</v>
      </c>
      <c r="N23" s="87">
        <v>2480.28512004</v>
      </c>
      <c r="O23" s="123">
        <v>44605.834111540767</v>
      </c>
      <c r="P23" s="123">
        <v>47208.742720190028</v>
      </c>
      <c r="Q23" s="120">
        <v>11732.938928366853</v>
      </c>
      <c r="R23" s="123">
        <v>56338.773039907624</v>
      </c>
      <c r="S23" s="123">
        <v>58941.681648556885</v>
      </c>
      <c r="U23" s="7" t="s">
        <v>5946</v>
      </c>
    </row>
    <row r="24" spans="1:21" ht="16.5" thickBot="1">
      <c r="A24" s="259" t="s">
        <v>10</v>
      </c>
      <c r="B24" s="263">
        <f t="shared" si="0"/>
        <v>70</v>
      </c>
      <c r="C24" s="263" t="s">
        <v>3</v>
      </c>
      <c r="D24" s="263">
        <f t="shared" si="1"/>
        <v>260</v>
      </c>
      <c r="E24" s="263" t="s">
        <v>3</v>
      </c>
      <c r="F24" s="261">
        <f t="shared" si="2"/>
        <v>1400</v>
      </c>
      <c r="G24" s="263" t="s">
        <v>3</v>
      </c>
      <c r="H24" s="260">
        <v>2</v>
      </c>
      <c r="I24" s="262" t="s">
        <v>581</v>
      </c>
      <c r="J24" s="112">
        <v>70</v>
      </c>
      <c r="K24" s="75">
        <v>260</v>
      </c>
      <c r="L24" s="75">
        <v>1400</v>
      </c>
      <c r="M24" s="202">
        <v>12.497194957629642</v>
      </c>
      <c r="N24" s="87">
        <v>2604.2993760420004</v>
      </c>
      <c r="O24" s="123">
        <v>45954.037292657791</v>
      </c>
      <c r="P24" s="123">
        <v>48638.616426658067</v>
      </c>
      <c r="Q24" s="120">
        <v>12165.041338682626</v>
      </c>
      <c r="R24" s="123">
        <v>58119.078631340417</v>
      </c>
      <c r="S24" s="123">
        <v>60803.657765340693</v>
      </c>
      <c r="U24" s="7" t="s">
        <v>5947</v>
      </c>
    </row>
    <row r="25" spans="1:21" ht="16.5" thickBot="1">
      <c r="A25" s="259" t="s">
        <v>10</v>
      </c>
      <c r="B25" s="263">
        <f t="shared" si="0"/>
        <v>70</v>
      </c>
      <c r="C25" s="263" t="s">
        <v>3</v>
      </c>
      <c r="D25" s="263">
        <f t="shared" si="1"/>
        <v>260</v>
      </c>
      <c r="E25" s="263" t="s">
        <v>3</v>
      </c>
      <c r="F25" s="261">
        <f t="shared" si="2"/>
        <v>1450</v>
      </c>
      <c r="G25" s="263" t="s">
        <v>3</v>
      </c>
      <c r="H25" s="260">
        <v>2</v>
      </c>
      <c r="I25" s="262" t="s">
        <v>581</v>
      </c>
      <c r="J25" s="112">
        <v>70</v>
      </c>
      <c r="K25" s="75">
        <v>260</v>
      </c>
      <c r="L25" s="75">
        <v>1450</v>
      </c>
      <c r="M25" s="202">
        <v>12.89086323496857</v>
      </c>
      <c r="N25" s="87">
        <v>2728.3136320440003</v>
      </c>
      <c r="O25" s="123">
        <v>46975.223997499263</v>
      </c>
      <c r="P25" s="123">
        <v>49762.306571754598</v>
      </c>
      <c r="Q25" s="120">
        <v>12597.14360860504</v>
      </c>
      <c r="R25" s="123">
        <v>59572.367606104301</v>
      </c>
      <c r="S25" s="123">
        <v>62359.450180359636</v>
      </c>
      <c r="U25" s="7" t="s">
        <v>5948</v>
      </c>
    </row>
    <row r="26" spans="1:21" ht="16.5" thickBot="1">
      <c r="A26" s="259" t="s">
        <v>10</v>
      </c>
      <c r="B26" s="263">
        <f t="shared" si="0"/>
        <v>70</v>
      </c>
      <c r="C26" s="263" t="s">
        <v>3</v>
      </c>
      <c r="D26" s="263">
        <f t="shared" si="1"/>
        <v>260</v>
      </c>
      <c r="E26" s="263" t="s">
        <v>3</v>
      </c>
      <c r="F26" s="261">
        <f t="shared" si="2"/>
        <v>1500</v>
      </c>
      <c r="G26" s="263" t="s">
        <v>3</v>
      </c>
      <c r="H26" s="260">
        <v>2</v>
      </c>
      <c r="I26" s="262" t="s">
        <v>581</v>
      </c>
      <c r="J26" s="112">
        <v>70</v>
      </c>
      <c r="K26" s="75">
        <v>260</v>
      </c>
      <c r="L26" s="75">
        <v>1500</v>
      </c>
      <c r="M26" s="202">
        <v>13.8512957011075</v>
      </c>
      <c r="N26" s="87">
        <v>2852.3278880459998</v>
      </c>
      <c r="O26" s="123">
        <v>48455.506923526358</v>
      </c>
      <c r="P26" s="123">
        <v>51423.229137703282</v>
      </c>
      <c r="Q26" s="120">
        <v>13029.246018920816</v>
      </c>
      <c r="R26" s="123">
        <v>61484.752942447172</v>
      </c>
      <c r="S26" s="123">
        <v>64452.475156624096</v>
      </c>
      <c r="U26" s="7" t="s">
        <v>5949</v>
      </c>
    </row>
    <row r="27" spans="1:21" ht="16.5" thickBot="1">
      <c r="A27" s="259" t="s">
        <v>10</v>
      </c>
      <c r="B27" s="263">
        <f t="shared" si="0"/>
        <v>70</v>
      </c>
      <c r="C27" s="263" t="s">
        <v>3</v>
      </c>
      <c r="D27" s="263">
        <f t="shared" si="1"/>
        <v>260</v>
      </c>
      <c r="E27" s="263" t="s">
        <v>3</v>
      </c>
      <c r="F27" s="261">
        <f t="shared" si="2"/>
        <v>1550</v>
      </c>
      <c r="G27" s="263" t="s">
        <v>3</v>
      </c>
      <c r="H27" s="260">
        <v>2</v>
      </c>
      <c r="I27" s="262" t="s">
        <v>581</v>
      </c>
      <c r="J27" s="112">
        <v>70</v>
      </c>
      <c r="K27" s="75">
        <v>260</v>
      </c>
      <c r="L27" s="75">
        <v>1550</v>
      </c>
      <c r="M27" s="202">
        <v>14.313963978446429</v>
      </c>
      <c r="N27" s="87">
        <v>2976.3421440480001</v>
      </c>
      <c r="O27" s="123">
        <v>49476.693628367953</v>
      </c>
      <c r="P27" s="123">
        <v>52546.919163465449</v>
      </c>
      <c r="Q27" s="120">
        <v>13461.348288843226</v>
      </c>
      <c r="R27" s="123">
        <v>62938.04191721118</v>
      </c>
      <c r="S27" s="123">
        <v>66008.267452308675</v>
      </c>
      <c r="U27" s="7" t="s">
        <v>5950</v>
      </c>
    </row>
    <row r="28" spans="1:21" ht="16.5" thickBot="1">
      <c r="A28" s="259" t="s">
        <v>10</v>
      </c>
      <c r="B28" s="260">
        <f t="shared" si="0"/>
        <v>70</v>
      </c>
      <c r="C28" s="260" t="s">
        <v>3</v>
      </c>
      <c r="D28" s="260">
        <f t="shared" si="1"/>
        <v>260</v>
      </c>
      <c r="E28" s="260" t="s">
        <v>3</v>
      </c>
      <c r="F28" s="261">
        <f t="shared" si="2"/>
        <v>1600</v>
      </c>
      <c r="G28" s="260" t="s">
        <v>3</v>
      </c>
      <c r="H28" s="260">
        <v>2</v>
      </c>
      <c r="I28" s="262" t="s">
        <v>581</v>
      </c>
      <c r="J28" s="112">
        <v>70</v>
      </c>
      <c r="K28" s="75">
        <v>260</v>
      </c>
      <c r="L28" s="75">
        <v>1600</v>
      </c>
      <c r="M28" s="202">
        <v>14.707632255785356</v>
      </c>
      <c r="N28" s="87">
        <v>3100.35640005</v>
      </c>
      <c r="O28" s="123">
        <v>52443.921678967759</v>
      </c>
      <c r="P28" s="123">
        <v>55492.676695685768</v>
      </c>
      <c r="Q28" s="120">
        <v>13893.450699159002</v>
      </c>
      <c r="R28" s="123">
        <v>66337.372378126762</v>
      </c>
      <c r="S28" s="123">
        <v>69386.127394844778</v>
      </c>
      <c r="U28" s="7" t="s">
        <v>5951</v>
      </c>
    </row>
    <row r="29" spans="1:21" ht="16.5" thickBot="1">
      <c r="A29" s="259" t="s">
        <v>10</v>
      </c>
      <c r="B29" s="263">
        <f t="shared" si="0"/>
        <v>70</v>
      </c>
      <c r="C29" s="263" t="s">
        <v>3</v>
      </c>
      <c r="D29" s="263">
        <f t="shared" si="1"/>
        <v>260</v>
      </c>
      <c r="E29" s="263" t="s">
        <v>3</v>
      </c>
      <c r="F29" s="261">
        <f t="shared" si="2"/>
        <v>1650</v>
      </c>
      <c r="G29" s="263" t="s">
        <v>3</v>
      </c>
      <c r="H29" s="260">
        <v>2</v>
      </c>
      <c r="I29" s="262" t="s">
        <v>581</v>
      </c>
      <c r="J29" s="112">
        <v>70</v>
      </c>
      <c r="K29" s="75">
        <v>260</v>
      </c>
      <c r="L29" s="75">
        <v>1650</v>
      </c>
      <c r="M29" s="202">
        <v>15.139300533124285</v>
      </c>
      <c r="N29" s="87">
        <v>3224.3706560520004</v>
      </c>
      <c r="O29" s="123">
        <v>55663.40991320186</v>
      </c>
      <c r="P29" s="123">
        <v>58674.623772866042</v>
      </c>
      <c r="Q29" s="120">
        <v>14325.553109474778</v>
      </c>
      <c r="R29" s="123">
        <v>69988.963022676646</v>
      </c>
      <c r="S29" s="123">
        <v>73000.17688234082</v>
      </c>
      <c r="U29" s="7" t="s">
        <v>5952</v>
      </c>
    </row>
    <row r="30" spans="1:21" ht="16.5" thickBot="1">
      <c r="A30" s="259" t="s">
        <v>10</v>
      </c>
      <c r="B30" s="263">
        <f t="shared" si="0"/>
        <v>70</v>
      </c>
      <c r="C30" s="263" t="s">
        <v>3</v>
      </c>
      <c r="D30" s="263">
        <f t="shared" si="1"/>
        <v>260</v>
      </c>
      <c r="E30" s="263" t="s">
        <v>3</v>
      </c>
      <c r="F30" s="261">
        <f t="shared" si="2"/>
        <v>1700</v>
      </c>
      <c r="G30" s="263" t="s">
        <v>3</v>
      </c>
      <c r="H30" s="260">
        <v>2</v>
      </c>
      <c r="I30" s="262" t="s">
        <v>581</v>
      </c>
      <c r="J30" s="112">
        <v>70</v>
      </c>
      <c r="K30" s="75">
        <v>260</v>
      </c>
      <c r="L30" s="75">
        <v>1700</v>
      </c>
      <c r="M30" s="202">
        <v>15.532968810463215</v>
      </c>
      <c r="N30" s="87">
        <v>3348.3849120540003</v>
      </c>
      <c r="O30" s="123">
        <v>56479.449161659366</v>
      </c>
      <c r="P30" s="123">
        <v>59606.235483143013</v>
      </c>
      <c r="Q30" s="120">
        <v>14757.655379397189</v>
      </c>
      <c r="R30" s="123">
        <v>71237.104541056557</v>
      </c>
      <c r="S30" s="123">
        <v>74363.890862540196</v>
      </c>
      <c r="U30" s="7" t="s">
        <v>5953</v>
      </c>
    </row>
    <row r="31" spans="1:21" ht="16.5" thickBot="1">
      <c r="A31" s="259" t="s">
        <v>10</v>
      </c>
      <c r="B31" s="263">
        <f t="shared" si="0"/>
        <v>70</v>
      </c>
      <c r="C31" s="263" t="s">
        <v>3</v>
      </c>
      <c r="D31" s="263">
        <f t="shared" si="1"/>
        <v>260</v>
      </c>
      <c r="E31" s="263" t="s">
        <v>3</v>
      </c>
      <c r="F31" s="261">
        <f t="shared" si="2"/>
        <v>1750</v>
      </c>
      <c r="G31" s="263" t="s">
        <v>3</v>
      </c>
      <c r="H31" s="260">
        <v>2</v>
      </c>
      <c r="I31" s="262" t="s">
        <v>581</v>
      </c>
      <c r="J31" s="112">
        <v>70</v>
      </c>
      <c r="K31" s="75">
        <v>260</v>
      </c>
      <c r="L31" s="75">
        <v>1750</v>
      </c>
      <c r="M31" s="202">
        <v>15.926637087802142</v>
      </c>
      <c r="N31" s="87">
        <v>3472.3991680559998</v>
      </c>
      <c r="O31" s="123">
        <v>57219.334592807616</v>
      </c>
      <c r="P31" s="123">
        <v>60466.544914440303</v>
      </c>
      <c r="Q31" s="120">
        <v>15189.757789712965</v>
      </c>
      <c r="R31" s="123">
        <v>72409.092382520583</v>
      </c>
      <c r="S31" s="123">
        <v>75656.302704153262</v>
      </c>
      <c r="U31" s="7" t="s">
        <v>5954</v>
      </c>
    </row>
    <row r="32" spans="1:21" ht="16.5" thickBot="1">
      <c r="A32" s="259" t="s">
        <v>10</v>
      </c>
      <c r="B32" s="263">
        <f t="shared" si="0"/>
        <v>70</v>
      </c>
      <c r="C32" s="263" t="s">
        <v>3</v>
      </c>
      <c r="D32" s="263">
        <f t="shared" si="1"/>
        <v>260</v>
      </c>
      <c r="E32" s="263" t="s">
        <v>3</v>
      </c>
      <c r="F32" s="261">
        <f t="shared" si="2"/>
        <v>1800</v>
      </c>
      <c r="G32" s="263" t="s">
        <v>3</v>
      </c>
      <c r="H32" s="260">
        <v>2</v>
      </c>
      <c r="I32" s="262" t="s">
        <v>581</v>
      </c>
      <c r="J32" s="112">
        <v>70</v>
      </c>
      <c r="K32" s="75">
        <v>260</v>
      </c>
      <c r="L32" s="75">
        <v>1800</v>
      </c>
      <c r="M32" s="202">
        <v>16.389305365141073</v>
      </c>
      <c r="N32" s="87">
        <v>3596.4134240580001</v>
      </c>
      <c r="O32" s="123">
        <v>58036.070515247848</v>
      </c>
      <c r="P32" s="123">
        <v>61398.808786984431</v>
      </c>
      <c r="Q32" s="120">
        <v>15621.860059635379</v>
      </c>
      <c r="R32" s="123">
        <v>73657.930574883227</v>
      </c>
      <c r="S32" s="123">
        <v>77020.66884661981</v>
      </c>
      <c r="U32" s="7" t="s">
        <v>5955</v>
      </c>
    </row>
    <row r="33" spans="1:21" ht="16.5" thickBot="1">
      <c r="A33" s="259" t="s">
        <v>10</v>
      </c>
      <c r="B33" s="263">
        <f t="shared" si="0"/>
        <v>70</v>
      </c>
      <c r="C33" s="263" t="s">
        <v>3</v>
      </c>
      <c r="D33" s="263">
        <f t="shared" si="1"/>
        <v>260</v>
      </c>
      <c r="E33" s="263" t="s">
        <v>3</v>
      </c>
      <c r="F33" s="261">
        <f t="shared" si="2"/>
        <v>1850</v>
      </c>
      <c r="G33" s="263" t="s">
        <v>3</v>
      </c>
      <c r="H33" s="260">
        <v>2</v>
      </c>
      <c r="I33" s="262" t="s">
        <v>581</v>
      </c>
      <c r="J33" s="112">
        <v>70</v>
      </c>
      <c r="K33" s="75">
        <v>260</v>
      </c>
      <c r="L33" s="75">
        <v>1850</v>
      </c>
      <c r="M33" s="202">
        <v>16.844973642479999</v>
      </c>
      <c r="N33" s="87">
        <v>3720.4276800600005</v>
      </c>
      <c r="O33" s="123">
        <v>58852.758226607402</v>
      </c>
      <c r="P33" s="123">
        <v>62331.027670475538</v>
      </c>
      <c r="Q33" s="120">
        <v>16053.962469951155</v>
      </c>
      <c r="R33" s="123">
        <v>74906.720696558565</v>
      </c>
      <c r="S33" s="123">
        <v>78384.9901404267</v>
      </c>
      <c r="U33" s="7" t="s">
        <v>5956</v>
      </c>
    </row>
    <row r="34" spans="1:21" ht="16.5" thickBot="1">
      <c r="A34" s="259" t="s">
        <v>10</v>
      </c>
      <c r="B34" s="263">
        <f t="shared" si="0"/>
        <v>70</v>
      </c>
      <c r="C34" s="263" t="s">
        <v>3</v>
      </c>
      <c r="D34" s="263">
        <f t="shared" si="1"/>
        <v>260</v>
      </c>
      <c r="E34" s="263" t="s">
        <v>3</v>
      </c>
      <c r="F34" s="261">
        <f t="shared" si="2"/>
        <v>1900</v>
      </c>
      <c r="G34" s="263" t="s">
        <v>3</v>
      </c>
      <c r="H34" s="260">
        <v>2</v>
      </c>
      <c r="I34" s="262" t="s">
        <v>581</v>
      </c>
      <c r="J34" s="112">
        <v>70</v>
      </c>
      <c r="K34" s="75">
        <v>260</v>
      </c>
      <c r="L34" s="75">
        <v>1900</v>
      </c>
      <c r="M34" s="202">
        <v>17.238641919818928</v>
      </c>
      <c r="N34" s="87">
        <v>3844.4419360620009</v>
      </c>
      <c r="O34" s="123">
        <v>59844.500371925118</v>
      </c>
      <c r="P34" s="123">
        <v>63427.148953489312</v>
      </c>
      <c r="Q34" s="120">
        <v>16486.064880266931</v>
      </c>
      <c r="R34" s="123">
        <v>76330.565252192057</v>
      </c>
      <c r="S34" s="123">
        <v>79913.21383375625</v>
      </c>
      <c r="U34" s="7" t="s">
        <v>5957</v>
      </c>
    </row>
    <row r="35" spans="1:21" ht="16.5" thickBot="1">
      <c r="A35" s="259" t="s">
        <v>10</v>
      </c>
      <c r="B35" s="263">
        <f t="shared" si="0"/>
        <v>70</v>
      </c>
      <c r="C35" s="263" t="s">
        <v>3</v>
      </c>
      <c r="D35" s="263">
        <f t="shared" si="1"/>
        <v>260</v>
      </c>
      <c r="E35" s="263" t="s">
        <v>3</v>
      </c>
      <c r="F35" s="261">
        <f t="shared" si="2"/>
        <v>1950</v>
      </c>
      <c r="G35" s="263" t="s">
        <v>3</v>
      </c>
      <c r="H35" s="260">
        <v>2</v>
      </c>
      <c r="I35" s="262" t="s">
        <v>581</v>
      </c>
      <c r="J35" s="112">
        <v>70</v>
      </c>
      <c r="K35" s="75">
        <v>260</v>
      </c>
      <c r="L35" s="75">
        <v>1950</v>
      </c>
      <c r="M35" s="202">
        <v>17.78556019715786</v>
      </c>
      <c r="N35" s="87">
        <v>3968.4561920640003</v>
      </c>
      <c r="O35" s="123">
        <v>60995.443739727154</v>
      </c>
      <c r="P35" s="123">
        <v>64672.329470559082</v>
      </c>
      <c r="Q35" s="120">
        <v>16918.16715018934</v>
      </c>
      <c r="R35" s="123">
        <v>77913.610889916497</v>
      </c>
      <c r="S35" s="123">
        <v>81590.496620748425</v>
      </c>
      <c r="U35" s="7" t="s">
        <v>5958</v>
      </c>
    </row>
    <row r="36" spans="1:21" ht="16.5" thickBot="1">
      <c r="A36" s="259" t="s">
        <v>10</v>
      </c>
      <c r="B36" s="263">
        <f t="shared" si="0"/>
        <v>70</v>
      </c>
      <c r="C36" s="263" t="s">
        <v>3</v>
      </c>
      <c r="D36" s="263">
        <f t="shared" si="1"/>
        <v>260</v>
      </c>
      <c r="E36" s="263" t="s">
        <v>3</v>
      </c>
      <c r="F36" s="261">
        <f t="shared" si="2"/>
        <v>2000</v>
      </c>
      <c r="G36" s="263" t="s">
        <v>3</v>
      </c>
      <c r="H36" s="260">
        <v>2</v>
      </c>
      <c r="I36" s="262" t="s">
        <v>581</v>
      </c>
      <c r="J36" s="112">
        <v>70</v>
      </c>
      <c r="K36" s="75">
        <v>260</v>
      </c>
      <c r="L36" s="75">
        <v>2000</v>
      </c>
      <c r="M36" s="202">
        <v>18.270790874496786</v>
      </c>
      <c r="N36" s="87">
        <v>4092.4704480659998</v>
      </c>
      <c r="O36" s="123">
        <v>62018.413299879023</v>
      </c>
      <c r="P36" s="123">
        <v>65987.946018502902</v>
      </c>
      <c r="Q36" s="120">
        <v>17350.269560505116</v>
      </c>
      <c r="R36" s="123">
        <v>79368.682860384142</v>
      </c>
      <c r="S36" s="123">
        <v>83338.215579008014</v>
      </c>
      <c r="U36" s="7" t="s">
        <v>5959</v>
      </c>
    </row>
    <row r="37" spans="1:21" ht="16.5" thickBot="1">
      <c r="A37" s="259" t="s">
        <v>10</v>
      </c>
      <c r="B37" s="263">
        <f t="shared" si="0"/>
        <v>70</v>
      </c>
      <c r="C37" s="263" t="s">
        <v>3</v>
      </c>
      <c r="D37" s="263">
        <f t="shared" si="1"/>
        <v>260</v>
      </c>
      <c r="E37" s="263" t="s">
        <v>3</v>
      </c>
      <c r="F37" s="261">
        <f t="shared" si="2"/>
        <v>2050</v>
      </c>
      <c r="G37" s="263" t="s">
        <v>3</v>
      </c>
      <c r="H37" s="260">
        <v>2</v>
      </c>
      <c r="I37" s="262" t="s">
        <v>581</v>
      </c>
      <c r="J37" s="112">
        <v>70</v>
      </c>
      <c r="K37" s="75">
        <v>260</v>
      </c>
      <c r="L37" s="75">
        <v>2050</v>
      </c>
      <c r="M37" s="202">
        <v>18.664459151835715</v>
      </c>
      <c r="N37" s="87">
        <v>4216.4847040679997</v>
      </c>
      <c r="O37" s="123">
        <v>64979.071397392261</v>
      </c>
      <c r="P37" s="123">
        <v>68927.55198389625</v>
      </c>
      <c r="Q37" s="120">
        <v>17782.371830427528</v>
      </c>
      <c r="R37" s="123">
        <v>82761.443227819793</v>
      </c>
      <c r="S37" s="123">
        <v>86709.923814323774</v>
      </c>
      <c r="U37" s="7" t="s">
        <v>5960</v>
      </c>
    </row>
    <row r="38" spans="1:21" ht="16.5" thickBot="1">
      <c r="A38" s="259" t="s">
        <v>10</v>
      </c>
      <c r="B38" s="260">
        <f t="shared" si="0"/>
        <v>70</v>
      </c>
      <c r="C38" s="260" t="s">
        <v>3</v>
      </c>
      <c r="D38" s="260">
        <f t="shared" si="1"/>
        <v>260</v>
      </c>
      <c r="E38" s="260" t="s">
        <v>3</v>
      </c>
      <c r="F38" s="261">
        <f t="shared" si="2"/>
        <v>2100</v>
      </c>
      <c r="G38" s="260" t="s">
        <v>3</v>
      </c>
      <c r="H38" s="260">
        <v>2</v>
      </c>
      <c r="I38" s="262" t="s">
        <v>581</v>
      </c>
      <c r="J38" s="112">
        <v>70</v>
      </c>
      <c r="K38" s="75">
        <v>260</v>
      </c>
      <c r="L38" s="75">
        <v>2100</v>
      </c>
      <c r="M38" s="202">
        <v>19.058127429174643</v>
      </c>
      <c r="N38" s="87">
        <v>4340.4989600700001</v>
      </c>
      <c r="O38" s="123">
        <v>65857.688986578723</v>
      </c>
      <c r="P38" s="123">
        <v>69917.755432000296</v>
      </c>
      <c r="Q38" s="120">
        <v>18214.474240743304</v>
      </c>
      <c r="R38" s="123">
        <v>84072.163227322031</v>
      </c>
      <c r="S38" s="123">
        <v>88132.229672743604</v>
      </c>
      <c r="U38" s="7" t="s">
        <v>5961</v>
      </c>
    </row>
    <row r="39" spans="1:21" ht="16.5" thickBot="1">
      <c r="A39" s="259" t="s">
        <v>10</v>
      </c>
      <c r="B39" s="263">
        <f t="shared" si="0"/>
        <v>70</v>
      </c>
      <c r="C39" s="263" t="s">
        <v>3</v>
      </c>
      <c r="D39" s="263">
        <f t="shared" si="1"/>
        <v>260</v>
      </c>
      <c r="E39" s="263" t="s">
        <v>3</v>
      </c>
      <c r="F39" s="261">
        <f t="shared" si="2"/>
        <v>2150</v>
      </c>
      <c r="G39" s="263" t="s">
        <v>3</v>
      </c>
      <c r="H39" s="260">
        <v>2</v>
      </c>
      <c r="I39" s="262" t="s">
        <v>581</v>
      </c>
      <c r="J39" s="112">
        <v>70</v>
      </c>
      <c r="K39" s="75">
        <v>260</v>
      </c>
      <c r="L39" s="75">
        <v>2150</v>
      </c>
      <c r="M39" s="202">
        <v>19.575795706513571</v>
      </c>
      <c r="N39" s="87">
        <v>4464.5132160720004</v>
      </c>
      <c r="O39" s="123">
        <v>66883.923892771971</v>
      </c>
      <c r="P39" s="123">
        <v>71046.172172353312</v>
      </c>
      <c r="Q39" s="120">
        <v>18646.576510665716</v>
      </c>
      <c r="R39" s="123">
        <v>85530.500403437691</v>
      </c>
      <c r="S39" s="123">
        <v>89692.748683019032</v>
      </c>
      <c r="U39" s="7" t="s">
        <v>5962</v>
      </c>
    </row>
    <row r="40" spans="1:21" ht="16.5" thickBot="1">
      <c r="A40" s="259" t="s">
        <v>10</v>
      </c>
      <c r="B40" s="263">
        <f t="shared" si="0"/>
        <v>70</v>
      </c>
      <c r="C40" s="263" t="s">
        <v>3</v>
      </c>
      <c r="D40" s="263">
        <f t="shared" si="1"/>
        <v>260</v>
      </c>
      <c r="E40" s="263" t="s">
        <v>3</v>
      </c>
      <c r="F40" s="261">
        <f t="shared" si="2"/>
        <v>2200</v>
      </c>
      <c r="G40" s="263" t="s">
        <v>3</v>
      </c>
      <c r="H40" s="260">
        <v>2</v>
      </c>
      <c r="I40" s="262" t="s">
        <v>581</v>
      </c>
      <c r="J40" s="112">
        <v>70</v>
      </c>
      <c r="K40" s="75">
        <v>260</v>
      </c>
      <c r="L40" s="75">
        <v>2200</v>
      </c>
      <c r="M40" s="202">
        <v>19.969463983852499</v>
      </c>
      <c r="N40" s="87">
        <v>4588.5274720739999</v>
      </c>
      <c r="O40" s="123">
        <v>67910.110707218875</v>
      </c>
      <c r="P40" s="123">
        <v>72174.543804319197</v>
      </c>
      <c r="Q40" s="120">
        <v>19078.678920981492</v>
      </c>
      <c r="R40" s="123">
        <v>86988.789628200364</v>
      </c>
      <c r="S40" s="123">
        <v>91253.222725300686</v>
      </c>
      <c r="U40" s="7" t="s">
        <v>5963</v>
      </c>
    </row>
    <row r="41" spans="1:21" ht="16.5" thickBot="1">
      <c r="A41" s="259" t="s">
        <v>10</v>
      </c>
      <c r="B41" s="263">
        <f t="shared" si="0"/>
        <v>70</v>
      </c>
      <c r="C41" s="263" t="s">
        <v>3</v>
      </c>
      <c r="D41" s="263">
        <f t="shared" si="1"/>
        <v>260</v>
      </c>
      <c r="E41" s="263" t="s">
        <v>3</v>
      </c>
      <c r="F41" s="261">
        <f t="shared" si="2"/>
        <v>2250</v>
      </c>
      <c r="G41" s="263" t="s">
        <v>3</v>
      </c>
      <c r="H41" s="260">
        <v>2</v>
      </c>
      <c r="I41" s="262" t="s">
        <v>581</v>
      </c>
      <c r="J41" s="112">
        <v>70</v>
      </c>
      <c r="K41" s="75">
        <v>260</v>
      </c>
      <c r="L41" s="75">
        <v>2250</v>
      </c>
      <c r="M41" s="202">
        <v>20.363132261191431</v>
      </c>
      <c r="N41" s="87">
        <v>4712.5417280759993</v>
      </c>
      <c r="O41" s="123">
        <v>69255.908704347894</v>
      </c>
      <c r="P41" s="123">
        <v>73602.165552115068</v>
      </c>
      <c r="Q41" s="120">
        <v>19510.781331297265</v>
      </c>
      <c r="R41" s="123">
        <v>88766.690035645152</v>
      </c>
      <c r="S41" s="123">
        <v>93112.94688341234</v>
      </c>
      <c r="U41" s="7" t="s">
        <v>5964</v>
      </c>
    </row>
    <row r="42" spans="1:21" ht="16.5" thickBot="1">
      <c r="A42" s="259" t="s">
        <v>10</v>
      </c>
      <c r="B42" s="263">
        <f t="shared" si="0"/>
        <v>70</v>
      </c>
      <c r="C42" s="263" t="s">
        <v>3</v>
      </c>
      <c r="D42" s="263">
        <f t="shared" si="1"/>
        <v>260</v>
      </c>
      <c r="E42" s="263" t="s">
        <v>3</v>
      </c>
      <c r="F42" s="261">
        <f t="shared" si="2"/>
        <v>2300</v>
      </c>
      <c r="G42" s="263" t="s">
        <v>3</v>
      </c>
      <c r="H42" s="260">
        <v>2</v>
      </c>
      <c r="I42" s="262" t="s">
        <v>581</v>
      </c>
      <c r="J42" s="112">
        <v>70</v>
      </c>
      <c r="K42" s="75">
        <v>260</v>
      </c>
      <c r="L42" s="75">
        <v>2300</v>
      </c>
      <c r="M42" s="202">
        <v>20.756800538530356</v>
      </c>
      <c r="N42" s="87">
        <v>4836.5559840779997</v>
      </c>
      <c r="O42" s="123">
        <v>70039.190074828293</v>
      </c>
      <c r="P42" s="123">
        <v>74503.106184335469</v>
      </c>
      <c r="Q42" s="120">
        <v>19942.883601219681</v>
      </c>
      <c r="R42" s="123">
        <v>89982.073676047978</v>
      </c>
      <c r="S42" s="123">
        <v>94445.989785555154</v>
      </c>
      <c r="U42" s="7" t="s">
        <v>5965</v>
      </c>
    </row>
    <row r="43" spans="1:21" ht="16.5" thickBot="1">
      <c r="A43" s="259" t="s">
        <v>10</v>
      </c>
      <c r="B43" s="263">
        <f t="shared" si="0"/>
        <v>70</v>
      </c>
      <c r="C43" s="263" t="s">
        <v>3</v>
      </c>
      <c r="D43" s="263">
        <f t="shared" si="1"/>
        <v>260</v>
      </c>
      <c r="E43" s="263" t="s">
        <v>3</v>
      </c>
      <c r="F43" s="261">
        <f t="shared" si="2"/>
        <v>2350</v>
      </c>
      <c r="G43" s="263" t="s">
        <v>3</v>
      </c>
      <c r="H43" s="260">
        <v>2</v>
      </c>
      <c r="I43" s="262" t="s">
        <v>581</v>
      </c>
      <c r="J43" s="112">
        <v>70</v>
      </c>
      <c r="K43" s="75">
        <v>260</v>
      </c>
      <c r="L43" s="75">
        <v>2350</v>
      </c>
      <c r="M43" s="202">
        <v>21.150468815869289</v>
      </c>
      <c r="N43" s="87">
        <v>4960.5702400800001</v>
      </c>
      <c r="O43" s="123">
        <v>70822.423353562364</v>
      </c>
      <c r="P43" s="123">
        <v>75404.001827502856</v>
      </c>
      <c r="Q43" s="120">
        <v>20374.986011535453</v>
      </c>
      <c r="R43" s="123">
        <v>91197.409365097817</v>
      </c>
      <c r="S43" s="123">
        <v>95778.987839038309</v>
      </c>
      <c r="U43" s="7" t="s">
        <v>5966</v>
      </c>
    </row>
    <row r="44" spans="1:21" ht="16.5" thickBot="1">
      <c r="A44" s="259" t="s">
        <v>10</v>
      </c>
      <c r="B44" s="263">
        <f t="shared" si="0"/>
        <v>70</v>
      </c>
      <c r="C44" s="263" t="s">
        <v>3</v>
      </c>
      <c r="D44" s="263">
        <f t="shared" si="1"/>
        <v>260</v>
      </c>
      <c r="E44" s="263" t="s">
        <v>3</v>
      </c>
      <c r="F44" s="261">
        <f t="shared" si="2"/>
        <v>2400</v>
      </c>
      <c r="G44" s="263" t="s">
        <v>3</v>
      </c>
      <c r="H44" s="260">
        <v>2</v>
      </c>
      <c r="I44" s="262" t="s">
        <v>581</v>
      </c>
      <c r="J44" s="112">
        <v>70</v>
      </c>
      <c r="K44" s="75">
        <v>260</v>
      </c>
      <c r="L44" s="75">
        <v>2400</v>
      </c>
      <c r="M44" s="202">
        <v>21.544137093208214</v>
      </c>
      <c r="N44" s="87">
        <v>5084.5844960819995</v>
      </c>
      <c r="O44" s="123">
        <v>71605.608540550122</v>
      </c>
      <c r="P44" s="123">
        <v>76304.852481617228</v>
      </c>
      <c r="Q44" s="120">
        <v>20807.088281457865</v>
      </c>
      <c r="R44" s="123">
        <v>92412.696822007987</v>
      </c>
      <c r="S44" s="123">
        <v>97111.940763075094</v>
      </c>
      <c r="U44" s="7" t="s">
        <v>5967</v>
      </c>
    </row>
    <row r="45" spans="1:21" ht="16.5" thickBot="1">
      <c r="A45" s="259" t="s">
        <v>10</v>
      </c>
      <c r="B45" s="263">
        <f t="shared" si="0"/>
        <v>70</v>
      </c>
      <c r="C45" s="263" t="s">
        <v>3</v>
      </c>
      <c r="D45" s="263">
        <f t="shared" si="1"/>
        <v>260</v>
      </c>
      <c r="E45" s="263" t="s">
        <v>3</v>
      </c>
      <c r="F45" s="261">
        <f t="shared" si="2"/>
        <v>2450</v>
      </c>
      <c r="G45" s="263" t="s">
        <v>3</v>
      </c>
      <c r="H45" s="260">
        <v>2</v>
      </c>
      <c r="I45" s="262" t="s">
        <v>581</v>
      </c>
      <c r="J45" s="112">
        <v>70</v>
      </c>
      <c r="K45" s="75">
        <v>260</v>
      </c>
      <c r="L45" s="75">
        <v>2450</v>
      </c>
      <c r="M45" s="202">
        <v>22.618569559347144</v>
      </c>
      <c r="N45" s="87">
        <v>5208.5987520840008</v>
      </c>
      <c r="O45" s="123">
        <v>72847.841856977277</v>
      </c>
      <c r="P45" s="123">
        <v>77742.89068686511</v>
      </c>
      <c r="Q45" s="120">
        <v>21239.190691773641</v>
      </c>
      <c r="R45" s="123">
        <v>94087.032548750925</v>
      </c>
      <c r="S45" s="123">
        <v>98982.081378638744</v>
      </c>
      <c r="U45" s="7" t="s">
        <v>5968</v>
      </c>
    </row>
    <row r="46" spans="1:21" ht="16.5" thickBot="1">
      <c r="A46" s="259" t="s">
        <v>10</v>
      </c>
      <c r="B46" s="263">
        <f t="shared" si="0"/>
        <v>70</v>
      </c>
      <c r="C46" s="263" t="s">
        <v>3</v>
      </c>
      <c r="D46" s="263">
        <f t="shared" si="1"/>
        <v>260</v>
      </c>
      <c r="E46" s="263" t="s">
        <v>3</v>
      </c>
      <c r="F46" s="261">
        <f t="shared" si="2"/>
        <v>2500</v>
      </c>
      <c r="G46" s="263" t="s">
        <v>3</v>
      </c>
      <c r="H46" s="260">
        <v>2</v>
      </c>
      <c r="I46" s="262" t="s">
        <v>581</v>
      </c>
      <c r="J46" s="112">
        <v>70</v>
      </c>
      <c r="K46" s="75">
        <v>260</v>
      </c>
      <c r="L46" s="75">
        <v>2500</v>
      </c>
      <c r="M46" s="202">
        <v>23.029237836686072</v>
      </c>
      <c r="N46" s="87">
        <v>5332.6130080860003</v>
      </c>
      <c r="O46" s="123">
        <v>73630.930860472377</v>
      </c>
      <c r="P46" s="123">
        <v>78643.651243539105</v>
      </c>
      <c r="Q46" s="120">
        <v>21671.293102089418</v>
      </c>
      <c r="R46" s="123">
        <v>95302.223962561795</v>
      </c>
      <c r="S46" s="123">
        <v>100314.94434562852</v>
      </c>
      <c r="U46" s="7" t="s">
        <v>5969</v>
      </c>
    </row>
    <row r="47" spans="1:21" ht="16.5" thickBot="1">
      <c r="A47" s="259" t="s">
        <v>10</v>
      </c>
      <c r="B47" s="263">
        <f t="shared" si="0"/>
        <v>70</v>
      </c>
      <c r="C47" s="263" t="s">
        <v>3</v>
      </c>
      <c r="D47" s="263">
        <f t="shared" si="1"/>
        <v>260</v>
      </c>
      <c r="E47" s="263" t="s">
        <v>3</v>
      </c>
      <c r="F47" s="261">
        <f t="shared" si="2"/>
        <v>2550</v>
      </c>
      <c r="G47" s="263" t="s">
        <v>3</v>
      </c>
      <c r="H47" s="260">
        <v>2</v>
      </c>
      <c r="I47" s="262" t="s">
        <v>581</v>
      </c>
      <c r="J47" s="112">
        <v>70</v>
      </c>
      <c r="K47" s="75">
        <v>260</v>
      </c>
      <c r="L47" s="75">
        <v>2550</v>
      </c>
      <c r="M47" s="202">
        <v>23.422906114025</v>
      </c>
      <c r="N47" s="87">
        <v>5456.6272640880006</v>
      </c>
      <c r="O47" s="123">
        <v>77708.307589880482</v>
      </c>
      <c r="P47" s="123">
        <v>82628.834424562359</v>
      </c>
      <c r="Q47" s="120">
        <v>22103.39537201183</v>
      </c>
      <c r="R47" s="123">
        <v>99811.702961892312</v>
      </c>
      <c r="S47" s="123">
        <v>104732.22979657419</v>
      </c>
      <c r="U47" s="7" t="s">
        <v>5970</v>
      </c>
    </row>
    <row r="48" spans="1:21" ht="16.5" thickBot="1">
      <c r="A48" s="259" t="s">
        <v>10</v>
      </c>
      <c r="B48" s="260">
        <f t="shared" si="0"/>
        <v>70</v>
      </c>
      <c r="C48" s="260" t="s">
        <v>3</v>
      </c>
      <c r="D48" s="260">
        <f t="shared" si="1"/>
        <v>260</v>
      </c>
      <c r="E48" s="260" t="s">
        <v>3</v>
      </c>
      <c r="F48" s="261">
        <f t="shared" si="2"/>
        <v>2600</v>
      </c>
      <c r="G48" s="260" t="s">
        <v>3</v>
      </c>
      <c r="H48" s="260">
        <v>2</v>
      </c>
      <c r="I48" s="262" t="s">
        <v>581</v>
      </c>
      <c r="J48" s="112">
        <v>70</v>
      </c>
      <c r="K48" s="75">
        <v>260</v>
      </c>
      <c r="L48" s="75">
        <v>2600</v>
      </c>
      <c r="M48" s="202">
        <v>23.816574391363929</v>
      </c>
      <c r="N48" s="87">
        <v>5580.6415200900001</v>
      </c>
      <c r="O48" s="123">
        <v>78761.903955042057</v>
      </c>
      <c r="P48" s="123">
        <v>83782.869506914707</v>
      </c>
      <c r="Q48" s="120">
        <v>22535.497782327606</v>
      </c>
      <c r="R48" s="123">
        <v>101297.40173736966</v>
      </c>
      <c r="S48" s="123">
        <v>106318.36728924231</v>
      </c>
      <c r="U48" s="7" t="s">
        <v>5971</v>
      </c>
    </row>
    <row r="49" spans="1:21" ht="16.5" thickBot="1">
      <c r="A49" s="259" t="s">
        <v>10</v>
      </c>
      <c r="B49" s="263">
        <f t="shared" si="0"/>
        <v>70</v>
      </c>
      <c r="C49" s="263" t="s">
        <v>3</v>
      </c>
      <c r="D49" s="263">
        <f t="shared" si="1"/>
        <v>260</v>
      </c>
      <c r="E49" s="263" t="s">
        <v>3</v>
      </c>
      <c r="F49" s="261">
        <f t="shared" si="2"/>
        <v>2650</v>
      </c>
      <c r="G49" s="263" t="s">
        <v>3</v>
      </c>
      <c r="H49" s="260">
        <v>2</v>
      </c>
      <c r="I49" s="262" t="s">
        <v>581</v>
      </c>
      <c r="J49" s="112">
        <v>70</v>
      </c>
      <c r="K49" s="75">
        <v>260</v>
      </c>
      <c r="L49" s="75">
        <v>2650</v>
      </c>
      <c r="M49" s="202">
        <v>24.31724266870286</v>
      </c>
      <c r="N49" s="87">
        <v>5704.6557760919995</v>
      </c>
      <c r="O49" s="123">
        <v>79384.880498894185</v>
      </c>
      <c r="P49" s="123">
        <v>84533.717708206474</v>
      </c>
      <c r="Q49" s="120">
        <v>22967.600052250018</v>
      </c>
      <c r="R49" s="123">
        <v>102352.4805511442</v>
      </c>
      <c r="S49" s="123">
        <v>107501.3177604565</v>
      </c>
      <c r="U49" s="7" t="s">
        <v>5972</v>
      </c>
    </row>
    <row r="50" spans="1:21" ht="16.5" thickBot="1">
      <c r="A50" s="259" t="s">
        <v>10</v>
      </c>
      <c r="B50" s="263">
        <f t="shared" si="0"/>
        <v>70</v>
      </c>
      <c r="C50" s="263" t="s">
        <v>3</v>
      </c>
      <c r="D50" s="263">
        <f t="shared" si="1"/>
        <v>260</v>
      </c>
      <c r="E50" s="263" t="s">
        <v>3</v>
      </c>
      <c r="F50" s="261">
        <f t="shared" si="2"/>
        <v>2700</v>
      </c>
      <c r="G50" s="263" t="s">
        <v>3</v>
      </c>
      <c r="H50" s="260">
        <v>2</v>
      </c>
      <c r="I50" s="262" t="s">
        <v>581</v>
      </c>
      <c r="J50" s="112">
        <v>70</v>
      </c>
      <c r="K50" s="75">
        <v>260</v>
      </c>
      <c r="L50" s="75">
        <v>2700</v>
      </c>
      <c r="M50" s="202">
        <v>24.750160946041788</v>
      </c>
      <c r="N50" s="87">
        <v>5828.6700320940008</v>
      </c>
      <c r="O50" s="123">
        <v>80043.188366156392</v>
      </c>
      <c r="P50" s="123">
        <v>85317.64634824534</v>
      </c>
      <c r="Q50" s="120">
        <v>23399.70246256579</v>
      </c>
      <c r="R50" s="123">
        <v>103442.89082872219</v>
      </c>
      <c r="S50" s="123">
        <v>108717.34881081113</v>
      </c>
      <c r="U50" s="7" t="s">
        <v>5973</v>
      </c>
    </row>
    <row r="51" spans="1:21" ht="16.5" thickBot="1">
      <c r="A51" s="259" t="s">
        <v>10</v>
      </c>
      <c r="B51" s="263">
        <f t="shared" si="0"/>
        <v>70</v>
      </c>
      <c r="C51" s="263" t="s">
        <v>3</v>
      </c>
      <c r="D51" s="263">
        <f t="shared" si="1"/>
        <v>260</v>
      </c>
      <c r="E51" s="263" t="s">
        <v>3</v>
      </c>
      <c r="F51" s="261">
        <f t="shared" si="2"/>
        <v>2750</v>
      </c>
      <c r="G51" s="263" t="s">
        <v>3</v>
      </c>
      <c r="H51" s="260">
        <v>2</v>
      </c>
      <c r="I51" s="262" t="s">
        <v>581</v>
      </c>
      <c r="J51" s="112">
        <v>70</v>
      </c>
      <c r="K51" s="75">
        <v>260</v>
      </c>
      <c r="L51" s="75">
        <v>2750</v>
      </c>
      <c r="M51" s="202">
        <v>25.143829223380717</v>
      </c>
      <c r="N51" s="87">
        <v>5952.6842880960003</v>
      </c>
      <c r="O51" s="123">
        <v>80747.822785917597</v>
      </c>
      <c r="P51" s="123">
        <v>86144.95040210677</v>
      </c>
      <c r="Q51" s="120">
        <v>23831.804872881567</v>
      </c>
      <c r="R51" s="123">
        <v>104579.62765879916</v>
      </c>
      <c r="S51" s="123">
        <v>109976.75527498833</v>
      </c>
      <c r="U51" s="7" t="s">
        <v>5974</v>
      </c>
    </row>
    <row r="52" spans="1:21" ht="16.5" thickBot="1">
      <c r="A52" s="259" t="s">
        <v>10</v>
      </c>
      <c r="B52" s="263">
        <f t="shared" si="0"/>
        <v>70</v>
      </c>
      <c r="C52" s="263" t="s">
        <v>3</v>
      </c>
      <c r="D52" s="263">
        <f t="shared" si="1"/>
        <v>260</v>
      </c>
      <c r="E52" s="263" t="s">
        <v>3</v>
      </c>
      <c r="F52" s="261">
        <f t="shared" si="2"/>
        <v>2800</v>
      </c>
      <c r="G52" s="263" t="s">
        <v>3</v>
      </c>
      <c r="H52" s="260">
        <v>2</v>
      </c>
      <c r="I52" s="262" t="s">
        <v>581</v>
      </c>
      <c r="J52" s="112">
        <v>70</v>
      </c>
      <c r="K52" s="75">
        <v>260</v>
      </c>
      <c r="L52" s="75">
        <v>2800</v>
      </c>
      <c r="M52" s="202">
        <v>25.537497500719645</v>
      </c>
      <c r="N52" s="87">
        <v>6076.6985440980006</v>
      </c>
      <c r="O52" s="123">
        <v>81369.564935169285</v>
      </c>
      <c r="P52" s="123">
        <v>86894.642850140081</v>
      </c>
      <c r="Q52" s="120">
        <v>24263.907142803979</v>
      </c>
      <c r="R52" s="123">
        <v>105633.47207797326</v>
      </c>
      <c r="S52" s="123">
        <v>111158.54999294406</v>
      </c>
      <c r="U52" s="7" t="s">
        <v>5975</v>
      </c>
    </row>
    <row r="53" spans="1:21" ht="16.5" thickBot="1">
      <c r="A53" s="259" t="s">
        <v>10</v>
      </c>
      <c r="B53" s="263">
        <f t="shared" si="0"/>
        <v>70</v>
      </c>
      <c r="C53" s="263" t="s">
        <v>3</v>
      </c>
      <c r="D53" s="263">
        <f t="shared" si="1"/>
        <v>260</v>
      </c>
      <c r="E53" s="263" t="s">
        <v>3</v>
      </c>
      <c r="F53" s="261">
        <f t="shared" si="2"/>
        <v>2850</v>
      </c>
      <c r="G53" s="263" t="s">
        <v>3</v>
      </c>
      <c r="H53" s="260">
        <v>2</v>
      </c>
      <c r="I53" s="262" t="s">
        <v>581</v>
      </c>
      <c r="J53" s="112">
        <v>70</v>
      </c>
      <c r="K53" s="75">
        <v>260</v>
      </c>
      <c r="L53" s="75">
        <v>2850</v>
      </c>
      <c r="M53" s="202">
        <v>25.931165778058578</v>
      </c>
      <c r="N53" s="87">
        <v>6200.7128001000001</v>
      </c>
      <c r="O53" s="123">
        <v>81991.258992674659</v>
      </c>
      <c r="P53" s="123">
        <v>87644.290189786028</v>
      </c>
      <c r="Q53" s="120">
        <v>24696.009553119755</v>
      </c>
      <c r="R53" s="123">
        <v>106687.26854579442</v>
      </c>
      <c r="S53" s="123">
        <v>112340.29974290579</v>
      </c>
      <c r="U53" s="7" t="s">
        <v>5976</v>
      </c>
    </row>
    <row r="54" spans="1:21" ht="16.5" thickBot="1">
      <c r="A54" s="259" t="s">
        <v>10</v>
      </c>
      <c r="B54" s="263">
        <f t="shared" si="0"/>
        <v>70</v>
      </c>
      <c r="C54" s="263" t="s">
        <v>3</v>
      </c>
      <c r="D54" s="263">
        <f t="shared" si="1"/>
        <v>260</v>
      </c>
      <c r="E54" s="263" t="s">
        <v>3</v>
      </c>
      <c r="F54" s="261">
        <f t="shared" si="2"/>
        <v>2900</v>
      </c>
      <c r="G54" s="263" t="s">
        <v>3</v>
      </c>
      <c r="H54" s="260">
        <v>2</v>
      </c>
      <c r="I54" s="262" t="s">
        <v>581</v>
      </c>
      <c r="J54" s="112">
        <v>70</v>
      </c>
      <c r="K54" s="75">
        <v>260</v>
      </c>
      <c r="L54" s="75">
        <v>2900</v>
      </c>
      <c r="M54" s="202">
        <v>26.500834055397497</v>
      </c>
      <c r="N54" s="87">
        <v>6324.7270561019996</v>
      </c>
      <c r="O54" s="123">
        <v>82612.90495843369</v>
      </c>
      <c r="P54" s="123">
        <v>88393.892540378947</v>
      </c>
      <c r="Q54" s="120">
        <v>25128.111823042171</v>
      </c>
      <c r="R54" s="123">
        <v>107741.01678147586</v>
      </c>
      <c r="S54" s="123">
        <v>113522.00436342112</v>
      </c>
      <c r="U54" s="7" t="s">
        <v>5977</v>
      </c>
    </row>
    <row r="55" spans="1:21" ht="16.5" thickBot="1">
      <c r="A55" s="259" t="s">
        <v>10</v>
      </c>
      <c r="B55" s="263">
        <f t="shared" si="0"/>
        <v>70</v>
      </c>
      <c r="C55" s="263" t="s">
        <v>3</v>
      </c>
      <c r="D55" s="263">
        <f t="shared" si="1"/>
        <v>260</v>
      </c>
      <c r="E55" s="263" t="s">
        <v>3</v>
      </c>
      <c r="F55" s="261">
        <f t="shared" si="2"/>
        <v>2950</v>
      </c>
      <c r="G55" s="263" t="s">
        <v>3</v>
      </c>
      <c r="H55" s="260">
        <v>2</v>
      </c>
      <c r="I55" s="262" t="s">
        <v>581</v>
      </c>
      <c r="J55" s="112">
        <v>70</v>
      </c>
      <c r="K55" s="75">
        <v>260</v>
      </c>
      <c r="L55" s="75">
        <v>2950</v>
      </c>
      <c r="M55" s="202">
        <v>26.89450233273643</v>
      </c>
      <c r="N55" s="87">
        <v>6448.7413121040008</v>
      </c>
      <c r="O55" s="123">
        <v>83234.502832446407</v>
      </c>
      <c r="P55" s="123">
        <v>89143.449901918881</v>
      </c>
      <c r="Q55" s="120">
        <v>25560.214233357947</v>
      </c>
      <c r="R55" s="123">
        <v>108794.71706580435</v>
      </c>
      <c r="S55" s="123">
        <v>114703.66413527683</v>
      </c>
      <c r="U55" s="7" t="s">
        <v>5978</v>
      </c>
    </row>
    <row r="56" spans="1:21" ht="16.5" thickBot="1">
      <c r="A56" s="264" t="s">
        <v>10</v>
      </c>
      <c r="B56" s="265">
        <f t="shared" si="0"/>
        <v>70</v>
      </c>
      <c r="C56" s="265" t="s">
        <v>3</v>
      </c>
      <c r="D56" s="265">
        <f t="shared" si="1"/>
        <v>260</v>
      </c>
      <c r="E56" s="265" t="s">
        <v>3</v>
      </c>
      <c r="F56" s="266">
        <f t="shared" si="2"/>
        <v>3000</v>
      </c>
      <c r="G56" s="265" t="s">
        <v>3</v>
      </c>
      <c r="H56" s="267">
        <v>2</v>
      </c>
      <c r="I56" s="262" t="s">
        <v>581</v>
      </c>
      <c r="J56" s="346">
        <v>70</v>
      </c>
      <c r="K56" s="322">
        <v>260</v>
      </c>
      <c r="L56" s="322">
        <v>3000</v>
      </c>
      <c r="M56" s="305">
        <v>27.288170610075362</v>
      </c>
      <c r="N56" s="306">
        <v>6572.7555681060003</v>
      </c>
      <c r="O56" s="307">
        <v>85572.889294160967</v>
      </c>
      <c r="P56" s="307">
        <v>91500.426627945213</v>
      </c>
      <c r="Q56" s="308">
        <v>25992.316643673719</v>
      </c>
      <c r="R56" s="307">
        <v>111565.20593783469</v>
      </c>
      <c r="S56" s="307">
        <v>117492.74327161894</v>
      </c>
      <c r="U56" s="7" t="s">
        <v>5979</v>
      </c>
    </row>
    <row r="57" spans="1:21" ht="22.5" customHeight="1" thickBot="1">
      <c r="A57" s="2580" t="s">
        <v>48</v>
      </c>
      <c r="B57" s="2581"/>
      <c r="C57" s="2581"/>
      <c r="D57" s="2581"/>
      <c r="E57" s="2581"/>
      <c r="F57" s="2581"/>
      <c r="G57" s="2581"/>
      <c r="H57" s="2581"/>
      <c r="I57" s="2581"/>
      <c r="J57" s="2581"/>
      <c r="K57" s="2581"/>
      <c r="L57" s="2581"/>
      <c r="M57" s="2581"/>
      <c r="N57" s="2581"/>
      <c r="O57" s="2581"/>
      <c r="P57" s="2581"/>
      <c r="Q57" s="2581"/>
      <c r="R57" s="2581"/>
      <c r="S57" s="2582"/>
      <c r="U57" s="7"/>
    </row>
    <row r="58" spans="1:21" ht="16.5" thickBot="1">
      <c r="A58" s="2583" t="s">
        <v>134</v>
      </c>
      <c r="B58" s="2584"/>
      <c r="C58" s="2584"/>
      <c r="D58" s="2584"/>
      <c r="E58" s="2584"/>
      <c r="F58" s="2584"/>
      <c r="G58" s="2584"/>
      <c r="H58" s="2584"/>
      <c r="I58" s="2584"/>
      <c r="J58" s="2584"/>
      <c r="K58" s="2584"/>
      <c r="L58" s="2584"/>
      <c r="M58" s="2584"/>
      <c r="N58" s="2584"/>
      <c r="O58" s="2584"/>
      <c r="P58" s="2584"/>
      <c r="Q58" s="2584"/>
      <c r="R58" s="2584"/>
      <c r="S58" s="2585"/>
      <c r="U58" s="7"/>
    </row>
    <row r="59" spans="1:21" ht="16.5" thickBot="1">
      <c r="A59" s="259" t="s">
        <v>10</v>
      </c>
      <c r="B59" s="260">
        <f t="shared" ref="B59:B105" si="3">J59</f>
        <v>70</v>
      </c>
      <c r="C59" s="260" t="s">
        <v>3</v>
      </c>
      <c r="D59" s="260">
        <f t="shared" ref="D59:D105" si="4">K59</f>
        <v>300</v>
      </c>
      <c r="E59" s="260" t="s">
        <v>3</v>
      </c>
      <c r="F59" s="261">
        <f t="shared" ref="F59:F105" si="5">L59</f>
        <v>700</v>
      </c>
      <c r="G59" s="260" t="s">
        <v>3</v>
      </c>
      <c r="H59" s="260">
        <v>2</v>
      </c>
      <c r="I59" s="262" t="s">
        <v>581</v>
      </c>
      <c r="J59" s="344">
        <v>70</v>
      </c>
      <c r="K59" s="327">
        <v>300</v>
      </c>
      <c r="L59" s="327">
        <v>700</v>
      </c>
      <c r="M59" s="301">
        <v>7.0574972857417855</v>
      </c>
      <c r="N59" s="302">
        <v>959.76250297199999</v>
      </c>
      <c r="O59" s="303">
        <v>26081.15787232912</v>
      </c>
      <c r="P59" s="303">
        <v>28036.969957327659</v>
      </c>
      <c r="Q59" s="304">
        <v>6855.9690431449135</v>
      </c>
      <c r="R59" s="303">
        <v>32937.126915474037</v>
      </c>
      <c r="S59" s="303">
        <v>34892.939000472572</v>
      </c>
      <c r="U59" s="7" t="s">
        <v>5980</v>
      </c>
    </row>
    <row r="60" spans="1:21" ht="16.5" thickBot="1">
      <c r="A60" s="259" t="s">
        <v>10</v>
      </c>
      <c r="B60" s="263">
        <f t="shared" si="3"/>
        <v>70</v>
      </c>
      <c r="C60" s="263" t="s">
        <v>3</v>
      </c>
      <c r="D60" s="263">
        <f t="shared" si="4"/>
        <v>300</v>
      </c>
      <c r="E60" s="263" t="s">
        <v>3</v>
      </c>
      <c r="F60" s="261">
        <f t="shared" si="5"/>
        <v>750</v>
      </c>
      <c r="G60" s="263" t="s">
        <v>3</v>
      </c>
      <c r="H60" s="260">
        <v>2</v>
      </c>
      <c r="I60" s="262" t="s">
        <v>581</v>
      </c>
      <c r="J60" s="112">
        <v>70</v>
      </c>
      <c r="K60" s="75">
        <v>300</v>
      </c>
      <c r="L60" s="75">
        <v>750</v>
      </c>
      <c r="M60" s="202">
        <v>7.6033891416521424</v>
      </c>
      <c r="N60" s="87">
        <v>1096.8714319680003</v>
      </c>
      <c r="O60" s="123">
        <v>27623.994794876224</v>
      </c>
      <c r="P60" s="123">
        <v>29667.263928251265</v>
      </c>
      <c r="Q60" s="120">
        <v>7340.2588953492768</v>
      </c>
      <c r="R60" s="123">
        <v>34964.253690225501</v>
      </c>
      <c r="S60" s="123">
        <v>37007.522823600542</v>
      </c>
      <c r="U60" s="7" t="s">
        <v>5981</v>
      </c>
    </row>
    <row r="61" spans="1:21" ht="16.5" thickBot="1">
      <c r="A61" s="259" t="s">
        <v>10</v>
      </c>
      <c r="B61" s="263">
        <f t="shared" si="3"/>
        <v>70</v>
      </c>
      <c r="C61" s="263" t="s">
        <v>3</v>
      </c>
      <c r="D61" s="263">
        <f t="shared" si="4"/>
        <v>300</v>
      </c>
      <c r="E61" s="263" t="s">
        <v>3</v>
      </c>
      <c r="F61" s="261">
        <f t="shared" si="5"/>
        <v>800</v>
      </c>
      <c r="G61" s="263" t="s">
        <v>3</v>
      </c>
      <c r="H61" s="260">
        <v>2</v>
      </c>
      <c r="I61" s="262" t="s">
        <v>581</v>
      </c>
      <c r="J61" s="112">
        <v>70</v>
      </c>
      <c r="K61" s="75">
        <v>300</v>
      </c>
      <c r="L61" s="75">
        <v>800</v>
      </c>
      <c r="M61" s="202">
        <v>8.0302809975624996</v>
      </c>
      <c r="N61" s="87">
        <v>1233.9803609640001</v>
      </c>
      <c r="O61" s="123">
        <v>29166.83183675769</v>
      </c>
      <c r="P61" s="123">
        <v>31297.557899174873</v>
      </c>
      <c r="Q61" s="120">
        <v>7824.5486071602763</v>
      </c>
      <c r="R61" s="123">
        <v>36991.380443917966</v>
      </c>
      <c r="S61" s="123">
        <v>39122.106506335149</v>
      </c>
      <c r="U61" s="7" t="s">
        <v>5982</v>
      </c>
    </row>
    <row r="62" spans="1:21" ht="16.5" thickBot="1">
      <c r="A62" s="259" t="s">
        <v>10</v>
      </c>
      <c r="B62" s="263">
        <f t="shared" si="3"/>
        <v>70</v>
      </c>
      <c r="C62" s="263" t="s">
        <v>3</v>
      </c>
      <c r="D62" s="263">
        <f t="shared" si="4"/>
        <v>300</v>
      </c>
      <c r="E62" s="263" t="s">
        <v>3</v>
      </c>
      <c r="F62" s="261">
        <f t="shared" si="5"/>
        <v>850</v>
      </c>
      <c r="G62" s="263" t="s">
        <v>3</v>
      </c>
      <c r="H62" s="260">
        <v>2</v>
      </c>
      <c r="I62" s="262" t="s">
        <v>581</v>
      </c>
      <c r="J62" s="112">
        <v>70</v>
      </c>
      <c r="K62" s="75">
        <v>300</v>
      </c>
      <c r="L62" s="75">
        <v>850</v>
      </c>
      <c r="M62" s="202">
        <v>8.4571728534728567</v>
      </c>
      <c r="N62" s="87">
        <v>1371.0892899600001</v>
      </c>
      <c r="O62" s="123">
        <v>30709.668878639153</v>
      </c>
      <c r="P62" s="123">
        <v>32927.851870098479</v>
      </c>
      <c r="Q62" s="120">
        <v>8308.8384593646388</v>
      </c>
      <c r="R62" s="123">
        <v>39018.507338003794</v>
      </c>
      <c r="S62" s="123">
        <v>41236.690329463119</v>
      </c>
      <c r="U62" s="7" t="s">
        <v>5983</v>
      </c>
    </row>
    <row r="63" spans="1:21" ht="16.5" thickBot="1">
      <c r="A63" s="259" t="s">
        <v>10</v>
      </c>
      <c r="B63" s="263">
        <f t="shared" si="3"/>
        <v>70</v>
      </c>
      <c r="C63" s="263" t="s">
        <v>3</v>
      </c>
      <c r="D63" s="263">
        <f t="shared" si="4"/>
        <v>300</v>
      </c>
      <c r="E63" s="263" t="s">
        <v>3</v>
      </c>
      <c r="F63" s="261">
        <f t="shared" si="5"/>
        <v>900</v>
      </c>
      <c r="G63" s="263" t="s">
        <v>3</v>
      </c>
      <c r="H63" s="260">
        <v>2</v>
      </c>
      <c r="I63" s="262" t="s">
        <v>581</v>
      </c>
      <c r="J63" s="112">
        <v>70</v>
      </c>
      <c r="K63" s="75">
        <v>300</v>
      </c>
      <c r="L63" s="75">
        <v>900</v>
      </c>
      <c r="M63" s="202">
        <v>8.9220647093832142</v>
      </c>
      <c r="N63" s="87">
        <v>1508.1982189560001</v>
      </c>
      <c r="O63" s="123">
        <v>32252.50580118626</v>
      </c>
      <c r="P63" s="123">
        <v>34558.145721687732</v>
      </c>
      <c r="Q63" s="120">
        <v>8793.1281711756401</v>
      </c>
      <c r="R63" s="123">
        <v>41045.633972361902</v>
      </c>
      <c r="S63" s="123">
        <v>43351.27389286337</v>
      </c>
      <c r="U63" s="7" t="s">
        <v>5984</v>
      </c>
    </row>
    <row r="64" spans="1:21" ht="16.5" thickBot="1">
      <c r="A64" s="259" t="s">
        <v>10</v>
      </c>
      <c r="B64" s="263">
        <f t="shared" si="3"/>
        <v>70</v>
      </c>
      <c r="C64" s="263" t="s">
        <v>3</v>
      </c>
      <c r="D64" s="263">
        <f t="shared" si="4"/>
        <v>300</v>
      </c>
      <c r="E64" s="263" t="s">
        <v>3</v>
      </c>
      <c r="F64" s="261">
        <f t="shared" si="5"/>
        <v>950</v>
      </c>
      <c r="G64" s="263" t="s">
        <v>3</v>
      </c>
      <c r="H64" s="260">
        <v>2</v>
      </c>
      <c r="I64" s="262" t="s">
        <v>581</v>
      </c>
      <c r="J64" s="112">
        <v>70</v>
      </c>
      <c r="K64" s="75">
        <v>300</v>
      </c>
      <c r="L64" s="75">
        <v>950</v>
      </c>
      <c r="M64" s="202">
        <v>9.4179565652935722</v>
      </c>
      <c r="N64" s="87">
        <v>1645.3071479520002</v>
      </c>
      <c r="O64" s="123">
        <v>33795.342843067723</v>
      </c>
      <c r="P64" s="123">
        <v>36188.43969261134</v>
      </c>
      <c r="Q64" s="120">
        <v>9277.4180233800016</v>
      </c>
      <c r="R64" s="123">
        <v>43072.760866447723</v>
      </c>
      <c r="S64" s="123">
        <v>45465.85771599134</v>
      </c>
      <c r="U64" s="7" t="s">
        <v>5985</v>
      </c>
    </row>
    <row r="65" spans="1:21" ht="16.5" thickBot="1">
      <c r="A65" s="259" t="s">
        <v>10</v>
      </c>
      <c r="B65" s="263">
        <f t="shared" si="3"/>
        <v>70</v>
      </c>
      <c r="C65" s="263" t="s">
        <v>3</v>
      </c>
      <c r="D65" s="263">
        <f t="shared" si="4"/>
        <v>300</v>
      </c>
      <c r="E65" s="263" t="s">
        <v>3</v>
      </c>
      <c r="F65" s="261">
        <f t="shared" si="5"/>
        <v>1000</v>
      </c>
      <c r="G65" s="263" t="s">
        <v>3</v>
      </c>
      <c r="H65" s="260">
        <v>2</v>
      </c>
      <c r="I65" s="262" t="s">
        <v>581</v>
      </c>
      <c r="J65" s="112">
        <v>70</v>
      </c>
      <c r="K65" s="75">
        <v>300</v>
      </c>
      <c r="L65" s="75">
        <v>1000</v>
      </c>
      <c r="M65" s="202">
        <v>9.8448484212039293</v>
      </c>
      <c r="N65" s="87">
        <v>1782.4160769480002</v>
      </c>
      <c r="O65" s="123">
        <v>35243.047727995523</v>
      </c>
      <c r="P65" s="123">
        <v>37729.662021293014</v>
      </c>
      <c r="Q65" s="120">
        <v>9761.7077351910029</v>
      </c>
      <c r="R65" s="123">
        <v>45004.755463186528</v>
      </c>
      <c r="S65" s="123">
        <v>47491.369756484019</v>
      </c>
      <c r="U65" s="7" t="s">
        <v>5986</v>
      </c>
    </row>
    <row r="66" spans="1:21" ht="16.5" thickBot="1">
      <c r="A66" s="259" t="s">
        <v>10</v>
      </c>
      <c r="B66" s="263">
        <f t="shared" si="3"/>
        <v>70</v>
      </c>
      <c r="C66" s="263" t="s">
        <v>3</v>
      </c>
      <c r="D66" s="263">
        <f t="shared" si="4"/>
        <v>300</v>
      </c>
      <c r="E66" s="263" t="s">
        <v>3</v>
      </c>
      <c r="F66" s="261">
        <f t="shared" si="5"/>
        <v>1050</v>
      </c>
      <c r="G66" s="263" t="s">
        <v>3</v>
      </c>
      <c r="H66" s="260">
        <v>2</v>
      </c>
      <c r="I66" s="262" t="s">
        <v>581</v>
      </c>
      <c r="J66" s="112">
        <v>70</v>
      </c>
      <c r="K66" s="75">
        <v>300</v>
      </c>
      <c r="L66" s="75">
        <v>1050</v>
      </c>
      <c r="M66" s="202">
        <v>10.271740277114286</v>
      </c>
      <c r="N66" s="87">
        <v>1919.525005944</v>
      </c>
      <c r="O66" s="123">
        <v>37011.823374139647</v>
      </c>
      <c r="P66" s="123">
        <v>39571.501082874034</v>
      </c>
      <c r="Q66" s="120">
        <v>10245.997587395364</v>
      </c>
      <c r="R66" s="123">
        <v>47257.820961535013</v>
      </c>
      <c r="S66" s="123">
        <v>49817.4986702694</v>
      </c>
      <c r="U66" s="7" t="s">
        <v>5987</v>
      </c>
    </row>
    <row r="67" spans="1:21" ht="16.5" thickBot="1">
      <c r="A67" s="259" t="s">
        <v>10</v>
      </c>
      <c r="B67" s="260">
        <f t="shared" si="3"/>
        <v>70</v>
      </c>
      <c r="C67" s="260" t="s">
        <v>3</v>
      </c>
      <c r="D67" s="260">
        <f t="shared" si="4"/>
        <v>300</v>
      </c>
      <c r="E67" s="260" t="s">
        <v>3</v>
      </c>
      <c r="F67" s="261">
        <f t="shared" si="5"/>
        <v>1100</v>
      </c>
      <c r="G67" s="260" t="s">
        <v>3</v>
      </c>
      <c r="H67" s="260">
        <v>2</v>
      </c>
      <c r="I67" s="262" t="s">
        <v>581</v>
      </c>
      <c r="J67" s="112">
        <v>70</v>
      </c>
      <c r="K67" s="75">
        <v>300</v>
      </c>
      <c r="L67" s="75">
        <v>1100</v>
      </c>
      <c r="M67" s="202">
        <v>10.698632133024642</v>
      </c>
      <c r="N67" s="87">
        <v>2056.63393494</v>
      </c>
      <c r="O67" s="123">
        <v>38554.660416021114</v>
      </c>
      <c r="P67" s="123">
        <v>41201.79493446328</v>
      </c>
      <c r="Q67" s="120">
        <v>10730.287299206364</v>
      </c>
      <c r="R67" s="123">
        <v>49284.947715227478</v>
      </c>
      <c r="S67" s="123">
        <v>51932.082233669644</v>
      </c>
      <c r="U67" s="7" t="s">
        <v>5988</v>
      </c>
    </row>
    <row r="68" spans="1:21" ht="16.5" thickBot="1">
      <c r="A68" s="259" t="s">
        <v>10</v>
      </c>
      <c r="B68" s="263">
        <f t="shared" si="3"/>
        <v>70</v>
      </c>
      <c r="C68" s="263" t="s">
        <v>3</v>
      </c>
      <c r="D68" s="263">
        <f t="shared" si="4"/>
        <v>300</v>
      </c>
      <c r="E68" s="263" t="s">
        <v>3</v>
      </c>
      <c r="F68" s="261">
        <f t="shared" si="5"/>
        <v>1150</v>
      </c>
      <c r="G68" s="263" t="s">
        <v>3</v>
      </c>
      <c r="H68" s="260">
        <v>2</v>
      </c>
      <c r="I68" s="262" t="s">
        <v>581</v>
      </c>
      <c r="J68" s="112">
        <v>70</v>
      </c>
      <c r="K68" s="75">
        <v>300</v>
      </c>
      <c r="L68" s="75">
        <v>1150</v>
      </c>
      <c r="M68" s="202">
        <v>11.125523988934999</v>
      </c>
      <c r="N68" s="87">
        <v>2193.7428639360005</v>
      </c>
      <c r="O68" s="123">
        <v>39342.154886015116</v>
      </c>
      <c r="P68" s="123">
        <v>42124.866123397966</v>
      </c>
      <c r="Q68" s="120">
        <v>11214.577151410727</v>
      </c>
      <c r="R68" s="123">
        <v>50556.732037425842</v>
      </c>
      <c r="S68" s="123">
        <v>53339.443274808691</v>
      </c>
      <c r="U68" s="7" t="s">
        <v>5989</v>
      </c>
    </row>
    <row r="69" spans="1:21" ht="16.5" thickBot="1">
      <c r="A69" s="259" t="s">
        <v>10</v>
      </c>
      <c r="B69" s="263">
        <f t="shared" si="3"/>
        <v>70</v>
      </c>
      <c r="C69" s="263" t="s">
        <v>3</v>
      </c>
      <c r="D69" s="263">
        <f t="shared" si="4"/>
        <v>300</v>
      </c>
      <c r="E69" s="263" t="s">
        <v>3</v>
      </c>
      <c r="F69" s="261">
        <f t="shared" si="5"/>
        <v>1200</v>
      </c>
      <c r="G69" s="263" t="s">
        <v>3</v>
      </c>
      <c r="H69" s="260">
        <v>2</v>
      </c>
      <c r="I69" s="262" t="s">
        <v>581</v>
      </c>
      <c r="J69" s="112">
        <v>70</v>
      </c>
      <c r="K69" s="75">
        <v>300</v>
      </c>
      <c r="L69" s="75">
        <v>1200</v>
      </c>
      <c r="M69" s="202">
        <v>11.767665844845357</v>
      </c>
      <c r="N69" s="87">
        <v>2330.8517929320001</v>
      </c>
      <c r="O69" s="123">
        <v>40164.788431768247</v>
      </c>
      <c r="P69" s="123">
        <v>43080.837556198989</v>
      </c>
      <c r="Q69" s="120">
        <v>11698.866863221729</v>
      </c>
      <c r="R69" s="123">
        <v>51863.655294989978</v>
      </c>
      <c r="S69" s="123">
        <v>54779.704419420719</v>
      </c>
      <c r="U69" s="7" t="s">
        <v>5990</v>
      </c>
    </row>
    <row r="70" spans="1:21" ht="16.5" thickBot="1">
      <c r="A70" s="259" t="s">
        <v>10</v>
      </c>
      <c r="B70" s="263">
        <f t="shared" si="3"/>
        <v>70</v>
      </c>
      <c r="C70" s="263" t="s">
        <v>3</v>
      </c>
      <c r="D70" s="263">
        <f t="shared" si="4"/>
        <v>300</v>
      </c>
      <c r="E70" s="263" t="s">
        <v>3</v>
      </c>
      <c r="F70" s="261">
        <f t="shared" si="5"/>
        <v>1250</v>
      </c>
      <c r="G70" s="263" t="s">
        <v>3</v>
      </c>
      <c r="H70" s="260">
        <v>2</v>
      </c>
      <c r="I70" s="262" t="s">
        <v>581</v>
      </c>
      <c r="J70" s="112">
        <v>70</v>
      </c>
      <c r="K70" s="75">
        <v>300</v>
      </c>
      <c r="L70" s="75">
        <v>1250</v>
      </c>
      <c r="M70" s="202">
        <v>12.194557700755714</v>
      </c>
      <c r="N70" s="87">
        <v>2467.9607219280001</v>
      </c>
      <c r="O70" s="123">
        <v>40951.801864964655</v>
      </c>
      <c r="P70" s="123">
        <v>44003.45825793175</v>
      </c>
      <c r="Q70" s="120">
        <v>12183.156715426092</v>
      </c>
      <c r="R70" s="123">
        <v>53134.958580390747</v>
      </c>
      <c r="S70" s="123">
        <v>56186.614973357842</v>
      </c>
      <c r="U70" s="7" t="s">
        <v>5991</v>
      </c>
    </row>
    <row r="71" spans="1:21" ht="16.5" thickBot="1">
      <c r="A71" s="259" t="s">
        <v>10</v>
      </c>
      <c r="B71" s="263">
        <f t="shared" si="3"/>
        <v>70</v>
      </c>
      <c r="C71" s="263" t="s">
        <v>3</v>
      </c>
      <c r="D71" s="263">
        <f t="shared" si="4"/>
        <v>300</v>
      </c>
      <c r="E71" s="263" t="s">
        <v>3</v>
      </c>
      <c r="F71" s="261">
        <f t="shared" si="5"/>
        <v>1300</v>
      </c>
      <c r="G71" s="263" t="s">
        <v>3</v>
      </c>
      <c r="H71" s="260">
        <v>2</v>
      </c>
      <c r="I71" s="262" t="s">
        <v>581</v>
      </c>
      <c r="J71" s="112">
        <v>70</v>
      </c>
      <c r="K71" s="75">
        <v>300</v>
      </c>
      <c r="L71" s="75">
        <v>1300</v>
      </c>
      <c r="M71" s="202">
        <v>12.683449556666069</v>
      </c>
      <c r="N71" s="87">
        <v>2605.0696509240001</v>
      </c>
      <c r="O71" s="123">
        <v>44191.198888833467</v>
      </c>
      <c r="P71" s="123">
        <v>47222.231679360681</v>
      </c>
      <c r="Q71" s="120">
        <v>12667.44642723709</v>
      </c>
      <c r="R71" s="123">
        <v>56858.645316070557</v>
      </c>
      <c r="S71" s="123">
        <v>59889.67810659777</v>
      </c>
      <c r="U71" s="7" t="s">
        <v>5992</v>
      </c>
    </row>
    <row r="72" spans="1:21" ht="16.5" thickBot="1">
      <c r="A72" s="259" t="s">
        <v>10</v>
      </c>
      <c r="B72" s="263">
        <f t="shared" si="3"/>
        <v>70</v>
      </c>
      <c r="C72" s="263" t="s">
        <v>3</v>
      </c>
      <c r="D72" s="263">
        <f t="shared" si="4"/>
        <v>300</v>
      </c>
      <c r="E72" s="263" t="s">
        <v>3</v>
      </c>
      <c r="F72" s="261">
        <f t="shared" si="5"/>
        <v>1350</v>
      </c>
      <c r="G72" s="263" t="s">
        <v>3</v>
      </c>
      <c r="H72" s="260">
        <v>2</v>
      </c>
      <c r="I72" s="262" t="s">
        <v>581</v>
      </c>
      <c r="J72" s="112">
        <v>70</v>
      </c>
      <c r="K72" s="75">
        <v>300</v>
      </c>
      <c r="L72" s="75">
        <v>1350</v>
      </c>
      <c r="M72" s="202">
        <v>13.110341412576428</v>
      </c>
      <c r="N72" s="87">
        <v>2742.1785799200002</v>
      </c>
      <c r="O72" s="123">
        <v>45227.908726314199</v>
      </c>
      <c r="P72" s="123">
        <v>48378.641634774074</v>
      </c>
      <c r="Q72" s="120">
        <v>13151.736279441453</v>
      </c>
      <c r="R72" s="123">
        <v>58379.64500575565</v>
      </c>
      <c r="S72" s="123">
        <v>61530.377914215525</v>
      </c>
      <c r="U72" s="7" t="s">
        <v>5993</v>
      </c>
    </row>
    <row r="73" spans="1:21" ht="16.5" thickBot="1">
      <c r="A73" s="259" t="s">
        <v>10</v>
      </c>
      <c r="B73" s="263">
        <f t="shared" si="3"/>
        <v>70</v>
      </c>
      <c r="C73" s="263" t="s">
        <v>3</v>
      </c>
      <c r="D73" s="263">
        <f t="shared" si="4"/>
        <v>300</v>
      </c>
      <c r="E73" s="263" t="s">
        <v>3</v>
      </c>
      <c r="F73" s="261">
        <f t="shared" si="5"/>
        <v>1400</v>
      </c>
      <c r="G73" s="263" t="s">
        <v>3</v>
      </c>
      <c r="H73" s="260">
        <v>2</v>
      </c>
      <c r="I73" s="262" t="s">
        <v>581</v>
      </c>
      <c r="J73" s="112">
        <v>70</v>
      </c>
      <c r="K73" s="75">
        <v>300</v>
      </c>
      <c r="L73" s="75">
        <v>1400</v>
      </c>
      <c r="M73" s="202">
        <v>13.537233268486787</v>
      </c>
      <c r="N73" s="87">
        <v>2879.2875089160002</v>
      </c>
      <c r="O73" s="123">
        <v>46591.635159404832</v>
      </c>
      <c r="P73" s="123">
        <v>49841.235390227695</v>
      </c>
      <c r="Q73" s="120">
        <v>13636.025991252453</v>
      </c>
      <c r="R73" s="123">
        <v>60227.661150657281</v>
      </c>
      <c r="S73" s="123">
        <v>63477.261381480144</v>
      </c>
      <c r="U73" s="7" t="s">
        <v>5994</v>
      </c>
    </row>
    <row r="74" spans="1:21" ht="16.5" thickBot="1">
      <c r="A74" s="259" t="s">
        <v>10</v>
      </c>
      <c r="B74" s="263">
        <f t="shared" si="3"/>
        <v>70</v>
      </c>
      <c r="C74" s="263" t="s">
        <v>3</v>
      </c>
      <c r="D74" s="263">
        <f t="shared" si="4"/>
        <v>300</v>
      </c>
      <c r="E74" s="263" t="s">
        <v>3</v>
      </c>
      <c r="F74" s="261">
        <f t="shared" si="5"/>
        <v>1450</v>
      </c>
      <c r="G74" s="263" t="s">
        <v>3</v>
      </c>
      <c r="H74" s="260">
        <v>2</v>
      </c>
      <c r="I74" s="262" t="s">
        <v>581</v>
      </c>
      <c r="J74" s="112">
        <v>70</v>
      </c>
      <c r="K74" s="75">
        <v>300</v>
      </c>
      <c r="L74" s="75">
        <v>1450</v>
      </c>
      <c r="M74" s="202">
        <v>13.964125124397142</v>
      </c>
      <c r="N74" s="87">
        <v>3016.3964379120002</v>
      </c>
      <c r="O74" s="123">
        <v>47628.345116219927</v>
      </c>
      <c r="P74" s="123">
        <v>50997.645345641075</v>
      </c>
      <c r="Q74" s="120">
        <v>14120.315843456816</v>
      </c>
      <c r="R74" s="123">
        <v>61748.660959676745</v>
      </c>
      <c r="S74" s="123">
        <v>65117.961189097892</v>
      </c>
      <c r="U74" s="7" t="s">
        <v>5995</v>
      </c>
    </row>
    <row r="75" spans="1:21" ht="16.5" thickBot="1">
      <c r="A75" s="259" t="s">
        <v>10</v>
      </c>
      <c r="B75" s="263">
        <f t="shared" si="3"/>
        <v>70</v>
      </c>
      <c r="C75" s="263" t="s">
        <v>3</v>
      </c>
      <c r="D75" s="263">
        <f t="shared" si="4"/>
        <v>300</v>
      </c>
      <c r="E75" s="263" t="s">
        <v>3</v>
      </c>
      <c r="F75" s="261">
        <f t="shared" si="5"/>
        <v>1500</v>
      </c>
      <c r="G75" s="263" t="s">
        <v>3</v>
      </c>
      <c r="H75" s="260">
        <v>2</v>
      </c>
      <c r="I75" s="262" t="s">
        <v>581</v>
      </c>
      <c r="J75" s="112">
        <v>70</v>
      </c>
      <c r="K75" s="75">
        <v>300</v>
      </c>
      <c r="L75" s="75">
        <v>1500</v>
      </c>
      <c r="M75" s="202">
        <v>14.978581873107501</v>
      </c>
      <c r="N75" s="87">
        <v>3153.5053669080003</v>
      </c>
      <c r="O75" s="123">
        <v>49193.815589800812</v>
      </c>
      <c r="P75" s="123">
        <v>52772.755140180117</v>
      </c>
      <c r="Q75" s="120">
        <v>14604.605555267815</v>
      </c>
      <c r="R75" s="123">
        <v>63798.421145068627</v>
      </c>
      <c r="S75" s="123">
        <v>67377.360695447933</v>
      </c>
      <c r="U75" s="7" t="s">
        <v>5996</v>
      </c>
    </row>
    <row r="76" spans="1:21" ht="16.5" thickBot="1">
      <c r="A76" s="259" t="s">
        <v>10</v>
      </c>
      <c r="B76" s="263">
        <f t="shared" si="3"/>
        <v>70</v>
      </c>
      <c r="C76" s="263" t="s">
        <v>3</v>
      </c>
      <c r="D76" s="263">
        <f t="shared" si="4"/>
        <v>300</v>
      </c>
      <c r="E76" s="263" t="s">
        <v>3</v>
      </c>
      <c r="F76" s="261">
        <f t="shared" si="5"/>
        <v>1550</v>
      </c>
      <c r="G76" s="263" t="s">
        <v>3</v>
      </c>
      <c r="H76" s="260">
        <v>2</v>
      </c>
      <c r="I76" s="262" t="s">
        <v>581</v>
      </c>
      <c r="J76" s="112">
        <v>70</v>
      </c>
      <c r="K76" s="75">
        <v>300</v>
      </c>
      <c r="L76" s="75">
        <v>1550</v>
      </c>
      <c r="M76" s="202">
        <v>15.474473729017857</v>
      </c>
      <c r="N76" s="87">
        <v>3290.6142959040003</v>
      </c>
      <c r="O76" s="123">
        <v>50230.525546615907</v>
      </c>
      <c r="P76" s="123">
        <v>53929.165095593511</v>
      </c>
      <c r="Q76" s="120">
        <v>15088.895407472179</v>
      </c>
      <c r="R76" s="123">
        <v>65319.420954088084</v>
      </c>
      <c r="S76" s="123">
        <v>69018.060503065688</v>
      </c>
      <c r="U76" s="7" t="s">
        <v>5997</v>
      </c>
    </row>
    <row r="77" spans="1:21" ht="16.5" thickBot="1">
      <c r="A77" s="259" t="s">
        <v>10</v>
      </c>
      <c r="B77" s="260">
        <f t="shared" si="3"/>
        <v>70</v>
      </c>
      <c r="C77" s="260" t="s">
        <v>3</v>
      </c>
      <c r="D77" s="260">
        <f t="shared" si="4"/>
        <v>300</v>
      </c>
      <c r="E77" s="260" t="s">
        <v>3</v>
      </c>
      <c r="F77" s="261">
        <f t="shared" si="5"/>
        <v>1600</v>
      </c>
      <c r="G77" s="260" t="s">
        <v>3</v>
      </c>
      <c r="H77" s="260">
        <v>2</v>
      </c>
      <c r="I77" s="262" t="s">
        <v>581</v>
      </c>
      <c r="J77" s="112">
        <v>70</v>
      </c>
      <c r="K77" s="75">
        <v>300</v>
      </c>
      <c r="L77" s="75">
        <v>1600</v>
      </c>
      <c r="M77" s="202">
        <v>15.901365584928215</v>
      </c>
      <c r="N77" s="87">
        <v>3427.7232249000003</v>
      </c>
      <c r="O77" s="123">
        <v>53213.276729854973</v>
      </c>
      <c r="P77" s="123">
        <v>56907.642557465042</v>
      </c>
      <c r="Q77" s="120">
        <v>15573.185119283178</v>
      </c>
      <c r="R77" s="123">
        <v>68786.461849138155</v>
      </c>
      <c r="S77" s="123">
        <v>72480.827676748217</v>
      </c>
      <c r="U77" s="7" t="s">
        <v>5998</v>
      </c>
    </row>
    <row r="78" spans="1:21" ht="16.5" thickBot="1">
      <c r="A78" s="259" t="s">
        <v>10</v>
      </c>
      <c r="B78" s="263">
        <f t="shared" si="3"/>
        <v>70</v>
      </c>
      <c r="C78" s="263" t="s">
        <v>3</v>
      </c>
      <c r="D78" s="263">
        <f t="shared" si="4"/>
        <v>300</v>
      </c>
      <c r="E78" s="263" t="s">
        <v>3</v>
      </c>
      <c r="F78" s="261">
        <f t="shared" si="5"/>
        <v>1650</v>
      </c>
      <c r="G78" s="263" t="s">
        <v>3</v>
      </c>
      <c r="H78" s="260">
        <v>2</v>
      </c>
      <c r="I78" s="262" t="s">
        <v>581</v>
      </c>
      <c r="J78" s="112">
        <v>70</v>
      </c>
      <c r="K78" s="75">
        <v>300</v>
      </c>
      <c r="L78" s="75">
        <v>1650</v>
      </c>
      <c r="M78" s="202">
        <v>16.36625744083857</v>
      </c>
      <c r="N78" s="87">
        <v>3564.8321538960004</v>
      </c>
      <c r="O78" s="123">
        <v>56448.288096728334</v>
      </c>
      <c r="P78" s="123">
        <v>60122.309683630898</v>
      </c>
      <c r="Q78" s="120">
        <v>16057.474971487542</v>
      </c>
      <c r="R78" s="123">
        <v>72505.763068215878</v>
      </c>
      <c r="S78" s="123">
        <v>76179.784655118434</v>
      </c>
      <c r="U78" s="7" t="s">
        <v>5999</v>
      </c>
    </row>
    <row r="79" spans="1:21" ht="16.5" thickBot="1">
      <c r="A79" s="259" t="s">
        <v>10</v>
      </c>
      <c r="B79" s="263">
        <f t="shared" si="3"/>
        <v>70</v>
      </c>
      <c r="C79" s="263" t="s">
        <v>3</v>
      </c>
      <c r="D79" s="263">
        <f t="shared" si="4"/>
        <v>300</v>
      </c>
      <c r="E79" s="263" t="s">
        <v>3</v>
      </c>
      <c r="F79" s="261">
        <f t="shared" si="5"/>
        <v>1700</v>
      </c>
      <c r="G79" s="263" t="s">
        <v>3</v>
      </c>
      <c r="H79" s="260">
        <v>2</v>
      </c>
      <c r="I79" s="262" t="s">
        <v>581</v>
      </c>
      <c r="J79" s="112">
        <v>70</v>
      </c>
      <c r="K79" s="75">
        <v>300</v>
      </c>
      <c r="L79" s="75">
        <v>1700</v>
      </c>
      <c r="M79" s="202">
        <v>16.793149296748929</v>
      </c>
      <c r="N79" s="87">
        <v>3701.9410828920004</v>
      </c>
      <c r="O79" s="123">
        <v>57279.850597159457</v>
      </c>
      <c r="P79" s="123">
        <v>61086.641323559088</v>
      </c>
      <c r="Q79" s="120">
        <v>16541.764683298541</v>
      </c>
      <c r="R79" s="123">
        <v>73821.615280458005</v>
      </c>
      <c r="S79" s="123">
        <v>77628.406006857636</v>
      </c>
      <c r="U79" s="7" t="s">
        <v>6000</v>
      </c>
    </row>
    <row r="80" spans="1:21" ht="16.5" thickBot="1">
      <c r="A80" s="259" t="s">
        <v>10</v>
      </c>
      <c r="B80" s="263">
        <f t="shared" si="3"/>
        <v>70</v>
      </c>
      <c r="C80" s="263" t="s">
        <v>3</v>
      </c>
      <c r="D80" s="263">
        <f t="shared" si="4"/>
        <v>300</v>
      </c>
      <c r="E80" s="263" t="s">
        <v>3</v>
      </c>
      <c r="F80" s="261">
        <f t="shared" si="5"/>
        <v>1750</v>
      </c>
      <c r="G80" s="263" t="s">
        <v>3</v>
      </c>
      <c r="H80" s="260">
        <v>2</v>
      </c>
      <c r="I80" s="262" t="s">
        <v>581</v>
      </c>
      <c r="J80" s="112">
        <v>70</v>
      </c>
      <c r="K80" s="75">
        <v>300</v>
      </c>
      <c r="L80" s="75">
        <v>1750</v>
      </c>
      <c r="M80" s="202">
        <v>17.220041152659284</v>
      </c>
      <c r="N80" s="87">
        <v>3839.050011888</v>
      </c>
      <c r="O80" s="123">
        <v>58035.259280281316</v>
      </c>
      <c r="P80" s="123">
        <v>61979.67068450759</v>
      </c>
      <c r="Q80" s="120">
        <v>17026.054535502903</v>
      </c>
      <c r="R80" s="123">
        <v>75061.313815784219</v>
      </c>
      <c r="S80" s="123">
        <v>79005.725220010499</v>
      </c>
      <c r="U80" s="7" t="s">
        <v>6001</v>
      </c>
    </row>
    <row r="81" spans="1:21" ht="16.5" thickBot="1">
      <c r="A81" s="259" t="s">
        <v>10</v>
      </c>
      <c r="B81" s="263">
        <f t="shared" si="3"/>
        <v>70</v>
      </c>
      <c r="C81" s="263" t="s">
        <v>3</v>
      </c>
      <c r="D81" s="263">
        <f t="shared" si="4"/>
        <v>300</v>
      </c>
      <c r="E81" s="263" t="s">
        <v>3</v>
      </c>
      <c r="F81" s="261">
        <f t="shared" si="5"/>
        <v>1800</v>
      </c>
      <c r="G81" s="263" t="s">
        <v>3</v>
      </c>
      <c r="H81" s="260">
        <v>2</v>
      </c>
      <c r="I81" s="262" t="s">
        <v>581</v>
      </c>
      <c r="J81" s="112">
        <v>70</v>
      </c>
      <c r="K81" s="75">
        <v>300</v>
      </c>
      <c r="L81" s="75">
        <v>1800</v>
      </c>
      <c r="M81" s="202">
        <v>17.715933008569646</v>
      </c>
      <c r="N81" s="87">
        <v>3976.158940884</v>
      </c>
      <c r="O81" s="123">
        <v>58867.518335360808</v>
      </c>
      <c r="P81" s="123">
        <v>62944.654486702937</v>
      </c>
      <c r="Q81" s="120">
        <v>17510.344247313904</v>
      </c>
      <c r="R81" s="123">
        <v>76377.862582674716</v>
      </c>
      <c r="S81" s="123">
        <v>80454.998734016845</v>
      </c>
      <c r="U81" s="7" t="s">
        <v>6002</v>
      </c>
    </row>
    <row r="82" spans="1:21" ht="16.5" thickBot="1">
      <c r="A82" s="259" t="s">
        <v>10</v>
      </c>
      <c r="B82" s="263">
        <f t="shared" si="3"/>
        <v>70</v>
      </c>
      <c r="C82" s="263" t="s">
        <v>3</v>
      </c>
      <c r="D82" s="263">
        <f t="shared" si="4"/>
        <v>300</v>
      </c>
      <c r="E82" s="263" t="s">
        <v>3</v>
      </c>
      <c r="F82" s="261">
        <f t="shared" si="5"/>
        <v>1850</v>
      </c>
      <c r="G82" s="263" t="s">
        <v>3</v>
      </c>
      <c r="H82" s="260">
        <v>2</v>
      </c>
      <c r="I82" s="262" t="s">
        <v>581</v>
      </c>
      <c r="J82" s="112">
        <v>70</v>
      </c>
      <c r="K82" s="75">
        <v>300</v>
      </c>
      <c r="L82" s="75">
        <v>1850</v>
      </c>
      <c r="M82" s="202">
        <v>18.204824864480003</v>
      </c>
      <c r="N82" s="87">
        <v>4113.26786988</v>
      </c>
      <c r="O82" s="123">
        <v>59699.729298693986</v>
      </c>
      <c r="P82" s="123">
        <v>63909.593299845263</v>
      </c>
      <c r="Q82" s="120">
        <v>17994.634099518265</v>
      </c>
      <c r="R82" s="123">
        <v>77694.363398212256</v>
      </c>
      <c r="S82" s="123">
        <v>81904.227399363532</v>
      </c>
      <c r="U82" s="7" t="s">
        <v>6003</v>
      </c>
    </row>
    <row r="83" spans="1:21" ht="16.5" thickBot="1">
      <c r="A83" s="259" t="s">
        <v>10</v>
      </c>
      <c r="B83" s="263">
        <f t="shared" si="3"/>
        <v>70</v>
      </c>
      <c r="C83" s="263" t="s">
        <v>3</v>
      </c>
      <c r="D83" s="263">
        <f t="shared" si="4"/>
        <v>300</v>
      </c>
      <c r="E83" s="263" t="s">
        <v>3</v>
      </c>
      <c r="F83" s="261">
        <f t="shared" si="5"/>
        <v>1900</v>
      </c>
      <c r="G83" s="263" t="s">
        <v>3</v>
      </c>
      <c r="H83" s="260">
        <v>2</v>
      </c>
      <c r="I83" s="262" t="s">
        <v>581</v>
      </c>
      <c r="J83" s="112">
        <v>70</v>
      </c>
      <c r="K83" s="75">
        <v>300</v>
      </c>
      <c r="L83" s="75">
        <v>1900</v>
      </c>
      <c r="M83" s="202">
        <v>18.631716720390358</v>
      </c>
      <c r="N83" s="87">
        <v>4250.376798876001</v>
      </c>
      <c r="O83" s="123">
        <v>60706.994576650955</v>
      </c>
      <c r="P83" s="123">
        <v>65038.434512510263</v>
      </c>
      <c r="Q83" s="120">
        <v>18478.923811329267</v>
      </c>
      <c r="R83" s="123">
        <v>79185.918387980229</v>
      </c>
      <c r="S83" s="123">
        <v>83517.358323839522</v>
      </c>
      <c r="U83" s="7" t="s">
        <v>6004</v>
      </c>
    </row>
    <row r="84" spans="1:21" ht="16.5" thickBot="1">
      <c r="A84" s="259" t="s">
        <v>10</v>
      </c>
      <c r="B84" s="263">
        <f t="shared" si="3"/>
        <v>70</v>
      </c>
      <c r="C84" s="263" t="s">
        <v>3</v>
      </c>
      <c r="D84" s="263">
        <f t="shared" si="4"/>
        <v>300</v>
      </c>
      <c r="E84" s="263" t="s">
        <v>3</v>
      </c>
      <c r="F84" s="261">
        <f t="shared" si="5"/>
        <v>1950</v>
      </c>
      <c r="G84" s="263" t="s">
        <v>3</v>
      </c>
      <c r="H84" s="260">
        <v>2</v>
      </c>
      <c r="I84" s="262" t="s">
        <v>581</v>
      </c>
      <c r="J84" s="112">
        <v>70</v>
      </c>
      <c r="K84" s="75">
        <v>300</v>
      </c>
      <c r="L84" s="75">
        <v>1950</v>
      </c>
      <c r="M84" s="202">
        <v>19.211858576300713</v>
      </c>
      <c r="N84" s="87">
        <v>4387.485727872001</v>
      </c>
      <c r="O84" s="123">
        <v>61873.461196426615</v>
      </c>
      <c r="P84" s="123">
        <v>66316.335078565608</v>
      </c>
      <c r="Q84" s="120">
        <v>18963.213663533628</v>
      </c>
      <c r="R84" s="123">
        <v>80836.674859960243</v>
      </c>
      <c r="S84" s="123">
        <v>85279.548742099229</v>
      </c>
      <c r="U84" s="7" t="s">
        <v>6005</v>
      </c>
    </row>
    <row r="85" spans="1:21" ht="16.5" thickBot="1">
      <c r="A85" s="259" t="s">
        <v>10</v>
      </c>
      <c r="B85" s="263">
        <f t="shared" si="3"/>
        <v>70</v>
      </c>
      <c r="C85" s="263" t="s">
        <v>3</v>
      </c>
      <c r="D85" s="263">
        <f t="shared" si="4"/>
        <v>300</v>
      </c>
      <c r="E85" s="263" t="s">
        <v>3</v>
      </c>
      <c r="F85" s="261">
        <f t="shared" si="5"/>
        <v>2000</v>
      </c>
      <c r="G85" s="263" t="s">
        <v>3</v>
      </c>
      <c r="H85" s="260">
        <v>2</v>
      </c>
      <c r="I85" s="262" t="s">
        <v>581</v>
      </c>
      <c r="J85" s="112">
        <v>70</v>
      </c>
      <c r="K85" s="75">
        <v>300</v>
      </c>
      <c r="L85" s="75">
        <v>2000</v>
      </c>
      <c r="M85" s="202">
        <v>19.730312832211073</v>
      </c>
      <c r="N85" s="87">
        <v>4524.5946568680001</v>
      </c>
      <c r="O85" s="123">
        <v>62911.954008552093</v>
      </c>
      <c r="P85" s="123">
        <v>67664.671556160654</v>
      </c>
      <c r="Q85" s="120">
        <v>19447.50337534463</v>
      </c>
      <c r="R85" s="123">
        <v>82359.457383896719</v>
      </c>
      <c r="S85" s="123">
        <v>87112.174931505288</v>
      </c>
      <c r="U85" s="7" t="s">
        <v>6006</v>
      </c>
    </row>
    <row r="86" spans="1:21" ht="16.5" thickBot="1">
      <c r="A86" s="259" t="s">
        <v>10</v>
      </c>
      <c r="B86" s="263">
        <f t="shared" si="3"/>
        <v>70</v>
      </c>
      <c r="C86" s="263" t="s">
        <v>3</v>
      </c>
      <c r="D86" s="263">
        <f t="shared" si="4"/>
        <v>300</v>
      </c>
      <c r="E86" s="263" t="s">
        <v>3</v>
      </c>
      <c r="F86" s="261">
        <f t="shared" si="5"/>
        <v>2050</v>
      </c>
      <c r="G86" s="263" t="s">
        <v>3</v>
      </c>
      <c r="H86" s="260">
        <v>2</v>
      </c>
      <c r="I86" s="262" t="s">
        <v>581</v>
      </c>
      <c r="J86" s="112">
        <v>70</v>
      </c>
      <c r="K86" s="75">
        <v>300</v>
      </c>
      <c r="L86" s="75">
        <v>2050</v>
      </c>
      <c r="M86" s="202">
        <v>20.157204688121425</v>
      </c>
      <c r="N86" s="87">
        <v>4661.7035858640002</v>
      </c>
      <c r="O86" s="123">
        <v>65888.135119370228</v>
      </c>
      <c r="P86" s="123">
        <v>70636.997451205214</v>
      </c>
      <c r="Q86" s="120">
        <v>19931.793227548991</v>
      </c>
      <c r="R86" s="123">
        <v>85819.928346919216</v>
      </c>
      <c r="S86" s="123">
        <v>90568.790678754202</v>
      </c>
      <c r="U86" s="7" t="s">
        <v>6007</v>
      </c>
    </row>
    <row r="87" spans="1:21" ht="16.5" thickBot="1">
      <c r="A87" s="259" t="s">
        <v>10</v>
      </c>
      <c r="B87" s="260">
        <f t="shared" si="3"/>
        <v>70</v>
      </c>
      <c r="C87" s="260" t="s">
        <v>3</v>
      </c>
      <c r="D87" s="260">
        <f t="shared" si="4"/>
        <v>300</v>
      </c>
      <c r="E87" s="260" t="s">
        <v>3</v>
      </c>
      <c r="F87" s="261">
        <f t="shared" si="5"/>
        <v>2100</v>
      </c>
      <c r="G87" s="260" t="s">
        <v>3</v>
      </c>
      <c r="H87" s="260">
        <v>2</v>
      </c>
      <c r="I87" s="262" t="s">
        <v>581</v>
      </c>
      <c r="J87" s="112">
        <v>70</v>
      </c>
      <c r="K87" s="75">
        <v>300</v>
      </c>
      <c r="L87" s="75">
        <v>2100</v>
      </c>
      <c r="M87" s="202">
        <v>20.584096544031787</v>
      </c>
      <c r="N87" s="87">
        <v>4798.8125148600002</v>
      </c>
      <c r="O87" s="123">
        <v>66782.275960530314</v>
      </c>
      <c r="P87" s="123">
        <v>71659.920828960472</v>
      </c>
      <c r="Q87" s="120">
        <v>20416.082939359992</v>
      </c>
      <c r="R87" s="123">
        <v>87198.3588998903</v>
      </c>
      <c r="S87" s="123">
        <v>92076.003768320457</v>
      </c>
      <c r="U87" s="7" t="s">
        <v>6008</v>
      </c>
    </row>
    <row r="88" spans="1:21" ht="16.5" thickBot="1">
      <c r="A88" s="259" t="s">
        <v>10</v>
      </c>
      <c r="B88" s="263">
        <f t="shared" si="3"/>
        <v>70</v>
      </c>
      <c r="C88" s="263" t="s">
        <v>3</v>
      </c>
      <c r="D88" s="263">
        <f t="shared" si="4"/>
        <v>300</v>
      </c>
      <c r="E88" s="263" t="s">
        <v>3</v>
      </c>
      <c r="F88" s="261">
        <f t="shared" si="5"/>
        <v>2150</v>
      </c>
      <c r="G88" s="263" t="s">
        <v>3</v>
      </c>
      <c r="H88" s="260">
        <v>2</v>
      </c>
      <c r="I88" s="262" t="s">
        <v>581</v>
      </c>
      <c r="J88" s="112">
        <v>70</v>
      </c>
      <c r="K88" s="75">
        <v>300</v>
      </c>
      <c r="L88" s="75">
        <v>2150</v>
      </c>
      <c r="M88" s="202">
        <v>21.134988399942145</v>
      </c>
      <c r="N88" s="87">
        <v>4935.9214438560002</v>
      </c>
      <c r="O88" s="123">
        <v>67824.034118697164</v>
      </c>
      <c r="P88" s="123">
        <v>72821.057498964845</v>
      </c>
      <c r="Q88" s="120">
        <v>20900.372791564354</v>
      </c>
      <c r="R88" s="123">
        <v>88724.406910261518</v>
      </c>
      <c r="S88" s="123">
        <v>93721.430290529199</v>
      </c>
      <c r="U88" s="7" t="s">
        <v>6009</v>
      </c>
    </row>
    <row r="89" spans="1:21" ht="16.5" thickBot="1">
      <c r="A89" s="259" t="s">
        <v>10</v>
      </c>
      <c r="B89" s="263">
        <f t="shared" si="3"/>
        <v>70</v>
      </c>
      <c r="C89" s="263" t="s">
        <v>3</v>
      </c>
      <c r="D89" s="263">
        <f t="shared" si="4"/>
        <v>300</v>
      </c>
      <c r="E89" s="263" t="s">
        <v>3</v>
      </c>
      <c r="F89" s="261">
        <f t="shared" si="5"/>
        <v>2200</v>
      </c>
      <c r="G89" s="263" t="s">
        <v>3</v>
      </c>
      <c r="H89" s="260">
        <v>2</v>
      </c>
      <c r="I89" s="262" t="s">
        <v>581</v>
      </c>
      <c r="J89" s="112">
        <v>70</v>
      </c>
      <c r="K89" s="75">
        <v>300</v>
      </c>
      <c r="L89" s="75">
        <v>2200</v>
      </c>
      <c r="M89" s="202">
        <v>21.5618802558525</v>
      </c>
      <c r="N89" s="87">
        <v>5073.0303728520003</v>
      </c>
      <c r="O89" s="123">
        <v>68865.744185117699</v>
      </c>
      <c r="P89" s="123">
        <v>73982.149179916189</v>
      </c>
      <c r="Q89" s="120">
        <v>21384.662503375355</v>
      </c>
      <c r="R89" s="123">
        <v>90250.406688493051</v>
      </c>
      <c r="S89" s="123">
        <v>95366.81168329154</v>
      </c>
      <c r="U89" s="7" t="s">
        <v>6010</v>
      </c>
    </row>
    <row r="90" spans="1:21" ht="16.5" thickBot="1">
      <c r="A90" s="259" t="s">
        <v>10</v>
      </c>
      <c r="B90" s="263">
        <f t="shared" si="3"/>
        <v>70</v>
      </c>
      <c r="C90" s="263" t="s">
        <v>3</v>
      </c>
      <c r="D90" s="263">
        <f t="shared" si="4"/>
        <v>300</v>
      </c>
      <c r="E90" s="263" t="s">
        <v>3</v>
      </c>
      <c r="F90" s="261">
        <f t="shared" si="5"/>
        <v>2250</v>
      </c>
      <c r="G90" s="263" t="s">
        <v>3</v>
      </c>
      <c r="H90" s="260">
        <v>2</v>
      </c>
      <c r="I90" s="262" t="s">
        <v>581</v>
      </c>
      <c r="J90" s="112">
        <v>70</v>
      </c>
      <c r="K90" s="75">
        <v>300</v>
      </c>
      <c r="L90" s="75">
        <v>2250</v>
      </c>
      <c r="M90" s="202">
        <v>21.988772111762863</v>
      </c>
      <c r="N90" s="87">
        <v>5210.1393018480003</v>
      </c>
      <c r="O90" s="123">
        <v>70227.065314885971</v>
      </c>
      <c r="P90" s="123">
        <v>75442.490857363271</v>
      </c>
      <c r="Q90" s="120">
        <v>21868.952355579717</v>
      </c>
      <c r="R90" s="123">
        <v>92096.017670465691</v>
      </c>
      <c r="S90" s="123">
        <v>97311.443212942992</v>
      </c>
      <c r="U90" s="7" t="s">
        <v>6011</v>
      </c>
    </row>
    <row r="91" spans="1:21" ht="16.5" thickBot="1">
      <c r="A91" s="259" t="s">
        <v>10</v>
      </c>
      <c r="B91" s="263">
        <f t="shared" si="3"/>
        <v>70</v>
      </c>
      <c r="C91" s="263" t="s">
        <v>3</v>
      </c>
      <c r="D91" s="263">
        <f t="shared" si="4"/>
        <v>300</v>
      </c>
      <c r="E91" s="263" t="s">
        <v>3</v>
      </c>
      <c r="F91" s="261">
        <f t="shared" si="5"/>
        <v>2300</v>
      </c>
      <c r="G91" s="263" t="s">
        <v>3</v>
      </c>
      <c r="H91" s="260">
        <v>2</v>
      </c>
      <c r="I91" s="262" t="s">
        <v>581</v>
      </c>
      <c r="J91" s="112">
        <v>70</v>
      </c>
      <c r="K91" s="75">
        <v>300</v>
      </c>
      <c r="L91" s="75">
        <v>2300</v>
      </c>
      <c r="M91" s="202">
        <v>22.415663967673215</v>
      </c>
      <c r="N91" s="87">
        <v>5347.2482308440003</v>
      </c>
      <c r="O91" s="123">
        <v>71025.869818005624</v>
      </c>
      <c r="P91" s="123">
        <v>76376.151419234899</v>
      </c>
      <c r="Q91" s="120">
        <v>22353.242067390718</v>
      </c>
      <c r="R91" s="123">
        <v>93379.111885396342</v>
      </c>
      <c r="S91" s="123">
        <v>98729.393486625617</v>
      </c>
      <c r="U91" s="7" t="s">
        <v>6012</v>
      </c>
    </row>
    <row r="92" spans="1:21" ht="16.5" thickBot="1">
      <c r="A92" s="259" t="s">
        <v>10</v>
      </c>
      <c r="B92" s="263">
        <f t="shared" si="3"/>
        <v>70</v>
      </c>
      <c r="C92" s="263" t="s">
        <v>3</v>
      </c>
      <c r="D92" s="263">
        <f t="shared" si="4"/>
        <v>300</v>
      </c>
      <c r="E92" s="263" t="s">
        <v>3</v>
      </c>
      <c r="F92" s="261">
        <f t="shared" si="5"/>
        <v>2350</v>
      </c>
      <c r="G92" s="263" t="s">
        <v>3</v>
      </c>
      <c r="H92" s="260">
        <v>2</v>
      </c>
      <c r="I92" s="262" t="s">
        <v>581</v>
      </c>
      <c r="J92" s="112">
        <v>70</v>
      </c>
      <c r="K92" s="75">
        <v>300</v>
      </c>
      <c r="L92" s="75">
        <v>2350</v>
      </c>
      <c r="M92" s="202">
        <v>22.842555823583574</v>
      </c>
      <c r="N92" s="87">
        <v>5484.3571598400003</v>
      </c>
      <c r="O92" s="123">
        <v>71824.626348713326</v>
      </c>
      <c r="P92" s="123">
        <v>77309.76711138786</v>
      </c>
      <c r="Q92" s="120">
        <v>22837.53191959508</v>
      </c>
      <c r="R92" s="123">
        <v>94662.158268308413</v>
      </c>
      <c r="S92" s="123">
        <v>100147.29903098295</v>
      </c>
      <c r="U92" s="7" t="s">
        <v>6013</v>
      </c>
    </row>
    <row r="93" spans="1:21" ht="16.5" thickBot="1">
      <c r="A93" s="259" t="s">
        <v>10</v>
      </c>
      <c r="B93" s="263">
        <f t="shared" si="3"/>
        <v>70</v>
      </c>
      <c r="C93" s="263" t="s">
        <v>3</v>
      </c>
      <c r="D93" s="263">
        <f t="shared" si="4"/>
        <v>300</v>
      </c>
      <c r="E93" s="263" t="s">
        <v>3</v>
      </c>
      <c r="F93" s="261">
        <f t="shared" si="5"/>
        <v>2400</v>
      </c>
      <c r="G93" s="263" t="s">
        <v>3</v>
      </c>
      <c r="H93" s="260">
        <v>2</v>
      </c>
      <c r="I93" s="262" t="s">
        <v>581</v>
      </c>
      <c r="J93" s="112">
        <v>70</v>
      </c>
      <c r="K93" s="75">
        <v>300</v>
      </c>
      <c r="L93" s="75">
        <v>2400</v>
      </c>
      <c r="M93" s="202">
        <v>23.269447679493929</v>
      </c>
      <c r="N93" s="87">
        <v>5621.4660888359995</v>
      </c>
      <c r="O93" s="123">
        <v>72623.334668340336</v>
      </c>
      <c r="P93" s="123">
        <v>78243.337695153445</v>
      </c>
      <c r="Q93" s="120">
        <v>23321.821631406081</v>
      </c>
      <c r="R93" s="123">
        <v>95945.156299746421</v>
      </c>
      <c r="S93" s="123">
        <v>101565.15932655953</v>
      </c>
      <c r="U93" s="7" t="s">
        <v>6014</v>
      </c>
    </row>
    <row r="94" spans="1:21" ht="16.5" thickBot="1">
      <c r="A94" s="259" t="s">
        <v>10</v>
      </c>
      <c r="B94" s="263">
        <f t="shared" si="3"/>
        <v>70</v>
      </c>
      <c r="C94" s="263" t="s">
        <v>3</v>
      </c>
      <c r="D94" s="263">
        <f t="shared" si="4"/>
        <v>300</v>
      </c>
      <c r="E94" s="263" t="s">
        <v>3</v>
      </c>
      <c r="F94" s="261">
        <f t="shared" si="5"/>
        <v>2450</v>
      </c>
      <c r="G94" s="263" t="s">
        <v>3</v>
      </c>
      <c r="H94" s="260">
        <v>2</v>
      </c>
      <c r="I94" s="262" t="s">
        <v>581</v>
      </c>
      <c r="J94" s="112">
        <v>70</v>
      </c>
      <c r="K94" s="75">
        <v>300</v>
      </c>
      <c r="L94" s="75">
        <v>2450</v>
      </c>
      <c r="M94" s="202">
        <v>24.397904428204285</v>
      </c>
      <c r="N94" s="87">
        <v>5758.5750178320004</v>
      </c>
      <c r="O94" s="123">
        <v>73950.75565165552</v>
      </c>
      <c r="P94" s="123">
        <v>79795.562890322966</v>
      </c>
      <c r="Q94" s="120">
        <v>23806.111483610443</v>
      </c>
      <c r="R94" s="123">
        <v>97756.867135265958</v>
      </c>
      <c r="S94" s="123">
        <v>103601.67437393341</v>
      </c>
      <c r="U94" s="7" t="s">
        <v>6015</v>
      </c>
    </row>
    <row r="95" spans="1:21" ht="16.5" thickBot="1">
      <c r="A95" s="259" t="s">
        <v>10</v>
      </c>
      <c r="B95" s="263">
        <f t="shared" si="3"/>
        <v>70</v>
      </c>
      <c r="C95" s="263" t="s">
        <v>3</v>
      </c>
      <c r="D95" s="263">
        <f t="shared" si="4"/>
        <v>300</v>
      </c>
      <c r="E95" s="263" t="s">
        <v>3</v>
      </c>
      <c r="F95" s="261">
        <f t="shared" si="5"/>
        <v>2500</v>
      </c>
      <c r="G95" s="263" t="s">
        <v>3</v>
      </c>
      <c r="H95" s="260">
        <v>2</v>
      </c>
      <c r="I95" s="262" t="s">
        <v>581</v>
      </c>
      <c r="J95" s="112">
        <v>70</v>
      </c>
      <c r="K95" s="75">
        <v>300</v>
      </c>
      <c r="L95" s="75">
        <v>2500</v>
      </c>
      <c r="M95" s="202">
        <v>24.841796284114643</v>
      </c>
      <c r="N95" s="87">
        <v>5895.6839468280004</v>
      </c>
      <c r="O95" s="123">
        <v>74749.367787789888</v>
      </c>
      <c r="P95" s="123">
        <v>80729.043376648187</v>
      </c>
      <c r="Q95" s="120">
        <v>24290.401195421444</v>
      </c>
      <c r="R95" s="123">
        <v>99039.768983211339</v>
      </c>
      <c r="S95" s="123">
        <v>105019.44457206962</v>
      </c>
      <c r="U95" s="7" t="s">
        <v>6016</v>
      </c>
    </row>
    <row r="96" spans="1:21" ht="16.5" thickBot="1">
      <c r="A96" s="259" t="s">
        <v>10</v>
      </c>
      <c r="B96" s="263">
        <f t="shared" si="3"/>
        <v>70</v>
      </c>
      <c r="C96" s="263" t="s">
        <v>3</v>
      </c>
      <c r="D96" s="263">
        <f t="shared" si="4"/>
        <v>300</v>
      </c>
      <c r="E96" s="263" t="s">
        <v>3</v>
      </c>
      <c r="F96" s="261">
        <f t="shared" si="5"/>
        <v>2550</v>
      </c>
      <c r="G96" s="263" t="s">
        <v>3</v>
      </c>
      <c r="H96" s="260">
        <v>2</v>
      </c>
      <c r="I96" s="262" t="s">
        <v>581</v>
      </c>
      <c r="J96" s="112">
        <v>70</v>
      </c>
      <c r="K96" s="75">
        <v>300</v>
      </c>
      <c r="L96" s="75">
        <v>2550</v>
      </c>
      <c r="M96" s="202">
        <v>25.268688140025002</v>
      </c>
      <c r="N96" s="87">
        <v>6032.7928758240005</v>
      </c>
      <c r="O96" s="123">
        <v>78842.267769171594</v>
      </c>
      <c r="P96" s="123">
        <v>84746.946606657017</v>
      </c>
      <c r="Q96" s="120">
        <v>24774.691047625805</v>
      </c>
      <c r="R96" s="123">
        <v>103616.9588167974</v>
      </c>
      <c r="S96" s="123">
        <v>109521.63765428282</v>
      </c>
      <c r="U96" s="7" t="s">
        <v>6017</v>
      </c>
    </row>
    <row r="97" spans="1:21" ht="16.5" thickBot="1">
      <c r="A97" s="259" t="s">
        <v>10</v>
      </c>
      <c r="B97" s="260">
        <f t="shared" si="3"/>
        <v>70</v>
      </c>
      <c r="C97" s="260" t="s">
        <v>3</v>
      </c>
      <c r="D97" s="260">
        <f t="shared" si="4"/>
        <v>300</v>
      </c>
      <c r="E97" s="260" t="s">
        <v>3</v>
      </c>
      <c r="F97" s="261">
        <f t="shared" si="5"/>
        <v>2600</v>
      </c>
      <c r="G97" s="260" t="s">
        <v>3</v>
      </c>
      <c r="H97" s="260">
        <v>2</v>
      </c>
      <c r="I97" s="262" t="s">
        <v>581</v>
      </c>
      <c r="J97" s="112">
        <v>70</v>
      </c>
      <c r="K97" s="75">
        <v>300</v>
      </c>
      <c r="L97" s="75">
        <v>2600</v>
      </c>
      <c r="M97" s="202">
        <v>25.695579995935361</v>
      </c>
      <c r="N97" s="87">
        <v>6169.9018048200005</v>
      </c>
      <c r="O97" s="123">
        <v>79911.387266972437</v>
      </c>
      <c r="P97" s="123">
        <v>85933.701618660576</v>
      </c>
      <c r="Q97" s="120">
        <v>25258.980759436807</v>
      </c>
      <c r="R97" s="123">
        <v>105170.36802640924</v>
      </c>
      <c r="S97" s="123">
        <v>111192.68237809738</v>
      </c>
      <c r="U97" s="7" t="s">
        <v>6018</v>
      </c>
    </row>
    <row r="98" spans="1:21" ht="16.5" thickBot="1">
      <c r="A98" s="259" t="s">
        <v>10</v>
      </c>
      <c r="B98" s="263">
        <f t="shared" si="3"/>
        <v>70</v>
      </c>
      <c r="C98" s="263" t="s">
        <v>3</v>
      </c>
      <c r="D98" s="263">
        <f t="shared" si="4"/>
        <v>300</v>
      </c>
      <c r="E98" s="263" t="s">
        <v>3</v>
      </c>
      <c r="F98" s="261">
        <f t="shared" si="5"/>
        <v>2650</v>
      </c>
      <c r="G98" s="263" t="s">
        <v>3</v>
      </c>
      <c r="H98" s="260">
        <v>2</v>
      </c>
      <c r="I98" s="262" t="s">
        <v>581</v>
      </c>
      <c r="J98" s="112">
        <v>70</v>
      </c>
      <c r="K98" s="75">
        <v>300</v>
      </c>
      <c r="L98" s="75">
        <v>2650</v>
      </c>
      <c r="M98" s="202">
        <v>26.229471851845716</v>
      </c>
      <c r="N98" s="87">
        <v>6307.0107338160005</v>
      </c>
      <c r="O98" s="123">
        <v>80549.887062798196</v>
      </c>
      <c r="P98" s="123">
        <v>86717.269749603554</v>
      </c>
      <c r="Q98" s="120">
        <v>25743.270611641168</v>
      </c>
      <c r="R98" s="123">
        <v>106293.15767443937</v>
      </c>
      <c r="S98" s="123">
        <v>112460.54036124473</v>
      </c>
      <c r="U98" s="7" t="s">
        <v>6019</v>
      </c>
    </row>
    <row r="99" spans="1:21" ht="16.5" thickBot="1">
      <c r="A99" s="259" t="s">
        <v>10</v>
      </c>
      <c r="B99" s="263">
        <f t="shared" si="3"/>
        <v>70</v>
      </c>
      <c r="C99" s="263" t="s">
        <v>3</v>
      </c>
      <c r="D99" s="263">
        <f t="shared" si="4"/>
        <v>300</v>
      </c>
      <c r="E99" s="263" t="s">
        <v>3</v>
      </c>
      <c r="F99" s="261">
        <f t="shared" si="5"/>
        <v>2700</v>
      </c>
      <c r="G99" s="263" t="s">
        <v>3</v>
      </c>
      <c r="H99" s="260">
        <v>2</v>
      </c>
      <c r="I99" s="262" t="s">
        <v>581</v>
      </c>
      <c r="J99" s="112">
        <v>70</v>
      </c>
      <c r="K99" s="75">
        <v>300</v>
      </c>
      <c r="L99" s="75">
        <v>2700</v>
      </c>
      <c r="M99" s="202">
        <v>26.695613707756074</v>
      </c>
      <c r="N99" s="87">
        <v>6444.1196628120006</v>
      </c>
      <c r="O99" s="123">
        <v>81223.718062699656</v>
      </c>
      <c r="P99" s="123">
        <v>87533.91843862801</v>
      </c>
      <c r="Q99" s="120">
        <v>26227.56032345217</v>
      </c>
      <c r="R99" s="123">
        <v>107451.27838615183</v>
      </c>
      <c r="S99" s="123">
        <v>113761.47876208018</v>
      </c>
      <c r="U99" s="7" t="s">
        <v>6020</v>
      </c>
    </row>
    <row r="100" spans="1:21" ht="16.5" thickBot="1">
      <c r="A100" s="259" t="s">
        <v>10</v>
      </c>
      <c r="B100" s="263">
        <f t="shared" si="3"/>
        <v>70</v>
      </c>
      <c r="C100" s="263" t="s">
        <v>3</v>
      </c>
      <c r="D100" s="263">
        <f t="shared" si="4"/>
        <v>300</v>
      </c>
      <c r="E100" s="263" t="s">
        <v>3</v>
      </c>
      <c r="F100" s="261">
        <f t="shared" si="5"/>
        <v>2750</v>
      </c>
      <c r="G100" s="263" t="s">
        <v>3</v>
      </c>
      <c r="H100" s="260">
        <v>2</v>
      </c>
      <c r="I100" s="262" t="s">
        <v>581</v>
      </c>
      <c r="J100" s="112">
        <v>70</v>
      </c>
      <c r="K100" s="75">
        <v>300</v>
      </c>
      <c r="L100" s="75">
        <v>2750</v>
      </c>
      <c r="M100" s="202">
        <v>27.122505563666429</v>
      </c>
      <c r="N100" s="87">
        <v>6581.2285918080006</v>
      </c>
      <c r="O100" s="123">
        <v>81943.875734434463</v>
      </c>
      <c r="P100" s="123">
        <v>88393.942422140652</v>
      </c>
      <c r="Q100" s="120">
        <v>26711.850175656393</v>
      </c>
      <c r="R100" s="123">
        <v>108655.72591009086</v>
      </c>
      <c r="S100" s="123">
        <v>115105.79259779704</v>
      </c>
      <c r="U100" s="7" t="s">
        <v>6021</v>
      </c>
    </row>
    <row r="101" spans="1:21" ht="16.5" thickBot="1">
      <c r="A101" s="259" t="s">
        <v>10</v>
      </c>
      <c r="B101" s="263">
        <f t="shared" si="3"/>
        <v>70</v>
      </c>
      <c r="C101" s="263" t="s">
        <v>3</v>
      </c>
      <c r="D101" s="263">
        <f t="shared" si="4"/>
        <v>300</v>
      </c>
      <c r="E101" s="263" t="s">
        <v>3</v>
      </c>
      <c r="F101" s="261">
        <f t="shared" si="5"/>
        <v>2800</v>
      </c>
      <c r="G101" s="263" t="s">
        <v>3</v>
      </c>
      <c r="H101" s="260">
        <v>2</v>
      </c>
      <c r="I101" s="262" t="s">
        <v>581</v>
      </c>
      <c r="J101" s="112">
        <v>70</v>
      </c>
      <c r="K101" s="75">
        <v>300</v>
      </c>
      <c r="L101" s="75">
        <v>2800</v>
      </c>
      <c r="M101" s="202">
        <v>27.549397419576792</v>
      </c>
      <c r="N101" s="87">
        <v>6718.3375208040006</v>
      </c>
      <c r="O101" s="123">
        <v>82581.141016325419</v>
      </c>
      <c r="P101" s="123">
        <v>89176.354799825203</v>
      </c>
      <c r="Q101" s="120">
        <v>27196.140027860896</v>
      </c>
      <c r="R101" s="123">
        <v>109777.28104418631</v>
      </c>
      <c r="S101" s="123">
        <v>116372.4948276861</v>
      </c>
      <c r="U101" s="7" t="s">
        <v>6022</v>
      </c>
    </row>
    <row r="102" spans="1:21" ht="16.5" thickBot="1">
      <c r="A102" s="259" t="s">
        <v>10</v>
      </c>
      <c r="B102" s="263">
        <f t="shared" si="3"/>
        <v>70</v>
      </c>
      <c r="C102" s="263" t="s">
        <v>3</v>
      </c>
      <c r="D102" s="263">
        <f t="shared" si="4"/>
        <v>300</v>
      </c>
      <c r="E102" s="263" t="s">
        <v>3</v>
      </c>
      <c r="F102" s="261">
        <f t="shared" si="5"/>
        <v>2850</v>
      </c>
      <c r="G102" s="263" t="s">
        <v>3</v>
      </c>
      <c r="H102" s="260">
        <v>2</v>
      </c>
      <c r="I102" s="262" t="s">
        <v>581</v>
      </c>
      <c r="J102" s="112">
        <v>70</v>
      </c>
      <c r="K102" s="75">
        <v>300</v>
      </c>
      <c r="L102" s="75">
        <v>2850</v>
      </c>
      <c r="M102" s="202">
        <v>27.976289275487144</v>
      </c>
      <c r="N102" s="87">
        <v>6855.4464498000007</v>
      </c>
      <c r="O102" s="123">
        <v>83218.358325804395</v>
      </c>
      <c r="P102" s="123">
        <v>89958.722188456712</v>
      </c>
      <c r="Q102" s="120">
        <v>27680.42973967189</v>
      </c>
      <c r="R102" s="123">
        <v>110898.78806547628</v>
      </c>
      <c r="S102" s="123">
        <v>117639.1519281286</v>
      </c>
      <c r="U102" s="7" t="s">
        <v>6023</v>
      </c>
    </row>
    <row r="103" spans="1:21" ht="16.5" thickBot="1">
      <c r="A103" s="259" t="s">
        <v>10</v>
      </c>
      <c r="B103" s="263">
        <f t="shared" si="3"/>
        <v>70</v>
      </c>
      <c r="C103" s="263" t="s">
        <v>3</v>
      </c>
      <c r="D103" s="263">
        <f t="shared" si="4"/>
        <v>300</v>
      </c>
      <c r="E103" s="263" t="s">
        <v>3</v>
      </c>
      <c r="F103" s="261">
        <f t="shared" si="5"/>
        <v>2900</v>
      </c>
      <c r="G103" s="263" t="s">
        <v>3</v>
      </c>
      <c r="H103" s="260">
        <v>2</v>
      </c>
      <c r="I103" s="262" t="s">
        <v>581</v>
      </c>
      <c r="J103" s="112">
        <v>70</v>
      </c>
      <c r="K103" s="75">
        <v>300</v>
      </c>
      <c r="L103" s="75">
        <v>2900</v>
      </c>
      <c r="M103" s="202">
        <v>28.579181131397501</v>
      </c>
      <c r="N103" s="87">
        <v>6992.5553787959998</v>
      </c>
      <c r="O103" s="123">
        <v>83855.527424202694</v>
      </c>
      <c r="P103" s="123">
        <v>90741.044468700857</v>
      </c>
      <c r="Q103" s="120">
        <v>28164.719591876255</v>
      </c>
      <c r="R103" s="123">
        <v>112020.24701607895</v>
      </c>
      <c r="S103" s="123">
        <v>118905.76406057712</v>
      </c>
      <c r="U103" s="7" t="s">
        <v>6024</v>
      </c>
    </row>
    <row r="104" spans="1:21" ht="16.5" thickBot="1">
      <c r="A104" s="259" t="s">
        <v>10</v>
      </c>
      <c r="B104" s="263">
        <f t="shared" si="3"/>
        <v>70</v>
      </c>
      <c r="C104" s="263" t="s">
        <v>3</v>
      </c>
      <c r="D104" s="263">
        <f t="shared" si="4"/>
        <v>300</v>
      </c>
      <c r="E104" s="263" t="s">
        <v>3</v>
      </c>
      <c r="F104" s="261">
        <f t="shared" si="5"/>
        <v>2950</v>
      </c>
      <c r="G104" s="263" t="s">
        <v>3</v>
      </c>
      <c r="H104" s="260">
        <v>2</v>
      </c>
      <c r="I104" s="262" t="s">
        <v>581</v>
      </c>
      <c r="J104" s="112">
        <v>70</v>
      </c>
      <c r="K104" s="75">
        <v>300</v>
      </c>
      <c r="L104" s="75">
        <v>2950</v>
      </c>
      <c r="M104" s="202">
        <v>29.00607298730786</v>
      </c>
      <c r="N104" s="87">
        <v>7129.6643077920007</v>
      </c>
      <c r="O104" s="123">
        <v>84492.648550189027</v>
      </c>
      <c r="P104" s="123">
        <v>91523.321759892002</v>
      </c>
      <c r="Q104" s="120">
        <v>28649.009303687253</v>
      </c>
      <c r="R104" s="123">
        <v>113141.65785387628</v>
      </c>
      <c r="S104" s="123">
        <v>120172.33106357926</v>
      </c>
      <c r="U104" s="7" t="s">
        <v>6025</v>
      </c>
    </row>
    <row r="105" spans="1:21" ht="16.5" thickBot="1">
      <c r="A105" s="259" t="s">
        <v>10</v>
      </c>
      <c r="B105" s="263">
        <f t="shared" si="3"/>
        <v>70</v>
      </c>
      <c r="C105" s="263" t="s">
        <v>3</v>
      </c>
      <c r="D105" s="263">
        <f t="shared" si="4"/>
        <v>300</v>
      </c>
      <c r="E105" s="263" t="s">
        <v>3</v>
      </c>
      <c r="F105" s="261">
        <f t="shared" si="5"/>
        <v>3000</v>
      </c>
      <c r="G105" s="263" t="s">
        <v>3</v>
      </c>
      <c r="H105" s="260">
        <v>2</v>
      </c>
      <c r="I105" s="262" t="s">
        <v>581</v>
      </c>
      <c r="J105" s="146">
        <v>70</v>
      </c>
      <c r="K105" s="147">
        <v>300</v>
      </c>
      <c r="L105" s="147">
        <v>3000</v>
      </c>
      <c r="M105" s="209">
        <v>29.432964843218215</v>
      </c>
      <c r="N105" s="148">
        <v>7266.7732367880008</v>
      </c>
      <c r="O105" s="149">
        <v>86846.558263877203</v>
      </c>
      <c r="P105" s="149">
        <v>93913.018415569561</v>
      </c>
      <c r="Q105" s="159">
        <v>29133.299155891618</v>
      </c>
      <c r="R105" s="149">
        <v>115979.85741976881</v>
      </c>
      <c r="S105" s="149">
        <v>123046.31757146117</v>
      </c>
      <c r="U105" s="7" t="s">
        <v>6026</v>
      </c>
    </row>
  </sheetData>
  <mergeCells count="14">
    <mergeCell ref="A58:S58"/>
    <mergeCell ref="A7:S7"/>
    <mergeCell ref="A8:S8"/>
    <mergeCell ref="A9:S9"/>
    <mergeCell ref="A57:S57"/>
    <mergeCell ref="Q4:Q5"/>
    <mergeCell ref="R4:R5"/>
    <mergeCell ref="S4:S5"/>
    <mergeCell ref="O6:S6"/>
    <mergeCell ref="A4:I6"/>
    <mergeCell ref="J4:M5"/>
    <mergeCell ref="N4:N6"/>
    <mergeCell ref="O4:O5"/>
    <mergeCell ref="P4:P5"/>
  </mergeCells>
  <hyperlinks>
    <hyperlink ref="A1:I1" location="Главная!A1" display="Вернуться на главную страницу" xr:uid="{00000000-0004-0000-0800-000000000000}"/>
    <hyperlink ref="A2" location="'Калькулятор теплоотдач ВКВ'!R1C1" display="Вернуться Калькулятор теплоотдач ВКВ" xr:uid="{00000000-0004-0000-0800-000001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2">
    <tabColor rgb="FF3366FF"/>
  </sheetPr>
  <dimension ref="A1:U303"/>
  <sheetViews>
    <sheetView zoomScale="70" zoomScaleNormal="70" workbookViewId="0">
      <pane ySplit="6" topLeftCell="A7" activePane="bottomLeft" state="frozen"/>
      <selection pane="bottomLeft" activeCell="M208" sqref="M208"/>
    </sheetView>
  </sheetViews>
  <sheetFormatPr defaultRowHeight="15.75"/>
  <cols>
    <col min="1" max="1" width="5.5703125" style="7" customWidth="1"/>
    <col min="2" max="2" width="6" style="7" customWidth="1"/>
    <col min="3" max="3" width="3" style="7" customWidth="1"/>
    <col min="4" max="4" width="6" style="7" customWidth="1"/>
    <col min="5" max="5" width="3" style="7" customWidth="1"/>
    <col min="6" max="6" width="7.7109375" style="96" customWidth="1"/>
    <col min="7" max="7" width="3" style="7" customWidth="1"/>
    <col min="8" max="8" width="6" style="7" customWidth="1"/>
    <col min="9" max="9" width="8.140625" style="7" customWidth="1"/>
    <col min="10" max="10" width="11.28515625" style="7" customWidth="1"/>
    <col min="11" max="12" width="11.28515625" style="96" customWidth="1"/>
    <col min="13" max="13" width="15.5703125" style="1" customWidth="1"/>
    <col min="14" max="14" width="19.140625" style="7" customWidth="1"/>
    <col min="15" max="16" width="27.7109375" style="122" customWidth="1"/>
    <col min="17" max="17" width="26.28515625" style="117" customWidth="1"/>
    <col min="18" max="19" width="27.7109375" style="122" customWidth="1"/>
    <col min="20" max="16384" width="9.140625" style="74"/>
  </cols>
  <sheetData>
    <row r="1" spans="1:21" ht="16.5" customHeight="1">
      <c r="A1" s="1217" t="s">
        <v>9</v>
      </c>
      <c r="B1" s="1217"/>
      <c r="C1" s="1217"/>
      <c r="D1" s="1217"/>
      <c r="E1" s="1217"/>
      <c r="F1" s="97"/>
      <c r="G1" s="1217"/>
      <c r="H1" s="1217"/>
      <c r="I1" s="1217"/>
      <c r="M1" s="175"/>
      <c r="O1" s="117"/>
      <c r="P1" s="117"/>
      <c r="R1" s="117"/>
      <c r="S1" s="117"/>
    </row>
    <row r="2" spans="1:21">
      <c r="A2" s="956" t="s">
        <v>377</v>
      </c>
      <c r="B2" s="1217"/>
      <c r="C2" s="1217"/>
      <c r="D2" s="1217"/>
      <c r="E2" s="1217"/>
      <c r="F2" s="97"/>
      <c r="G2" s="1217"/>
      <c r="H2" s="1217"/>
      <c r="I2" s="1217"/>
      <c r="M2" s="175"/>
      <c r="O2" s="117"/>
      <c r="P2" s="117"/>
      <c r="R2" s="117"/>
      <c r="S2" s="117"/>
    </row>
    <row r="3" spans="1:21" ht="13.5" customHeight="1" thickBot="1">
      <c r="A3" s="16"/>
      <c r="B3" s="16"/>
      <c r="C3" s="16"/>
      <c r="D3" s="16"/>
      <c r="E3" s="16"/>
      <c r="F3" s="109"/>
      <c r="G3" s="16"/>
      <c r="H3" s="16"/>
      <c r="I3" s="1251"/>
      <c r="J3" s="16"/>
      <c r="K3" s="108"/>
      <c r="L3" s="108"/>
      <c r="M3" s="175"/>
      <c r="O3" s="116"/>
      <c r="P3" s="116"/>
      <c r="R3" s="117"/>
      <c r="S3" s="117"/>
    </row>
    <row r="4" spans="1:21" ht="69" customHeight="1">
      <c r="A4" s="2598" t="s">
        <v>8</v>
      </c>
      <c r="B4" s="2599"/>
      <c r="C4" s="2599"/>
      <c r="D4" s="2599"/>
      <c r="E4" s="2599"/>
      <c r="F4" s="2599"/>
      <c r="G4" s="2599"/>
      <c r="H4" s="2599"/>
      <c r="I4" s="2600"/>
      <c r="J4" s="2607" t="s">
        <v>97</v>
      </c>
      <c r="K4" s="2608"/>
      <c r="L4" s="2608"/>
      <c r="M4" s="2609"/>
      <c r="N4" s="2613" t="s">
        <v>96</v>
      </c>
      <c r="O4" s="2586" t="s">
        <v>173</v>
      </c>
      <c r="P4" s="2619" t="s">
        <v>174</v>
      </c>
      <c r="Q4" s="2586" t="s">
        <v>71</v>
      </c>
      <c r="R4" s="2588" t="s">
        <v>5817</v>
      </c>
      <c r="S4" s="2590" t="s">
        <v>5818</v>
      </c>
    </row>
    <row r="5" spans="1:21" ht="72" customHeight="1" thickBot="1">
      <c r="A5" s="2601"/>
      <c r="B5" s="2602"/>
      <c r="C5" s="2602"/>
      <c r="D5" s="2602"/>
      <c r="E5" s="2602"/>
      <c r="F5" s="2602"/>
      <c r="G5" s="2602"/>
      <c r="H5" s="2602"/>
      <c r="I5" s="2603"/>
      <c r="J5" s="2610"/>
      <c r="K5" s="2611"/>
      <c r="L5" s="2611"/>
      <c r="M5" s="2612"/>
      <c r="N5" s="2614"/>
      <c r="O5" s="2616"/>
      <c r="P5" s="2620"/>
      <c r="Q5" s="2587"/>
      <c r="R5" s="2589"/>
      <c r="S5" s="2591"/>
    </row>
    <row r="6" spans="1:21" ht="61.5" customHeight="1" thickBot="1">
      <c r="A6" s="2604"/>
      <c r="B6" s="2605"/>
      <c r="C6" s="2605"/>
      <c r="D6" s="2605"/>
      <c r="E6" s="2605"/>
      <c r="F6" s="2605"/>
      <c r="G6" s="2605"/>
      <c r="H6" s="2605"/>
      <c r="I6" s="2606"/>
      <c r="J6" s="287" t="s">
        <v>0</v>
      </c>
      <c r="K6" s="295" t="s">
        <v>1</v>
      </c>
      <c r="L6" s="295" t="s">
        <v>2</v>
      </c>
      <c r="M6" s="258" t="s">
        <v>94</v>
      </c>
      <c r="N6" s="2615"/>
      <c r="O6" s="2592" t="s">
        <v>169</v>
      </c>
      <c r="P6" s="2593"/>
      <c r="Q6" s="2593"/>
      <c r="R6" s="2593"/>
      <c r="S6" s="2594"/>
    </row>
    <row r="7" spans="1:21" ht="30" customHeight="1" thickBot="1">
      <c r="A7" s="2595" t="s">
        <v>159</v>
      </c>
      <c r="B7" s="2596"/>
      <c r="C7" s="2596"/>
      <c r="D7" s="2596"/>
      <c r="E7" s="2596"/>
      <c r="F7" s="2596"/>
      <c r="G7" s="2596"/>
      <c r="H7" s="2596"/>
      <c r="I7" s="2596"/>
      <c r="J7" s="2596"/>
      <c r="K7" s="2596"/>
      <c r="L7" s="2596"/>
      <c r="M7" s="2596"/>
      <c r="N7" s="2596"/>
      <c r="O7" s="2596"/>
      <c r="P7" s="2596"/>
      <c r="Q7" s="2596"/>
      <c r="R7" s="2596"/>
      <c r="S7" s="2597"/>
    </row>
    <row r="8" spans="1:21" ht="22.5" customHeight="1" thickBot="1">
      <c r="A8" s="2580" t="s">
        <v>515</v>
      </c>
      <c r="B8" s="2581"/>
      <c r="C8" s="2581"/>
      <c r="D8" s="2581"/>
      <c r="E8" s="2581"/>
      <c r="F8" s="2581"/>
      <c r="G8" s="2581"/>
      <c r="H8" s="2581"/>
      <c r="I8" s="2581"/>
      <c r="J8" s="2581"/>
      <c r="K8" s="2581"/>
      <c r="L8" s="2581"/>
      <c r="M8" s="2581"/>
      <c r="N8" s="2581"/>
      <c r="O8" s="2581"/>
      <c r="P8" s="2581"/>
      <c r="Q8" s="2581"/>
      <c r="R8" s="2581"/>
      <c r="S8" s="2582"/>
    </row>
    <row r="9" spans="1:21" ht="16.5" customHeight="1" thickBot="1">
      <c r="A9" s="2583" t="s">
        <v>134</v>
      </c>
      <c r="B9" s="2584"/>
      <c r="C9" s="2584"/>
      <c r="D9" s="2584"/>
      <c r="E9" s="2584"/>
      <c r="F9" s="2584"/>
      <c r="G9" s="2584"/>
      <c r="H9" s="2584"/>
      <c r="I9" s="2584"/>
      <c r="J9" s="2584"/>
      <c r="K9" s="2584"/>
      <c r="L9" s="2584"/>
      <c r="M9" s="2584"/>
      <c r="N9" s="2584"/>
      <c r="O9" s="2584"/>
      <c r="P9" s="2584"/>
      <c r="Q9" s="2584"/>
      <c r="R9" s="2584"/>
      <c r="S9" s="2585"/>
    </row>
    <row r="10" spans="1:21" ht="16.5" customHeight="1" thickBot="1">
      <c r="A10" s="259" t="s">
        <v>10</v>
      </c>
      <c r="B10" s="263">
        <f t="shared" ref="B10:B56" si="0">J10</f>
        <v>75</v>
      </c>
      <c r="C10" s="263" t="s">
        <v>3</v>
      </c>
      <c r="D10" s="263">
        <f t="shared" ref="D10:D56" si="1">K10</f>
        <v>260</v>
      </c>
      <c r="E10" s="263" t="s">
        <v>3</v>
      </c>
      <c r="F10" s="261">
        <f t="shared" ref="F10:F56" si="2">L10</f>
        <v>700</v>
      </c>
      <c r="G10" s="263" t="s">
        <v>3</v>
      </c>
      <c r="H10" s="260">
        <v>2</v>
      </c>
      <c r="I10" s="262" t="s">
        <v>581</v>
      </c>
      <c r="J10" s="112">
        <v>75</v>
      </c>
      <c r="K10" s="75">
        <v>260</v>
      </c>
      <c r="L10" s="75">
        <v>700</v>
      </c>
      <c r="M10" s="202">
        <v>7.1199406807485524</v>
      </c>
      <c r="N10" s="87">
        <v>994.74102000000005</v>
      </c>
      <c r="O10" s="145">
        <v>25660.88457853784</v>
      </c>
      <c r="P10" s="145">
        <v>27292.430486212535</v>
      </c>
      <c r="Q10" s="120">
        <v>8629.8383359722393</v>
      </c>
      <c r="R10" s="123">
        <v>34290.722914510079</v>
      </c>
      <c r="S10" s="123">
        <v>35922.268822184778</v>
      </c>
      <c r="U10" s="7" t="s">
        <v>6027</v>
      </c>
    </row>
    <row r="11" spans="1:21" ht="16.5" customHeight="1" thickBot="1">
      <c r="A11" s="259" t="s">
        <v>10</v>
      </c>
      <c r="B11" s="263">
        <f t="shared" si="0"/>
        <v>75</v>
      </c>
      <c r="C11" s="263" t="s">
        <v>3</v>
      </c>
      <c r="D11" s="263">
        <f t="shared" si="1"/>
        <v>260</v>
      </c>
      <c r="E11" s="263" t="s">
        <v>3</v>
      </c>
      <c r="F11" s="261">
        <f t="shared" si="2"/>
        <v>750</v>
      </c>
      <c r="G11" s="263" t="s">
        <v>3</v>
      </c>
      <c r="H11" s="260">
        <v>2</v>
      </c>
      <c r="I11" s="262" t="s">
        <v>581</v>
      </c>
      <c r="J11" s="112">
        <v>75</v>
      </c>
      <c r="K11" s="75">
        <v>260</v>
      </c>
      <c r="L11" s="75">
        <v>750</v>
      </c>
      <c r="M11" s="202">
        <v>7.5279324491213151</v>
      </c>
      <c r="N11" s="87">
        <v>1136.8468800000001</v>
      </c>
      <c r="O11" s="123">
        <v>27188.198487780042</v>
      </c>
      <c r="P11" s="123">
        <v>28890.004408150569</v>
      </c>
      <c r="Q11" s="120">
        <v>9061.4489483391772</v>
      </c>
      <c r="R11" s="123">
        <v>36249.647436119223</v>
      </c>
      <c r="S11" s="123">
        <v>37951.453356489743</v>
      </c>
      <c r="U11" s="7" t="s">
        <v>6028</v>
      </c>
    </row>
    <row r="12" spans="1:21" ht="16.5" customHeight="1" thickBot="1">
      <c r="A12" s="259" t="s">
        <v>10</v>
      </c>
      <c r="B12" s="263">
        <f t="shared" si="0"/>
        <v>75</v>
      </c>
      <c r="C12" s="263" t="s">
        <v>3</v>
      </c>
      <c r="D12" s="263">
        <f t="shared" si="1"/>
        <v>260</v>
      </c>
      <c r="E12" s="263" t="s">
        <v>3</v>
      </c>
      <c r="F12" s="261">
        <f t="shared" si="2"/>
        <v>800</v>
      </c>
      <c r="G12" s="263" t="s">
        <v>3</v>
      </c>
      <c r="H12" s="260">
        <v>2</v>
      </c>
      <c r="I12" s="262" t="s">
        <v>581</v>
      </c>
      <c r="J12" s="112">
        <v>75</v>
      </c>
      <c r="K12" s="75">
        <v>260</v>
      </c>
      <c r="L12" s="75">
        <v>800</v>
      </c>
      <c r="M12" s="202">
        <v>7.9359242174940778</v>
      </c>
      <c r="N12" s="87">
        <v>1278.9527400000002</v>
      </c>
      <c r="O12" s="123">
        <v>28715.512277687896</v>
      </c>
      <c r="P12" s="123">
        <v>30487.578449422952</v>
      </c>
      <c r="Q12" s="120">
        <v>9493.059560706115</v>
      </c>
      <c r="R12" s="123">
        <v>38208.571838394011</v>
      </c>
      <c r="S12" s="123">
        <v>39980.638010129071</v>
      </c>
      <c r="U12" s="7" t="s">
        <v>6029</v>
      </c>
    </row>
    <row r="13" spans="1:21" ht="16.5" customHeight="1" thickBot="1">
      <c r="A13" s="259" t="s">
        <v>10</v>
      </c>
      <c r="B13" s="263">
        <f t="shared" si="0"/>
        <v>75</v>
      </c>
      <c r="C13" s="263" t="s">
        <v>3</v>
      </c>
      <c r="D13" s="263">
        <f t="shared" si="1"/>
        <v>260</v>
      </c>
      <c r="E13" s="263" t="s">
        <v>3</v>
      </c>
      <c r="F13" s="261">
        <f t="shared" si="2"/>
        <v>850</v>
      </c>
      <c r="G13" s="263" t="s">
        <v>3</v>
      </c>
      <c r="H13" s="260">
        <v>2</v>
      </c>
      <c r="I13" s="262" t="s">
        <v>581</v>
      </c>
      <c r="J13" s="112">
        <v>75</v>
      </c>
      <c r="K13" s="75">
        <v>260</v>
      </c>
      <c r="L13" s="75">
        <v>850</v>
      </c>
      <c r="M13" s="202">
        <v>8.3609559858668412</v>
      </c>
      <c r="N13" s="87">
        <v>1421.0586000000001</v>
      </c>
      <c r="O13" s="123">
        <v>30242.826067595743</v>
      </c>
      <c r="P13" s="123">
        <v>32085.152371360986</v>
      </c>
      <c r="Q13" s="120">
        <v>10155.251950856327</v>
      </c>
      <c r="R13" s="123">
        <v>40398.07801845207</v>
      </c>
      <c r="S13" s="123">
        <v>42240.404322217313</v>
      </c>
      <c r="U13" s="7" t="s">
        <v>6030</v>
      </c>
    </row>
    <row r="14" spans="1:21" ht="16.5" customHeight="1" thickBot="1">
      <c r="A14" s="259" t="s">
        <v>10</v>
      </c>
      <c r="B14" s="263">
        <f t="shared" si="0"/>
        <v>75</v>
      </c>
      <c r="C14" s="263" t="s">
        <v>3</v>
      </c>
      <c r="D14" s="263">
        <f t="shared" si="1"/>
        <v>260</v>
      </c>
      <c r="E14" s="263" t="s">
        <v>3</v>
      </c>
      <c r="F14" s="261">
        <f t="shared" si="2"/>
        <v>900</v>
      </c>
      <c r="G14" s="263" t="s">
        <v>3</v>
      </c>
      <c r="H14" s="260">
        <v>2</v>
      </c>
      <c r="I14" s="262" t="s">
        <v>581</v>
      </c>
      <c r="J14" s="112">
        <v>75</v>
      </c>
      <c r="K14" s="75">
        <v>260</v>
      </c>
      <c r="L14" s="75">
        <v>900</v>
      </c>
      <c r="M14" s="202">
        <v>8.8069477542396051</v>
      </c>
      <c r="N14" s="87">
        <v>1563.1644600000002</v>
      </c>
      <c r="O14" s="123">
        <v>31770.139857503593</v>
      </c>
      <c r="P14" s="123">
        <v>33682.726412633376</v>
      </c>
      <c r="Q14" s="120">
        <v>10586.862563223265</v>
      </c>
      <c r="R14" s="123">
        <v>42357.002420726858</v>
      </c>
      <c r="S14" s="123">
        <v>44269.588975856641</v>
      </c>
      <c r="U14" s="7" t="s">
        <v>6031</v>
      </c>
    </row>
    <row r="15" spans="1:21" ht="16.5" customHeight="1" thickBot="1">
      <c r="A15" s="259" t="s">
        <v>10</v>
      </c>
      <c r="B15" s="263">
        <f t="shared" si="0"/>
        <v>75</v>
      </c>
      <c r="C15" s="263" t="s">
        <v>3</v>
      </c>
      <c r="D15" s="263">
        <f t="shared" si="1"/>
        <v>260</v>
      </c>
      <c r="E15" s="263" t="s">
        <v>3</v>
      </c>
      <c r="F15" s="261">
        <f t="shared" si="2"/>
        <v>950</v>
      </c>
      <c r="G15" s="263" t="s">
        <v>3</v>
      </c>
      <c r="H15" s="260">
        <v>2</v>
      </c>
      <c r="I15" s="262" t="s">
        <v>581</v>
      </c>
      <c r="J15" s="112">
        <v>75</v>
      </c>
      <c r="K15" s="75">
        <v>260</v>
      </c>
      <c r="L15" s="75">
        <v>950</v>
      </c>
      <c r="M15" s="202">
        <v>9.3009795226123693</v>
      </c>
      <c r="N15" s="87">
        <v>1705.2703200000001</v>
      </c>
      <c r="O15" s="123">
        <v>33297.453647411443</v>
      </c>
      <c r="P15" s="123">
        <v>35280.30033457141</v>
      </c>
      <c r="Q15" s="120">
        <v>11249.054953373477</v>
      </c>
      <c r="R15" s="123">
        <v>44546.508600784917</v>
      </c>
      <c r="S15" s="123">
        <v>46529.355287944883</v>
      </c>
      <c r="U15" s="7" t="s">
        <v>6032</v>
      </c>
    </row>
    <row r="16" spans="1:21" s="7" customFormat="1" ht="16.5" customHeight="1" thickBot="1">
      <c r="A16" s="259" t="s">
        <v>10</v>
      </c>
      <c r="B16" s="263">
        <f t="shared" si="0"/>
        <v>75</v>
      </c>
      <c r="C16" s="263" t="s">
        <v>3</v>
      </c>
      <c r="D16" s="263">
        <f t="shared" si="1"/>
        <v>260</v>
      </c>
      <c r="E16" s="263" t="s">
        <v>3</v>
      </c>
      <c r="F16" s="261">
        <f t="shared" si="2"/>
        <v>1000</v>
      </c>
      <c r="G16" s="263" t="s">
        <v>3</v>
      </c>
      <c r="H16" s="260">
        <v>2</v>
      </c>
      <c r="I16" s="262" t="s">
        <v>581</v>
      </c>
      <c r="J16" s="112">
        <v>75</v>
      </c>
      <c r="K16" s="75">
        <v>260</v>
      </c>
      <c r="L16" s="75">
        <v>1000</v>
      </c>
      <c r="M16" s="202">
        <v>9.7089712909851329</v>
      </c>
      <c r="N16" s="87">
        <v>1847.3761800000002</v>
      </c>
      <c r="O16" s="123">
        <v>34729.635399699975</v>
      </c>
      <c r="P16" s="123">
        <v>36788.802733601857</v>
      </c>
      <c r="Q16" s="120">
        <v>11680.665565740415</v>
      </c>
      <c r="R16" s="123">
        <v>46410.300965440387</v>
      </c>
      <c r="S16" s="123">
        <v>48469.468299342276</v>
      </c>
      <c r="U16" s="7" t="s">
        <v>6033</v>
      </c>
    </row>
    <row r="17" spans="1:21" s="7" customFormat="1" ht="16.5" customHeight="1" thickBot="1">
      <c r="A17" s="259" t="s">
        <v>10</v>
      </c>
      <c r="B17" s="263">
        <f t="shared" si="0"/>
        <v>75</v>
      </c>
      <c r="C17" s="263" t="s">
        <v>3</v>
      </c>
      <c r="D17" s="263">
        <f t="shared" si="1"/>
        <v>260</v>
      </c>
      <c r="E17" s="263" t="s">
        <v>3</v>
      </c>
      <c r="F17" s="261">
        <f t="shared" si="2"/>
        <v>1050</v>
      </c>
      <c r="G17" s="263" t="s">
        <v>3</v>
      </c>
      <c r="H17" s="260">
        <v>2</v>
      </c>
      <c r="I17" s="262" t="s">
        <v>581</v>
      </c>
      <c r="J17" s="112">
        <v>75</v>
      </c>
      <c r="K17" s="75">
        <v>260</v>
      </c>
      <c r="L17" s="75">
        <v>1050</v>
      </c>
      <c r="M17" s="202">
        <v>10.134003059357894</v>
      </c>
      <c r="N17" s="87">
        <v>1989.4820400000001</v>
      </c>
      <c r="O17" s="123">
        <v>36482.887913204839</v>
      </c>
      <c r="P17" s="123">
        <v>38597.921865531658</v>
      </c>
      <c r="Q17" s="120">
        <v>12342.857815497266</v>
      </c>
      <c r="R17" s="123">
        <v>48825.745728702102</v>
      </c>
      <c r="S17" s="123">
        <v>50940.779681028922</v>
      </c>
      <c r="U17" s="7" t="s">
        <v>6034</v>
      </c>
    </row>
    <row r="18" spans="1:21" s="7" customFormat="1" ht="16.5" customHeight="1" thickBot="1">
      <c r="A18" s="259" t="s">
        <v>10</v>
      </c>
      <c r="B18" s="260">
        <f t="shared" si="0"/>
        <v>75</v>
      </c>
      <c r="C18" s="260" t="s">
        <v>3</v>
      </c>
      <c r="D18" s="260">
        <f t="shared" si="1"/>
        <v>260</v>
      </c>
      <c r="E18" s="260" t="s">
        <v>3</v>
      </c>
      <c r="F18" s="261">
        <f t="shared" si="2"/>
        <v>1100</v>
      </c>
      <c r="G18" s="260" t="s">
        <v>3</v>
      </c>
      <c r="H18" s="260">
        <v>2</v>
      </c>
      <c r="I18" s="262" t="s">
        <v>581</v>
      </c>
      <c r="J18" s="112">
        <v>75</v>
      </c>
      <c r="K18" s="75">
        <v>260</v>
      </c>
      <c r="L18" s="75">
        <v>1100</v>
      </c>
      <c r="M18" s="202">
        <v>10.541994827730658</v>
      </c>
      <c r="N18" s="87">
        <v>2131.5879</v>
      </c>
      <c r="O18" s="123">
        <v>38010.201703112689</v>
      </c>
      <c r="P18" s="123">
        <v>40195.495787469685</v>
      </c>
      <c r="Q18" s="120">
        <v>12774.468427864203</v>
      </c>
      <c r="R18" s="123">
        <v>50784.670130976891</v>
      </c>
      <c r="S18" s="123">
        <v>52969.964215333886</v>
      </c>
      <c r="U18" s="7" t="s">
        <v>6035</v>
      </c>
    </row>
    <row r="19" spans="1:21" s="7" customFormat="1" ht="16.5" customHeight="1" thickBot="1">
      <c r="A19" s="259" t="s">
        <v>10</v>
      </c>
      <c r="B19" s="263">
        <f t="shared" si="0"/>
        <v>75</v>
      </c>
      <c r="C19" s="263" t="s">
        <v>3</v>
      </c>
      <c r="D19" s="263">
        <f t="shared" si="1"/>
        <v>260</v>
      </c>
      <c r="E19" s="263" t="s">
        <v>3</v>
      </c>
      <c r="F19" s="261">
        <f t="shared" si="2"/>
        <v>1150</v>
      </c>
      <c r="G19" s="263" t="s">
        <v>3</v>
      </c>
      <c r="H19" s="260">
        <v>2</v>
      </c>
      <c r="I19" s="262" t="s">
        <v>581</v>
      </c>
      <c r="J19" s="112">
        <v>75</v>
      </c>
      <c r="K19" s="75">
        <v>260</v>
      </c>
      <c r="L19" s="75">
        <v>1150</v>
      </c>
      <c r="M19" s="202">
        <v>10.94998659610342</v>
      </c>
      <c r="N19" s="87">
        <v>2273.6937600000001</v>
      </c>
      <c r="O19" s="123">
        <v>38782.173040467438</v>
      </c>
      <c r="P19" s="123">
        <v>41085.846927418796</v>
      </c>
      <c r="Q19" s="120">
        <v>13206.07904023114</v>
      </c>
      <c r="R19" s="123">
        <v>51988.252080698578</v>
      </c>
      <c r="S19" s="123">
        <v>54291.925967649935</v>
      </c>
      <c r="U19" s="7" t="s">
        <v>6036</v>
      </c>
    </row>
    <row r="20" spans="1:21" s="7" customFormat="1" ht="16.5" customHeight="1" thickBot="1">
      <c r="A20" s="259" t="s">
        <v>10</v>
      </c>
      <c r="B20" s="263">
        <f t="shared" si="0"/>
        <v>75</v>
      </c>
      <c r="C20" s="263" t="s">
        <v>3</v>
      </c>
      <c r="D20" s="263">
        <f t="shared" si="1"/>
        <v>260</v>
      </c>
      <c r="E20" s="263" t="s">
        <v>3</v>
      </c>
      <c r="F20" s="261">
        <f t="shared" si="2"/>
        <v>1200</v>
      </c>
      <c r="G20" s="263" t="s">
        <v>3</v>
      </c>
      <c r="H20" s="260">
        <v>2</v>
      </c>
      <c r="I20" s="262" t="s">
        <v>581</v>
      </c>
      <c r="J20" s="112">
        <v>75</v>
      </c>
      <c r="K20" s="75">
        <v>260</v>
      </c>
      <c r="L20" s="75">
        <v>1200</v>
      </c>
      <c r="M20" s="202">
        <v>11.590268364476184</v>
      </c>
      <c r="N20" s="87">
        <v>2415.7996200000002</v>
      </c>
      <c r="O20" s="123">
        <v>39589.283214912597</v>
      </c>
      <c r="P20" s="123">
        <v>42009.098430568607</v>
      </c>
      <c r="Q20" s="120">
        <v>13868.271430381354</v>
      </c>
      <c r="R20" s="123">
        <v>53457.554645293952</v>
      </c>
      <c r="S20" s="123">
        <v>55877.369860949962</v>
      </c>
      <c r="U20" s="7" t="s">
        <v>6037</v>
      </c>
    </row>
    <row r="21" spans="1:21" s="7" customFormat="1" ht="16.5" customHeight="1" thickBot="1">
      <c r="A21" s="259" t="s">
        <v>10</v>
      </c>
      <c r="B21" s="263">
        <f t="shared" si="0"/>
        <v>75</v>
      </c>
      <c r="C21" s="263" t="s">
        <v>3</v>
      </c>
      <c r="D21" s="263">
        <f t="shared" si="1"/>
        <v>260</v>
      </c>
      <c r="E21" s="263" t="s">
        <v>3</v>
      </c>
      <c r="F21" s="261">
        <f t="shared" si="2"/>
        <v>1250</v>
      </c>
      <c r="G21" s="263" t="s">
        <v>3</v>
      </c>
      <c r="H21" s="260">
        <v>2</v>
      </c>
      <c r="I21" s="262" t="s">
        <v>581</v>
      </c>
      <c r="J21" s="112">
        <v>75</v>
      </c>
      <c r="K21" s="75">
        <v>260</v>
      </c>
      <c r="L21" s="75">
        <v>1250</v>
      </c>
      <c r="M21" s="202">
        <v>11.998260132848948</v>
      </c>
      <c r="N21" s="87">
        <v>2557.9054800000004</v>
      </c>
      <c r="O21" s="123">
        <v>40360.773515469737</v>
      </c>
      <c r="P21" s="123">
        <v>42898.999202650142</v>
      </c>
      <c r="Q21" s="120">
        <v>14299.882042748291</v>
      </c>
      <c r="R21" s="123">
        <v>54660.65555821803</v>
      </c>
      <c r="S21" s="123">
        <v>57198.881245398436</v>
      </c>
      <c r="U21" s="7" t="s">
        <v>6038</v>
      </c>
    </row>
    <row r="22" spans="1:21" s="7" customFormat="1" ht="16.5" customHeight="1" thickBot="1">
      <c r="A22" s="259" t="s">
        <v>10</v>
      </c>
      <c r="B22" s="263">
        <f t="shared" si="0"/>
        <v>75</v>
      </c>
      <c r="C22" s="263" t="s">
        <v>3</v>
      </c>
      <c r="D22" s="263">
        <f t="shared" si="1"/>
        <v>260</v>
      </c>
      <c r="E22" s="263" t="s">
        <v>3</v>
      </c>
      <c r="F22" s="261">
        <f t="shared" si="2"/>
        <v>1300</v>
      </c>
      <c r="G22" s="263" t="s">
        <v>3</v>
      </c>
      <c r="H22" s="260">
        <v>2</v>
      </c>
      <c r="I22" s="262" t="s">
        <v>581</v>
      </c>
      <c r="J22" s="112">
        <v>75</v>
      </c>
      <c r="K22" s="75">
        <v>260</v>
      </c>
      <c r="L22" s="75">
        <v>1300</v>
      </c>
      <c r="M22" s="202">
        <v>12.485291901221711</v>
      </c>
      <c r="N22" s="87">
        <v>2700.01134</v>
      </c>
      <c r="O22" s="123">
        <v>43584.647406699296</v>
      </c>
      <c r="P22" s="123">
        <v>46085.052575093498</v>
      </c>
      <c r="Q22" s="120">
        <v>14962.074432898504</v>
      </c>
      <c r="R22" s="123">
        <v>58546.721839597798</v>
      </c>
      <c r="S22" s="123">
        <v>61047.127007992</v>
      </c>
      <c r="U22" s="7" t="s">
        <v>6039</v>
      </c>
    </row>
    <row r="23" spans="1:21" s="7" customFormat="1" ht="16.5" customHeight="1" thickBot="1">
      <c r="A23" s="259" t="s">
        <v>10</v>
      </c>
      <c r="B23" s="263">
        <f t="shared" si="0"/>
        <v>75</v>
      </c>
      <c r="C23" s="263" t="s">
        <v>3</v>
      </c>
      <c r="D23" s="263">
        <f t="shared" si="1"/>
        <v>260</v>
      </c>
      <c r="E23" s="263" t="s">
        <v>3</v>
      </c>
      <c r="F23" s="261">
        <f t="shared" si="2"/>
        <v>1350</v>
      </c>
      <c r="G23" s="263" t="s">
        <v>3</v>
      </c>
      <c r="H23" s="260">
        <v>2</v>
      </c>
      <c r="I23" s="262" t="s">
        <v>581</v>
      </c>
      <c r="J23" s="112">
        <v>75</v>
      </c>
      <c r="K23" s="75">
        <v>260</v>
      </c>
      <c r="L23" s="75">
        <v>1350</v>
      </c>
      <c r="M23" s="202">
        <v>12.893283669594476</v>
      </c>
      <c r="N23" s="87">
        <v>2842.1172000000001</v>
      </c>
      <c r="O23" s="123">
        <v>44605.834111540767</v>
      </c>
      <c r="P23" s="123">
        <v>47208.742720190028</v>
      </c>
      <c r="Q23" s="120">
        <v>15393.685045265442</v>
      </c>
      <c r="R23" s="123">
        <v>59999.519156806207</v>
      </c>
      <c r="S23" s="123">
        <v>62602.427765455468</v>
      </c>
      <c r="U23" s="7" t="s">
        <v>6040</v>
      </c>
    </row>
    <row r="24" spans="1:21" s="7" customFormat="1" ht="16.5" customHeight="1" thickBot="1">
      <c r="A24" s="259" t="s">
        <v>10</v>
      </c>
      <c r="B24" s="263">
        <f t="shared" si="0"/>
        <v>75</v>
      </c>
      <c r="C24" s="263" t="s">
        <v>3</v>
      </c>
      <c r="D24" s="263">
        <f t="shared" si="1"/>
        <v>260</v>
      </c>
      <c r="E24" s="263" t="s">
        <v>3</v>
      </c>
      <c r="F24" s="261">
        <f t="shared" si="2"/>
        <v>1400</v>
      </c>
      <c r="G24" s="263" t="s">
        <v>3</v>
      </c>
      <c r="H24" s="260">
        <v>2</v>
      </c>
      <c r="I24" s="262" t="s">
        <v>581</v>
      </c>
      <c r="J24" s="112">
        <v>75</v>
      </c>
      <c r="K24" s="75">
        <v>260</v>
      </c>
      <c r="L24" s="75">
        <v>1400</v>
      </c>
      <c r="M24" s="202">
        <v>13.318315437967236</v>
      </c>
      <c r="N24" s="87">
        <v>2984.2230600000003</v>
      </c>
      <c r="O24" s="123">
        <v>45954.037292657791</v>
      </c>
      <c r="P24" s="123">
        <v>48638.616426658067</v>
      </c>
      <c r="Q24" s="120">
        <v>16055.877435415654</v>
      </c>
      <c r="R24" s="123">
        <v>62009.914728073447</v>
      </c>
      <c r="S24" s="123">
        <v>64694.493862073723</v>
      </c>
      <c r="U24" s="7" t="s">
        <v>6041</v>
      </c>
    </row>
    <row r="25" spans="1:21" s="7" customFormat="1" ht="16.5" customHeight="1" thickBot="1">
      <c r="A25" s="259" t="s">
        <v>10</v>
      </c>
      <c r="B25" s="263">
        <f t="shared" si="0"/>
        <v>75</v>
      </c>
      <c r="C25" s="263" t="s">
        <v>3</v>
      </c>
      <c r="D25" s="263">
        <f t="shared" si="1"/>
        <v>260</v>
      </c>
      <c r="E25" s="263" t="s">
        <v>3</v>
      </c>
      <c r="F25" s="261">
        <f t="shared" si="2"/>
        <v>1450</v>
      </c>
      <c r="G25" s="263" t="s">
        <v>3</v>
      </c>
      <c r="H25" s="260">
        <v>2</v>
      </c>
      <c r="I25" s="262" t="s">
        <v>581</v>
      </c>
      <c r="J25" s="112">
        <v>75</v>
      </c>
      <c r="K25" s="75">
        <v>260</v>
      </c>
      <c r="L25" s="75">
        <v>1450</v>
      </c>
      <c r="M25" s="202">
        <v>13.72630720634</v>
      </c>
      <c r="N25" s="87">
        <v>3126.3289200000004</v>
      </c>
      <c r="O25" s="123">
        <v>46975.223997499263</v>
      </c>
      <c r="P25" s="123">
        <v>49762.306571754598</v>
      </c>
      <c r="Q25" s="120">
        <v>16487.48804778259</v>
      </c>
      <c r="R25" s="123">
        <v>63462.712045281849</v>
      </c>
      <c r="S25" s="123">
        <v>66249.794619537191</v>
      </c>
      <c r="U25" s="7" t="s">
        <v>6042</v>
      </c>
    </row>
    <row r="26" spans="1:21" s="7" customFormat="1" ht="16.5" customHeight="1" thickBot="1">
      <c r="A26" s="259" t="s">
        <v>10</v>
      </c>
      <c r="B26" s="263">
        <f t="shared" si="0"/>
        <v>75</v>
      </c>
      <c r="C26" s="263" t="s">
        <v>3</v>
      </c>
      <c r="D26" s="263">
        <f t="shared" si="1"/>
        <v>260</v>
      </c>
      <c r="E26" s="263" t="s">
        <v>3</v>
      </c>
      <c r="F26" s="261">
        <f t="shared" si="2"/>
        <v>1500</v>
      </c>
      <c r="G26" s="263" t="s">
        <v>3</v>
      </c>
      <c r="H26" s="260">
        <v>2</v>
      </c>
      <c r="I26" s="262" t="s">
        <v>581</v>
      </c>
      <c r="J26" s="112">
        <v>75</v>
      </c>
      <c r="K26" s="75">
        <v>260</v>
      </c>
      <c r="L26" s="75">
        <v>1500</v>
      </c>
      <c r="M26" s="202">
        <v>14.718103163512763</v>
      </c>
      <c r="N26" s="87">
        <v>3268.43478</v>
      </c>
      <c r="O26" s="123">
        <v>48455.506923526358</v>
      </c>
      <c r="P26" s="123">
        <v>51423.229137703282</v>
      </c>
      <c r="Q26" s="120">
        <v>17149.680437932802</v>
      </c>
      <c r="R26" s="123">
        <v>65605.18736145916</v>
      </c>
      <c r="S26" s="123">
        <v>68572.909575636091</v>
      </c>
      <c r="U26" s="7" t="s">
        <v>6043</v>
      </c>
    </row>
    <row r="27" spans="1:21" s="7" customFormat="1" ht="16.5" customHeight="1" thickBot="1">
      <c r="A27" s="259" t="s">
        <v>10</v>
      </c>
      <c r="B27" s="263">
        <f t="shared" si="0"/>
        <v>75</v>
      </c>
      <c r="C27" s="263" t="s">
        <v>3</v>
      </c>
      <c r="D27" s="263">
        <f t="shared" si="1"/>
        <v>260</v>
      </c>
      <c r="E27" s="263" t="s">
        <v>3</v>
      </c>
      <c r="F27" s="261">
        <f t="shared" si="2"/>
        <v>1550</v>
      </c>
      <c r="G27" s="263" t="s">
        <v>3</v>
      </c>
      <c r="H27" s="260">
        <v>2</v>
      </c>
      <c r="I27" s="262" t="s">
        <v>581</v>
      </c>
      <c r="J27" s="112">
        <v>75</v>
      </c>
      <c r="K27" s="75">
        <v>260</v>
      </c>
      <c r="L27" s="75">
        <v>1550</v>
      </c>
      <c r="M27" s="202">
        <v>15.195094931885528</v>
      </c>
      <c r="N27" s="87">
        <v>3410.5406400000002</v>
      </c>
      <c r="O27" s="123">
        <v>49476.693628367953</v>
      </c>
      <c r="P27" s="123">
        <v>52546.919163465449</v>
      </c>
      <c r="Q27" s="120">
        <v>17581.29105029974</v>
      </c>
      <c r="R27" s="123">
        <v>67057.984678667694</v>
      </c>
      <c r="S27" s="123">
        <v>70128.210213765182</v>
      </c>
      <c r="U27" s="7" t="s">
        <v>6044</v>
      </c>
    </row>
    <row r="28" spans="1:21" s="7" customFormat="1" ht="16.5" customHeight="1" thickBot="1">
      <c r="A28" s="259" t="s">
        <v>10</v>
      </c>
      <c r="B28" s="260">
        <f t="shared" si="0"/>
        <v>75</v>
      </c>
      <c r="C28" s="260" t="s">
        <v>3</v>
      </c>
      <c r="D28" s="260">
        <f t="shared" si="1"/>
        <v>260</v>
      </c>
      <c r="E28" s="260" t="s">
        <v>3</v>
      </c>
      <c r="F28" s="261">
        <f t="shared" si="2"/>
        <v>1600</v>
      </c>
      <c r="G28" s="260" t="s">
        <v>3</v>
      </c>
      <c r="H28" s="260">
        <v>2</v>
      </c>
      <c r="I28" s="262" t="s">
        <v>581</v>
      </c>
      <c r="J28" s="112">
        <v>75</v>
      </c>
      <c r="K28" s="75">
        <v>260</v>
      </c>
      <c r="L28" s="75">
        <v>1600</v>
      </c>
      <c r="M28" s="202">
        <v>15.60308670025829</v>
      </c>
      <c r="N28" s="87">
        <v>3552.6464999999998</v>
      </c>
      <c r="O28" s="123">
        <v>52443.921678967759</v>
      </c>
      <c r="P28" s="123">
        <v>55492.676695685768</v>
      </c>
      <c r="Q28" s="120">
        <v>18012.901662666678</v>
      </c>
      <c r="R28" s="123">
        <v>70456.823341634445</v>
      </c>
      <c r="S28" s="123">
        <v>73505.578358352446</v>
      </c>
      <c r="U28" s="7" t="s">
        <v>6045</v>
      </c>
    </row>
    <row r="29" spans="1:21" s="7" customFormat="1" ht="16.5" customHeight="1" thickBot="1">
      <c r="A29" s="259" t="s">
        <v>10</v>
      </c>
      <c r="B29" s="263">
        <f t="shared" si="0"/>
        <v>75</v>
      </c>
      <c r="C29" s="263" t="s">
        <v>3</v>
      </c>
      <c r="D29" s="263">
        <f t="shared" si="1"/>
        <v>260</v>
      </c>
      <c r="E29" s="263" t="s">
        <v>3</v>
      </c>
      <c r="F29" s="261">
        <f t="shared" si="2"/>
        <v>1650</v>
      </c>
      <c r="G29" s="263" t="s">
        <v>3</v>
      </c>
      <c r="H29" s="260">
        <v>2</v>
      </c>
      <c r="I29" s="262" t="s">
        <v>581</v>
      </c>
      <c r="J29" s="112">
        <v>75</v>
      </c>
      <c r="K29" s="75">
        <v>260</v>
      </c>
      <c r="L29" s="75">
        <v>1650</v>
      </c>
      <c r="M29" s="202">
        <v>16.066118468631053</v>
      </c>
      <c r="N29" s="87">
        <v>3694.7523600000004</v>
      </c>
      <c r="O29" s="123">
        <v>55663.40991320186</v>
      </c>
      <c r="P29" s="123">
        <v>58674.623772866042</v>
      </c>
      <c r="Q29" s="120">
        <v>18675.09391242353</v>
      </c>
      <c r="R29" s="123">
        <v>74338.50382562539</v>
      </c>
      <c r="S29" s="123">
        <v>77349.717685289565</v>
      </c>
      <c r="U29" s="7" t="s">
        <v>6046</v>
      </c>
    </row>
    <row r="30" spans="1:21" s="7" customFormat="1" ht="16.5" customHeight="1" thickBot="1">
      <c r="A30" s="259" t="s">
        <v>10</v>
      </c>
      <c r="B30" s="263">
        <f t="shared" si="0"/>
        <v>75</v>
      </c>
      <c r="C30" s="263" t="s">
        <v>3</v>
      </c>
      <c r="D30" s="263">
        <f t="shared" si="1"/>
        <v>260</v>
      </c>
      <c r="E30" s="263" t="s">
        <v>3</v>
      </c>
      <c r="F30" s="261">
        <f t="shared" si="2"/>
        <v>1700</v>
      </c>
      <c r="G30" s="263" t="s">
        <v>3</v>
      </c>
      <c r="H30" s="260">
        <v>2</v>
      </c>
      <c r="I30" s="262" t="s">
        <v>581</v>
      </c>
      <c r="J30" s="112">
        <v>75</v>
      </c>
      <c r="K30" s="75">
        <v>260</v>
      </c>
      <c r="L30" s="75">
        <v>1700</v>
      </c>
      <c r="M30" s="202">
        <v>16.474110237003817</v>
      </c>
      <c r="N30" s="87">
        <v>3836.8582200000005</v>
      </c>
      <c r="O30" s="123">
        <v>56479.449161659366</v>
      </c>
      <c r="P30" s="123">
        <v>59606.235483143013</v>
      </c>
      <c r="Q30" s="120">
        <v>19106.704524790468</v>
      </c>
      <c r="R30" s="123">
        <v>75586.153686449834</v>
      </c>
      <c r="S30" s="123">
        <v>78712.940007933474</v>
      </c>
      <c r="U30" s="7" t="s">
        <v>6047</v>
      </c>
    </row>
    <row r="31" spans="1:21" s="7" customFormat="1" ht="16.5" customHeight="1" thickBot="1">
      <c r="A31" s="259" t="s">
        <v>10</v>
      </c>
      <c r="B31" s="263">
        <f t="shared" si="0"/>
        <v>75</v>
      </c>
      <c r="C31" s="263" t="s">
        <v>3</v>
      </c>
      <c r="D31" s="263">
        <f t="shared" si="1"/>
        <v>260</v>
      </c>
      <c r="E31" s="263" t="s">
        <v>3</v>
      </c>
      <c r="F31" s="261">
        <f t="shared" si="2"/>
        <v>1750</v>
      </c>
      <c r="G31" s="263" t="s">
        <v>3</v>
      </c>
      <c r="H31" s="260">
        <v>2</v>
      </c>
      <c r="I31" s="262" t="s">
        <v>581</v>
      </c>
      <c r="J31" s="112">
        <v>75</v>
      </c>
      <c r="K31" s="75">
        <v>260</v>
      </c>
      <c r="L31" s="75">
        <v>1750</v>
      </c>
      <c r="M31" s="202">
        <v>16.899142005376579</v>
      </c>
      <c r="N31" s="87">
        <v>3978.9640800000002</v>
      </c>
      <c r="O31" s="123">
        <v>57219.334592807616</v>
      </c>
      <c r="P31" s="123">
        <v>60466.544914440303</v>
      </c>
      <c r="Q31" s="120">
        <v>19768.89691494068</v>
      </c>
      <c r="R31" s="123">
        <v>76988.231507748293</v>
      </c>
      <c r="S31" s="123">
        <v>80235.441829380987</v>
      </c>
      <c r="U31" s="7" t="s">
        <v>6048</v>
      </c>
    </row>
    <row r="32" spans="1:21" s="7" customFormat="1" ht="16.5" customHeight="1" thickBot="1">
      <c r="A32" s="259" t="s">
        <v>10</v>
      </c>
      <c r="B32" s="263">
        <f t="shared" si="0"/>
        <v>75</v>
      </c>
      <c r="C32" s="263" t="s">
        <v>3</v>
      </c>
      <c r="D32" s="263">
        <f t="shared" si="1"/>
        <v>260</v>
      </c>
      <c r="E32" s="263" t="s">
        <v>3</v>
      </c>
      <c r="F32" s="261">
        <f t="shared" si="2"/>
        <v>1800</v>
      </c>
      <c r="G32" s="263" t="s">
        <v>3</v>
      </c>
      <c r="H32" s="260">
        <v>2</v>
      </c>
      <c r="I32" s="262" t="s">
        <v>581</v>
      </c>
      <c r="J32" s="112">
        <v>75</v>
      </c>
      <c r="K32" s="75">
        <v>260</v>
      </c>
      <c r="L32" s="75">
        <v>1800</v>
      </c>
      <c r="M32" s="202">
        <v>17.376133773749345</v>
      </c>
      <c r="N32" s="87">
        <v>4121.0699400000003</v>
      </c>
      <c r="O32" s="123">
        <v>58036.070515247848</v>
      </c>
      <c r="P32" s="123">
        <v>61398.808786984431</v>
      </c>
      <c r="Q32" s="120">
        <v>20200.507527307618</v>
      </c>
      <c r="R32" s="123">
        <v>78236.578042555469</v>
      </c>
      <c r="S32" s="123">
        <v>81599.316314292053</v>
      </c>
      <c r="U32" s="7" t="s">
        <v>6049</v>
      </c>
    </row>
    <row r="33" spans="1:21" s="7" customFormat="1" ht="16.5" customHeight="1" thickBot="1">
      <c r="A33" s="259" t="s">
        <v>10</v>
      </c>
      <c r="B33" s="263">
        <f t="shared" si="0"/>
        <v>75</v>
      </c>
      <c r="C33" s="263" t="s">
        <v>3</v>
      </c>
      <c r="D33" s="263">
        <f t="shared" si="1"/>
        <v>260</v>
      </c>
      <c r="E33" s="263" t="s">
        <v>3</v>
      </c>
      <c r="F33" s="261">
        <f t="shared" si="2"/>
        <v>1850</v>
      </c>
      <c r="G33" s="263" t="s">
        <v>3</v>
      </c>
      <c r="H33" s="260">
        <v>2</v>
      </c>
      <c r="I33" s="262" t="s">
        <v>581</v>
      </c>
      <c r="J33" s="112">
        <v>75</v>
      </c>
      <c r="K33" s="75">
        <v>260</v>
      </c>
      <c r="L33" s="75">
        <v>1850</v>
      </c>
      <c r="M33" s="202">
        <v>17.863165542122108</v>
      </c>
      <c r="N33" s="87">
        <v>4263.1758</v>
      </c>
      <c r="O33" s="123">
        <v>58852.758226607402</v>
      </c>
      <c r="P33" s="123">
        <v>62331.027670475538</v>
      </c>
      <c r="Q33" s="120">
        <v>20862.69991745783</v>
      </c>
      <c r="R33" s="123">
        <v>79715.458144065225</v>
      </c>
      <c r="S33" s="123">
        <v>83193.727587933361</v>
      </c>
      <c r="U33" s="7" t="s">
        <v>6050</v>
      </c>
    </row>
    <row r="34" spans="1:21" s="7" customFormat="1" ht="16.5" customHeight="1" thickBot="1">
      <c r="A34" s="259" t="s">
        <v>10</v>
      </c>
      <c r="B34" s="263">
        <f t="shared" si="0"/>
        <v>75</v>
      </c>
      <c r="C34" s="263" t="s">
        <v>3</v>
      </c>
      <c r="D34" s="263">
        <f t="shared" si="1"/>
        <v>260</v>
      </c>
      <c r="E34" s="263" t="s">
        <v>3</v>
      </c>
      <c r="F34" s="261">
        <f t="shared" si="2"/>
        <v>1900</v>
      </c>
      <c r="G34" s="263" t="s">
        <v>3</v>
      </c>
      <c r="H34" s="260">
        <v>2</v>
      </c>
      <c r="I34" s="262" t="s">
        <v>581</v>
      </c>
      <c r="J34" s="112">
        <v>75</v>
      </c>
      <c r="K34" s="75">
        <v>260</v>
      </c>
      <c r="L34" s="75">
        <v>1900</v>
      </c>
      <c r="M34" s="202">
        <v>18.271157310494871</v>
      </c>
      <c r="N34" s="87">
        <v>4405.2816600000006</v>
      </c>
      <c r="O34" s="123">
        <v>59844.500371925118</v>
      </c>
      <c r="P34" s="123">
        <v>63427.148953489312</v>
      </c>
      <c r="Q34" s="120">
        <v>21294.310529824768</v>
      </c>
      <c r="R34" s="123">
        <v>81138.810901749879</v>
      </c>
      <c r="S34" s="123">
        <v>84721.459483314073</v>
      </c>
      <c r="U34" s="7" t="s">
        <v>6051</v>
      </c>
    </row>
    <row r="35" spans="1:21" s="7" customFormat="1" ht="16.5" customHeight="1" thickBot="1">
      <c r="A35" s="259" t="s">
        <v>10</v>
      </c>
      <c r="B35" s="263">
        <f t="shared" si="0"/>
        <v>75</v>
      </c>
      <c r="C35" s="263" t="s">
        <v>3</v>
      </c>
      <c r="D35" s="263">
        <f t="shared" si="1"/>
        <v>260</v>
      </c>
      <c r="E35" s="263" t="s">
        <v>3</v>
      </c>
      <c r="F35" s="261">
        <f t="shared" si="2"/>
        <v>1950</v>
      </c>
      <c r="G35" s="263" t="s">
        <v>3</v>
      </c>
      <c r="H35" s="260">
        <v>2</v>
      </c>
      <c r="I35" s="262" t="s">
        <v>581</v>
      </c>
      <c r="J35" s="112">
        <v>75</v>
      </c>
      <c r="K35" s="75">
        <v>260</v>
      </c>
      <c r="L35" s="75">
        <v>1950</v>
      </c>
      <c r="M35" s="202">
        <v>18.832399078867631</v>
      </c>
      <c r="N35" s="87">
        <v>4547.3875200000002</v>
      </c>
      <c r="O35" s="123">
        <v>60995.443739727154</v>
      </c>
      <c r="P35" s="123">
        <v>64672.329470559082</v>
      </c>
      <c r="Q35" s="120">
        <v>21725.921142191706</v>
      </c>
      <c r="R35" s="123">
        <v>82721.364881918853</v>
      </c>
      <c r="S35" s="123">
        <v>86398.250612750795</v>
      </c>
      <c r="U35" s="7" t="s">
        <v>6052</v>
      </c>
    </row>
    <row r="36" spans="1:21" s="7" customFormat="1" ht="16.5" customHeight="1" thickBot="1">
      <c r="A36" s="259" t="s">
        <v>10</v>
      </c>
      <c r="B36" s="263">
        <f t="shared" si="0"/>
        <v>75</v>
      </c>
      <c r="C36" s="263" t="s">
        <v>3</v>
      </c>
      <c r="D36" s="263">
        <f t="shared" si="1"/>
        <v>260</v>
      </c>
      <c r="E36" s="263" t="s">
        <v>3</v>
      </c>
      <c r="F36" s="261">
        <f t="shared" si="2"/>
        <v>2000</v>
      </c>
      <c r="G36" s="263" t="s">
        <v>3</v>
      </c>
      <c r="H36" s="260">
        <v>2</v>
      </c>
      <c r="I36" s="262" t="s">
        <v>581</v>
      </c>
      <c r="J36" s="112">
        <v>75</v>
      </c>
      <c r="K36" s="75">
        <v>260</v>
      </c>
      <c r="L36" s="75">
        <v>2000</v>
      </c>
      <c r="M36" s="202">
        <v>19.348993247240394</v>
      </c>
      <c r="N36" s="87">
        <v>4689.4933799999999</v>
      </c>
      <c r="O36" s="123">
        <v>62018.413299879023</v>
      </c>
      <c r="P36" s="123">
        <v>65987.946018502902</v>
      </c>
      <c r="Q36" s="120">
        <v>22388.113532341918</v>
      </c>
      <c r="R36" s="123">
        <v>84406.526832220945</v>
      </c>
      <c r="S36" s="123">
        <v>88376.059550844817</v>
      </c>
      <c r="U36" s="7" t="s">
        <v>6053</v>
      </c>
    </row>
    <row r="37" spans="1:21" s="7" customFormat="1" ht="16.5" customHeight="1" thickBot="1">
      <c r="A37" s="259" t="s">
        <v>10</v>
      </c>
      <c r="B37" s="263">
        <f t="shared" si="0"/>
        <v>75</v>
      </c>
      <c r="C37" s="263" t="s">
        <v>3</v>
      </c>
      <c r="D37" s="263">
        <f t="shared" si="1"/>
        <v>260</v>
      </c>
      <c r="E37" s="263" t="s">
        <v>3</v>
      </c>
      <c r="F37" s="261">
        <f t="shared" si="2"/>
        <v>2050</v>
      </c>
      <c r="G37" s="263" t="s">
        <v>3</v>
      </c>
      <c r="H37" s="260">
        <v>2</v>
      </c>
      <c r="I37" s="262" t="s">
        <v>581</v>
      </c>
      <c r="J37" s="112">
        <v>75</v>
      </c>
      <c r="K37" s="75">
        <v>260</v>
      </c>
      <c r="L37" s="75">
        <v>2050</v>
      </c>
      <c r="M37" s="202">
        <v>19.756985015613161</v>
      </c>
      <c r="N37" s="87">
        <v>4831.5992400000005</v>
      </c>
      <c r="O37" s="123">
        <v>64979.071397392261</v>
      </c>
      <c r="P37" s="123">
        <v>68927.55198389625</v>
      </c>
      <c r="Q37" s="120">
        <v>22819.724144708856</v>
      </c>
      <c r="R37" s="123">
        <v>87798.795542101114</v>
      </c>
      <c r="S37" s="123">
        <v>91747.27612860511</v>
      </c>
      <c r="U37" s="7" t="s">
        <v>6054</v>
      </c>
    </row>
    <row r="38" spans="1:21" s="7" customFormat="1" ht="16.5" customHeight="1" thickBot="1">
      <c r="A38" s="259" t="s">
        <v>10</v>
      </c>
      <c r="B38" s="260">
        <f t="shared" si="0"/>
        <v>75</v>
      </c>
      <c r="C38" s="260" t="s">
        <v>3</v>
      </c>
      <c r="D38" s="260">
        <f t="shared" si="1"/>
        <v>260</v>
      </c>
      <c r="E38" s="260" t="s">
        <v>3</v>
      </c>
      <c r="F38" s="261">
        <f t="shared" si="2"/>
        <v>2100</v>
      </c>
      <c r="G38" s="260" t="s">
        <v>3</v>
      </c>
      <c r="H38" s="260">
        <v>2</v>
      </c>
      <c r="I38" s="262" t="s">
        <v>581</v>
      </c>
      <c r="J38" s="112">
        <v>75</v>
      </c>
      <c r="K38" s="75">
        <v>260</v>
      </c>
      <c r="L38" s="75">
        <v>2100</v>
      </c>
      <c r="M38" s="202">
        <v>20.182016783985919</v>
      </c>
      <c r="N38" s="87">
        <v>4973.705100000001</v>
      </c>
      <c r="O38" s="123">
        <v>65857.688986578723</v>
      </c>
      <c r="P38" s="123">
        <v>69917.755432000296</v>
      </c>
      <c r="Q38" s="120">
        <v>23481.916534859069</v>
      </c>
      <c r="R38" s="123">
        <v>89339.605521437799</v>
      </c>
      <c r="S38" s="123">
        <v>93399.671966859372</v>
      </c>
      <c r="U38" s="7" t="s">
        <v>6055</v>
      </c>
    </row>
    <row r="39" spans="1:21" s="7" customFormat="1" ht="16.5" customHeight="1" thickBot="1">
      <c r="A39" s="259" t="s">
        <v>10</v>
      </c>
      <c r="B39" s="263">
        <f t="shared" si="0"/>
        <v>75</v>
      </c>
      <c r="C39" s="263" t="s">
        <v>3</v>
      </c>
      <c r="D39" s="263">
        <f t="shared" si="1"/>
        <v>260</v>
      </c>
      <c r="E39" s="263" t="s">
        <v>3</v>
      </c>
      <c r="F39" s="261">
        <f t="shared" si="2"/>
        <v>2150</v>
      </c>
      <c r="G39" s="263" t="s">
        <v>3</v>
      </c>
      <c r="H39" s="260">
        <v>2</v>
      </c>
      <c r="I39" s="262" t="s">
        <v>581</v>
      </c>
      <c r="J39" s="112">
        <v>75</v>
      </c>
      <c r="K39" s="75">
        <v>260</v>
      </c>
      <c r="L39" s="75">
        <v>2150</v>
      </c>
      <c r="M39" s="202">
        <v>20.714008552358685</v>
      </c>
      <c r="N39" s="87">
        <v>5115.8109600000007</v>
      </c>
      <c r="O39" s="123">
        <v>66883.923892771971</v>
      </c>
      <c r="P39" s="123">
        <v>71046.172172353312</v>
      </c>
      <c r="Q39" s="120">
        <v>23913.527147226006</v>
      </c>
      <c r="R39" s="123">
        <v>90797.451039997977</v>
      </c>
      <c r="S39" s="123">
        <v>94959.699319579318</v>
      </c>
      <c r="U39" s="7" t="s">
        <v>6056</v>
      </c>
    </row>
    <row r="40" spans="1:21" s="7" customFormat="1" ht="16.5" customHeight="1" thickBot="1">
      <c r="A40" s="259" t="s">
        <v>10</v>
      </c>
      <c r="B40" s="263">
        <f t="shared" si="0"/>
        <v>75</v>
      </c>
      <c r="C40" s="263" t="s">
        <v>3</v>
      </c>
      <c r="D40" s="263">
        <f t="shared" si="1"/>
        <v>260</v>
      </c>
      <c r="E40" s="263" t="s">
        <v>3</v>
      </c>
      <c r="F40" s="261">
        <f t="shared" si="2"/>
        <v>2200</v>
      </c>
      <c r="G40" s="263" t="s">
        <v>3</v>
      </c>
      <c r="H40" s="260">
        <v>2</v>
      </c>
      <c r="I40" s="262" t="s">
        <v>581</v>
      </c>
      <c r="J40" s="112">
        <v>75</v>
      </c>
      <c r="K40" s="75">
        <v>260</v>
      </c>
      <c r="L40" s="75">
        <v>2200</v>
      </c>
      <c r="M40" s="202">
        <v>21.139040320731446</v>
      </c>
      <c r="N40" s="87">
        <v>5257.9168200000004</v>
      </c>
      <c r="O40" s="123">
        <v>67910.110707218875</v>
      </c>
      <c r="P40" s="123">
        <v>72174.543804319197</v>
      </c>
      <c r="Q40" s="120">
        <v>24575.719537376219</v>
      </c>
      <c r="R40" s="123">
        <v>92485.830244595098</v>
      </c>
      <c r="S40" s="123">
        <v>96750.26334169542</v>
      </c>
      <c r="U40" s="7" t="s">
        <v>6057</v>
      </c>
    </row>
    <row r="41" spans="1:21" s="7" customFormat="1" ht="16.5" customHeight="1" thickBot="1">
      <c r="A41" s="259" t="s">
        <v>10</v>
      </c>
      <c r="B41" s="263">
        <f t="shared" si="0"/>
        <v>75</v>
      </c>
      <c r="C41" s="263" t="s">
        <v>3</v>
      </c>
      <c r="D41" s="263">
        <f t="shared" si="1"/>
        <v>260</v>
      </c>
      <c r="E41" s="263" t="s">
        <v>3</v>
      </c>
      <c r="F41" s="261">
        <f t="shared" si="2"/>
        <v>2250</v>
      </c>
      <c r="G41" s="263" t="s">
        <v>3</v>
      </c>
      <c r="H41" s="260">
        <v>2</v>
      </c>
      <c r="I41" s="262" t="s">
        <v>581</v>
      </c>
      <c r="J41" s="112">
        <v>75</v>
      </c>
      <c r="K41" s="75">
        <v>260</v>
      </c>
      <c r="L41" s="75">
        <v>2250</v>
      </c>
      <c r="M41" s="202">
        <v>21.54703208910421</v>
      </c>
      <c r="N41" s="87">
        <v>5400.02268</v>
      </c>
      <c r="O41" s="123">
        <v>69255.908704347894</v>
      </c>
      <c r="P41" s="123">
        <v>73602.165552115068</v>
      </c>
      <c r="Q41" s="120">
        <v>25007.330009349789</v>
      </c>
      <c r="R41" s="123">
        <v>94263.238713697676</v>
      </c>
      <c r="S41" s="123">
        <v>98609.495561464864</v>
      </c>
      <c r="U41" s="7" t="s">
        <v>6058</v>
      </c>
    </row>
    <row r="42" spans="1:21" s="7" customFormat="1" ht="16.5" customHeight="1" thickBot="1">
      <c r="A42" s="259" t="s">
        <v>10</v>
      </c>
      <c r="B42" s="263">
        <f t="shared" si="0"/>
        <v>75</v>
      </c>
      <c r="C42" s="263" t="s">
        <v>3</v>
      </c>
      <c r="D42" s="263">
        <f t="shared" si="1"/>
        <v>260</v>
      </c>
      <c r="E42" s="263" t="s">
        <v>3</v>
      </c>
      <c r="F42" s="261">
        <f t="shared" si="2"/>
        <v>2300</v>
      </c>
      <c r="G42" s="263" t="s">
        <v>3</v>
      </c>
      <c r="H42" s="260">
        <v>2</v>
      </c>
      <c r="I42" s="262" t="s">
        <v>581</v>
      </c>
      <c r="J42" s="112">
        <v>75</v>
      </c>
      <c r="K42" s="75">
        <v>260</v>
      </c>
      <c r="L42" s="75">
        <v>2300</v>
      </c>
      <c r="M42" s="202">
        <v>21.955023857476974</v>
      </c>
      <c r="N42" s="87">
        <v>5542.1285399999997</v>
      </c>
      <c r="O42" s="123">
        <v>70039.190074828293</v>
      </c>
      <c r="P42" s="123">
        <v>74503.106184335469</v>
      </c>
      <c r="Q42" s="120">
        <v>25438.940621716731</v>
      </c>
      <c r="R42" s="123">
        <v>95478.13069654502</v>
      </c>
      <c r="S42" s="123">
        <v>99942.046806052196</v>
      </c>
      <c r="U42" s="7" t="s">
        <v>6059</v>
      </c>
    </row>
    <row r="43" spans="1:21" s="7" customFormat="1" ht="16.5" customHeight="1" thickBot="1">
      <c r="A43" s="259" t="s">
        <v>10</v>
      </c>
      <c r="B43" s="263">
        <f t="shared" si="0"/>
        <v>75</v>
      </c>
      <c r="C43" s="263" t="s">
        <v>3</v>
      </c>
      <c r="D43" s="263">
        <f t="shared" si="1"/>
        <v>260</v>
      </c>
      <c r="E43" s="263" t="s">
        <v>3</v>
      </c>
      <c r="F43" s="261">
        <f t="shared" si="2"/>
        <v>2350</v>
      </c>
      <c r="G43" s="263" t="s">
        <v>3</v>
      </c>
      <c r="H43" s="260">
        <v>2</v>
      </c>
      <c r="I43" s="262" t="s">
        <v>581</v>
      </c>
      <c r="J43" s="112">
        <v>75</v>
      </c>
      <c r="K43" s="75">
        <v>260</v>
      </c>
      <c r="L43" s="75">
        <v>2350</v>
      </c>
      <c r="M43" s="202">
        <v>22.380055625849735</v>
      </c>
      <c r="N43" s="87">
        <v>5684.2344000000003</v>
      </c>
      <c r="O43" s="123">
        <v>70822.423353562364</v>
      </c>
      <c r="P43" s="123">
        <v>75404.001827502856</v>
      </c>
      <c r="Q43" s="120">
        <v>26101.133011866939</v>
      </c>
      <c r="R43" s="123">
        <v>96923.556365429307</v>
      </c>
      <c r="S43" s="123">
        <v>101505.1348393698</v>
      </c>
      <c r="U43" s="7" t="s">
        <v>6060</v>
      </c>
    </row>
    <row r="44" spans="1:21" s="7" customFormat="1" ht="16.5" customHeight="1" thickBot="1">
      <c r="A44" s="259" t="s">
        <v>10</v>
      </c>
      <c r="B44" s="263">
        <f t="shared" si="0"/>
        <v>75</v>
      </c>
      <c r="C44" s="263" t="s">
        <v>3</v>
      </c>
      <c r="D44" s="263">
        <f t="shared" si="1"/>
        <v>260</v>
      </c>
      <c r="E44" s="263" t="s">
        <v>3</v>
      </c>
      <c r="F44" s="261">
        <f t="shared" si="2"/>
        <v>2400</v>
      </c>
      <c r="G44" s="263" t="s">
        <v>3</v>
      </c>
      <c r="H44" s="260">
        <v>2</v>
      </c>
      <c r="I44" s="262" t="s">
        <v>581</v>
      </c>
      <c r="J44" s="112">
        <v>75</v>
      </c>
      <c r="K44" s="75">
        <v>260</v>
      </c>
      <c r="L44" s="75">
        <v>2400</v>
      </c>
      <c r="M44" s="202">
        <v>22.788047394222502</v>
      </c>
      <c r="N44" s="87">
        <v>5826.3402599999999</v>
      </c>
      <c r="O44" s="123">
        <v>71605.608540550122</v>
      </c>
      <c r="P44" s="123">
        <v>76304.852481617228</v>
      </c>
      <c r="Q44" s="120">
        <v>26532.743624233881</v>
      </c>
      <c r="R44" s="123">
        <v>98138.35216478401</v>
      </c>
      <c r="S44" s="123">
        <v>102837.59610585112</v>
      </c>
      <c r="U44" s="7" t="s">
        <v>6061</v>
      </c>
    </row>
    <row r="45" spans="1:21" s="7" customFormat="1" ht="16.5" customHeight="1" thickBot="1">
      <c r="A45" s="259" t="s">
        <v>10</v>
      </c>
      <c r="B45" s="263">
        <f t="shared" si="0"/>
        <v>75</v>
      </c>
      <c r="C45" s="263" t="s">
        <v>3</v>
      </c>
      <c r="D45" s="263">
        <f t="shared" si="1"/>
        <v>260</v>
      </c>
      <c r="E45" s="263" t="s">
        <v>3</v>
      </c>
      <c r="F45" s="261">
        <f t="shared" si="2"/>
        <v>2450</v>
      </c>
      <c r="G45" s="263" t="s">
        <v>3</v>
      </c>
      <c r="H45" s="260">
        <v>2</v>
      </c>
      <c r="I45" s="262" t="s">
        <v>581</v>
      </c>
      <c r="J45" s="112">
        <v>75</v>
      </c>
      <c r="K45" s="75">
        <v>260</v>
      </c>
      <c r="L45" s="75">
        <v>2450</v>
      </c>
      <c r="M45" s="202">
        <v>23.893843351395265</v>
      </c>
      <c r="N45" s="87">
        <v>5968.4461200000005</v>
      </c>
      <c r="O45" s="123">
        <v>72847.841856977277</v>
      </c>
      <c r="P45" s="123">
        <v>77742.89068686511</v>
      </c>
      <c r="Q45" s="120">
        <v>27194.936014384097</v>
      </c>
      <c r="R45" s="123">
        <v>100042.77787136138</v>
      </c>
      <c r="S45" s="123">
        <v>104937.8267012492</v>
      </c>
      <c r="U45" s="7" t="s">
        <v>6062</v>
      </c>
    </row>
    <row r="46" spans="1:21" s="7" customFormat="1" ht="16.5" customHeight="1" thickBot="1">
      <c r="A46" s="259" t="s">
        <v>10</v>
      </c>
      <c r="B46" s="263">
        <f t="shared" si="0"/>
        <v>75</v>
      </c>
      <c r="C46" s="263" t="s">
        <v>3</v>
      </c>
      <c r="D46" s="263">
        <f t="shared" si="1"/>
        <v>260</v>
      </c>
      <c r="E46" s="263" t="s">
        <v>3</v>
      </c>
      <c r="F46" s="261">
        <f t="shared" si="2"/>
        <v>2500</v>
      </c>
      <c r="G46" s="263" t="s">
        <v>3</v>
      </c>
      <c r="H46" s="260">
        <v>2</v>
      </c>
      <c r="I46" s="262" t="s">
        <v>581</v>
      </c>
      <c r="J46" s="112">
        <v>75</v>
      </c>
      <c r="K46" s="75">
        <v>260</v>
      </c>
      <c r="L46" s="75">
        <v>2500</v>
      </c>
      <c r="M46" s="202">
        <v>24.318835119768032</v>
      </c>
      <c r="N46" s="87">
        <v>6110.5519800000002</v>
      </c>
      <c r="O46" s="123">
        <v>73630.930860472377</v>
      </c>
      <c r="P46" s="123">
        <v>78643.651243539105</v>
      </c>
      <c r="Q46" s="120">
        <v>27626.546626751031</v>
      </c>
      <c r="R46" s="123">
        <v>101257.47748722341</v>
      </c>
      <c r="S46" s="123">
        <v>106270.19787029014</v>
      </c>
      <c r="U46" s="7" t="s">
        <v>6063</v>
      </c>
    </row>
    <row r="47" spans="1:21" s="7" customFormat="1" ht="16.5" customHeight="1" thickBot="1">
      <c r="A47" s="259" t="s">
        <v>10</v>
      </c>
      <c r="B47" s="263">
        <f t="shared" si="0"/>
        <v>75</v>
      </c>
      <c r="C47" s="263" t="s">
        <v>3</v>
      </c>
      <c r="D47" s="263">
        <f t="shared" si="1"/>
        <v>260</v>
      </c>
      <c r="E47" s="263" t="s">
        <v>3</v>
      </c>
      <c r="F47" s="261">
        <f t="shared" si="2"/>
        <v>2550</v>
      </c>
      <c r="G47" s="263" t="s">
        <v>3</v>
      </c>
      <c r="H47" s="260">
        <v>2</v>
      </c>
      <c r="I47" s="262" t="s">
        <v>581</v>
      </c>
      <c r="J47" s="112">
        <v>75</v>
      </c>
      <c r="K47" s="75">
        <v>260</v>
      </c>
      <c r="L47" s="75">
        <v>2550</v>
      </c>
      <c r="M47" s="202">
        <v>24.74386688814079</v>
      </c>
      <c r="N47" s="87">
        <v>6252.6578400000008</v>
      </c>
      <c r="O47" s="123">
        <v>77708.307589880482</v>
      </c>
      <c r="P47" s="123">
        <v>82628.834424562359</v>
      </c>
      <c r="Q47" s="120">
        <v>28288.739016901247</v>
      </c>
      <c r="R47" s="123">
        <v>105997.04660678173</v>
      </c>
      <c r="S47" s="123">
        <v>110917.57344146361</v>
      </c>
      <c r="U47" s="7" t="s">
        <v>6064</v>
      </c>
    </row>
    <row r="48" spans="1:21" ht="16.5" customHeight="1" thickBot="1">
      <c r="A48" s="259" t="s">
        <v>10</v>
      </c>
      <c r="B48" s="260">
        <f t="shared" si="0"/>
        <v>75</v>
      </c>
      <c r="C48" s="260" t="s">
        <v>3</v>
      </c>
      <c r="D48" s="260">
        <f t="shared" si="1"/>
        <v>260</v>
      </c>
      <c r="E48" s="260" t="s">
        <v>3</v>
      </c>
      <c r="F48" s="261">
        <f t="shared" si="2"/>
        <v>2600</v>
      </c>
      <c r="G48" s="260" t="s">
        <v>3</v>
      </c>
      <c r="H48" s="260">
        <v>2</v>
      </c>
      <c r="I48" s="262" t="s">
        <v>581</v>
      </c>
      <c r="J48" s="112">
        <v>75</v>
      </c>
      <c r="K48" s="75">
        <v>260</v>
      </c>
      <c r="L48" s="75">
        <v>2600</v>
      </c>
      <c r="M48" s="202">
        <v>25.151858656513554</v>
      </c>
      <c r="N48" s="87">
        <v>6394.7637000000004</v>
      </c>
      <c r="O48" s="123">
        <v>78761.903955042057</v>
      </c>
      <c r="P48" s="123">
        <v>83782.869506914707</v>
      </c>
      <c r="Q48" s="120">
        <v>28720.349629268181</v>
      </c>
      <c r="R48" s="123">
        <v>107482.25358431024</v>
      </c>
      <c r="S48" s="123">
        <v>112503.21913618289</v>
      </c>
      <c r="U48" s="7" t="s">
        <v>6065</v>
      </c>
    </row>
    <row r="49" spans="1:21" ht="16.5" customHeight="1" thickBot="1">
      <c r="A49" s="259" t="s">
        <v>10</v>
      </c>
      <c r="B49" s="263">
        <f t="shared" si="0"/>
        <v>75</v>
      </c>
      <c r="C49" s="263" t="s">
        <v>3</v>
      </c>
      <c r="D49" s="263">
        <f t="shared" si="1"/>
        <v>260</v>
      </c>
      <c r="E49" s="263" t="s">
        <v>3</v>
      </c>
      <c r="F49" s="261">
        <f t="shared" si="2"/>
        <v>2650</v>
      </c>
      <c r="G49" s="263" t="s">
        <v>3</v>
      </c>
      <c r="H49" s="260">
        <v>2</v>
      </c>
      <c r="I49" s="262" t="s">
        <v>581</v>
      </c>
      <c r="J49" s="112">
        <v>75</v>
      </c>
      <c r="K49" s="75">
        <v>260</v>
      </c>
      <c r="L49" s="75">
        <v>2650</v>
      </c>
      <c r="M49" s="202">
        <v>25.683890424886322</v>
      </c>
      <c r="N49" s="87">
        <v>6536.8695600000001</v>
      </c>
      <c r="O49" s="123">
        <v>79384.880498894185</v>
      </c>
      <c r="P49" s="123">
        <v>84533.717708206474</v>
      </c>
      <c r="Q49" s="120">
        <v>29382.542019418397</v>
      </c>
      <c r="R49" s="123">
        <v>108767.42251831258</v>
      </c>
      <c r="S49" s="123">
        <v>113916.25972762487</v>
      </c>
      <c r="U49" s="7" t="s">
        <v>6066</v>
      </c>
    </row>
    <row r="50" spans="1:21" ht="16.5" customHeight="1" thickBot="1">
      <c r="A50" s="259" t="s">
        <v>10</v>
      </c>
      <c r="B50" s="263">
        <f t="shared" si="0"/>
        <v>75</v>
      </c>
      <c r="C50" s="263" t="s">
        <v>3</v>
      </c>
      <c r="D50" s="263">
        <f t="shared" si="1"/>
        <v>260</v>
      </c>
      <c r="E50" s="263" t="s">
        <v>3</v>
      </c>
      <c r="F50" s="261">
        <f t="shared" si="2"/>
        <v>2700</v>
      </c>
      <c r="G50" s="263" t="s">
        <v>3</v>
      </c>
      <c r="H50" s="260">
        <v>2</v>
      </c>
      <c r="I50" s="262" t="s">
        <v>581</v>
      </c>
      <c r="J50" s="112">
        <v>75</v>
      </c>
      <c r="K50" s="75">
        <v>260</v>
      </c>
      <c r="L50" s="75">
        <v>2700</v>
      </c>
      <c r="M50" s="202">
        <v>26.131132193259084</v>
      </c>
      <c r="N50" s="87">
        <v>6678.9754200000007</v>
      </c>
      <c r="O50" s="123">
        <v>80043.188366156392</v>
      </c>
      <c r="P50" s="123">
        <v>85317.64634824534</v>
      </c>
      <c r="Q50" s="120">
        <v>29814.152631785331</v>
      </c>
      <c r="R50" s="123">
        <v>109857.34099794172</v>
      </c>
      <c r="S50" s="123">
        <v>115131.79898003067</v>
      </c>
      <c r="U50" s="7" t="s">
        <v>6067</v>
      </c>
    </row>
    <row r="51" spans="1:21" ht="16.5" customHeight="1" thickBot="1">
      <c r="A51" s="259" t="s">
        <v>10</v>
      </c>
      <c r="B51" s="263">
        <f t="shared" si="0"/>
        <v>75</v>
      </c>
      <c r="C51" s="263" t="s">
        <v>3</v>
      </c>
      <c r="D51" s="263">
        <f t="shared" si="1"/>
        <v>260</v>
      </c>
      <c r="E51" s="263" t="s">
        <v>3</v>
      </c>
      <c r="F51" s="261">
        <f t="shared" si="2"/>
        <v>2750</v>
      </c>
      <c r="G51" s="263" t="s">
        <v>3</v>
      </c>
      <c r="H51" s="260">
        <v>2</v>
      </c>
      <c r="I51" s="262" t="s">
        <v>581</v>
      </c>
      <c r="J51" s="112">
        <v>75</v>
      </c>
      <c r="K51" s="75">
        <v>260</v>
      </c>
      <c r="L51" s="75">
        <v>2750</v>
      </c>
      <c r="M51" s="202">
        <v>26.539123961631848</v>
      </c>
      <c r="N51" s="87">
        <v>6821.0812800000003</v>
      </c>
      <c r="O51" s="123">
        <v>80747.822785917597</v>
      </c>
      <c r="P51" s="123">
        <v>86144.95040210677</v>
      </c>
      <c r="Q51" s="120">
        <v>30245.763244152273</v>
      </c>
      <c r="R51" s="123">
        <v>110993.58603006987</v>
      </c>
      <c r="S51" s="123">
        <v>116390.71364625904</v>
      </c>
      <c r="U51" s="7" t="s">
        <v>6068</v>
      </c>
    </row>
    <row r="52" spans="1:21" ht="16.5" customHeight="1" thickBot="1">
      <c r="A52" s="259" t="s">
        <v>10</v>
      </c>
      <c r="B52" s="263">
        <f t="shared" si="0"/>
        <v>75</v>
      </c>
      <c r="C52" s="263" t="s">
        <v>3</v>
      </c>
      <c r="D52" s="263">
        <f t="shared" si="1"/>
        <v>260</v>
      </c>
      <c r="E52" s="263" t="s">
        <v>3</v>
      </c>
      <c r="F52" s="261">
        <f t="shared" si="2"/>
        <v>2800</v>
      </c>
      <c r="G52" s="263" t="s">
        <v>3</v>
      </c>
      <c r="H52" s="260">
        <v>2</v>
      </c>
      <c r="I52" s="262" t="s">
        <v>581</v>
      </c>
      <c r="J52" s="112">
        <v>75</v>
      </c>
      <c r="K52" s="75">
        <v>260</v>
      </c>
      <c r="L52" s="75">
        <v>2800</v>
      </c>
      <c r="M52" s="202">
        <v>26.964155730004606</v>
      </c>
      <c r="N52" s="87">
        <v>6963.1871400000018</v>
      </c>
      <c r="O52" s="123">
        <v>81369.564935169285</v>
      </c>
      <c r="P52" s="123">
        <v>86894.642850140081</v>
      </c>
      <c r="Q52" s="120">
        <v>30907.955493909118</v>
      </c>
      <c r="R52" s="123">
        <v>112277.5204290784</v>
      </c>
      <c r="S52" s="123">
        <v>117802.5983440492</v>
      </c>
      <c r="U52" s="7" t="s">
        <v>6069</v>
      </c>
    </row>
    <row r="53" spans="1:21" ht="16.5" customHeight="1" thickBot="1">
      <c r="A53" s="259" t="s">
        <v>10</v>
      </c>
      <c r="B53" s="263">
        <f t="shared" si="0"/>
        <v>75</v>
      </c>
      <c r="C53" s="263" t="s">
        <v>3</v>
      </c>
      <c r="D53" s="263">
        <f t="shared" si="1"/>
        <v>260</v>
      </c>
      <c r="E53" s="263" t="s">
        <v>3</v>
      </c>
      <c r="F53" s="261">
        <f t="shared" si="2"/>
        <v>2850</v>
      </c>
      <c r="G53" s="263" t="s">
        <v>3</v>
      </c>
      <c r="H53" s="260">
        <v>2</v>
      </c>
      <c r="I53" s="262" t="s">
        <v>581</v>
      </c>
      <c r="J53" s="112">
        <v>75</v>
      </c>
      <c r="K53" s="75">
        <v>260</v>
      </c>
      <c r="L53" s="75">
        <v>2850</v>
      </c>
      <c r="M53" s="202">
        <v>27.372147498377373</v>
      </c>
      <c r="N53" s="87">
        <v>7105.2929999999997</v>
      </c>
      <c r="O53" s="123">
        <v>81991.258992674659</v>
      </c>
      <c r="P53" s="123">
        <v>87644.290189786028</v>
      </c>
      <c r="Q53" s="120">
        <v>31339.566106276056</v>
      </c>
      <c r="R53" s="123">
        <v>113330.82509895071</v>
      </c>
      <c r="S53" s="123">
        <v>118983.85629606209</v>
      </c>
      <c r="U53" s="7" t="s">
        <v>6070</v>
      </c>
    </row>
    <row r="54" spans="1:21" ht="16.5" customHeight="1" thickBot="1">
      <c r="A54" s="259" t="s">
        <v>10</v>
      </c>
      <c r="B54" s="263">
        <f t="shared" si="0"/>
        <v>75</v>
      </c>
      <c r="C54" s="263" t="s">
        <v>3</v>
      </c>
      <c r="D54" s="263">
        <f t="shared" si="1"/>
        <v>260</v>
      </c>
      <c r="E54" s="263" t="s">
        <v>3</v>
      </c>
      <c r="F54" s="261">
        <f t="shared" si="2"/>
        <v>2900</v>
      </c>
      <c r="G54" s="263" t="s">
        <v>3</v>
      </c>
      <c r="H54" s="260">
        <v>2</v>
      </c>
      <c r="I54" s="262" t="s">
        <v>581</v>
      </c>
      <c r="J54" s="112">
        <v>75</v>
      </c>
      <c r="K54" s="75">
        <v>260</v>
      </c>
      <c r="L54" s="75">
        <v>2900</v>
      </c>
      <c r="M54" s="202">
        <v>27.973179266750133</v>
      </c>
      <c r="N54" s="87">
        <v>7247.3988599999993</v>
      </c>
      <c r="O54" s="123">
        <v>82612.90495843369</v>
      </c>
      <c r="P54" s="123">
        <v>88393.892540378947</v>
      </c>
      <c r="Q54" s="120">
        <v>32001.758496426271</v>
      </c>
      <c r="R54" s="123">
        <v>114614.66345485995</v>
      </c>
      <c r="S54" s="123">
        <v>120395.65103680521</v>
      </c>
      <c r="U54" s="7" t="s">
        <v>6071</v>
      </c>
    </row>
    <row r="55" spans="1:21" ht="16.5" customHeight="1" thickBot="1">
      <c r="A55" s="259" t="s">
        <v>10</v>
      </c>
      <c r="B55" s="263">
        <f t="shared" si="0"/>
        <v>75</v>
      </c>
      <c r="C55" s="263" t="s">
        <v>3</v>
      </c>
      <c r="D55" s="263">
        <f t="shared" si="1"/>
        <v>260</v>
      </c>
      <c r="E55" s="263" t="s">
        <v>3</v>
      </c>
      <c r="F55" s="261">
        <f t="shared" si="2"/>
        <v>2950</v>
      </c>
      <c r="G55" s="263" t="s">
        <v>3</v>
      </c>
      <c r="H55" s="260">
        <v>2</v>
      </c>
      <c r="I55" s="262" t="s">
        <v>581</v>
      </c>
      <c r="J55" s="112">
        <v>75</v>
      </c>
      <c r="K55" s="75">
        <v>260</v>
      </c>
      <c r="L55" s="75">
        <v>2950</v>
      </c>
      <c r="M55" s="202">
        <v>28.381171035122897</v>
      </c>
      <c r="N55" s="87">
        <v>7389.5047200000008</v>
      </c>
      <c r="O55" s="123">
        <v>83234.502832446407</v>
      </c>
      <c r="P55" s="123">
        <v>89143.449901918881</v>
      </c>
      <c r="Q55" s="120">
        <v>32433.369108793206</v>
      </c>
      <c r="R55" s="123">
        <v>115667.87194123962</v>
      </c>
      <c r="S55" s="123">
        <v>121576.81901071209</v>
      </c>
      <c r="U55" s="7" t="s">
        <v>6072</v>
      </c>
    </row>
    <row r="56" spans="1:21" ht="16.5" customHeight="1" thickBot="1">
      <c r="A56" s="264" t="s">
        <v>10</v>
      </c>
      <c r="B56" s="265">
        <f t="shared" si="0"/>
        <v>75</v>
      </c>
      <c r="C56" s="265" t="s">
        <v>3</v>
      </c>
      <c r="D56" s="265">
        <f t="shared" si="1"/>
        <v>260</v>
      </c>
      <c r="E56" s="265" t="s">
        <v>3</v>
      </c>
      <c r="F56" s="266">
        <f t="shared" si="2"/>
        <v>3000</v>
      </c>
      <c r="G56" s="265" t="s">
        <v>3</v>
      </c>
      <c r="H56" s="267">
        <v>2</v>
      </c>
      <c r="I56" s="262" t="s">
        <v>581</v>
      </c>
      <c r="J56" s="346">
        <v>75</v>
      </c>
      <c r="K56" s="322">
        <v>260</v>
      </c>
      <c r="L56" s="322">
        <v>3000</v>
      </c>
      <c r="M56" s="305">
        <v>28.806202803495658</v>
      </c>
      <c r="N56" s="306">
        <v>7531.6105800000005</v>
      </c>
      <c r="O56" s="307">
        <v>85572.889294160967</v>
      </c>
      <c r="P56" s="307">
        <v>91500.426627945213</v>
      </c>
      <c r="Q56" s="308">
        <v>33095.561498943418</v>
      </c>
      <c r="R56" s="307">
        <v>118668.45079310439</v>
      </c>
      <c r="S56" s="307">
        <v>124595.98812688864</v>
      </c>
      <c r="U56" s="7" t="s">
        <v>6073</v>
      </c>
    </row>
    <row r="57" spans="1:21" ht="22.5" customHeight="1" thickBot="1">
      <c r="A57" s="2621" t="s">
        <v>48</v>
      </c>
      <c r="B57" s="2622"/>
      <c r="C57" s="2622"/>
      <c r="D57" s="2622"/>
      <c r="E57" s="2622"/>
      <c r="F57" s="2622"/>
      <c r="G57" s="2622"/>
      <c r="H57" s="2622"/>
      <c r="I57" s="2622"/>
      <c r="J57" s="2622"/>
      <c r="K57" s="2622"/>
      <c r="L57" s="2622"/>
      <c r="M57" s="2622"/>
      <c r="N57" s="2622"/>
      <c r="O57" s="2622"/>
      <c r="P57" s="2622"/>
      <c r="Q57" s="2622"/>
      <c r="R57" s="2622"/>
      <c r="S57" s="2623"/>
      <c r="U57" s="7"/>
    </row>
    <row r="58" spans="1:21" ht="16.5" thickBot="1">
      <c r="A58" s="2583" t="s">
        <v>134</v>
      </c>
      <c r="B58" s="2584"/>
      <c r="C58" s="2584"/>
      <c r="D58" s="2584"/>
      <c r="E58" s="2584"/>
      <c r="F58" s="2584"/>
      <c r="G58" s="2584"/>
      <c r="H58" s="2584"/>
      <c r="I58" s="2584"/>
      <c r="J58" s="2584"/>
      <c r="K58" s="2584"/>
      <c r="L58" s="2584"/>
      <c r="M58" s="2584"/>
      <c r="N58" s="2584"/>
      <c r="O58" s="2584"/>
      <c r="P58" s="2584"/>
      <c r="Q58" s="2584"/>
      <c r="R58" s="2584"/>
      <c r="S58" s="2585"/>
      <c r="U58" s="7"/>
    </row>
    <row r="59" spans="1:21" ht="16.5" thickBot="1">
      <c r="A59" s="259" t="s">
        <v>10</v>
      </c>
      <c r="B59" s="260">
        <f t="shared" ref="B59:B105" si="3">J59</f>
        <v>75</v>
      </c>
      <c r="C59" s="260" t="s">
        <v>3</v>
      </c>
      <c r="D59" s="260">
        <f t="shared" ref="D59:D105" si="4">K59</f>
        <v>300</v>
      </c>
      <c r="E59" s="260" t="s">
        <v>3</v>
      </c>
      <c r="F59" s="261">
        <f t="shared" ref="F59:F105" si="5">L59</f>
        <v>700</v>
      </c>
      <c r="G59" s="260" t="s">
        <v>3</v>
      </c>
      <c r="H59" s="260">
        <v>2</v>
      </c>
      <c r="I59" s="262" t="s">
        <v>581</v>
      </c>
      <c r="J59" s="344">
        <v>75</v>
      </c>
      <c r="K59" s="327">
        <v>300</v>
      </c>
      <c r="L59" s="327">
        <v>700</v>
      </c>
      <c r="M59" s="301">
        <v>7.7034759783274991</v>
      </c>
      <c r="N59" s="302">
        <v>1101.7024200000001</v>
      </c>
      <c r="O59" s="303">
        <v>26081.15787232912</v>
      </c>
      <c r="P59" s="303">
        <v>28036.969957327659</v>
      </c>
      <c r="Q59" s="304">
        <v>9394.7606208712132</v>
      </c>
      <c r="R59" s="303">
        <v>35475.918493200334</v>
      </c>
      <c r="S59" s="303">
        <v>37431.730578198869</v>
      </c>
      <c r="U59" s="7" t="s">
        <v>6074</v>
      </c>
    </row>
    <row r="60" spans="1:21" ht="16.5" thickBot="1">
      <c r="A60" s="259" t="s">
        <v>10</v>
      </c>
      <c r="B60" s="263">
        <f t="shared" si="3"/>
        <v>75</v>
      </c>
      <c r="C60" s="263" t="s">
        <v>3</v>
      </c>
      <c r="D60" s="263">
        <f t="shared" si="4"/>
        <v>300</v>
      </c>
      <c r="E60" s="263" t="s">
        <v>3</v>
      </c>
      <c r="F60" s="261">
        <f t="shared" si="5"/>
        <v>750</v>
      </c>
      <c r="G60" s="263" t="s">
        <v>3</v>
      </c>
      <c r="H60" s="260">
        <v>2</v>
      </c>
      <c r="I60" s="262" t="s">
        <v>581</v>
      </c>
      <c r="J60" s="112">
        <v>75</v>
      </c>
      <c r="K60" s="75">
        <v>300</v>
      </c>
      <c r="L60" s="75">
        <v>750</v>
      </c>
      <c r="M60" s="202">
        <v>8.1433214545949983</v>
      </c>
      <c r="N60" s="87">
        <v>1259.0884800000003</v>
      </c>
      <c r="O60" s="123">
        <v>27623.994794876224</v>
      </c>
      <c r="P60" s="123">
        <v>29667.263928251265</v>
      </c>
      <c r="Q60" s="120">
        <v>9875.165788735203</v>
      </c>
      <c r="R60" s="123">
        <v>37499.160583611425</v>
      </c>
      <c r="S60" s="123">
        <v>39542.429716986466</v>
      </c>
      <c r="U60" s="7" t="s">
        <v>6075</v>
      </c>
    </row>
    <row r="61" spans="1:21" ht="16.5" thickBot="1">
      <c r="A61" s="259" t="s">
        <v>10</v>
      </c>
      <c r="B61" s="263">
        <f t="shared" si="3"/>
        <v>75</v>
      </c>
      <c r="C61" s="263" t="s">
        <v>3</v>
      </c>
      <c r="D61" s="263">
        <f t="shared" si="4"/>
        <v>300</v>
      </c>
      <c r="E61" s="263" t="s">
        <v>3</v>
      </c>
      <c r="F61" s="261">
        <f t="shared" si="5"/>
        <v>800</v>
      </c>
      <c r="G61" s="263" t="s">
        <v>3</v>
      </c>
      <c r="H61" s="260">
        <v>2</v>
      </c>
      <c r="I61" s="262" t="s">
        <v>581</v>
      </c>
      <c r="J61" s="112">
        <v>75</v>
      </c>
      <c r="K61" s="75">
        <v>300</v>
      </c>
      <c r="L61" s="75">
        <v>800</v>
      </c>
      <c r="M61" s="202">
        <v>8.5831669308625003</v>
      </c>
      <c r="N61" s="87">
        <v>1416.4745400000002</v>
      </c>
      <c r="O61" s="123">
        <v>29166.83183675769</v>
      </c>
      <c r="P61" s="123">
        <v>31297.557899174873</v>
      </c>
      <c r="Q61" s="120">
        <v>10355.570956599189</v>
      </c>
      <c r="R61" s="123">
        <v>39522.40279335688</v>
      </c>
      <c r="S61" s="123">
        <v>41653.128855774063</v>
      </c>
      <c r="U61" s="7" t="s">
        <v>6076</v>
      </c>
    </row>
    <row r="62" spans="1:21" ht="16.5" thickBot="1">
      <c r="A62" s="259" t="s">
        <v>10</v>
      </c>
      <c r="B62" s="263">
        <f t="shared" si="3"/>
        <v>75</v>
      </c>
      <c r="C62" s="263" t="s">
        <v>3</v>
      </c>
      <c r="D62" s="263">
        <f t="shared" si="4"/>
        <v>300</v>
      </c>
      <c r="E62" s="263" t="s">
        <v>3</v>
      </c>
      <c r="F62" s="261">
        <f t="shared" si="5"/>
        <v>850</v>
      </c>
      <c r="G62" s="263" t="s">
        <v>3</v>
      </c>
      <c r="H62" s="260">
        <v>2</v>
      </c>
      <c r="I62" s="262" t="s">
        <v>581</v>
      </c>
      <c r="J62" s="112">
        <v>75</v>
      </c>
      <c r="K62" s="75">
        <v>300</v>
      </c>
      <c r="L62" s="75">
        <v>850</v>
      </c>
      <c r="M62" s="202">
        <v>9.0400524071300001</v>
      </c>
      <c r="N62" s="87">
        <v>1573.8606000000002</v>
      </c>
      <c r="O62" s="123">
        <v>30709.668878639153</v>
      </c>
      <c r="P62" s="123">
        <v>32927.851870098479</v>
      </c>
      <c r="Q62" s="120">
        <v>11066.558042639816</v>
      </c>
      <c r="R62" s="123">
        <v>41776.226921278969</v>
      </c>
      <c r="S62" s="123">
        <v>43994.409912738294</v>
      </c>
      <c r="U62" s="7" t="s">
        <v>6077</v>
      </c>
    </row>
    <row r="63" spans="1:21" ht="16.5" thickBot="1">
      <c r="A63" s="259" t="s">
        <v>10</v>
      </c>
      <c r="B63" s="263">
        <f t="shared" si="3"/>
        <v>75</v>
      </c>
      <c r="C63" s="263" t="s">
        <v>3</v>
      </c>
      <c r="D63" s="263">
        <f t="shared" si="4"/>
        <v>300</v>
      </c>
      <c r="E63" s="263" t="s">
        <v>3</v>
      </c>
      <c r="F63" s="261">
        <f t="shared" si="5"/>
        <v>900</v>
      </c>
      <c r="G63" s="263" t="s">
        <v>3</v>
      </c>
      <c r="H63" s="260">
        <v>2</v>
      </c>
      <c r="I63" s="262" t="s">
        <v>581</v>
      </c>
      <c r="J63" s="112">
        <v>75</v>
      </c>
      <c r="K63" s="75">
        <v>300</v>
      </c>
      <c r="L63" s="75">
        <v>900</v>
      </c>
      <c r="M63" s="202">
        <v>9.5178978833975005</v>
      </c>
      <c r="N63" s="87">
        <v>1731.2466600000002</v>
      </c>
      <c r="O63" s="123">
        <v>32252.50580118626</v>
      </c>
      <c r="P63" s="123">
        <v>34558.145721687732</v>
      </c>
      <c r="Q63" s="120">
        <v>11546.963210503804</v>
      </c>
      <c r="R63" s="123">
        <v>43799.46901169006</v>
      </c>
      <c r="S63" s="123">
        <v>46105.108932191535</v>
      </c>
      <c r="U63" s="7" t="s">
        <v>6078</v>
      </c>
    </row>
    <row r="64" spans="1:21" ht="16.5" thickBot="1">
      <c r="A64" s="259" t="s">
        <v>10</v>
      </c>
      <c r="B64" s="263">
        <f t="shared" si="3"/>
        <v>75</v>
      </c>
      <c r="C64" s="263" t="s">
        <v>3</v>
      </c>
      <c r="D64" s="263">
        <f t="shared" si="4"/>
        <v>300</v>
      </c>
      <c r="E64" s="263" t="s">
        <v>3</v>
      </c>
      <c r="F64" s="261">
        <f t="shared" si="5"/>
        <v>950</v>
      </c>
      <c r="G64" s="263" t="s">
        <v>3</v>
      </c>
      <c r="H64" s="260">
        <v>2</v>
      </c>
      <c r="I64" s="262" t="s">
        <v>581</v>
      </c>
      <c r="J64" s="112">
        <v>75</v>
      </c>
      <c r="K64" s="75">
        <v>300</v>
      </c>
      <c r="L64" s="75">
        <v>950</v>
      </c>
      <c r="M64" s="202">
        <v>10.043783359664999</v>
      </c>
      <c r="N64" s="87">
        <v>1888.6327200000001</v>
      </c>
      <c r="O64" s="123">
        <v>33795.342843067723</v>
      </c>
      <c r="P64" s="123">
        <v>36188.43969261134</v>
      </c>
      <c r="Q64" s="120">
        <v>12257.950156151066</v>
      </c>
      <c r="R64" s="123">
        <v>46053.292999218786</v>
      </c>
      <c r="S64" s="123">
        <v>48446.38984876241</v>
      </c>
      <c r="U64" s="7" t="s">
        <v>6079</v>
      </c>
    </row>
    <row r="65" spans="1:21" ht="16.5" thickBot="1">
      <c r="A65" s="259" t="s">
        <v>10</v>
      </c>
      <c r="B65" s="263">
        <f t="shared" si="3"/>
        <v>75</v>
      </c>
      <c r="C65" s="263" t="s">
        <v>3</v>
      </c>
      <c r="D65" s="263">
        <f t="shared" si="4"/>
        <v>300</v>
      </c>
      <c r="E65" s="263" t="s">
        <v>3</v>
      </c>
      <c r="F65" s="261">
        <f t="shared" si="5"/>
        <v>1000</v>
      </c>
      <c r="G65" s="263" t="s">
        <v>3</v>
      </c>
      <c r="H65" s="260">
        <v>2</v>
      </c>
      <c r="I65" s="262" t="s">
        <v>581</v>
      </c>
      <c r="J65" s="112">
        <v>75</v>
      </c>
      <c r="K65" s="75">
        <v>300</v>
      </c>
      <c r="L65" s="75">
        <v>1000</v>
      </c>
      <c r="M65" s="202">
        <v>10.483628835932501</v>
      </c>
      <c r="N65" s="87">
        <v>2046.0187800000003</v>
      </c>
      <c r="O65" s="123">
        <v>35243.047727995523</v>
      </c>
      <c r="P65" s="123">
        <v>37729.662021293014</v>
      </c>
      <c r="Q65" s="120">
        <v>12738.355464408416</v>
      </c>
      <c r="R65" s="123">
        <v>47981.403192403937</v>
      </c>
      <c r="S65" s="123">
        <v>50468.017485701428</v>
      </c>
      <c r="U65" s="7" t="s">
        <v>6080</v>
      </c>
    </row>
    <row r="66" spans="1:21" ht="16.5" thickBot="1">
      <c r="A66" s="259" t="s">
        <v>10</v>
      </c>
      <c r="B66" s="263">
        <f t="shared" si="3"/>
        <v>75</v>
      </c>
      <c r="C66" s="263" t="s">
        <v>3</v>
      </c>
      <c r="D66" s="263">
        <f t="shared" si="4"/>
        <v>300</v>
      </c>
      <c r="E66" s="263" t="s">
        <v>3</v>
      </c>
      <c r="F66" s="261">
        <f t="shared" si="5"/>
        <v>1050</v>
      </c>
      <c r="G66" s="263" t="s">
        <v>3</v>
      </c>
      <c r="H66" s="260">
        <v>2</v>
      </c>
      <c r="I66" s="262" t="s">
        <v>581</v>
      </c>
      <c r="J66" s="112">
        <v>75</v>
      </c>
      <c r="K66" s="75">
        <v>300</v>
      </c>
      <c r="L66" s="75">
        <v>1050</v>
      </c>
      <c r="M66" s="202">
        <v>10.940514312200001</v>
      </c>
      <c r="N66" s="87">
        <v>2203.4048400000001</v>
      </c>
      <c r="O66" s="123">
        <v>37011.823374139647</v>
      </c>
      <c r="P66" s="123">
        <v>39571.501082874034</v>
      </c>
      <c r="Q66" s="120">
        <v>13449.342410055679</v>
      </c>
      <c r="R66" s="123">
        <v>50461.165784195327</v>
      </c>
      <c r="S66" s="123">
        <v>53020.843492929715</v>
      </c>
      <c r="U66" s="7" t="s">
        <v>6081</v>
      </c>
    </row>
    <row r="67" spans="1:21" ht="16.5" thickBot="1">
      <c r="A67" s="259" t="s">
        <v>10</v>
      </c>
      <c r="B67" s="260">
        <f t="shared" si="3"/>
        <v>75</v>
      </c>
      <c r="C67" s="260" t="s">
        <v>3</v>
      </c>
      <c r="D67" s="260">
        <f t="shared" si="4"/>
        <v>300</v>
      </c>
      <c r="E67" s="260" t="s">
        <v>3</v>
      </c>
      <c r="F67" s="261">
        <f t="shared" si="5"/>
        <v>1100</v>
      </c>
      <c r="G67" s="260" t="s">
        <v>3</v>
      </c>
      <c r="H67" s="260">
        <v>2</v>
      </c>
      <c r="I67" s="262" t="s">
        <v>581</v>
      </c>
      <c r="J67" s="112">
        <v>75</v>
      </c>
      <c r="K67" s="75">
        <v>300</v>
      </c>
      <c r="L67" s="75">
        <v>1100</v>
      </c>
      <c r="M67" s="202">
        <v>11.3803597884675</v>
      </c>
      <c r="N67" s="87">
        <v>2360.7909000000004</v>
      </c>
      <c r="O67" s="123">
        <v>38554.660416021114</v>
      </c>
      <c r="P67" s="123">
        <v>41201.79493446328</v>
      </c>
      <c r="Q67" s="120">
        <v>13929.747718313029</v>
      </c>
      <c r="R67" s="123">
        <v>52484.408134334139</v>
      </c>
      <c r="S67" s="123">
        <v>55131.542652776305</v>
      </c>
      <c r="U67" s="7" t="s">
        <v>6082</v>
      </c>
    </row>
    <row r="68" spans="1:21" ht="16.5" thickBot="1">
      <c r="A68" s="259" t="s">
        <v>10</v>
      </c>
      <c r="B68" s="263">
        <f t="shared" si="3"/>
        <v>75</v>
      </c>
      <c r="C68" s="263" t="s">
        <v>3</v>
      </c>
      <c r="D68" s="263">
        <f t="shared" si="4"/>
        <v>300</v>
      </c>
      <c r="E68" s="263" t="s">
        <v>3</v>
      </c>
      <c r="F68" s="261">
        <f t="shared" si="5"/>
        <v>1150</v>
      </c>
      <c r="G68" s="263" t="s">
        <v>3</v>
      </c>
      <c r="H68" s="260">
        <v>2</v>
      </c>
      <c r="I68" s="262" t="s">
        <v>581</v>
      </c>
      <c r="J68" s="112">
        <v>75</v>
      </c>
      <c r="K68" s="75">
        <v>300</v>
      </c>
      <c r="L68" s="75">
        <v>1150</v>
      </c>
      <c r="M68" s="202">
        <v>11.820205264735</v>
      </c>
      <c r="N68" s="87">
        <v>2518.1769600000007</v>
      </c>
      <c r="O68" s="123">
        <v>39342.154886015116</v>
      </c>
      <c r="P68" s="123">
        <v>42124.866123397966</v>
      </c>
      <c r="Q68" s="120">
        <v>14410.152886177015</v>
      </c>
      <c r="R68" s="123">
        <v>53752.307772192129</v>
      </c>
      <c r="S68" s="123">
        <v>56535.019009574979</v>
      </c>
      <c r="U68" s="7" t="s">
        <v>6083</v>
      </c>
    </row>
    <row r="69" spans="1:21" ht="16.5" thickBot="1">
      <c r="A69" s="259" t="s">
        <v>10</v>
      </c>
      <c r="B69" s="263">
        <f t="shared" si="3"/>
        <v>75</v>
      </c>
      <c r="C69" s="263" t="s">
        <v>3</v>
      </c>
      <c r="D69" s="263">
        <f t="shared" si="4"/>
        <v>300</v>
      </c>
      <c r="E69" s="263" t="s">
        <v>3</v>
      </c>
      <c r="F69" s="261">
        <f t="shared" si="5"/>
        <v>1200</v>
      </c>
      <c r="G69" s="263" t="s">
        <v>3</v>
      </c>
      <c r="H69" s="260">
        <v>2</v>
      </c>
      <c r="I69" s="262" t="s">
        <v>581</v>
      </c>
      <c r="J69" s="112">
        <v>75</v>
      </c>
      <c r="K69" s="75">
        <v>300</v>
      </c>
      <c r="L69" s="75">
        <v>1200</v>
      </c>
      <c r="M69" s="202">
        <v>12.492340741002501</v>
      </c>
      <c r="N69" s="87">
        <v>2675.5630200000001</v>
      </c>
      <c r="O69" s="123">
        <v>40164.788431768247</v>
      </c>
      <c r="P69" s="123">
        <v>43080.837556198989</v>
      </c>
      <c r="Q69" s="120">
        <v>15121.139831824277</v>
      </c>
      <c r="R69" s="123">
        <v>55285.928263592526</v>
      </c>
      <c r="S69" s="123">
        <v>58201.977388023268</v>
      </c>
      <c r="U69" s="7" t="s">
        <v>6084</v>
      </c>
    </row>
    <row r="70" spans="1:21" ht="16.5" thickBot="1">
      <c r="A70" s="259" t="s">
        <v>10</v>
      </c>
      <c r="B70" s="263">
        <f t="shared" si="3"/>
        <v>75</v>
      </c>
      <c r="C70" s="263" t="s">
        <v>3</v>
      </c>
      <c r="D70" s="263">
        <f t="shared" si="4"/>
        <v>300</v>
      </c>
      <c r="E70" s="263" t="s">
        <v>3</v>
      </c>
      <c r="F70" s="261">
        <f t="shared" si="5"/>
        <v>1250</v>
      </c>
      <c r="G70" s="263" t="s">
        <v>3</v>
      </c>
      <c r="H70" s="260">
        <v>2</v>
      </c>
      <c r="I70" s="262" t="s">
        <v>581</v>
      </c>
      <c r="J70" s="112">
        <v>75</v>
      </c>
      <c r="K70" s="75">
        <v>300</v>
      </c>
      <c r="L70" s="75">
        <v>1250</v>
      </c>
      <c r="M70" s="202">
        <v>12.932186217270001</v>
      </c>
      <c r="N70" s="87">
        <v>2832.9490800000003</v>
      </c>
      <c r="O70" s="123">
        <v>40951.801864964655</v>
      </c>
      <c r="P70" s="123">
        <v>44003.45825793175</v>
      </c>
      <c r="Q70" s="120">
        <v>15601.545140081627</v>
      </c>
      <c r="R70" s="123">
        <v>56553.347005046278</v>
      </c>
      <c r="S70" s="123">
        <v>59605.003398013374</v>
      </c>
      <c r="U70" s="7" t="s">
        <v>6085</v>
      </c>
    </row>
    <row r="71" spans="1:21" ht="16.5" thickBot="1">
      <c r="A71" s="259" t="s">
        <v>10</v>
      </c>
      <c r="B71" s="263">
        <f t="shared" si="3"/>
        <v>75</v>
      </c>
      <c r="C71" s="263" t="s">
        <v>3</v>
      </c>
      <c r="D71" s="263">
        <f t="shared" si="4"/>
        <v>300</v>
      </c>
      <c r="E71" s="263" t="s">
        <v>3</v>
      </c>
      <c r="F71" s="261">
        <f t="shared" si="5"/>
        <v>1300</v>
      </c>
      <c r="G71" s="263" t="s">
        <v>3</v>
      </c>
      <c r="H71" s="260">
        <v>2</v>
      </c>
      <c r="I71" s="262" t="s">
        <v>581</v>
      </c>
      <c r="J71" s="112">
        <v>75</v>
      </c>
      <c r="K71" s="75">
        <v>300</v>
      </c>
      <c r="L71" s="75">
        <v>1300</v>
      </c>
      <c r="M71" s="202">
        <v>13.4510716935375</v>
      </c>
      <c r="N71" s="87">
        <v>2990.3351400000001</v>
      </c>
      <c r="O71" s="123">
        <v>44191.198888833467</v>
      </c>
      <c r="P71" s="123">
        <v>47222.231679360681</v>
      </c>
      <c r="Q71" s="120">
        <v>16312.53208572889</v>
      </c>
      <c r="R71" s="123">
        <v>60503.730974562357</v>
      </c>
      <c r="S71" s="123">
        <v>63534.76376508957</v>
      </c>
      <c r="U71" s="7" t="s">
        <v>6086</v>
      </c>
    </row>
    <row r="72" spans="1:21" ht="16.5" thickBot="1">
      <c r="A72" s="259" t="s">
        <v>10</v>
      </c>
      <c r="B72" s="263">
        <f t="shared" si="3"/>
        <v>75</v>
      </c>
      <c r="C72" s="263" t="s">
        <v>3</v>
      </c>
      <c r="D72" s="263">
        <f t="shared" si="4"/>
        <v>300</v>
      </c>
      <c r="E72" s="263" t="s">
        <v>3</v>
      </c>
      <c r="F72" s="261">
        <f t="shared" si="5"/>
        <v>1350</v>
      </c>
      <c r="G72" s="263" t="s">
        <v>3</v>
      </c>
      <c r="H72" s="260">
        <v>2</v>
      </c>
      <c r="I72" s="262" t="s">
        <v>581</v>
      </c>
      <c r="J72" s="112">
        <v>75</v>
      </c>
      <c r="K72" s="75">
        <v>300</v>
      </c>
      <c r="L72" s="75">
        <v>1350</v>
      </c>
      <c r="M72" s="202">
        <v>13.890917169805</v>
      </c>
      <c r="N72" s="87">
        <v>3147.7212000000004</v>
      </c>
      <c r="O72" s="123">
        <v>45227.908726314199</v>
      </c>
      <c r="P72" s="123">
        <v>48378.641634774074</v>
      </c>
      <c r="Q72" s="120">
        <v>16792.937253592878</v>
      </c>
      <c r="R72" s="123">
        <v>62020.845979907077</v>
      </c>
      <c r="S72" s="123">
        <v>65171.578888366952</v>
      </c>
      <c r="U72" s="7" t="s">
        <v>6087</v>
      </c>
    </row>
    <row r="73" spans="1:21" ht="16.5" thickBot="1">
      <c r="A73" s="259" t="s">
        <v>10</v>
      </c>
      <c r="B73" s="263">
        <f t="shared" si="3"/>
        <v>75</v>
      </c>
      <c r="C73" s="263" t="s">
        <v>3</v>
      </c>
      <c r="D73" s="263">
        <f t="shared" si="4"/>
        <v>300</v>
      </c>
      <c r="E73" s="263" t="s">
        <v>3</v>
      </c>
      <c r="F73" s="261">
        <f t="shared" si="5"/>
        <v>1400</v>
      </c>
      <c r="G73" s="263" t="s">
        <v>3</v>
      </c>
      <c r="H73" s="260">
        <v>2</v>
      </c>
      <c r="I73" s="262" t="s">
        <v>581</v>
      </c>
      <c r="J73" s="112">
        <v>75</v>
      </c>
      <c r="K73" s="75">
        <v>300</v>
      </c>
      <c r="L73" s="75">
        <v>1400</v>
      </c>
      <c r="M73" s="202">
        <v>14.3478026460725</v>
      </c>
      <c r="N73" s="87">
        <v>3305.1072600000007</v>
      </c>
      <c r="O73" s="123">
        <v>46591.635159404832</v>
      </c>
      <c r="P73" s="123">
        <v>49841.235390227695</v>
      </c>
      <c r="Q73" s="120">
        <v>17503.924339633504</v>
      </c>
      <c r="R73" s="123">
        <v>64095.55949903834</v>
      </c>
      <c r="S73" s="123">
        <v>67345.159729861203</v>
      </c>
      <c r="U73" s="7" t="s">
        <v>6088</v>
      </c>
    </row>
    <row r="74" spans="1:21" ht="16.5" thickBot="1">
      <c r="A74" s="259" t="s">
        <v>10</v>
      </c>
      <c r="B74" s="263">
        <f t="shared" si="3"/>
        <v>75</v>
      </c>
      <c r="C74" s="263" t="s">
        <v>3</v>
      </c>
      <c r="D74" s="263">
        <f t="shared" si="4"/>
        <v>300</v>
      </c>
      <c r="E74" s="263" t="s">
        <v>3</v>
      </c>
      <c r="F74" s="261">
        <f t="shared" si="5"/>
        <v>1450</v>
      </c>
      <c r="G74" s="263" t="s">
        <v>3</v>
      </c>
      <c r="H74" s="260">
        <v>2</v>
      </c>
      <c r="I74" s="262" t="s">
        <v>581</v>
      </c>
      <c r="J74" s="112">
        <v>75</v>
      </c>
      <c r="K74" s="75">
        <v>300</v>
      </c>
      <c r="L74" s="75">
        <v>1450</v>
      </c>
      <c r="M74" s="202">
        <v>14.787648122339998</v>
      </c>
      <c r="N74" s="87">
        <v>3462.4933200000005</v>
      </c>
      <c r="O74" s="123">
        <v>47628.345116219927</v>
      </c>
      <c r="P74" s="123">
        <v>50997.645345641075</v>
      </c>
      <c r="Q74" s="120">
        <v>17984.32950749735</v>
      </c>
      <c r="R74" s="123">
        <v>65612.674623717277</v>
      </c>
      <c r="S74" s="123">
        <v>68981.974853138425</v>
      </c>
      <c r="U74" s="7" t="s">
        <v>6089</v>
      </c>
    </row>
    <row r="75" spans="1:21" ht="16.5" thickBot="1">
      <c r="A75" s="259" t="s">
        <v>10</v>
      </c>
      <c r="B75" s="263">
        <f t="shared" si="3"/>
        <v>75</v>
      </c>
      <c r="C75" s="263" t="s">
        <v>3</v>
      </c>
      <c r="D75" s="263">
        <f t="shared" si="4"/>
        <v>300</v>
      </c>
      <c r="E75" s="263" t="s">
        <v>3</v>
      </c>
      <c r="F75" s="261">
        <f t="shared" si="5"/>
        <v>1500</v>
      </c>
      <c r="G75" s="263" t="s">
        <v>3</v>
      </c>
      <c r="H75" s="260">
        <v>2</v>
      </c>
      <c r="I75" s="262" t="s">
        <v>581</v>
      </c>
      <c r="J75" s="112">
        <v>75</v>
      </c>
      <c r="K75" s="75">
        <v>300</v>
      </c>
      <c r="L75" s="75">
        <v>1500</v>
      </c>
      <c r="M75" s="202">
        <v>15.8320984914075</v>
      </c>
      <c r="N75" s="87">
        <v>3619.8793800000003</v>
      </c>
      <c r="O75" s="123">
        <v>49193.815589800812</v>
      </c>
      <c r="P75" s="123">
        <v>52772.755140180117</v>
      </c>
      <c r="Q75" s="120">
        <v>18695.316593538118</v>
      </c>
      <c r="R75" s="123">
        <v>67889.132183338923</v>
      </c>
      <c r="S75" s="123">
        <v>71468.071733718243</v>
      </c>
      <c r="U75" s="7" t="s">
        <v>6090</v>
      </c>
    </row>
    <row r="76" spans="1:21" ht="16.5" thickBot="1">
      <c r="A76" s="259" t="s">
        <v>10</v>
      </c>
      <c r="B76" s="263">
        <f t="shared" si="3"/>
        <v>75</v>
      </c>
      <c r="C76" s="263" t="s">
        <v>3</v>
      </c>
      <c r="D76" s="263">
        <f t="shared" si="4"/>
        <v>300</v>
      </c>
      <c r="E76" s="263" t="s">
        <v>3</v>
      </c>
      <c r="F76" s="261">
        <f t="shared" si="5"/>
        <v>1550</v>
      </c>
      <c r="G76" s="263" t="s">
        <v>3</v>
      </c>
      <c r="H76" s="260">
        <v>2</v>
      </c>
      <c r="I76" s="262" t="s">
        <v>581</v>
      </c>
      <c r="J76" s="112">
        <v>75</v>
      </c>
      <c r="K76" s="75">
        <v>300</v>
      </c>
      <c r="L76" s="75">
        <v>1550</v>
      </c>
      <c r="M76" s="202">
        <v>16.340943967674999</v>
      </c>
      <c r="N76" s="87">
        <v>3777.2654400000001</v>
      </c>
      <c r="O76" s="123">
        <v>50230.525546615907</v>
      </c>
      <c r="P76" s="123">
        <v>53929.165095593511</v>
      </c>
      <c r="Q76" s="120">
        <v>19175.721761402103</v>
      </c>
      <c r="R76" s="123">
        <v>69406.247308018006</v>
      </c>
      <c r="S76" s="123">
        <v>73104.88685699561</v>
      </c>
      <c r="U76" s="7" t="s">
        <v>6091</v>
      </c>
    </row>
    <row r="77" spans="1:21" ht="16.5" thickBot="1">
      <c r="A77" s="259" t="s">
        <v>10</v>
      </c>
      <c r="B77" s="260">
        <f t="shared" si="3"/>
        <v>75</v>
      </c>
      <c r="C77" s="260" t="s">
        <v>3</v>
      </c>
      <c r="D77" s="260">
        <f t="shared" si="4"/>
        <v>300</v>
      </c>
      <c r="E77" s="260" t="s">
        <v>3</v>
      </c>
      <c r="F77" s="261">
        <f t="shared" si="5"/>
        <v>1600</v>
      </c>
      <c r="G77" s="260" t="s">
        <v>3</v>
      </c>
      <c r="H77" s="260">
        <v>2</v>
      </c>
      <c r="I77" s="262" t="s">
        <v>581</v>
      </c>
      <c r="J77" s="112">
        <v>75</v>
      </c>
      <c r="K77" s="75">
        <v>300</v>
      </c>
      <c r="L77" s="75">
        <v>1600</v>
      </c>
      <c r="M77" s="202">
        <v>16.780789443942503</v>
      </c>
      <c r="N77" s="87">
        <v>3934.6515000000004</v>
      </c>
      <c r="O77" s="123">
        <v>53213.276729854973</v>
      </c>
      <c r="P77" s="123">
        <v>56907.642557465042</v>
      </c>
      <c r="Q77" s="120">
        <v>19656.126929266091</v>
      </c>
      <c r="R77" s="123">
        <v>72869.403659121061</v>
      </c>
      <c r="S77" s="123">
        <v>76563.769486731137</v>
      </c>
      <c r="U77" s="7" t="s">
        <v>6092</v>
      </c>
    </row>
    <row r="78" spans="1:21" ht="16.5" thickBot="1">
      <c r="A78" s="259" t="s">
        <v>10</v>
      </c>
      <c r="B78" s="263">
        <f t="shared" si="3"/>
        <v>75</v>
      </c>
      <c r="C78" s="263" t="s">
        <v>3</v>
      </c>
      <c r="D78" s="263">
        <f t="shared" si="4"/>
        <v>300</v>
      </c>
      <c r="E78" s="263" t="s">
        <v>3</v>
      </c>
      <c r="F78" s="261">
        <f t="shared" si="5"/>
        <v>1650</v>
      </c>
      <c r="G78" s="263" t="s">
        <v>3</v>
      </c>
      <c r="H78" s="260">
        <v>2</v>
      </c>
      <c r="I78" s="262" t="s">
        <v>581</v>
      </c>
      <c r="J78" s="112">
        <v>75</v>
      </c>
      <c r="K78" s="75">
        <v>300</v>
      </c>
      <c r="L78" s="75">
        <v>1650</v>
      </c>
      <c r="M78" s="202">
        <v>17.275674920210001</v>
      </c>
      <c r="N78" s="87">
        <v>4092.0375600000007</v>
      </c>
      <c r="O78" s="123">
        <v>56448.288096728334</v>
      </c>
      <c r="P78" s="123">
        <v>60122.309683630898</v>
      </c>
      <c r="Q78" s="120">
        <v>20367.114015306717</v>
      </c>
      <c r="R78" s="123">
        <v>76815.402112035052</v>
      </c>
      <c r="S78" s="123">
        <v>80489.423698937608</v>
      </c>
      <c r="U78" s="7" t="s">
        <v>6093</v>
      </c>
    </row>
    <row r="79" spans="1:21" ht="16.5" thickBot="1">
      <c r="A79" s="259" t="s">
        <v>10</v>
      </c>
      <c r="B79" s="263">
        <f t="shared" si="3"/>
        <v>75</v>
      </c>
      <c r="C79" s="263" t="s">
        <v>3</v>
      </c>
      <c r="D79" s="263">
        <f t="shared" si="4"/>
        <v>300</v>
      </c>
      <c r="E79" s="263" t="s">
        <v>3</v>
      </c>
      <c r="F79" s="261">
        <f t="shared" si="5"/>
        <v>1700</v>
      </c>
      <c r="G79" s="263" t="s">
        <v>3</v>
      </c>
      <c r="H79" s="260">
        <v>2</v>
      </c>
      <c r="I79" s="262" t="s">
        <v>581</v>
      </c>
      <c r="J79" s="112">
        <v>75</v>
      </c>
      <c r="K79" s="75">
        <v>300</v>
      </c>
      <c r="L79" s="75">
        <v>1700</v>
      </c>
      <c r="M79" s="202">
        <v>17.715520396477501</v>
      </c>
      <c r="N79" s="87">
        <v>4249.4236200000005</v>
      </c>
      <c r="O79" s="123">
        <v>57279.850597159457</v>
      </c>
      <c r="P79" s="123">
        <v>61086.641323559088</v>
      </c>
      <c r="Q79" s="120">
        <v>20847.519183170705</v>
      </c>
      <c r="R79" s="123">
        <v>78127.369780330162</v>
      </c>
      <c r="S79" s="123">
        <v>81934.160506729793</v>
      </c>
      <c r="U79" s="7" t="s">
        <v>6094</v>
      </c>
    </row>
    <row r="80" spans="1:21" ht="16.5" thickBot="1">
      <c r="A80" s="259" t="s">
        <v>10</v>
      </c>
      <c r="B80" s="263">
        <f t="shared" si="3"/>
        <v>75</v>
      </c>
      <c r="C80" s="263" t="s">
        <v>3</v>
      </c>
      <c r="D80" s="263">
        <f t="shared" si="4"/>
        <v>300</v>
      </c>
      <c r="E80" s="263" t="s">
        <v>3</v>
      </c>
      <c r="F80" s="261">
        <f t="shared" si="5"/>
        <v>1750</v>
      </c>
      <c r="G80" s="263" t="s">
        <v>3</v>
      </c>
      <c r="H80" s="260">
        <v>2</v>
      </c>
      <c r="I80" s="262" t="s">
        <v>581</v>
      </c>
      <c r="J80" s="112">
        <v>75</v>
      </c>
      <c r="K80" s="75">
        <v>300</v>
      </c>
      <c r="L80" s="75">
        <v>1750</v>
      </c>
      <c r="M80" s="202">
        <v>18.172405872744999</v>
      </c>
      <c r="N80" s="87">
        <v>4406.8096800000003</v>
      </c>
      <c r="O80" s="123">
        <v>58035.259280281316</v>
      </c>
      <c r="P80" s="123">
        <v>61979.67068450759</v>
      </c>
      <c r="Q80" s="120">
        <v>21558.506269211328</v>
      </c>
      <c r="R80" s="123">
        <v>79593.765549492644</v>
      </c>
      <c r="S80" s="123">
        <v>83538.17695371891</v>
      </c>
      <c r="U80" s="7" t="s">
        <v>6095</v>
      </c>
    </row>
    <row r="81" spans="1:21" ht="16.5" thickBot="1">
      <c r="A81" s="259" t="s">
        <v>10</v>
      </c>
      <c r="B81" s="263">
        <f t="shared" si="3"/>
        <v>75</v>
      </c>
      <c r="C81" s="263" t="s">
        <v>3</v>
      </c>
      <c r="D81" s="263">
        <f t="shared" si="4"/>
        <v>300</v>
      </c>
      <c r="E81" s="263" t="s">
        <v>3</v>
      </c>
      <c r="F81" s="261">
        <f t="shared" si="5"/>
        <v>1800</v>
      </c>
      <c r="G81" s="263" t="s">
        <v>3</v>
      </c>
      <c r="H81" s="260">
        <v>2</v>
      </c>
      <c r="I81" s="262" t="s">
        <v>581</v>
      </c>
      <c r="J81" s="112">
        <v>75</v>
      </c>
      <c r="K81" s="75">
        <v>300</v>
      </c>
      <c r="L81" s="75">
        <v>1800</v>
      </c>
      <c r="M81" s="202">
        <v>18.681251349012499</v>
      </c>
      <c r="N81" s="87">
        <v>4564.1957400000001</v>
      </c>
      <c r="O81" s="123">
        <v>58867.518335360808</v>
      </c>
      <c r="P81" s="123">
        <v>62944.654486702937</v>
      </c>
      <c r="Q81" s="120">
        <v>22038.911437075316</v>
      </c>
      <c r="R81" s="123">
        <v>80906.429772436124</v>
      </c>
      <c r="S81" s="123">
        <v>84983.565923778253</v>
      </c>
      <c r="U81" s="7" t="s">
        <v>6096</v>
      </c>
    </row>
    <row r="82" spans="1:21" ht="16.5" thickBot="1">
      <c r="A82" s="259" t="s">
        <v>10</v>
      </c>
      <c r="B82" s="263">
        <f t="shared" si="3"/>
        <v>75</v>
      </c>
      <c r="C82" s="263" t="s">
        <v>3</v>
      </c>
      <c r="D82" s="263">
        <f t="shared" si="4"/>
        <v>300</v>
      </c>
      <c r="E82" s="263" t="s">
        <v>3</v>
      </c>
      <c r="F82" s="261">
        <f t="shared" si="5"/>
        <v>1850</v>
      </c>
      <c r="G82" s="263" t="s">
        <v>3</v>
      </c>
      <c r="H82" s="260">
        <v>2</v>
      </c>
      <c r="I82" s="262" t="s">
        <v>581</v>
      </c>
      <c r="J82" s="112">
        <v>75</v>
      </c>
      <c r="K82" s="75">
        <v>300</v>
      </c>
      <c r="L82" s="75">
        <v>1850</v>
      </c>
      <c r="M82" s="202">
        <v>19.200136825280001</v>
      </c>
      <c r="N82" s="87">
        <v>4721.5818000000008</v>
      </c>
      <c r="O82" s="123">
        <v>59699.729298693986</v>
      </c>
      <c r="P82" s="123">
        <v>63909.593299845263</v>
      </c>
      <c r="Q82" s="120">
        <v>22749.898382722578</v>
      </c>
      <c r="R82" s="123">
        <v>82449.627681416561</v>
      </c>
      <c r="S82" s="123">
        <v>86659.491682567837</v>
      </c>
      <c r="U82" s="7" t="s">
        <v>6097</v>
      </c>
    </row>
    <row r="83" spans="1:21" ht="16.5" thickBot="1">
      <c r="A83" s="259" t="s">
        <v>10</v>
      </c>
      <c r="B83" s="263">
        <f t="shared" si="3"/>
        <v>75</v>
      </c>
      <c r="C83" s="263" t="s">
        <v>3</v>
      </c>
      <c r="D83" s="263">
        <f t="shared" si="4"/>
        <v>300</v>
      </c>
      <c r="E83" s="263" t="s">
        <v>3</v>
      </c>
      <c r="F83" s="261">
        <f t="shared" si="5"/>
        <v>1900</v>
      </c>
      <c r="G83" s="263" t="s">
        <v>3</v>
      </c>
      <c r="H83" s="260">
        <v>2</v>
      </c>
      <c r="I83" s="262" t="s">
        <v>581</v>
      </c>
      <c r="J83" s="112">
        <v>75</v>
      </c>
      <c r="K83" s="75">
        <v>300</v>
      </c>
      <c r="L83" s="75">
        <v>1900</v>
      </c>
      <c r="M83" s="202">
        <v>19.639982301547501</v>
      </c>
      <c r="N83" s="87">
        <v>4878.9678600000007</v>
      </c>
      <c r="O83" s="123">
        <v>60706.994576650955</v>
      </c>
      <c r="P83" s="123">
        <v>65038.434512510263</v>
      </c>
      <c r="Q83" s="120">
        <v>23230.30369097993</v>
      </c>
      <c r="R83" s="123">
        <v>83937.298267630889</v>
      </c>
      <c r="S83" s="123">
        <v>88268.738203490197</v>
      </c>
      <c r="U83" s="7" t="s">
        <v>6098</v>
      </c>
    </row>
    <row r="84" spans="1:21" ht="16.5" thickBot="1">
      <c r="A84" s="259" t="s">
        <v>10</v>
      </c>
      <c r="B84" s="263">
        <f t="shared" si="3"/>
        <v>75</v>
      </c>
      <c r="C84" s="263" t="s">
        <v>3</v>
      </c>
      <c r="D84" s="263">
        <f t="shared" si="4"/>
        <v>300</v>
      </c>
      <c r="E84" s="263" t="s">
        <v>3</v>
      </c>
      <c r="F84" s="261">
        <f t="shared" si="5"/>
        <v>1950</v>
      </c>
      <c r="G84" s="263" t="s">
        <v>3</v>
      </c>
      <c r="H84" s="260">
        <v>2</v>
      </c>
      <c r="I84" s="262" t="s">
        <v>581</v>
      </c>
      <c r="J84" s="112">
        <v>75</v>
      </c>
      <c r="K84" s="75">
        <v>300</v>
      </c>
      <c r="L84" s="75">
        <v>1950</v>
      </c>
      <c r="M84" s="202">
        <v>20.233077777815005</v>
      </c>
      <c r="N84" s="87">
        <v>5036.3539200000014</v>
      </c>
      <c r="O84" s="123">
        <v>61873.461196426615</v>
      </c>
      <c r="P84" s="123">
        <v>66316.335078565608</v>
      </c>
      <c r="Q84" s="120">
        <v>23710.708858843918</v>
      </c>
      <c r="R84" s="123">
        <v>85584.17005527053</v>
      </c>
      <c r="S84" s="123">
        <v>90027.043937409529</v>
      </c>
      <c r="U84" s="7" t="s">
        <v>6099</v>
      </c>
    </row>
    <row r="85" spans="1:21" ht="16.5" thickBot="1">
      <c r="A85" s="259" t="s">
        <v>10</v>
      </c>
      <c r="B85" s="263">
        <f t="shared" si="3"/>
        <v>75</v>
      </c>
      <c r="C85" s="263" t="s">
        <v>3</v>
      </c>
      <c r="D85" s="263">
        <f t="shared" si="4"/>
        <v>300</v>
      </c>
      <c r="E85" s="263" t="s">
        <v>3</v>
      </c>
      <c r="F85" s="261">
        <f t="shared" si="5"/>
        <v>2000</v>
      </c>
      <c r="G85" s="263" t="s">
        <v>3</v>
      </c>
      <c r="H85" s="260">
        <v>2</v>
      </c>
      <c r="I85" s="262" t="s">
        <v>581</v>
      </c>
      <c r="J85" s="112">
        <v>75</v>
      </c>
      <c r="K85" s="75">
        <v>300</v>
      </c>
      <c r="L85" s="75">
        <v>2000</v>
      </c>
      <c r="M85" s="202">
        <v>20.7815256540825</v>
      </c>
      <c r="N85" s="87">
        <v>5193.7399800000003</v>
      </c>
      <c r="O85" s="123">
        <v>62911.954008552093</v>
      </c>
      <c r="P85" s="123">
        <v>67664.671556160654</v>
      </c>
      <c r="Q85" s="120">
        <v>24421.695804491177</v>
      </c>
      <c r="R85" s="123">
        <v>87333.649813043274</v>
      </c>
      <c r="S85" s="123">
        <v>92086.367360651828</v>
      </c>
      <c r="U85" s="7" t="s">
        <v>6100</v>
      </c>
    </row>
    <row r="86" spans="1:21" ht="16.5" thickBot="1">
      <c r="A86" s="259" t="s">
        <v>10</v>
      </c>
      <c r="B86" s="263">
        <f t="shared" si="3"/>
        <v>75</v>
      </c>
      <c r="C86" s="263" t="s">
        <v>3</v>
      </c>
      <c r="D86" s="263">
        <f t="shared" si="4"/>
        <v>300</v>
      </c>
      <c r="E86" s="263" t="s">
        <v>3</v>
      </c>
      <c r="F86" s="261">
        <f t="shared" si="5"/>
        <v>2050</v>
      </c>
      <c r="G86" s="263" t="s">
        <v>3</v>
      </c>
      <c r="H86" s="260">
        <v>2</v>
      </c>
      <c r="I86" s="262" t="s">
        <v>581</v>
      </c>
      <c r="J86" s="112">
        <v>75</v>
      </c>
      <c r="K86" s="75">
        <v>300</v>
      </c>
      <c r="L86" s="75">
        <v>2050</v>
      </c>
      <c r="M86" s="202">
        <v>21.221371130350004</v>
      </c>
      <c r="N86" s="87">
        <v>5351.1260400000001</v>
      </c>
      <c r="O86" s="123">
        <v>65888.135119370228</v>
      </c>
      <c r="P86" s="123">
        <v>70636.997451205214</v>
      </c>
      <c r="Q86" s="120">
        <v>24902.101112748529</v>
      </c>
      <c r="R86" s="123">
        <v>90790.236232118754</v>
      </c>
      <c r="S86" s="123">
        <v>95539.098563953739</v>
      </c>
      <c r="U86" s="7" t="s">
        <v>6101</v>
      </c>
    </row>
    <row r="87" spans="1:21" ht="16.5" thickBot="1">
      <c r="A87" s="259" t="s">
        <v>10</v>
      </c>
      <c r="B87" s="260">
        <f t="shared" si="3"/>
        <v>75</v>
      </c>
      <c r="C87" s="260" t="s">
        <v>3</v>
      </c>
      <c r="D87" s="260">
        <f t="shared" si="4"/>
        <v>300</v>
      </c>
      <c r="E87" s="260" t="s">
        <v>3</v>
      </c>
      <c r="F87" s="261">
        <f t="shared" si="5"/>
        <v>2100</v>
      </c>
      <c r="G87" s="260" t="s">
        <v>3</v>
      </c>
      <c r="H87" s="260">
        <v>2</v>
      </c>
      <c r="I87" s="262" t="s">
        <v>581</v>
      </c>
      <c r="J87" s="112">
        <v>75</v>
      </c>
      <c r="K87" s="75">
        <v>300</v>
      </c>
      <c r="L87" s="75">
        <v>2100</v>
      </c>
      <c r="M87" s="202">
        <v>21.678256606617502</v>
      </c>
      <c r="N87" s="87">
        <v>5508.5121000000008</v>
      </c>
      <c r="O87" s="123">
        <v>66782.275960530314</v>
      </c>
      <c r="P87" s="123">
        <v>71659.920828960472</v>
      </c>
      <c r="Q87" s="120">
        <v>25613.088058395791</v>
      </c>
      <c r="R87" s="123">
        <v>92395.364018926106</v>
      </c>
      <c r="S87" s="123">
        <v>97273.008887356264</v>
      </c>
      <c r="U87" s="7" t="s">
        <v>6102</v>
      </c>
    </row>
    <row r="88" spans="1:21" ht="16.5" thickBot="1">
      <c r="A88" s="259" t="s">
        <v>10</v>
      </c>
      <c r="B88" s="263">
        <f t="shared" si="3"/>
        <v>75</v>
      </c>
      <c r="C88" s="263" t="s">
        <v>3</v>
      </c>
      <c r="D88" s="263">
        <f t="shared" si="4"/>
        <v>300</v>
      </c>
      <c r="E88" s="263" t="s">
        <v>3</v>
      </c>
      <c r="F88" s="261">
        <f t="shared" si="5"/>
        <v>2150</v>
      </c>
      <c r="G88" s="263" t="s">
        <v>3</v>
      </c>
      <c r="H88" s="260">
        <v>2</v>
      </c>
      <c r="I88" s="262" t="s">
        <v>581</v>
      </c>
      <c r="J88" s="112">
        <v>75</v>
      </c>
      <c r="K88" s="75">
        <v>300</v>
      </c>
      <c r="L88" s="75">
        <v>2150</v>
      </c>
      <c r="M88" s="202">
        <v>22.242102082885001</v>
      </c>
      <c r="N88" s="87">
        <v>5665.8981600000006</v>
      </c>
      <c r="O88" s="123">
        <v>67824.034118697164</v>
      </c>
      <c r="P88" s="123">
        <v>72821.057498964845</v>
      </c>
      <c r="Q88" s="120">
        <v>26093.493366653143</v>
      </c>
      <c r="R88" s="123">
        <v>93917.527485350307</v>
      </c>
      <c r="S88" s="123">
        <v>98914.550865617988</v>
      </c>
      <c r="U88" s="7" t="s">
        <v>6103</v>
      </c>
    </row>
    <row r="89" spans="1:21" ht="16.5" thickBot="1">
      <c r="A89" s="259" t="s">
        <v>10</v>
      </c>
      <c r="B89" s="263">
        <f t="shared" si="3"/>
        <v>75</v>
      </c>
      <c r="C89" s="263" t="s">
        <v>3</v>
      </c>
      <c r="D89" s="263">
        <f t="shared" si="4"/>
        <v>300</v>
      </c>
      <c r="E89" s="263" t="s">
        <v>3</v>
      </c>
      <c r="F89" s="261">
        <f t="shared" si="5"/>
        <v>2200</v>
      </c>
      <c r="G89" s="263" t="s">
        <v>3</v>
      </c>
      <c r="H89" s="260">
        <v>2</v>
      </c>
      <c r="I89" s="262" t="s">
        <v>581</v>
      </c>
      <c r="J89" s="112">
        <v>75</v>
      </c>
      <c r="K89" s="75">
        <v>300</v>
      </c>
      <c r="L89" s="75">
        <v>2200</v>
      </c>
      <c r="M89" s="202">
        <v>22.698987559152499</v>
      </c>
      <c r="N89" s="87">
        <v>5823.2842200000014</v>
      </c>
      <c r="O89" s="123">
        <v>68865.744185117699</v>
      </c>
      <c r="P89" s="123">
        <v>73982.149179916189</v>
      </c>
      <c r="Q89" s="120">
        <v>26804.480312300402</v>
      </c>
      <c r="R89" s="123">
        <v>95670.224497418094</v>
      </c>
      <c r="S89" s="123">
        <v>100786.6294922166</v>
      </c>
      <c r="U89" s="7" t="s">
        <v>6104</v>
      </c>
    </row>
    <row r="90" spans="1:21" ht="16.5" thickBot="1">
      <c r="A90" s="259" t="s">
        <v>10</v>
      </c>
      <c r="B90" s="263">
        <f t="shared" si="3"/>
        <v>75</v>
      </c>
      <c r="C90" s="263" t="s">
        <v>3</v>
      </c>
      <c r="D90" s="263">
        <f t="shared" si="4"/>
        <v>300</v>
      </c>
      <c r="E90" s="263" t="s">
        <v>3</v>
      </c>
      <c r="F90" s="261">
        <f t="shared" si="5"/>
        <v>2250</v>
      </c>
      <c r="G90" s="263" t="s">
        <v>3</v>
      </c>
      <c r="H90" s="260">
        <v>2</v>
      </c>
      <c r="I90" s="262" t="s">
        <v>581</v>
      </c>
      <c r="J90" s="112">
        <v>75</v>
      </c>
      <c r="K90" s="75">
        <v>300</v>
      </c>
      <c r="L90" s="75">
        <v>2250</v>
      </c>
      <c r="M90" s="202">
        <v>23.138833035420003</v>
      </c>
      <c r="N90" s="87">
        <v>5980.6702800000003</v>
      </c>
      <c r="O90" s="123">
        <v>70227.065314885971</v>
      </c>
      <c r="P90" s="123">
        <v>75442.490857363271</v>
      </c>
      <c r="Q90" s="120">
        <v>27284.885480164394</v>
      </c>
      <c r="R90" s="123">
        <v>97511.950795050361</v>
      </c>
      <c r="S90" s="123">
        <v>102727.37633752766</v>
      </c>
      <c r="U90" s="7" t="s">
        <v>6105</v>
      </c>
    </row>
    <row r="91" spans="1:21" ht="16.5" thickBot="1">
      <c r="A91" s="259" t="s">
        <v>10</v>
      </c>
      <c r="B91" s="263">
        <f t="shared" si="3"/>
        <v>75</v>
      </c>
      <c r="C91" s="263" t="s">
        <v>3</v>
      </c>
      <c r="D91" s="263">
        <f t="shared" si="4"/>
        <v>300</v>
      </c>
      <c r="E91" s="263" t="s">
        <v>3</v>
      </c>
      <c r="F91" s="261">
        <f t="shared" si="5"/>
        <v>2300</v>
      </c>
      <c r="G91" s="263" t="s">
        <v>3</v>
      </c>
      <c r="H91" s="260">
        <v>2</v>
      </c>
      <c r="I91" s="262" t="s">
        <v>581</v>
      </c>
      <c r="J91" s="112">
        <v>75</v>
      </c>
      <c r="K91" s="75">
        <v>300</v>
      </c>
      <c r="L91" s="75">
        <v>2300</v>
      </c>
      <c r="M91" s="202">
        <v>23.5786785116875</v>
      </c>
      <c r="N91" s="87">
        <v>6138.056340000001</v>
      </c>
      <c r="O91" s="123">
        <v>71025.869818005624</v>
      </c>
      <c r="P91" s="123">
        <v>76376.151419234899</v>
      </c>
      <c r="Q91" s="120">
        <v>27765.290788421746</v>
      </c>
      <c r="R91" s="123">
        <v>98791.160606427366</v>
      </c>
      <c r="S91" s="123">
        <v>104141.44220765664</v>
      </c>
      <c r="U91" s="7" t="s">
        <v>6106</v>
      </c>
    </row>
    <row r="92" spans="1:21" ht="16.5" thickBot="1">
      <c r="A92" s="259" t="s">
        <v>10</v>
      </c>
      <c r="B92" s="263">
        <f t="shared" si="3"/>
        <v>75</v>
      </c>
      <c r="C92" s="263" t="s">
        <v>3</v>
      </c>
      <c r="D92" s="263">
        <f t="shared" si="4"/>
        <v>300</v>
      </c>
      <c r="E92" s="263" t="s">
        <v>3</v>
      </c>
      <c r="F92" s="261">
        <f t="shared" si="5"/>
        <v>2350</v>
      </c>
      <c r="G92" s="263" t="s">
        <v>3</v>
      </c>
      <c r="H92" s="260">
        <v>2</v>
      </c>
      <c r="I92" s="262" t="s">
        <v>581</v>
      </c>
      <c r="J92" s="112">
        <v>75</v>
      </c>
      <c r="K92" s="75">
        <v>300</v>
      </c>
      <c r="L92" s="75">
        <v>2350</v>
      </c>
      <c r="M92" s="202">
        <v>24.035563987955001</v>
      </c>
      <c r="N92" s="87">
        <v>6295.4424000000008</v>
      </c>
      <c r="O92" s="123">
        <v>71824.626348713326</v>
      </c>
      <c r="P92" s="123">
        <v>77309.76711138786</v>
      </c>
      <c r="Q92" s="120">
        <v>28476.277734069005</v>
      </c>
      <c r="R92" s="123">
        <v>100300.90408278233</v>
      </c>
      <c r="S92" s="123">
        <v>105786.04484545687</v>
      </c>
      <c r="U92" s="7" t="s">
        <v>6107</v>
      </c>
    </row>
    <row r="93" spans="1:21" ht="16.5" thickBot="1">
      <c r="A93" s="259" t="s">
        <v>10</v>
      </c>
      <c r="B93" s="263">
        <f t="shared" si="3"/>
        <v>75</v>
      </c>
      <c r="C93" s="263" t="s">
        <v>3</v>
      </c>
      <c r="D93" s="263">
        <f t="shared" si="4"/>
        <v>300</v>
      </c>
      <c r="E93" s="263" t="s">
        <v>3</v>
      </c>
      <c r="F93" s="261">
        <f t="shared" si="5"/>
        <v>2400</v>
      </c>
      <c r="G93" s="263" t="s">
        <v>3</v>
      </c>
      <c r="H93" s="260">
        <v>2</v>
      </c>
      <c r="I93" s="262" t="s">
        <v>581</v>
      </c>
      <c r="J93" s="112">
        <v>75</v>
      </c>
      <c r="K93" s="75">
        <v>300</v>
      </c>
      <c r="L93" s="75">
        <v>2400</v>
      </c>
      <c r="M93" s="202">
        <v>24.475409464222501</v>
      </c>
      <c r="N93" s="87">
        <v>6452.8284599999997</v>
      </c>
      <c r="O93" s="123">
        <v>72623.334668340336</v>
      </c>
      <c r="P93" s="123">
        <v>78243.337695153445</v>
      </c>
      <c r="Q93" s="120">
        <v>28956.682901932996</v>
      </c>
      <c r="R93" s="123">
        <v>101580.01757027334</v>
      </c>
      <c r="S93" s="123">
        <v>107200.02059708643</v>
      </c>
      <c r="U93" s="7" t="s">
        <v>6108</v>
      </c>
    </row>
    <row r="94" spans="1:21" ht="16.5" thickBot="1">
      <c r="A94" s="259" t="s">
        <v>10</v>
      </c>
      <c r="B94" s="263">
        <f t="shared" si="3"/>
        <v>75</v>
      </c>
      <c r="C94" s="263" t="s">
        <v>3</v>
      </c>
      <c r="D94" s="263">
        <f t="shared" si="4"/>
        <v>300</v>
      </c>
      <c r="E94" s="263" t="s">
        <v>3</v>
      </c>
      <c r="F94" s="261">
        <f t="shared" si="5"/>
        <v>2450</v>
      </c>
      <c r="G94" s="263" t="s">
        <v>3</v>
      </c>
      <c r="H94" s="260">
        <v>2</v>
      </c>
      <c r="I94" s="262" t="s">
        <v>581</v>
      </c>
      <c r="J94" s="112">
        <v>75</v>
      </c>
      <c r="K94" s="75">
        <v>300</v>
      </c>
      <c r="L94" s="75">
        <v>2450</v>
      </c>
      <c r="M94" s="202">
        <v>25.633859833289996</v>
      </c>
      <c r="N94" s="87">
        <v>6610.2145200000014</v>
      </c>
      <c r="O94" s="123">
        <v>73950.75565165552</v>
      </c>
      <c r="P94" s="123">
        <v>79795.562890322966</v>
      </c>
      <c r="Q94" s="120">
        <v>29667.669987973619</v>
      </c>
      <c r="R94" s="123">
        <v>103618.42563962913</v>
      </c>
      <c r="S94" s="123">
        <v>109463.23287829658</v>
      </c>
      <c r="U94" s="7" t="s">
        <v>6109</v>
      </c>
    </row>
    <row r="95" spans="1:21" ht="16.5" thickBot="1">
      <c r="A95" s="259" t="s">
        <v>10</v>
      </c>
      <c r="B95" s="263">
        <f t="shared" si="3"/>
        <v>75</v>
      </c>
      <c r="C95" s="263" t="s">
        <v>3</v>
      </c>
      <c r="D95" s="263">
        <f t="shared" si="4"/>
        <v>300</v>
      </c>
      <c r="E95" s="263" t="s">
        <v>3</v>
      </c>
      <c r="F95" s="261">
        <f t="shared" si="5"/>
        <v>2500</v>
      </c>
      <c r="G95" s="263" t="s">
        <v>3</v>
      </c>
      <c r="H95" s="260">
        <v>2</v>
      </c>
      <c r="I95" s="262" t="s">
        <v>581</v>
      </c>
      <c r="J95" s="112">
        <v>75</v>
      </c>
      <c r="K95" s="75">
        <v>300</v>
      </c>
      <c r="L95" s="75">
        <v>2500</v>
      </c>
      <c r="M95" s="202">
        <v>26.090705309557499</v>
      </c>
      <c r="N95" s="87">
        <v>6767.6005800000003</v>
      </c>
      <c r="O95" s="123">
        <v>74749.367787789888</v>
      </c>
      <c r="P95" s="123">
        <v>80729.043376648187</v>
      </c>
      <c r="Q95" s="120">
        <v>30148.075155837607</v>
      </c>
      <c r="R95" s="123">
        <v>104897.44294362749</v>
      </c>
      <c r="S95" s="123">
        <v>110877.11853248579</v>
      </c>
      <c r="U95" s="7" t="s">
        <v>6110</v>
      </c>
    </row>
    <row r="96" spans="1:21" ht="16.5" thickBot="1">
      <c r="A96" s="259" t="s">
        <v>10</v>
      </c>
      <c r="B96" s="263">
        <f t="shared" si="3"/>
        <v>75</v>
      </c>
      <c r="C96" s="263" t="s">
        <v>3</v>
      </c>
      <c r="D96" s="263">
        <f t="shared" si="4"/>
        <v>300</v>
      </c>
      <c r="E96" s="263" t="s">
        <v>3</v>
      </c>
      <c r="F96" s="261">
        <f t="shared" si="5"/>
        <v>2550</v>
      </c>
      <c r="G96" s="263" t="s">
        <v>3</v>
      </c>
      <c r="H96" s="260">
        <v>2</v>
      </c>
      <c r="I96" s="262" t="s">
        <v>581</v>
      </c>
      <c r="J96" s="112">
        <v>75</v>
      </c>
      <c r="K96" s="75">
        <v>300</v>
      </c>
      <c r="L96" s="75">
        <v>2550</v>
      </c>
      <c r="M96" s="202">
        <v>26.547590785825001</v>
      </c>
      <c r="N96" s="87">
        <v>6924.986640000001</v>
      </c>
      <c r="O96" s="123">
        <v>78842.267769171594</v>
      </c>
      <c r="P96" s="123">
        <v>84746.946606657017</v>
      </c>
      <c r="Q96" s="120">
        <v>30859.06224187823</v>
      </c>
      <c r="R96" s="123">
        <v>109701.33001104982</v>
      </c>
      <c r="S96" s="123">
        <v>115606.00884853525</v>
      </c>
      <c r="U96" s="7" t="s">
        <v>6111</v>
      </c>
    </row>
    <row r="97" spans="1:21" ht="16.5" thickBot="1">
      <c r="A97" s="259" t="s">
        <v>10</v>
      </c>
      <c r="B97" s="260">
        <f t="shared" si="3"/>
        <v>75</v>
      </c>
      <c r="C97" s="260" t="s">
        <v>3</v>
      </c>
      <c r="D97" s="260">
        <f t="shared" si="4"/>
        <v>300</v>
      </c>
      <c r="E97" s="260" t="s">
        <v>3</v>
      </c>
      <c r="F97" s="261">
        <f t="shared" si="5"/>
        <v>2600</v>
      </c>
      <c r="G97" s="260" t="s">
        <v>3</v>
      </c>
      <c r="H97" s="260">
        <v>2</v>
      </c>
      <c r="I97" s="262" t="s">
        <v>581</v>
      </c>
      <c r="J97" s="112">
        <v>75</v>
      </c>
      <c r="K97" s="75">
        <v>300</v>
      </c>
      <c r="L97" s="75">
        <v>2600</v>
      </c>
      <c r="M97" s="202">
        <v>26.987436262092505</v>
      </c>
      <c r="N97" s="87">
        <v>7082.3727000000008</v>
      </c>
      <c r="O97" s="123">
        <v>79911.387266972437</v>
      </c>
      <c r="P97" s="123">
        <v>85933.701618660576</v>
      </c>
      <c r="Q97" s="120">
        <v>31339.467409742221</v>
      </c>
      <c r="R97" s="123">
        <v>111250.85467671466</v>
      </c>
      <c r="S97" s="123">
        <v>117273.1690284028</v>
      </c>
      <c r="U97" s="7" t="s">
        <v>6112</v>
      </c>
    </row>
    <row r="98" spans="1:21" ht="16.5" thickBot="1">
      <c r="A98" s="259" t="s">
        <v>10</v>
      </c>
      <c r="B98" s="263">
        <f t="shared" si="3"/>
        <v>75</v>
      </c>
      <c r="C98" s="263" t="s">
        <v>3</v>
      </c>
      <c r="D98" s="263">
        <f t="shared" si="4"/>
        <v>300</v>
      </c>
      <c r="E98" s="263" t="s">
        <v>3</v>
      </c>
      <c r="F98" s="261">
        <f t="shared" si="5"/>
        <v>2650</v>
      </c>
      <c r="G98" s="263" t="s">
        <v>3</v>
      </c>
      <c r="H98" s="260">
        <v>2</v>
      </c>
      <c r="I98" s="262" t="s">
        <v>581</v>
      </c>
      <c r="J98" s="112">
        <v>75</v>
      </c>
      <c r="K98" s="75">
        <v>300</v>
      </c>
      <c r="L98" s="75">
        <v>2650</v>
      </c>
      <c r="M98" s="202">
        <v>27.551321738360002</v>
      </c>
      <c r="N98" s="87">
        <v>7239.7587600000006</v>
      </c>
      <c r="O98" s="123">
        <v>80549.887062798196</v>
      </c>
      <c r="P98" s="123">
        <v>86717.269749603554</v>
      </c>
      <c r="Q98" s="120">
        <v>32050.45435538948</v>
      </c>
      <c r="R98" s="123">
        <v>112600.34141818767</v>
      </c>
      <c r="S98" s="123">
        <v>118767.72410499303</v>
      </c>
      <c r="U98" s="7" t="s">
        <v>6113</v>
      </c>
    </row>
    <row r="99" spans="1:21" ht="16.5" thickBot="1">
      <c r="A99" s="259" t="s">
        <v>10</v>
      </c>
      <c r="B99" s="263">
        <f t="shared" si="3"/>
        <v>75</v>
      </c>
      <c r="C99" s="263" t="s">
        <v>3</v>
      </c>
      <c r="D99" s="263">
        <f t="shared" si="4"/>
        <v>300</v>
      </c>
      <c r="E99" s="263" t="s">
        <v>3</v>
      </c>
      <c r="F99" s="261">
        <f t="shared" si="5"/>
        <v>2700</v>
      </c>
      <c r="G99" s="263" t="s">
        <v>3</v>
      </c>
      <c r="H99" s="260">
        <v>2</v>
      </c>
      <c r="I99" s="262" t="s">
        <v>581</v>
      </c>
      <c r="J99" s="112">
        <v>75</v>
      </c>
      <c r="K99" s="75">
        <v>300</v>
      </c>
      <c r="L99" s="75">
        <v>2700</v>
      </c>
      <c r="M99" s="202">
        <v>28.030417214627505</v>
      </c>
      <c r="N99" s="87">
        <v>7397.1448200000013</v>
      </c>
      <c r="O99" s="123">
        <v>81223.718062699656</v>
      </c>
      <c r="P99" s="123">
        <v>87533.91843862801</v>
      </c>
      <c r="Q99" s="120">
        <v>32530.859663646832</v>
      </c>
      <c r="R99" s="123">
        <v>113754.57772634648</v>
      </c>
      <c r="S99" s="123">
        <v>120064.77810227484</v>
      </c>
      <c r="U99" s="7" t="s">
        <v>6114</v>
      </c>
    </row>
    <row r="100" spans="1:21" ht="16.5" thickBot="1">
      <c r="A100" s="259" t="s">
        <v>10</v>
      </c>
      <c r="B100" s="263">
        <f t="shared" si="3"/>
        <v>75</v>
      </c>
      <c r="C100" s="263" t="s">
        <v>3</v>
      </c>
      <c r="D100" s="263">
        <f t="shared" si="4"/>
        <v>300</v>
      </c>
      <c r="E100" s="263" t="s">
        <v>3</v>
      </c>
      <c r="F100" s="261">
        <f t="shared" si="5"/>
        <v>2750</v>
      </c>
      <c r="G100" s="263" t="s">
        <v>3</v>
      </c>
      <c r="H100" s="260">
        <v>2</v>
      </c>
      <c r="I100" s="262" t="s">
        <v>581</v>
      </c>
      <c r="J100" s="112">
        <v>75</v>
      </c>
      <c r="K100" s="75">
        <v>300</v>
      </c>
      <c r="L100" s="75">
        <v>2750</v>
      </c>
      <c r="M100" s="202">
        <v>28.470262690895005</v>
      </c>
      <c r="N100" s="87">
        <v>7554.5308800000003</v>
      </c>
      <c r="O100" s="123">
        <v>81943.875734434463</v>
      </c>
      <c r="P100" s="123">
        <v>88393.942422140652</v>
      </c>
      <c r="Q100" s="120">
        <v>33011.264831510824</v>
      </c>
      <c r="R100" s="123">
        <v>114955.14056594529</v>
      </c>
      <c r="S100" s="123">
        <v>121405.20725365148</v>
      </c>
      <c r="U100" s="7" t="s">
        <v>6115</v>
      </c>
    </row>
    <row r="101" spans="1:21" ht="16.5" thickBot="1">
      <c r="A101" s="259" t="s">
        <v>10</v>
      </c>
      <c r="B101" s="263">
        <f t="shared" si="3"/>
        <v>75</v>
      </c>
      <c r="C101" s="263" t="s">
        <v>3</v>
      </c>
      <c r="D101" s="263">
        <f t="shared" si="4"/>
        <v>300</v>
      </c>
      <c r="E101" s="263" t="s">
        <v>3</v>
      </c>
      <c r="F101" s="261">
        <f t="shared" si="5"/>
        <v>2800</v>
      </c>
      <c r="G101" s="263" t="s">
        <v>3</v>
      </c>
      <c r="H101" s="260">
        <v>2</v>
      </c>
      <c r="I101" s="262" t="s">
        <v>581</v>
      </c>
      <c r="J101" s="112">
        <v>75</v>
      </c>
      <c r="K101" s="75">
        <v>300</v>
      </c>
      <c r="L101" s="75">
        <v>2800</v>
      </c>
      <c r="M101" s="202">
        <v>28.9271481671625</v>
      </c>
      <c r="N101" s="87">
        <v>7711.916940000001</v>
      </c>
      <c r="O101" s="123">
        <v>82581.141016325419</v>
      </c>
      <c r="P101" s="123">
        <v>89176.354799825203</v>
      </c>
      <c r="Q101" s="120">
        <v>33722.251777158082</v>
      </c>
      <c r="R101" s="123">
        <v>116303.39279348351</v>
      </c>
      <c r="S101" s="123">
        <v>122898.60657698329</v>
      </c>
      <c r="U101" s="7" t="s">
        <v>6116</v>
      </c>
    </row>
    <row r="102" spans="1:21" ht="16.5" thickBot="1">
      <c r="A102" s="259" t="s">
        <v>10</v>
      </c>
      <c r="B102" s="263">
        <f t="shared" si="3"/>
        <v>75</v>
      </c>
      <c r="C102" s="263" t="s">
        <v>3</v>
      </c>
      <c r="D102" s="263">
        <f t="shared" si="4"/>
        <v>300</v>
      </c>
      <c r="E102" s="263" t="s">
        <v>3</v>
      </c>
      <c r="F102" s="261">
        <f t="shared" si="5"/>
        <v>2850</v>
      </c>
      <c r="G102" s="263" t="s">
        <v>3</v>
      </c>
      <c r="H102" s="260">
        <v>2</v>
      </c>
      <c r="I102" s="262" t="s">
        <v>581</v>
      </c>
      <c r="J102" s="112">
        <v>75</v>
      </c>
      <c r="K102" s="75">
        <v>300</v>
      </c>
      <c r="L102" s="75">
        <v>2850</v>
      </c>
      <c r="M102" s="202">
        <v>29.366993643430003</v>
      </c>
      <c r="N102" s="87">
        <v>7869.3030000000008</v>
      </c>
      <c r="O102" s="123">
        <v>83218.358325804395</v>
      </c>
      <c r="P102" s="123">
        <v>89958.722188456712</v>
      </c>
      <c r="Q102" s="120">
        <v>34202.657085415434</v>
      </c>
      <c r="R102" s="123">
        <v>117421.01541121982</v>
      </c>
      <c r="S102" s="123">
        <v>124161.37927387215</v>
      </c>
      <c r="U102" s="7" t="s">
        <v>6117</v>
      </c>
    </row>
    <row r="103" spans="1:21" ht="16.5" thickBot="1">
      <c r="A103" s="259" t="s">
        <v>10</v>
      </c>
      <c r="B103" s="263">
        <f t="shared" si="3"/>
        <v>75</v>
      </c>
      <c r="C103" s="263" t="s">
        <v>3</v>
      </c>
      <c r="D103" s="263">
        <f t="shared" si="4"/>
        <v>300</v>
      </c>
      <c r="E103" s="263" t="s">
        <v>3</v>
      </c>
      <c r="F103" s="261">
        <f t="shared" si="5"/>
        <v>2900</v>
      </c>
      <c r="G103" s="263" t="s">
        <v>3</v>
      </c>
      <c r="H103" s="260">
        <v>2</v>
      </c>
      <c r="I103" s="262" t="s">
        <v>581</v>
      </c>
      <c r="J103" s="112">
        <v>75</v>
      </c>
      <c r="K103" s="75">
        <v>300</v>
      </c>
      <c r="L103" s="75">
        <v>2900</v>
      </c>
      <c r="M103" s="202">
        <v>29.999879119697503</v>
      </c>
      <c r="N103" s="87">
        <v>8026.6890600000006</v>
      </c>
      <c r="O103" s="123">
        <v>83855.527424202694</v>
      </c>
      <c r="P103" s="123">
        <v>90741.044468700857</v>
      </c>
      <c r="Q103" s="120">
        <v>34913.644031062693</v>
      </c>
      <c r="R103" s="123">
        <v>118769.17145526539</v>
      </c>
      <c r="S103" s="123">
        <v>125654.68849976355</v>
      </c>
      <c r="U103" s="7" t="s">
        <v>6118</v>
      </c>
    </row>
    <row r="104" spans="1:21" ht="16.5" thickBot="1">
      <c r="A104" s="259" t="s">
        <v>10</v>
      </c>
      <c r="B104" s="263">
        <f t="shared" si="3"/>
        <v>75</v>
      </c>
      <c r="C104" s="263" t="s">
        <v>3</v>
      </c>
      <c r="D104" s="263">
        <f t="shared" si="4"/>
        <v>300</v>
      </c>
      <c r="E104" s="263" t="s">
        <v>3</v>
      </c>
      <c r="F104" s="261">
        <f t="shared" si="5"/>
        <v>2950</v>
      </c>
      <c r="G104" s="263" t="s">
        <v>3</v>
      </c>
      <c r="H104" s="260">
        <v>2</v>
      </c>
      <c r="I104" s="262" t="s">
        <v>581</v>
      </c>
      <c r="J104" s="112">
        <v>75</v>
      </c>
      <c r="K104" s="75">
        <v>300</v>
      </c>
      <c r="L104" s="75">
        <v>2950</v>
      </c>
      <c r="M104" s="202">
        <v>30.439724595964996</v>
      </c>
      <c r="N104" s="87">
        <v>8184.0751200000013</v>
      </c>
      <c r="O104" s="123">
        <v>84492.648550189027</v>
      </c>
      <c r="P104" s="123">
        <v>91523.321759892002</v>
      </c>
      <c r="Q104" s="120">
        <v>35394.049339320045</v>
      </c>
      <c r="R104" s="123">
        <v>119886.69788950907</v>
      </c>
      <c r="S104" s="123">
        <v>126917.37109921205</v>
      </c>
      <c r="U104" s="7" t="s">
        <v>6119</v>
      </c>
    </row>
    <row r="105" spans="1:21" ht="16.5" thickBot="1">
      <c r="A105" s="264" t="s">
        <v>10</v>
      </c>
      <c r="B105" s="265">
        <f t="shared" si="3"/>
        <v>75</v>
      </c>
      <c r="C105" s="265" t="s">
        <v>3</v>
      </c>
      <c r="D105" s="265">
        <f t="shared" si="4"/>
        <v>300</v>
      </c>
      <c r="E105" s="265" t="s">
        <v>3</v>
      </c>
      <c r="F105" s="266">
        <f t="shared" si="5"/>
        <v>3000</v>
      </c>
      <c r="G105" s="265" t="s">
        <v>3</v>
      </c>
      <c r="H105" s="267">
        <v>2</v>
      </c>
      <c r="I105" s="262" t="s">
        <v>581</v>
      </c>
      <c r="J105" s="346">
        <v>75</v>
      </c>
      <c r="K105" s="322">
        <v>300</v>
      </c>
      <c r="L105" s="322">
        <v>3000</v>
      </c>
      <c r="M105" s="305">
        <v>30.896610072232498</v>
      </c>
      <c r="N105" s="306">
        <v>8341.4611800000002</v>
      </c>
      <c r="O105" s="307">
        <v>86846.558263877203</v>
      </c>
      <c r="P105" s="307">
        <v>93913.018415569561</v>
      </c>
      <c r="Q105" s="308">
        <v>36105.036284967304</v>
      </c>
      <c r="R105" s="307">
        <v>122951.5945488445</v>
      </c>
      <c r="S105" s="307">
        <v>130018.05470053686</v>
      </c>
      <c r="U105" s="7" t="s">
        <v>6120</v>
      </c>
    </row>
    <row r="106" spans="1:21" ht="22.5" customHeight="1" thickBot="1">
      <c r="A106" s="2621" t="s">
        <v>49</v>
      </c>
      <c r="B106" s="2622"/>
      <c r="C106" s="2622"/>
      <c r="D106" s="2622"/>
      <c r="E106" s="2622"/>
      <c r="F106" s="2622"/>
      <c r="G106" s="2622"/>
      <c r="H106" s="2622"/>
      <c r="I106" s="2622"/>
      <c r="J106" s="2622"/>
      <c r="K106" s="2622"/>
      <c r="L106" s="2622"/>
      <c r="M106" s="2622"/>
      <c r="N106" s="2622"/>
      <c r="O106" s="2622"/>
      <c r="P106" s="2622"/>
      <c r="Q106" s="2622"/>
      <c r="R106" s="2622"/>
      <c r="S106" s="2623"/>
      <c r="U106" s="7"/>
    </row>
    <row r="107" spans="1:21" ht="16.5" thickBot="1">
      <c r="A107" s="2583" t="s">
        <v>135</v>
      </c>
      <c r="B107" s="2584"/>
      <c r="C107" s="2584"/>
      <c r="D107" s="2584"/>
      <c r="E107" s="2584"/>
      <c r="F107" s="2584"/>
      <c r="G107" s="2584"/>
      <c r="H107" s="2584"/>
      <c r="I107" s="2584"/>
      <c r="J107" s="2584"/>
      <c r="K107" s="2584"/>
      <c r="L107" s="2584"/>
      <c r="M107" s="2584"/>
      <c r="N107" s="2584"/>
      <c r="O107" s="2584"/>
      <c r="P107" s="2584"/>
      <c r="Q107" s="2584"/>
      <c r="R107" s="2584"/>
      <c r="S107" s="2585"/>
      <c r="U107" s="7"/>
    </row>
    <row r="108" spans="1:21" ht="16.5" thickBot="1">
      <c r="A108" s="259" t="s">
        <v>10</v>
      </c>
      <c r="B108" s="260">
        <f t="shared" ref="B108:B154" si="6">J108</f>
        <v>75</v>
      </c>
      <c r="C108" s="260" t="s">
        <v>3</v>
      </c>
      <c r="D108" s="260">
        <f t="shared" ref="D108:D154" si="7">K108</f>
        <v>360</v>
      </c>
      <c r="E108" s="260" t="s">
        <v>3</v>
      </c>
      <c r="F108" s="261">
        <f t="shared" ref="F108:F154" si="8">L108</f>
        <v>700</v>
      </c>
      <c r="G108" s="260" t="s">
        <v>3</v>
      </c>
      <c r="H108" s="260">
        <v>4</v>
      </c>
      <c r="I108" s="262" t="s">
        <v>581</v>
      </c>
      <c r="J108" s="344">
        <v>75</v>
      </c>
      <c r="K108" s="327">
        <v>360</v>
      </c>
      <c r="L108" s="327">
        <v>700</v>
      </c>
      <c r="M108" s="301">
        <v>9.3973589043234202</v>
      </c>
      <c r="N108" s="302">
        <v>1536.6787800000002</v>
      </c>
      <c r="O108" s="303">
        <v>29265.332205969436</v>
      </c>
      <c r="P108" s="303">
        <v>31614.309233964505</v>
      </c>
      <c r="Q108" s="304">
        <v>10542.143907826316</v>
      </c>
      <c r="R108" s="303">
        <v>39807.476113795754</v>
      </c>
      <c r="S108" s="303">
        <v>42156.453141790822</v>
      </c>
      <c r="U108" s="7" t="s">
        <v>6121</v>
      </c>
    </row>
    <row r="109" spans="1:21" ht="16.5" thickBot="1">
      <c r="A109" s="259" t="s">
        <v>10</v>
      </c>
      <c r="B109" s="263">
        <f t="shared" si="6"/>
        <v>75</v>
      </c>
      <c r="C109" s="263" t="s">
        <v>3</v>
      </c>
      <c r="D109" s="263">
        <f t="shared" si="7"/>
        <v>360</v>
      </c>
      <c r="E109" s="263" t="s">
        <v>3</v>
      </c>
      <c r="F109" s="261">
        <f t="shared" si="8"/>
        <v>750</v>
      </c>
      <c r="G109" s="263" t="s">
        <v>3</v>
      </c>
      <c r="H109" s="260">
        <v>4</v>
      </c>
      <c r="I109" s="262" t="s">
        <v>581</v>
      </c>
      <c r="J109" s="112">
        <v>75</v>
      </c>
      <c r="K109" s="75">
        <v>360</v>
      </c>
      <c r="L109" s="75">
        <v>750</v>
      </c>
      <c r="M109" s="202">
        <v>9.9770103912005261</v>
      </c>
      <c r="N109" s="87">
        <v>1756.2043200000005</v>
      </c>
      <c r="O109" s="123">
        <v>31057.915056559497</v>
      </c>
      <c r="P109" s="123">
        <v>33509.477626848005</v>
      </c>
      <c r="Q109" s="120">
        <v>11095.741049329239</v>
      </c>
      <c r="R109" s="123">
        <v>42153.656105888738</v>
      </c>
      <c r="S109" s="123">
        <v>44605.218676177246</v>
      </c>
      <c r="U109" s="7" t="s">
        <v>6122</v>
      </c>
    </row>
    <row r="110" spans="1:21" ht="16.5" thickBot="1">
      <c r="A110" s="259" t="s">
        <v>10</v>
      </c>
      <c r="B110" s="263">
        <f t="shared" si="6"/>
        <v>75</v>
      </c>
      <c r="C110" s="263" t="s">
        <v>3</v>
      </c>
      <c r="D110" s="263">
        <f t="shared" si="7"/>
        <v>360</v>
      </c>
      <c r="E110" s="263" t="s">
        <v>3</v>
      </c>
      <c r="F110" s="261">
        <f t="shared" si="8"/>
        <v>800</v>
      </c>
      <c r="G110" s="263" t="s">
        <v>3</v>
      </c>
      <c r="H110" s="260">
        <v>4</v>
      </c>
      <c r="I110" s="262" t="s">
        <v>581</v>
      </c>
      <c r="J110" s="112">
        <v>75</v>
      </c>
      <c r="K110" s="75">
        <v>360</v>
      </c>
      <c r="L110" s="75">
        <v>800</v>
      </c>
      <c r="M110" s="202">
        <v>10.55666187807763</v>
      </c>
      <c r="N110" s="87">
        <v>1975.7298600000006</v>
      </c>
      <c r="O110" s="123">
        <v>32851.10281301089</v>
      </c>
      <c r="P110" s="123">
        <v>35405.212380595171</v>
      </c>
      <c r="Q110" s="120">
        <v>11649.338190832164</v>
      </c>
      <c r="R110" s="123">
        <v>44500.441003843051</v>
      </c>
      <c r="S110" s="123">
        <v>47054.550571427331</v>
      </c>
      <c r="U110" s="7" t="s">
        <v>6123</v>
      </c>
    </row>
    <row r="111" spans="1:21" ht="16.5" thickBot="1">
      <c r="A111" s="259" t="s">
        <v>10</v>
      </c>
      <c r="B111" s="263">
        <f t="shared" si="6"/>
        <v>75</v>
      </c>
      <c r="C111" s="263" t="s">
        <v>3</v>
      </c>
      <c r="D111" s="263">
        <f t="shared" si="7"/>
        <v>360</v>
      </c>
      <c r="E111" s="263" t="s">
        <v>3</v>
      </c>
      <c r="F111" s="261">
        <f t="shared" si="8"/>
        <v>850</v>
      </c>
      <c r="G111" s="263" t="s">
        <v>3</v>
      </c>
      <c r="H111" s="260">
        <v>4</v>
      </c>
      <c r="I111" s="262" t="s">
        <v>581</v>
      </c>
      <c r="J111" s="112">
        <v>75</v>
      </c>
      <c r="K111" s="75">
        <v>360</v>
      </c>
      <c r="L111" s="75">
        <v>850</v>
      </c>
      <c r="M111" s="202">
        <v>11.153353364954736</v>
      </c>
      <c r="N111" s="87">
        <v>2195.2554000000005</v>
      </c>
      <c r="O111" s="123">
        <v>34644.29056946229</v>
      </c>
      <c r="P111" s="123">
        <v>37300.947134342328</v>
      </c>
      <c r="Q111" s="120">
        <v>12433.517110118366</v>
      </c>
      <c r="R111" s="123">
        <v>47077.807679580656</v>
      </c>
      <c r="S111" s="123">
        <v>49734.464244460694</v>
      </c>
      <c r="U111" s="7" t="s">
        <v>6124</v>
      </c>
    </row>
    <row r="112" spans="1:21" ht="16.5" thickBot="1">
      <c r="A112" s="259" t="s">
        <v>10</v>
      </c>
      <c r="B112" s="263">
        <f t="shared" si="6"/>
        <v>75</v>
      </c>
      <c r="C112" s="263" t="s">
        <v>3</v>
      </c>
      <c r="D112" s="263">
        <f t="shared" si="7"/>
        <v>360</v>
      </c>
      <c r="E112" s="263" t="s">
        <v>3</v>
      </c>
      <c r="F112" s="261">
        <f t="shared" si="8"/>
        <v>900</v>
      </c>
      <c r="G112" s="263" t="s">
        <v>3</v>
      </c>
      <c r="H112" s="260">
        <v>4</v>
      </c>
      <c r="I112" s="262" t="s">
        <v>581</v>
      </c>
      <c r="J112" s="112">
        <v>75</v>
      </c>
      <c r="K112" s="75">
        <v>360</v>
      </c>
      <c r="L112" s="75">
        <v>900</v>
      </c>
      <c r="M112" s="202">
        <v>11.771004851831844</v>
      </c>
      <c r="N112" s="87">
        <v>2414.780940000001</v>
      </c>
      <c r="O112" s="123">
        <v>36437.478325913682</v>
      </c>
      <c r="P112" s="123">
        <v>39196.681888089486</v>
      </c>
      <c r="Q112" s="120">
        <v>12987.114251621291</v>
      </c>
      <c r="R112" s="123">
        <v>49424.592577534975</v>
      </c>
      <c r="S112" s="123">
        <v>52183.796139710779</v>
      </c>
      <c r="U112" s="7" t="s">
        <v>6125</v>
      </c>
    </row>
    <row r="113" spans="1:21" ht="16.5" thickBot="1">
      <c r="A113" s="259" t="s">
        <v>10</v>
      </c>
      <c r="B113" s="263">
        <f t="shared" si="6"/>
        <v>75</v>
      </c>
      <c r="C113" s="263" t="s">
        <v>3</v>
      </c>
      <c r="D113" s="263">
        <f t="shared" si="7"/>
        <v>360</v>
      </c>
      <c r="E113" s="263" t="s">
        <v>3</v>
      </c>
      <c r="F113" s="261">
        <f t="shared" si="8"/>
        <v>950</v>
      </c>
      <c r="G113" s="263" t="s">
        <v>3</v>
      </c>
      <c r="H113" s="260">
        <v>4</v>
      </c>
      <c r="I113" s="262" t="s">
        <v>581</v>
      </c>
      <c r="J113" s="112">
        <v>75</v>
      </c>
      <c r="K113" s="75">
        <v>360</v>
      </c>
      <c r="L113" s="75">
        <v>950</v>
      </c>
      <c r="M113" s="202">
        <v>12.436696338708948</v>
      </c>
      <c r="N113" s="87">
        <v>2634.3064800000006</v>
      </c>
      <c r="O113" s="123">
        <v>38230.666082365082</v>
      </c>
      <c r="P113" s="123">
        <v>41092.416641836651</v>
      </c>
      <c r="Q113" s="120">
        <v>13771.293170907491</v>
      </c>
      <c r="R113" s="123">
        <v>52001.959253272573</v>
      </c>
      <c r="S113" s="123">
        <v>54863.709812744142</v>
      </c>
      <c r="U113" s="7" t="s">
        <v>6126</v>
      </c>
    </row>
    <row r="114" spans="1:21" ht="16.5" thickBot="1">
      <c r="A114" s="259" t="s">
        <v>10</v>
      </c>
      <c r="B114" s="263">
        <f t="shared" si="6"/>
        <v>75</v>
      </c>
      <c r="C114" s="263" t="s">
        <v>3</v>
      </c>
      <c r="D114" s="263">
        <f t="shared" si="7"/>
        <v>360</v>
      </c>
      <c r="E114" s="263" t="s">
        <v>3</v>
      </c>
      <c r="F114" s="261">
        <f t="shared" si="8"/>
        <v>1000</v>
      </c>
      <c r="G114" s="263" t="s">
        <v>3</v>
      </c>
      <c r="H114" s="260">
        <v>4</v>
      </c>
      <c r="I114" s="262" t="s">
        <v>581</v>
      </c>
      <c r="J114" s="112">
        <v>75</v>
      </c>
      <c r="K114" s="75">
        <v>360</v>
      </c>
      <c r="L114" s="75">
        <v>1000</v>
      </c>
      <c r="M114" s="202">
        <v>13.016347825586053</v>
      </c>
      <c r="N114" s="87">
        <v>2853.8320200000007</v>
      </c>
      <c r="O114" s="123">
        <v>39928.721681862808</v>
      </c>
      <c r="P114" s="123">
        <v>42899.079753341881</v>
      </c>
      <c r="Q114" s="120">
        <v>14324.890312410414</v>
      </c>
      <c r="R114" s="123">
        <v>54253.611994273218</v>
      </c>
      <c r="S114" s="123">
        <v>57223.970065752292</v>
      </c>
      <c r="U114" s="7" t="s">
        <v>6127</v>
      </c>
    </row>
    <row r="115" spans="1:21" ht="16.5" thickBot="1">
      <c r="A115" s="259" t="s">
        <v>10</v>
      </c>
      <c r="B115" s="263">
        <f t="shared" si="6"/>
        <v>75</v>
      </c>
      <c r="C115" s="263" t="s">
        <v>3</v>
      </c>
      <c r="D115" s="263">
        <f t="shared" si="7"/>
        <v>360</v>
      </c>
      <c r="E115" s="263" t="s">
        <v>3</v>
      </c>
      <c r="F115" s="261">
        <f t="shared" si="8"/>
        <v>1050</v>
      </c>
      <c r="G115" s="263" t="s">
        <v>3</v>
      </c>
      <c r="H115" s="260">
        <v>4</v>
      </c>
      <c r="I115" s="262" t="s">
        <v>581</v>
      </c>
      <c r="J115" s="112">
        <v>75</v>
      </c>
      <c r="K115" s="75">
        <v>360</v>
      </c>
      <c r="L115" s="75">
        <v>1050</v>
      </c>
      <c r="M115" s="202">
        <v>13.61303931246316</v>
      </c>
      <c r="N115" s="87">
        <v>3073.3575600000004</v>
      </c>
      <c r="O115" s="123">
        <v>41947.848161911221</v>
      </c>
      <c r="P115" s="123">
        <v>45006.35959774645</v>
      </c>
      <c r="Q115" s="120">
        <v>15109.069231696616</v>
      </c>
      <c r="R115" s="123">
        <v>57056.917393607837</v>
      </c>
      <c r="S115" s="123">
        <v>60115.428829443066</v>
      </c>
      <c r="U115" s="7" t="s">
        <v>6128</v>
      </c>
    </row>
    <row r="116" spans="1:21" ht="16.5" thickBot="1">
      <c r="A116" s="259" t="s">
        <v>10</v>
      </c>
      <c r="B116" s="260">
        <f t="shared" si="6"/>
        <v>75</v>
      </c>
      <c r="C116" s="260" t="s">
        <v>3</v>
      </c>
      <c r="D116" s="260">
        <f t="shared" si="7"/>
        <v>360</v>
      </c>
      <c r="E116" s="260" t="s">
        <v>3</v>
      </c>
      <c r="F116" s="261">
        <f t="shared" si="8"/>
        <v>1100</v>
      </c>
      <c r="G116" s="260" t="s">
        <v>3</v>
      </c>
      <c r="H116" s="260">
        <v>4</v>
      </c>
      <c r="I116" s="262" t="s">
        <v>581</v>
      </c>
      <c r="J116" s="112">
        <v>75</v>
      </c>
      <c r="K116" s="75">
        <v>360</v>
      </c>
      <c r="L116" s="75">
        <v>1100</v>
      </c>
      <c r="M116" s="202">
        <v>14.192690799340262</v>
      </c>
      <c r="N116" s="87">
        <v>3292.8831000000009</v>
      </c>
      <c r="O116" s="123">
        <v>43741.035918362613</v>
      </c>
      <c r="P116" s="123">
        <v>46902.094232159252</v>
      </c>
      <c r="Q116" s="120">
        <v>15662.66637319954</v>
      </c>
      <c r="R116" s="123">
        <v>59403.702291562149</v>
      </c>
      <c r="S116" s="123">
        <v>62564.760605358795</v>
      </c>
      <c r="U116" s="7" t="s">
        <v>6129</v>
      </c>
    </row>
    <row r="117" spans="1:21" ht="16.5" thickBot="1">
      <c r="A117" s="259" t="s">
        <v>10</v>
      </c>
      <c r="B117" s="263">
        <f t="shared" si="6"/>
        <v>75</v>
      </c>
      <c r="C117" s="263" t="s">
        <v>3</v>
      </c>
      <c r="D117" s="263">
        <f t="shared" si="7"/>
        <v>360</v>
      </c>
      <c r="E117" s="263" t="s">
        <v>3</v>
      </c>
      <c r="F117" s="261">
        <f t="shared" si="8"/>
        <v>1150</v>
      </c>
      <c r="G117" s="263" t="s">
        <v>3</v>
      </c>
      <c r="H117" s="260">
        <v>4</v>
      </c>
      <c r="I117" s="262" t="s">
        <v>581</v>
      </c>
      <c r="J117" s="112">
        <v>75</v>
      </c>
      <c r="K117" s="75">
        <v>360</v>
      </c>
      <c r="L117" s="75">
        <v>1150</v>
      </c>
      <c r="M117" s="202">
        <v>14.772342286217368</v>
      </c>
      <c r="N117" s="87">
        <v>3512.408640000001</v>
      </c>
      <c r="O117" s="123">
        <v>44778.881102926549</v>
      </c>
      <c r="P117" s="123">
        <v>48090.606203917494</v>
      </c>
      <c r="Q117" s="120">
        <v>16216.263514702467</v>
      </c>
      <c r="R117" s="123">
        <v>60995.144617629019</v>
      </c>
      <c r="S117" s="123">
        <v>64306.869718619957</v>
      </c>
      <c r="U117" s="7" t="s">
        <v>6130</v>
      </c>
    </row>
    <row r="118" spans="1:21" ht="16.5" thickBot="1">
      <c r="A118" s="259" t="s">
        <v>10</v>
      </c>
      <c r="B118" s="263">
        <f t="shared" si="6"/>
        <v>75</v>
      </c>
      <c r="C118" s="263" t="s">
        <v>3</v>
      </c>
      <c r="D118" s="263">
        <f t="shared" si="7"/>
        <v>360</v>
      </c>
      <c r="E118" s="263" t="s">
        <v>3</v>
      </c>
      <c r="F118" s="261">
        <f t="shared" si="8"/>
        <v>1200</v>
      </c>
      <c r="G118" s="263" t="s">
        <v>3</v>
      </c>
      <c r="H118" s="260">
        <v>4</v>
      </c>
      <c r="I118" s="262" t="s">
        <v>581</v>
      </c>
      <c r="J118" s="112">
        <v>75</v>
      </c>
      <c r="K118" s="75">
        <v>360</v>
      </c>
      <c r="L118" s="75">
        <v>1200</v>
      </c>
      <c r="M118" s="202">
        <v>15.623533773094472</v>
      </c>
      <c r="N118" s="87">
        <v>3731.9341800000007</v>
      </c>
      <c r="O118" s="123">
        <v>45876.110405455511</v>
      </c>
      <c r="P118" s="123">
        <v>49334.719036485119</v>
      </c>
      <c r="Q118" s="120">
        <v>17000.442574382028</v>
      </c>
      <c r="R118" s="123">
        <v>62876.552979837536</v>
      </c>
      <c r="S118" s="123">
        <v>66335.161610867144</v>
      </c>
      <c r="U118" s="7" t="s">
        <v>6131</v>
      </c>
    </row>
    <row r="119" spans="1:21" ht="16.5" thickBot="1">
      <c r="A119" s="259" t="s">
        <v>10</v>
      </c>
      <c r="B119" s="263">
        <f t="shared" si="6"/>
        <v>75</v>
      </c>
      <c r="C119" s="263" t="s">
        <v>3</v>
      </c>
      <c r="D119" s="263">
        <f t="shared" si="7"/>
        <v>360</v>
      </c>
      <c r="E119" s="263" t="s">
        <v>3</v>
      </c>
      <c r="F119" s="261">
        <f t="shared" si="8"/>
        <v>1250</v>
      </c>
      <c r="G119" s="263" t="s">
        <v>3</v>
      </c>
      <c r="H119" s="260">
        <v>4</v>
      </c>
      <c r="I119" s="262" t="s">
        <v>581</v>
      </c>
      <c r="J119" s="112">
        <v>75</v>
      </c>
      <c r="K119" s="75">
        <v>360</v>
      </c>
      <c r="L119" s="75">
        <v>1250</v>
      </c>
      <c r="M119" s="202">
        <v>16.20318525997158</v>
      </c>
      <c r="N119" s="87">
        <v>3951.4597200000012</v>
      </c>
      <c r="O119" s="123">
        <v>46913.4746725562</v>
      </c>
      <c r="P119" s="123">
        <v>50522.780521041423</v>
      </c>
      <c r="Q119" s="120">
        <v>17554.039715884952</v>
      </c>
      <c r="R119" s="123">
        <v>64467.514388441152</v>
      </c>
      <c r="S119" s="123">
        <v>68076.820236926374</v>
      </c>
      <c r="U119" s="7" t="s">
        <v>6132</v>
      </c>
    </row>
    <row r="120" spans="1:21" ht="16.5" thickBot="1">
      <c r="A120" s="259" t="s">
        <v>10</v>
      </c>
      <c r="B120" s="263">
        <f t="shared" si="6"/>
        <v>75</v>
      </c>
      <c r="C120" s="263" t="s">
        <v>3</v>
      </c>
      <c r="D120" s="263">
        <f t="shared" si="7"/>
        <v>360</v>
      </c>
      <c r="E120" s="263" t="s">
        <v>3</v>
      </c>
      <c r="F120" s="261">
        <f t="shared" si="8"/>
        <v>1300</v>
      </c>
      <c r="G120" s="263" t="s">
        <v>3</v>
      </c>
      <c r="H120" s="260">
        <v>4</v>
      </c>
      <c r="I120" s="262" t="s">
        <v>581</v>
      </c>
      <c r="J120" s="112">
        <v>75</v>
      </c>
      <c r="K120" s="75">
        <v>360</v>
      </c>
      <c r="L120" s="75">
        <v>1300</v>
      </c>
      <c r="M120" s="202">
        <v>16.861876746848687</v>
      </c>
      <c r="N120" s="87">
        <v>4170.9852600000004</v>
      </c>
      <c r="O120" s="123">
        <v>50403.222410994938</v>
      </c>
      <c r="P120" s="123">
        <v>54006.99460595956</v>
      </c>
      <c r="Q120" s="120">
        <v>18338.218635171153</v>
      </c>
      <c r="R120" s="123">
        <v>68741.441046166088</v>
      </c>
      <c r="S120" s="123">
        <v>72345.21324113071</v>
      </c>
      <c r="U120" s="7" t="s">
        <v>6133</v>
      </c>
    </row>
    <row r="121" spans="1:21" ht="16.5" thickBot="1">
      <c r="A121" s="259" t="s">
        <v>10</v>
      </c>
      <c r="B121" s="263">
        <f t="shared" si="6"/>
        <v>75</v>
      </c>
      <c r="C121" s="263" t="s">
        <v>3</v>
      </c>
      <c r="D121" s="263">
        <f t="shared" si="7"/>
        <v>360</v>
      </c>
      <c r="E121" s="263" t="s">
        <v>3</v>
      </c>
      <c r="F121" s="261">
        <f t="shared" si="8"/>
        <v>1350</v>
      </c>
      <c r="G121" s="263" t="s">
        <v>3</v>
      </c>
      <c r="H121" s="260">
        <v>4</v>
      </c>
      <c r="I121" s="262" t="s">
        <v>581</v>
      </c>
      <c r="J121" s="112">
        <v>75</v>
      </c>
      <c r="K121" s="75">
        <v>360</v>
      </c>
      <c r="L121" s="75">
        <v>1350</v>
      </c>
      <c r="M121" s="202">
        <v>17.441528233725791</v>
      </c>
      <c r="N121" s="87">
        <v>4390.5108000000009</v>
      </c>
      <c r="O121" s="123">
        <v>51690.283082379967</v>
      </c>
      <c r="P121" s="123">
        <v>55428.845463530852</v>
      </c>
      <c r="Q121" s="120">
        <v>18891.815776674081</v>
      </c>
      <c r="R121" s="123">
        <v>70582.098859054051</v>
      </c>
      <c r="S121" s="123">
        <v>74320.661240204936</v>
      </c>
      <c r="U121" s="7" t="s">
        <v>6134</v>
      </c>
    </row>
    <row r="122" spans="1:21" ht="16.5" thickBot="1">
      <c r="A122" s="259" t="s">
        <v>10</v>
      </c>
      <c r="B122" s="263">
        <f t="shared" si="6"/>
        <v>75</v>
      </c>
      <c r="C122" s="263" t="s">
        <v>3</v>
      </c>
      <c r="D122" s="263">
        <f t="shared" si="7"/>
        <v>360</v>
      </c>
      <c r="E122" s="263" t="s">
        <v>3</v>
      </c>
      <c r="F122" s="261">
        <f t="shared" si="8"/>
        <v>1400</v>
      </c>
      <c r="G122" s="263" t="s">
        <v>3</v>
      </c>
      <c r="H122" s="260">
        <v>4</v>
      </c>
      <c r="I122" s="262" t="s">
        <v>581</v>
      </c>
      <c r="J122" s="112">
        <v>75</v>
      </c>
      <c r="K122" s="75">
        <v>360</v>
      </c>
      <c r="L122" s="75">
        <v>1400</v>
      </c>
      <c r="M122" s="202">
        <v>18.038219720602893</v>
      </c>
      <c r="N122" s="87">
        <v>4610.0363400000015</v>
      </c>
      <c r="O122" s="123">
        <v>53304.360230040424</v>
      </c>
      <c r="P122" s="123">
        <v>57156.880001808029</v>
      </c>
      <c r="Q122" s="120">
        <v>19675.994695960278</v>
      </c>
      <c r="R122" s="123">
        <v>72980.354926000698</v>
      </c>
      <c r="S122" s="123">
        <v>76832.874697768304</v>
      </c>
      <c r="U122" s="7" t="s">
        <v>6135</v>
      </c>
    </row>
    <row r="123" spans="1:21" ht="16.5" thickBot="1">
      <c r="A123" s="259" t="s">
        <v>10</v>
      </c>
      <c r="B123" s="263">
        <f t="shared" si="6"/>
        <v>75</v>
      </c>
      <c r="C123" s="263" t="s">
        <v>3</v>
      </c>
      <c r="D123" s="263">
        <f t="shared" si="7"/>
        <v>360</v>
      </c>
      <c r="E123" s="263" t="s">
        <v>3</v>
      </c>
      <c r="F123" s="261">
        <f t="shared" si="8"/>
        <v>1450</v>
      </c>
      <c r="G123" s="263" t="s">
        <v>3</v>
      </c>
      <c r="H123" s="260">
        <v>4</v>
      </c>
      <c r="I123" s="262" t="s">
        <v>581</v>
      </c>
      <c r="J123" s="112">
        <v>75</v>
      </c>
      <c r="K123" s="75">
        <v>360</v>
      </c>
      <c r="L123" s="75">
        <v>1450</v>
      </c>
      <c r="M123" s="202">
        <v>18.61787120748</v>
      </c>
      <c r="N123" s="87">
        <v>4829.561880000002</v>
      </c>
      <c r="O123" s="123">
        <v>54591.420782091198</v>
      </c>
      <c r="P123" s="123">
        <v>58578.730859379328</v>
      </c>
      <c r="Q123" s="120">
        <v>20229.591837463206</v>
      </c>
      <c r="R123" s="123">
        <v>74821.0126195544</v>
      </c>
      <c r="S123" s="123">
        <v>78808.32269684253</v>
      </c>
      <c r="U123" s="7" t="s">
        <v>6136</v>
      </c>
    </row>
    <row r="124" spans="1:21" ht="16.5" thickBot="1">
      <c r="A124" s="259" t="s">
        <v>10</v>
      </c>
      <c r="B124" s="263">
        <f t="shared" si="6"/>
        <v>75</v>
      </c>
      <c r="C124" s="263" t="s">
        <v>3</v>
      </c>
      <c r="D124" s="263">
        <f t="shared" si="7"/>
        <v>360</v>
      </c>
      <c r="E124" s="263" t="s">
        <v>3</v>
      </c>
      <c r="F124" s="261">
        <f t="shared" si="8"/>
        <v>1500</v>
      </c>
      <c r="G124" s="263" t="s">
        <v>3</v>
      </c>
      <c r="H124" s="260">
        <v>4</v>
      </c>
      <c r="I124" s="262" t="s">
        <v>581</v>
      </c>
      <c r="J124" s="112">
        <v>75</v>
      </c>
      <c r="K124" s="75">
        <v>360</v>
      </c>
      <c r="L124" s="75">
        <v>1500</v>
      </c>
      <c r="M124" s="202">
        <v>19.833328643157106</v>
      </c>
      <c r="N124" s="87">
        <v>5049.0874200000007</v>
      </c>
      <c r="O124" s="123">
        <v>56442.148821340234</v>
      </c>
      <c r="P124" s="123">
        <v>60686.098891874557</v>
      </c>
      <c r="Q124" s="120">
        <v>21013.770756749404</v>
      </c>
      <c r="R124" s="123">
        <v>77455.919578089641</v>
      </c>
      <c r="S124" s="123">
        <v>81699.869648623964</v>
      </c>
      <c r="U124" s="7" t="s">
        <v>6137</v>
      </c>
    </row>
    <row r="125" spans="1:21" ht="16.5" thickBot="1">
      <c r="A125" s="259" t="s">
        <v>10</v>
      </c>
      <c r="B125" s="263">
        <f t="shared" si="6"/>
        <v>75</v>
      </c>
      <c r="C125" s="263" t="s">
        <v>3</v>
      </c>
      <c r="D125" s="263">
        <f t="shared" si="7"/>
        <v>360</v>
      </c>
      <c r="E125" s="263" t="s">
        <v>3</v>
      </c>
      <c r="F125" s="261">
        <f t="shared" si="8"/>
        <v>1550</v>
      </c>
      <c r="G125" s="263" t="s">
        <v>3</v>
      </c>
      <c r="H125" s="260">
        <v>4</v>
      </c>
      <c r="I125" s="262" t="s">
        <v>581</v>
      </c>
      <c r="J125" s="112">
        <v>75</v>
      </c>
      <c r="K125" s="75">
        <v>360</v>
      </c>
      <c r="L125" s="75">
        <v>1550</v>
      </c>
      <c r="M125" s="202">
        <v>20.481980130034209</v>
      </c>
      <c r="N125" s="87">
        <v>5268.6129600000013</v>
      </c>
      <c r="O125" s="123">
        <v>57729.209492725255</v>
      </c>
      <c r="P125" s="123">
        <v>62107.949749445856</v>
      </c>
      <c r="Q125" s="120">
        <v>21567.367898252327</v>
      </c>
      <c r="R125" s="123">
        <v>79296.577390977589</v>
      </c>
      <c r="S125" s="123">
        <v>83675.31764769819</v>
      </c>
      <c r="U125" s="7" t="s">
        <v>6138</v>
      </c>
    </row>
    <row r="126" spans="1:21" ht="16.5" thickBot="1">
      <c r="A126" s="259" t="s">
        <v>10</v>
      </c>
      <c r="B126" s="260">
        <f t="shared" si="6"/>
        <v>75</v>
      </c>
      <c r="C126" s="260" t="s">
        <v>3</v>
      </c>
      <c r="D126" s="260">
        <f t="shared" si="7"/>
        <v>360</v>
      </c>
      <c r="E126" s="260" t="s">
        <v>3</v>
      </c>
      <c r="F126" s="261">
        <f t="shared" si="8"/>
        <v>1600</v>
      </c>
      <c r="G126" s="260" t="s">
        <v>3</v>
      </c>
      <c r="H126" s="260">
        <v>4</v>
      </c>
      <c r="I126" s="262" t="s">
        <v>581</v>
      </c>
      <c r="J126" s="112">
        <v>75</v>
      </c>
      <c r="K126" s="75">
        <v>360</v>
      </c>
      <c r="L126" s="75">
        <v>1600</v>
      </c>
      <c r="M126" s="202">
        <v>21.061631616911317</v>
      </c>
      <c r="N126" s="87">
        <v>5488.1385000000009</v>
      </c>
      <c r="O126" s="123">
        <v>60962.311509868618</v>
      </c>
      <c r="P126" s="123">
        <v>65351.867874806587</v>
      </c>
      <c r="Q126" s="120">
        <v>22120.965039755254</v>
      </c>
      <c r="R126" s="123">
        <v>83083.276549623872</v>
      </c>
      <c r="S126" s="123">
        <v>87472.832914561848</v>
      </c>
      <c r="U126" s="7" t="s">
        <v>6139</v>
      </c>
    </row>
    <row r="127" spans="1:21" ht="16.5" thickBot="1">
      <c r="A127" s="259" t="s">
        <v>10</v>
      </c>
      <c r="B127" s="263">
        <f t="shared" si="6"/>
        <v>75</v>
      </c>
      <c r="C127" s="263" t="s">
        <v>3</v>
      </c>
      <c r="D127" s="263">
        <f t="shared" si="7"/>
        <v>360</v>
      </c>
      <c r="E127" s="263" t="s">
        <v>3</v>
      </c>
      <c r="F127" s="261">
        <f t="shared" si="8"/>
        <v>1650</v>
      </c>
      <c r="G127" s="263" t="s">
        <v>3</v>
      </c>
      <c r="H127" s="260">
        <v>4</v>
      </c>
      <c r="I127" s="262" t="s">
        <v>581</v>
      </c>
      <c r="J127" s="112">
        <v>75</v>
      </c>
      <c r="K127" s="75">
        <v>360</v>
      </c>
      <c r="L127" s="75">
        <v>1650</v>
      </c>
      <c r="M127" s="202">
        <v>21.696323103788423</v>
      </c>
      <c r="N127" s="87">
        <v>5707.6640400000015</v>
      </c>
      <c r="O127" s="123">
        <v>64447.673591311905</v>
      </c>
      <c r="P127" s="123">
        <v>68831.975783795991</v>
      </c>
      <c r="Q127" s="120">
        <v>22905.143959041456</v>
      </c>
      <c r="R127" s="123">
        <v>87352.817550353357</v>
      </c>
      <c r="S127" s="123">
        <v>91737.119742837443</v>
      </c>
      <c r="U127" s="7" t="s">
        <v>6140</v>
      </c>
    </row>
    <row r="128" spans="1:21" ht="16.5" thickBot="1">
      <c r="A128" s="259" t="s">
        <v>10</v>
      </c>
      <c r="B128" s="263">
        <f t="shared" si="6"/>
        <v>75</v>
      </c>
      <c r="C128" s="263" t="s">
        <v>3</v>
      </c>
      <c r="D128" s="263">
        <f t="shared" si="7"/>
        <v>360</v>
      </c>
      <c r="E128" s="263" t="s">
        <v>3</v>
      </c>
      <c r="F128" s="261">
        <f t="shared" si="8"/>
        <v>1700</v>
      </c>
      <c r="G128" s="263" t="s">
        <v>3</v>
      </c>
      <c r="H128" s="260">
        <v>4</v>
      </c>
      <c r="I128" s="262" t="s">
        <v>581</v>
      </c>
      <c r="J128" s="112">
        <v>75</v>
      </c>
      <c r="K128" s="75">
        <v>360</v>
      </c>
      <c r="L128" s="75">
        <v>1700</v>
      </c>
      <c r="M128" s="202">
        <v>22.27597459066553</v>
      </c>
      <c r="N128" s="87">
        <v>5927.189580000002</v>
      </c>
      <c r="O128" s="123">
        <v>65529.586806312953</v>
      </c>
      <c r="P128" s="123">
        <v>70061.748325882101</v>
      </c>
      <c r="Q128" s="120">
        <v>23458.741100544379</v>
      </c>
      <c r="R128" s="123">
        <v>88988.327906857332</v>
      </c>
      <c r="S128" s="123">
        <v>93520.489426426473</v>
      </c>
      <c r="U128" s="7" t="s">
        <v>6141</v>
      </c>
    </row>
    <row r="129" spans="1:21" ht="16.5" thickBot="1">
      <c r="A129" s="259" t="s">
        <v>10</v>
      </c>
      <c r="B129" s="263">
        <f t="shared" si="6"/>
        <v>75</v>
      </c>
      <c r="C129" s="263" t="s">
        <v>3</v>
      </c>
      <c r="D129" s="263">
        <f t="shared" si="7"/>
        <v>360</v>
      </c>
      <c r="E129" s="263" t="s">
        <v>3</v>
      </c>
      <c r="F129" s="261">
        <f t="shared" si="8"/>
        <v>1750</v>
      </c>
      <c r="G129" s="263" t="s">
        <v>3</v>
      </c>
      <c r="H129" s="260">
        <v>4</v>
      </c>
      <c r="I129" s="262" t="s">
        <v>581</v>
      </c>
      <c r="J129" s="112">
        <v>75</v>
      </c>
      <c r="K129" s="75">
        <v>360</v>
      </c>
      <c r="L129" s="75">
        <v>1750</v>
      </c>
      <c r="M129" s="202">
        <v>22.872666077542629</v>
      </c>
      <c r="N129" s="87">
        <v>6146.7151200000008</v>
      </c>
      <c r="O129" s="123">
        <v>66535.34620400476</v>
      </c>
      <c r="P129" s="123">
        <v>71220.218469654152</v>
      </c>
      <c r="Q129" s="120">
        <v>24242.920019830581</v>
      </c>
      <c r="R129" s="123">
        <v>90778.266223835337</v>
      </c>
      <c r="S129" s="123">
        <v>95463.138489484729</v>
      </c>
      <c r="U129" s="7" t="s">
        <v>6142</v>
      </c>
    </row>
    <row r="130" spans="1:21" ht="16.5" thickBot="1">
      <c r="A130" s="259" t="s">
        <v>10</v>
      </c>
      <c r="B130" s="263">
        <f t="shared" si="6"/>
        <v>75</v>
      </c>
      <c r="C130" s="263" t="s">
        <v>3</v>
      </c>
      <c r="D130" s="263">
        <f t="shared" si="7"/>
        <v>360</v>
      </c>
      <c r="E130" s="263" t="s">
        <v>3</v>
      </c>
      <c r="F130" s="261">
        <f t="shared" si="8"/>
        <v>1800</v>
      </c>
      <c r="G130" s="263" t="s">
        <v>3</v>
      </c>
      <c r="H130" s="260">
        <v>4</v>
      </c>
      <c r="I130" s="262" t="s">
        <v>581</v>
      </c>
      <c r="J130" s="112">
        <v>75</v>
      </c>
      <c r="K130" s="75">
        <v>360</v>
      </c>
      <c r="L130" s="75">
        <v>1800</v>
      </c>
      <c r="M130" s="202">
        <v>23.521317564419736</v>
      </c>
      <c r="N130" s="87">
        <v>6366.2406600000013</v>
      </c>
      <c r="O130" s="123">
        <v>67617.955973654185</v>
      </c>
      <c r="P130" s="123">
        <v>72450.643054673041</v>
      </c>
      <c r="Q130" s="120">
        <v>24796.517161333504</v>
      </c>
      <c r="R130" s="123">
        <v>92414.473134987697</v>
      </c>
      <c r="S130" s="123">
        <v>97247.160216006538</v>
      </c>
      <c r="U130" s="7" t="s">
        <v>6143</v>
      </c>
    </row>
    <row r="131" spans="1:21" ht="16.5" thickBot="1">
      <c r="A131" s="259" t="s">
        <v>10</v>
      </c>
      <c r="B131" s="263">
        <f t="shared" si="6"/>
        <v>75</v>
      </c>
      <c r="C131" s="263" t="s">
        <v>3</v>
      </c>
      <c r="D131" s="263">
        <f t="shared" si="7"/>
        <v>360</v>
      </c>
      <c r="E131" s="263" t="s">
        <v>3</v>
      </c>
      <c r="F131" s="261">
        <f t="shared" si="8"/>
        <v>1850</v>
      </c>
      <c r="G131" s="263" t="s">
        <v>3</v>
      </c>
      <c r="H131" s="260">
        <v>4</v>
      </c>
      <c r="I131" s="262" t="s">
        <v>581</v>
      </c>
      <c r="J131" s="112">
        <v>75</v>
      </c>
      <c r="K131" s="75">
        <v>360</v>
      </c>
      <c r="L131" s="75">
        <v>1850</v>
      </c>
      <c r="M131" s="202">
        <v>24.18000905129685</v>
      </c>
      <c r="N131" s="87">
        <v>6585.7662000000018</v>
      </c>
      <c r="O131" s="123">
        <v>68700.517651557282</v>
      </c>
      <c r="P131" s="123">
        <v>73681.022769973293</v>
      </c>
      <c r="Q131" s="120">
        <v>25580.69622101307</v>
      </c>
      <c r="R131" s="123">
        <v>94281.213872570355</v>
      </c>
      <c r="S131" s="123">
        <v>99261.718990986366</v>
      </c>
      <c r="U131" s="7" t="s">
        <v>6144</v>
      </c>
    </row>
    <row r="132" spans="1:21" ht="16.5" thickBot="1">
      <c r="A132" s="259" t="s">
        <v>10</v>
      </c>
      <c r="B132" s="263">
        <f t="shared" si="6"/>
        <v>75</v>
      </c>
      <c r="C132" s="263" t="s">
        <v>3</v>
      </c>
      <c r="D132" s="263">
        <f t="shared" si="7"/>
        <v>360</v>
      </c>
      <c r="E132" s="263" t="s">
        <v>3</v>
      </c>
      <c r="F132" s="261">
        <f t="shared" si="8"/>
        <v>1900</v>
      </c>
      <c r="G132" s="263" t="s">
        <v>3</v>
      </c>
      <c r="H132" s="260">
        <v>4</v>
      </c>
      <c r="I132" s="262" t="s">
        <v>581</v>
      </c>
      <c r="J132" s="112">
        <v>75</v>
      </c>
      <c r="K132" s="75">
        <v>360</v>
      </c>
      <c r="L132" s="75">
        <v>1900</v>
      </c>
      <c r="M132" s="202">
        <v>24.75966053817395</v>
      </c>
      <c r="N132" s="87">
        <v>6805.2917400000015</v>
      </c>
      <c r="O132" s="123">
        <v>69958.133763418547</v>
      </c>
      <c r="P132" s="123">
        <v>75075.304765461842</v>
      </c>
      <c r="Q132" s="120">
        <v>26134.293362515993</v>
      </c>
      <c r="R132" s="123">
        <v>96092.427125934541</v>
      </c>
      <c r="S132" s="123">
        <v>101209.59812797784</v>
      </c>
      <c r="U132" s="7" t="s">
        <v>6145</v>
      </c>
    </row>
    <row r="133" spans="1:21" ht="16.5" thickBot="1">
      <c r="A133" s="259" t="s">
        <v>10</v>
      </c>
      <c r="B133" s="263">
        <f t="shared" si="6"/>
        <v>75</v>
      </c>
      <c r="C133" s="263" t="s">
        <v>3</v>
      </c>
      <c r="D133" s="263">
        <f t="shared" si="7"/>
        <v>360</v>
      </c>
      <c r="E133" s="263" t="s">
        <v>3</v>
      </c>
      <c r="F133" s="261">
        <f t="shared" si="8"/>
        <v>1950</v>
      </c>
      <c r="G133" s="263" t="s">
        <v>3</v>
      </c>
      <c r="H133" s="260">
        <v>4</v>
      </c>
      <c r="I133" s="262" t="s">
        <v>581</v>
      </c>
      <c r="J133" s="112">
        <v>75</v>
      </c>
      <c r="K133" s="75">
        <v>360</v>
      </c>
      <c r="L133" s="75">
        <v>1950</v>
      </c>
      <c r="M133" s="202">
        <v>25.531812025051053</v>
      </c>
      <c r="N133" s="87">
        <v>7024.817280000002</v>
      </c>
      <c r="O133" s="123">
        <v>71399.196139970023</v>
      </c>
      <c r="P133" s="123">
        <v>76641.346611949426</v>
      </c>
      <c r="Q133" s="120">
        <v>26687.890504018917</v>
      </c>
      <c r="R133" s="123">
        <v>98087.086643988936</v>
      </c>
      <c r="S133" s="123">
        <v>103329.23711596834</v>
      </c>
      <c r="U133" s="7" t="s">
        <v>6146</v>
      </c>
    </row>
    <row r="134" spans="1:21" ht="16.5" thickBot="1">
      <c r="A134" s="259" t="s">
        <v>10</v>
      </c>
      <c r="B134" s="263">
        <f t="shared" si="6"/>
        <v>75</v>
      </c>
      <c r="C134" s="263" t="s">
        <v>3</v>
      </c>
      <c r="D134" s="263">
        <f t="shared" si="7"/>
        <v>360</v>
      </c>
      <c r="E134" s="263" t="s">
        <v>3</v>
      </c>
      <c r="F134" s="261">
        <f t="shared" si="8"/>
        <v>2000</v>
      </c>
      <c r="G134" s="263" t="s">
        <v>3</v>
      </c>
      <c r="H134" s="260">
        <v>4</v>
      </c>
      <c r="I134" s="262" t="s">
        <v>581</v>
      </c>
      <c r="J134" s="112">
        <v>75</v>
      </c>
      <c r="K134" s="75">
        <v>360</v>
      </c>
      <c r="L134" s="75">
        <v>2000</v>
      </c>
      <c r="M134" s="202">
        <v>26.22006591192816</v>
      </c>
      <c r="N134" s="87">
        <v>7244.3428200000017</v>
      </c>
      <c r="O134" s="123">
        <v>72688.039785999805</v>
      </c>
      <c r="P134" s="123">
        <v>78255.123872368029</v>
      </c>
      <c r="Q134" s="120">
        <v>27472.069423305118</v>
      </c>
      <c r="R134" s="123">
        <v>100160.10920930492</v>
      </c>
      <c r="S134" s="123">
        <v>105727.19329567315</v>
      </c>
      <c r="U134" s="7" t="s">
        <v>6147</v>
      </c>
    </row>
    <row r="135" spans="1:21" ht="16.5" thickBot="1">
      <c r="A135" s="259" t="s">
        <v>10</v>
      </c>
      <c r="B135" s="263">
        <f t="shared" si="6"/>
        <v>75</v>
      </c>
      <c r="C135" s="263" t="s">
        <v>3</v>
      </c>
      <c r="D135" s="263">
        <f t="shared" si="7"/>
        <v>360</v>
      </c>
      <c r="E135" s="263" t="s">
        <v>3</v>
      </c>
      <c r="F135" s="261">
        <f t="shared" si="8"/>
        <v>2050</v>
      </c>
      <c r="G135" s="263" t="s">
        <v>3</v>
      </c>
      <c r="H135" s="260">
        <v>4</v>
      </c>
      <c r="I135" s="262" t="s">
        <v>581</v>
      </c>
      <c r="J135" s="112">
        <v>75</v>
      </c>
      <c r="K135" s="75">
        <v>360</v>
      </c>
      <c r="L135" s="75">
        <v>2050</v>
      </c>
      <c r="M135" s="202">
        <v>26.799717398805271</v>
      </c>
      <c r="N135" s="87">
        <v>7463.8683600000013</v>
      </c>
      <c r="O135" s="123">
        <v>75914.571611387859</v>
      </c>
      <c r="P135" s="123">
        <v>81492.89055023613</v>
      </c>
      <c r="Q135" s="120">
        <v>28025.666564808042</v>
      </c>
      <c r="R135" s="123">
        <v>103940.2381761959</v>
      </c>
      <c r="S135" s="123">
        <v>109518.55711504417</v>
      </c>
      <c r="U135" s="7" t="s">
        <v>6148</v>
      </c>
    </row>
    <row r="136" spans="1:21" ht="16.5" thickBot="1">
      <c r="A136" s="259" t="s">
        <v>10</v>
      </c>
      <c r="B136" s="260">
        <f t="shared" si="6"/>
        <v>75</v>
      </c>
      <c r="C136" s="260" t="s">
        <v>3</v>
      </c>
      <c r="D136" s="260">
        <f t="shared" si="7"/>
        <v>360</v>
      </c>
      <c r="E136" s="260" t="s">
        <v>3</v>
      </c>
      <c r="F136" s="261">
        <f t="shared" si="8"/>
        <v>2100</v>
      </c>
      <c r="G136" s="260" t="s">
        <v>3</v>
      </c>
      <c r="H136" s="260">
        <v>4</v>
      </c>
      <c r="I136" s="262" t="s">
        <v>581</v>
      </c>
      <c r="J136" s="112">
        <v>75</v>
      </c>
      <c r="K136" s="75">
        <v>360</v>
      </c>
      <c r="L136" s="75">
        <v>2100</v>
      </c>
      <c r="M136" s="202">
        <v>27.396408885682369</v>
      </c>
      <c r="N136" s="87">
        <v>7683.3939000000009</v>
      </c>
      <c r="O136" s="123">
        <v>77059.063167117885</v>
      </c>
      <c r="P136" s="123">
        <v>82781.254710814959</v>
      </c>
      <c r="Q136" s="120">
        <v>28809.845484094247</v>
      </c>
      <c r="R136" s="123">
        <v>105868.90865121213</v>
      </c>
      <c r="S136" s="123">
        <v>111591.1001949092</v>
      </c>
      <c r="U136" s="7" t="s">
        <v>6149</v>
      </c>
    </row>
    <row r="137" spans="1:21" ht="16.5" thickBot="1">
      <c r="A137" s="259" t="s">
        <v>10</v>
      </c>
      <c r="B137" s="263">
        <f t="shared" si="6"/>
        <v>75</v>
      </c>
      <c r="C137" s="263" t="s">
        <v>3</v>
      </c>
      <c r="D137" s="263">
        <f t="shared" si="7"/>
        <v>360</v>
      </c>
      <c r="E137" s="263" t="s">
        <v>3</v>
      </c>
      <c r="F137" s="261">
        <f t="shared" si="8"/>
        <v>2150</v>
      </c>
      <c r="G137" s="263" t="s">
        <v>3</v>
      </c>
      <c r="H137" s="260">
        <v>4</v>
      </c>
      <c r="I137" s="262" t="s">
        <v>581</v>
      </c>
      <c r="J137" s="112">
        <v>75</v>
      </c>
      <c r="K137" s="75">
        <v>360</v>
      </c>
      <c r="L137" s="75">
        <v>2150</v>
      </c>
      <c r="M137" s="202">
        <v>28.100060372559476</v>
      </c>
      <c r="N137" s="87">
        <v>7902.9194400000024</v>
      </c>
      <c r="O137" s="123">
        <v>78351.17203985466</v>
      </c>
      <c r="P137" s="123">
        <v>84207.832282977222</v>
      </c>
      <c r="Q137" s="120">
        <v>29363.442625597167</v>
      </c>
      <c r="R137" s="123">
        <v>107714.61466545182</v>
      </c>
      <c r="S137" s="123">
        <v>113571.27490857439</v>
      </c>
      <c r="U137" s="7" t="s">
        <v>6150</v>
      </c>
    </row>
    <row r="138" spans="1:21" ht="16.5" thickBot="1">
      <c r="A138" s="259" t="s">
        <v>10</v>
      </c>
      <c r="B138" s="263">
        <f t="shared" si="6"/>
        <v>75</v>
      </c>
      <c r="C138" s="263" t="s">
        <v>3</v>
      </c>
      <c r="D138" s="263">
        <f t="shared" si="7"/>
        <v>360</v>
      </c>
      <c r="E138" s="263" t="s">
        <v>3</v>
      </c>
      <c r="F138" s="261">
        <f t="shared" si="8"/>
        <v>2200</v>
      </c>
      <c r="G138" s="263" t="s">
        <v>3</v>
      </c>
      <c r="H138" s="260">
        <v>4</v>
      </c>
      <c r="I138" s="262" t="s">
        <v>581</v>
      </c>
      <c r="J138" s="112">
        <v>75</v>
      </c>
      <c r="K138" s="75">
        <v>360</v>
      </c>
      <c r="L138" s="75">
        <v>2200</v>
      </c>
      <c r="M138" s="202">
        <v>28.696751859436581</v>
      </c>
      <c r="N138" s="87">
        <v>8122.444980000002</v>
      </c>
      <c r="O138" s="123">
        <v>79643.232820845122</v>
      </c>
      <c r="P138" s="123">
        <v>85634.364627417774</v>
      </c>
      <c r="Q138" s="120">
        <v>30147.621544883372</v>
      </c>
      <c r="R138" s="123">
        <v>109790.85436572849</v>
      </c>
      <c r="S138" s="123">
        <v>115781.98617230114</v>
      </c>
      <c r="U138" s="7" t="s">
        <v>6151</v>
      </c>
    </row>
    <row r="139" spans="1:21" ht="16.5" thickBot="1">
      <c r="A139" s="259" t="s">
        <v>10</v>
      </c>
      <c r="B139" s="263">
        <f t="shared" si="6"/>
        <v>75</v>
      </c>
      <c r="C139" s="263" t="s">
        <v>3</v>
      </c>
      <c r="D139" s="263">
        <f t="shared" si="7"/>
        <v>360</v>
      </c>
      <c r="E139" s="263" t="s">
        <v>3</v>
      </c>
      <c r="F139" s="261">
        <f t="shared" si="8"/>
        <v>2250</v>
      </c>
      <c r="G139" s="263" t="s">
        <v>3</v>
      </c>
      <c r="H139" s="260">
        <v>4</v>
      </c>
      <c r="I139" s="262" t="s">
        <v>581</v>
      </c>
      <c r="J139" s="112">
        <v>75</v>
      </c>
      <c r="K139" s="75">
        <v>360</v>
      </c>
      <c r="L139" s="75">
        <v>2250</v>
      </c>
      <c r="M139" s="202">
        <v>29.276403346313685</v>
      </c>
      <c r="N139" s="87">
        <v>8341.9705200000008</v>
      </c>
      <c r="O139" s="123">
        <v>81254.904784517683</v>
      </c>
      <c r="P139" s="123">
        <v>87360.147087688412</v>
      </c>
      <c r="Q139" s="120">
        <v>30701.218686386295</v>
      </c>
      <c r="R139" s="123">
        <v>111956.12347090399</v>
      </c>
      <c r="S139" s="123">
        <v>118061.36577407471</v>
      </c>
      <c r="U139" s="7" t="s">
        <v>6152</v>
      </c>
    </row>
    <row r="140" spans="1:21" ht="16.5" thickBot="1">
      <c r="A140" s="259" t="s">
        <v>10</v>
      </c>
      <c r="B140" s="263">
        <f t="shared" si="6"/>
        <v>75</v>
      </c>
      <c r="C140" s="263" t="s">
        <v>3</v>
      </c>
      <c r="D140" s="263">
        <f t="shared" si="7"/>
        <v>360</v>
      </c>
      <c r="E140" s="263" t="s">
        <v>3</v>
      </c>
      <c r="F140" s="261">
        <f t="shared" si="8"/>
        <v>2300</v>
      </c>
      <c r="G140" s="263" t="s">
        <v>3</v>
      </c>
      <c r="H140" s="260">
        <v>4</v>
      </c>
      <c r="I140" s="262" t="s">
        <v>581</v>
      </c>
      <c r="J140" s="112">
        <v>75</v>
      </c>
      <c r="K140" s="75">
        <v>360</v>
      </c>
      <c r="L140" s="75">
        <v>2300</v>
      </c>
      <c r="M140" s="202">
        <v>29.85605483319079</v>
      </c>
      <c r="N140" s="87">
        <v>8561.4960600000031</v>
      </c>
      <c r="O140" s="123">
        <v>82304.060002207276</v>
      </c>
      <c r="P140" s="123">
        <v>88559.24855171793</v>
      </c>
      <c r="Q140" s="120">
        <v>31254.815827889219</v>
      </c>
      <c r="R140" s="123">
        <v>113558.8758300965</v>
      </c>
      <c r="S140" s="123">
        <v>119814.06437960715</v>
      </c>
      <c r="U140" s="7" t="s">
        <v>6153</v>
      </c>
    </row>
    <row r="141" spans="1:21" ht="16.5" thickBot="1">
      <c r="A141" s="259" t="s">
        <v>10</v>
      </c>
      <c r="B141" s="263">
        <f t="shared" si="6"/>
        <v>75</v>
      </c>
      <c r="C141" s="263" t="s">
        <v>3</v>
      </c>
      <c r="D141" s="263">
        <f t="shared" si="7"/>
        <v>360</v>
      </c>
      <c r="E141" s="263" t="s">
        <v>3</v>
      </c>
      <c r="F141" s="261">
        <f t="shared" si="8"/>
        <v>2350</v>
      </c>
      <c r="G141" s="263" t="s">
        <v>3</v>
      </c>
      <c r="H141" s="260">
        <v>4</v>
      </c>
      <c r="I141" s="262" t="s">
        <v>581</v>
      </c>
      <c r="J141" s="112">
        <v>75</v>
      </c>
      <c r="K141" s="75">
        <v>360</v>
      </c>
      <c r="L141" s="75">
        <v>2350</v>
      </c>
      <c r="M141" s="202">
        <v>30.452746320067895</v>
      </c>
      <c r="N141" s="87">
        <v>8781.0216000000019</v>
      </c>
      <c r="O141" s="123">
        <v>83353.167247484889</v>
      </c>
      <c r="P141" s="123">
        <v>89758.305026694463</v>
      </c>
      <c r="Q141" s="120">
        <v>32038.99474717542</v>
      </c>
      <c r="R141" s="123">
        <v>115392.1619946603</v>
      </c>
      <c r="S141" s="123">
        <v>121797.29977386989</v>
      </c>
      <c r="U141" s="7" t="s">
        <v>6154</v>
      </c>
    </row>
    <row r="142" spans="1:21" ht="16.5" thickBot="1">
      <c r="A142" s="259" t="s">
        <v>10</v>
      </c>
      <c r="B142" s="263">
        <f t="shared" si="6"/>
        <v>75</v>
      </c>
      <c r="C142" s="263" t="s">
        <v>3</v>
      </c>
      <c r="D142" s="263">
        <f t="shared" si="7"/>
        <v>360</v>
      </c>
      <c r="E142" s="263" t="s">
        <v>3</v>
      </c>
      <c r="F142" s="261">
        <f t="shared" si="8"/>
        <v>2400</v>
      </c>
      <c r="G142" s="263" t="s">
        <v>3</v>
      </c>
      <c r="H142" s="260">
        <v>4</v>
      </c>
      <c r="I142" s="262" t="s">
        <v>581</v>
      </c>
      <c r="J142" s="112">
        <v>75</v>
      </c>
      <c r="K142" s="75">
        <v>360</v>
      </c>
      <c r="L142" s="75">
        <v>2400</v>
      </c>
      <c r="M142" s="202">
        <v>31.032397806944999</v>
      </c>
      <c r="N142" s="87">
        <v>9000.5471400000024</v>
      </c>
      <c r="O142" s="123">
        <v>84402.226401016189</v>
      </c>
      <c r="P142" s="123">
        <v>90957.316393283603</v>
      </c>
      <c r="Q142" s="120">
        <v>32592.591888678344</v>
      </c>
      <c r="R142" s="123">
        <v>116994.81828969454</v>
      </c>
      <c r="S142" s="123">
        <v>123549.90828196195</v>
      </c>
      <c r="U142" s="7" t="s">
        <v>6155</v>
      </c>
    </row>
    <row r="143" spans="1:21" ht="16.5" thickBot="1">
      <c r="A143" s="259" t="s">
        <v>10</v>
      </c>
      <c r="B143" s="263">
        <f t="shared" si="6"/>
        <v>75</v>
      </c>
      <c r="C143" s="263" t="s">
        <v>3</v>
      </c>
      <c r="D143" s="263">
        <f t="shared" si="7"/>
        <v>360</v>
      </c>
      <c r="E143" s="263" t="s">
        <v>3</v>
      </c>
      <c r="F143" s="261">
        <f t="shared" si="8"/>
        <v>2450</v>
      </c>
      <c r="G143" s="263" t="s">
        <v>3</v>
      </c>
      <c r="H143" s="260">
        <v>4</v>
      </c>
      <c r="I143" s="262" t="s">
        <v>581</v>
      </c>
      <c r="J143" s="112">
        <v>75</v>
      </c>
      <c r="K143" s="75">
        <v>360</v>
      </c>
      <c r="L143" s="75">
        <v>2450</v>
      </c>
      <c r="M143" s="202">
        <v>32.361855242622099</v>
      </c>
      <c r="N143" s="87">
        <v>9220.0726800000029</v>
      </c>
      <c r="O143" s="123">
        <v>86014.904830665182</v>
      </c>
      <c r="P143" s="123">
        <v>92841.799945743653</v>
      </c>
      <c r="Q143" s="120">
        <v>33376.770807964545</v>
      </c>
      <c r="R143" s="123">
        <v>119391.67563862973</v>
      </c>
      <c r="S143" s="123">
        <v>126218.57075370819</v>
      </c>
      <c r="U143" s="7" t="s">
        <v>6156</v>
      </c>
    </row>
    <row r="144" spans="1:21" ht="16.5" thickBot="1">
      <c r="A144" s="259" t="s">
        <v>10</v>
      </c>
      <c r="B144" s="263">
        <f t="shared" si="6"/>
        <v>75</v>
      </c>
      <c r="C144" s="263" t="s">
        <v>3</v>
      </c>
      <c r="D144" s="263">
        <f t="shared" si="7"/>
        <v>360</v>
      </c>
      <c r="E144" s="263" t="s">
        <v>3</v>
      </c>
      <c r="F144" s="261">
        <f t="shared" si="8"/>
        <v>2500</v>
      </c>
      <c r="G144" s="263" t="s">
        <v>3</v>
      </c>
      <c r="H144" s="260">
        <v>4</v>
      </c>
      <c r="I144" s="262" t="s">
        <v>581</v>
      </c>
      <c r="J144" s="112">
        <v>75</v>
      </c>
      <c r="K144" s="75">
        <v>360</v>
      </c>
      <c r="L144" s="75">
        <v>2500</v>
      </c>
      <c r="M144" s="202">
        <v>32.958506729499213</v>
      </c>
      <c r="N144" s="87">
        <v>9439.5982200000017</v>
      </c>
      <c r="O144" s="123">
        <v>87063.867681369476</v>
      </c>
      <c r="P144" s="123">
        <v>94040.721334226779</v>
      </c>
      <c r="Q144" s="120">
        <v>33930.367949467472</v>
      </c>
      <c r="R144" s="123">
        <v>120994.23563083695</v>
      </c>
      <c r="S144" s="123">
        <v>127971.08928369425</v>
      </c>
      <c r="U144" s="7" t="s">
        <v>6157</v>
      </c>
    </row>
    <row r="145" spans="1:21" ht="16.5" thickBot="1">
      <c r="A145" s="259" t="s">
        <v>10</v>
      </c>
      <c r="B145" s="263">
        <f t="shared" si="6"/>
        <v>75</v>
      </c>
      <c r="C145" s="263" t="s">
        <v>3</v>
      </c>
      <c r="D145" s="263">
        <f t="shared" si="7"/>
        <v>360</v>
      </c>
      <c r="E145" s="263" t="s">
        <v>3</v>
      </c>
      <c r="F145" s="261">
        <f t="shared" si="8"/>
        <v>2550</v>
      </c>
      <c r="G145" s="263" t="s">
        <v>3</v>
      </c>
      <c r="H145" s="260">
        <v>4</v>
      </c>
      <c r="I145" s="262" t="s">
        <v>581</v>
      </c>
      <c r="J145" s="112">
        <v>75</v>
      </c>
      <c r="K145" s="75">
        <v>360</v>
      </c>
      <c r="L145" s="75">
        <v>2550</v>
      </c>
      <c r="M145" s="202">
        <v>33.555198216376311</v>
      </c>
      <c r="N145" s="87">
        <v>9659.123760000004</v>
      </c>
      <c r="O145" s="123">
        <v>91407.118377321123</v>
      </c>
      <c r="P145" s="123">
        <v>98324.065347059179</v>
      </c>
      <c r="Q145" s="120">
        <v>34714.547009147034</v>
      </c>
      <c r="R145" s="123">
        <v>126121.66538646816</v>
      </c>
      <c r="S145" s="123">
        <v>133038.61235620623</v>
      </c>
      <c r="U145" s="7" t="s">
        <v>6158</v>
      </c>
    </row>
    <row r="146" spans="1:21" ht="16.5" thickBot="1">
      <c r="A146" s="259" t="s">
        <v>10</v>
      </c>
      <c r="B146" s="260">
        <f t="shared" si="6"/>
        <v>75</v>
      </c>
      <c r="C146" s="260" t="s">
        <v>3</v>
      </c>
      <c r="D146" s="260">
        <f t="shared" si="7"/>
        <v>360</v>
      </c>
      <c r="E146" s="260" t="s">
        <v>3</v>
      </c>
      <c r="F146" s="261">
        <f t="shared" si="8"/>
        <v>2600</v>
      </c>
      <c r="G146" s="260" t="s">
        <v>3</v>
      </c>
      <c r="H146" s="260">
        <v>4</v>
      </c>
      <c r="I146" s="262" t="s">
        <v>581</v>
      </c>
      <c r="J146" s="112">
        <v>75</v>
      </c>
      <c r="K146" s="75">
        <v>360</v>
      </c>
      <c r="L146" s="75">
        <v>2600</v>
      </c>
      <c r="M146" s="202">
        <v>34.134849703253423</v>
      </c>
      <c r="N146" s="87">
        <v>9878.6493000000028</v>
      </c>
      <c r="O146" s="123">
        <v>92726.58870902624</v>
      </c>
      <c r="P146" s="123">
        <v>99776.261141886294</v>
      </c>
      <c r="Q146" s="120">
        <v>35268.144150649961</v>
      </c>
      <c r="R146" s="123">
        <v>127994.73285967621</v>
      </c>
      <c r="S146" s="123">
        <v>135044.40529253625</v>
      </c>
      <c r="U146" s="7" t="s">
        <v>6159</v>
      </c>
    </row>
    <row r="147" spans="1:21" ht="16.5" thickBot="1">
      <c r="A147" s="259" t="s">
        <v>10</v>
      </c>
      <c r="B147" s="263">
        <f t="shared" si="6"/>
        <v>75</v>
      </c>
      <c r="C147" s="263" t="s">
        <v>3</v>
      </c>
      <c r="D147" s="263">
        <f t="shared" si="7"/>
        <v>360</v>
      </c>
      <c r="E147" s="263" t="s">
        <v>3</v>
      </c>
      <c r="F147" s="261">
        <f t="shared" si="8"/>
        <v>2650</v>
      </c>
      <c r="G147" s="263" t="s">
        <v>3</v>
      </c>
      <c r="H147" s="260">
        <v>4</v>
      </c>
      <c r="I147" s="262" t="s">
        <v>581</v>
      </c>
      <c r="J147" s="112">
        <v>75</v>
      </c>
      <c r="K147" s="75">
        <v>360</v>
      </c>
      <c r="L147" s="75">
        <v>2650</v>
      </c>
      <c r="M147" s="202">
        <v>34.838541190130528</v>
      </c>
      <c r="N147" s="87">
        <v>10098.174840000001</v>
      </c>
      <c r="O147" s="123">
        <v>93615.439100087562</v>
      </c>
      <c r="P147" s="123">
        <v>100825.27005565281</v>
      </c>
      <c r="Q147" s="120">
        <v>36052.323069936159</v>
      </c>
      <c r="R147" s="123">
        <v>129667.76217002372</v>
      </c>
      <c r="S147" s="123">
        <v>136877.59312558896</v>
      </c>
      <c r="U147" s="7" t="s">
        <v>6160</v>
      </c>
    </row>
    <row r="148" spans="1:21" ht="16.5" thickBot="1">
      <c r="A148" s="259" t="s">
        <v>10</v>
      </c>
      <c r="B148" s="263">
        <f t="shared" si="6"/>
        <v>75</v>
      </c>
      <c r="C148" s="263" t="s">
        <v>3</v>
      </c>
      <c r="D148" s="263">
        <f t="shared" si="7"/>
        <v>360</v>
      </c>
      <c r="E148" s="263" t="s">
        <v>3</v>
      </c>
      <c r="F148" s="261">
        <f t="shared" si="8"/>
        <v>2700</v>
      </c>
      <c r="G148" s="263" t="s">
        <v>3</v>
      </c>
      <c r="H148" s="260">
        <v>4</v>
      </c>
      <c r="I148" s="262" t="s">
        <v>581</v>
      </c>
      <c r="J148" s="112">
        <v>75</v>
      </c>
      <c r="K148" s="75">
        <v>360</v>
      </c>
      <c r="L148" s="75">
        <v>2700</v>
      </c>
      <c r="M148" s="202">
        <v>35.496692677007637</v>
      </c>
      <c r="N148" s="87">
        <v>10317.700380000002</v>
      </c>
      <c r="O148" s="123">
        <v>94563.866095433565</v>
      </c>
      <c r="P148" s="123">
        <v>101930.06002510952</v>
      </c>
      <c r="Q148" s="120">
        <v>36605.920211439086</v>
      </c>
      <c r="R148" s="123">
        <v>131169.78630687264</v>
      </c>
      <c r="S148" s="123">
        <v>138535.98023654861</v>
      </c>
      <c r="U148" s="7" t="s">
        <v>6161</v>
      </c>
    </row>
    <row r="149" spans="1:21" ht="16.5" thickBot="1">
      <c r="A149" s="259" t="s">
        <v>10</v>
      </c>
      <c r="B149" s="263">
        <f t="shared" si="6"/>
        <v>75</v>
      </c>
      <c r="C149" s="263" t="s">
        <v>3</v>
      </c>
      <c r="D149" s="263">
        <f t="shared" si="7"/>
        <v>360</v>
      </c>
      <c r="E149" s="263" t="s">
        <v>3</v>
      </c>
      <c r="F149" s="261">
        <f t="shared" si="8"/>
        <v>2750</v>
      </c>
      <c r="G149" s="263" t="s">
        <v>3</v>
      </c>
      <c r="H149" s="260">
        <v>4</v>
      </c>
      <c r="I149" s="262" t="s">
        <v>581</v>
      </c>
      <c r="J149" s="112">
        <v>75</v>
      </c>
      <c r="K149" s="75">
        <v>360</v>
      </c>
      <c r="L149" s="75">
        <v>2750</v>
      </c>
      <c r="M149" s="202">
        <v>36.076344163884741</v>
      </c>
      <c r="N149" s="87">
        <v>10537.225920000003</v>
      </c>
      <c r="O149" s="123">
        <v>95534.374481738327</v>
      </c>
      <c r="P149" s="123">
        <v>103055.52479144571</v>
      </c>
      <c r="Q149" s="120">
        <v>37159.517352942006</v>
      </c>
      <c r="R149" s="123">
        <v>132693.89183468034</v>
      </c>
      <c r="S149" s="123">
        <v>140215.04214438773</v>
      </c>
      <c r="U149" s="7" t="s">
        <v>6162</v>
      </c>
    </row>
    <row r="150" spans="1:21" ht="16.5" thickBot="1">
      <c r="A150" s="259" t="s">
        <v>10</v>
      </c>
      <c r="B150" s="263">
        <f t="shared" si="6"/>
        <v>75</v>
      </c>
      <c r="C150" s="263" t="s">
        <v>3</v>
      </c>
      <c r="D150" s="263">
        <f t="shared" si="7"/>
        <v>360</v>
      </c>
      <c r="E150" s="263" t="s">
        <v>3</v>
      </c>
      <c r="F150" s="261">
        <f t="shared" si="8"/>
        <v>2800</v>
      </c>
      <c r="G150" s="263" t="s">
        <v>3</v>
      </c>
      <c r="H150" s="260">
        <v>4</v>
      </c>
      <c r="I150" s="262" t="s">
        <v>581</v>
      </c>
      <c r="J150" s="112">
        <v>75</v>
      </c>
      <c r="K150" s="75">
        <v>360</v>
      </c>
      <c r="L150" s="75">
        <v>2800</v>
      </c>
      <c r="M150" s="202">
        <v>36.673035650761847</v>
      </c>
      <c r="N150" s="87">
        <v>10756.751460000003</v>
      </c>
      <c r="O150" s="123">
        <v>96421.990478199194</v>
      </c>
      <c r="P150" s="123">
        <v>104103.37795195381</v>
      </c>
      <c r="Q150" s="120">
        <v>37943.696272228204</v>
      </c>
      <c r="R150" s="123">
        <v>134365.68675042741</v>
      </c>
      <c r="S150" s="123">
        <v>142047.074224182</v>
      </c>
      <c r="U150" s="7" t="s">
        <v>6163</v>
      </c>
    </row>
    <row r="151" spans="1:21" ht="16.5" thickBot="1">
      <c r="A151" s="259" t="s">
        <v>10</v>
      </c>
      <c r="B151" s="263">
        <f t="shared" si="6"/>
        <v>75</v>
      </c>
      <c r="C151" s="263" t="s">
        <v>3</v>
      </c>
      <c r="D151" s="263">
        <f t="shared" si="7"/>
        <v>360</v>
      </c>
      <c r="E151" s="263" t="s">
        <v>3</v>
      </c>
      <c r="F151" s="261">
        <f t="shared" si="8"/>
        <v>2850</v>
      </c>
      <c r="G151" s="263" t="s">
        <v>3</v>
      </c>
      <c r="H151" s="260">
        <v>4</v>
      </c>
      <c r="I151" s="262" t="s">
        <v>581</v>
      </c>
      <c r="J151" s="112">
        <v>75</v>
      </c>
      <c r="K151" s="75">
        <v>360</v>
      </c>
      <c r="L151" s="75">
        <v>2850</v>
      </c>
      <c r="M151" s="202">
        <v>37.252687137638951</v>
      </c>
      <c r="N151" s="87">
        <v>10976.277000000002</v>
      </c>
      <c r="O151" s="123">
        <v>97309.55850224811</v>
      </c>
      <c r="P151" s="123">
        <v>105151.18612340889</v>
      </c>
      <c r="Q151" s="120">
        <v>38497.293413731131</v>
      </c>
      <c r="R151" s="123">
        <v>135806.85191597923</v>
      </c>
      <c r="S151" s="123">
        <v>143648.47953714003</v>
      </c>
      <c r="U151" s="7" t="s">
        <v>6164</v>
      </c>
    </row>
    <row r="152" spans="1:21" ht="16.5" thickBot="1">
      <c r="A152" s="259" t="s">
        <v>10</v>
      </c>
      <c r="B152" s="263">
        <f t="shared" si="6"/>
        <v>75</v>
      </c>
      <c r="C152" s="263" t="s">
        <v>3</v>
      </c>
      <c r="D152" s="263">
        <f t="shared" si="7"/>
        <v>360</v>
      </c>
      <c r="E152" s="263" t="s">
        <v>3</v>
      </c>
      <c r="F152" s="261">
        <f t="shared" si="8"/>
        <v>2900</v>
      </c>
      <c r="G152" s="263" t="s">
        <v>3</v>
      </c>
      <c r="H152" s="260">
        <v>4</v>
      </c>
      <c r="I152" s="262" t="s">
        <v>581</v>
      </c>
      <c r="J152" s="112">
        <v>75</v>
      </c>
      <c r="K152" s="75">
        <v>360</v>
      </c>
      <c r="L152" s="75">
        <v>2900</v>
      </c>
      <c r="M152" s="202">
        <v>38.025378624516051</v>
      </c>
      <c r="N152" s="87">
        <v>11195.802540000002</v>
      </c>
      <c r="O152" s="123">
        <v>98197.078434550698</v>
      </c>
      <c r="P152" s="123">
        <v>106198.94930581094</v>
      </c>
      <c r="Q152" s="120">
        <v>39281.472333017329</v>
      </c>
      <c r="R152" s="123">
        <v>137478.55076756803</v>
      </c>
      <c r="S152" s="123">
        <v>145480.42163882827</v>
      </c>
      <c r="U152" s="7" t="s">
        <v>6165</v>
      </c>
    </row>
    <row r="153" spans="1:21" ht="16.5" thickBot="1">
      <c r="A153" s="259" t="s">
        <v>10</v>
      </c>
      <c r="B153" s="263">
        <f t="shared" si="6"/>
        <v>75</v>
      </c>
      <c r="C153" s="263" t="s">
        <v>3</v>
      </c>
      <c r="D153" s="263">
        <f t="shared" si="7"/>
        <v>360</v>
      </c>
      <c r="E153" s="263" t="s">
        <v>3</v>
      </c>
      <c r="F153" s="261">
        <f t="shared" si="8"/>
        <v>2950</v>
      </c>
      <c r="G153" s="263" t="s">
        <v>3</v>
      </c>
      <c r="H153" s="260">
        <v>4</v>
      </c>
      <c r="I153" s="262" t="s">
        <v>581</v>
      </c>
      <c r="J153" s="112">
        <v>75</v>
      </c>
      <c r="K153" s="75">
        <v>360</v>
      </c>
      <c r="L153" s="75">
        <v>2950</v>
      </c>
      <c r="M153" s="202">
        <v>38.605030111393155</v>
      </c>
      <c r="N153" s="87">
        <v>11415.328080000003</v>
      </c>
      <c r="O153" s="123">
        <v>99084.550155772609</v>
      </c>
      <c r="P153" s="123">
        <v>107246.66737982564</v>
      </c>
      <c r="Q153" s="120">
        <v>39835.069474520256</v>
      </c>
      <c r="R153" s="123">
        <v>138919.61963029287</v>
      </c>
      <c r="S153" s="123">
        <v>147081.73685434589</v>
      </c>
      <c r="U153" s="7" t="s">
        <v>6166</v>
      </c>
    </row>
    <row r="154" spans="1:21" ht="16.5" thickBot="1">
      <c r="A154" s="264" t="s">
        <v>10</v>
      </c>
      <c r="B154" s="265">
        <f t="shared" si="6"/>
        <v>75</v>
      </c>
      <c r="C154" s="265" t="s">
        <v>3</v>
      </c>
      <c r="D154" s="265">
        <f t="shared" si="7"/>
        <v>360</v>
      </c>
      <c r="E154" s="265" t="s">
        <v>3</v>
      </c>
      <c r="F154" s="266">
        <f t="shared" si="8"/>
        <v>3000</v>
      </c>
      <c r="G154" s="265" t="s">
        <v>3</v>
      </c>
      <c r="H154" s="267">
        <v>4</v>
      </c>
      <c r="I154" s="262" t="s">
        <v>581</v>
      </c>
      <c r="J154" s="346">
        <v>75</v>
      </c>
      <c r="K154" s="322">
        <v>360</v>
      </c>
      <c r="L154" s="322">
        <v>3000</v>
      </c>
      <c r="M154" s="305">
        <v>39.201721598270254</v>
      </c>
      <c r="N154" s="306">
        <v>11634.853620000004</v>
      </c>
      <c r="O154" s="307">
        <v>101688.81070336506</v>
      </c>
      <c r="P154" s="307">
        <v>109901.80481832674</v>
      </c>
      <c r="Q154" s="308">
        <v>40619.248393806454</v>
      </c>
      <c r="R154" s="307">
        <v>142308.05909717153</v>
      </c>
      <c r="S154" s="307">
        <v>150521.05321213318</v>
      </c>
      <c r="U154" s="7" t="s">
        <v>6167</v>
      </c>
    </row>
    <row r="155" spans="1:21" ht="22.5" customHeight="1" thickBot="1">
      <c r="A155" s="2621" t="s">
        <v>67</v>
      </c>
      <c r="B155" s="2622"/>
      <c r="C155" s="2622"/>
      <c r="D155" s="2622"/>
      <c r="E155" s="2622"/>
      <c r="F155" s="2622"/>
      <c r="G155" s="2622"/>
      <c r="H155" s="2622"/>
      <c r="I155" s="2622"/>
      <c r="J155" s="2622"/>
      <c r="K155" s="2622"/>
      <c r="L155" s="2622"/>
      <c r="M155" s="2622"/>
      <c r="N155" s="2622"/>
      <c r="O155" s="2622"/>
      <c r="P155" s="2622"/>
      <c r="Q155" s="2622"/>
      <c r="R155" s="2622"/>
      <c r="S155" s="2623"/>
      <c r="U155" s="7"/>
    </row>
    <row r="156" spans="1:21" ht="16.5" thickBot="1">
      <c r="A156" s="2583" t="s">
        <v>135</v>
      </c>
      <c r="B156" s="2584"/>
      <c r="C156" s="2584"/>
      <c r="D156" s="2584"/>
      <c r="E156" s="2584"/>
      <c r="F156" s="2584"/>
      <c r="G156" s="2584"/>
      <c r="H156" s="2584"/>
      <c r="I156" s="2584"/>
      <c r="J156" s="2584"/>
      <c r="K156" s="2584"/>
      <c r="L156" s="2584"/>
      <c r="M156" s="2584"/>
      <c r="N156" s="2584"/>
      <c r="O156" s="2584"/>
      <c r="P156" s="2584"/>
      <c r="Q156" s="2584"/>
      <c r="R156" s="2584"/>
      <c r="S156" s="2585"/>
      <c r="U156" s="7"/>
    </row>
    <row r="157" spans="1:21" ht="16.5" thickBot="1">
      <c r="A157" s="259" t="s">
        <v>10</v>
      </c>
      <c r="B157" s="260">
        <f t="shared" ref="B157:B203" si="9">J157</f>
        <v>75</v>
      </c>
      <c r="C157" s="260" t="s">
        <v>3</v>
      </c>
      <c r="D157" s="260">
        <f t="shared" ref="D157:D203" si="10">K157</f>
        <v>400</v>
      </c>
      <c r="E157" s="260" t="s">
        <v>3</v>
      </c>
      <c r="F157" s="261">
        <f t="shared" ref="F157:F203" si="11">L157</f>
        <v>700</v>
      </c>
      <c r="G157" s="260" t="s">
        <v>3</v>
      </c>
      <c r="H157" s="260">
        <v>4</v>
      </c>
      <c r="I157" s="262" t="s">
        <v>581</v>
      </c>
      <c r="J157" s="344">
        <v>75</v>
      </c>
      <c r="K157" s="327">
        <v>400</v>
      </c>
      <c r="L157" s="327">
        <v>700</v>
      </c>
      <c r="M157" s="301">
        <v>9.9808942019023679</v>
      </c>
      <c r="N157" s="302">
        <v>1650.7709400000001</v>
      </c>
      <c r="O157" s="303">
        <v>29685.605380426357</v>
      </c>
      <c r="P157" s="303">
        <v>37980.675638222325</v>
      </c>
      <c r="Q157" s="304">
        <v>11307.066052331927</v>
      </c>
      <c r="R157" s="303">
        <v>40992.671432758289</v>
      </c>
      <c r="S157" s="303">
        <v>49287.741690554249</v>
      </c>
      <c r="U157" s="7" t="s">
        <v>6168</v>
      </c>
    </row>
    <row r="158" spans="1:21" ht="16.5" thickBot="1">
      <c r="A158" s="259" t="s">
        <v>10</v>
      </c>
      <c r="B158" s="263">
        <f t="shared" si="9"/>
        <v>75</v>
      </c>
      <c r="C158" s="263" t="s">
        <v>3</v>
      </c>
      <c r="D158" s="263">
        <f t="shared" si="10"/>
        <v>400</v>
      </c>
      <c r="E158" s="263" t="s">
        <v>3</v>
      </c>
      <c r="F158" s="261">
        <f t="shared" si="11"/>
        <v>750</v>
      </c>
      <c r="G158" s="263" t="s">
        <v>3</v>
      </c>
      <c r="H158" s="260">
        <v>4</v>
      </c>
      <c r="I158" s="262" t="s">
        <v>581</v>
      </c>
      <c r="J158" s="112">
        <v>75</v>
      </c>
      <c r="K158" s="75">
        <v>400</v>
      </c>
      <c r="L158" s="75">
        <v>750</v>
      </c>
      <c r="M158" s="202">
        <v>10.592399396674208</v>
      </c>
      <c r="N158" s="87">
        <v>1886.5953600000003</v>
      </c>
      <c r="O158" s="123">
        <v>31493.711482990035</v>
      </c>
      <c r="P158" s="123">
        <v>38875.806835220486</v>
      </c>
      <c r="Q158" s="120">
        <v>11909.457889725263</v>
      </c>
      <c r="R158" s="123">
        <v>43403.169372715296</v>
      </c>
      <c r="S158" s="123">
        <v>50785.264724945751</v>
      </c>
      <c r="U158" s="7" t="s">
        <v>6169</v>
      </c>
    </row>
    <row r="159" spans="1:21" ht="16.5" thickBot="1">
      <c r="A159" s="259" t="s">
        <v>10</v>
      </c>
      <c r="B159" s="263">
        <f t="shared" si="9"/>
        <v>75</v>
      </c>
      <c r="C159" s="263" t="s">
        <v>3</v>
      </c>
      <c r="D159" s="263">
        <f t="shared" si="10"/>
        <v>400</v>
      </c>
      <c r="E159" s="263" t="s">
        <v>3</v>
      </c>
      <c r="F159" s="261">
        <f t="shared" si="11"/>
        <v>800</v>
      </c>
      <c r="G159" s="263" t="s">
        <v>3</v>
      </c>
      <c r="H159" s="260">
        <v>4</v>
      </c>
      <c r="I159" s="262" t="s">
        <v>581</v>
      </c>
      <c r="J159" s="112">
        <v>75</v>
      </c>
      <c r="K159" s="75">
        <v>400</v>
      </c>
      <c r="L159" s="75">
        <v>800</v>
      </c>
      <c r="M159" s="202">
        <v>11.203904591446053</v>
      </c>
      <c r="N159" s="87">
        <v>2122.4197800000006</v>
      </c>
      <c r="O159" s="123">
        <v>33302.422372080691</v>
      </c>
      <c r="P159" s="123">
        <v>39762.910648616293</v>
      </c>
      <c r="Q159" s="120">
        <v>12511.84958672524</v>
      </c>
      <c r="R159" s="123">
        <v>45814.271958805934</v>
      </c>
      <c r="S159" s="123">
        <v>52274.760235341535</v>
      </c>
      <c r="U159" s="7" t="s">
        <v>6170</v>
      </c>
    </row>
    <row r="160" spans="1:21" ht="16.5" thickBot="1">
      <c r="A160" s="259" t="s">
        <v>10</v>
      </c>
      <c r="B160" s="263">
        <f t="shared" si="9"/>
        <v>75</v>
      </c>
      <c r="C160" s="263" t="s">
        <v>3</v>
      </c>
      <c r="D160" s="263">
        <f t="shared" si="10"/>
        <v>400</v>
      </c>
      <c r="E160" s="263" t="s">
        <v>3</v>
      </c>
      <c r="F160" s="261">
        <f t="shared" si="11"/>
        <v>850</v>
      </c>
      <c r="G160" s="263" t="s">
        <v>3</v>
      </c>
      <c r="H160" s="260">
        <v>4</v>
      </c>
      <c r="I160" s="262" t="s">
        <v>581</v>
      </c>
      <c r="J160" s="112">
        <v>75</v>
      </c>
      <c r="K160" s="75">
        <v>400</v>
      </c>
      <c r="L160" s="75">
        <v>850</v>
      </c>
      <c r="M160" s="202">
        <v>11.832449786217893</v>
      </c>
      <c r="N160" s="87">
        <v>2358.2442000000005</v>
      </c>
      <c r="O160" s="123">
        <v>35111.1333805057</v>
      </c>
      <c r="P160" s="123">
        <v>40650.014581346455</v>
      </c>
      <c r="Q160" s="120">
        <v>13344.823201901852</v>
      </c>
      <c r="R160" s="123">
        <v>48455.956582407554</v>
      </c>
      <c r="S160" s="123">
        <v>53994.837783248309</v>
      </c>
      <c r="U160" s="7" t="s">
        <v>6171</v>
      </c>
    </row>
    <row r="161" spans="1:21" ht="16.5" thickBot="1">
      <c r="A161" s="259" t="s">
        <v>10</v>
      </c>
      <c r="B161" s="263">
        <f t="shared" si="9"/>
        <v>75</v>
      </c>
      <c r="C161" s="263" t="s">
        <v>3</v>
      </c>
      <c r="D161" s="263">
        <f t="shared" si="10"/>
        <v>400</v>
      </c>
      <c r="E161" s="263" t="s">
        <v>3</v>
      </c>
      <c r="F161" s="261">
        <f t="shared" si="11"/>
        <v>900</v>
      </c>
      <c r="G161" s="263" t="s">
        <v>3</v>
      </c>
      <c r="H161" s="260">
        <v>4</v>
      </c>
      <c r="I161" s="262" t="s">
        <v>581</v>
      </c>
      <c r="J161" s="112">
        <v>75</v>
      </c>
      <c r="K161" s="75">
        <v>400</v>
      </c>
      <c r="L161" s="75">
        <v>900</v>
      </c>
      <c r="M161" s="202">
        <v>12.481954980989737</v>
      </c>
      <c r="N161" s="87">
        <v>2594.0686200000005</v>
      </c>
      <c r="O161" s="123">
        <v>36919.84426959636</v>
      </c>
      <c r="P161" s="123">
        <v>41548.585949220651</v>
      </c>
      <c r="Q161" s="120">
        <v>13947.21489890183</v>
      </c>
      <c r="R161" s="123">
        <v>50867.059168498192</v>
      </c>
      <c r="S161" s="123">
        <v>55495.800848122482</v>
      </c>
      <c r="U161" s="7" t="s">
        <v>6172</v>
      </c>
    </row>
    <row r="162" spans="1:21" ht="16.5" thickBot="1">
      <c r="A162" s="259" t="s">
        <v>10</v>
      </c>
      <c r="B162" s="263">
        <f t="shared" si="9"/>
        <v>75</v>
      </c>
      <c r="C162" s="263" t="s">
        <v>3</v>
      </c>
      <c r="D162" s="263">
        <f t="shared" si="10"/>
        <v>400</v>
      </c>
      <c r="E162" s="263" t="s">
        <v>3</v>
      </c>
      <c r="F162" s="261">
        <f t="shared" si="11"/>
        <v>950</v>
      </c>
      <c r="G162" s="263" t="s">
        <v>3</v>
      </c>
      <c r="H162" s="260">
        <v>4</v>
      </c>
      <c r="I162" s="262" t="s">
        <v>581</v>
      </c>
      <c r="J162" s="112">
        <v>75</v>
      </c>
      <c r="K162" s="75">
        <v>400</v>
      </c>
      <c r="L162" s="75">
        <v>950</v>
      </c>
      <c r="M162" s="202">
        <v>13.179500175761579</v>
      </c>
      <c r="N162" s="87">
        <v>2829.8930400000004</v>
      </c>
      <c r="O162" s="123">
        <v>38728.555278021362</v>
      </c>
      <c r="P162" s="123">
        <v>42435.689881950813</v>
      </c>
      <c r="Q162" s="120">
        <v>14780.188514078442</v>
      </c>
      <c r="R162" s="123">
        <v>53508.743792099805</v>
      </c>
      <c r="S162" s="123">
        <v>57215.878396029257</v>
      </c>
      <c r="U162" s="7" t="s">
        <v>6173</v>
      </c>
    </row>
    <row r="163" spans="1:21" ht="16.5" thickBot="1">
      <c r="A163" s="259" t="s">
        <v>10</v>
      </c>
      <c r="B163" s="263">
        <f t="shared" si="9"/>
        <v>75</v>
      </c>
      <c r="C163" s="263" t="s">
        <v>3</v>
      </c>
      <c r="D163" s="263">
        <f t="shared" si="10"/>
        <v>400</v>
      </c>
      <c r="E163" s="263" t="s">
        <v>3</v>
      </c>
      <c r="F163" s="261">
        <f t="shared" si="11"/>
        <v>1000</v>
      </c>
      <c r="G163" s="263" t="s">
        <v>3</v>
      </c>
      <c r="H163" s="260">
        <v>4</v>
      </c>
      <c r="I163" s="262" t="s">
        <v>581</v>
      </c>
      <c r="J163" s="112">
        <v>75</v>
      </c>
      <c r="K163" s="75">
        <v>400</v>
      </c>
      <c r="L163" s="75">
        <v>1000</v>
      </c>
      <c r="M163" s="202">
        <v>13.791005370533421</v>
      </c>
      <c r="N163" s="87">
        <v>3065.7174600000008</v>
      </c>
      <c r="O163" s="123">
        <v>40442.134129492712</v>
      </c>
      <c r="P163" s="123">
        <v>43327.380788738592</v>
      </c>
      <c r="Q163" s="120">
        <v>15382.580351471779</v>
      </c>
      <c r="R163" s="123">
        <v>55824.714480964489</v>
      </c>
      <c r="S163" s="123">
        <v>58709.961140210369</v>
      </c>
      <c r="U163" s="7" t="s">
        <v>6174</v>
      </c>
    </row>
    <row r="164" spans="1:21" ht="16.5" thickBot="1">
      <c r="A164" s="259" t="s">
        <v>10</v>
      </c>
      <c r="B164" s="263">
        <f t="shared" si="9"/>
        <v>75</v>
      </c>
      <c r="C164" s="263" t="s">
        <v>3</v>
      </c>
      <c r="D164" s="263">
        <f t="shared" si="10"/>
        <v>400</v>
      </c>
      <c r="E164" s="263" t="s">
        <v>3</v>
      </c>
      <c r="F164" s="261">
        <f t="shared" si="11"/>
        <v>1050</v>
      </c>
      <c r="G164" s="263" t="s">
        <v>3</v>
      </c>
      <c r="H164" s="260">
        <v>4</v>
      </c>
      <c r="I164" s="262" t="s">
        <v>581</v>
      </c>
      <c r="J164" s="112">
        <v>75</v>
      </c>
      <c r="K164" s="75">
        <v>400</v>
      </c>
      <c r="L164" s="75">
        <v>1050</v>
      </c>
      <c r="M164" s="202">
        <v>14.419550565305261</v>
      </c>
      <c r="N164" s="87">
        <v>3301.5418800000002</v>
      </c>
      <c r="O164" s="123">
        <v>42476.783742180378</v>
      </c>
      <c r="P164" s="123">
        <v>44221.365182555171</v>
      </c>
      <c r="Q164" s="120">
        <v>16215.553826255029</v>
      </c>
      <c r="R164" s="123">
        <v>58692.337568435411</v>
      </c>
      <c r="S164" s="123">
        <v>60436.919008810204</v>
      </c>
      <c r="U164" s="7" t="s">
        <v>6175</v>
      </c>
    </row>
    <row r="165" spans="1:21" ht="16.5" thickBot="1">
      <c r="A165" s="259" t="s">
        <v>10</v>
      </c>
      <c r="B165" s="260">
        <f t="shared" si="9"/>
        <v>75</v>
      </c>
      <c r="C165" s="260" t="s">
        <v>3</v>
      </c>
      <c r="D165" s="260">
        <f t="shared" si="10"/>
        <v>400</v>
      </c>
      <c r="E165" s="260" t="s">
        <v>3</v>
      </c>
      <c r="F165" s="261">
        <f t="shared" si="11"/>
        <v>1100</v>
      </c>
      <c r="G165" s="260" t="s">
        <v>3</v>
      </c>
      <c r="H165" s="260">
        <v>4</v>
      </c>
      <c r="I165" s="262" t="s">
        <v>581</v>
      </c>
      <c r="J165" s="112">
        <v>75</v>
      </c>
      <c r="K165" s="75">
        <v>400</v>
      </c>
      <c r="L165" s="75">
        <v>1100</v>
      </c>
      <c r="M165" s="202">
        <v>15.031055760077106</v>
      </c>
      <c r="N165" s="87">
        <v>3537.3663000000006</v>
      </c>
      <c r="O165" s="123">
        <v>44285.494631271031</v>
      </c>
      <c r="P165" s="123">
        <v>63396.638260810061</v>
      </c>
      <c r="Q165" s="120">
        <v>16817.945663648366</v>
      </c>
      <c r="R165" s="123">
        <v>61103.440294919397</v>
      </c>
      <c r="S165" s="123">
        <v>80214.58392445842</v>
      </c>
      <c r="U165" s="7" t="s">
        <v>6176</v>
      </c>
    </row>
    <row r="166" spans="1:21" ht="16.5" thickBot="1">
      <c r="A166" s="259" t="s">
        <v>10</v>
      </c>
      <c r="B166" s="263">
        <f t="shared" si="9"/>
        <v>75</v>
      </c>
      <c r="C166" s="263" t="s">
        <v>3</v>
      </c>
      <c r="D166" s="263">
        <f t="shared" si="10"/>
        <v>400</v>
      </c>
      <c r="E166" s="263" t="s">
        <v>3</v>
      </c>
      <c r="F166" s="261">
        <f t="shared" si="11"/>
        <v>1150</v>
      </c>
      <c r="G166" s="263" t="s">
        <v>3</v>
      </c>
      <c r="H166" s="260">
        <v>4</v>
      </c>
      <c r="I166" s="262" t="s">
        <v>581</v>
      </c>
      <c r="J166" s="112">
        <v>75</v>
      </c>
      <c r="K166" s="75">
        <v>400</v>
      </c>
      <c r="L166" s="75">
        <v>1150</v>
      </c>
      <c r="M166" s="202">
        <v>15.642560954848948</v>
      </c>
      <c r="N166" s="87">
        <v>3773.1907200000005</v>
      </c>
      <c r="O166" s="123">
        <v>45338.86306780859</v>
      </c>
      <c r="P166" s="123">
        <v>63416.689535668374</v>
      </c>
      <c r="Q166" s="120">
        <v>17420.33736064834</v>
      </c>
      <c r="R166" s="123">
        <v>62759.200428456927</v>
      </c>
      <c r="S166" s="123">
        <v>80837.026896316718</v>
      </c>
      <c r="U166" s="7" t="s">
        <v>6177</v>
      </c>
    </row>
    <row r="167" spans="1:21" ht="16.5" thickBot="1">
      <c r="A167" s="259" t="s">
        <v>10</v>
      </c>
      <c r="B167" s="263">
        <f t="shared" si="9"/>
        <v>75</v>
      </c>
      <c r="C167" s="263" t="s">
        <v>3</v>
      </c>
      <c r="D167" s="263">
        <f t="shared" si="10"/>
        <v>400</v>
      </c>
      <c r="E167" s="263" t="s">
        <v>3</v>
      </c>
      <c r="F167" s="261">
        <f t="shared" si="11"/>
        <v>1200</v>
      </c>
      <c r="G167" s="263" t="s">
        <v>3</v>
      </c>
      <c r="H167" s="260">
        <v>4</v>
      </c>
      <c r="I167" s="262" t="s">
        <v>581</v>
      </c>
      <c r="J167" s="112">
        <v>75</v>
      </c>
      <c r="K167" s="75">
        <v>400</v>
      </c>
      <c r="L167" s="75">
        <v>1200</v>
      </c>
      <c r="M167" s="202">
        <v>16.525606149620788</v>
      </c>
      <c r="N167" s="87">
        <v>4009.0151400000009</v>
      </c>
      <c r="O167" s="123">
        <v>46451.615622311161</v>
      </c>
      <c r="P167" s="123">
        <v>63492.045602793565</v>
      </c>
      <c r="Q167" s="120">
        <v>18253.310975824952</v>
      </c>
      <c r="R167" s="123">
        <v>64704.92659813611</v>
      </c>
      <c r="S167" s="123">
        <v>81745.356578618521</v>
      </c>
      <c r="U167" s="7" t="s">
        <v>6178</v>
      </c>
    </row>
    <row r="168" spans="1:21" ht="16.5" thickBot="1">
      <c r="A168" s="259" t="s">
        <v>10</v>
      </c>
      <c r="B168" s="263">
        <f t="shared" si="9"/>
        <v>75</v>
      </c>
      <c r="C168" s="263" t="s">
        <v>3</v>
      </c>
      <c r="D168" s="263">
        <f t="shared" si="10"/>
        <v>400</v>
      </c>
      <c r="E168" s="263" t="s">
        <v>3</v>
      </c>
      <c r="F168" s="261">
        <f t="shared" si="11"/>
        <v>1250</v>
      </c>
      <c r="G168" s="263" t="s">
        <v>3</v>
      </c>
      <c r="H168" s="260">
        <v>4</v>
      </c>
      <c r="I168" s="262" t="s">
        <v>581</v>
      </c>
      <c r="J168" s="112">
        <v>75</v>
      </c>
      <c r="K168" s="75">
        <v>400</v>
      </c>
      <c r="L168" s="75">
        <v>1250</v>
      </c>
      <c r="M168" s="202">
        <v>17.137111344392629</v>
      </c>
      <c r="N168" s="87">
        <v>4244.8395600000013</v>
      </c>
      <c r="O168" s="123">
        <v>47504.503022051118</v>
      </c>
      <c r="P168" s="123">
        <v>63504.642895640311</v>
      </c>
      <c r="Q168" s="120">
        <v>18855.702672824929</v>
      </c>
      <c r="R168" s="123">
        <v>66360.205694876044</v>
      </c>
      <c r="S168" s="123">
        <v>82360.345568465244</v>
      </c>
      <c r="U168" s="7" t="s">
        <v>6179</v>
      </c>
    </row>
    <row r="169" spans="1:21" ht="16.5" thickBot="1">
      <c r="A169" s="259" t="s">
        <v>10</v>
      </c>
      <c r="B169" s="263">
        <f t="shared" si="9"/>
        <v>75</v>
      </c>
      <c r="C169" s="263" t="s">
        <v>3</v>
      </c>
      <c r="D169" s="263">
        <f t="shared" si="10"/>
        <v>400</v>
      </c>
      <c r="E169" s="263" t="s">
        <v>3</v>
      </c>
      <c r="F169" s="261">
        <f t="shared" si="11"/>
        <v>1300</v>
      </c>
      <c r="G169" s="263" t="s">
        <v>3</v>
      </c>
      <c r="H169" s="260">
        <v>4</v>
      </c>
      <c r="I169" s="262" t="s">
        <v>581</v>
      </c>
      <c r="J169" s="112">
        <v>75</v>
      </c>
      <c r="K169" s="75">
        <v>400</v>
      </c>
      <c r="L169" s="75">
        <v>1300</v>
      </c>
      <c r="M169" s="202">
        <v>17.827656539164472</v>
      </c>
      <c r="N169" s="87">
        <v>4480.6639800000003</v>
      </c>
      <c r="O169" s="123">
        <v>51009.77389312911</v>
      </c>
      <c r="P169" s="123">
        <v>63519.116721268583</v>
      </c>
      <c r="Q169" s="120">
        <v>19688.676288001541</v>
      </c>
      <c r="R169" s="123">
        <v>70698.450181130655</v>
      </c>
      <c r="S169" s="123">
        <v>83207.793009270128</v>
      </c>
      <c r="U169" s="7" t="s">
        <v>6180</v>
      </c>
    </row>
    <row r="170" spans="1:21" ht="16.5" thickBot="1">
      <c r="A170" s="259" t="s">
        <v>10</v>
      </c>
      <c r="B170" s="263">
        <f t="shared" si="9"/>
        <v>75</v>
      </c>
      <c r="C170" s="263" t="s">
        <v>3</v>
      </c>
      <c r="D170" s="263">
        <f t="shared" si="10"/>
        <v>400</v>
      </c>
      <c r="E170" s="263" t="s">
        <v>3</v>
      </c>
      <c r="F170" s="261">
        <f t="shared" si="11"/>
        <v>1350</v>
      </c>
      <c r="G170" s="263" t="s">
        <v>3</v>
      </c>
      <c r="H170" s="260">
        <v>4</v>
      </c>
      <c r="I170" s="262" t="s">
        <v>581</v>
      </c>
      <c r="J170" s="112">
        <v>75</v>
      </c>
      <c r="K170" s="75">
        <v>400</v>
      </c>
      <c r="L170" s="75">
        <v>1350</v>
      </c>
      <c r="M170" s="202">
        <v>18.439161733936317</v>
      </c>
      <c r="N170" s="87">
        <v>4716.4884000000011</v>
      </c>
      <c r="O170" s="123">
        <v>52312.357816487754</v>
      </c>
      <c r="P170" s="123">
        <v>60163.746749474434</v>
      </c>
      <c r="Q170" s="120">
        <v>20291.067985001515</v>
      </c>
      <c r="R170" s="123">
        <v>72603.425801489269</v>
      </c>
      <c r="S170" s="123">
        <v>80454.814734475949</v>
      </c>
      <c r="U170" s="7" t="s">
        <v>6181</v>
      </c>
    </row>
    <row r="171" spans="1:21" ht="16.5" thickBot="1">
      <c r="A171" s="259" t="s">
        <v>10</v>
      </c>
      <c r="B171" s="263">
        <f t="shared" si="9"/>
        <v>75</v>
      </c>
      <c r="C171" s="263" t="s">
        <v>3</v>
      </c>
      <c r="D171" s="263">
        <f t="shared" si="10"/>
        <v>400</v>
      </c>
      <c r="E171" s="263" t="s">
        <v>3</v>
      </c>
      <c r="F171" s="261">
        <f t="shared" si="11"/>
        <v>1400</v>
      </c>
      <c r="G171" s="263" t="s">
        <v>3</v>
      </c>
      <c r="H171" s="260">
        <v>4</v>
      </c>
      <c r="I171" s="262" t="s">
        <v>581</v>
      </c>
      <c r="J171" s="112">
        <v>75</v>
      </c>
      <c r="K171" s="75">
        <v>400</v>
      </c>
      <c r="L171" s="75">
        <v>1400</v>
      </c>
      <c r="M171" s="202">
        <v>19.067706928708159</v>
      </c>
      <c r="N171" s="87">
        <v>4952.312820000001</v>
      </c>
      <c r="O171" s="123">
        <v>53941.958096787581</v>
      </c>
      <c r="P171" s="123">
        <v>61053.978077727974</v>
      </c>
      <c r="Q171" s="120">
        <v>21124.04160017813</v>
      </c>
      <c r="R171" s="123">
        <v>75065.999696965708</v>
      </c>
      <c r="S171" s="123">
        <v>82178.019677906108</v>
      </c>
      <c r="U171" s="7" t="s">
        <v>6182</v>
      </c>
    </row>
    <row r="172" spans="1:21" ht="16.5" thickBot="1">
      <c r="A172" s="259" t="s">
        <v>10</v>
      </c>
      <c r="B172" s="263">
        <f t="shared" si="9"/>
        <v>75</v>
      </c>
      <c r="C172" s="263" t="s">
        <v>3</v>
      </c>
      <c r="D172" s="263">
        <f t="shared" si="10"/>
        <v>400</v>
      </c>
      <c r="E172" s="263" t="s">
        <v>3</v>
      </c>
      <c r="F172" s="261">
        <f t="shared" si="11"/>
        <v>1450</v>
      </c>
      <c r="G172" s="263" t="s">
        <v>3</v>
      </c>
      <c r="H172" s="260">
        <v>4</v>
      </c>
      <c r="I172" s="262" t="s">
        <v>581</v>
      </c>
      <c r="J172" s="112">
        <v>75</v>
      </c>
      <c r="K172" s="75">
        <v>400</v>
      </c>
      <c r="L172" s="75">
        <v>1450</v>
      </c>
      <c r="M172" s="202">
        <v>19.679212123480003</v>
      </c>
      <c r="N172" s="87">
        <v>5188.1372400000009</v>
      </c>
      <c r="O172" s="123">
        <v>55244.541900811862</v>
      </c>
      <c r="P172" s="123">
        <v>61949.422050078785</v>
      </c>
      <c r="Q172" s="120">
        <v>21726.433297178104</v>
      </c>
      <c r="R172" s="123">
        <v>76970.975197989959</v>
      </c>
      <c r="S172" s="123">
        <v>83675.855347256889</v>
      </c>
      <c r="U172" s="7" t="s">
        <v>6183</v>
      </c>
    </row>
    <row r="173" spans="1:21" ht="16.5" thickBot="1">
      <c r="A173" s="259" t="s">
        <v>10</v>
      </c>
      <c r="B173" s="263">
        <f t="shared" si="9"/>
        <v>75</v>
      </c>
      <c r="C173" s="263" t="s">
        <v>3</v>
      </c>
      <c r="D173" s="263">
        <f t="shared" si="10"/>
        <v>400</v>
      </c>
      <c r="E173" s="263" t="s">
        <v>3</v>
      </c>
      <c r="F173" s="261">
        <f t="shared" si="11"/>
        <v>1500</v>
      </c>
      <c r="G173" s="263" t="s">
        <v>3</v>
      </c>
      <c r="H173" s="260">
        <v>4</v>
      </c>
      <c r="I173" s="262" t="s">
        <v>581</v>
      </c>
      <c r="J173" s="112">
        <v>75</v>
      </c>
      <c r="K173" s="75">
        <v>400</v>
      </c>
      <c r="L173" s="75">
        <v>1500</v>
      </c>
      <c r="M173" s="202">
        <v>20.947323971051841</v>
      </c>
      <c r="N173" s="87">
        <v>5423.9616600000008</v>
      </c>
      <c r="O173" s="123">
        <v>57180.457487614578</v>
      </c>
      <c r="P173" s="123">
        <v>63607.680357147969</v>
      </c>
      <c r="Q173" s="120">
        <v>22559.406912354716</v>
      </c>
      <c r="R173" s="123">
        <v>79739.864399969287</v>
      </c>
      <c r="S173" s="123">
        <v>86167.087269502692</v>
      </c>
      <c r="U173" s="7" t="s">
        <v>6184</v>
      </c>
    </row>
    <row r="174" spans="1:21" ht="16.5" thickBot="1">
      <c r="A174" s="259" t="s">
        <v>10</v>
      </c>
      <c r="B174" s="263">
        <f t="shared" si="9"/>
        <v>75</v>
      </c>
      <c r="C174" s="263" t="s">
        <v>3</v>
      </c>
      <c r="D174" s="263">
        <f t="shared" si="10"/>
        <v>400</v>
      </c>
      <c r="E174" s="263" t="s">
        <v>3</v>
      </c>
      <c r="F174" s="261">
        <f t="shared" si="11"/>
        <v>1550</v>
      </c>
      <c r="G174" s="263" t="s">
        <v>3</v>
      </c>
      <c r="H174" s="260">
        <v>4</v>
      </c>
      <c r="I174" s="262" t="s">
        <v>581</v>
      </c>
      <c r="J174" s="112">
        <v>75</v>
      </c>
      <c r="K174" s="75">
        <v>400</v>
      </c>
      <c r="L174" s="75">
        <v>1550</v>
      </c>
      <c r="M174" s="202">
        <v>21.627829165823684</v>
      </c>
      <c r="N174" s="87">
        <v>5659.7860800000008</v>
      </c>
      <c r="O174" s="123">
        <v>58483.041410973208</v>
      </c>
      <c r="P174" s="123">
        <v>64498.954309688459</v>
      </c>
      <c r="Q174" s="120">
        <v>23161.79860935469</v>
      </c>
      <c r="R174" s="123">
        <v>81644.840020327902</v>
      </c>
      <c r="S174" s="123">
        <v>87660.752919043152</v>
      </c>
      <c r="U174" s="7" t="s">
        <v>6185</v>
      </c>
    </row>
    <row r="175" spans="1:21" ht="16.5" thickBot="1">
      <c r="A175" s="259" t="s">
        <v>10</v>
      </c>
      <c r="B175" s="260">
        <f t="shared" si="9"/>
        <v>75</v>
      </c>
      <c r="C175" s="260" t="s">
        <v>3</v>
      </c>
      <c r="D175" s="260">
        <f t="shared" si="10"/>
        <v>400</v>
      </c>
      <c r="E175" s="260" t="s">
        <v>3</v>
      </c>
      <c r="F175" s="261">
        <f t="shared" si="11"/>
        <v>1600</v>
      </c>
      <c r="G175" s="260" t="s">
        <v>3</v>
      </c>
      <c r="H175" s="260">
        <v>4</v>
      </c>
      <c r="I175" s="262" t="s">
        <v>581</v>
      </c>
      <c r="J175" s="112">
        <v>75</v>
      </c>
      <c r="K175" s="75">
        <v>400</v>
      </c>
      <c r="L175" s="75">
        <v>1600</v>
      </c>
      <c r="M175" s="202">
        <v>22.239334360595524</v>
      </c>
      <c r="N175" s="87">
        <v>5895.6105000000007</v>
      </c>
      <c r="O175" s="123">
        <v>61731.666560755832</v>
      </c>
      <c r="P175" s="123">
        <v>65237.586968745105</v>
      </c>
      <c r="Q175" s="120">
        <v>23764.190446748027</v>
      </c>
      <c r="R175" s="123">
        <v>85495.857007503859</v>
      </c>
      <c r="S175" s="123">
        <v>89001.777415493125</v>
      </c>
      <c r="U175" s="7" t="s">
        <v>6186</v>
      </c>
    </row>
    <row r="176" spans="1:21" ht="16.5" thickBot="1">
      <c r="A176" s="259" t="s">
        <v>10</v>
      </c>
      <c r="B176" s="263">
        <f t="shared" si="9"/>
        <v>75</v>
      </c>
      <c r="C176" s="263" t="s">
        <v>3</v>
      </c>
      <c r="D176" s="263">
        <f t="shared" si="10"/>
        <v>400</v>
      </c>
      <c r="E176" s="263" t="s">
        <v>3</v>
      </c>
      <c r="F176" s="261">
        <f t="shared" si="11"/>
        <v>1650</v>
      </c>
      <c r="G176" s="263" t="s">
        <v>3</v>
      </c>
      <c r="H176" s="260">
        <v>4</v>
      </c>
      <c r="I176" s="262" t="s">
        <v>581</v>
      </c>
      <c r="J176" s="112">
        <v>75</v>
      </c>
      <c r="K176" s="75">
        <v>400</v>
      </c>
      <c r="L176" s="75">
        <v>1650</v>
      </c>
      <c r="M176" s="202">
        <v>22.905879555367367</v>
      </c>
      <c r="N176" s="87">
        <v>6131.4349200000015</v>
      </c>
      <c r="O176" s="123">
        <v>65232.551894172742</v>
      </c>
      <c r="P176" s="123">
        <v>82424.156429543262</v>
      </c>
      <c r="Q176" s="120">
        <v>24597.164061924639</v>
      </c>
      <c r="R176" s="123">
        <v>89829.715956097381</v>
      </c>
      <c r="S176" s="123">
        <v>107021.32049146789</v>
      </c>
      <c r="U176" s="7" t="s">
        <v>6187</v>
      </c>
    </row>
    <row r="177" spans="1:21" ht="16.5" thickBot="1">
      <c r="A177" s="259" t="s">
        <v>10</v>
      </c>
      <c r="B177" s="263">
        <f t="shared" si="9"/>
        <v>75</v>
      </c>
      <c r="C177" s="263" t="s">
        <v>3</v>
      </c>
      <c r="D177" s="263">
        <f t="shared" si="10"/>
        <v>400</v>
      </c>
      <c r="E177" s="263" t="s">
        <v>3</v>
      </c>
      <c r="F177" s="261">
        <f t="shared" si="11"/>
        <v>1700</v>
      </c>
      <c r="G177" s="263" t="s">
        <v>3</v>
      </c>
      <c r="H177" s="260">
        <v>4</v>
      </c>
      <c r="I177" s="262" t="s">
        <v>581</v>
      </c>
      <c r="J177" s="112">
        <v>75</v>
      </c>
      <c r="K177" s="75">
        <v>400</v>
      </c>
      <c r="L177" s="75">
        <v>1700</v>
      </c>
      <c r="M177" s="202">
        <v>23.517384750139207</v>
      </c>
      <c r="N177" s="87">
        <v>6367.2593400000014</v>
      </c>
      <c r="O177" s="123">
        <v>66329.988241813044</v>
      </c>
      <c r="P177" s="123">
        <v>83083.700839424346</v>
      </c>
      <c r="Q177" s="120">
        <v>25199.55575892462</v>
      </c>
      <c r="R177" s="123">
        <v>91529.54400073766</v>
      </c>
      <c r="S177" s="123">
        <v>108283.25659834896</v>
      </c>
      <c r="U177" s="7" t="s">
        <v>6188</v>
      </c>
    </row>
    <row r="178" spans="1:21" ht="16.5" thickBot="1">
      <c r="A178" s="259" t="s">
        <v>10</v>
      </c>
      <c r="B178" s="263">
        <f t="shared" si="9"/>
        <v>75</v>
      </c>
      <c r="C178" s="263" t="s">
        <v>3</v>
      </c>
      <c r="D178" s="263">
        <f t="shared" si="10"/>
        <v>400</v>
      </c>
      <c r="E178" s="263" t="s">
        <v>3</v>
      </c>
      <c r="F178" s="261">
        <f t="shared" si="11"/>
        <v>1750</v>
      </c>
      <c r="G178" s="263" t="s">
        <v>3</v>
      </c>
      <c r="H178" s="260">
        <v>4</v>
      </c>
      <c r="I178" s="262" t="s">
        <v>581</v>
      </c>
      <c r="J178" s="112">
        <v>75</v>
      </c>
      <c r="K178" s="75">
        <v>400</v>
      </c>
      <c r="L178" s="75">
        <v>1750</v>
      </c>
      <c r="M178" s="202">
        <v>24.14592994491105</v>
      </c>
      <c r="N178" s="87">
        <v>6603.0837600000004</v>
      </c>
      <c r="O178" s="123">
        <v>67351.27089147846</v>
      </c>
      <c r="P178" s="123">
        <v>74103.571889308369</v>
      </c>
      <c r="Q178" s="120">
        <v>26032.529374101232</v>
      </c>
      <c r="R178" s="123">
        <v>93383.800265579688</v>
      </c>
      <c r="S178" s="123">
        <v>100136.1012634096</v>
      </c>
      <c r="U178" s="7" t="s">
        <v>6189</v>
      </c>
    </row>
    <row r="179" spans="1:21" ht="16.5" thickBot="1">
      <c r="A179" s="259" t="s">
        <v>10</v>
      </c>
      <c r="B179" s="263">
        <f t="shared" si="9"/>
        <v>75</v>
      </c>
      <c r="C179" s="263" t="s">
        <v>3</v>
      </c>
      <c r="D179" s="263">
        <f t="shared" si="10"/>
        <v>400</v>
      </c>
      <c r="E179" s="263" t="s">
        <v>3</v>
      </c>
      <c r="F179" s="261">
        <f t="shared" si="11"/>
        <v>1800</v>
      </c>
      <c r="G179" s="263" t="s">
        <v>3</v>
      </c>
      <c r="H179" s="260">
        <v>4</v>
      </c>
      <c r="I179" s="262" t="s">
        <v>581</v>
      </c>
      <c r="J179" s="112">
        <v>75</v>
      </c>
      <c r="K179" s="75">
        <v>400</v>
      </c>
      <c r="L179" s="75">
        <v>1800</v>
      </c>
      <c r="M179" s="202">
        <v>24.8264351396829</v>
      </c>
      <c r="N179" s="87">
        <v>6838.9081800000004</v>
      </c>
      <c r="O179" s="123">
        <v>68449.403913101502</v>
      </c>
      <c r="P179" s="123">
        <v>74807.006998770419</v>
      </c>
      <c r="Q179" s="120">
        <v>26634.921071101206</v>
      </c>
      <c r="R179" s="123">
        <v>95084.324984202714</v>
      </c>
      <c r="S179" s="123">
        <v>101441.92806987162</v>
      </c>
      <c r="U179" s="7" t="s">
        <v>6190</v>
      </c>
    </row>
    <row r="180" spans="1:21" ht="16.5" thickBot="1">
      <c r="A180" s="259" t="s">
        <v>10</v>
      </c>
      <c r="B180" s="263">
        <f t="shared" si="9"/>
        <v>75</v>
      </c>
      <c r="C180" s="263" t="s">
        <v>3</v>
      </c>
      <c r="D180" s="263">
        <f t="shared" si="10"/>
        <v>400</v>
      </c>
      <c r="E180" s="263" t="s">
        <v>3</v>
      </c>
      <c r="F180" s="261">
        <f t="shared" si="11"/>
        <v>1850</v>
      </c>
      <c r="G180" s="263" t="s">
        <v>3</v>
      </c>
      <c r="H180" s="260">
        <v>4</v>
      </c>
      <c r="I180" s="262" t="s">
        <v>581</v>
      </c>
      <c r="J180" s="112">
        <v>75</v>
      </c>
      <c r="K180" s="75">
        <v>400</v>
      </c>
      <c r="L180" s="75">
        <v>1850</v>
      </c>
      <c r="M180" s="202">
        <v>25.51698033445474</v>
      </c>
      <c r="N180" s="87">
        <v>7074.7326000000012</v>
      </c>
      <c r="O180" s="123">
        <v>69547.488723643852</v>
      </c>
      <c r="P180" s="123">
        <v>75510.390078452299</v>
      </c>
      <c r="Q180" s="120">
        <v>27467.894686277818</v>
      </c>
      <c r="R180" s="123">
        <v>97015.383409921662</v>
      </c>
      <c r="S180" s="123">
        <v>102978.28476473011</v>
      </c>
      <c r="U180" s="7" t="s">
        <v>6191</v>
      </c>
    </row>
    <row r="181" spans="1:21" ht="16.5" thickBot="1">
      <c r="A181" s="259" t="s">
        <v>10</v>
      </c>
      <c r="B181" s="263">
        <f t="shared" si="9"/>
        <v>75</v>
      </c>
      <c r="C181" s="263" t="s">
        <v>3</v>
      </c>
      <c r="D181" s="263">
        <f t="shared" si="10"/>
        <v>400</v>
      </c>
      <c r="E181" s="263" t="s">
        <v>3</v>
      </c>
      <c r="F181" s="261">
        <f t="shared" si="11"/>
        <v>1900</v>
      </c>
      <c r="G181" s="263" t="s">
        <v>3</v>
      </c>
      <c r="H181" s="260">
        <v>4</v>
      </c>
      <c r="I181" s="262" t="s">
        <v>581</v>
      </c>
      <c r="J181" s="112">
        <v>75</v>
      </c>
      <c r="K181" s="75">
        <v>400</v>
      </c>
      <c r="L181" s="75">
        <v>1900</v>
      </c>
      <c r="M181" s="202">
        <v>26.12848552922658</v>
      </c>
      <c r="N181" s="87">
        <v>7310.5570200000011</v>
      </c>
      <c r="O181" s="123">
        <v>70820.627968144385</v>
      </c>
      <c r="P181" s="123">
        <v>76213.720889685341</v>
      </c>
      <c r="Q181" s="120">
        <v>28070.286383277791</v>
      </c>
      <c r="R181" s="123">
        <v>98890.91435142218</v>
      </c>
      <c r="S181" s="123">
        <v>104284.00727296314</v>
      </c>
      <c r="U181" s="7" t="s">
        <v>6192</v>
      </c>
    </row>
    <row r="182" spans="1:21" ht="16.5" thickBot="1">
      <c r="A182" s="259" t="s">
        <v>10</v>
      </c>
      <c r="B182" s="263">
        <f t="shared" si="9"/>
        <v>75</v>
      </c>
      <c r="C182" s="263" t="s">
        <v>3</v>
      </c>
      <c r="D182" s="263">
        <f t="shared" si="10"/>
        <v>400</v>
      </c>
      <c r="E182" s="263" t="s">
        <v>3</v>
      </c>
      <c r="F182" s="261">
        <f t="shared" si="11"/>
        <v>1950</v>
      </c>
      <c r="G182" s="263" t="s">
        <v>3</v>
      </c>
      <c r="H182" s="260">
        <v>4</v>
      </c>
      <c r="I182" s="262" t="s">
        <v>581</v>
      </c>
      <c r="J182" s="112">
        <v>75</v>
      </c>
      <c r="K182" s="75">
        <v>400</v>
      </c>
      <c r="L182" s="75">
        <v>1950</v>
      </c>
      <c r="M182" s="202">
        <v>26.932490723998423</v>
      </c>
      <c r="N182" s="87">
        <v>7546.381440000001</v>
      </c>
      <c r="O182" s="123">
        <v>72277.213596669477</v>
      </c>
      <c r="P182" s="123">
        <v>76971.82497795418</v>
      </c>
      <c r="Q182" s="120">
        <v>28672.678220671129</v>
      </c>
      <c r="R182" s="123">
        <v>100949.8918173406</v>
      </c>
      <c r="S182" s="123">
        <v>105644.50319862532</v>
      </c>
      <c r="U182" s="7" t="s">
        <v>6193</v>
      </c>
    </row>
    <row r="183" spans="1:21" ht="16.5" thickBot="1">
      <c r="A183" s="259" t="s">
        <v>10</v>
      </c>
      <c r="B183" s="263">
        <f t="shared" si="9"/>
        <v>75</v>
      </c>
      <c r="C183" s="263" t="s">
        <v>3</v>
      </c>
      <c r="D183" s="263">
        <f t="shared" si="10"/>
        <v>400</v>
      </c>
      <c r="E183" s="263" t="s">
        <v>3</v>
      </c>
      <c r="F183" s="261">
        <f t="shared" si="11"/>
        <v>2000</v>
      </c>
      <c r="G183" s="263" t="s">
        <v>3</v>
      </c>
      <c r="H183" s="260">
        <v>4</v>
      </c>
      <c r="I183" s="262" t="s">
        <v>581</v>
      </c>
      <c r="J183" s="112">
        <v>75</v>
      </c>
      <c r="K183" s="75">
        <v>400</v>
      </c>
      <c r="L183" s="75">
        <v>2000</v>
      </c>
      <c r="M183" s="202">
        <v>27.652598318770266</v>
      </c>
      <c r="N183" s="87">
        <v>7782.2058600000018</v>
      </c>
      <c r="O183" s="123">
        <v>73581.580375338512</v>
      </c>
      <c r="P183" s="123">
        <v>93926.93196638643</v>
      </c>
      <c r="Q183" s="120">
        <v>29505.651695454384</v>
      </c>
      <c r="R183" s="123">
        <v>103087.2320707929</v>
      </c>
      <c r="S183" s="123">
        <v>123432.58366184082</v>
      </c>
      <c r="U183" s="7" t="s">
        <v>6194</v>
      </c>
    </row>
    <row r="184" spans="1:21" ht="16.5" thickBot="1">
      <c r="A184" s="259" t="s">
        <v>10</v>
      </c>
      <c r="B184" s="263">
        <f t="shared" si="9"/>
        <v>75</v>
      </c>
      <c r="C184" s="263" t="s">
        <v>3</v>
      </c>
      <c r="D184" s="263">
        <f t="shared" si="10"/>
        <v>400</v>
      </c>
      <c r="E184" s="263" t="s">
        <v>3</v>
      </c>
      <c r="F184" s="261">
        <f t="shared" si="11"/>
        <v>2050</v>
      </c>
      <c r="G184" s="263" t="s">
        <v>3</v>
      </c>
      <c r="H184" s="260">
        <v>4</v>
      </c>
      <c r="I184" s="262" t="s">
        <v>581</v>
      </c>
      <c r="J184" s="112">
        <v>75</v>
      </c>
      <c r="K184" s="75">
        <v>400</v>
      </c>
      <c r="L184" s="75">
        <v>2050</v>
      </c>
      <c r="M184" s="202">
        <v>28.264103513542103</v>
      </c>
      <c r="N184" s="87">
        <v>8018.0302800000018</v>
      </c>
      <c r="O184" s="123">
        <v>76823.635452700197</v>
      </c>
      <c r="P184" s="123">
        <v>94549.037369424244</v>
      </c>
      <c r="Q184" s="120">
        <v>30108.043532847722</v>
      </c>
      <c r="R184" s="123">
        <v>106931.67898554791</v>
      </c>
      <c r="S184" s="123">
        <v>124657.08090227196</v>
      </c>
      <c r="U184" s="7" t="s">
        <v>6195</v>
      </c>
    </row>
    <row r="185" spans="1:21" ht="16.5" thickBot="1">
      <c r="A185" s="259" t="s">
        <v>10</v>
      </c>
      <c r="B185" s="260">
        <f t="shared" si="9"/>
        <v>75</v>
      </c>
      <c r="C185" s="260" t="s">
        <v>3</v>
      </c>
      <c r="D185" s="260">
        <f t="shared" si="10"/>
        <v>400</v>
      </c>
      <c r="E185" s="260" t="s">
        <v>3</v>
      </c>
      <c r="F185" s="261">
        <f t="shared" si="11"/>
        <v>2100</v>
      </c>
      <c r="G185" s="260" t="s">
        <v>3</v>
      </c>
      <c r="H185" s="260">
        <v>4</v>
      </c>
      <c r="I185" s="262" t="s">
        <v>581</v>
      </c>
      <c r="J185" s="112">
        <v>75</v>
      </c>
      <c r="K185" s="75">
        <v>400</v>
      </c>
      <c r="L185" s="75">
        <v>2100</v>
      </c>
      <c r="M185" s="202">
        <v>28.892648708313949</v>
      </c>
      <c r="N185" s="87">
        <v>8253.8547000000017</v>
      </c>
      <c r="O185" s="123">
        <v>77983.650260403825</v>
      </c>
      <c r="P185" s="123">
        <v>94900.045541063402</v>
      </c>
      <c r="Q185" s="120">
        <v>30941.01700763097</v>
      </c>
      <c r="R185" s="123">
        <v>108924.6672680348</v>
      </c>
      <c r="S185" s="123">
        <v>125841.06254869438</v>
      </c>
      <c r="U185" s="7" t="s">
        <v>6196</v>
      </c>
    </row>
    <row r="186" spans="1:21" ht="16.5" thickBot="1">
      <c r="A186" s="259" t="s">
        <v>10</v>
      </c>
      <c r="B186" s="263">
        <f t="shared" si="9"/>
        <v>75</v>
      </c>
      <c r="C186" s="263" t="s">
        <v>3</v>
      </c>
      <c r="D186" s="263">
        <f t="shared" si="10"/>
        <v>400</v>
      </c>
      <c r="E186" s="263" t="s">
        <v>3</v>
      </c>
      <c r="F186" s="261">
        <f t="shared" si="11"/>
        <v>2150</v>
      </c>
      <c r="G186" s="263" t="s">
        <v>3</v>
      </c>
      <c r="H186" s="260">
        <v>4</v>
      </c>
      <c r="I186" s="262" t="s">
        <v>581</v>
      </c>
      <c r="J186" s="112">
        <v>75</v>
      </c>
      <c r="K186" s="75">
        <v>400</v>
      </c>
      <c r="L186" s="75">
        <v>2150</v>
      </c>
      <c r="M186" s="202">
        <v>29.628153903085792</v>
      </c>
      <c r="N186" s="87">
        <v>8489.6791200000025</v>
      </c>
      <c r="O186" s="123">
        <v>79291.282265779868</v>
      </c>
      <c r="P186" s="123">
        <v>95520.988508118724</v>
      </c>
      <c r="Q186" s="120">
        <v>31543.408845024307</v>
      </c>
      <c r="R186" s="123">
        <v>110834.69111080418</v>
      </c>
      <c r="S186" s="123">
        <v>127064.39735314302</v>
      </c>
      <c r="U186" s="7" t="s">
        <v>6197</v>
      </c>
    </row>
    <row r="187" spans="1:21" ht="16.5" thickBot="1">
      <c r="A187" s="259" t="s">
        <v>10</v>
      </c>
      <c r="B187" s="263">
        <f t="shared" si="9"/>
        <v>75</v>
      </c>
      <c r="C187" s="263" t="s">
        <v>3</v>
      </c>
      <c r="D187" s="263">
        <f t="shared" si="10"/>
        <v>400</v>
      </c>
      <c r="E187" s="263" t="s">
        <v>3</v>
      </c>
      <c r="F187" s="261">
        <f t="shared" si="11"/>
        <v>2200</v>
      </c>
      <c r="G187" s="263" t="s">
        <v>3</v>
      </c>
      <c r="H187" s="260">
        <v>4</v>
      </c>
      <c r="I187" s="262" t="s">
        <v>581</v>
      </c>
      <c r="J187" s="112">
        <v>75</v>
      </c>
      <c r="K187" s="75">
        <v>400</v>
      </c>
      <c r="L187" s="75">
        <v>2200</v>
      </c>
      <c r="M187" s="202">
        <v>30.256699097857627</v>
      </c>
      <c r="N187" s="87">
        <v>8725.5035400000015</v>
      </c>
      <c r="O187" s="123">
        <v>80598.866298743931</v>
      </c>
      <c r="P187" s="123">
        <v>101442.04503158193</v>
      </c>
      <c r="Q187" s="120">
        <v>32376.382319807555</v>
      </c>
      <c r="R187" s="123">
        <v>112975.24861855149</v>
      </c>
      <c r="S187" s="123">
        <v>133818.42735138949</v>
      </c>
      <c r="U187" s="7" t="s">
        <v>6198</v>
      </c>
    </row>
    <row r="188" spans="1:21" ht="16.5" thickBot="1">
      <c r="A188" s="259" t="s">
        <v>10</v>
      </c>
      <c r="B188" s="263">
        <f t="shared" si="9"/>
        <v>75</v>
      </c>
      <c r="C188" s="263" t="s">
        <v>3</v>
      </c>
      <c r="D188" s="263">
        <f t="shared" si="10"/>
        <v>400</v>
      </c>
      <c r="E188" s="263" t="s">
        <v>3</v>
      </c>
      <c r="F188" s="261">
        <f t="shared" si="11"/>
        <v>2250</v>
      </c>
      <c r="G188" s="263" t="s">
        <v>3</v>
      </c>
      <c r="H188" s="260">
        <v>4</v>
      </c>
      <c r="I188" s="262" t="s">
        <v>581</v>
      </c>
      <c r="J188" s="112">
        <v>75</v>
      </c>
      <c r="K188" s="75">
        <v>400</v>
      </c>
      <c r="L188" s="75">
        <v>2250</v>
      </c>
      <c r="M188" s="202">
        <v>30.868204292629471</v>
      </c>
      <c r="N188" s="87">
        <v>8961.3279600000005</v>
      </c>
      <c r="O188" s="123">
        <v>82226.061275721397</v>
      </c>
      <c r="P188" s="123">
        <v>102038.22456797966</v>
      </c>
      <c r="Q188" s="120">
        <v>32978.774157200758</v>
      </c>
      <c r="R188" s="123">
        <v>115204.83543292215</v>
      </c>
      <c r="S188" s="123">
        <v>135016.99872518043</v>
      </c>
      <c r="U188" s="7" t="s">
        <v>6199</v>
      </c>
    </row>
    <row r="189" spans="1:21" ht="16.5" thickBot="1">
      <c r="A189" s="259" t="s">
        <v>10</v>
      </c>
      <c r="B189" s="263">
        <f t="shared" si="9"/>
        <v>75</v>
      </c>
      <c r="C189" s="263" t="s">
        <v>3</v>
      </c>
      <c r="D189" s="263">
        <f t="shared" si="10"/>
        <v>400</v>
      </c>
      <c r="E189" s="263" t="s">
        <v>3</v>
      </c>
      <c r="F189" s="261">
        <f t="shared" si="11"/>
        <v>2300</v>
      </c>
      <c r="G189" s="263" t="s">
        <v>3</v>
      </c>
      <c r="H189" s="260">
        <v>4</v>
      </c>
      <c r="I189" s="262" t="s">
        <v>581</v>
      </c>
      <c r="J189" s="112">
        <v>75</v>
      </c>
      <c r="K189" s="75">
        <v>400</v>
      </c>
      <c r="L189" s="75">
        <v>2300</v>
      </c>
      <c r="M189" s="202">
        <v>31.479709487401315</v>
      </c>
      <c r="N189" s="87">
        <v>9197.1523800000014</v>
      </c>
      <c r="O189" s="123">
        <v>83290.739864718969</v>
      </c>
      <c r="P189" s="123">
        <v>102630.46344520339</v>
      </c>
      <c r="Q189" s="120">
        <v>33581.165854200874</v>
      </c>
      <c r="R189" s="123">
        <v>116871.90571891985</v>
      </c>
      <c r="S189" s="123">
        <v>136211.62929940427</v>
      </c>
      <c r="U189" s="7" t="s">
        <v>6200</v>
      </c>
    </row>
    <row r="190" spans="1:21" ht="16.5" thickBot="1">
      <c r="A190" s="259" t="s">
        <v>10</v>
      </c>
      <c r="B190" s="263">
        <f t="shared" si="9"/>
        <v>75</v>
      </c>
      <c r="C190" s="263" t="s">
        <v>3</v>
      </c>
      <c r="D190" s="263">
        <f t="shared" si="10"/>
        <v>400</v>
      </c>
      <c r="E190" s="263" t="s">
        <v>3</v>
      </c>
      <c r="F190" s="261">
        <f t="shared" si="11"/>
        <v>2350</v>
      </c>
      <c r="G190" s="263" t="s">
        <v>3</v>
      </c>
      <c r="H190" s="260">
        <v>4</v>
      </c>
      <c r="I190" s="262" t="s">
        <v>581</v>
      </c>
      <c r="J190" s="112">
        <v>75</v>
      </c>
      <c r="K190" s="75">
        <v>400</v>
      </c>
      <c r="L190" s="75">
        <v>2350</v>
      </c>
      <c r="M190" s="202">
        <v>32.108254682173154</v>
      </c>
      <c r="N190" s="87">
        <v>9432.9768000000022</v>
      </c>
      <c r="O190" s="123">
        <v>84355.37024263585</v>
      </c>
      <c r="P190" s="123">
        <v>103226.45538799015</v>
      </c>
      <c r="Q190" s="120">
        <v>34414.139469377486</v>
      </c>
      <c r="R190" s="123">
        <v>118769.50971201333</v>
      </c>
      <c r="S190" s="123">
        <v>137640.59485736763</v>
      </c>
      <c r="U190" s="7" t="s">
        <v>6201</v>
      </c>
    </row>
    <row r="191" spans="1:21" ht="16.5" thickBot="1">
      <c r="A191" s="259" t="s">
        <v>10</v>
      </c>
      <c r="B191" s="263">
        <f t="shared" si="9"/>
        <v>75</v>
      </c>
      <c r="C191" s="263" t="s">
        <v>3</v>
      </c>
      <c r="D191" s="263">
        <f t="shared" si="10"/>
        <v>400</v>
      </c>
      <c r="E191" s="263" t="s">
        <v>3</v>
      </c>
      <c r="F191" s="261">
        <f t="shared" si="11"/>
        <v>2400</v>
      </c>
      <c r="G191" s="263" t="s">
        <v>3</v>
      </c>
      <c r="H191" s="260">
        <v>4</v>
      </c>
      <c r="I191" s="262" t="s">
        <v>581</v>
      </c>
      <c r="J191" s="112">
        <v>75</v>
      </c>
      <c r="K191" s="75">
        <v>400</v>
      </c>
      <c r="L191" s="75">
        <v>2400</v>
      </c>
      <c r="M191" s="202">
        <v>32.719759876945005</v>
      </c>
      <c r="N191" s="87">
        <v>9668.8012199999994</v>
      </c>
      <c r="O191" s="123">
        <v>85419.952528806403</v>
      </c>
      <c r="P191" s="123">
        <v>103822.34315188228</v>
      </c>
      <c r="Q191" s="120">
        <v>35016.531306770819</v>
      </c>
      <c r="R191" s="123">
        <v>120436.48383557722</v>
      </c>
      <c r="S191" s="123">
        <v>138838.8744586531</v>
      </c>
      <c r="U191" s="7" t="s">
        <v>6202</v>
      </c>
    </row>
    <row r="192" spans="1:21" ht="16.5" thickBot="1">
      <c r="A192" s="259" t="s">
        <v>10</v>
      </c>
      <c r="B192" s="263">
        <f t="shared" si="9"/>
        <v>75</v>
      </c>
      <c r="C192" s="263" t="s">
        <v>3</v>
      </c>
      <c r="D192" s="263">
        <f t="shared" si="10"/>
        <v>400</v>
      </c>
      <c r="E192" s="263" t="s">
        <v>3</v>
      </c>
      <c r="F192" s="261">
        <f t="shared" si="11"/>
        <v>2450</v>
      </c>
      <c r="G192" s="263" t="s">
        <v>3</v>
      </c>
      <c r="H192" s="260">
        <v>4</v>
      </c>
      <c r="I192" s="262" t="s">
        <v>581</v>
      </c>
      <c r="J192" s="112">
        <v>75</v>
      </c>
      <c r="K192" s="75">
        <v>400</v>
      </c>
      <c r="L192" s="75">
        <v>2450</v>
      </c>
      <c r="M192" s="202">
        <v>34.10187172451684</v>
      </c>
      <c r="N192" s="87">
        <v>9904.625640000002</v>
      </c>
      <c r="O192" s="123">
        <v>87117.818625343425</v>
      </c>
      <c r="P192" s="123">
        <v>105185.11097207408</v>
      </c>
      <c r="Q192" s="120">
        <v>35849.504781554067</v>
      </c>
      <c r="R192" s="123">
        <v>122967.32340689749</v>
      </c>
      <c r="S192" s="123">
        <v>141034.61575362814</v>
      </c>
      <c r="U192" s="7" t="s">
        <v>6203</v>
      </c>
    </row>
    <row r="193" spans="1:21" ht="16.5" thickBot="1">
      <c r="A193" s="259" t="s">
        <v>10</v>
      </c>
      <c r="B193" s="263">
        <f t="shared" si="9"/>
        <v>75</v>
      </c>
      <c r="C193" s="263" t="s">
        <v>3</v>
      </c>
      <c r="D193" s="263">
        <f t="shared" si="10"/>
        <v>400</v>
      </c>
      <c r="E193" s="263" t="s">
        <v>3</v>
      </c>
      <c r="F193" s="261">
        <f t="shared" si="11"/>
        <v>2500</v>
      </c>
      <c r="G193" s="263" t="s">
        <v>3</v>
      </c>
      <c r="H193" s="260">
        <v>4</v>
      </c>
      <c r="I193" s="262" t="s">
        <v>581</v>
      </c>
      <c r="J193" s="112">
        <v>75</v>
      </c>
      <c r="K193" s="75">
        <v>400</v>
      </c>
      <c r="L193" s="75">
        <v>2500</v>
      </c>
      <c r="M193" s="202">
        <v>34.730376919288688</v>
      </c>
      <c r="N193" s="87">
        <v>10140.450060000001</v>
      </c>
      <c r="O193" s="123">
        <v>88182.30472802135</v>
      </c>
      <c r="P193" s="123">
        <v>105780.7901395082</v>
      </c>
      <c r="Q193" s="120">
        <v>36451.896618947409</v>
      </c>
      <c r="R193" s="123">
        <v>124634.20134696877</v>
      </c>
      <c r="S193" s="123">
        <v>142232.68675845562</v>
      </c>
      <c r="U193" s="7" t="s">
        <v>6204</v>
      </c>
    </row>
    <row r="194" spans="1:21" ht="16.5" thickBot="1">
      <c r="A194" s="259" t="s">
        <v>10</v>
      </c>
      <c r="B194" s="263">
        <f t="shared" si="9"/>
        <v>75</v>
      </c>
      <c r="C194" s="263" t="s">
        <v>3</v>
      </c>
      <c r="D194" s="263">
        <f t="shared" si="10"/>
        <v>400</v>
      </c>
      <c r="E194" s="263" t="s">
        <v>3</v>
      </c>
      <c r="F194" s="261">
        <f t="shared" si="11"/>
        <v>2550</v>
      </c>
      <c r="G194" s="263" t="s">
        <v>3</v>
      </c>
      <c r="H194" s="260">
        <v>4</v>
      </c>
      <c r="I194" s="262" t="s">
        <v>581</v>
      </c>
      <c r="J194" s="112">
        <v>75</v>
      </c>
      <c r="K194" s="75">
        <v>400</v>
      </c>
      <c r="L194" s="75">
        <v>2550</v>
      </c>
      <c r="M194" s="202">
        <v>35.358922114060533</v>
      </c>
      <c r="N194" s="87">
        <v>10376.274480000002</v>
      </c>
      <c r="O194" s="123">
        <v>92541.07855661225</v>
      </c>
      <c r="P194" s="123">
        <v>112419.21119471994</v>
      </c>
      <c r="Q194" s="120">
        <v>37284.870093730657</v>
      </c>
      <c r="R194" s="123">
        <v>129825.94865034291</v>
      </c>
      <c r="S194" s="123">
        <v>149704.0812884506</v>
      </c>
      <c r="U194" s="7" t="s">
        <v>6205</v>
      </c>
    </row>
    <row r="195" spans="1:21" ht="16.5" thickBot="1">
      <c r="A195" s="259" t="s">
        <v>10</v>
      </c>
      <c r="B195" s="260">
        <f t="shared" si="9"/>
        <v>75</v>
      </c>
      <c r="C195" s="260" t="s">
        <v>3</v>
      </c>
      <c r="D195" s="260">
        <f t="shared" si="10"/>
        <v>400</v>
      </c>
      <c r="E195" s="260" t="s">
        <v>3</v>
      </c>
      <c r="F195" s="261">
        <f t="shared" si="11"/>
        <v>2600</v>
      </c>
      <c r="G195" s="260" t="s">
        <v>3</v>
      </c>
      <c r="H195" s="260">
        <v>4</v>
      </c>
      <c r="I195" s="262" t="s">
        <v>581</v>
      </c>
      <c r="J195" s="112">
        <v>75</v>
      </c>
      <c r="K195" s="75">
        <v>400</v>
      </c>
      <c r="L195" s="75">
        <v>2600</v>
      </c>
      <c r="M195" s="202">
        <v>35.97042730883237</v>
      </c>
      <c r="N195" s="87">
        <v>10612.098900000001</v>
      </c>
      <c r="O195" s="123">
        <v>93876.072020956621</v>
      </c>
      <c r="P195" s="123">
        <v>112980.92291112299</v>
      </c>
      <c r="Q195" s="120">
        <v>37887.261931123991</v>
      </c>
      <c r="R195" s="123">
        <v>131763.3339520806</v>
      </c>
      <c r="S195" s="123">
        <v>150868.18484224699</v>
      </c>
      <c r="U195" s="7" t="s">
        <v>6206</v>
      </c>
    </row>
    <row r="196" spans="1:21" ht="16.5" thickBot="1">
      <c r="A196" s="259" t="s">
        <v>10</v>
      </c>
      <c r="B196" s="263">
        <f t="shared" si="9"/>
        <v>75</v>
      </c>
      <c r="C196" s="263" t="s">
        <v>3</v>
      </c>
      <c r="D196" s="263">
        <f t="shared" si="10"/>
        <v>400</v>
      </c>
      <c r="E196" s="263" t="s">
        <v>3</v>
      </c>
      <c r="F196" s="261">
        <f t="shared" si="11"/>
        <v>2650</v>
      </c>
      <c r="G196" s="263" t="s">
        <v>3</v>
      </c>
      <c r="H196" s="260">
        <v>4</v>
      </c>
      <c r="I196" s="262" t="s">
        <v>581</v>
      </c>
      <c r="J196" s="112">
        <v>75</v>
      </c>
      <c r="K196" s="75">
        <v>400</v>
      </c>
      <c r="L196" s="75">
        <v>2650</v>
      </c>
      <c r="M196" s="202">
        <v>36.705972503604222</v>
      </c>
      <c r="N196" s="87">
        <v>10847.923320000002</v>
      </c>
      <c r="O196" s="123">
        <v>94780.445663991559</v>
      </c>
      <c r="P196" s="123">
        <v>113542.53044863141</v>
      </c>
      <c r="Q196" s="120">
        <v>38720.235405907246</v>
      </c>
      <c r="R196" s="123">
        <v>133500.6810698988</v>
      </c>
      <c r="S196" s="123">
        <v>152262.76585453865</v>
      </c>
      <c r="U196" s="7" t="s">
        <v>6207</v>
      </c>
    </row>
    <row r="197" spans="1:21" ht="16.5" thickBot="1">
      <c r="A197" s="259" t="s">
        <v>10</v>
      </c>
      <c r="B197" s="263">
        <f t="shared" si="9"/>
        <v>75</v>
      </c>
      <c r="C197" s="263" t="s">
        <v>3</v>
      </c>
      <c r="D197" s="263">
        <f t="shared" si="10"/>
        <v>400</v>
      </c>
      <c r="E197" s="263" t="s">
        <v>3</v>
      </c>
      <c r="F197" s="261">
        <f t="shared" si="11"/>
        <v>2700</v>
      </c>
      <c r="G197" s="263" t="s">
        <v>3</v>
      </c>
      <c r="H197" s="260">
        <v>4</v>
      </c>
      <c r="I197" s="262" t="s">
        <v>581</v>
      </c>
      <c r="J197" s="112">
        <v>75</v>
      </c>
      <c r="K197" s="75">
        <v>400</v>
      </c>
      <c r="L197" s="75">
        <v>2700</v>
      </c>
      <c r="M197" s="202">
        <v>37.395977698376058</v>
      </c>
      <c r="N197" s="87">
        <v>11083.747740000001</v>
      </c>
      <c r="O197" s="123">
        <v>95744.395791976829</v>
      </c>
      <c r="P197" s="123">
        <v>114159.85985198835</v>
      </c>
      <c r="Q197" s="120">
        <v>39322.627243300587</v>
      </c>
      <c r="R197" s="123">
        <v>135067.02303527741</v>
      </c>
      <c r="S197" s="123">
        <v>153482.48709528893</v>
      </c>
      <c r="U197" s="7" t="s">
        <v>6208</v>
      </c>
    </row>
    <row r="198" spans="1:21" ht="16.5" thickBot="1">
      <c r="A198" s="259" t="s">
        <v>10</v>
      </c>
      <c r="B198" s="263">
        <f t="shared" si="9"/>
        <v>75</v>
      </c>
      <c r="C198" s="263" t="s">
        <v>3</v>
      </c>
      <c r="D198" s="263">
        <f t="shared" si="10"/>
        <v>400</v>
      </c>
      <c r="E198" s="263" t="s">
        <v>3</v>
      </c>
      <c r="F198" s="261">
        <f t="shared" si="11"/>
        <v>2750</v>
      </c>
      <c r="G198" s="263" t="s">
        <v>3</v>
      </c>
      <c r="H198" s="260">
        <v>4</v>
      </c>
      <c r="I198" s="262" t="s">
        <v>581</v>
      </c>
      <c r="J198" s="112">
        <v>75</v>
      </c>
      <c r="K198" s="75">
        <v>400</v>
      </c>
      <c r="L198" s="75">
        <v>2750</v>
      </c>
      <c r="M198" s="202">
        <v>38.007482893147902</v>
      </c>
      <c r="N198" s="87">
        <v>11319.572160000002</v>
      </c>
      <c r="O198" s="123">
        <v>96730.42731092083</v>
      </c>
      <c r="P198" s="123">
        <v>114717.6101450391</v>
      </c>
      <c r="Q198" s="120">
        <v>39925.018940300557</v>
      </c>
      <c r="R198" s="123">
        <v>136655.44625122138</v>
      </c>
      <c r="S198" s="123">
        <v>154642.62908533966</v>
      </c>
      <c r="U198" s="7" t="s">
        <v>6209</v>
      </c>
    </row>
    <row r="199" spans="1:21" ht="16.5" thickBot="1">
      <c r="A199" s="259" t="s">
        <v>10</v>
      </c>
      <c r="B199" s="263">
        <f t="shared" si="9"/>
        <v>75</v>
      </c>
      <c r="C199" s="263" t="s">
        <v>3</v>
      </c>
      <c r="D199" s="263">
        <f t="shared" si="10"/>
        <v>400</v>
      </c>
      <c r="E199" s="263" t="s">
        <v>3</v>
      </c>
      <c r="F199" s="261">
        <f t="shared" si="11"/>
        <v>2800</v>
      </c>
      <c r="G199" s="263" t="s">
        <v>3</v>
      </c>
      <c r="H199" s="260">
        <v>4</v>
      </c>
      <c r="I199" s="262" t="s">
        <v>581</v>
      </c>
      <c r="J199" s="112">
        <v>75</v>
      </c>
      <c r="K199" s="75">
        <v>400</v>
      </c>
      <c r="L199" s="75">
        <v>2800</v>
      </c>
      <c r="M199" s="202">
        <v>38.63602808791974</v>
      </c>
      <c r="N199" s="87">
        <v>11555.396580000002</v>
      </c>
      <c r="O199" s="123">
        <v>97633.566678689676</v>
      </c>
      <c r="P199" s="123">
        <v>115278.92567137317</v>
      </c>
      <c r="Q199" s="120">
        <v>40757.992555477169</v>
      </c>
      <c r="R199" s="123">
        <v>138391.55923416684</v>
      </c>
      <c r="S199" s="123">
        <v>156036.91822685034</v>
      </c>
      <c r="U199" s="7" t="s">
        <v>6210</v>
      </c>
    </row>
    <row r="200" spans="1:21" ht="16.5" thickBot="1">
      <c r="A200" s="259" t="s">
        <v>10</v>
      </c>
      <c r="B200" s="263">
        <f t="shared" si="9"/>
        <v>75</v>
      </c>
      <c r="C200" s="263" t="s">
        <v>3</v>
      </c>
      <c r="D200" s="263">
        <f t="shared" si="10"/>
        <v>400</v>
      </c>
      <c r="E200" s="263" t="s">
        <v>3</v>
      </c>
      <c r="F200" s="261">
        <f t="shared" si="11"/>
        <v>2850</v>
      </c>
      <c r="G200" s="263" t="s">
        <v>3</v>
      </c>
      <c r="H200" s="260">
        <v>4</v>
      </c>
      <c r="I200" s="262" t="s">
        <v>581</v>
      </c>
      <c r="J200" s="112">
        <v>75</v>
      </c>
      <c r="K200" s="75">
        <v>400</v>
      </c>
      <c r="L200" s="75">
        <v>2850</v>
      </c>
      <c r="M200" s="202">
        <v>39.247533282691577</v>
      </c>
      <c r="N200" s="87">
        <v>11791.221000000001</v>
      </c>
      <c r="O200" s="123">
        <v>98536.657835377846</v>
      </c>
      <c r="P200" s="123">
        <v>115834.72651834961</v>
      </c>
      <c r="Q200" s="120">
        <v>41360.384252477146</v>
      </c>
      <c r="R200" s="123">
        <v>139897.04208785499</v>
      </c>
      <c r="S200" s="123">
        <v>157195.11077082675</v>
      </c>
      <c r="U200" s="7" t="s">
        <v>6211</v>
      </c>
    </row>
    <row r="201" spans="1:21" ht="16.5" thickBot="1">
      <c r="A201" s="259" t="s">
        <v>10</v>
      </c>
      <c r="B201" s="263">
        <f t="shared" si="9"/>
        <v>75</v>
      </c>
      <c r="C201" s="263" t="s">
        <v>3</v>
      </c>
      <c r="D201" s="263">
        <f t="shared" si="10"/>
        <v>400</v>
      </c>
      <c r="E201" s="263" t="s">
        <v>3</v>
      </c>
      <c r="F201" s="261">
        <f t="shared" si="11"/>
        <v>2900</v>
      </c>
      <c r="G201" s="263" t="s">
        <v>3</v>
      </c>
      <c r="H201" s="260">
        <v>4</v>
      </c>
      <c r="I201" s="262" t="s">
        <v>581</v>
      </c>
      <c r="J201" s="112">
        <v>75</v>
      </c>
      <c r="K201" s="75">
        <v>400</v>
      </c>
      <c r="L201" s="75">
        <v>2900</v>
      </c>
      <c r="M201" s="202">
        <v>40.052078477463425</v>
      </c>
      <c r="N201" s="87">
        <v>12027.04542</v>
      </c>
      <c r="O201" s="123">
        <v>99439.700900319702</v>
      </c>
      <c r="P201" s="123">
        <v>116392.2785970315</v>
      </c>
      <c r="Q201" s="120">
        <v>42193.357867653758</v>
      </c>
      <c r="R201" s="123">
        <v>141633.05876797345</v>
      </c>
      <c r="S201" s="123">
        <v>158585.63646468526</v>
      </c>
      <c r="U201" s="7" t="s">
        <v>6212</v>
      </c>
    </row>
    <row r="202" spans="1:21" ht="16.5" thickBot="1">
      <c r="A202" s="259" t="s">
        <v>10</v>
      </c>
      <c r="B202" s="263">
        <f t="shared" si="9"/>
        <v>75</v>
      </c>
      <c r="C202" s="263" t="s">
        <v>3</v>
      </c>
      <c r="D202" s="263">
        <f t="shared" si="10"/>
        <v>400</v>
      </c>
      <c r="E202" s="263" t="s">
        <v>3</v>
      </c>
      <c r="F202" s="261">
        <f t="shared" si="11"/>
        <v>2950</v>
      </c>
      <c r="G202" s="263" t="s">
        <v>3</v>
      </c>
      <c r="H202" s="260">
        <v>4</v>
      </c>
      <c r="I202" s="262" t="s">
        <v>581</v>
      </c>
      <c r="J202" s="112">
        <v>75</v>
      </c>
      <c r="K202" s="75">
        <v>400</v>
      </c>
      <c r="L202" s="75">
        <v>2950</v>
      </c>
      <c r="M202" s="202">
        <v>40.663583672235262</v>
      </c>
      <c r="N202" s="87">
        <v>12262.869840000003</v>
      </c>
      <c r="O202" s="123">
        <v>100342.69587351523</v>
      </c>
      <c r="P202" s="123">
        <v>122800.08970453177</v>
      </c>
      <c r="Q202" s="120">
        <v>42795.749564653735</v>
      </c>
      <c r="R202" s="123">
        <v>143138.44543816897</v>
      </c>
      <c r="S202" s="123">
        <v>165595.8392691855</v>
      </c>
      <c r="U202" s="7" t="s">
        <v>6213</v>
      </c>
    </row>
    <row r="203" spans="1:21" ht="16.5" thickBot="1">
      <c r="A203" s="259" t="s">
        <v>10</v>
      </c>
      <c r="B203" s="263">
        <f t="shared" si="9"/>
        <v>75</v>
      </c>
      <c r="C203" s="263" t="s">
        <v>3</v>
      </c>
      <c r="D203" s="263">
        <f t="shared" si="10"/>
        <v>400</v>
      </c>
      <c r="E203" s="263" t="s">
        <v>3</v>
      </c>
      <c r="F203" s="261">
        <f t="shared" si="11"/>
        <v>3000</v>
      </c>
      <c r="G203" s="263" t="s">
        <v>3</v>
      </c>
      <c r="H203" s="260">
        <v>4</v>
      </c>
      <c r="I203" s="262" t="s">
        <v>581</v>
      </c>
      <c r="J203" s="146">
        <v>75</v>
      </c>
      <c r="K203" s="147">
        <v>400</v>
      </c>
      <c r="L203" s="147">
        <v>3000</v>
      </c>
      <c r="M203" s="209">
        <v>41.292128867007101</v>
      </c>
      <c r="N203" s="148">
        <v>12498.694260000002</v>
      </c>
      <c r="O203" s="149">
        <v>102962.47955374695</v>
      </c>
      <c r="P203" s="149">
        <v>123541.22134438191</v>
      </c>
      <c r="Q203" s="159">
        <v>43628.723179830347</v>
      </c>
      <c r="R203" s="149">
        <v>146591.20273357729</v>
      </c>
      <c r="S203" s="149">
        <v>167169.94452421225</v>
      </c>
      <c r="U203" s="7" t="s">
        <v>6214</v>
      </c>
    </row>
    <row r="204" spans="1:21">
      <c r="Q204" s="118"/>
    </row>
    <row r="205" spans="1:21">
      <c r="Q205" s="118"/>
    </row>
    <row r="206" spans="1:21">
      <c r="Q206" s="118"/>
    </row>
    <row r="207" spans="1:21">
      <c r="Q207" s="118"/>
    </row>
    <row r="208" spans="1:21">
      <c r="Q208" s="118"/>
    </row>
    <row r="209" spans="17:17">
      <c r="Q209" s="118"/>
    </row>
    <row r="210" spans="17:17">
      <c r="Q210" s="118"/>
    </row>
    <row r="211" spans="17:17">
      <c r="Q211" s="118"/>
    </row>
    <row r="212" spans="17:17">
      <c r="Q212" s="118"/>
    </row>
    <row r="213" spans="17:17">
      <c r="Q213" s="118"/>
    </row>
    <row r="214" spans="17:17">
      <c r="Q214" s="118"/>
    </row>
    <row r="215" spans="17:17">
      <c r="Q215" s="118"/>
    </row>
    <row r="216" spans="17:17">
      <c r="Q216" s="118"/>
    </row>
    <row r="217" spans="17:17">
      <c r="Q217" s="118"/>
    </row>
    <row r="218" spans="17:17">
      <c r="Q218" s="118"/>
    </row>
    <row r="219" spans="17:17">
      <c r="Q219" s="118"/>
    </row>
    <row r="220" spans="17:17">
      <c r="Q220" s="118"/>
    </row>
    <row r="221" spans="17:17">
      <c r="Q221" s="118"/>
    </row>
    <row r="222" spans="17:17">
      <c r="Q222" s="118"/>
    </row>
    <row r="223" spans="17:17">
      <c r="Q223" s="118"/>
    </row>
    <row r="224" spans="17:17">
      <c r="Q224" s="118"/>
    </row>
    <row r="225" spans="17:17">
      <c r="Q225" s="118"/>
    </row>
    <row r="226" spans="17:17">
      <c r="Q226" s="118"/>
    </row>
    <row r="227" spans="17:17">
      <c r="Q227" s="118"/>
    </row>
    <row r="228" spans="17:17">
      <c r="Q228" s="118"/>
    </row>
    <row r="229" spans="17:17">
      <c r="Q229" s="118"/>
    </row>
    <row r="230" spans="17:17">
      <c r="Q230" s="118"/>
    </row>
    <row r="231" spans="17:17">
      <c r="Q231" s="118"/>
    </row>
    <row r="232" spans="17:17">
      <c r="Q232" s="118"/>
    </row>
    <row r="233" spans="17:17">
      <c r="Q233" s="118"/>
    </row>
    <row r="234" spans="17:17">
      <c r="Q234" s="118"/>
    </row>
    <row r="235" spans="17:17">
      <c r="Q235" s="118"/>
    </row>
    <row r="236" spans="17:17">
      <c r="Q236" s="118"/>
    </row>
    <row r="237" spans="17:17">
      <c r="Q237" s="118"/>
    </row>
    <row r="238" spans="17:17">
      <c r="Q238" s="118"/>
    </row>
    <row r="239" spans="17:17">
      <c r="Q239" s="118"/>
    </row>
    <row r="240" spans="17:17">
      <c r="Q240" s="118"/>
    </row>
    <row r="241" spans="17:17">
      <c r="Q241" s="118"/>
    </row>
    <row r="242" spans="17:17">
      <c r="Q242" s="118"/>
    </row>
    <row r="243" spans="17:17">
      <c r="Q243" s="118"/>
    </row>
    <row r="244" spans="17:17">
      <c r="Q244" s="118"/>
    </row>
    <row r="245" spans="17:17">
      <c r="Q245" s="118"/>
    </row>
    <row r="246" spans="17:17">
      <c r="Q246" s="118"/>
    </row>
    <row r="247" spans="17:17">
      <c r="Q247" s="118"/>
    </row>
    <row r="248" spans="17:17">
      <c r="Q248" s="118"/>
    </row>
    <row r="249" spans="17:17">
      <c r="Q249" s="118"/>
    </row>
    <row r="250" spans="17:17">
      <c r="Q250" s="118"/>
    </row>
    <row r="251" spans="17:17">
      <c r="Q251" s="118"/>
    </row>
    <row r="252" spans="17:17">
      <c r="Q252" s="118"/>
    </row>
    <row r="253" spans="17:17">
      <c r="Q253" s="118"/>
    </row>
    <row r="254" spans="17:17">
      <c r="Q254" s="118"/>
    </row>
    <row r="255" spans="17:17">
      <c r="Q255" s="118"/>
    </row>
    <row r="256" spans="17:17">
      <c r="Q256" s="118"/>
    </row>
    <row r="257" spans="17:17">
      <c r="Q257" s="118"/>
    </row>
    <row r="258" spans="17:17">
      <c r="Q258" s="118"/>
    </row>
    <row r="259" spans="17:17">
      <c r="Q259" s="118"/>
    </row>
    <row r="260" spans="17:17">
      <c r="Q260" s="118"/>
    </row>
    <row r="261" spans="17:17">
      <c r="Q261" s="118"/>
    </row>
    <row r="262" spans="17:17">
      <c r="Q262" s="118"/>
    </row>
    <row r="263" spans="17:17">
      <c r="Q263" s="118"/>
    </row>
    <row r="264" spans="17:17">
      <c r="Q264" s="118"/>
    </row>
    <row r="265" spans="17:17">
      <c r="Q265" s="118"/>
    </row>
    <row r="266" spans="17:17">
      <c r="Q266" s="118"/>
    </row>
    <row r="267" spans="17:17">
      <c r="Q267" s="118"/>
    </row>
    <row r="268" spans="17:17">
      <c r="Q268" s="118"/>
    </row>
    <row r="269" spans="17:17">
      <c r="Q269" s="118"/>
    </row>
    <row r="270" spans="17:17">
      <c r="Q270" s="118"/>
    </row>
    <row r="271" spans="17:17">
      <c r="Q271" s="118"/>
    </row>
    <row r="272" spans="17:17">
      <c r="Q272" s="118"/>
    </row>
    <row r="273" spans="17:17">
      <c r="Q273" s="118"/>
    </row>
    <row r="274" spans="17:17">
      <c r="Q274" s="118"/>
    </row>
    <row r="275" spans="17:17">
      <c r="Q275" s="118"/>
    </row>
    <row r="276" spans="17:17">
      <c r="Q276" s="118"/>
    </row>
    <row r="277" spans="17:17">
      <c r="Q277" s="118"/>
    </row>
    <row r="278" spans="17:17">
      <c r="Q278" s="118"/>
    </row>
    <row r="279" spans="17:17">
      <c r="Q279" s="118"/>
    </row>
    <row r="280" spans="17:17">
      <c r="Q280" s="118"/>
    </row>
    <row r="281" spans="17:17">
      <c r="Q281" s="118"/>
    </row>
    <row r="282" spans="17:17">
      <c r="Q282" s="118"/>
    </row>
    <row r="283" spans="17:17">
      <c r="Q283" s="118"/>
    </row>
    <row r="284" spans="17:17">
      <c r="Q284" s="118"/>
    </row>
    <row r="285" spans="17:17">
      <c r="Q285" s="118"/>
    </row>
    <row r="286" spans="17:17">
      <c r="Q286" s="118"/>
    </row>
    <row r="287" spans="17:17">
      <c r="Q287" s="118"/>
    </row>
    <row r="288" spans="17:17">
      <c r="Q288" s="118"/>
    </row>
    <row r="289" spans="17:17">
      <c r="Q289" s="118"/>
    </row>
    <row r="290" spans="17:17">
      <c r="Q290" s="118"/>
    </row>
    <row r="291" spans="17:17">
      <c r="Q291" s="118"/>
    </row>
    <row r="292" spans="17:17">
      <c r="Q292" s="118"/>
    </row>
    <row r="293" spans="17:17">
      <c r="Q293" s="118"/>
    </row>
    <row r="294" spans="17:17">
      <c r="Q294" s="118"/>
    </row>
    <row r="295" spans="17:17">
      <c r="Q295" s="118"/>
    </row>
    <row r="296" spans="17:17">
      <c r="Q296" s="118"/>
    </row>
    <row r="297" spans="17:17">
      <c r="Q297" s="118"/>
    </row>
    <row r="298" spans="17:17">
      <c r="Q298" s="118"/>
    </row>
    <row r="299" spans="17:17">
      <c r="Q299" s="118"/>
    </row>
    <row r="300" spans="17:17">
      <c r="Q300" s="118"/>
    </row>
    <row r="301" spans="17:17">
      <c r="Q301" s="118"/>
    </row>
    <row r="302" spans="17:17">
      <c r="Q302" s="118"/>
    </row>
    <row r="303" spans="17:17">
      <c r="Q303" s="118"/>
    </row>
  </sheetData>
  <mergeCells count="18">
    <mergeCell ref="A155:S155"/>
    <mergeCell ref="A156:S156"/>
    <mergeCell ref="A106:S106"/>
    <mergeCell ref="A107:S107"/>
    <mergeCell ref="A57:S57"/>
    <mergeCell ref="A58:S58"/>
    <mergeCell ref="A7:S7"/>
    <mergeCell ref="A8:S8"/>
    <mergeCell ref="A9:S9"/>
    <mergeCell ref="Q4:Q5"/>
    <mergeCell ref="R4:R5"/>
    <mergeCell ref="S4:S5"/>
    <mergeCell ref="O6:S6"/>
    <mergeCell ref="A4:I6"/>
    <mergeCell ref="J4:M5"/>
    <mergeCell ref="N4:N6"/>
    <mergeCell ref="O4:O5"/>
    <mergeCell ref="P4:P5"/>
  </mergeCells>
  <hyperlinks>
    <hyperlink ref="A1:I1" location="Главная!A1" display="Вернуться на главную страницу" xr:uid="{00000000-0004-0000-0900-000000000000}"/>
    <hyperlink ref="A2" location="'Калькулятор теплоотдач ВКВ'!R1C1" display="Вернуться Калькулятор теплоотдач ВКВ" xr:uid="{00000000-0004-0000-0900-000001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3">
    <tabColor rgb="FF3366FF"/>
  </sheetPr>
  <dimension ref="A1:U203"/>
  <sheetViews>
    <sheetView zoomScale="70" zoomScaleNormal="70" workbookViewId="0">
      <pane ySplit="6" topLeftCell="A7" activePane="bottomLeft" state="frozen"/>
      <selection pane="bottomLeft" activeCell="Z8" sqref="Z8"/>
    </sheetView>
  </sheetViews>
  <sheetFormatPr defaultRowHeight="15"/>
  <cols>
    <col min="1" max="1" width="5.5703125" style="74" customWidth="1"/>
    <col min="2" max="2" width="6" style="74" customWidth="1"/>
    <col min="3" max="3" width="3" style="74" customWidth="1"/>
    <col min="4" max="4" width="6" style="74" customWidth="1"/>
    <col min="5" max="5" width="3" style="74" customWidth="1"/>
    <col min="6" max="6" width="7.7109375" style="74" customWidth="1"/>
    <col min="7" max="7" width="3" style="74" customWidth="1"/>
    <col min="8" max="8" width="6" style="74" customWidth="1"/>
    <col min="9" max="9" width="8.140625" style="74" customWidth="1"/>
    <col min="10" max="12" width="11.28515625" style="74" customWidth="1"/>
    <col min="13" max="13" width="15.5703125" style="74" customWidth="1"/>
    <col min="14" max="14" width="19.140625" style="74" customWidth="1"/>
    <col min="15" max="16" width="27.7109375" style="74" customWidth="1"/>
    <col min="17" max="17" width="26.28515625" style="74" customWidth="1"/>
    <col min="18" max="19" width="27.7109375" style="74" customWidth="1"/>
    <col min="20" max="20" width="9.140625" style="74"/>
    <col min="21" max="21" width="26.85546875" style="74" customWidth="1"/>
    <col min="22" max="16384" width="9.140625" style="74"/>
  </cols>
  <sheetData>
    <row r="1" spans="1:21" ht="16.5" customHeight="1">
      <c r="A1" s="1217" t="s">
        <v>9</v>
      </c>
      <c r="B1" s="1217"/>
      <c r="C1" s="1217"/>
      <c r="D1" s="1217"/>
      <c r="E1" s="1217"/>
      <c r="F1" s="97"/>
      <c r="G1" s="1217"/>
      <c r="H1" s="1217"/>
      <c r="I1" s="1217"/>
      <c r="J1" s="7"/>
      <c r="K1" s="96"/>
      <c r="L1" s="96"/>
      <c r="M1" s="175"/>
      <c r="N1" s="7"/>
      <c r="O1" s="117"/>
      <c r="P1" s="117"/>
      <c r="Q1" s="117"/>
      <c r="R1" s="117"/>
      <c r="S1" s="117"/>
    </row>
    <row r="2" spans="1:21" ht="15.75" customHeight="1"/>
    <row r="3" spans="1:21" ht="13.5" customHeight="1" thickBot="1">
      <c r="A3" s="16"/>
      <c r="B3" s="16"/>
      <c r="C3" s="16"/>
      <c r="D3" s="16"/>
      <c r="E3" s="16"/>
      <c r="F3" s="109"/>
      <c r="G3" s="16"/>
      <c r="H3" s="16"/>
      <c r="I3" s="1251"/>
      <c r="J3" s="16"/>
      <c r="K3" s="108"/>
      <c r="L3" s="108"/>
      <c r="M3" s="175"/>
      <c r="N3" s="7"/>
      <c r="O3" s="116"/>
      <c r="P3" s="116"/>
      <c r="Q3" s="117"/>
      <c r="R3" s="117"/>
      <c r="S3" s="117"/>
    </row>
    <row r="4" spans="1:21" ht="69" customHeight="1">
      <c r="A4" s="2598" t="s">
        <v>8</v>
      </c>
      <c r="B4" s="2599"/>
      <c r="C4" s="2599"/>
      <c r="D4" s="2599"/>
      <c r="E4" s="2599"/>
      <c r="F4" s="2599"/>
      <c r="G4" s="2599"/>
      <c r="H4" s="2599"/>
      <c r="I4" s="2600"/>
      <c r="J4" s="2607" t="s">
        <v>97</v>
      </c>
      <c r="K4" s="2608"/>
      <c r="L4" s="2608"/>
      <c r="M4" s="2609"/>
      <c r="N4" s="2613" t="s">
        <v>96</v>
      </c>
      <c r="O4" s="2586" t="s">
        <v>173</v>
      </c>
      <c r="P4" s="2619" t="s">
        <v>174</v>
      </c>
      <c r="Q4" s="2586" t="s">
        <v>71</v>
      </c>
      <c r="R4" s="2588" t="s">
        <v>5817</v>
      </c>
      <c r="S4" s="2590" t="s">
        <v>5818</v>
      </c>
    </row>
    <row r="5" spans="1:21" ht="72" customHeight="1" thickBot="1">
      <c r="A5" s="2601"/>
      <c r="B5" s="2602"/>
      <c r="C5" s="2602"/>
      <c r="D5" s="2602"/>
      <c r="E5" s="2602"/>
      <c r="F5" s="2602"/>
      <c r="G5" s="2602"/>
      <c r="H5" s="2602"/>
      <c r="I5" s="2603"/>
      <c r="J5" s="2610"/>
      <c r="K5" s="2611"/>
      <c r="L5" s="2611"/>
      <c r="M5" s="2612"/>
      <c r="N5" s="2614"/>
      <c r="O5" s="2616"/>
      <c r="P5" s="2620"/>
      <c r="Q5" s="2587"/>
      <c r="R5" s="2589"/>
      <c r="S5" s="2591"/>
    </row>
    <row r="6" spans="1:21" ht="61.5" customHeight="1" thickBot="1">
      <c r="A6" s="2604"/>
      <c r="B6" s="2605"/>
      <c r="C6" s="2605"/>
      <c r="D6" s="2605"/>
      <c r="E6" s="2605"/>
      <c r="F6" s="2605"/>
      <c r="G6" s="2605"/>
      <c r="H6" s="2605"/>
      <c r="I6" s="2606"/>
      <c r="J6" s="287" t="s">
        <v>0</v>
      </c>
      <c r="K6" s="295" t="s">
        <v>1</v>
      </c>
      <c r="L6" s="295" t="s">
        <v>2</v>
      </c>
      <c r="M6" s="258" t="s">
        <v>94</v>
      </c>
      <c r="N6" s="2615"/>
      <c r="O6" s="2592" t="s">
        <v>169</v>
      </c>
      <c r="P6" s="2593"/>
      <c r="Q6" s="2593"/>
      <c r="R6" s="2593"/>
      <c r="S6" s="2594"/>
    </row>
    <row r="7" spans="1:21" ht="30" customHeight="1" thickBot="1">
      <c r="A7" s="2595" t="s">
        <v>159</v>
      </c>
      <c r="B7" s="2596"/>
      <c r="C7" s="2596"/>
      <c r="D7" s="2596"/>
      <c r="E7" s="2596"/>
      <c r="F7" s="2596"/>
      <c r="G7" s="2596"/>
      <c r="H7" s="2596"/>
      <c r="I7" s="2596"/>
      <c r="J7" s="2596"/>
      <c r="K7" s="2596"/>
      <c r="L7" s="2596"/>
      <c r="M7" s="2596"/>
      <c r="N7" s="2596"/>
      <c r="O7" s="2596"/>
      <c r="P7" s="2596"/>
      <c r="Q7" s="2596"/>
      <c r="R7" s="2596"/>
      <c r="S7" s="2597"/>
    </row>
    <row r="8" spans="1:21" ht="22.5" customHeight="1" thickBot="1">
      <c r="A8" s="2580" t="s">
        <v>515</v>
      </c>
      <c r="B8" s="2581"/>
      <c r="C8" s="2581"/>
      <c r="D8" s="2581"/>
      <c r="E8" s="2581"/>
      <c r="F8" s="2581"/>
      <c r="G8" s="2581"/>
      <c r="H8" s="2581"/>
      <c r="I8" s="2581"/>
      <c r="J8" s="2581"/>
      <c r="K8" s="2581"/>
      <c r="L8" s="2581"/>
      <c r="M8" s="2581"/>
      <c r="N8" s="2581"/>
      <c r="O8" s="2581"/>
      <c r="P8" s="2581"/>
      <c r="Q8" s="2581"/>
      <c r="R8" s="2581"/>
      <c r="S8" s="2582"/>
    </row>
    <row r="9" spans="1:21" ht="16.5" customHeight="1" thickBot="1">
      <c r="A9" s="2583" t="s">
        <v>134</v>
      </c>
      <c r="B9" s="2584"/>
      <c r="C9" s="2584"/>
      <c r="D9" s="2584"/>
      <c r="E9" s="2584"/>
      <c r="F9" s="2584"/>
      <c r="G9" s="2584"/>
      <c r="H9" s="2584"/>
      <c r="I9" s="2584"/>
      <c r="J9" s="2584"/>
      <c r="K9" s="2584"/>
      <c r="L9" s="2584"/>
      <c r="M9" s="2584"/>
      <c r="N9" s="2584"/>
      <c r="O9" s="2584"/>
      <c r="P9" s="2584"/>
      <c r="Q9" s="2584"/>
      <c r="R9" s="2584"/>
      <c r="S9" s="2585"/>
    </row>
    <row r="10" spans="1:21" ht="16.5" customHeight="1" thickBot="1">
      <c r="A10" s="259" t="s">
        <v>10</v>
      </c>
      <c r="B10" s="263">
        <f t="shared" ref="B10:B56" si="0">J10</f>
        <v>80</v>
      </c>
      <c r="C10" s="263" t="s">
        <v>3</v>
      </c>
      <c r="D10" s="263">
        <f t="shared" ref="D10:D56" si="1">K10</f>
        <v>260</v>
      </c>
      <c r="E10" s="263" t="s">
        <v>3</v>
      </c>
      <c r="F10" s="261">
        <f t="shared" ref="F10:F56" si="2">L10</f>
        <v>700</v>
      </c>
      <c r="G10" s="263" t="s">
        <v>3</v>
      </c>
      <c r="H10" s="260">
        <v>2</v>
      </c>
      <c r="I10" s="262" t="s">
        <v>581</v>
      </c>
      <c r="J10" s="112">
        <v>80</v>
      </c>
      <c r="K10" s="75">
        <v>260</v>
      </c>
      <c r="L10" s="75">
        <v>700</v>
      </c>
      <c r="M10" s="202">
        <v>7.1025632981011846</v>
      </c>
      <c r="N10" s="87">
        <v>1048.542768</v>
      </c>
      <c r="O10" s="123">
        <v>25660.88457853784</v>
      </c>
      <c r="P10" s="123">
        <v>27292.430486212535</v>
      </c>
      <c r="Q10" s="120">
        <v>8629.8383359722393</v>
      </c>
      <c r="R10" s="123">
        <v>34290.722914510079</v>
      </c>
      <c r="S10" s="123">
        <v>35922.268822184778</v>
      </c>
      <c r="U10" s="7" t="s">
        <v>6215</v>
      </c>
    </row>
    <row r="11" spans="1:21" ht="16.5" customHeight="1" thickBot="1">
      <c r="A11" s="259" t="s">
        <v>10</v>
      </c>
      <c r="B11" s="263">
        <f t="shared" si="0"/>
        <v>80</v>
      </c>
      <c r="C11" s="263" t="s">
        <v>3</v>
      </c>
      <c r="D11" s="263">
        <f t="shared" si="1"/>
        <v>260</v>
      </c>
      <c r="E11" s="263" t="s">
        <v>3</v>
      </c>
      <c r="F11" s="261">
        <f t="shared" si="2"/>
        <v>750</v>
      </c>
      <c r="G11" s="263" t="s">
        <v>3</v>
      </c>
      <c r="H11" s="260">
        <v>2</v>
      </c>
      <c r="I11" s="262" t="s">
        <v>581</v>
      </c>
      <c r="J11" s="112">
        <v>80</v>
      </c>
      <c r="K11" s="75">
        <v>260</v>
      </c>
      <c r="L11" s="75">
        <v>750</v>
      </c>
      <c r="M11" s="202">
        <v>7.644239169237105</v>
      </c>
      <c r="N11" s="87">
        <v>1198.3345920000002</v>
      </c>
      <c r="O11" s="123">
        <v>27188.198487780042</v>
      </c>
      <c r="P11" s="123">
        <v>28890.004408150569</v>
      </c>
      <c r="Q11" s="120">
        <v>9061.4489483391772</v>
      </c>
      <c r="R11" s="123">
        <v>36249.647436119223</v>
      </c>
      <c r="S11" s="123">
        <v>37951.453356489743</v>
      </c>
      <c r="U11" s="7" t="s">
        <v>6216</v>
      </c>
    </row>
    <row r="12" spans="1:21" ht="16.5" customHeight="1" thickBot="1">
      <c r="A12" s="259" t="s">
        <v>10</v>
      </c>
      <c r="B12" s="263">
        <f t="shared" si="0"/>
        <v>80</v>
      </c>
      <c r="C12" s="263" t="s">
        <v>3</v>
      </c>
      <c r="D12" s="263">
        <f t="shared" si="1"/>
        <v>260</v>
      </c>
      <c r="E12" s="263" t="s">
        <v>3</v>
      </c>
      <c r="F12" s="261">
        <f t="shared" si="2"/>
        <v>800</v>
      </c>
      <c r="G12" s="263" t="s">
        <v>3</v>
      </c>
      <c r="H12" s="260">
        <v>2</v>
      </c>
      <c r="I12" s="262" t="s">
        <v>581</v>
      </c>
      <c r="J12" s="112">
        <v>80</v>
      </c>
      <c r="K12" s="75">
        <v>260</v>
      </c>
      <c r="L12" s="75">
        <v>800</v>
      </c>
      <c r="M12" s="202">
        <v>8.0669150403730256</v>
      </c>
      <c r="N12" s="87">
        <v>1348.1264160000001</v>
      </c>
      <c r="O12" s="123">
        <v>28715.512277687896</v>
      </c>
      <c r="P12" s="123">
        <v>30487.578449422952</v>
      </c>
      <c r="Q12" s="120">
        <v>9493.059560706115</v>
      </c>
      <c r="R12" s="123">
        <v>38208.571838394011</v>
      </c>
      <c r="S12" s="123">
        <v>39980.638010129071</v>
      </c>
      <c r="U12" s="7" t="s">
        <v>6217</v>
      </c>
    </row>
    <row r="13" spans="1:21" ht="16.5" customHeight="1" thickBot="1">
      <c r="A13" s="259" t="s">
        <v>10</v>
      </c>
      <c r="B13" s="263">
        <f t="shared" si="0"/>
        <v>80</v>
      </c>
      <c r="C13" s="263" t="s">
        <v>3</v>
      </c>
      <c r="D13" s="263">
        <f t="shared" si="1"/>
        <v>260</v>
      </c>
      <c r="E13" s="263" t="s">
        <v>3</v>
      </c>
      <c r="F13" s="261">
        <f t="shared" si="2"/>
        <v>850</v>
      </c>
      <c r="G13" s="263" t="s">
        <v>3</v>
      </c>
      <c r="H13" s="260">
        <v>2</v>
      </c>
      <c r="I13" s="262" t="s">
        <v>581</v>
      </c>
      <c r="J13" s="112">
        <v>80</v>
      </c>
      <c r="K13" s="75">
        <v>260</v>
      </c>
      <c r="L13" s="75">
        <v>850</v>
      </c>
      <c r="M13" s="202">
        <v>8.4895909115089481</v>
      </c>
      <c r="N13" s="87">
        <v>1497.91824</v>
      </c>
      <c r="O13" s="123">
        <v>30242.826067595743</v>
      </c>
      <c r="P13" s="123">
        <v>32085.152371360986</v>
      </c>
      <c r="Q13" s="120">
        <v>10155.251950856327</v>
      </c>
      <c r="R13" s="123">
        <v>40398.07801845207</v>
      </c>
      <c r="S13" s="123">
        <v>42240.404322217313</v>
      </c>
      <c r="U13" s="7" t="s">
        <v>6218</v>
      </c>
    </row>
    <row r="14" spans="1:21" ht="16.5" customHeight="1" thickBot="1">
      <c r="A14" s="259" t="s">
        <v>10</v>
      </c>
      <c r="B14" s="263">
        <f t="shared" si="0"/>
        <v>80</v>
      </c>
      <c r="C14" s="263" t="s">
        <v>3</v>
      </c>
      <c r="D14" s="263">
        <f t="shared" si="1"/>
        <v>260</v>
      </c>
      <c r="E14" s="263" t="s">
        <v>3</v>
      </c>
      <c r="F14" s="261">
        <f t="shared" si="2"/>
        <v>900</v>
      </c>
      <c r="G14" s="263" t="s">
        <v>3</v>
      </c>
      <c r="H14" s="260">
        <v>2</v>
      </c>
      <c r="I14" s="262" t="s">
        <v>581</v>
      </c>
      <c r="J14" s="112">
        <v>80</v>
      </c>
      <c r="K14" s="75">
        <v>260</v>
      </c>
      <c r="L14" s="75">
        <v>900</v>
      </c>
      <c r="M14" s="202">
        <v>8.950266782644869</v>
      </c>
      <c r="N14" s="87">
        <v>1647.7100640000003</v>
      </c>
      <c r="O14" s="123">
        <v>31770.139857503593</v>
      </c>
      <c r="P14" s="123">
        <v>33682.726412633376</v>
      </c>
      <c r="Q14" s="120">
        <v>10586.862563223265</v>
      </c>
      <c r="R14" s="123">
        <v>42357.002420726858</v>
      </c>
      <c r="S14" s="123">
        <v>44269.588975856641</v>
      </c>
      <c r="U14" s="7" t="s">
        <v>6219</v>
      </c>
    </row>
    <row r="15" spans="1:21" ht="16.5" customHeight="1" thickBot="1">
      <c r="A15" s="259" t="s">
        <v>10</v>
      </c>
      <c r="B15" s="263">
        <f t="shared" si="0"/>
        <v>80</v>
      </c>
      <c r="C15" s="263" t="s">
        <v>3</v>
      </c>
      <c r="D15" s="263">
        <f t="shared" si="1"/>
        <v>260</v>
      </c>
      <c r="E15" s="263" t="s">
        <v>3</v>
      </c>
      <c r="F15" s="261">
        <f t="shared" si="2"/>
        <v>950</v>
      </c>
      <c r="G15" s="263" t="s">
        <v>3</v>
      </c>
      <c r="H15" s="260">
        <v>2</v>
      </c>
      <c r="I15" s="262" t="s">
        <v>581</v>
      </c>
      <c r="J15" s="112">
        <v>80</v>
      </c>
      <c r="K15" s="75">
        <v>260</v>
      </c>
      <c r="L15" s="75">
        <v>950</v>
      </c>
      <c r="M15" s="202">
        <v>9.4419426537807887</v>
      </c>
      <c r="N15" s="87">
        <v>1797.501888</v>
      </c>
      <c r="O15" s="123">
        <v>33297.453647411443</v>
      </c>
      <c r="P15" s="123">
        <v>35280.30033457141</v>
      </c>
      <c r="Q15" s="120">
        <v>11249.054953373477</v>
      </c>
      <c r="R15" s="123">
        <v>44546.508600784917</v>
      </c>
      <c r="S15" s="123">
        <v>46529.355287944883</v>
      </c>
      <c r="U15" s="7" t="s">
        <v>6220</v>
      </c>
    </row>
    <row r="16" spans="1:21" s="7" customFormat="1" ht="16.5" customHeight="1" thickBot="1">
      <c r="A16" s="259" t="s">
        <v>10</v>
      </c>
      <c r="B16" s="263">
        <f t="shared" si="0"/>
        <v>80</v>
      </c>
      <c r="C16" s="263" t="s">
        <v>3</v>
      </c>
      <c r="D16" s="263">
        <f t="shared" si="1"/>
        <v>260</v>
      </c>
      <c r="E16" s="263" t="s">
        <v>3</v>
      </c>
      <c r="F16" s="261">
        <f t="shared" si="2"/>
        <v>1000</v>
      </c>
      <c r="G16" s="263" t="s">
        <v>3</v>
      </c>
      <c r="H16" s="260">
        <v>2</v>
      </c>
      <c r="I16" s="262" t="s">
        <v>581</v>
      </c>
      <c r="J16" s="112">
        <v>80</v>
      </c>
      <c r="K16" s="75">
        <v>260</v>
      </c>
      <c r="L16" s="75">
        <v>1000</v>
      </c>
      <c r="M16" s="202">
        <v>9.8646185249167111</v>
      </c>
      <c r="N16" s="87">
        <v>1947.2937120000001</v>
      </c>
      <c r="O16" s="123">
        <v>34729.635399699975</v>
      </c>
      <c r="P16" s="123">
        <v>36788.802733601857</v>
      </c>
      <c r="Q16" s="120">
        <v>11680.665565740415</v>
      </c>
      <c r="R16" s="123">
        <v>46410.300965440387</v>
      </c>
      <c r="S16" s="123">
        <v>48469.468299342276</v>
      </c>
      <c r="U16" s="7" t="s">
        <v>6221</v>
      </c>
    </row>
    <row r="17" spans="1:21" s="7" customFormat="1" ht="16.5" customHeight="1" thickBot="1">
      <c r="A17" s="259" t="s">
        <v>10</v>
      </c>
      <c r="B17" s="263">
        <f t="shared" si="0"/>
        <v>80</v>
      </c>
      <c r="C17" s="263" t="s">
        <v>3</v>
      </c>
      <c r="D17" s="263">
        <f t="shared" si="1"/>
        <v>260</v>
      </c>
      <c r="E17" s="263" t="s">
        <v>3</v>
      </c>
      <c r="F17" s="261">
        <f t="shared" si="2"/>
        <v>1050</v>
      </c>
      <c r="G17" s="263" t="s">
        <v>3</v>
      </c>
      <c r="H17" s="260">
        <v>2</v>
      </c>
      <c r="I17" s="262" t="s">
        <v>581</v>
      </c>
      <c r="J17" s="112">
        <v>80</v>
      </c>
      <c r="K17" s="75">
        <v>260</v>
      </c>
      <c r="L17" s="75">
        <v>1050</v>
      </c>
      <c r="M17" s="202">
        <v>10.287294396052632</v>
      </c>
      <c r="N17" s="87">
        <v>2097.085536</v>
      </c>
      <c r="O17" s="123">
        <v>36482.887913204839</v>
      </c>
      <c r="P17" s="123">
        <v>38597.921865531658</v>
      </c>
      <c r="Q17" s="120">
        <v>12342.857815497266</v>
      </c>
      <c r="R17" s="123">
        <v>48825.745728702102</v>
      </c>
      <c r="S17" s="123">
        <v>50940.779681028922</v>
      </c>
      <c r="U17" s="7" t="s">
        <v>6222</v>
      </c>
    </row>
    <row r="18" spans="1:21" s="7" customFormat="1" ht="16.5" customHeight="1" thickBot="1">
      <c r="A18" s="259" t="s">
        <v>10</v>
      </c>
      <c r="B18" s="260">
        <f t="shared" si="0"/>
        <v>80</v>
      </c>
      <c r="C18" s="260" t="s">
        <v>3</v>
      </c>
      <c r="D18" s="260">
        <f t="shared" si="1"/>
        <v>260</v>
      </c>
      <c r="E18" s="260" t="s">
        <v>3</v>
      </c>
      <c r="F18" s="261">
        <f t="shared" si="2"/>
        <v>1100</v>
      </c>
      <c r="G18" s="260" t="s">
        <v>3</v>
      </c>
      <c r="H18" s="260">
        <v>2</v>
      </c>
      <c r="I18" s="262" t="s">
        <v>581</v>
      </c>
      <c r="J18" s="112">
        <v>80</v>
      </c>
      <c r="K18" s="75">
        <v>260</v>
      </c>
      <c r="L18" s="75">
        <v>1100</v>
      </c>
      <c r="M18" s="202">
        <v>10.709970267188554</v>
      </c>
      <c r="N18" s="87">
        <v>2246.87736</v>
      </c>
      <c r="O18" s="123">
        <v>38010.201703112689</v>
      </c>
      <c r="P18" s="123">
        <v>40195.495787469685</v>
      </c>
      <c r="Q18" s="120">
        <v>12774.468427864203</v>
      </c>
      <c r="R18" s="123">
        <v>50784.670130976891</v>
      </c>
      <c r="S18" s="123">
        <v>52969.964215333886</v>
      </c>
      <c r="U18" s="7" t="s">
        <v>6223</v>
      </c>
    </row>
    <row r="19" spans="1:21" s="7" customFormat="1" ht="16.5" customHeight="1" thickBot="1">
      <c r="A19" s="259" t="s">
        <v>10</v>
      </c>
      <c r="B19" s="263">
        <f t="shared" si="0"/>
        <v>80</v>
      </c>
      <c r="C19" s="263" t="s">
        <v>3</v>
      </c>
      <c r="D19" s="263">
        <f t="shared" si="1"/>
        <v>260</v>
      </c>
      <c r="E19" s="263" t="s">
        <v>3</v>
      </c>
      <c r="F19" s="261">
        <f t="shared" si="2"/>
        <v>1150</v>
      </c>
      <c r="G19" s="263" t="s">
        <v>3</v>
      </c>
      <c r="H19" s="260">
        <v>2</v>
      </c>
      <c r="I19" s="262" t="s">
        <v>581</v>
      </c>
      <c r="J19" s="112">
        <v>80</v>
      </c>
      <c r="K19" s="75">
        <v>260</v>
      </c>
      <c r="L19" s="75">
        <v>1150</v>
      </c>
      <c r="M19" s="202">
        <v>11.132646138324475</v>
      </c>
      <c r="N19" s="87">
        <v>2396.6691840000003</v>
      </c>
      <c r="O19" s="123">
        <v>38782.173040467438</v>
      </c>
      <c r="P19" s="123">
        <v>41085.846927418796</v>
      </c>
      <c r="Q19" s="120">
        <v>13206.07904023114</v>
      </c>
      <c r="R19" s="123">
        <v>51988.252080698578</v>
      </c>
      <c r="S19" s="123">
        <v>54291.925967649935</v>
      </c>
      <c r="U19" s="7" t="s">
        <v>6224</v>
      </c>
    </row>
    <row r="20" spans="1:21" s="7" customFormat="1" ht="16.5" customHeight="1" thickBot="1">
      <c r="A20" s="259" t="s">
        <v>10</v>
      </c>
      <c r="B20" s="263">
        <f t="shared" si="0"/>
        <v>80</v>
      </c>
      <c r="C20" s="263" t="s">
        <v>3</v>
      </c>
      <c r="D20" s="263">
        <f t="shared" si="1"/>
        <v>260</v>
      </c>
      <c r="E20" s="263" t="s">
        <v>3</v>
      </c>
      <c r="F20" s="261">
        <f t="shared" si="2"/>
        <v>1200</v>
      </c>
      <c r="G20" s="263" t="s">
        <v>3</v>
      </c>
      <c r="H20" s="260">
        <v>2</v>
      </c>
      <c r="I20" s="262" t="s">
        <v>581</v>
      </c>
      <c r="J20" s="112">
        <v>80</v>
      </c>
      <c r="K20" s="75">
        <v>260</v>
      </c>
      <c r="L20" s="75">
        <v>1200</v>
      </c>
      <c r="M20" s="202">
        <v>11.770572009460395</v>
      </c>
      <c r="N20" s="87">
        <v>2546.4610079999998</v>
      </c>
      <c r="O20" s="123">
        <v>39589.283214912597</v>
      </c>
      <c r="P20" s="123">
        <v>42009.098430568607</v>
      </c>
      <c r="Q20" s="120">
        <v>13868.271430381354</v>
      </c>
      <c r="R20" s="123">
        <v>53457.554645293952</v>
      </c>
      <c r="S20" s="123">
        <v>55877.369860949962</v>
      </c>
      <c r="U20" s="7" t="s">
        <v>6225</v>
      </c>
    </row>
    <row r="21" spans="1:21" s="7" customFormat="1" ht="16.5" customHeight="1" thickBot="1">
      <c r="A21" s="259" t="s">
        <v>10</v>
      </c>
      <c r="B21" s="263">
        <f t="shared" si="0"/>
        <v>80</v>
      </c>
      <c r="C21" s="263" t="s">
        <v>3</v>
      </c>
      <c r="D21" s="263">
        <f t="shared" si="1"/>
        <v>260</v>
      </c>
      <c r="E21" s="263" t="s">
        <v>3</v>
      </c>
      <c r="F21" s="261">
        <f t="shared" si="2"/>
        <v>1250</v>
      </c>
      <c r="G21" s="263" t="s">
        <v>3</v>
      </c>
      <c r="H21" s="260">
        <v>2</v>
      </c>
      <c r="I21" s="262" t="s">
        <v>581</v>
      </c>
      <c r="J21" s="112">
        <v>80</v>
      </c>
      <c r="K21" s="75">
        <v>260</v>
      </c>
      <c r="L21" s="75">
        <v>1250</v>
      </c>
      <c r="M21" s="202">
        <v>12.193247880596315</v>
      </c>
      <c r="N21" s="87">
        <v>2696.2528320000001</v>
      </c>
      <c r="O21" s="123">
        <v>40360.773515469737</v>
      </c>
      <c r="P21" s="123">
        <v>42898.999202650142</v>
      </c>
      <c r="Q21" s="120">
        <v>14299.882042748291</v>
      </c>
      <c r="R21" s="123">
        <v>54660.65555821803</v>
      </c>
      <c r="S21" s="123">
        <v>57198.881245398436</v>
      </c>
      <c r="U21" s="7" t="s">
        <v>6226</v>
      </c>
    </row>
    <row r="22" spans="1:21" s="7" customFormat="1" ht="16.5" customHeight="1" thickBot="1">
      <c r="A22" s="259" t="s">
        <v>10</v>
      </c>
      <c r="B22" s="263">
        <f t="shared" si="0"/>
        <v>80</v>
      </c>
      <c r="C22" s="263" t="s">
        <v>3</v>
      </c>
      <c r="D22" s="263">
        <f t="shared" si="1"/>
        <v>260</v>
      </c>
      <c r="E22" s="263" t="s">
        <v>3</v>
      </c>
      <c r="F22" s="261">
        <f t="shared" si="2"/>
        <v>1300</v>
      </c>
      <c r="G22" s="263" t="s">
        <v>3</v>
      </c>
      <c r="H22" s="260">
        <v>2</v>
      </c>
      <c r="I22" s="262" t="s">
        <v>581</v>
      </c>
      <c r="J22" s="112">
        <v>80</v>
      </c>
      <c r="K22" s="75">
        <v>260</v>
      </c>
      <c r="L22" s="75">
        <v>1300</v>
      </c>
      <c r="M22" s="202">
        <v>12.677923751732237</v>
      </c>
      <c r="N22" s="87">
        <v>2846.044656</v>
      </c>
      <c r="O22" s="123">
        <v>43584.647406699296</v>
      </c>
      <c r="P22" s="123">
        <v>46085.052575093498</v>
      </c>
      <c r="Q22" s="120">
        <v>14962.074432898504</v>
      </c>
      <c r="R22" s="123">
        <v>58546.721839597798</v>
      </c>
      <c r="S22" s="123">
        <v>61047.127007992</v>
      </c>
      <c r="U22" s="7" t="s">
        <v>6227</v>
      </c>
    </row>
    <row r="23" spans="1:21" s="7" customFormat="1" ht="16.5" customHeight="1" thickBot="1">
      <c r="A23" s="259" t="s">
        <v>10</v>
      </c>
      <c r="B23" s="263">
        <f t="shared" si="0"/>
        <v>80</v>
      </c>
      <c r="C23" s="263" t="s">
        <v>3</v>
      </c>
      <c r="D23" s="263">
        <f t="shared" si="1"/>
        <v>260</v>
      </c>
      <c r="E23" s="263" t="s">
        <v>3</v>
      </c>
      <c r="F23" s="261">
        <f t="shared" si="2"/>
        <v>1350</v>
      </c>
      <c r="G23" s="263" t="s">
        <v>3</v>
      </c>
      <c r="H23" s="260">
        <v>2</v>
      </c>
      <c r="I23" s="262" t="s">
        <v>581</v>
      </c>
      <c r="J23" s="112">
        <v>80</v>
      </c>
      <c r="K23" s="75">
        <v>260</v>
      </c>
      <c r="L23" s="75">
        <v>1350</v>
      </c>
      <c r="M23" s="202">
        <v>13.100599622868158</v>
      </c>
      <c r="N23" s="87">
        <v>2995.8364799999999</v>
      </c>
      <c r="O23" s="123">
        <v>44605.834111540767</v>
      </c>
      <c r="P23" s="123">
        <v>47208.742720190028</v>
      </c>
      <c r="Q23" s="120">
        <v>15393.685045265442</v>
      </c>
      <c r="R23" s="123">
        <v>59999.519156806207</v>
      </c>
      <c r="S23" s="123">
        <v>62602.427765455468</v>
      </c>
      <c r="U23" s="7" t="s">
        <v>6228</v>
      </c>
    </row>
    <row r="24" spans="1:21" s="7" customFormat="1" ht="16.5" customHeight="1" thickBot="1">
      <c r="A24" s="259" t="s">
        <v>10</v>
      </c>
      <c r="B24" s="263">
        <f t="shared" si="0"/>
        <v>80</v>
      </c>
      <c r="C24" s="263" t="s">
        <v>3</v>
      </c>
      <c r="D24" s="263">
        <f t="shared" si="1"/>
        <v>260</v>
      </c>
      <c r="E24" s="263" t="s">
        <v>3</v>
      </c>
      <c r="F24" s="261">
        <f t="shared" si="2"/>
        <v>1400</v>
      </c>
      <c r="G24" s="263" t="s">
        <v>3</v>
      </c>
      <c r="H24" s="260">
        <v>2</v>
      </c>
      <c r="I24" s="262" t="s">
        <v>581</v>
      </c>
      <c r="J24" s="112">
        <v>80</v>
      </c>
      <c r="K24" s="75">
        <v>260</v>
      </c>
      <c r="L24" s="75">
        <v>1400</v>
      </c>
      <c r="M24" s="202">
        <v>13.523275494004077</v>
      </c>
      <c r="N24" s="87">
        <v>3145.6283040000003</v>
      </c>
      <c r="O24" s="123">
        <v>45954.037292657791</v>
      </c>
      <c r="P24" s="123">
        <v>48638.616426658067</v>
      </c>
      <c r="Q24" s="120">
        <v>16055.877435415654</v>
      </c>
      <c r="R24" s="123">
        <v>62009.914728073447</v>
      </c>
      <c r="S24" s="123">
        <v>64694.493862073723</v>
      </c>
      <c r="U24" s="7" t="s">
        <v>6229</v>
      </c>
    </row>
    <row r="25" spans="1:21" s="7" customFormat="1" ht="16.5" customHeight="1" thickBot="1">
      <c r="A25" s="259" t="s">
        <v>10</v>
      </c>
      <c r="B25" s="263">
        <f t="shared" si="0"/>
        <v>80</v>
      </c>
      <c r="C25" s="263" t="s">
        <v>3</v>
      </c>
      <c r="D25" s="263">
        <f t="shared" si="1"/>
        <v>260</v>
      </c>
      <c r="E25" s="263" t="s">
        <v>3</v>
      </c>
      <c r="F25" s="261">
        <f t="shared" si="2"/>
        <v>1450</v>
      </c>
      <c r="G25" s="263" t="s">
        <v>3</v>
      </c>
      <c r="H25" s="260">
        <v>2</v>
      </c>
      <c r="I25" s="262" t="s">
        <v>581</v>
      </c>
      <c r="J25" s="112">
        <v>80</v>
      </c>
      <c r="K25" s="75">
        <v>260</v>
      </c>
      <c r="L25" s="75">
        <v>1450</v>
      </c>
      <c r="M25" s="202">
        <v>13.945951365139999</v>
      </c>
      <c r="N25" s="87">
        <v>3295.4201280000007</v>
      </c>
      <c r="O25" s="123">
        <v>46975.223997499263</v>
      </c>
      <c r="P25" s="123">
        <v>49762.306571754598</v>
      </c>
      <c r="Q25" s="120">
        <v>16487.48804778259</v>
      </c>
      <c r="R25" s="123">
        <v>63462.712045281849</v>
      </c>
      <c r="S25" s="123">
        <v>66249.794619537191</v>
      </c>
      <c r="U25" s="7" t="s">
        <v>6230</v>
      </c>
    </row>
    <row r="26" spans="1:21" s="7" customFormat="1" ht="16.5" customHeight="1" thickBot="1">
      <c r="A26" s="259" t="s">
        <v>10</v>
      </c>
      <c r="B26" s="263">
        <f t="shared" si="0"/>
        <v>80</v>
      </c>
      <c r="C26" s="263" t="s">
        <v>3</v>
      </c>
      <c r="D26" s="263">
        <f t="shared" si="1"/>
        <v>260</v>
      </c>
      <c r="E26" s="263" t="s">
        <v>3</v>
      </c>
      <c r="F26" s="261">
        <f t="shared" si="2"/>
        <v>1500</v>
      </c>
      <c r="G26" s="263" t="s">
        <v>3</v>
      </c>
      <c r="H26" s="260">
        <v>2</v>
      </c>
      <c r="I26" s="262" t="s">
        <v>581</v>
      </c>
      <c r="J26" s="112">
        <v>80</v>
      </c>
      <c r="K26" s="75">
        <v>260</v>
      </c>
      <c r="L26" s="75">
        <v>1500</v>
      </c>
      <c r="M26" s="202">
        <v>14.93539142507592</v>
      </c>
      <c r="N26" s="87">
        <v>3445.2119519999997</v>
      </c>
      <c r="O26" s="123">
        <v>48455.506923526358</v>
      </c>
      <c r="P26" s="123">
        <v>51423.229137703282</v>
      </c>
      <c r="Q26" s="120">
        <v>17149.680437932802</v>
      </c>
      <c r="R26" s="123">
        <v>65605.18736145916</v>
      </c>
      <c r="S26" s="123">
        <v>68572.909575636091</v>
      </c>
      <c r="U26" s="7" t="s">
        <v>6231</v>
      </c>
    </row>
    <row r="27" spans="1:21" s="7" customFormat="1" ht="16.5" customHeight="1" thickBot="1">
      <c r="A27" s="259" t="s">
        <v>10</v>
      </c>
      <c r="B27" s="263">
        <f t="shared" si="0"/>
        <v>80</v>
      </c>
      <c r="C27" s="263" t="s">
        <v>3</v>
      </c>
      <c r="D27" s="263">
        <f t="shared" si="1"/>
        <v>260</v>
      </c>
      <c r="E27" s="263" t="s">
        <v>3</v>
      </c>
      <c r="F27" s="261">
        <f t="shared" si="2"/>
        <v>1550</v>
      </c>
      <c r="G27" s="263" t="s">
        <v>3</v>
      </c>
      <c r="H27" s="260">
        <v>2</v>
      </c>
      <c r="I27" s="262" t="s">
        <v>581</v>
      </c>
      <c r="J27" s="112">
        <v>80</v>
      </c>
      <c r="K27" s="75">
        <v>260</v>
      </c>
      <c r="L27" s="75">
        <v>1550</v>
      </c>
      <c r="M27" s="202">
        <v>15.42706729621184</v>
      </c>
      <c r="N27" s="87">
        <v>3595.003776</v>
      </c>
      <c r="O27" s="123">
        <v>49476.693628367953</v>
      </c>
      <c r="P27" s="123">
        <v>52546.919163465449</v>
      </c>
      <c r="Q27" s="120">
        <v>17581.29105029974</v>
      </c>
      <c r="R27" s="123">
        <v>67057.984678667694</v>
      </c>
      <c r="S27" s="123">
        <v>70128.210213765182</v>
      </c>
      <c r="U27" s="7" t="s">
        <v>6232</v>
      </c>
    </row>
    <row r="28" spans="1:21" s="7" customFormat="1" ht="16.5" customHeight="1" thickBot="1">
      <c r="A28" s="259" t="s">
        <v>10</v>
      </c>
      <c r="B28" s="260">
        <f t="shared" si="0"/>
        <v>80</v>
      </c>
      <c r="C28" s="260" t="s">
        <v>3</v>
      </c>
      <c r="D28" s="260">
        <f t="shared" si="1"/>
        <v>260</v>
      </c>
      <c r="E28" s="260" t="s">
        <v>3</v>
      </c>
      <c r="F28" s="261">
        <f t="shared" si="2"/>
        <v>1600</v>
      </c>
      <c r="G28" s="260" t="s">
        <v>3</v>
      </c>
      <c r="H28" s="260">
        <v>2</v>
      </c>
      <c r="I28" s="262" t="s">
        <v>581</v>
      </c>
      <c r="J28" s="112">
        <v>80</v>
      </c>
      <c r="K28" s="75">
        <v>260</v>
      </c>
      <c r="L28" s="75">
        <v>1600</v>
      </c>
      <c r="M28" s="202">
        <v>15.849743167347761</v>
      </c>
      <c r="N28" s="87">
        <v>3744.7955999999999</v>
      </c>
      <c r="O28" s="123">
        <v>52443.921678967759</v>
      </c>
      <c r="P28" s="123">
        <v>55492.676695685768</v>
      </c>
      <c r="Q28" s="120">
        <v>18012.901662666678</v>
      </c>
      <c r="R28" s="123">
        <v>70456.823341634445</v>
      </c>
      <c r="S28" s="123">
        <v>73505.578358352446</v>
      </c>
      <c r="U28" s="7" t="s">
        <v>6233</v>
      </c>
    </row>
    <row r="29" spans="1:21" s="7" customFormat="1" ht="16.5" customHeight="1" thickBot="1">
      <c r="A29" s="259" t="s">
        <v>10</v>
      </c>
      <c r="B29" s="263">
        <f t="shared" si="0"/>
        <v>80</v>
      </c>
      <c r="C29" s="263" t="s">
        <v>3</v>
      </c>
      <c r="D29" s="263">
        <f t="shared" si="1"/>
        <v>260</v>
      </c>
      <c r="E29" s="263" t="s">
        <v>3</v>
      </c>
      <c r="F29" s="261">
        <f t="shared" si="2"/>
        <v>1650</v>
      </c>
      <c r="G29" s="263" t="s">
        <v>3</v>
      </c>
      <c r="H29" s="260">
        <v>2</v>
      </c>
      <c r="I29" s="262" t="s">
        <v>581</v>
      </c>
      <c r="J29" s="112">
        <v>80</v>
      </c>
      <c r="K29" s="75">
        <v>260</v>
      </c>
      <c r="L29" s="75">
        <v>1650</v>
      </c>
      <c r="M29" s="202">
        <v>16.310419038483683</v>
      </c>
      <c r="N29" s="87">
        <v>3894.5874240000003</v>
      </c>
      <c r="O29" s="123">
        <v>55663.40991320186</v>
      </c>
      <c r="P29" s="123">
        <v>58674.623772866042</v>
      </c>
      <c r="Q29" s="120">
        <v>18675.09391242353</v>
      </c>
      <c r="R29" s="123">
        <v>74338.50382562539</v>
      </c>
      <c r="S29" s="123">
        <v>77349.717685289565</v>
      </c>
      <c r="U29" s="7" t="s">
        <v>6234</v>
      </c>
    </row>
    <row r="30" spans="1:21" s="7" customFormat="1" ht="16.5" customHeight="1" thickBot="1">
      <c r="A30" s="259" t="s">
        <v>10</v>
      </c>
      <c r="B30" s="263">
        <f t="shared" si="0"/>
        <v>80</v>
      </c>
      <c r="C30" s="263" t="s">
        <v>3</v>
      </c>
      <c r="D30" s="263">
        <f t="shared" si="1"/>
        <v>260</v>
      </c>
      <c r="E30" s="263" t="s">
        <v>3</v>
      </c>
      <c r="F30" s="261">
        <f t="shared" si="2"/>
        <v>1700</v>
      </c>
      <c r="G30" s="263" t="s">
        <v>3</v>
      </c>
      <c r="H30" s="260">
        <v>2</v>
      </c>
      <c r="I30" s="262" t="s">
        <v>581</v>
      </c>
      <c r="J30" s="112">
        <v>80</v>
      </c>
      <c r="K30" s="75">
        <v>260</v>
      </c>
      <c r="L30" s="75">
        <v>1700</v>
      </c>
      <c r="M30" s="202">
        <v>16.733094909619606</v>
      </c>
      <c r="N30" s="87">
        <v>4044.3792480000006</v>
      </c>
      <c r="O30" s="123">
        <v>56479.449161659366</v>
      </c>
      <c r="P30" s="123">
        <v>59606.235483143013</v>
      </c>
      <c r="Q30" s="120">
        <v>19106.704524790468</v>
      </c>
      <c r="R30" s="123">
        <v>75586.153686449834</v>
      </c>
      <c r="S30" s="123">
        <v>78712.940007933474</v>
      </c>
      <c r="U30" s="7" t="s">
        <v>6235</v>
      </c>
    </row>
    <row r="31" spans="1:21" s="7" customFormat="1" ht="16.5" customHeight="1" thickBot="1">
      <c r="A31" s="259" t="s">
        <v>10</v>
      </c>
      <c r="B31" s="263">
        <f t="shared" si="0"/>
        <v>80</v>
      </c>
      <c r="C31" s="263" t="s">
        <v>3</v>
      </c>
      <c r="D31" s="263">
        <f t="shared" si="1"/>
        <v>260</v>
      </c>
      <c r="E31" s="263" t="s">
        <v>3</v>
      </c>
      <c r="F31" s="261">
        <f t="shared" si="2"/>
        <v>1750</v>
      </c>
      <c r="G31" s="263" t="s">
        <v>3</v>
      </c>
      <c r="H31" s="260">
        <v>2</v>
      </c>
      <c r="I31" s="262" t="s">
        <v>581</v>
      </c>
      <c r="J31" s="112">
        <v>80</v>
      </c>
      <c r="K31" s="75">
        <v>260</v>
      </c>
      <c r="L31" s="75">
        <v>1750</v>
      </c>
      <c r="M31" s="202">
        <v>17.155770780755525</v>
      </c>
      <c r="N31" s="87">
        <v>4194.1710720000001</v>
      </c>
      <c r="O31" s="123">
        <v>57219.334592807616</v>
      </c>
      <c r="P31" s="123">
        <v>60466.544914440303</v>
      </c>
      <c r="Q31" s="120">
        <v>19768.89691494068</v>
      </c>
      <c r="R31" s="123">
        <v>76988.231507748293</v>
      </c>
      <c r="S31" s="123">
        <v>80235.441829380987</v>
      </c>
      <c r="U31" s="7" t="s">
        <v>6236</v>
      </c>
    </row>
    <row r="32" spans="1:21" s="7" customFormat="1" ht="16.5" customHeight="1" thickBot="1">
      <c r="A32" s="259" t="s">
        <v>10</v>
      </c>
      <c r="B32" s="263">
        <f t="shared" si="0"/>
        <v>80</v>
      </c>
      <c r="C32" s="263" t="s">
        <v>3</v>
      </c>
      <c r="D32" s="263">
        <f t="shared" si="1"/>
        <v>260</v>
      </c>
      <c r="E32" s="263" t="s">
        <v>3</v>
      </c>
      <c r="F32" s="261">
        <f t="shared" si="2"/>
        <v>1800</v>
      </c>
      <c r="G32" s="263" t="s">
        <v>3</v>
      </c>
      <c r="H32" s="260">
        <v>2</v>
      </c>
      <c r="I32" s="262" t="s">
        <v>581</v>
      </c>
      <c r="J32" s="112">
        <v>80</v>
      </c>
      <c r="K32" s="75">
        <v>260</v>
      </c>
      <c r="L32" s="75">
        <v>1800</v>
      </c>
      <c r="M32" s="202">
        <v>17.647446651891446</v>
      </c>
      <c r="N32" s="87">
        <v>4343.962896</v>
      </c>
      <c r="O32" s="123">
        <v>58036.070515247848</v>
      </c>
      <c r="P32" s="123">
        <v>61398.808786984431</v>
      </c>
      <c r="Q32" s="120">
        <v>20200.507527307618</v>
      </c>
      <c r="R32" s="123">
        <v>78236.578042555469</v>
      </c>
      <c r="S32" s="123">
        <v>81599.316314292053</v>
      </c>
      <c r="U32" s="7" t="s">
        <v>6237</v>
      </c>
    </row>
    <row r="33" spans="1:21" s="7" customFormat="1" ht="16.5" customHeight="1" thickBot="1">
      <c r="A33" s="259" t="s">
        <v>10</v>
      </c>
      <c r="B33" s="263">
        <f t="shared" si="0"/>
        <v>80</v>
      </c>
      <c r="C33" s="263" t="s">
        <v>3</v>
      </c>
      <c r="D33" s="263">
        <f t="shared" si="1"/>
        <v>260</v>
      </c>
      <c r="E33" s="263" t="s">
        <v>3</v>
      </c>
      <c r="F33" s="261">
        <f t="shared" si="2"/>
        <v>1850</v>
      </c>
      <c r="G33" s="263" t="s">
        <v>3</v>
      </c>
      <c r="H33" s="260">
        <v>2</v>
      </c>
      <c r="I33" s="262" t="s">
        <v>581</v>
      </c>
      <c r="J33" s="112">
        <v>80</v>
      </c>
      <c r="K33" s="75">
        <v>260</v>
      </c>
      <c r="L33" s="75">
        <v>1850</v>
      </c>
      <c r="M33" s="202">
        <v>18.13212252302737</v>
      </c>
      <c r="N33" s="87">
        <v>4493.7547199999999</v>
      </c>
      <c r="O33" s="123">
        <v>58852.758226607402</v>
      </c>
      <c r="P33" s="123">
        <v>62331.027670475538</v>
      </c>
      <c r="Q33" s="120">
        <v>20862.69991745783</v>
      </c>
      <c r="R33" s="123">
        <v>79715.458144065225</v>
      </c>
      <c r="S33" s="123">
        <v>83193.727587933361</v>
      </c>
      <c r="U33" s="7" t="s">
        <v>6238</v>
      </c>
    </row>
    <row r="34" spans="1:21" s="7" customFormat="1" ht="16.5" customHeight="1" thickBot="1">
      <c r="A34" s="259" t="s">
        <v>10</v>
      </c>
      <c r="B34" s="263">
        <f t="shared" si="0"/>
        <v>80</v>
      </c>
      <c r="C34" s="263" t="s">
        <v>3</v>
      </c>
      <c r="D34" s="263">
        <f t="shared" si="1"/>
        <v>260</v>
      </c>
      <c r="E34" s="263" t="s">
        <v>3</v>
      </c>
      <c r="F34" s="261">
        <f t="shared" si="2"/>
        <v>1900</v>
      </c>
      <c r="G34" s="263" t="s">
        <v>3</v>
      </c>
      <c r="H34" s="260">
        <v>2</v>
      </c>
      <c r="I34" s="262" t="s">
        <v>581</v>
      </c>
      <c r="J34" s="112">
        <v>80</v>
      </c>
      <c r="K34" s="75">
        <v>260</v>
      </c>
      <c r="L34" s="75">
        <v>1900</v>
      </c>
      <c r="M34" s="202">
        <v>18.554798394163289</v>
      </c>
      <c r="N34" s="87">
        <v>4643.5465440000007</v>
      </c>
      <c r="O34" s="123">
        <v>59844.500371925118</v>
      </c>
      <c r="P34" s="123">
        <v>63427.148953489312</v>
      </c>
      <c r="Q34" s="120">
        <v>21294.310529824768</v>
      </c>
      <c r="R34" s="123">
        <v>81138.810901749879</v>
      </c>
      <c r="S34" s="123">
        <v>84721.459483314073</v>
      </c>
      <c r="U34" s="7" t="s">
        <v>6239</v>
      </c>
    </row>
    <row r="35" spans="1:21" s="7" customFormat="1" ht="16.5" customHeight="1" thickBot="1">
      <c r="A35" s="259" t="s">
        <v>10</v>
      </c>
      <c r="B35" s="263">
        <f t="shared" si="0"/>
        <v>80</v>
      </c>
      <c r="C35" s="263" t="s">
        <v>3</v>
      </c>
      <c r="D35" s="263">
        <f t="shared" si="1"/>
        <v>260</v>
      </c>
      <c r="E35" s="263" t="s">
        <v>3</v>
      </c>
      <c r="F35" s="261">
        <f t="shared" si="2"/>
        <v>1950</v>
      </c>
      <c r="G35" s="263" t="s">
        <v>3</v>
      </c>
      <c r="H35" s="260">
        <v>2</v>
      </c>
      <c r="I35" s="262" t="s">
        <v>581</v>
      </c>
      <c r="J35" s="112">
        <v>80</v>
      </c>
      <c r="K35" s="75">
        <v>260</v>
      </c>
      <c r="L35" s="75">
        <v>1950</v>
      </c>
      <c r="M35" s="202">
        <v>19.130724265299211</v>
      </c>
      <c r="N35" s="87">
        <v>4793.3383680000006</v>
      </c>
      <c r="O35" s="123">
        <v>60995.443739727154</v>
      </c>
      <c r="P35" s="123">
        <v>64672.329470559082</v>
      </c>
      <c r="Q35" s="120">
        <v>21725.921142191706</v>
      </c>
      <c r="R35" s="123">
        <v>82721.364881918853</v>
      </c>
      <c r="S35" s="123">
        <v>86398.250612750795</v>
      </c>
      <c r="U35" s="7" t="s">
        <v>6240</v>
      </c>
    </row>
    <row r="36" spans="1:21" s="7" customFormat="1" ht="16.5" customHeight="1" thickBot="1">
      <c r="A36" s="259" t="s">
        <v>10</v>
      </c>
      <c r="B36" s="263">
        <f t="shared" si="0"/>
        <v>80</v>
      </c>
      <c r="C36" s="263" t="s">
        <v>3</v>
      </c>
      <c r="D36" s="263">
        <f t="shared" si="1"/>
        <v>260</v>
      </c>
      <c r="E36" s="263" t="s">
        <v>3</v>
      </c>
      <c r="F36" s="261">
        <f t="shared" si="2"/>
        <v>2000</v>
      </c>
      <c r="G36" s="263" t="s">
        <v>3</v>
      </c>
      <c r="H36" s="260">
        <v>2</v>
      </c>
      <c r="I36" s="262" t="s">
        <v>581</v>
      </c>
      <c r="J36" s="112">
        <v>80</v>
      </c>
      <c r="K36" s="75">
        <v>260</v>
      </c>
      <c r="L36" s="75">
        <v>2000</v>
      </c>
      <c r="M36" s="202">
        <v>19.644962536435131</v>
      </c>
      <c r="N36" s="87">
        <v>4943.1301919999996</v>
      </c>
      <c r="O36" s="123">
        <v>62018.413299879023</v>
      </c>
      <c r="P36" s="123">
        <v>65987.946018502902</v>
      </c>
      <c r="Q36" s="120">
        <v>22388.113532341918</v>
      </c>
      <c r="R36" s="123">
        <v>84406.526832220945</v>
      </c>
      <c r="S36" s="123">
        <v>88376.059550844817</v>
      </c>
      <c r="U36" s="7" t="s">
        <v>6241</v>
      </c>
    </row>
    <row r="37" spans="1:21" s="7" customFormat="1" ht="16.5" customHeight="1" thickBot="1">
      <c r="A37" s="259" t="s">
        <v>10</v>
      </c>
      <c r="B37" s="263">
        <f t="shared" si="0"/>
        <v>80</v>
      </c>
      <c r="C37" s="263" t="s">
        <v>3</v>
      </c>
      <c r="D37" s="263">
        <f t="shared" si="1"/>
        <v>260</v>
      </c>
      <c r="E37" s="263" t="s">
        <v>3</v>
      </c>
      <c r="F37" s="261">
        <f t="shared" si="2"/>
        <v>2050</v>
      </c>
      <c r="G37" s="263" t="s">
        <v>3</v>
      </c>
      <c r="H37" s="260">
        <v>2</v>
      </c>
      <c r="I37" s="262" t="s">
        <v>581</v>
      </c>
      <c r="J37" s="112">
        <v>80</v>
      </c>
      <c r="K37" s="75">
        <v>260</v>
      </c>
      <c r="L37" s="75">
        <v>2050</v>
      </c>
      <c r="M37" s="202">
        <v>20.067638407571049</v>
      </c>
      <c r="N37" s="87">
        <v>5092.9220159999995</v>
      </c>
      <c r="O37" s="123">
        <v>64979.071397392261</v>
      </c>
      <c r="P37" s="123">
        <v>68927.55198389625</v>
      </c>
      <c r="Q37" s="120">
        <v>22819.724144708856</v>
      </c>
      <c r="R37" s="123">
        <v>87798.795542101114</v>
      </c>
      <c r="S37" s="123">
        <v>91747.27612860511</v>
      </c>
      <c r="U37" s="7" t="s">
        <v>6242</v>
      </c>
    </row>
    <row r="38" spans="1:21" s="7" customFormat="1" ht="16.5" customHeight="1" thickBot="1">
      <c r="A38" s="259" t="s">
        <v>10</v>
      </c>
      <c r="B38" s="260">
        <f t="shared" si="0"/>
        <v>80</v>
      </c>
      <c r="C38" s="260" t="s">
        <v>3</v>
      </c>
      <c r="D38" s="260">
        <f t="shared" si="1"/>
        <v>260</v>
      </c>
      <c r="E38" s="260" t="s">
        <v>3</v>
      </c>
      <c r="F38" s="261">
        <f t="shared" si="2"/>
        <v>2100</v>
      </c>
      <c r="G38" s="260" t="s">
        <v>3</v>
      </c>
      <c r="H38" s="260">
        <v>2</v>
      </c>
      <c r="I38" s="262" t="s">
        <v>581</v>
      </c>
      <c r="J38" s="112">
        <v>80</v>
      </c>
      <c r="K38" s="75">
        <v>260</v>
      </c>
      <c r="L38" s="75">
        <v>2100</v>
      </c>
      <c r="M38" s="202">
        <v>20.490314278706975</v>
      </c>
      <c r="N38" s="87">
        <v>5242.7138400000003</v>
      </c>
      <c r="O38" s="123">
        <v>65857.688986578723</v>
      </c>
      <c r="P38" s="123">
        <v>69917.755432000296</v>
      </c>
      <c r="Q38" s="120">
        <v>23481.916534859069</v>
      </c>
      <c r="R38" s="123">
        <v>89339.605521437799</v>
      </c>
      <c r="S38" s="123">
        <v>93399.671966859372</v>
      </c>
      <c r="U38" s="7" t="s">
        <v>6243</v>
      </c>
    </row>
    <row r="39" spans="1:21" s="7" customFormat="1" ht="16.5" customHeight="1" thickBot="1">
      <c r="A39" s="259" t="s">
        <v>10</v>
      </c>
      <c r="B39" s="263">
        <f t="shared" si="0"/>
        <v>80</v>
      </c>
      <c r="C39" s="263" t="s">
        <v>3</v>
      </c>
      <c r="D39" s="263">
        <f t="shared" si="1"/>
        <v>260</v>
      </c>
      <c r="E39" s="263" t="s">
        <v>3</v>
      </c>
      <c r="F39" s="261">
        <f t="shared" si="2"/>
        <v>2150</v>
      </c>
      <c r="G39" s="263" t="s">
        <v>3</v>
      </c>
      <c r="H39" s="260">
        <v>2</v>
      </c>
      <c r="I39" s="262" t="s">
        <v>581</v>
      </c>
      <c r="J39" s="112">
        <v>80</v>
      </c>
      <c r="K39" s="75">
        <v>260</v>
      </c>
      <c r="L39" s="75">
        <v>2150</v>
      </c>
      <c r="M39" s="202">
        <v>21.036990149842897</v>
      </c>
      <c r="N39" s="87">
        <v>5392.5056640000003</v>
      </c>
      <c r="O39" s="123">
        <v>66883.923892771971</v>
      </c>
      <c r="P39" s="123">
        <v>71046.172172353312</v>
      </c>
      <c r="Q39" s="120">
        <v>23913.527147226006</v>
      </c>
      <c r="R39" s="123">
        <v>90797.451039997977</v>
      </c>
      <c r="S39" s="123">
        <v>94959.699319579318</v>
      </c>
      <c r="U39" s="7" t="s">
        <v>6244</v>
      </c>
    </row>
    <row r="40" spans="1:21" s="7" customFormat="1" ht="16.5" customHeight="1" thickBot="1">
      <c r="A40" s="259" t="s">
        <v>10</v>
      </c>
      <c r="B40" s="263">
        <f t="shared" si="0"/>
        <v>80</v>
      </c>
      <c r="C40" s="263" t="s">
        <v>3</v>
      </c>
      <c r="D40" s="263">
        <f t="shared" si="1"/>
        <v>260</v>
      </c>
      <c r="E40" s="263" t="s">
        <v>3</v>
      </c>
      <c r="F40" s="261">
        <f t="shared" si="2"/>
        <v>2200</v>
      </c>
      <c r="G40" s="263" t="s">
        <v>3</v>
      </c>
      <c r="H40" s="260">
        <v>2</v>
      </c>
      <c r="I40" s="262" t="s">
        <v>581</v>
      </c>
      <c r="J40" s="112">
        <v>80</v>
      </c>
      <c r="K40" s="75">
        <v>260</v>
      </c>
      <c r="L40" s="75">
        <v>2200</v>
      </c>
      <c r="M40" s="202">
        <v>21.459666020978815</v>
      </c>
      <c r="N40" s="87">
        <v>5542.2974880000011</v>
      </c>
      <c r="O40" s="123">
        <v>67910.110707218875</v>
      </c>
      <c r="P40" s="123">
        <v>72174.543804319197</v>
      </c>
      <c r="Q40" s="120">
        <v>24575.719537376219</v>
      </c>
      <c r="R40" s="123">
        <v>92485.830244595098</v>
      </c>
      <c r="S40" s="123">
        <v>96750.26334169542</v>
      </c>
      <c r="U40" s="7" t="s">
        <v>6245</v>
      </c>
    </row>
    <row r="41" spans="1:21" s="7" customFormat="1" ht="16.5" customHeight="1" thickBot="1">
      <c r="A41" s="259" t="s">
        <v>10</v>
      </c>
      <c r="B41" s="263">
        <f t="shared" si="0"/>
        <v>80</v>
      </c>
      <c r="C41" s="263" t="s">
        <v>3</v>
      </c>
      <c r="D41" s="263">
        <f t="shared" si="1"/>
        <v>260</v>
      </c>
      <c r="E41" s="263" t="s">
        <v>3</v>
      </c>
      <c r="F41" s="261">
        <f t="shared" si="2"/>
        <v>2250</v>
      </c>
      <c r="G41" s="263" t="s">
        <v>3</v>
      </c>
      <c r="H41" s="260">
        <v>2</v>
      </c>
      <c r="I41" s="262" t="s">
        <v>581</v>
      </c>
      <c r="J41" s="112">
        <v>80</v>
      </c>
      <c r="K41" s="75">
        <v>260</v>
      </c>
      <c r="L41" s="75">
        <v>2250</v>
      </c>
      <c r="M41" s="202">
        <v>21.882341892114738</v>
      </c>
      <c r="N41" s="87">
        <v>5692.0893120000001</v>
      </c>
      <c r="O41" s="123">
        <v>69255.908704347894</v>
      </c>
      <c r="P41" s="123">
        <v>73602.165552115068</v>
      </c>
      <c r="Q41" s="120">
        <v>25007.330009349789</v>
      </c>
      <c r="R41" s="123">
        <v>94263.238713697676</v>
      </c>
      <c r="S41" s="123">
        <v>98609.495561464864</v>
      </c>
      <c r="U41" s="7" t="s">
        <v>6246</v>
      </c>
    </row>
    <row r="42" spans="1:21" s="7" customFormat="1" ht="16.5" customHeight="1" thickBot="1">
      <c r="A42" s="259" t="s">
        <v>10</v>
      </c>
      <c r="B42" s="263">
        <f t="shared" si="0"/>
        <v>80</v>
      </c>
      <c r="C42" s="263" t="s">
        <v>3</v>
      </c>
      <c r="D42" s="263">
        <f t="shared" si="1"/>
        <v>260</v>
      </c>
      <c r="E42" s="263" t="s">
        <v>3</v>
      </c>
      <c r="F42" s="261">
        <f t="shared" si="2"/>
        <v>2300</v>
      </c>
      <c r="G42" s="263" t="s">
        <v>3</v>
      </c>
      <c r="H42" s="260">
        <v>2</v>
      </c>
      <c r="I42" s="262" t="s">
        <v>581</v>
      </c>
      <c r="J42" s="112">
        <v>80</v>
      </c>
      <c r="K42" s="75">
        <v>260</v>
      </c>
      <c r="L42" s="75">
        <v>2300</v>
      </c>
      <c r="M42" s="202">
        <v>22.30501776325066</v>
      </c>
      <c r="N42" s="87">
        <v>5841.881136</v>
      </c>
      <c r="O42" s="123">
        <v>70039.190074828293</v>
      </c>
      <c r="P42" s="123">
        <v>74503.106184335469</v>
      </c>
      <c r="Q42" s="120">
        <v>25438.940621716731</v>
      </c>
      <c r="R42" s="123">
        <v>95478.13069654502</v>
      </c>
      <c r="S42" s="123">
        <v>99942.046806052196</v>
      </c>
      <c r="U42" s="7" t="s">
        <v>6247</v>
      </c>
    </row>
    <row r="43" spans="1:21" s="7" customFormat="1" ht="16.5" customHeight="1" thickBot="1">
      <c r="A43" s="259" t="s">
        <v>10</v>
      </c>
      <c r="B43" s="263">
        <f t="shared" si="0"/>
        <v>80</v>
      </c>
      <c r="C43" s="263" t="s">
        <v>3</v>
      </c>
      <c r="D43" s="263">
        <f t="shared" si="1"/>
        <v>260</v>
      </c>
      <c r="E43" s="263" t="s">
        <v>3</v>
      </c>
      <c r="F43" s="261">
        <f t="shared" si="2"/>
        <v>2350</v>
      </c>
      <c r="G43" s="263" t="s">
        <v>3</v>
      </c>
      <c r="H43" s="260">
        <v>2</v>
      </c>
      <c r="I43" s="262" t="s">
        <v>581</v>
      </c>
      <c r="J43" s="112">
        <v>80</v>
      </c>
      <c r="K43" s="75">
        <v>260</v>
      </c>
      <c r="L43" s="75">
        <v>2350</v>
      </c>
      <c r="M43" s="202">
        <v>22.727693634386579</v>
      </c>
      <c r="N43" s="87">
        <v>5991.6729599999999</v>
      </c>
      <c r="O43" s="123">
        <v>70822.423353562364</v>
      </c>
      <c r="P43" s="123">
        <v>75404.001827502856</v>
      </c>
      <c r="Q43" s="120">
        <v>26101.133011866939</v>
      </c>
      <c r="R43" s="123">
        <v>96923.556365429307</v>
      </c>
      <c r="S43" s="123">
        <v>101505.1348393698</v>
      </c>
      <c r="U43" s="7" t="s">
        <v>6248</v>
      </c>
    </row>
    <row r="44" spans="1:21" s="7" customFormat="1" ht="16.5" customHeight="1" thickBot="1">
      <c r="A44" s="259" t="s">
        <v>10</v>
      </c>
      <c r="B44" s="263">
        <f t="shared" si="0"/>
        <v>80</v>
      </c>
      <c r="C44" s="263" t="s">
        <v>3</v>
      </c>
      <c r="D44" s="263">
        <f t="shared" si="1"/>
        <v>260</v>
      </c>
      <c r="E44" s="263" t="s">
        <v>3</v>
      </c>
      <c r="F44" s="261">
        <f t="shared" si="2"/>
        <v>2400</v>
      </c>
      <c r="G44" s="263" t="s">
        <v>3</v>
      </c>
      <c r="H44" s="260">
        <v>2</v>
      </c>
      <c r="I44" s="262" t="s">
        <v>581</v>
      </c>
      <c r="J44" s="112">
        <v>80</v>
      </c>
      <c r="K44" s="75">
        <v>260</v>
      </c>
      <c r="L44" s="75">
        <v>2400</v>
      </c>
      <c r="M44" s="202">
        <v>23.150369505522498</v>
      </c>
      <c r="N44" s="87">
        <v>6141.4647839999989</v>
      </c>
      <c r="O44" s="123">
        <v>71605.608540550122</v>
      </c>
      <c r="P44" s="123">
        <v>76304.852481617228</v>
      </c>
      <c r="Q44" s="120">
        <v>26532.743624233881</v>
      </c>
      <c r="R44" s="123">
        <v>98138.35216478401</v>
      </c>
      <c r="S44" s="123">
        <v>102837.59610585112</v>
      </c>
      <c r="U44" s="7" t="s">
        <v>6249</v>
      </c>
    </row>
    <row r="45" spans="1:21" s="7" customFormat="1" ht="16.5" customHeight="1" thickBot="1">
      <c r="A45" s="259" t="s">
        <v>10</v>
      </c>
      <c r="B45" s="263">
        <f t="shared" si="0"/>
        <v>80</v>
      </c>
      <c r="C45" s="263" t="s">
        <v>3</v>
      </c>
      <c r="D45" s="263">
        <f t="shared" si="1"/>
        <v>260</v>
      </c>
      <c r="E45" s="263" t="s">
        <v>3</v>
      </c>
      <c r="F45" s="261">
        <f t="shared" si="2"/>
        <v>2450</v>
      </c>
      <c r="G45" s="263" t="s">
        <v>3</v>
      </c>
      <c r="H45" s="260">
        <v>2</v>
      </c>
      <c r="I45" s="262" t="s">
        <v>581</v>
      </c>
      <c r="J45" s="112">
        <v>80</v>
      </c>
      <c r="K45" s="75">
        <v>260</v>
      </c>
      <c r="L45" s="75">
        <v>2450</v>
      </c>
      <c r="M45" s="202">
        <v>24.253809565458425</v>
      </c>
      <c r="N45" s="87">
        <v>6291.2566080000006</v>
      </c>
      <c r="O45" s="123">
        <v>72847.841856977277</v>
      </c>
      <c r="P45" s="123">
        <v>77742.89068686511</v>
      </c>
      <c r="Q45" s="120">
        <v>27194.936014384097</v>
      </c>
      <c r="R45" s="123">
        <v>100042.77787136138</v>
      </c>
      <c r="S45" s="123">
        <v>104937.8267012492</v>
      </c>
      <c r="U45" s="7" t="s">
        <v>6250</v>
      </c>
    </row>
    <row r="46" spans="1:21" s="7" customFormat="1" ht="16.5" customHeight="1" thickBot="1">
      <c r="A46" s="259" t="s">
        <v>10</v>
      </c>
      <c r="B46" s="263">
        <f t="shared" si="0"/>
        <v>80</v>
      </c>
      <c r="C46" s="263" t="s">
        <v>3</v>
      </c>
      <c r="D46" s="263">
        <f t="shared" si="1"/>
        <v>260</v>
      </c>
      <c r="E46" s="263" t="s">
        <v>3</v>
      </c>
      <c r="F46" s="261">
        <f t="shared" si="2"/>
        <v>2500</v>
      </c>
      <c r="G46" s="263" t="s">
        <v>3</v>
      </c>
      <c r="H46" s="260">
        <v>2</v>
      </c>
      <c r="I46" s="262" t="s">
        <v>581</v>
      </c>
      <c r="J46" s="112">
        <v>80</v>
      </c>
      <c r="K46" s="75">
        <v>260</v>
      </c>
      <c r="L46" s="75">
        <v>2500</v>
      </c>
      <c r="M46" s="202">
        <v>24.693485436594344</v>
      </c>
      <c r="N46" s="87">
        <v>6441.0484319999996</v>
      </c>
      <c r="O46" s="123">
        <v>73630.930860472377</v>
      </c>
      <c r="P46" s="123">
        <v>78643.651243539105</v>
      </c>
      <c r="Q46" s="120">
        <v>27626.546626751031</v>
      </c>
      <c r="R46" s="123">
        <v>101257.47748722341</v>
      </c>
      <c r="S46" s="123">
        <v>106270.19787029014</v>
      </c>
      <c r="U46" s="7" t="s">
        <v>6251</v>
      </c>
    </row>
    <row r="47" spans="1:21" s="7" customFormat="1" ht="16.5" customHeight="1" thickBot="1">
      <c r="A47" s="259" t="s">
        <v>10</v>
      </c>
      <c r="B47" s="263">
        <f t="shared" si="0"/>
        <v>80</v>
      </c>
      <c r="C47" s="263" t="s">
        <v>3</v>
      </c>
      <c r="D47" s="263">
        <f t="shared" si="1"/>
        <v>260</v>
      </c>
      <c r="E47" s="263" t="s">
        <v>3</v>
      </c>
      <c r="F47" s="261">
        <f t="shared" si="2"/>
        <v>2550</v>
      </c>
      <c r="G47" s="263" t="s">
        <v>3</v>
      </c>
      <c r="H47" s="260">
        <v>2</v>
      </c>
      <c r="I47" s="262" t="s">
        <v>581</v>
      </c>
      <c r="J47" s="112">
        <v>80</v>
      </c>
      <c r="K47" s="75">
        <v>260</v>
      </c>
      <c r="L47" s="75">
        <v>2550</v>
      </c>
      <c r="M47" s="202">
        <v>25.116161307730263</v>
      </c>
      <c r="N47" s="87">
        <v>6590.8402560000013</v>
      </c>
      <c r="O47" s="123">
        <v>77708.307589880482</v>
      </c>
      <c r="P47" s="123">
        <v>82628.834424562359</v>
      </c>
      <c r="Q47" s="120">
        <v>28288.739016901247</v>
      </c>
      <c r="R47" s="123">
        <v>105997.04660678173</v>
      </c>
      <c r="S47" s="123">
        <v>110917.57344146361</v>
      </c>
      <c r="U47" s="7" t="s">
        <v>6252</v>
      </c>
    </row>
    <row r="48" spans="1:21" ht="16.5" customHeight="1" thickBot="1">
      <c r="A48" s="259" t="s">
        <v>10</v>
      </c>
      <c r="B48" s="260">
        <f t="shared" si="0"/>
        <v>80</v>
      </c>
      <c r="C48" s="260" t="s">
        <v>3</v>
      </c>
      <c r="D48" s="260">
        <f t="shared" si="1"/>
        <v>260</v>
      </c>
      <c r="E48" s="260" t="s">
        <v>3</v>
      </c>
      <c r="F48" s="261">
        <f t="shared" si="2"/>
        <v>2600</v>
      </c>
      <c r="G48" s="260" t="s">
        <v>3</v>
      </c>
      <c r="H48" s="260">
        <v>2</v>
      </c>
      <c r="I48" s="262" t="s">
        <v>581</v>
      </c>
      <c r="J48" s="112">
        <v>80</v>
      </c>
      <c r="K48" s="75">
        <v>260</v>
      </c>
      <c r="L48" s="75">
        <v>2600</v>
      </c>
      <c r="M48" s="202">
        <v>25.538837178866189</v>
      </c>
      <c r="N48" s="87">
        <v>6740.6320800000003</v>
      </c>
      <c r="O48" s="123">
        <v>78761.903955042057</v>
      </c>
      <c r="P48" s="123">
        <v>83782.869506914707</v>
      </c>
      <c r="Q48" s="120">
        <v>28720.349629268181</v>
      </c>
      <c r="R48" s="123">
        <v>107482.25358431024</v>
      </c>
      <c r="S48" s="123">
        <v>112503.21913618289</v>
      </c>
      <c r="U48" s="7" t="s">
        <v>6253</v>
      </c>
    </row>
    <row r="49" spans="1:21" ht="16.5" customHeight="1" thickBot="1">
      <c r="A49" s="259" t="s">
        <v>10</v>
      </c>
      <c r="B49" s="263">
        <f t="shared" si="0"/>
        <v>80</v>
      </c>
      <c r="C49" s="263" t="s">
        <v>3</v>
      </c>
      <c r="D49" s="263">
        <f t="shared" si="1"/>
        <v>260</v>
      </c>
      <c r="E49" s="263" t="s">
        <v>3</v>
      </c>
      <c r="F49" s="261">
        <f t="shared" si="2"/>
        <v>2650</v>
      </c>
      <c r="G49" s="263" t="s">
        <v>3</v>
      </c>
      <c r="H49" s="260">
        <v>2</v>
      </c>
      <c r="I49" s="262" t="s">
        <v>581</v>
      </c>
      <c r="J49" s="112">
        <v>80</v>
      </c>
      <c r="K49" s="75">
        <v>260</v>
      </c>
      <c r="L49" s="75">
        <v>2650</v>
      </c>
      <c r="M49" s="202">
        <v>26.06851305000211</v>
      </c>
      <c r="N49" s="87">
        <v>6890.4239039999993</v>
      </c>
      <c r="O49" s="123">
        <v>79384.880498894185</v>
      </c>
      <c r="P49" s="123">
        <v>84533.717708206474</v>
      </c>
      <c r="Q49" s="120">
        <v>29382.542019418397</v>
      </c>
      <c r="R49" s="123">
        <v>108767.42251831258</v>
      </c>
      <c r="S49" s="123">
        <v>113916.25972762487</v>
      </c>
      <c r="U49" s="7" t="s">
        <v>6254</v>
      </c>
    </row>
    <row r="50" spans="1:21" ht="16.5" customHeight="1" thickBot="1">
      <c r="A50" s="259" t="s">
        <v>10</v>
      </c>
      <c r="B50" s="263">
        <f t="shared" si="0"/>
        <v>80</v>
      </c>
      <c r="C50" s="263" t="s">
        <v>3</v>
      </c>
      <c r="D50" s="263">
        <f t="shared" si="1"/>
        <v>260</v>
      </c>
      <c r="E50" s="263" t="s">
        <v>3</v>
      </c>
      <c r="F50" s="261">
        <f t="shared" si="2"/>
        <v>2700</v>
      </c>
      <c r="G50" s="263" t="s">
        <v>3</v>
      </c>
      <c r="H50" s="260">
        <v>2</v>
      </c>
      <c r="I50" s="262" t="s">
        <v>581</v>
      </c>
      <c r="J50" s="112">
        <v>80</v>
      </c>
      <c r="K50" s="75">
        <v>260</v>
      </c>
      <c r="L50" s="75">
        <v>2700</v>
      </c>
      <c r="M50" s="202">
        <v>26.530438921138028</v>
      </c>
      <c r="N50" s="87">
        <v>7040.215728000001</v>
      </c>
      <c r="O50" s="123">
        <v>80043.188366156392</v>
      </c>
      <c r="P50" s="123">
        <v>85317.64634824534</v>
      </c>
      <c r="Q50" s="120">
        <v>29814.152631785331</v>
      </c>
      <c r="R50" s="123">
        <v>109857.34099794172</v>
      </c>
      <c r="S50" s="123">
        <v>115131.79898003067</v>
      </c>
      <c r="U50" s="7" t="s">
        <v>6255</v>
      </c>
    </row>
    <row r="51" spans="1:21" ht="16.5" customHeight="1" thickBot="1">
      <c r="A51" s="259" t="s">
        <v>10</v>
      </c>
      <c r="B51" s="263">
        <f t="shared" si="0"/>
        <v>80</v>
      </c>
      <c r="C51" s="263" t="s">
        <v>3</v>
      </c>
      <c r="D51" s="263">
        <f t="shared" si="1"/>
        <v>260</v>
      </c>
      <c r="E51" s="263" t="s">
        <v>3</v>
      </c>
      <c r="F51" s="261">
        <f t="shared" si="2"/>
        <v>2750</v>
      </c>
      <c r="G51" s="263" t="s">
        <v>3</v>
      </c>
      <c r="H51" s="260">
        <v>2</v>
      </c>
      <c r="I51" s="262" t="s">
        <v>581</v>
      </c>
      <c r="J51" s="112">
        <v>80</v>
      </c>
      <c r="K51" s="75">
        <v>260</v>
      </c>
      <c r="L51" s="75">
        <v>2750</v>
      </c>
      <c r="M51" s="202">
        <v>26.953114792273947</v>
      </c>
      <c r="N51" s="87">
        <v>7190.007552</v>
      </c>
      <c r="O51" s="123">
        <v>80747.822785917597</v>
      </c>
      <c r="P51" s="123">
        <v>86144.95040210677</v>
      </c>
      <c r="Q51" s="120">
        <v>30245.763244152273</v>
      </c>
      <c r="R51" s="123">
        <v>110993.58603006987</v>
      </c>
      <c r="S51" s="123">
        <v>116390.71364625904</v>
      </c>
      <c r="U51" s="7" t="s">
        <v>6256</v>
      </c>
    </row>
    <row r="52" spans="1:21" ht="16.5" customHeight="1" thickBot="1">
      <c r="A52" s="259" t="s">
        <v>10</v>
      </c>
      <c r="B52" s="263">
        <f t="shared" si="0"/>
        <v>80</v>
      </c>
      <c r="C52" s="263" t="s">
        <v>3</v>
      </c>
      <c r="D52" s="263">
        <f t="shared" si="1"/>
        <v>260</v>
      </c>
      <c r="E52" s="263" t="s">
        <v>3</v>
      </c>
      <c r="F52" s="261">
        <f t="shared" si="2"/>
        <v>2800</v>
      </c>
      <c r="G52" s="263" t="s">
        <v>3</v>
      </c>
      <c r="H52" s="260">
        <v>2</v>
      </c>
      <c r="I52" s="262" t="s">
        <v>581</v>
      </c>
      <c r="J52" s="112">
        <v>80</v>
      </c>
      <c r="K52" s="75">
        <v>260</v>
      </c>
      <c r="L52" s="75">
        <v>2800</v>
      </c>
      <c r="M52" s="202">
        <v>27.375790663409873</v>
      </c>
      <c r="N52" s="87">
        <v>7339.7993760000008</v>
      </c>
      <c r="O52" s="123">
        <v>81369.564935169285</v>
      </c>
      <c r="P52" s="123">
        <v>86894.642850140081</v>
      </c>
      <c r="Q52" s="120">
        <v>30907.955493909118</v>
      </c>
      <c r="R52" s="123">
        <v>112277.5204290784</v>
      </c>
      <c r="S52" s="123">
        <v>117802.5983440492</v>
      </c>
      <c r="U52" s="7" t="s">
        <v>6257</v>
      </c>
    </row>
    <row r="53" spans="1:21" ht="16.5" customHeight="1" thickBot="1">
      <c r="A53" s="259" t="s">
        <v>10</v>
      </c>
      <c r="B53" s="263">
        <f t="shared" si="0"/>
        <v>80</v>
      </c>
      <c r="C53" s="263" t="s">
        <v>3</v>
      </c>
      <c r="D53" s="263">
        <f t="shared" si="1"/>
        <v>260</v>
      </c>
      <c r="E53" s="263" t="s">
        <v>3</v>
      </c>
      <c r="F53" s="261">
        <f t="shared" si="2"/>
        <v>2850</v>
      </c>
      <c r="G53" s="263" t="s">
        <v>3</v>
      </c>
      <c r="H53" s="260">
        <v>2</v>
      </c>
      <c r="I53" s="262" t="s">
        <v>581</v>
      </c>
      <c r="J53" s="112">
        <v>80</v>
      </c>
      <c r="K53" s="75">
        <v>260</v>
      </c>
      <c r="L53" s="75">
        <v>2850</v>
      </c>
      <c r="M53" s="202">
        <v>27.798466534545796</v>
      </c>
      <c r="N53" s="87">
        <v>7489.5911999999998</v>
      </c>
      <c r="O53" s="123">
        <v>81991.258992674659</v>
      </c>
      <c r="P53" s="123">
        <v>87644.290189786028</v>
      </c>
      <c r="Q53" s="120">
        <v>31339.566106276056</v>
      </c>
      <c r="R53" s="123">
        <v>113330.82509895071</v>
      </c>
      <c r="S53" s="123">
        <v>118983.85629606209</v>
      </c>
      <c r="U53" s="7" t="s">
        <v>6258</v>
      </c>
    </row>
    <row r="54" spans="1:21" ht="16.5" customHeight="1" thickBot="1">
      <c r="A54" s="259" t="s">
        <v>10</v>
      </c>
      <c r="B54" s="263">
        <f t="shared" si="0"/>
        <v>80</v>
      </c>
      <c r="C54" s="263" t="s">
        <v>3</v>
      </c>
      <c r="D54" s="263">
        <f t="shared" si="1"/>
        <v>260</v>
      </c>
      <c r="E54" s="263" t="s">
        <v>3</v>
      </c>
      <c r="F54" s="261">
        <f t="shared" si="2"/>
        <v>2900</v>
      </c>
      <c r="G54" s="263" t="s">
        <v>3</v>
      </c>
      <c r="H54" s="260">
        <v>2</v>
      </c>
      <c r="I54" s="262" t="s">
        <v>581</v>
      </c>
      <c r="J54" s="112">
        <v>80</v>
      </c>
      <c r="K54" s="75">
        <v>260</v>
      </c>
      <c r="L54" s="75">
        <v>2900</v>
      </c>
      <c r="M54" s="202">
        <v>28.397142405681709</v>
      </c>
      <c r="N54" s="87">
        <v>7639.3830239999988</v>
      </c>
      <c r="O54" s="123">
        <v>82612.90495843369</v>
      </c>
      <c r="P54" s="123">
        <v>88393.892540378947</v>
      </c>
      <c r="Q54" s="120">
        <v>32001.758496426271</v>
      </c>
      <c r="R54" s="123">
        <v>114614.66345485995</v>
      </c>
      <c r="S54" s="123">
        <v>120395.65103680521</v>
      </c>
      <c r="U54" s="7" t="s">
        <v>6259</v>
      </c>
    </row>
    <row r="55" spans="1:21" ht="16.5" customHeight="1" thickBot="1">
      <c r="A55" s="259" t="s">
        <v>10</v>
      </c>
      <c r="B55" s="263">
        <f t="shared" si="0"/>
        <v>80</v>
      </c>
      <c r="C55" s="263" t="s">
        <v>3</v>
      </c>
      <c r="D55" s="263">
        <f t="shared" si="1"/>
        <v>260</v>
      </c>
      <c r="E55" s="263" t="s">
        <v>3</v>
      </c>
      <c r="F55" s="261">
        <f t="shared" si="2"/>
        <v>2950</v>
      </c>
      <c r="G55" s="263" t="s">
        <v>3</v>
      </c>
      <c r="H55" s="260">
        <v>2</v>
      </c>
      <c r="I55" s="262" t="s">
        <v>581</v>
      </c>
      <c r="J55" s="112">
        <v>80</v>
      </c>
      <c r="K55" s="75">
        <v>260</v>
      </c>
      <c r="L55" s="75">
        <v>2950</v>
      </c>
      <c r="M55" s="202">
        <v>28.819818276817635</v>
      </c>
      <c r="N55" s="87">
        <v>7789.1748480000006</v>
      </c>
      <c r="O55" s="123">
        <v>83234.502832446407</v>
      </c>
      <c r="P55" s="123">
        <v>89143.449901918881</v>
      </c>
      <c r="Q55" s="120">
        <v>32433.369108793206</v>
      </c>
      <c r="R55" s="123">
        <v>115667.87194123962</v>
      </c>
      <c r="S55" s="123">
        <v>121576.81901071209</v>
      </c>
      <c r="U55" s="7" t="s">
        <v>6260</v>
      </c>
    </row>
    <row r="56" spans="1:21" ht="16.5" customHeight="1" thickBot="1">
      <c r="A56" s="264" t="s">
        <v>10</v>
      </c>
      <c r="B56" s="265">
        <f t="shared" si="0"/>
        <v>80</v>
      </c>
      <c r="C56" s="265" t="s">
        <v>3</v>
      </c>
      <c r="D56" s="265">
        <f t="shared" si="1"/>
        <v>260</v>
      </c>
      <c r="E56" s="265" t="s">
        <v>3</v>
      </c>
      <c r="F56" s="266">
        <f t="shared" si="2"/>
        <v>3000</v>
      </c>
      <c r="G56" s="265" t="s">
        <v>3</v>
      </c>
      <c r="H56" s="267">
        <v>2</v>
      </c>
      <c r="I56" s="262" t="s">
        <v>581</v>
      </c>
      <c r="J56" s="346">
        <v>80</v>
      </c>
      <c r="K56" s="322">
        <v>260</v>
      </c>
      <c r="L56" s="322">
        <v>3000</v>
      </c>
      <c r="M56" s="305">
        <v>29.304494147953555</v>
      </c>
      <c r="N56" s="306">
        <v>7938.9666719999996</v>
      </c>
      <c r="O56" s="307">
        <v>85572.889294160967</v>
      </c>
      <c r="P56" s="307">
        <v>91500.426627945213</v>
      </c>
      <c r="Q56" s="308">
        <v>33095.561498943418</v>
      </c>
      <c r="R56" s="307">
        <v>118668.45079310439</v>
      </c>
      <c r="S56" s="307">
        <v>124595.98812688864</v>
      </c>
      <c r="U56" s="7" t="s">
        <v>6261</v>
      </c>
    </row>
    <row r="57" spans="1:21" ht="22.5" customHeight="1" thickBot="1">
      <c r="A57" s="2580" t="s">
        <v>516</v>
      </c>
      <c r="B57" s="2581"/>
      <c r="C57" s="2581"/>
      <c r="D57" s="2581"/>
      <c r="E57" s="2581"/>
      <c r="F57" s="2581"/>
      <c r="G57" s="2581"/>
      <c r="H57" s="2581"/>
      <c r="I57" s="2581"/>
      <c r="J57" s="2581"/>
      <c r="K57" s="2581"/>
      <c r="L57" s="2581"/>
      <c r="M57" s="2581"/>
      <c r="N57" s="2581"/>
      <c r="O57" s="2581"/>
      <c r="P57" s="2581"/>
      <c r="Q57" s="2581"/>
      <c r="R57" s="2581"/>
      <c r="S57" s="2582"/>
      <c r="U57" s="7"/>
    </row>
    <row r="58" spans="1:21" ht="16.5" thickBot="1">
      <c r="A58" s="2583" t="s">
        <v>134</v>
      </c>
      <c r="B58" s="2584"/>
      <c r="C58" s="2584"/>
      <c r="D58" s="2584"/>
      <c r="E58" s="2584"/>
      <c r="F58" s="2584"/>
      <c r="G58" s="2584"/>
      <c r="H58" s="2584"/>
      <c r="I58" s="2584"/>
      <c r="J58" s="2584"/>
      <c r="K58" s="2584"/>
      <c r="L58" s="2584"/>
      <c r="M58" s="2584"/>
      <c r="N58" s="2584"/>
      <c r="O58" s="2584"/>
      <c r="P58" s="2584"/>
      <c r="Q58" s="2584"/>
      <c r="R58" s="2584"/>
      <c r="S58" s="2585"/>
      <c r="U58" s="7"/>
    </row>
    <row r="59" spans="1:21" ht="16.5" thickBot="1">
      <c r="A59" s="259" t="s">
        <v>10</v>
      </c>
      <c r="B59" s="260">
        <f t="shared" ref="B59:B105" si="3">J59</f>
        <v>80</v>
      </c>
      <c r="C59" s="260" t="s">
        <v>3</v>
      </c>
      <c r="D59" s="260">
        <f t="shared" ref="D59:D105" si="4">K59</f>
        <v>300</v>
      </c>
      <c r="E59" s="260" t="s">
        <v>3</v>
      </c>
      <c r="F59" s="261">
        <f t="shared" ref="F59:F105" si="5">L59</f>
        <v>700</v>
      </c>
      <c r="G59" s="260" t="s">
        <v>3</v>
      </c>
      <c r="H59" s="260">
        <v>2</v>
      </c>
      <c r="I59" s="262" t="s">
        <v>581</v>
      </c>
      <c r="J59" s="344">
        <v>80</v>
      </c>
      <c r="K59" s="327">
        <v>300</v>
      </c>
      <c r="L59" s="327">
        <v>700</v>
      </c>
      <c r="M59" s="301">
        <v>7.2607731076130237</v>
      </c>
      <c r="N59" s="302">
        <v>1159.258464</v>
      </c>
      <c r="O59" s="303">
        <v>26081.15787232912</v>
      </c>
      <c r="P59" s="303">
        <v>28036.969957327659</v>
      </c>
      <c r="Q59" s="304">
        <v>9394.7606208712132</v>
      </c>
      <c r="R59" s="303">
        <v>35475.918493200334</v>
      </c>
      <c r="S59" s="303">
        <v>37431.730578198869</v>
      </c>
      <c r="U59" s="7" t="s">
        <v>6262</v>
      </c>
    </row>
    <row r="60" spans="1:21" ht="16.5" thickBot="1">
      <c r="A60" s="259" t="s">
        <v>10</v>
      </c>
      <c r="B60" s="263">
        <f t="shared" si="3"/>
        <v>80</v>
      </c>
      <c r="C60" s="263" t="s">
        <v>3</v>
      </c>
      <c r="D60" s="263">
        <f t="shared" si="4"/>
        <v>300</v>
      </c>
      <c r="E60" s="263" t="s">
        <v>3</v>
      </c>
      <c r="F60" s="261">
        <f t="shared" si="5"/>
        <v>750</v>
      </c>
      <c r="G60" s="263" t="s">
        <v>3</v>
      </c>
      <c r="H60" s="260">
        <v>2</v>
      </c>
      <c r="I60" s="262" t="s">
        <v>581</v>
      </c>
      <c r="J60" s="112">
        <v>80</v>
      </c>
      <c r="K60" s="75">
        <v>300</v>
      </c>
      <c r="L60" s="75">
        <v>750</v>
      </c>
      <c r="M60" s="202">
        <v>7.6754904913914492</v>
      </c>
      <c r="N60" s="87">
        <v>1324.8668160000002</v>
      </c>
      <c r="O60" s="123">
        <v>27623.994794876224</v>
      </c>
      <c r="P60" s="123">
        <v>29667.263928251265</v>
      </c>
      <c r="Q60" s="120">
        <v>9875.165788735203</v>
      </c>
      <c r="R60" s="123">
        <v>37499.160583611425</v>
      </c>
      <c r="S60" s="123">
        <v>39542.429716986466</v>
      </c>
      <c r="U60" s="7" t="s">
        <v>6263</v>
      </c>
    </row>
    <row r="61" spans="1:21" ht="16.5" thickBot="1">
      <c r="A61" s="259" t="s">
        <v>10</v>
      </c>
      <c r="B61" s="263">
        <f t="shared" si="3"/>
        <v>80</v>
      </c>
      <c r="C61" s="263" t="s">
        <v>3</v>
      </c>
      <c r="D61" s="263">
        <f t="shared" si="4"/>
        <v>300</v>
      </c>
      <c r="E61" s="263" t="s">
        <v>3</v>
      </c>
      <c r="F61" s="261">
        <f t="shared" si="5"/>
        <v>800</v>
      </c>
      <c r="G61" s="263" t="s">
        <v>3</v>
      </c>
      <c r="H61" s="260">
        <v>2</v>
      </c>
      <c r="I61" s="262" t="s">
        <v>581</v>
      </c>
      <c r="J61" s="112">
        <v>80</v>
      </c>
      <c r="K61" s="75">
        <v>300</v>
      </c>
      <c r="L61" s="75">
        <v>800</v>
      </c>
      <c r="M61" s="202">
        <v>8.0902078751698756</v>
      </c>
      <c r="N61" s="87">
        <v>1490.4751680000002</v>
      </c>
      <c r="O61" s="123">
        <v>29166.83183675769</v>
      </c>
      <c r="P61" s="123">
        <v>31297.557899174873</v>
      </c>
      <c r="Q61" s="120">
        <v>10355.570956599189</v>
      </c>
      <c r="R61" s="123">
        <v>39522.40279335688</v>
      </c>
      <c r="S61" s="123">
        <v>41653.128855774063</v>
      </c>
      <c r="U61" s="7" t="s">
        <v>6264</v>
      </c>
    </row>
    <row r="62" spans="1:21" ht="16.5" thickBot="1">
      <c r="A62" s="259" t="s">
        <v>10</v>
      </c>
      <c r="B62" s="263">
        <f t="shared" si="3"/>
        <v>80</v>
      </c>
      <c r="C62" s="263" t="s">
        <v>3</v>
      </c>
      <c r="D62" s="263">
        <f t="shared" si="4"/>
        <v>300</v>
      </c>
      <c r="E62" s="263" t="s">
        <v>3</v>
      </c>
      <c r="F62" s="261">
        <f t="shared" si="5"/>
        <v>850</v>
      </c>
      <c r="G62" s="263" t="s">
        <v>3</v>
      </c>
      <c r="H62" s="260">
        <v>2</v>
      </c>
      <c r="I62" s="262" t="s">
        <v>581</v>
      </c>
      <c r="J62" s="112">
        <v>80</v>
      </c>
      <c r="K62" s="75">
        <v>300</v>
      </c>
      <c r="L62" s="75">
        <v>850</v>
      </c>
      <c r="M62" s="202">
        <v>8.5204316589483007</v>
      </c>
      <c r="N62" s="87">
        <v>1656.0835200000001</v>
      </c>
      <c r="O62" s="123">
        <v>30709.668878639153</v>
      </c>
      <c r="P62" s="123">
        <v>32927.851870098479</v>
      </c>
      <c r="Q62" s="120">
        <v>11066.558042639816</v>
      </c>
      <c r="R62" s="123">
        <v>41776.226921278969</v>
      </c>
      <c r="S62" s="123">
        <v>43994.409912738294</v>
      </c>
      <c r="U62" s="7" t="s">
        <v>6265</v>
      </c>
    </row>
    <row r="63" spans="1:21" ht="16.5" thickBot="1">
      <c r="A63" s="259" t="s">
        <v>10</v>
      </c>
      <c r="B63" s="263">
        <f t="shared" si="3"/>
        <v>80</v>
      </c>
      <c r="C63" s="263" t="s">
        <v>3</v>
      </c>
      <c r="D63" s="263">
        <f t="shared" si="4"/>
        <v>300</v>
      </c>
      <c r="E63" s="263" t="s">
        <v>3</v>
      </c>
      <c r="F63" s="261">
        <f t="shared" si="5"/>
        <v>900</v>
      </c>
      <c r="G63" s="263" t="s">
        <v>3</v>
      </c>
      <c r="H63" s="260">
        <v>2</v>
      </c>
      <c r="I63" s="262" t="s">
        <v>581</v>
      </c>
      <c r="J63" s="112">
        <v>80</v>
      </c>
      <c r="K63" s="75">
        <v>300</v>
      </c>
      <c r="L63" s="75">
        <v>900</v>
      </c>
      <c r="M63" s="202">
        <v>8.9697290427267262</v>
      </c>
      <c r="N63" s="87">
        <v>1821.6918720000001</v>
      </c>
      <c r="O63" s="123">
        <v>32252.50580118626</v>
      </c>
      <c r="P63" s="123">
        <v>34558.145721687732</v>
      </c>
      <c r="Q63" s="120">
        <v>11546.963210503804</v>
      </c>
      <c r="R63" s="123">
        <v>43799.46901169006</v>
      </c>
      <c r="S63" s="123">
        <v>46105.108932191535</v>
      </c>
      <c r="U63" s="7" t="s">
        <v>6266</v>
      </c>
    </row>
    <row r="64" spans="1:21" ht="16.5" thickBot="1">
      <c r="A64" s="259" t="s">
        <v>10</v>
      </c>
      <c r="B64" s="263">
        <f t="shared" si="3"/>
        <v>80</v>
      </c>
      <c r="C64" s="263" t="s">
        <v>3</v>
      </c>
      <c r="D64" s="263">
        <f t="shared" si="4"/>
        <v>300</v>
      </c>
      <c r="E64" s="263" t="s">
        <v>3</v>
      </c>
      <c r="F64" s="261">
        <f t="shared" si="5"/>
        <v>950</v>
      </c>
      <c r="G64" s="263" t="s">
        <v>3</v>
      </c>
      <c r="H64" s="260">
        <v>2</v>
      </c>
      <c r="I64" s="262" t="s">
        <v>581</v>
      </c>
      <c r="J64" s="112">
        <v>80</v>
      </c>
      <c r="K64" s="75">
        <v>300</v>
      </c>
      <c r="L64" s="75">
        <v>950</v>
      </c>
      <c r="M64" s="202">
        <v>9.4627428265051492</v>
      </c>
      <c r="N64" s="87">
        <v>1987.3002240000003</v>
      </c>
      <c r="O64" s="123">
        <v>33795.342843067723</v>
      </c>
      <c r="P64" s="123">
        <v>36188.43969261134</v>
      </c>
      <c r="Q64" s="120">
        <v>12257.950156151066</v>
      </c>
      <c r="R64" s="123">
        <v>46053.292999218786</v>
      </c>
      <c r="S64" s="123">
        <v>48446.38984876241</v>
      </c>
      <c r="U64" s="7" t="s">
        <v>6267</v>
      </c>
    </row>
    <row r="65" spans="1:21" ht="16.5" thickBot="1">
      <c r="A65" s="259" t="s">
        <v>10</v>
      </c>
      <c r="B65" s="263">
        <f t="shared" si="3"/>
        <v>80</v>
      </c>
      <c r="C65" s="263" t="s">
        <v>3</v>
      </c>
      <c r="D65" s="263">
        <f t="shared" si="4"/>
        <v>300</v>
      </c>
      <c r="E65" s="263" t="s">
        <v>3</v>
      </c>
      <c r="F65" s="261">
        <f t="shared" si="5"/>
        <v>1000</v>
      </c>
      <c r="G65" s="263" t="s">
        <v>3</v>
      </c>
      <c r="H65" s="260">
        <v>2</v>
      </c>
      <c r="I65" s="262" t="s">
        <v>581</v>
      </c>
      <c r="J65" s="112">
        <v>80</v>
      </c>
      <c r="K65" s="75">
        <v>300</v>
      </c>
      <c r="L65" s="75">
        <v>1000</v>
      </c>
      <c r="M65" s="202">
        <v>9.8774602102835765</v>
      </c>
      <c r="N65" s="87">
        <v>2152.9085760000003</v>
      </c>
      <c r="O65" s="123">
        <v>35243.047727995523</v>
      </c>
      <c r="P65" s="123">
        <v>37729.662021293014</v>
      </c>
      <c r="Q65" s="120">
        <v>12738.355464408416</v>
      </c>
      <c r="R65" s="123">
        <v>47981.403192403937</v>
      </c>
      <c r="S65" s="123">
        <v>50468.017485701428</v>
      </c>
      <c r="U65" s="7" t="s">
        <v>6268</v>
      </c>
    </row>
    <row r="66" spans="1:21" ht="16.5" thickBot="1">
      <c r="A66" s="259" t="s">
        <v>10</v>
      </c>
      <c r="B66" s="263">
        <f t="shared" si="3"/>
        <v>80</v>
      </c>
      <c r="C66" s="263" t="s">
        <v>3</v>
      </c>
      <c r="D66" s="263">
        <f t="shared" si="4"/>
        <v>300</v>
      </c>
      <c r="E66" s="263" t="s">
        <v>3</v>
      </c>
      <c r="F66" s="261">
        <f t="shared" si="5"/>
        <v>1050</v>
      </c>
      <c r="G66" s="263" t="s">
        <v>3</v>
      </c>
      <c r="H66" s="260">
        <v>2</v>
      </c>
      <c r="I66" s="262" t="s">
        <v>581</v>
      </c>
      <c r="J66" s="112">
        <v>80</v>
      </c>
      <c r="K66" s="75">
        <v>300</v>
      </c>
      <c r="L66" s="75">
        <v>1050</v>
      </c>
      <c r="M66" s="202">
        <v>10.307683994062</v>
      </c>
      <c r="N66" s="87">
        <v>2318.516928</v>
      </c>
      <c r="O66" s="123">
        <v>37011.823374139647</v>
      </c>
      <c r="P66" s="123">
        <v>39571.501082874034</v>
      </c>
      <c r="Q66" s="120">
        <v>13449.342410055679</v>
      </c>
      <c r="R66" s="123">
        <v>50461.165784195327</v>
      </c>
      <c r="S66" s="123">
        <v>53020.843492929715</v>
      </c>
      <c r="U66" s="7" t="s">
        <v>6269</v>
      </c>
    </row>
    <row r="67" spans="1:21" ht="16.5" thickBot="1">
      <c r="A67" s="259" t="s">
        <v>10</v>
      </c>
      <c r="B67" s="260">
        <f t="shared" si="3"/>
        <v>80</v>
      </c>
      <c r="C67" s="260" t="s">
        <v>3</v>
      </c>
      <c r="D67" s="260">
        <f t="shared" si="4"/>
        <v>300</v>
      </c>
      <c r="E67" s="260" t="s">
        <v>3</v>
      </c>
      <c r="F67" s="261">
        <f t="shared" si="5"/>
        <v>1100</v>
      </c>
      <c r="G67" s="260" t="s">
        <v>3</v>
      </c>
      <c r="H67" s="260">
        <v>2</v>
      </c>
      <c r="I67" s="262" t="s">
        <v>581</v>
      </c>
      <c r="J67" s="112">
        <v>80</v>
      </c>
      <c r="K67" s="75">
        <v>300</v>
      </c>
      <c r="L67" s="75">
        <v>1100</v>
      </c>
      <c r="M67" s="202">
        <v>10.722401377840425</v>
      </c>
      <c r="N67" s="87">
        <v>2484.1252800000002</v>
      </c>
      <c r="O67" s="123">
        <v>38554.660416021114</v>
      </c>
      <c r="P67" s="123">
        <v>41201.79493446328</v>
      </c>
      <c r="Q67" s="120">
        <v>13929.747718313029</v>
      </c>
      <c r="R67" s="123">
        <v>52484.408134334139</v>
      </c>
      <c r="S67" s="123">
        <v>55131.542652776305</v>
      </c>
      <c r="U67" s="7" t="s">
        <v>6270</v>
      </c>
    </row>
    <row r="68" spans="1:21" ht="16.5" thickBot="1">
      <c r="A68" s="259" t="s">
        <v>10</v>
      </c>
      <c r="B68" s="263">
        <f t="shared" si="3"/>
        <v>80</v>
      </c>
      <c r="C68" s="263" t="s">
        <v>3</v>
      </c>
      <c r="D68" s="263">
        <f t="shared" si="4"/>
        <v>300</v>
      </c>
      <c r="E68" s="263" t="s">
        <v>3</v>
      </c>
      <c r="F68" s="261">
        <f t="shared" si="5"/>
        <v>1150</v>
      </c>
      <c r="G68" s="263" t="s">
        <v>3</v>
      </c>
      <c r="H68" s="260">
        <v>2</v>
      </c>
      <c r="I68" s="262" t="s">
        <v>581</v>
      </c>
      <c r="J68" s="112">
        <v>80</v>
      </c>
      <c r="K68" s="75">
        <v>300</v>
      </c>
      <c r="L68" s="75">
        <v>1150</v>
      </c>
      <c r="M68" s="202">
        <v>11.137118761618851</v>
      </c>
      <c r="N68" s="87">
        <v>2649.7336320000004</v>
      </c>
      <c r="O68" s="123">
        <v>39342.154886015116</v>
      </c>
      <c r="P68" s="123">
        <v>42124.866123397966</v>
      </c>
      <c r="Q68" s="120">
        <v>14410.152886177015</v>
      </c>
      <c r="R68" s="123">
        <v>53752.307772192129</v>
      </c>
      <c r="S68" s="123">
        <v>56535.019009574979</v>
      </c>
      <c r="U68" s="7" t="s">
        <v>6271</v>
      </c>
    </row>
    <row r="69" spans="1:21" ht="16.5" thickBot="1">
      <c r="A69" s="259" t="s">
        <v>10</v>
      </c>
      <c r="B69" s="263">
        <f t="shared" si="3"/>
        <v>80</v>
      </c>
      <c r="C69" s="263" t="s">
        <v>3</v>
      </c>
      <c r="D69" s="263">
        <f t="shared" si="4"/>
        <v>300</v>
      </c>
      <c r="E69" s="263" t="s">
        <v>3</v>
      </c>
      <c r="F69" s="261">
        <f t="shared" si="5"/>
        <v>1200</v>
      </c>
      <c r="G69" s="263" t="s">
        <v>3</v>
      </c>
      <c r="H69" s="260">
        <v>2</v>
      </c>
      <c r="I69" s="262" t="s">
        <v>581</v>
      </c>
      <c r="J69" s="112">
        <v>80</v>
      </c>
      <c r="K69" s="75">
        <v>300</v>
      </c>
      <c r="L69" s="75">
        <v>1200</v>
      </c>
      <c r="M69" s="202">
        <v>11.763220045397274</v>
      </c>
      <c r="N69" s="87">
        <v>2815.3419840000001</v>
      </c>
      <c r="O69" s="123">
        <v>40164.788431768247</v>
      </c>
      <c r="P69" s="123">
        <v>43080.837556198989</v>
      </c>
      <c r="Q69" s="120">
        <v>15121.139831824277</v>
      </c>
      <c r="R69" s="123">
        <v>55285.928263592526</v>
      </c>
      <c r="S69" s="123">
        <v>58201.977388023268</v>
      </c>
      <c r="U69" s="7" t="s">
        <v>6272</v>
      </c>
    </row>
    <row r="70" spans="1:21" ht="16.5" thickBot="1">
      <c r="A70" s="259" t="s">
        <v>10</v>
      </c>
      <c r="B70" s="263">
        <f t="shared" si="3"/>
        <v>80</v>
      </c>
      <c r="C70" s="263" t="s">
        <v>3</v>
      </c>
      <c r="D70" s="263">
        <f t="shared" si="4"/>
        <v>300</v>
      </c>
      <c r="E70" s="263" t="s">
        <v>3</v>
      </c>
      <c r="F70" s="261">
        <f t="shared" si="5"/>
        <v>1250</v>
      </c>
      <c r="G70" s="263" t="s">
        <v>3</v>
      </c>
      <c r="H70" s="260">
        <v>2</v>
      </c>
      <c r="I70" s="262" t="s">
        <v>581</v>
      </c>
      <c r="J70" s="112">
        <v>80</v>
      </c>
      <c r="K70" s="75">
        <v>300</v>
      </c>
      <c r="L70" s="75">
        <v>1250</v>
      </c>
      <c r="M70" s="202">
        <v>12.177937429175701</v>
      </c>
      <c r="N70" s="87">
        <v>2980.9503360000003</v>
      </c>
      <c r="O70" s="123">
        <v>40951.801864964655</v>
      </c>
      <c r="P70" s="123">
        <v>44003.45825793175</v>
      </c>
      <c r="Q70" s="120">
        <v>15601.545140081627</v>
      </c>
      <c r="R70" s="123">
        <v>56553.347005046278</v>
      </c>
      <c r="S70" s="123">
        <v>59605.003398013374</v>
      </c>
      <c r="U70" s="7" t="s">
        <v>6273</v>
      </c>
    </row>
    <row r="71" spans="1:21" ht="16.5" thickBot="1">
      <c r="A71" s="259" t="s">
        <v>10</v>
      </c>
      <c r="B71" s="263">
        <f t="shared" si="3"/>
        <v>80</v>
      </c>
      <c r="C71" s="263" t="s">
        <v>3</v>
      </c>
      <c r="D71" s="263">
        <f t="shared" si="4"/>
        <v>300</v>
      </c>
      <c r="E71" s="263" t="s">
        <v>3</v>
      </c>
      <c r="F71" s="261">
        <f t="shared" si="5"/>
        <v>1300</v>
      </c>
      <c r="G71" s="263" t="s">
        <v>3</v>
      </c>
      <c r="H71" s="260">
        <v>2</v>
      </c>
      <c r="I71" s="262" t="s">
        <v>581</v>
      </c>
      <c r="J71" s="112">
        <v>80</v>
      </c>
      <c r="K71" s="75">
        <v>300</v>
      </c>
      <c r="L71" s="75">
        <v>1300</v>
      </c>
      <c r="M71" s="202">
        <v>12.664581212954127</v>
      </c>
      <c r="N71" s="87">
        <v>3146.5586880000001</v>
      </c>
      <c r="O71" s="123">
        <v>44191.198888833467</v>
      </c>
      <c r="P71" s="123">
        <v>47222.231679360681</v>
      </c>
      <c r="Q71" s="120">
        <v>16312.53208572889</v>
      </c>
      <c r="R71" s="123">
        <v>60503.730974562357</v>
      </c>
      <c r="S71" s="123">
        <v>63534.76376508957</v>
      </c>
      <c r="U71" s="7" t="s">
        <v>6274</v>
      </c>
    </row>
    <row r="72" spans="1:21" ht="16.5" thickBot="1">
      <c r="A72" s="259" t="s">
        <v>10</v>
      </c>
      <c r="B72" s="263">
        <f t="shared" si="3"/>
        <v>80</v>
      </c>
      <c r="C72" s="263" t="s">
        <v>3</v>
      </c>
      <c r="D72" s="263">
        <f t="shared" si="4"/>
        <v>300</v>
      </c>
      <c r="E72" s="263" t="s">
        <v>3</v>
      </c>
      <c r="F72" s="261">
        <f t="shared" si="5"/>
        <v>1350</v>
      </c>
      <c r="G72" s="263" t="s">
        <v>3</v>
      </c>
      <c r="H72" s="260">
        <v>2</v>
      </c>
      <c r="I72" s="262" t="s">
        <v>581</v>
      </c>
      <c r="J72" s="112">
        <v>80</v>
      </c>
      <c r="K72" s="75">
        <v>300</v>
      </c>
      <c r="L72" s="75">
        <v>1350</v>
      </c>
      <c r="M72" s="202">
        <v>13.079298596732551</v>
      </c>
      <c r="N72" s="87">
        <v>3312.1670400000003</v>
      </c>
      <c r="O72" s="123">
        <v>45227.908726314199</v>
      </c>
      <c r="P72" s="123">
        <v>48378.641634774074</v>
      </c>
      <c r="Q72" s="120">
        <v>16792.937253592878</v>
      </c>
      <c r="R72" s="123">
        <v>62020.845979907077</v>
      </c>
      <c r="S72" s="123">
        <v>65171.578888366952</v>
      </c>
      <c r="U72" s="7" t="s">
        <v>6275</v>
      </c>
    </row>
    <row r="73" spans="1:21" ht="16.5" thickBot="1">
      <c r="A73" s="259" t="s">
        <v>10</v>
      </c>
      <c r="B73" s="263">
        <f t="shared" si="3"/>
        <v>80</v>
      </c>
      <c r="C73" s="263" t="s">
        <v>3</v>
      </c>
      <c r="D73" s="263">
        <f t="shared" si="4"/>
        <v>300</v>
      </c>
      <c r="E73" s="263" t="s">
        <v>3</v>
      </c>
      <c r="F73" s="261">
        <f t="shared" si="5"/>
        <v>1400</v>
      </c>
      <c r="G73" s="263" t="s">
        <v>3</v>
      </c>
      <c r="H73" s="260">
        <v>2</v>
      </c>
      <c r="I73" s="262" t="s">
        <v>581</v>
      </c>
      <c r="J73" s="112">
        <v>80</v>
      </c>
      <c r="K73" s="75">
        <v>300</v>
      </c>
      <c r="L73" s="75">
        <v>1400</v>
      </c>
      <c r="M73" s="202">
        <v>13.509522380510978</v>
      </c>
      <c r="N73" s="87">
        <v>3477.7753920000009</v>
      </c>
      <c r="O73" s="123">
        <v>46591.635159404832</v>
      </c>
      <c r="P73" s="123">
        <v>49841.235390227695</v>
      </c>
      <c r="Q73" s="120">
        <v>17503.924339633504</v>
      </c>
      <c r="R73" s="123">
        <v>64095.55949903834</v>
      </c>
      <c r="S73" s="123">
        <v>67345.159729861203</v>
      </c>
      <c r="U73" s="7" t="s">
        <v>6276</v>
      </c>
    </row>
    <row r="74" spans="1:21" ht="16.5" thickBot="1">
      <c r="A74" s="259" t="s">
        <v>10</v>
      </c>
      <c r="B74" s="263">
        <f t="shared" si="3"/>
        <v>80</v>
      </c>
      <c r="C74" s="263" t="s">
        <v>3</v>
      </c>
      <c r="D74" s="263">
        <f t="shared" si="4"/>
        <v>300</v>
      </c>
      <c r="E74" s="263" t="s">
        <v>3</v>
      </c>
      <c r="F74" s="261">
        <f t="shared" si="5"/>
        <v>1450</v>
      </c>
      <c r="G74" s="263" t="s">
        <v>3</v>
      </c>
      <c r="H74" s="260">
        <v>2</v>
      </c>
      <c r="I74" s="262" t="s">
        <v>581</v>
      </c>
      <c r="J74" s="112">
        <v>80</v>
      </c>
      <c r="K74" s="75">
        <v>300</v>
      </c>
      <c r="L74" s="75">
        <v>1450</v>
      </c>
      <c r="M74" s="202">
        <v>13.924239764289402</v>
      </c>
      <c r="N74" s="87">
        <v>3643.3837440000002</v>
      </c>
      <c r="O74" s="123">
        <v>47628.345116219927</v>
      </c>
      <c r="P74" s="123">
        <v>50997.645345641075</v>
      </c>
      <c r="Q74" s="120">
        <v>17984.32950749735</v>
      </c>
      <c r="R74" s="123">
        <v>65612.674623717277</v>
      </c>
      <c r="S74" s="123">
        <v>68981.974853138425</v>
      </c>
      <c r="U74" s="7" t="s">
        <v>6277</v>
      </c>
    </row>
    <row r="75" spans="1:21" ht="16.5" thickBot="1">
      <c r="A75" s="259" t="s">
        <v>10</v>
      </c>
      <c r="B75" s="263">
        <f t="shared" si="3"/>
        <v>80</v>
      </c>
      <c r="C75" s="263" t="s">
        <v>3</v>
      </c>
      <c r="D75" s="263">
        <f t="shared" si="4"/>
        <v>300</v>
      </c>
      <c r="E75" s="263" t="s">
        <v>3</v>
      </c>
      <c r="F75" s="261">
        <f t="shared" si="5"/>
        <v>1500</v>
      </c>
      <c r="G75" s="263" t="s">
        <v>3</v>
      </c>
      <c r="H75" s="260">
        <v>2</v>
      </c>
      <c r="I75" s="262" t="s">
        <v>581</v>
      </c>
      <c r="J75" s="112">
        <v>80</v>
      </c>
      <c r="K75" s="75">
        <v>300</v>
      </c>
      <c r="L75" s="75">
        <v>1500</v>
      </c>
      <c r="M75" s="202">
        <v>14.889147600515823</v>
      </c>
      <c r="N75" s="87">
        <v>3808.9920959999999</v>
      </c>
      <c r="O75" s="123">
        <v>49193.815589800812</v>
      </c>
      <c r="P75" s="123">
        <v>52772.755140180117</v>
      </c>
      <c r="Q75" s="120">
        <v>18695.316593538118</v>
      </c>
      <c r="R75" s="123">
        <v>67889.132183338923</v>
      </c>
      <c r="S75" s="123">
        <v>71468.071733718243</v>
      </c>
      <c r="U75" s="7" t="s">
        <v>6278</v>
      </c>
    </row>
    <row r="76" spans="1:21" ht="16.5" thickBot="1">
      <c r="A76" s="259" t="s">
        <v>10</v>
      </c>
      <c r="B76" s="263">
        <f t="shared" si="3"/>
        <v>80</v>
      </c>
      <c r="C76" s="263" t="s">
        <v>3</v>
      </c>
      <c r="D76" s="263">
        <f t="shared" si="4"/>
        <v>300</v>
      </c>
      <c r="E76" s="263" t="s">
        <v>3</v>
      </c>
      <c r="F76" s="261">
        <f t="shared" si="5"/>
        <v>1550</v>
      </c>
      <c r="G76" s="263" t="s">
        <v>3</v>
      </c>
      <c r="H76" s="260">
        <v>2</v>
      </c>
      <c r="I76" s="262" t="s">
        <v>581</v>
      </c>
      <c r="J76" s="112">
        <v>80</v>
      </c>
      <c r="K76" s="75">
        <v>300</v>
      </c>
      <c r="L76" s="75">
        <v>1550</v>
      </c>
      <c r="M76" s="202">
        <v>15.36665498429425</v>
      </c>
      <c r="N76" s="87">
        <v>3974.6004480000006</v>
      </c>
      <c r="O76" s="123">
        <v>50230.525546615907</v>
      </c>
      <c r="P76" s="123">
        <v>53929.165095593511</v>
      </c>
      <c r="Q76" s="120">
        <v>19175.721761402103</v>
      </c>
      <c r="R76" s="123">
        <v>69406.247308018006</v>
      </c>
      <c r="S76" s="123">
        <v>73104.88685699561</v>
      </c>
      <c r="U76" s="7" t="s">
        <v>6279</v>
      </c>
    </row>
    <row r="77" spans="1:21" ht="16.5" thickBot="1">
      <c r="A77" s="259" t="s">
        <v>10</v>
      </c>
      <c r="B77" s="260">
        <f t="shared" si="3"/>
        <v>80</v>
      </c>
      <c r="C77" s="260" t="s">
        <v>3</v>
      </c>
      <c r="D77" s="260">
        <f t="shared" si="4"/>
        <v>300</v>
      </c>
      <c r="E77" s="260" t="s">
        <v>3</v>
      </c>
      <c r="F77" s="261">
        <f t="shared" si="5"/>
        <v>1600</v>
      </c>
      <c r="G77" s="260" t="s">
        <v>3</v>
      </c>
      <c r="H77" s="260">
        <v>2</v>
      </c>
      <c r="I77" s="262" t="s">
        <v>581</v>
      </c>
      <c r="J77" s="112">
        <v>80</v>
      </c>
      <c r="K77" s="75">
        <v>300</v>
      </c>
      <c r="L77" s="75">
        <v>1600</v>
      </c>
      <c r="M77" s="202">
        <v>15.781372368072677</v>
      </c>
      <c r="N77" s="87">
        <v>4140.2088000000003</v>
      </c>
      <c r="O77" s="123">
        <v>53213.276729854973</v>
      </c>
      <c r="P77" s="123">
        <v>56907.642557465042</v>
      </c>
      <c r="Q77" s="120">
        <v>19656.126929266091</v>
      </c>
      <c r="R77" s="123">
        <v>72869.403659121061</v>
      </c>
      <c r="S77" s="123">
        <v>76563.769486731137</v>
      </c>
      <c r="U77" s="7" t="s">
        <v>6280</v>
      </c>
    </row>
    <row r="78" spans="1:21" ht="16.5" thickBot="1">
      <c r="A78" s="259" t="s">
        <v>10</v>
      </c>
      <c r="B78" s="263">
        <f t="shared" si="3"/>
        <v>80</v>
      </c>
      <c r="C78" s="263" t="s">
        <v>3</v>
      </c>
      <c r="D78" s="263">
        <f t="shared" si="4"/>
        <v>300</v>
      </c>
      <c r="E78" s="263" t="s">
        <v>3</v>
      </c>
      <c r="F78" s="261">
        <f t="shared" si="5"/>
        <v>1650</v>
      </c>
      <c r="G78" s="263" t="s">
        <v>3</v>
      </c>
      <c r="H78" s="260">
        <v>2</v>
      </c>
      <c r="I78" s="262" t="s">
        <v>581</v>
      </c>
      <c r="J78" s="112">
        <v>80</v>
      </c>
      <c r="K78" s="75">
        <v>300</v>
      </c>
      <c r="L78" s="75">
        <v>1650</v>
      </c>
      <c r="M78" s="202">
        <v>16.246176151851103</v>
      </c>
      <c r="N78" s="87">
        <v>4305.8171520000005</v>
      </c>
      <c r="O78" s="123">
        <v>56448.288096728334</v>
      </c>
      <c r="P78" s="123">
        <v>60122.309683630898</v>
      </c>
      <c r="Q78" s="120">
        <v>20367.114015306717</v>
      </c>
      <c r="R78" s="123">
        <v>76815.402112035052</v>
      </c>
      <c r="S78" s="123">
        <v>80489.423698937608</v>
      </c>
      <c r="U78" s="7" t="s">
        <v>6281</v>
      </c>
    </row>
    <row r="79" spans="1:21" ht="16.5" thickBot="1">
      <c r="A79" s="259" t="s">
        <v>10</v>
      </c>
      <c r="B79" s="263">
        <f t="shared" si="3"/>
        <v>80</v>
      </c>
      <c r="C79" s="263" t="s">
        <v>3</v>
      </c>
      <c r="D79" s="263">
        <f t="shared" si="4"/>
        <v>300</v>
      </c>
      <c r="E79" s="263" t="s">
        <v>3</v>
      </c>
      <c r="F79" s="261">
        <f t="shared" si="5"/>
        <v>1700</v>
      </c>
      <c r="G79" s="263" t="s">
        <v>3</v>
      </c>
      <c r="H79" s="260">
        <v>2</v>
      </c>
      <c r="I79" s="262" t="s">
        <v>581</v>
      </c>
      <c r="J79" s="112">
        <v>80</v>
      </c>
      <c r="K79" s="75">
        <v>300</v>
      </c>
      <c r="L79" s="75">
        <v>1700</v>
      </c>
      <c r="M79" s="202">
        <v>16.660893535629526</v>
      </c>
      <c r="N79" s="87">
        <v>4471.4255040000007</v>
      </c>
      <c r="O79" s="123">
        <v>57279.850597159457</v>
      </c>
      <c r="P79" s="123">
        <v>61086.641323559088</v>
      </c>
      <c r="Q79" s="120">
        <v>20847.519183170705</v>
      </c>
      <c r="R79" s="123">
        <v>78127.369780330162</v>
      </c>
      <c r="S79" s="123">
        <v>81934.160506729793</v>
      </c>
      <c r="U79" s="7" t="s">
        <v>6282</v>
      </c>
    </row>
    <row r="80" spans="1:21" ht="16.5" thickBot="1">
      <c r="A80" s="259" t="s">
        <v>10</v>
      </c>
      <c r="B80" s="263">
        <f t="shared" si="3"/>
        <v>80</v>
      </c>
      <c r="C80" s="263" t="s">
        <v>3</v>
      </c>
      <c r="D80" s="263">
        <f t="shared" si="4"/>
        <v>300</v>
      </c>
      <c r="E80" s="263" t="s">
        <v>3</v>
      </c>
      <c r="F80" s="261">
        <f t="shared" si="5"/>
        <v>1750</v>
      </c>
      <c r="G80" s="263" t="s">
        <v>3</v>
      </c>
      <c r="H80" s="260">
        <v>2</v>
      </c>
      <c r="I80" s="262" t="s">
        <v>581</v>
      </c>
      <c r="J80" s="112">
        <v>80</v>
      </c>
      <c r="K80" s="75">
        <v>300</v>
      </c>
      <c r="L80" s="75">
        <v>1750</v>
      </c>
      <c r="M80" s="202">
        <v>17.09111731940795</v>
      </c>
      <c r="N80" s="87">
        <v>4637.033856</v>
      </c>
      <c r="O80" s="123">
        <v>58035.259280281316</v>
      </c>
      <c r="P80" s="123">
        <v>61979.67068450759</v>
      </c>
      <c r="Q80" s="120">
        <v>21558.506269211328</v>
      </c>
      <c r="R80" s="123">
        <v>79593.765549492644</v>
      </c>
      <c r="S80" s="123">
        <v>83538.17695371891</v>
      </c>
      <c r="U80" s="7" t="s">
        <v>6283</v>
      </c>
    </row>
    <row r="81" spans="1:21" ht="16.5" thickBot="1">
      <c r="A81" s="259" t="s">
        <v>10</v>
      </c>
      <c r="B81" s="263">
        <f t="shared" si="3"/>
        <v>80</v>
      </c>
      <c r="C81" s="263" t="s">
        <v>3</v>
      </c>
      <c r="D81" s="263">
        <f t="shared" si="4"/>
        <v>300</v>
      </c>
      <c r="E81" s="263" t="s">
        <v>3</v>
      </c>
      <c r="F81" s="261">
        <f t="shared" si="5"/>
        <v>1800</v>
      </c>
      <c r="G81" s="263" t="s">
        <v>3</v>
      </c>
      <c r="H81" s="260">
        <v>2</v>
      </c>
      <c r="I81" s="262" t="s">
        <v>581</v>
      </c>
      <c r="J81" s="112">
        <v>80</v>
      </c>
      <c r="K81" s="75">
        <v>300</v>
      </c>
      <c r="L81" s="75">
        <v>1800</v>
      </c>
      <c r="M81" s="202">
        <v>17.568624703186373</v>
      </c>
      <c r="N81" s="87">
        <v>4802.6422080000002</v>
      </c>
      <c r="O81" s="123">
        <v>58867.518335360808</v>
      </c>
      <c r="P81" s="123">
        <v>62944.654486702937</v>
      </c>
      <c r="Q81" s="120">
        <v>22038.911437075316</v>
      </c>
      <c r="R81" s="123">
        <v>80906.429772436124</v>
      </c>
      <c r="S81" s="123">
        <v>84983.565923778253</v>
      </c>
      <c r="U81" s="7" t="s">
        <v>6284</v>
      </c>
    </row>
    <row r="82" spans="1:21" ht="16.5" thickBot="1">
      <c r="A82" s="259" t="s">
        <v>10</v>
      </c>
      <c r="B82" s="263">
        <f t="shared" si="3"/>
        <v>80</v>
      </c>
      <c r="C82" s="263" t="s">
        <v>3</v>
      </c>
      <c r="D82" s="263">
        <f t="shared" si="4"/>
        <v>300</v>
      </c>
      <c r="E82" s="263" t="s">
        <v>3</v>
      </c>
      <c r="F82" s="261">
        <f t="shared" si="5"/>
        <v>1850</v>
      </c>
      <c r="G82" s="263" t="s">
        <v>3</v>
      </c>
      <c r="H82" s="260">
        <v>2</v>
      </c>
      <c r="I82" s="262" t="s">
        <v>581</v>
      </c>
      <c r="J82" s="112">
        <v>80</v>
      </c>
      <c r="K82" s="75">
        <v>300</v>
      </c>
      <c r="L82" s="75">
        <v>1850</v>
      </c>
      <c r="M82" s="202">
        <v>18.055268486964799</v>
      </c>
      <c r="N82" s="87">
        <v>4968.2505600000004</v>
      </c>
      <c r="O82" s="123">
        <v>59699.729298693986</v>
      </c>
      <c r="P82" s="123">
        <v>63909.593299845263</v>
      </c>
      <c r="Q82" s="120">
        <v>22749.898382722578</v>
      </c>
      <c r="R82" s="123">
        <v>82449.627681416561</v>
      </c>
      <c r="S82" s="123">
        <v>86659.491682567837</v>
      </c>
      <c r="U82" s="7" t="s">
        <v>6285</v>
      </c>
    </row>
    <row r="83" spans="1:21" ht="16.5" thickBot="1">
      <c r="A83" s="259" t="s">
        <v>10</v>
      </c>
      <c r="B83" s="263">
        <f t="shared" si="3"/>
        <v>80</v>
      </c>
      <c r="C83" s="263" t="s">
        <v>3</v>
      </c>
      <c r="D83" s="263">
        <f t="shared" si="4"/>
        <v>300</v>
      </c>
      <c r="E83" s="263" t="s">
        <v>3</v>
      </c>
      <c r="F83" s="261">
        <f t="shared" si="5"/>
        <v>1900</v>
      </c>
      <c r="G83" s="263" t="s">
        <v>3</v>
      </c>
      <c r="H83" s="260">
        <v>2</v>
      </c>
      <c r="I83" s="262" t="s">
        <v>581</v>
      </c>
      <c r="J83" s="112">
        <v>80</v>
      </c>
      <c r="K83" s="75">
        <v>300</v>
      </c>
      <c r="L83" s="75">
        <v>1900</v>
      </c>
      <c r="M83" s="202">
        <v>18.469985870743226</v>
      </c>
      <c r="N83" s="87">
        <v>5133.8589120000006</v>
      </c>
      <c r="O83" s="123">
        <v>60706.994576650955</v>
      </c>
      <c r="P83" s="123">
        <v>65038.434512510263</v>
      </c>
      <c r="Q83" s="120">
        <v>23230.30369097993</v>
      </c>
      <c r="R83" s="123">
        <v>83937.298267630889</v>
      </c>
      <c r="S83" s="123">
        <v>88268.738203490197</v>
      </c>
      <c r="U83" s="7" t="s">
        <v>6286</v>
      </c>
    </row>
    <row r="84" spans="1:21" ht="16.5" thickBot="1">
      <c r="A84" s="259" t="s">
        <v>10</v>
      </c>
      <c r="B84" s="263">
        <f t="shared" si="3"/>
        <v>80</v>
      </c>
      <c r="C84" s="263" t="s">
        <v>3</v>
      </c>
      <c r="D84" s="263">
        <f t="shared" si="4"/>
        <v>300</v>
      </c>
      <c r="E84" s="263" t="s">
        <v>3</v>
      </c>
      <c r="F84" s="261">
        <f t="shared" si="5"/>
        <v>1950</v>
      </c>
      <c r="G84" s="263" t="s">
        <v>3</v>
      </c>
      <c r="H84" s="260">
        <v>2</v>
      </c>
      <c r="I84" s="262" t="s">
        <v>581</v>
      </c>
      <c r="J84" s="112">
        <v>80</v>
      </c>
      <c r="K84" s="75">
        <v>300</v>
      </c>
      <c r="L84" s="75">
        <v>1950</v>
      </c>
      <c r="M84" s="202">
        <v>19.024160754521652</v>
      </c>
      <c r="N84" s="87">
        <v>5299.4672640000008</v>
      </c>
      <c r="O84" s="123">
        <v>61873.461196426615</v>
      </c>
      <c r="P84" s="123">
        <v>66316.335078565608</v>
      </c>
      <c r="Q84" s="120">
        <v>23710.708858843918</v>
      </c>
      <c r="R84" s="123">
        <v>85584.17005527053</v>
      </c>
      <c r="S84" s="123">
        <v>90027.043937409529</v>
      </c>
      <c r="U84" s="7" t="s">
        <v>6287</v>
      </c>
    </row>
    <row r="85" spans="1:21" ht="16.5" thickBot="1">
      <c r="A85" s="259" t="s">
        <v>10</v>
      </c>
      <c r="B85" s="263">
        <f t="shared" si="3"/>
        <v>80</v>
      </c>
      <c r="C85" s="263" t="s">
        <v>3</v>
      </c>
      <c r="D85" s="263">
        <f t="shared" si="4"/>
        <v>300</v>
      </c>
      <c r="E85" s="263" t="s">
        <v>3</v>
      </c>
      <c r="F85" s="261">
        <f t="shared" si="5"/>
        <v>2000</v>
      </c>
      <c r="G85" s="263" t="s">
        <v>3</v>
      </c>
      <c r="H85" s="260">
        <v>2</v>
      </c>
      <c r="I85" s="262" t="s">
        <v>581</v>
      </c>
      <c r="J85" s="112">
        <v>80</v>
      </c>
      <c r="K85" s="75">
        <v>300</v>
      </c>
      <c r="L85" s="75">
        <v>2000</v>
      </c>
      <c r="M85" s="202">
        <v>19.537706322300078</v>
      </c>
      <c r="N85" s="87">
        <v>5465.0756160000001</v>
      </c>
      <c r="O85" s="123">
        <v>62911.954008552093</v>
      </c>
      <c r="P85" s="123">
        <v>67664.671556160654</v>
      </c>
      <c r="Q85" s="120">
        <v>24421.695804491177</v>
      </c>
      <c r="R85" s="123">
        <v>87333.649813043274</v>
      </c>
      <c r="S85" s="123">
        <v>92086.367360651828</v>
      </c>
      <c r="U85" s="7" t="s">
        <v>6288</v>
      </c>
    </row>
    <row r="86" spans="1:21" ht="16.5" thickBot="1">
      <c r="A86" s="259" t="s">
        <v>10</v>
      </c>
      <c r="B86" s="263">
        <f t="shared" si="3"/>
        <v>80</v>
      </c>
      <c r="C86" s="263" t="s">
        <v>3</v>
      </c>
      <c r="D86" s="263">
        <f t="shared" si="4"/>
        <v>300</v>
      </c>
      <c r="E86" s="263" t="s">
        <v>3</v>
      </c>
      <c r="F86" s="261">
        <f t="shared" si="5"/>
        <v>2050</v>
      </c>
      <c r="G86" s="263" t="s">
        <v>3</v>
      </c>
      <c r="H86" s="260">
        <v>2</v>
      </c>
      <c r="I86" s="262" t="s">
        <v>581</v>
      </c>
      <c r="J86" s="112">
        <v>80</v>
      </c>
      <c r="K86" s="75">
        <v>300</v>
      </c>
      <c r="L86" s="75">
        <v>2050</v>
      </c>
      <c r="M86" s="202">
        <v>19.952423706078502</v>
      </c>
      <c r="N86" s="87">
        <v>5630.6839680000003</v>
      </c>
      <c r="O86" s="123">
        <v>65888.135119370228</v>
      </c>
      <c r="P86" s="123">
        <v>70636.997451205214</v>
      </c>
      <c r="Q86" s="120">
        <v>24902.101112748529</v>
      </c>
      <c r="R86" s="123">
        <v>90790.236232118754</v>
      </c>
      <c r="S86" s="123">
        <v>95539.098563953739</v>
      </c>
      <c r="U86" s="7" t="s">
        <v>6289</v>
      </c>
    </row>
    <row r="87" spans="1:21" ht="16.5" thickBot="1">
      <c r="A87" s="259" t="s">
        <v>10</v>
      </c>
      <c r="B87" s="260">
        <f t="shared" si="3"/>
        <v>80</v>
      </c>
      <c r="C87" s="260" t="s">
        <v>3</v>
      </c>
      <c r="D87" s="260">
        <f t="shared" si="4"/>
        <v>300</v>
      </c>
      <c r="E87" s="260" t="s">
        <v>3</v>
      </c>
      <c r="F87" s="261">
        <f t="shared" si="5"/>
        <v>2100</v>
      </c>
      <c r="G87" s="260" t="s">
        <v>3</v>
      </c>
      <c r="H87" s="260">
        <v>2</v>
      </c>
      <c r="I87" s="262" t="s">
        <v>581</v>
      </c>
      <c r="J87" s="112">
        <v>80</v>
      </c>
      <c r="K87" s="75">
        <v>300</v>
      </c>
      <c r="L87" s="75">
        <v>2100</v>
      </c>
      <c r="M87" s="202">
        <v>20.382647489856929</v>
      </c>
      <c r="N87" s="87">
        <v>5796.2923200000005</v>
      </c>
      <c r="O87" s="123">
        <v>66782.275960530314</v>
      </c>
      <c r="P87" s="123">
        <v>71659.920828960472</v>
      </c>
      <c r="Q87" s="120">
        <v>25613.088058395791</v>
      </c>
      <c r="R87" s="123">
        <v>92395.364018926106</v>
      </c>
      <c r="S87" s="123">
        <v>97273.008887356264</v>
      </c>
      <c r="U87" s="7" t="s">
        <v>6290</v>
      </c>
    </row>
    <row r="88" spans="1:21" ht="16.5" thickBot="1">
      <c r="A88" s="259" t="s">
        <v>10</v>
      </c>
      <c r="B88" s="263">
        <f t="shared" si="3"/>
        <v>80</v>
      </c>
      <c r="C88" s="263" t="s">
        <v>3</v>
      </c>
      <c r="D88" s="263">
        <f t="shared" si="4"/>
        <v>300</v>
      </c>
      <c r="E88" s="263" t="s">
        <v>3</v>
      </c>
      <c r="F88" s="261">
        <f t="shared" si="5"/>
        <v>2150</v>
      </c>
      <c r="G88" s="263" t="s">
        <v>3</v>
      </c>
      <c r="H88" s="260">
        <v>2</v>
      </c>
      <c r="I88" s="262" t="s">
        <v>581</v>
      </c>
      <c r="J88" s="112">
        <v>80</v>
      </c>
      <c r="K88" s="75">
        <v>300</v>
      </c>
      <c r="L88" s="75">
        <v>2150</v>
      </c>
      <c r="M88" s="202">
        <v>20.910204873635355</v>
      </c>
      <c r="N88" s="87">
        <v>5961.9006720000007</v>
      </c>
      <c r="O88" s="123">
        <v>67824.034118697164</v>
      </c>
      <c r="P88" s="123">
        <v>72821.057498964845</v>
      </c>
      <c r="Q88" s="120">
        <v>26093.493366653143</v>
      </c>
      <c r="R88" s="123">
        <v>93917.527485350307</v>
      </c>
      <c r="S88" s="123">
        <v>98914.550865617988</v>
      </c>
      <c r="U88" s="7" t="s">
        <v>6291</v>
      </c>
    </row>
    <row r="89" spans="1:21" ht="16.5" thickBot="1">
      <c r="A89" s="259" t="s">
        <v>10</v>
      </c>
      <c r="B89" s="263">
        <f t="shared" si="3"/>
        <v>80</v>
      </c>
      <c r="C89" s="263" t="s">
        <v>3</v>
      </c>
      <c r="D89" s="263">
        <f t="shared" si="4"/>
        <v>300</v>
      </c>
      <c r="E89" s="263" t="s">
        <v>3</v>
      </c>
      <c r="F89" s="261">
        <f t="shared" si="5"/>
        <v>2200</v>
      </c>
      <c r="G89" s="263" t="s">
        <v>3</v>
      </c>
      <c r="H89" s="260">
        <v>2</v>
      </c>
      <c r="I89" s="262" t="s">
        <v>581</v>
      </c>
      <c r="J89" s="112">
        <v>80</v>
      </c>
      <c r="K89" s="75">
        <v>300</v>
      </c>
      <c r="L89" s="75">
        <v>2200</v>
      </c>
      <c r="M89" s="202">
        <v>21.340428657413778</v>
      </c>
      <c r="N89" s="87">
        <v>6127.5090240000009</v>
      </c>
      <c r="O89" s="123">
        <v>68865.744185117699</v>
      </c>
      <c r="P89" s="123">
        <v>73982.149179916189</v>
      </c>
      <c r="Q89" s="120">
        <v>26804.480312300402</v>
      </c>
      <c r="R89" s="123">
        <v>95670.224497418094</v>
      </c>
      <c r="S89" s="123">
        <v>100786.6294922166</v>
      </c>
      <c r="U89" s="7" t="s">
        <v>6292</v>
      </c>
    </row>
    <row r="90" spans="1:21" ht="16.5" thickBot="1">
      <c r="A90" s="259" t="s">
        <v>10</v>
      </c>
      <c r="B90" s="263">
        <f t="shared" si="3"/>
        <v>80</v>
      </c>
      <c r="C90" s="263" t="s">
        <v>3</v>
      </c>
      <c r="D90" s="263">
        <f t="shared" si="4"/>
        <v>300</v>
      </c>
      <c r="E90" s="263" t="s">
        <v>3</v>
      </c>
      <c r="F90" s="261">
        <f t="shared" si="5"/>
        <v>2250</v>
      </c>
      <c r="G90" s="263" t="s">
        <v>3</v>
      </c>
      <c r="H90" s="260">
        <v>2</v>
      </c>
      <c r="I90" s="262" t="s">
        <v>581</v>
      </c>
      <c r="J90" s="112">
        <v>80</v>
      </c>
      <c r="K90" s="75">
        <v>300</v>
      </c>
      <c r="L90" s="75">
        <v>2250</v>
      </c>
      <c r="M90" s="202">
        <v>21.755146041192205</v>
      </c>
      <c r="N90" s="87">
        <v>6293.1173760000001</v>
      </c>
      <c r="O90" s="123">
        <v>70227.065314885971</v>
      </c>
      <c r="P90" s="123">
        <v>75442.490857363271</v>
      </c>
      <c r="Q90" s="120">
        <v>27284.885480164394</v>
      </c>
      <c r="R90" s="123">
        <v>97511.950795050361</v>
      </c>
      <c r="S90" s="123">
        <v>102727.37633752766</v>
      </c>
      <c r="U90" s="7" t="s">
        <v>6293</v>
      </c>
    </row>
    <row r="91" spans="1:21" ht="16.5" thickBot="1">
      <c r="A91" s="259" t="s">
        <v>10</v>
      </c>
      <c r="B91" s="263">
        <f t="shared" si="3"/>
        <v>80</v>
      </c>
      <c r="C91" s="263" t="s">
        <v>3</v>
      </c>
      <c r="D91" s="263">
        <f t="shared" si="4"/>
        <v>300</v>
      </c>
      <c r="E91" s="263" t="s">
        <v>3</v>
      </c>
      <c r="F91" s="261">
        <f t="shared" si="5"/>
        <v>2300</v>
      </c>
      <c r="G91" s="263" t="s">
        <v>3</v>
      </c>
      <c r="H91" s="260">
        <v>2</v>
      </c>
      <c r="I91" s="262" t="s">
        <v>581</v>
      </c>
      <c r="J91" s="112">
        <v>80</v>
      </c>
      <c r="K91" s="75">
        <v>300</v>
      </c>
      <c r="L91" s="75">
        <v>2300</v>
      </c>
      <c r="M91" s="202">
        <v>22.169863424970629</v>
      </c>
      <c r="N91" s="87">
        <v>6458.7257280000003</v>
      </c>
      <c r="O91" s="123">
        <v>71025.869818005624</v>
      </c>
      <c r="P91" s="123">
        <v>76376.151419234899</v>
      </c>
      <c r="Q91" s="120">
        <v>27765.290788421746</v>
      </c>
      <c r="R91" s="123">
        <v>98791.160606427366</v>
      </c>
      <c r="S91" s="123">
        <v>104141.44220765664</v>
      </c>
      <c r="U91" s="7" t="s">
        <v>6294</v>
      </c>
    </row>
    <row r="92" spans="1:21" ht="16.5" thickBot="1">
      <c r="A92" s="259" t="s">
        <v>10</v>
      </c>
      <c r="B92" s="263">
        <f t="shared" si="3"/>
        <v>80</v>
      </c>
      <c r="C92" s="263" t="s">
        <v>3</v>
      </c>
      <c r="D92" s="263">
        <f t="shared" si="4"/>
        <v>300</v>
      </c>
      <c r="E92" s="263" t="s">
        <v>3</v>
      </c>
      <c r="F92" s="261">
        <f t="shared" si="5"/>
        <v>2350</v>
      </c>
      <c r="G92" s="263" t="s">
        <v>3</v>
      </c>
      <c r="H92" s="260">
        <v>2</v>
      </c>
      <c r="I92" s="262" t="s">
        <v>581</v>
      </c>
      <c r="J92" s="112">
        <v>80</v>
      </c>
      <c r="K92" s="75">
        <v>300</v>
      </c>
      <c r="L92" s="75">
        <v>2350</v>
      </c>
      <c r="M92" s="202">
        <v>22.600087208749052</v>
      </c>
      <c r="N92" s="87">
        <v>6624.3340800000005</v>
      </c>
      <c r="O92" s="123">
        <v>71824.626348713326</v>
      </c>
      <c r="P92" s="123">
        <v>77309.76711138786</v>
      </c>
      <c r="Q92" s="120">
        <v>28476.277734069005</v>
      </c>
      <c r="R92" s="123">
        <v>100300.90408278233</v>
      </c>
      <c r="S92" s="123">
        <v>105786.04484545687</v>
      </c>
      <c r="U92" s="7" t="s">
        <v>6295</v>
      </c>
    </row>
    <row r="93" spans="1:21" ht="16.5" thickBot="1">
      <c r="A93" s="259" t="s">
        <v>10</v>
      </c>
      <c r="B93" s="263">
        <f t="shared" si="3"/>
        <v>80</v>
      </c>
      <c r="C93" s="263" t="s">
        <v>3</v>
      </c>
      <c r="D93" s="263">
        <f t="shared" si="4"/>
        <v>300</v>
      </c>
      <c r="E93" s="263" t="s">
        <v>3</v>
      </c>
      <c r="F93" s="261">
        <f t="shared" si="5"/>
        <v>2400</v>
      </c>
      <c r="G93" s="263" t="s">
        <v>3</v>
      </c>
      <c r="H93" s="260">
        <v>2</v>
      </c>
      <c r="I93" s="262" t="s">
        <v>581</v>
      </c>
      <c r="J93" s="112">
        <v>80</v>
      </c>
      <c r="K93" s="75">
        <v>300</v>
      </c>
      <c r="L93" s="75">
        <v>2400</v>
      </c>
      <c r="M93" s="202">
        <v>23.014804592527476</v>
      </c>
      <c r="N93" s="87">
        <v>6789.9424319999998</v>
      </c>
      <c r="O93" s="123">
        <v>72623.334668340336</v>
      </c>
      <c r="P93" s="123">
        <v>78243.337695153445</v>
      </c>
      <c r="Q93" s="120">
        <v>28956.682901932996</v>
      </c>
      <c r="R93" s="123">
        <v>101580.01757027334</v>
      </c>
      <c r="S93" s="123">
        <v>107200.02059708643</v>
      </c>
      <c r="U93" s="7" t="s">
        <v>6296</v>
      </c>
    </row>
    <row r="94" spans="1:21" ht="16.5" thickBot="1">
      <c r="A94" s="259" t="s">
        <v>10</v>
      </c>
      <c r="B94" s="263">
        <f t="shared" si="3"/>
        <v>80</v>
      </c>
      <c r="C94" s="263" t="s">
        <v>3</v>
      </c>
      <c r="D94" s="263">
        <f t="shared" si="4"/>
        <v>300</v>
      </c>
      <c r="E94" s="263" t="s">
        <v>3</v>
      </c>
      <c r="F94" s="261">
        <f t="shared" si="5"/>
        <v>2450</v>
      </c>
      <c r="G94" s="263" t="s">
        <v>3</v>
      </c>
      <c r="H94" s="260">
        <v>2</v>
      </c>
      <c r="I94" s="262" t="s">
        <v>581</v>
      </c>
      <c r="J94" s="112">
        <v>80</v>
      </c>
      <c r="K94" s="75">
        <v>300</v>
      </c>
      <c r="L94" s="75">
        <v>2450</v>
      </c>
      <c r="M94" s="202">
        <v>24.083452428753898</v>
      </c>
      <c r="N94" s="87">
        <v>6955.5507840000018</v>
      </c>
      <c r="O94" s="123">
        <v>73950.75565165552</v>
      </c>
      <c r="P94" s="123">
        <v>79795.562890322966</v>
      </c>
      <c r="Q94" s="120">
        <v>29667.669987973619</v>
      </c>
      <c r="R94" s="123">
        <v>103618.42563962913</v>
      </c>
      <c r="S94" s="123">
        <v>109463.23287829658</v>
      </c>
      <c r="U94" s="7" t="s">
        <v>6297</v>
      </c>
    </row>
    <row r="95" spans="1:21" ht="16.5" thickBot="1">
      <c r="A95" s="259" t="s">
        <v>10</v>
      </c>
      <c r="B95" s="263">
        <f t="shared" si="3"/>
        <v>80</v>
      </c>
      <c r="C95" s="263" t="s">
        <v>3</v>
      </c>
      <c r="D95" s="263">
        <f t="shared" si="4"/>
        <v>300</v>
      </c>
      <c r="E95" s="263" t="s">
        <v>3</v>
      </c>
      <c r="F95" s="261">
        <f t="shared" si="5"/>
        <v>2500</v>
      </c>
      <c r="G95" s="263" t="s">
        <v>3</v>
      </c>
      <c r="H95" s="260">
        <v>2</v>
      </c>
      <c r="I95" s="262" t="s">
        <v>581</v>
      </c>
      <c r="J95" s="112">
        <v>80</v>
      </c>
      <c r="K95" s="75">
        <v>300</v>
      </c>
      <c r="L95" s="75">
        <v>2500</v>
      </c>
      <c r="M95" s="202">
        <v>24.513639812532329</v>
      </c>
      <c r="N95" s="87">
        <v>7121.1591360000002</v>
      </c>
      <c r="O95" s="123">
        <v>74749.367787789888</v>
      </c>
      <c r="P95" s="123">
        <v>80729.043376648187</v>
      </c>
      <c r="Q95" s="120">
        <v>30148.075155837607</v>
      </c>
      <c r="R95" s="123">
        <v>104897.44294362749</v>
      </c>
      <c r="S95" s="123">
        <v>110877.11853248579</v>
      </c>
      <c r="U95" s="7" t="s">
        <v>6298</v>
      </c>
    </row>
    <row r="96" spans="1:21" ht="16.5" thickBot="1">
      <c r="A96" s="259" t="s">
        <v>10</v>
      </c>
      <c r="B96" s="263">
        <f t="shared" si="3"/>
        <v>80</v>
      </c>
      <c r="C96" s="263" t="s">
        <v>3</v>
      </c>
      <c r="D96" s="263">
        <f t="shared" si="4"/>
        <v>300</v>
      </c>
      <c r="E96" s="263" t="s">
        <v>3</v>
      </c>
      <c r="F96" s="261">
        <f t="shared" si="5"/>
        <v>2550</v>
      </c>
      <c r="G96" s="263" t="s">
        <v>3</v>
      </c>
      <c r="H96" s="260">
        <v>2</v>
      </c>
      <c r="I96" s="262" t="s">
        <v>581</v>
      </c>
      <c r="J96" s="112">
        <v>80</v>
      </c>
      <c r="K96" s="75">
        <v>300</v>
      </c>
      <c r="L96" s="75">
        <v>2550</v>
      </c>
      <c r="M96" s="202">
        <v>24.943863596310752</v>
      </c>
      <c r="N96" s="87">
        <v>7286.7674880000004</v>
      </c>
      <c r="O96" s="123">
        <v>78842.267769171594</v>
      </c>
      <c r="P96" s="123">
        <v>84746.946606657017</v>
      </c>
      <c r="Q96" s="120">
        <v>30859.06224187823</v>
      </c>
      <c r="R96" s="123">
        <v>109701.33001104982</v>
      </c>
      <c r="S96" s="123">
        <v>115606.00884853525</v>
      </c>
      <c r="U96" s="7" t="s">
        <v>6299</v>
      </c>
    </row>
    <row r="97" spans="1:21" ht="16.5" thickBot="1">
      <c r="A97" s="259" t="s">
        <v>10</v>
      </c>
      <c r="B97" s="260">
        <f t="shared" si="3"/>
        <v>80</v>
      </c>
      <c r="C97" s="260" t="s">
        <v>3</v>
      </c>
      <c r="D97" s="260">
        <f t="shared" si="4"/>
        <v>300</v>
      </c>
      <c r="E97" s="260" t="s">
        <v>3</v>
      </c>
      <c r="F97" s="261">
        <f t="shared" si="5"/>
        <v>2600</v>
      </c>
      <c r="G97" s="260" t="s">
        <v>3</v>
      </c>
      <c r="H97" s="260">
        <v>2</v>
      </c>
      <c r="I97" s="262" t="s">
        <v>581</v>
      </c>
      <c r="J97" s="112">
        <v>80</v>
      </c>
      <c r="K97" s="75">
        <v>300</v>
      </c>
      <c r="L97" s="75">
        <v>2600</v>
      </c>
      <c r="M97" s="202">
        <v>25.358580980089176</v>
      </c>
      <c r="N97" s="87">
        <v>7452.3758400000015</v>
      </c>
      <c r="O97" s="123">
        <v>79911.387266972437</v>
      </c>
      <c r="P97" s="123">
        <v>85933.701618660576</v>
      </c>
      <c r="Q97" s="120">
        <v>31339.467409742221</v>
      </c>
      <c r="R97" s="123">
        <v>111250.85467671466</v>
      </c>
      <c r="S97" s="123">
        <v>117273.1690284028</v>
      </c>
      <c r="U97" s="7" t="s">
        <v>6300</v>
      </c>
    </row>
    <row r="98" spans="1:21" ht="16.5" thickBot="1">
      <c r="A98" s="259" t="s">
        <v>10</v>
      </c>
      <c r="B98" s="263">
        <f t="shared" si="3"/>
        <v>80</v>
      </c>
      <c r="C98" s="263" t="s">
        <v>3</v>
      </c>
      <c r="D98" s="263">
        <f t="shared" si="4"/>
        <v>300</v>
      </c>
      <c r="E98" s="263" t="s">
        <v>3</v>
      </c>
      <c r="F98" s="261">
        <f t="shared" si="5"/>
        <v>2650</v>
      </c>
      <c r="G98" s="263" t="s">
        <v>3</v>
      </c>
      <c r="H98" s="260">
        <v>2</v>
      </c>
      <c r="I98" s="262" t="s">
        <v>581</v>
      </c>
      <c r="J98" s="112">
        <v>80</v>
      </c>
      <c r="K98" s="75">
        <v>300</v>
      </c>
      <c r="L98" s="75">
        <v>2650</v>
      </c>
      <c r="M98" s="202">
        <v>25.886174763867604</v>
      </c>
      <c r="N98" s="87">
        <v>7617.9841919999999</v>
      </c>
      <c r="O98" s="123">
        <v>80549.887062798196</v>
      </c>
      <c r="P98" s="123">
        <v>86717.269749603554</v>
      </c>
      <c r="Q98" s="120">
        <v>32050.45435538948</v>
      </c>
      <c r="R98" s="123">
        <v>112600.34141818767</v>
      </c>
      <c r="S98" s="123">
        <v>118767.72410499303</v>
      </c>
      <c r="U98" s="7" t="s">
        <v>6301</v>
      </c>
    </row>
    <row r="99" spans="1:21" ht="16.5" thickBot="1">
      <c r="A99" s="259" t="s">
        <v>10</v>
      </c>
      <c r="B99" s="263">
        <f t="shared" si="3"/>
        <v>80</v>
      </c>
      <c r="C99" s="263" t="s">
        <v>3</v>
      </c>
      <c r="D99" s="263">
        <f t="shared" si="4"/>
        <v>300</v>
      </c>
      <c r="E99" s="263" t="s">
        <v>3</v>
      </c>
      <c r="F99" s="261">
        <f t="shared" si="5"/>
        <v>2700</v>
      </c>
      <c r="G99" s="263" t="s">
        <v>3</v>
      </c>
      <c r="H99" s="260">
        <v>2</v>
      </c>
      <c r="I99" s="262" t="s">
        <v>581</v>
      </c>
      <c r="J99" s="112">
        <v>80</v>
      </c>
      <c r="K99" s="75">
        <v>300</v>
      </c>
      <c r="L99" s="75">
        <v>2700</v>
      </c>
      <c r="M99" s="202">
        <v>26.336609647646029</v>
      </c>
      <c r="N99" s="87">
        <v>7783.592544000001</v>
      </c>
      <c r="O99" s="123">
        <v>81223.718062699656</v>
      </c>
      <c r="P99" s="123">
        <v>87533.91843862801</v>
      </c>
      <c r="Q99" s="120">
        <v>32530.859663646832</v>
      </c>
      <c r="R99" s="123">
        <v>113754.57772634648</v>
      </c>
      <c r="S99" s="123">
        <v>120064.77810227484</v>
      </c>
      <c r="U99" s="7" t="s">
        <v>6302</v>
      </c>
    </row>
    <row r="100" spans="1:21" ht="16.5" thickBot="1">
      <c r="A100" s="259" t="s">
        <v>10</v>
      </c>
      <c r="B100" s="263">
        <f t="shared" si="3"/>
        <v>80</v>
      </c>
      <c r="C100" s="263" t="s">
        <v>3</v>
      </c>
      <c r="D100" s="263">
        <f t="shared" si="4"/>
        <v>300</v>
      </c>
      <c r="E100" s="263" t="s">
        <v>3</v>
      </c>
      <c r="F100" s="261">
        <f t="shared" si="5"/>
        <v>2750</v>
      </c>
      <c r="G100" s="263" t="s">
        <v>3</v>
      </c>
      <c r="H100" s="260">
        <v>2</v>
      </c>
      <c r="I100" s="262" t="s">
        <v>581</v>
      </c>
      <c r="J100" s="112">
        <v>80</v>
      </c>
      <c r="K100" s="75">
        <v>300</v>
      </c>
      <c r="L100" s="75">
        <v>2750</v>
      </c>
      <c r="M100" s="202">
        <v>26.751327031424452</v>
      </c>
      <c r="N100" s="87">
        <v>7949.2008960000012</v>
      </c>
      <c r="O100" s="123">
        <v>81943.875734434463</v>
      </c>
      <c r="P100" s="123">
        <v>88393.942422140652</v>
      </c>
      <c r="Q100" s="120">
        <v>33011.264831510824</v>
      </c>
      <c r="R100" s="123">
        <v>114955.14056594529</v>
      </c>
      <c r="S100" s="123">
        <v>121405.20725365148</v>
      </c>
      <c r="U100" s="7" t="s">
        <v>6303</v>
      </c>
    </row>
    <row r="101" spans="1:21" ht="16.5" thickBot="1">
      <c r="A101" s="259" t="s">
        <v>10</v>
      </c>
      <c r="B101" s="263">
        <f t="shared" si="3"/>
        <v>80</v>
      </c>
      <c r="C101" s="263" t="s">
        <v>3</v>
      </c>
      <c r="D101" s="263">
        <f t="shared" si="4"/>
        <v>300</v>
      </c>
      <c r="E101" s="263" t="s">
        <v>3</v>
      </c>
      <c r="F101" s="261">
        <f t="shared" si="5"/>
        <v>2800</v>
      </c>
      <c r="G101" s="263" t="s">
        <v>3</v>
      </c>
      <c r="H101" s="260">
        <v>2</v>
      </c>
      <c r="I101" s="262" t="s">
        <v>581</v>
      </c>
      <c r="J101" s="112">
        <v>80</v>
      </c>
      <c r="K101" s="75">
        <v>300</v>
      </c>
      <c r="L101" s="75">
        <v>2800</v>
      </c>
      <c r="M101" s="202">
        <v>27.181550815202879</v>
      </c>
      <c r="N101" s="87">
        <v>8114.8092480000014</v>
      </c>
      <c r="O101" s="123">
        <v>82581.141016325419</v>
      </c>
      <c r="P101" s="123">
        <v>89176.354799825203</v>
      </c>
      <c r="Q101" s="120">
        <v>33722.251777158082</v>
      </c>
      <c r="R101" s="123">
        <v>116303.39279348351</v>
      </c>
      <c r="S101" s="123">
        <v>122898.60657698329</v>
      </c>
      <c r="U101" s="7" t="s">
        <v>6304</v>
      </c>
    </row>
    <row r="102" spans="1:21" ht="16.5" thickBot="1">
      <c r="A102" s="259" t="s">
        <v>10</v>
      </c>
      <c r="B102" s="263">
        <f t="shared" si="3"/>
        <v>80</v>
      </c>
      <c r="C102" s="263" t="s">
        <v>3</v>
      </c>
      <c r="D102" s="263">
        <f t="shared" si="4"/>
        <v>300</v>
      </c>
      <c r="E102" s="263" t="s">
        <v>3</v>
      </c>
      <c r="F102" s="261">
        <f t="shared" si="5"/>
        <v>2850</v>
      </c>
      <c r="G102" s="263" t="s">
        <v>3</v>
      </c>
      <c r="H102" s="260">
        <v>2</v>
      </c>
      <c r="I102" s="262" t="s">
        <v>581</v>
      </c>
      <c r="J102" s="112">
        <v>80</v>
      </c>
      <c r="K102" s="75">
        <v>300</v>
      </c>
      <c r="L102" s="75">
        <v>2850</v>
      </c>
      <c r="M102" s="202">
        <v>27.596268198981303</v>
      </c>
      <c r="N102" s="87">
        <v>8280.4176000000007</v>
      </c>
      <c r="O102" s="123">
        <v>83218.358325804395</v>
      </c>
      <c r="P102" s="123">
        <v>89958.722188456712</v>
      </c>
      <c r="Q102" s="120">
        <v>34202.657085415434</v>
      </c>
      <c r="R102" s="123">
        <v>117421.01541121982</v>
      </c>
      <c r="S102" s="123">
        <v>124161.37927387215</v>
      </c>
      <c r="U102" s="7" t="s">
        <v>6305</v>
      </c>
    </row>
    <row r="103" spans="1:21" ht="16.5" thickBot="1">
      <c r="A103" s="259" t="s">
        <v>10</v>
      </c>
      <c r="B103" s="263">
        <f t="shared" si="3"/>
        <v>80</v>
      </c>
      <c r="C103" s="263" t="s">
        <v>3</v>
      </c>
      <c r="D103" s="263">
        <f t="shared" si="4"/>
        <v>300</v>
      </c>
      <c r="E103" s="263" t="s">
        <v>3</v>
      </c>
      <c r="F103" s="261">
        <f t="shared" si="5"/>
        <v>2900</v>
      </c>
      <c r="G103" s="263" t="s">
        <v>3</v>
      </c>
      <c r="H103" s="260">
        <v>2</v>
      </c>
      <c r="I103" s="262" t="s">
        <v>581</v>
      </c>
      <c r="J103" s="112">
        <v>80</v>
      </c>
      <c r="K103" s="75">
        <v>300</v>
      </c>
      <c r="L103" s="75">
        <v>2900</v>
      </c>
      <c r="M103" s="202">
        <v>28.186651982759727</v>
      </c>
      <c r="N103" s="87">
        <v>8446.0259520000018</v>
      </c>
      <c r="O103" s="123">
        <v>83855.527424202694</v>
      </c>
      <c r="P103" s="123">
        <v>90741.044468700857</v>
      </c>
      <c r="Q103" s="120">
        <v>34913.644031062693</v>
      </c>
      <c r="R103" s="123">
        <v>118769.17145526539</v>
      </c>
      <c r="S103" s="123">
        <v>125654.68849976355</v>
      </c>
      <c r="U103" s="7" t="s">
        <v>6306</v>
      </c>
    </row>
    <row r="104" spans="1:21" ht="16.5" thickBot="1">
      <c r="A104" s="259" t="s">
        <v>10</v>
      </c>
      <c r="B104" s="263">
        <f t="shared" si="3"/>
        <v>80</v>
      </c>
      <c r="C104" s="263" t="s">
        <v>3</v>
      </c>
      <c r="D104" s="263">
        <f t="shared" si="4"/>
        <v>300</v>
      </c>
      <c r="E104" s="263" t="s">
        <v>3</v>
      </c>
      <c r="F104" s="261">
        <f t="shared" si="5"/>
        <v>2950</v>
      </c>
      <c r="G104" s="263" t="s">
        <v>3</v>
      </c>
      <c r="H104" s="260">
        <v>2</v>
      </c>
      <c r="I104" s="262" t="s">
        <v>581</v>
      </c>
      <c r="J104" s="112">
        <v>80</v>
      </c>
      <c r="K104" s="75">
        <v>300</v>
      </c>
      <c r="L104" s="75">
        <v>2950</v>
      </c>
      <c r="M104" s="202">
        <v>28.601369366538158</v>
      </c>
      <c r="N104" s="87">
        <v>8611.6343040000011</v>
      </c>
      <c r="O104" s="123">
        <v>84492.648550189027</v>
      </c>
      <c r="P104" s="123">
        <v>91523.321759892002</v>
      </c>
      <c r="Q104" s="120">
        <v>35394.049339320045</v>
      </c>
      <c r="R104" s="123">
        <v>119886.69788950907</v>
      </c>
      <c r="S104" s="123">
        <v>126917.37109921205</v>
      </c>
      <c r="U104" s="7" t="s">
        <v>6307</v>
      </c>
    </row>
    <row r="105" spans="1:21" ht="16.5" thickBot="1">
      <c r="A105" s="264" t="s">
        <v>10</v>
      </c>
      <c r="B105" s="265">
        <f t="shared" si="3"/>
        <v>80</v>
      </c>
      <c r="C105" s="265" t="s">
        <v>3</v>
      </c>
      <c r="D105" s="265">
        <f t="shared" si="4"/>
        <v>300</v>
      </c>
      <c r="E105" s="265" t="s">
        <v>3</v>
      </c>
      <c r="F105" s="266">
        <f t="shared" si="5"/>
        <v>3000</v>
      </c>
      <c r="G105" s="265" t="s">
        <v>3</v>
      </c>
      <c r="H105" s="267">
        <v>2</v>
      </c>
      <c r="I105" s="262" t="s">
        <v>581</v>
      </c>
      <c r="J105" s="346">
        <v>80</v>
      </c>
      <c r="K105" s="322">
        <v>300</v>
      </c>
      <c r="L105" s="322">
        <v>3000</v>
      </c>
      <c r="M105" s="305">
        <v>29.031593150316574</v>
      </c>
      <c r="N105" s="306">
        <v>8777.2426560000004</v>
      </c>
      <c r="O105" s="307">
        <v>86846.558263877203</v>
      </c>
      <c r="P105" s="307">
        <v>93913.018415569561</v>
      </c>
      <c r="Q105" s="308">
        <v>36105.036284967304</v>
      </c>
      <c r="R105" s="307">
        <v>122951.5945488445</v>
      </c>
      <c r="S105" s="307">
        <v>130018.05470053686</v>
      </c>
      <c r="U105" s="7" t="s">
        <v>6308</v>
      </c>
    </row>
    <row r="106" spans="1:21" ht="22.5" customHeight="1" thickBot="1">
      <c r="A106" s="2580" t="s">
        <v>517</v>
      </c>
      <c r="B106" s="2581"/>
      <c r="C106" s="2581"/>
      <c r="D106" s="2581"/>
      <c r="E106" s="2581"/>
      <c r="F106" s="2581"/>
      <c r="G106" s="2581"/>
      <c r="H106" s="2581"/>
      <c r="I106" s="2581"/>
      <c r="J106" s="2581"/>
      <c r="K106" s="2581"/>
      <c r="L106" s="2581"/>
      <c r="M106" s="2581"/>
      <c r="N106" s="2581"/>
      <c r="O106" s="2581"/>
      <c r="P106" s="2581"/>
      <c r="Q106" s="2581"/>
      <c r="R106" s="2581"/>
      <c r="S106" s="2582"/>
      <c r="U106" s="7"/>
    </row>
    <row r="107" spans="1:21" ht="16.5" thickBot="1">
      <c r="A107" s="2583" t="s">
        <v>135</v>
      </c>
      <c r="B107" s="2584"/>
      <c r="C107" s="2584"/>
      <c r="D107" s="2584"/>
      <c r="E107" s="2584"/>
      <c r="F107" s="2584"/>
      <c r="G107" s="2584"/>
      <c r="H107" s="2584"/>
      <c r="I107" s="2584"/>
      <c r="J107" s="2584"/>
      <c r="K107" s="2584"/>
      <c r="L107" s="2584"/>
      <c r="M107" s="2584"/>
      <c r="N107" s="2584"/>
      <c r="O107" s="2584"/>
      <c r="P107" s="2584"/>
      <c r="Q107" s="2584"/>
      <c r="R107" s="2584"/>
      <c r="S107" s="2585"/>
      <c r="U107" s="7"/>
    </row>
    <row r="108" spans="1:21" ht="16.5" thickBot="1">
      <c r="A108" s="259" t="s">
        <v>10</v>
      </c>
      <c r="B108" s="260">
        <f t="shared" ref="B108:B154" si="6">J108</f>
        <v>80</v>
      </c>
      <c r="C108" s="260" t="s">
        <v>3</v>
      </c>
      <c r="D108" s="260">
        <f t="shared" ref="D108:D154" si="7">K108</f>
        <v>360</v>
      </c>
      <c r="E108" s="260" t="s">
        <v>3</v>
      </c>
      <c r="F108" s="261">
        <f t="shared" ref="F108:F154" si="8">L108</f>
        <v>700</v>
      </c>
      <c r="G108" s="260" t="s">
        <v>3</v>
      </c>
      <c r="H108" s="260">
        <v>4</v>
      </c>
      <c r="I108" s="262" t="s">
        <v>581</v>
      </c>
      <c r="J108" s="344">
        <v>80</v>
      </c>
      <c r="K108" s="327">
        <v>360</v>
      </c>
      <c r="L108" s="327">
        <v>700</v>
      </c>
      <c r="M108" s="301">
        <v>8.5990108844169733</v>
      </c>
      <c r="N108" s="302">
        <v>1552.7747586145356</v>
      </c>
      <c r="O108" s="303">
        <v>29265.332205969436</v>
      </c>
      <c r="P108" s="303">
        <v>31614.309233964505</v>
      </c>
      <c r="Q108" s="304">
        <v>10542.143907826316</v>
      </c>
      <c r="R108" s="303">
        <v>39807.476113795754</v>
      </c>
      <c r="S108" s="303">
        <v>42156.453141790822</v>
      </c>
      <c r="U108" s="7" t="s">
        <v>6309</v>
      </c>
    </row>
    <row r="109" spans="1:21" ht="16.5" thickBot="1">
      <c r="A109" s="259" t="s">
        <v>10</v>
      </c>
      <c r="B109" s="263">
        <f t="shared" si="6"/>
        <v>80</v>
      </c>
      <c r="C109" s="263" t="s">
        <v>3</v>
      </c>
      <c r="D109" s="263">
        <f t="shared" si="7"/>
        <v>360</v>
      </c>
      <c r="E109" s="263" t="s">
        <v>3</v>
      </c>
      <c r="F109" s="261">
        <f t="shared" si="8"/>
        <v>750</v>
      </c>
      <c r="G109" s="263" t="s">
        <v>3</v>
      </c>
      <c r="H109" s="260">
        <v>4</v>
      </c>
      <c r="I109" s="262" t="s">
        <v>581</v>
      </c>
      <c r="J109" s="112">
        <v>80</v>
      </c>
      <c r="K109" s="75">
        <v>360</v>
      </c>
      <c r="L109" s="75">
        <v>750</v>
      </c>
      <c r="M109" s="202">
        <v>9.2221397621318406</v>
      </c>
      <c r="N109" s="87">
        <v>1774.5997241308978</v>
      </c>
      <c r="O109" s="123">
        <v>31057.915056559497</v>
      </c>
      <c r="P109" s="123">
        <v>33509.477626848005</v>
      </c>
      <c r="Q109" s="120">
        <v>11095.741049329239</v>
      </c>
      <c r="R109" s="123">
        <v>42153.656105888738</v>
      </c>
      <c r="S109" s="123">
        <v>44605.218676177246</v>
      </c>
      <c r="U109" s="7" t="s">
        <v>6310</v>
      </c>
    </row>
    <row r="110" spans="1:21" ht="16.5" thickBot="1">
      <c r="A110" s="259" t="s">
        <v>10</v>
      </c>
      <c r="B110" s="263">
        <f t="shared" si="6"/>
        <v>80</v>
      </c>
      <c r="C110" s="263" t="s">
        <v>3</v>
      </c>
      <c r="D110" s="263">
        <f t="shared" si="7"/>
        <v>360</v>
      </c>
      <c r="E110" s="263" t="s">
        <v>3</v>
      </c>
      <c r="F110" s="261">
        <f t="shared" si="8"/>
        <v>800</v>
      </c>
      <c r="G110" s="263" t="s">
        <v>3</v>
      </c>
      <c r="H110" s="260">
        <v>4</v>
      </c>
      <c r="I110" s="262" t="s">
        <v>581</v>
      </c>
      <c r="J110" s="112">
        <v>80</v>
      </c>
      <c r="K110" s="75">
        <v>360</v>
      </c>
      <c r="L110" s="75">
        <v>800</v>
      </c>
      <c r="M110" s="202">
        <v>9.7262686398467117</v>
      </c>
      <c r="N110" s="87">
        <v>1996.4246896472598</v>
      </c>
      <c r="O110" s="123">
        <v>32851.10281301089</v>
      </c>
      <c r="P110" s="123">
        <v>35405.212380595171</v>
      </c>
      <c r="Q110" s="120">
        <v>11649.338190832164</v>
      </c>
      <c r="R110" s="123">
        <v>44500.441003843051</v>
      </c>
      <c r="S110" s="123">
        <v>47054.550571427331</v>
      </c>
      <c r="U110" s="7" t="s">
        <v>6311</v>
      </c>
    </row>
    <row r="111" spans="1:21" ht="16.5" thickBot="1">
      <c r="A111" s="259" t="s">
        <v>10</v>
      </c>
      <c r="B111" s="263">
        <f t="shared" si="6"/>
        <v>80</v>
      </c>
      <c r="C111" s="263" t="s">
        <v>3</v>
      </c>
      <c r="D111" s="263">
        <f t="shared" si="7"/>
        <v>360</v>
      </c>
      <c r="E111" s="263" t="s">
        <v>3</v>
      </c>
      <c r="F111" s="261">
        <f t="shared" si="8"/>
        <v>850</v>
      </c>
      <c r="G111" s="263" t="s">
        <v>3</v>
      </c>
      <c r="H111" s="260">
        <v>4</v>
      </c>
      <c r="I111" s="262" t="s">
        <v>581</v>
      </c>
      <c r="J111" s="112">
        <v>80</v>
      </c>
      <c r="K111" s="75">
        <v>360</v>
      </c>
      <c r="L111" s="75">
        <v>850</v>
      </c>
      <c r="M111" s="202">
        <v>10.230397517561579</v>
      </c>
      <c r="N111" s="87">
        <v>2218.2496551636223</v>
      </c>
      <c r="O111" s="123">
        <v>34644.29056946229</v>
      </c>
      <c r="P111" s="123">
        <v>37300.947134342328</v>
      </c>
      <c r="Q111" s="120">
        <v>12433.517110118366</v>
      </c>
      <c r="R111" s="123">
        <v>47077.807679580656</v>
      </c>
      <c r="S111" s="123">
        <v>49734.464244460694</v>
      </c>
      <c r="U111" s="7" t="s">
        <v>6312</v>
      </c>
    </row>
    <row r="112" spans="1:21" ht="16.5" thickBot="1">
      <c r="A112" s="259" t="s">
        <v>10</v>
      </c>
      <c r="B112" s="263">
        <f t="shared" si="6"/>
        <v>80</v>
      </c>
      <c r="C112" s="263" t="s">
        <v>3</v>
      </c>
      <c r="D112" s="263">
        <f t="shared" si="7"/>
        <v>360</v>
      </c>
      <c r="E112" s="263" t="s">
        <v>3</v>
      </c>
      <c r="F112" s="261">
        <f t="shared" si="8"/>
        <v>900</v>
      </c>
      <c r="G112" s="263" t="s">
        <v>3</v>
      </c>
      <c r="H112" s="260">
        <v>4</v>
      </c>
      <c r="I112" s="262" t="s">
        <v>581</v>
      </c>
      <c r="J112" s="112">
        <v>80</v>
      </c>
      <c r="K112" s="75">
        <v>360</v>
      </c>
      <c r="L112" s="75">
        <v>900</v>
      </c>
      <c r="M112" s="202">
        <v>10.772526395276451</v>
      </c>
      <c r="N112" s="87">
        <v>2440.0746206799845</v>
      </c>
      <c r="O112" s="123">
        <v>36437.478325913682</v>
      </c>
      <c r="P112" s="123">
        <v>39196.681888089486</v>
      </c>
      <c r="Q112" s="120">
        <v>12987.114251621291</v>
      </c>
      <c r="R112" s="123">
        <v>49424.592577534975</v>
      </c>
      <c r="S112" s="123">
        <v>52183.796139710779</v>
      </c>
      <c r="U112" s="7" t="s">
        <v>6313</v>
      </c>
    </row>
    <row r="113" spans="1:21" ht="16.5" thickBot="1">
      <c r="A113" s="259" t="s">
        <v>10</v>
      </c>
      <c r="B113" s="263">
        <f t="shared" si="6"/>
        <v>80</v>
      </c>
      <c r="C113" s="263" t="s">
        <v>3</v>
      </c>
      <c r="D113" s="263">
        <f t="shared" si="7"/>
        <v>360</v>
      </c>
      <c r="E113" s="263" t="s">
        <v>3</v>
      </c>
      <c r="F113" s="261">
        <f t="shared" si="8"/>
        <v>950</v>
      </c>
      <c r="G113" s="263" t="s">
        <v>3</v>
      </c>
      <c r="H113" s="260">
        <v>4</v>
      </c>
      <c r="I113" s="262" t="s">
        <v>581</v>
      </c>
      <c r="J113" s="112">
        <v>80</v>
      </c>
      <c r="K113" s="75">
        <v>360</v>
      </c>
      <c r="L113" s="75">
        <v>950</v>
      </c>
      <c r="M113" s="202">
        <v>11.345655272991316</v>
      </c>
      <c r="N113" s="87">
        <v>2661.8995861963467</v>
      </c>
      <c r="O113" s="123">
        <v>38230.666082365082</v>
      </c>
      <c r="P113" s="123">
        <v>41092.416641836651</v>
      </c>
      <c r="Q113" s="120">
        <v>13771.293170907491</v>
      </c>
      <c r="R113" s="123">
        <v>52001.959253272573</v>
      </c>
      <c r="S113" s="123">
        <v>54863.709812744142</v>
      </c>
      <c r="U113" s="7" t="s">
        <v>6314</v>
      </c>
    </row>
    <row r="114" spans="1:21" ht="16.5" thickBot="1">
      <c r="A114" s="259" t="s">
        <v>10</v>
      </c>
      <c r="B114" s="263">
        <f t="shared" si="6"/>
        <v>80</v>
      </c>
      <c r="C114" s="263" t="s">
        <v>3</v>
      </c>
      <c r="D114" s="263">
        <f t="shared" si="7"/>
        <v>360</v>
      </c>
      <c r="E114" s="263" t="s">
        <v>3</v>
      </c>
      <c r="F114" s="261">
        <f t="shared" si="8"/>
        <v>1000</v>
      </c>
      <c r="G114" s="263" t="s">
        <v>3</v>
      </c>
      <c r="H114" s="260">
        <v>4</v>
      </c>
      <c r="I114" s="262" t="s">
        <v>581</v>
      </c>
      <c r="J114" s="112">
        <v>80</v>
      </c>
      <c r="K114" s="75">
        <v>360</v>
      </c>
      <c r="L114" s="75">
        <v>1000</v>
      </c>
      <c r="M114" s="202">
        <v>11.849784150706183</v>
      </c>
      <c r="N114" s="87">
        <v>2883.7245517127089</v>
      </c>
      <c r="O114" s="123">
        <v>39928.721681862808</v>
      </c>
      <c r="P114" s="123">
        <v>42899.079753341881</v>
      </c>
      <c r="Q114" s="120">
        <v>14324.890312410414</v>
      </c>
      <c r="R114" s="123">
        <v>54253.611994273218</v>
      </c>
      <c r="S114" s="123">
        <v>57223.970065752292</v>
      </c>
      <c r="U114" s="7" t="s">
        <v>6315</v>
      </c>
    </row>
    <row r="115" spans="1:21" ht="16.5" thickBot="1">
      <c r="A115" s="259" t="s">
        <v>10</v>
      </c>
      <c r="B115" s="263">
        <f t="shared" si="6"/>
        <v>80</v>
      </c>
      <c r="C115" s="263" t="s">
        <v>3</v>
      </c>
      <c r="D115" s="263">
        <f t="shared" si="7"/>
        <v>360</v>
      </c>
      <c r="E115" s="263" t="s">
        <v>3</v>
      </c>
      <c r="F115" s="261">
        <f t="shared" si="8"/>
        <v>1050</v>
      </c>
      <c r="G115" s="263" t="s">
        <v>3</v>
      </c>
      <c r="H115" s="260">
        <v>4</v>
      </c>
      <c r="I115" s="262" t="s">
        <v>581</v>
      </c>
      <c r="J115" s="112">
        <v>80</v>
      </c>
      <c r="K115" s="75">
        <v>360</v>
      </c>
      <c r="L115" s="75">
        <v>1050</v>
      </c>
      <c r="M115" s="202">
        <v>12.353913028421053</v>
      </c>
      <c r="N115" s="87">
        <v>3105.5495172290712</v>
      </c>
      <c r="O115" s="123">
        <v>41947.848161911221</v>
      </c>
      <c r="P115" s="123">
        <v>45006.35959774645</v>
      </c>
      <c r="Q115" s="120">
        <v>15109.069231696616</v>
      </c>
      <c r="R115" s="123">
        <v>57056.917393607837</v>
      </c>
      <c r="S115" s="123">
        <v>60115.428829443066</v>
      </c>
      <c r="U115" s="7" t="s">
        <v>6316</v>
      </c>
    </row>
    <row r="116" spans="1:21" ht="16.5" thickBot="1">
      <c r="A116" s="259" t="s">
        <v>10</v>
      </c>
      <c r="B116" s="260">
        <f t="shared" si="6"/>
        <v>80</v>
      </c>
      <c r="C116" s="260" t="s">
        <v>3</v>
      </c>
      <c r="D116" s="260">
        <f t="shared" si="7"/>
        <v>360</v>
      </c>
      <c r="E116" s="260" t="s">
        <v>3</v>
      </c>
      <c r="F116" s="261">
        <f t="shared" si="8"/>
        <v>1100</v>
      </c>
      <c r="G116" s="260" t="s">
        <v>3</v>
      </c>
      <c r="H116" s="260">
        <v>4</v>
      </c>
      <c r="I116" s="262" t="s">
        <v>581</v>
      </c>
      <c r="J116" s="112">
        <v>80</v>
      </c>
      <c r="K116" s="75">
        <v>360</v>
      </c>
      <c r="L116" s="75">
        <v>1100</v>
      </c>
      <c r="M116" s="202">
        <v>12.85804190613592</v>
      </c>
      <c r="N116" s="87">
        <v>3327.3744827454334</v>
      </c>
      <c r="O116" s="123">
        <v>43741.035918362613</v>
      </c>
      <c r="P116" s="123">
        <v>46902.094232159252</v>
      </c>
      <c r="Q116" s="120">
        <v>15662.66637319954</v>
      </c>
      <c r="R116" s="123">
        <v>59403.702291562149</v>
      </c>
      <c r="S116" s="123">
        <v>62564.760605358795</v>
      </c>
      <c r="U116" s="7" t="s">
        <v>6317</v>
      </c>
    </row>
    <row r="117" spans="1:21" ht="16.5" thickBot="1">
      <c r="A117" s="259" t="s">
        <v>10</v>
      </c>
      <c r="B117" s="263">
        <f t="shared" si="6"/>
        <v>80</v>
      </c>
      <c r="C117" s="263" t="s">
        <v>3</v>
      </c>
      <c r="D117" s="263">
        <f t="shared" si="7"/>
        <v>360</v>
      </c>
      <c r="E117" s="263" t="s">
        <v>3</v>
      </c>
      <c r="F117" s="261">
        <f t="shared" si="8"/>
        <v>1150</v>
      </c>
      <c r="G117" s="263" t="s">
        <v>3</v>
      </c>
      <c r="H117" s="260">
        <v>4</v>
      </c>
      <c r="I117" s="262" t="s">
        <v>581</v>
      </c>
      <c r="J117" s="112">
        <v>80</v>
      </c>
      <c r="K117" s="75">
        <v>360</v>
      </c>
      <c r="L117" s="75">
        <v>1150</v>
      </c>
      <c r="M117" s="202">
        <v>13.362170783850789</v>
      </c>
      <c r="N117" s="87">
        <v>3549.1994482617956</v>
      </c>
      <c r="O117" s="123">
        <v>44778.881102926549</v>
      </c>
      <c r="P117" s="123">
        <v>48090.606203917494</v>
      </c>
      <c r="Q117" s="120">
        <v>16216.263514702467</v>
      </c>
      <c r="R117" s="123">
        <v>60995.144617629019</v>
      </c>
      <c r="S117" s="123">
        <v>64306.869718619957</v>
      </c>
      <c r="U117" s="7" t="s">
        <v>6318</v>
      </c>
    </row>
    <row r="118" spans="1:21" ht="16.5" thickBot="1">
      <c r="A118" s="259" t="s">
        <v>10</v>
      </c>
      <c r="B118" s="263">
        <f t="shared" si="6"/>
        <v>80</v>
      </c>
      <c r="C118" s="263" t="s">
        <v>3</v>
      </c>
      <c r="D118" s="263">
        <f t="shared" si="7"/>
        <v>360</v>
      </c>
      <c r="E118" s="263" t="s">
        <v>3</v>
      </c>
      <c r="F118" s="261">
        <f t="shared" si="8"/>
        <v>1200</v>
      </c>
      <c r="G118" s="263" t="s">
        <v>3</v>
      </c>
      <c r="H118" s="260">
        <v>4</v>
      </c>
      <c r="I118" s="262" t="s">
        <v>581</v>
      </c>
      <c r="J118" s="112">
        <v>80</v>
      </c>
      <c r="K118" s="75">
        <v>360</v>
      </c>
      <c r="L118" s="75">
        <v>1200</v>
      </c>
      <c r="M118" s="202">
        <v>14.081549661565656</v>
      </c>
      <c r="N118" s="87">
        <v>3771.0244137781574</v>
      </c>
      <c r="O118" s="123">
        <v>45876.110405455511</v>
      </c>
      <c r="P118" s="123">
        <v>49334.719036485119</v>
      </c>
      <c r="Q118" s="120">
        <v>17000.442574382028</v>
      </c>
      <c r="R118" s="123">
        <v>62876.552979837536</v>
      </c>
      <c r="S118" s="123">
        <v>66335.161610867144</v>
      </c>
      <c r="U118" s="7" t="s">
        <v>6319</v>
      </c>
    </row>
    <row r="119" spans="1:21" ht="16.5" thickBot="1">
      <c r="A119" s="259" t="s">
        <v>10</v>
      </c>
      <c r="B119" s="263">
        <f t="shared" si="6"/>
        <v>80</v>
      </c>
      <c r="C119" s="263" t="s">
        <v>3</v>
      </c>
      <c r="D119" s="263">
        <f t="shared" si="7"/>
        <v>360</v>
      </c>
      <c r="E119" s="263" t="s">
        <v>3</v>
      </c>
      <c r="F119" s="261">
        <f t="shared" si="8"/>
        <v>1250</v>
      </c>
      <c r="G119" s="263" t="s">
        <v>3</v>
      </c>
      <c r="H119" s="260">
        <v>4</v>
      </c>
      <c r="I119" s="262" t="s">
        <v>581</v>
      </c>
      <c r="J119" s="112">
        <v>80</v>
      </c>
      <c r="K119" s="75">
        <v>360</v>
      </c>
      <c r="L119" s="75">
        <v>1250</v>
      </c>
      <c r="M119" s="202">
        <v>14.585678539280527</v>
      </c>
      <c r="N119" s="87">
        <v>3992.8493792945196</v>
      </c>
      <c r="O119" s="123">
        <v>46913.4746725562</v>
      </c>
      <c r="P119" s="123">
        <v>50522.780521041423</v>
      </c>
      <c r="Q119" s="120">
        <v>17554.039715884952</v>
      </c>
      <c r="R119" s="123">
        <v>64467.514388441152</v>
      </c>
      <c r="S119" s="123">
        <v>68076.820236926374</v>
      </c>
      <c r="U119" s="7" t="s">
        <v>6320</v>
      </c>
    </row>
    <row r="120" spans="1:21" ht="16.5" thickBot="1">
      <c r="A120" s="259" t="s">
        <v>10</v>
      </c>
      <c r="B120" s="263">
        <f t="shared" si="6"/>
        <v>80</v>
      </c>
      <c r="C120" s="263" t="s">
        <v>3</v>
      </c>
      <c r="D120" s="263">
        <f t="shared" si="7"/>
        <v>360</v>
      </c>
      <c r="E120" s="263" t="s">
        <v>3</v>
      </c>
      <c r="F120" s="261">
        <f t="shared" si="8"/>
        <v>1300</v>
      </c>
      <c r="G120" s="263" t="s">
        <v>3</v>
      </c>
      <c r="H120" s="260">
        <v>4</v>
      </c>
      <c r="I120" s="262" t="s">
        <v>581</v>
      </c>
      <c r="J120" s="112">
        <v>80</v>
      </c>
      <c r="K120" s="75">
        <v>360</v>
      </c>
      <c r="L120" s="75">
        <v>1300</v>
      </c>
      <c r="M120" s="202">
        <v>15.151807416995396</v>
      </c>
      <c r="N120" s="87">
        <v>4214.6743448108818</v>
      </c>
      <c r="O120" s="123">
        <v>50403.222410994938</v>
      </c>
      <c r="P120" s="123">
        <v>54006.99460595956</v>
      </c>
      <c r="Q120" s="120">
        <v>18338.218635171153</v>
      </c>
      <c r="R120" s="123">
        <v>68741.441046166088</v>
      </c>
      <c r="S120" s="123">
        <v>72345.21324113071</v>
      </c>
      <c r="U120" s="7" t="s">
        <v>6321</v>
      </c>
    </row>
    <row r="121" spans="1:21" ht="16.5" thickBot="1">
      <c r="A121" s="259" t="s">
        <v>10</v>
      </c>
      <c r="B121" s="263">
        <f t="shared" si="6"/>
        <v>80</v>
      </c>
      <c r="C121" s="263" t="s">
        <v>3</v>
      </c>
      <c r="D121" s="263">
        <f t="shared" si="7"/>
        <v>360</v>
      </c>
      <c r="E121" s="263" t="s">
        <v>3</v>
      </c>
      <c r="F121" s="261">
        <f t="shared" si="8"/>
        <v>1350</v>
      </c>
      <c r="G121" s="263" t="s">
        <v>3</v>
      </c>
      <c r="H121" s="260">
        <v>4</v>
      </c>
      <c r="I121" s="262" t="s">
        <v>581</v>
      </c>
      <c r="J121" s="112">
        <v>80</v>
      </c>
      <c r="K121" s="75">
        <v>360</v>
      </c>
      <c r="L121" s="75">
        <v>1350</v>
      </c>
      <c r="M121" s="202">
        <v>15.655936294710262</v>
      </c>
      <c r="N121" s="87">
        <v>4436.4993103272445</v>
      </c>
      <c r="O121" s="123">
        <v>51690.283082379967</v>
      </c>
      <c r="P121" s="123">
        <v>55428.845463530852</v>
      </c>
      <c r="Q121" s="120">
        <v>18891.815776674081</v>
      </c>
      <c r="R121" s="123">
        <v>70582.098859054051</v>
      </c>
      <c r="S121" s="123">
        <v>74320.661240204936</v>
      </c>
      <c r="U121" s="7" t="s">
        <v>6322</v>
      </c>
    </row>
    <row r="122" spans="1:21" ht="16.5" thickBot="1">
      <c r="A122" s="259" t="s">
        <v>10</v>
      </c>
      <c r="B122" s="263">
        <f t="shared" si="6"/>
        <v>80</v>
      </c>
      <c r="C122" s="263" t="s">
        <v>3</v>
      </c>
      <c r="D122" s="263">
        <f t="shared" si="7"/>
        <v>360</v>
      </c>
      <c r="E122" s="263" t="s">
        <v>3</v>
      </c>
      <c r="F122" s="261">
        <f t="shared" si="8"/>
        <v>1400</v>
      </c>
      <c r="G122" s="263" t="s">
        <v>3</v>
      </c>
      <c r="H122" s="260">
        <v>4</v>
      </c>
      <c r="I122" s="262" t="s">
        <v>581</v>
      </c>
      <c r="J122" s="112">
        <v>80</v>
      </c>
      <c r="K122" s="75">
        <v>360</v>
      </c>
      <c r="L122" s="75">
        <v>1400</v>
      </c>
      <c r="M122" s="202">
        <v>16.160065172425131</v>
      </c>
      <c r="N122" s="87">
        <v>4658.3242758436063</v>
      </c>
      <c r="O122" s="123">
        <v>53304.360230040424</v>
      </c>
      <c r="P122" s="123">
        <v>57156.880001808029</v>
      </c>
      <c r="Q122" s="120">
        <v>19675.994695960278</v>
      </c>
      <c r="R122" s="123">
        <v>72980.354926000698</v>
      </c>
      <c r="S122" s="123">
        <v>76832.874697768304</v>
      </c>
      <c r="U122" s="7" t="s">
        <v>6323</v>
      </c>
    </row>
    <row r="123" spans="1:21" ht="16.5" thickBot="1">
      <c r="A123" s="259" t="s">
        <v>10</v>
      </c>
      <c r="B123" s="263">
        <f t="shared" si="6"/>
        <v>80</v>
      </c>
      <c r="C123" s="263" t="s">
        <v>3</v>
      </c>
      <c r="D123" s="263">
        <f t="shared" si="7"/>
        <v>360</v>
      </c>
      <c r="E123" s="263" t="s">
        <v>3</v>
      </c>
      <c r="F123" s="261">
        <f t="shared" si="8"/>
        <v>1450</v>
      </c>
      <c r="G123" s="263" t="s">
        <v>3</v>
      </c>
      <c r="H123" s="260">
        <v>4</v>
      </c>
      <c r="I123" s="262" t="s">
        <v>581</v>
      </c>
      <c r="J123" s="112">
        <v>80</v>
      </c>
      <c r="K123" s="75">
        <v>360</v>
      </c>
      <c r="L123" s="75">
        <v>1450</v>
      </c>
      <c r="M123" s="202">
        <v>16.664194050140001</v>
      </c>
      <c r="N123" s="87">
        <v>4880.149241359969</v>
      </c>
      <c r="O123" s="123">
        <v>54591.420782091198</v>
      </c>
      <c r="P123" s="123">
        <v>58578.730859379328</v>
      </c>
      <c r="Q123" s="120">
        <v>20229.591837463206</v>
      </c>
      <c r="R123" s="123">
        <v>74821.0126195544</v>
      </c>
      <c r="S123" s="123">
        <v>78808.32269684253</v>
      </c>
      <c r="U123" s="7" t="s">
        <v>6324</v>
      </c>
    </row>
    <row r="124" spans="1:21" ht="16.5" thickBot="1">
      <c r="A124" s="259" t="s">
        <v>10</v>
      </c>
      <c r="B124" s="263">
        <f t="shared" si="6"/>
        <v>80</v>
      </c>
      <c r="C124" s="263" t="s">
        <v>3</v>
      </c>
      <c r="D124" s="263">
        <f t="shared" si="7"/>
        <v>360</v>
      </c>
      <c r="E124" s="263" t="s">
        <v>3</v>
      </c>
      <c r="F124" s="261">
        <f t="shared" si="8"/>
        <v>1500</v>
      </c>
      <c r="G124" s="263" t="s">
        <v>3</v>
      </c>
      <c r="H124" s="260">
        <v>4</v>
      </c>
      <c r="I124" s="262" t="s">
        <v>581</v>
      </c>
      <c r="J124" s="112">
        <v>80</v>
      </c>
      <c r="K124" s="75">
        <v>360</v>
      </c>
      <c r="L124" s="75">
        <v>1500</v>
      </c>
      <c r="M124" s="202">
        <v>17.78708887665487</v>
      </c>
      <c r="N124" s="87">
        <v>5101.9742068763298</v>
      </c>
      <c r="O124" s="123">
        <v>56442.148821340234</v>
      </c>
      <c r="P124" s="123">
        <v>60686.098891874557</v>
      </c>
      <c r="Q124" s="120">
        <v>21013.770756749404</v>
      </c>
      <c r="R124" s="123">
        <v>77455.919578089641</v>
      </c>
      <c r="S124" s="123">
        <v>81699.869648623964</v>
      </c>
      <c r="U124" s="7" t="s">
        <v>6325</v>
      </c>
    </row>
    <row r="125" spans="1:21" ht="16.5" thickBot="1">
      <c r="A125" s="259" t="s">
        <v>10</v>
      </c>
      <c r="B125" s="263">
        <f t="shared" si="6"/>
        <v>80</v>
      </c>
      <c r="C125" s="263" t="s">
        <v>3</v>
      </c>
      <c r="D125" s="263">
        <f t="shared" si="7"/>
        <v>360</v>
      </c>
      <c r="E125" s="263" t="s">
        <v>3</v>
      </c>
      <c r="F125" s="261">
        <f t="shared" si="8"/>
        <v>1550</v>
      </c>
      <c r="G125" s="263" t="s">
        <v>3</v>
      </c>
      <c r="H125" s="260">
        <v>4</v>
      </c>
      <c r="I125" s="262" t="s">
        <v>581</v>
      </c>
      <c r="J125" s="112">
        <v>80</v>
      </c>
      <c r="K125" s="75">
        <v>360</v>
      </c>
      <c r="L125" s="75">
        <v>1550</v>
      </c>
      <c r="M125" s="202">
        <v>18.360217754369739</v>
      </c>
      <c r="N125" s="87">
        <v>5323.7991723926934</v>
      </c>
      <c r="O125" s="123">
        <v>57729.209492725255</v>
      </c>
      <c r="P125" s="123">
        <v>62107.949749445856</v>
      </c>
      <c r="Q125" s="120">
        <v>21567.367898252327</v>
      </c>
      <c r="R125" s="123">
        <v>79296.577390977589</v>
      </c>
      <c r="S125" s="123">
        <v>83675.31764769819</v>
      </c>
      <c r="U125" s="7" t="s">
        <v>6326</v>
      </c>
    </row>
    <row r="126" spans="1:21" ht="16.5" thickBot="1">
      <c r="A126" s="259" t="s">
        <v>10</v>
      </c>
      <c r="B126" s="260">
        <f t="shared" si="6"/>
        <v>80</v>
      </c>
      <c r="C126" s="260" t="s">
        <v>3</v>
      </c>
      <c r="D126" s="260">
        <f t="shared" si="7"/>
        <v>360</v>
      </c>
      <c r="E126" s="260" t="s">
        <v>3</v>
      </c>
      <c r="F126" s="261">
        <f t="shared" si="8"/>
        <v>1600</v>
      </c>
      <c r="G126" s="260" t="s">
        <v>3</v>
      </c>
      <c r="H126" s="260">
        <v>4</v>
      </c>
      <c r="I126" s="262" t="s">
        <v>581</v>
      </c>
      <c r="J126" s="112">
        <v>80</v>
      </c>
      <c r="K126" s="75">
        <v>360</v>
      </c>
      <c r="L126" s="75">
        <v>1600</v>
      </c>
      <c r="M126" s="202">
        <v>18.864346632084604</v>
      </c>
      <c r="N126" s="87">
        <v>5545.6241379090552</v>
      </c>
      <c r="O126" s="123">
        <v>60962.311509868618</v>
      </c>
      <c r="P126" s="123">
        <v>65351.867874806587</v>
      </c>
      <c r="Q126" s="120">
        <v>22120.965039755254</v>
      </c>
      <c r="R126" s="123">
        <v>83083.276549623872</v>
      </c>
      <c r="S126" s="123">
        <v>87472.832914561848</v>
      </c>
      <c r="U126" s="7" t="s">
        <v>6327</v>
      </c>
    </row>
    <row r="127" spans="1:21" ht="16.5" thickBot="1">
      <c r="A127" s="259" t="s">
        <v>10</v>
      </c>
      <c r="B127" s="263">
        <f t="shared" si="6"/>
        <v>80</v>
      </c>
      <c r="C127" s="263" t="s">
        <v>3</v>
      </c>
      <c r="D127" s="263">
        <f t="shared" si="7"/>
        <v>360</v>
      </c>
      <c r="E127" s="263" t="s">
        <v>3</v>
      </c>
      <c r="F127" s="261">
        <f t="shared" si="8"/>
        <v>1650</v>
      </c>
      <c r="G127" s="263" t="s">
        <v>3</v>
      </c>
      <c r="H127" s="260">
        <v>4</v>
      </c>
      <c r="I127" s="262" t="s">
        <v>581</v>
      </c>
      <c r="J127" s="112">
        <v>80</v>
      </c>
      <c r="K127" s="75">
        <v>360</v>
      </c>
      <c r="L127" s="75">
        <v>1650</v>
      </c>
      <c r="M127" s="202">
        <v>19.406475509799474</v>
      </c>
      <c r="N127" s="87">
        <v>5767.4491034254179</v>
      </c>
      <c r="O127" s="123">
        <v>64447.673591311905</v>
      </c>
      <c r="P127" s="123">
        <v>68831.975783795991</v>
      </c>
      <c r="Q127" s="120">
        <v>22905.143959041456</v>
      </c>
      <c r="R127" s="123">
        <v>87352.817550353357</v>
      </c>
      <c r="S127" s="123">
        <v>91737.119742837443</v>
      </c>
      <c r="U127" s="7" t="s">
        <v>6328</v>
      </c>
    </row>
    <row r="128" spans="1:21" ht="16.5" thickBot="1">
      <c r="A128" s="259" t="s">
        <v>10</v>
      </c>
      <c r="B128" s="263">
        <f t="shared" si="6"/>
        <v>80</v>
      </c>
      <c r="C128" s="263" t="s">
        <v>3</v>
      </c>
      <c r="D128" s="263">
        <f t="shared" si="7"/>
        <v>360</v>
      </c>
      <c r="E128" s="263" t="s">
        <v>3</v>
      </c>
      <c r="F128" s="261">
        <f t="shared" si="8"/>
        <v>1700</v>
      </c>
      <c r="G128" s="263" t="s">
        <v>3</v>
      </c>
      <c r="H128" s="260">
        <v>4</v>
      </c>
      <c r="I128" s="262" t="s">
        <v>581</v>
      </c>
      <c r="J128" s="112">
        <v>80</v>
      </c>
      <c r="K128" s="75">
        <v>360</v>
      </c>
      <c r="L128" s="75">
        <v>1700</v>
      </c>
      <c r="M128" s="202">
        <v>19.910604387514343</v>
      </c>
      <c r="N128" s="87">
        <v>5989.2740689417806</v>
      </c>
      <c r="O128" s="123">
        <v>65529.586806312953</v>
      </c>
      <c r="P128" s="123">
        <v>70061.748325882101</v>
      </c>
      <c r="Q128" s="120">
        <v>23458.741100544379</v>
      </c>
      <c r="R128" s="123">
        <v>88988.327906857332</v>
      </c>
      <c r="S128" s="123">
        <v>93520.489426426473</v>
      </c>
      <c r="U128" s="7" t="s">
        <v>6329</v>
      </c>
    </row>
    <row r="129" spans="1:21" ht="16.5" thickBot="1">
      <c r="A129" s="259" t="s">
        <v>10</v>
      </c>
      <c r="B129" s="263">
        <f t="shared" si="6"/>
        <v>80</v>
      </c>
      <c r="C129" s="263" t="s">
        <v>3</v>
      </c>
      <c r="D129" s="263">
        <f t="shared" si="7"/>
        <v>360</v>
      </c>
      <c r="E129" s="263" t="s">
        <v>3</v>
      </c>
      <c r="F129" s="261">
        <f t="shared" si="8"/>
        <v>1750</v>
      </c>
      <c r="G129" s="263" t="s">
        <v>3</v>
      </c>
      <c r="H129" s="260">
        <v>4</v>
      </c>
      <c r="I129" s="262" t="s">
        <v>581</v>
      </c>
      <c r="J129" s="112">
        <v>80</v>
      </c>
      <c r="K129" s="75">
        <v>360</v>
      </c>
      <c r="L129" s="75">
        <v>1750</v>
      </c>
      <c r="M129" s="202">
        <v>20.414733265229209</v>
      </c>
      <c r="N129" s="87">
        <v>6211.0990344581423</v>
      </c>
      <c r="O129" s="123">
        <v>66535.34620400476</v>
      </c>
      <c r="P129" s="123">
        <v>71220.218469654152</v>
      </c>
      <c r="Q129" s="120">
        <v>24242.920019830581</v>
      </c>
      <c r="R129" s="123">
        <v>90778.266223835337</v>
      </c>
      <c r="S129" s="123">
        <v>95463.138489484729</v>
      </c>
      <c r="U129" s="7" t="s">
        <v>6330</v>
      </c>
    </row>
    <row r="130" spans="1:21" ht="16.5" thickBot="1">
      <c r="A130" s="259" t="s">
        <v>10</v>
      </c>
      <c r="B130" s="263">
        <f t="shared" si="6"/>
        <v>80</v>
      </c>
      <c r="C130" s="263" t="s">
        <v>3</v>
      </c>
      <c r="D130" s="263">
        <f t="shared" si="7"/>
        <v>360</v>
      </c>
      <c r="E130" s="263" t="s">
        <v>3</v>
      </c>
      <c r="F130" s="261">
        <f t="shared" si="8"/>
        <v>1800</v>
      </c>
      <c r="G130" s="263" t="s">
        <v>3</v>
      </c>
      <c r="H130" s="260">
        <v>4</v>
      </c>
      <c r="I130" s="262" t="s">
        <v>581</v>
      </c>
      <c r="J130" s="112">
        <v>80</v>
      </c>
      <c r="K130" s="75">
        <v>360</v>
      </c>
      <c r="L130" s="75">
        <v>1800</v>
      </c>
      <c r="M130" s="202">
        <v>20.987862142944081</v>
      </c>
      <c r="N130" s="87">
        <v>6432.9239999745032</v>
      </c>
      <c r="O130" s="123">
        <v>67617.955973654185</v>
      </c>
      <c r="P130" s="123">
        <v>72450.643054673041</v>
      </c>
      <c r="Q130" s="120">
        <v>24796.517161333504</v>
      </c>
      <c r="R130" s="123">
        <v>92414.473134987697</v>
      </c>
      <c r="S130" s="123">
        <v>97247.160216006538</v>
      </c>
      <c r="U130" s="7" t="s">
        <v>6331</v>
      </c>
    </row>
    <row r="131" spans="1:21" ht="16.5" thickBot="1">
      <c r="A131" s="259" t="s">
        <v>10</v>
      </c>
      <c r="B131" s="263">
        <f t="shared" si="6"/>
        <v>80</v>
      </c>
      <c r="C131" s="263" t="s">
        <v>3</v>
      </c>
      <c r="D131" s="263">
        <f t="shared" si="7"/>
        <v>360</v>
      </c>
      <c r="E131" s="263" t="s">
        <v>3</v>
      </c>
      <c r="F131" s="261">
        <f t="shared" si="8"/>
        <v>1850</v>
      </c>
      <c r="G131" s="263" t="s">
        <v>3</v>
      </c>
      <c r="H131" s="260">
        <v>4</v>
      </c>
      <c r="I131" s="262" t="s">
        <v>581</v>
      </c>
      <c r="J131" s="112">
        <v>80</v>
      </c>
      <c r="K131" s="75">
        <v>360</v>
      </c>
      <c r="L131" s="75">
        <v>1850</v>
      </c>
      <c r="M131" s="202">
        <v>21.553991020658952</v>
      </c>
      <c r="N131" s="87">
        <v>6654.7489654908668</v>
      </c>
      <c r="O131" s="123">
        <v>68700.517651557282</v>
      </c>
      <c r="P131" s="123">
        <v>73681.022769973293</v>
      </c>
      <c r="Q131" s="120">
        <v>25580.69622101307</v>
      </c>
      <c r="R131" s="123">
        <v>94281.213872570355</v>
      </c>
      <c r="S131" s="123">
        <v>99261.718990986366</v>
      </c>
      <c r="U131" s="7" t="s">
        <v>6332</v>
      </c>
    </row>
    <row r="132" spans="1:21" ht="16.5" thickBot="1">
      <c r="A132" s="259" t="s">
        <v>10</v>
      </c>
      <c r="B132" s="263">
        <f t="shared" si="6"/>
        <v>80</v>
      </c>
      <c r="C132" s="263" t="s">
        <v>3</v>
      </c>
      <c r="D132" s="263">
        <f t="shared" si="7"/>
        <v>360</v>
      </c>
      <c r="E132" s="263" t="s">
        <v>3</v>
      </c>
      <c r="F132" s="261">
        <f t="shared" si="8"/>
        <v>1900</v>
      </c>
      <c r="G132" s="263" t="s">
        <v>3</v>
      </c>
      <c r="H132" s="260">
        <v>4</v>
      </c>
      <c r="I132" s="262" t="s">
        <v>581</v>
      </c>
      <c r="J132" s="112">
        <v>80</v>
      </c>
      <c r="K132" s="75">
        <v>360</v>
      </c>
      <c r="L132" s="75">
        <v>1900</v>
      </c>
      <c r="M132" s="202">
        <v>22.058119898373821</v>
      </c>
      <c r="N132" s="87">
        <v>6876.5739310072295</v>
      </c>
      <c r="O132" s="123">
        <v>69958.133763418547</v>
      </c>
      <c r="P132" s="123">
        <v>75075.304765461842</v>
      </c>
      <c r="Q132" s="120">
        <v>26134.293362515993</v>
      </c>
      <c r="R132" s="123">
        <v>96092.427125934541</v>
      </c>
      <c r="S132" s="123">
        <v>101209.59812797784</v>
      </c>
      <c r="U132" s="7" t="s">
        <v>6333</v>
      </c>
    </row>
    <row r="133" spans="1:21" ht="16.5" thickBot="1">
      <c r="A133" s="259" t="s">
        <v>10</v>
      </c>
      <c r="B133" s="263">
        <f t="shared" si="6"/>
        <v>80</v>
      </c>
      <c r="C133" s="263" t="s">
        <v>3</v>
      </c>
      <c r="D133" s="263">
        <f t="shared" si="7"/>
        <v>360</v>
      </c>
      <c r="E133" s="263" t="s">
        <v>3</v>
      </c>
      <c r="F133" s="261">
        <f t="shared" si="8"/>
        <v>1950</v>
      </c>
      <c r="G133" s="263" t="s">
        <v>3</v>
      </c>
      <c r="H133" s="260">
        <v>4</v>
      </c>
      <c r="I133" s="262" t="s">
        <v>581</v>
      </c>
      <c r="J133" s="112">
        <v>80</v>
      </c>
      <c r="K133" s="75">
        <v>360</v>
      </c>
      <c r="L133" s="75">
        <v>1950</v>
      </c>
      <c r="M133" s="202">
        <v>22.715498776088683</v>
      </c>
      <c r="N133" s="87">
        <v>7098.3988965235912</v>
      </c>
      <c r="O133" s="123">
        <v>71399.196139970023</v>
      </c>
      <c r="P133" s="123">
        <v>76641.346611949426</v>
      </c>
      <c r="Q133" s="120">
        <v>26687.890504018917</v>
      </c>
      <c r="R133" s="123">
        <v>98087.086643988936</v>
      </c>
      <c r="S133" s="123">
        <v>103329.23711596834</v>
      </c>
      <c r="U133" s="7" t="s">
        <v>6334</v>
      </c>
    </row>
    <row r="134" spans="1:21" ht="16.5" thickBot="1">
      <c r="A134" s="259" t="s">
        <v>10</v>
      </c>
      <c r="B134" s="263">
        <f t="shared" si="6"/>
        <v>80</v>
      </c>
      <c r="C134" s="263" t="s">
        <v>3</v>
      </c>
      <c r="D134" s="263">
        <f t="shared" si="7"/>
        <v>360</v>
      </c>
      <c r="E134" s="263" t="s">
        <v>3</v>
      </c>
      <c r="F134" s="261">
        <f t="shared" si="8"/>
        <v>2000</v>
      </c>
      <c r="G134" s="263" t="s">
        <v>3</v>
      </c>
      <c r="H134" s="260">
        <v>4</v>
      </c>
      <c r="I134" s="262" t="s">
        <v>581</v>
      </c>
      <c r="J134" s="112">
        <v>80</v>
      </c>
      <c r="K134" s="75">
        <v>360</v>
      </c>
      <c r="L134" s="75">
        <v>2000</v>
      </c>
      <c r="M134" s="202">
        <v>23.311190053803553</v>
      </c>
      <c r="N134" s="87">
        <v>7320.2238620399521</v>
      </c>
      <c r="O134" s="123">
        <v>72688.039785999805</v>
      </c>
      <c r="P134" s="123">
        <v>78255.123872368029</v>
      </c>
      <c r="Q134" s="120">
        <v>27472.069423305118</v>
      </c>
      <c r="R134" s="123">
        <v>100160.10920930492</v>
      </c>
      <c r="S134" s="123">
        <v>105727.19329567315</v>
      </c>
      <c r="U134" s="7" t="s">
        <v>6335</v>
      </c>
    </row>
    <row r="135" spans="1:21" ht="16.5" thickBot="1">
      <c r="A135" s="259" t="s">
        <v>10</v>
      </c>
      <c r="B135" s="263">
        <f t="shared" si="6"/>
        <v>80</v>
      </c>
      <c r="C135" s="263" t="s">
        <v>3</v>
      </c>
      <c r="D135" s="263">
        <f t="shared" si="7"/>
        <v>360</v>
      </c>
      <c r="E135" s="263" t="s">
        <v>3</v>
      </c>
      <c r="F135" s="261">
        <f t="shared" si="8"/>
        <v>2050</v>
      </c>
      <c r="G135" s="263" t="s">
        <v>3</v>
      </c>
      <c r="H135" s="260">
        <v>4</v>
      </c>
      <c r="I135" s="262" t="s">
        <v>581</v>
      </c>
      <c r="J135" s="112">
        <v>80</v>
      </c>
      <c r="K135" s="75">
        <v>360</v>
      </c>
      <c r="L135" s="75">
        <v>2050</v>
      </c>
      <c r="M135" s="202">
        <v>23.815318931518423</v>
      </c>
      <c r="N135" s="87">
        <v>7542.0488275563148</v>
      </c>
      <c r="O135" s="123">
        <v>75914.571611387859</v>
      </c>
      <c r="P135" s="123">
        <v>81492.89055023613</v>
      </c>
      <c r="Q135" s="120">
        <v>28025.666564808042</v>
      </c>
      <c r="R135" s="123">
        <v>103940.2381761959</v>
      </c>
      <c r="S135" s="123">
        <v>109518.55711504417</v>
      </c>
      <c r="U135" s="7" t="s">
        <v>6336</v>
      </c>
    </row>
    <row r="136" spans="1:21" ht="16.5" thickBot="1">
      <c r="A136" s="259" t="s">
        <v>10</v>
      </c>
      <c r="B136" s="260">
        <f t="shared" si="6"/>
        <v>80</v>
      </c>
      <c r="C136" s="260" t="s">
        <v>3</v>
      </c>
      <c r="D136" s="260">
        <f t="shared" si="7"/>
        <v>360</v>
      </c>
      <c r="E136" s="260" t="s">
        <v>3</v>
      </c>
      <c r="F136" s="261">
        <f t="shared" si="8"/>
        <v>2100</v>
      </c>
      <c r="G136" s="260" t="s">
        <v>3</v>
      </c>
      <c r="H136" s="260">
        <v>4</v>
      </c>
      <c r="I136" s="262" t="s">
        <v>581</v>
      </c>
      <c r="J136" s="112">
        <v>80</v>
      </c>
      <c r="K136" s="75">
        <v>360</v>
      </c>
      <c r="L136" s="75">
        <v>2100</v>
      </c>
      <c r="M136" s="202">
        <v>24.319447809233289</v>
      </c>
      <c r="N136" s="87">
        <v>7763.8737930726766</v>
      </c>
      <c r="O136" s="123">
        <v>77059.063167117885</v>
      </c>
      <c r="P136" s="123">
        <v>82781.254710814959</v>
      </c>
      <c r="Q136" s="120">
        <v>28809.845484094247</v>
      </c>
      <c r="R136" s="123">
        <v>105868.90865121213</v>
      </c>
      <c r="S136" s="123">
        <v>111591.1001949092</v>
      </c>
      <c r="U136" s="7" t="s">
        <v>6337</v>
      </c>
    </row>
    <row r="137" spans="1:21" ht="16.5" thickBot="1">
      <c r="A137" s="259" t="s">
        <v>10</v>
      </c>
      <c r="B137" s="263">
        <f t="shared" si="6"/>
        <v>80</v>
      </c>
      <c r="C137" s="263" t="s">
        <v>3</v>
      </c>
      <c r="D137" s="263">
        <f t="shared" si="7"/>
        <v>360</v>
      </c>
      <c r="E137" s="263" t="s">
        <v>3</v>
      </c>
      <c r="F137" s="261">
        <f t="shared" si="8"/>
        <v>2150</v>
      </c>
      <c r="G137" s="263" t="s">
        <v>3</v>
      </c>
      <c r="H137" s="260">
        <v>4</v>
      </c>
      <c r="I137" s="262" t="s">
        <v>581</v>
      </c>
      <c r="J137" s="112">
        <v>80</v>
      </c>
      <c r="K137" s="75">
        <v>360</v>
      </c>
      <c r="L137" s="75">
        <v>2150</v>
      </c>
      <c r="M137" s="202">
        <v>24.947576686948153</v>
      </c>
      <c r="N137" s="87">
        <v>7985.6987585890392</v>
      </c>
      <c r="O137" s="123">
        <v>78351.17203985466</v>
      </c>
      <c r="P137" s="123">
        <v>84207.832282977222</v>
      </c>
      <c r="Q137" s="120">
        <v>29363.442625597167</v>
      </c>
      <c r="R137" s="123">
        <v>107714.61466545182</v>
      </c>
      <c r="S137" s="123">
        <v>113571.27490857439</v>
      </c>
      <c r="U137" s="7" t="s">
        <v>6338</v>
      </c>
    </row>
    <row r="138" spans="1:21" ht="16.5" thickBot="1">
      <c r="A138" s="259" t="s">
        <v>10</v>
      </c>
      <c r="B138" s="263">
        <f t="shared" si="6"/>
        <v>80</v>
      </c>
      <c r="C138" s="263" t="s">
        <v>3</v>
      </c>
      <c r="D138" s="263">
        <f t="shared" si="7"/>
        <v>360</v>
      </c>
      <c r="E138" s="263" t="s">
        <v>3</v>
      </c>
      <c r="F138" s="261">
        <f t="shared" si="8"/>
        <v>2200</v>
      </c>
      <c r="G138" s="263" t="s">
        <v>3</v>
      </c>
      <c r="H138" s="260">
        <v>4</v>
      </c>
      <c r="I138" s="262" t="s">
        <v>581</v>
      </c>
      <c r="J138" s="112">
        <v>80</v>
      </c>
      <c r="K138" s="75">
        <v>360</v>
      </c>
      <c r="L138" s="75">
        <v>2200</v>
      </c>
      <c r="M138" s="202">
        <v>25.451705564663023</v>
      </c>
      <c r="N138" s="87">
        <v>8207.5237241054019</v>
      </c>
      <c r="O138" s="123">
        <v>79643.232820845122</v>
      </c>
      <c r="P138" s="123">
        <v>85634.364627417774</v>
      </c>
      <c r="Q138" s="120">
        <v>30147.621544883372</v>
      </c>
      <c r="R138" s="123">
        <v>109790.85436572849</v>
      </c>
      <c r="S138" s="123">
        <v>115781.98617230114</v>
      </c>
      <c r="U138" s="7" t="s">
        <v>6339</v>
      </c>
    </row>
    <row r="139" spans="1:21" ht="16.5" thickBot="1">
      <c r="A139" s="259" t="s">
        <v>10</v>
      </c>
      <c r="B139" s="263">
        <f t="shared" si="6"/>
        <v>80</v>
      </c>
      <c r="C139" s="263" t="s">
        <v>3</v>
      </c>
      <c r="D139" s="263">
        <f t="shared" si="7"/>
        <v>360</v>
      </c>
      <c r="E139" s="263" t="s">
        <v>3</v>
      </c>
      <c r="F139" s="261">
        <f t="shared" si="8"/>
        <v>2250</v>
      </c>
      <c r="G139" s="263" t="s">
        <v>3</v>
      </c>
      <c r="H139" s="260">
        <v>4</v>
      </c>
      <c r="I139" s="262" t="s">
        <v>581</v>
      </c>
      <c r="J139" s="112">
        <v>80</v>
      </c>
      <c r="K139" s="75">
        <v>360</v>
      </c>
      <c r="L139" s="75">
        <v>2250</v>
      </c>
      <c r="M139" s="202">
        <v>25.955834442377899</v>
      </c>
      <c r="N139" s="87">
        <v>8429.3486896217637</v>
      </c>
      <c r="O139" s="123">
        <v>81254.904784517683</v>
      </c>
      <c r="P139" s="123">
        <v>87360.147087688412</v>
      </c>
      <c r="Q139" s="120">
        <v>30701.218686386295</v>
      </c>
      <c r="R139" s="123">
        <v>111956.12347090399</v>
      </c>
      <c r="S139" s="123">
        <v>118061.36577407471</v>
      </c>
      <c r="U139" s="7" t="s">
        <v>6340</v>
      </c>
    </row>
    <row r="140" spans="1:21" ht="16.5" thickBot="1">
      <c r="A140" s="259" t="s">
        <v>10</v>
      </c>
      <c r="B140" s="263">
        <f t="shared" si="6"/>
        <v>80</v>
      </c>
      <c r="C140" s="263" t="s">
        <v>3</v>
      </c>
      <c r="D140" s="263">
        <f t="shared" si="7"/>
        <v>360</v>
      </c>
      <c r="E140" s="263" t="s">
        <v>3</v>
      </c>
      <c r="F140" s="261">
        <f t="shared" si="8"/>
        <v>2300</v>
      </c>
      <c r="G140" s="263" t="s">
        <v>3</v>
      </c>
      <c r="H140" s="260">
        <v>4</v>
      </c>
      <c r="I140" s="262" t="s">
        <v>581</v>
      </c>
      <c r="J140" s="112">
        <v>80</v>
      </c>
      <c r="K140" s="75">
        <v>360</v>
      </c>
      <c r="L140" s="75">
        <v>2300</v>
      </c>
      <c r="M140" s="202">
        <v>26.459963320092761</v>
      </c>
      <c r="N140" s="87">
        <v>8651.1736551381255</v>
      </c>
      <c r="O140" s="123">
        <v>82304.060002207276</v>
      </c>
      <c r="P140" s="123">
        <v>88559.24855171793</v>
      </c>
      <c r="Q140" s="120">
        <v>31254.815827889219</v>
      </c>
      <c r="R140" s="123">
        <v>113558.8758300965</v>
      </c>
      <c r="S140" s="123">
        <v>119814.06437960715</v>
      </c>
      <c r="U140" s="7" t="s">
        <v>6341</v>
      </c>
    </row>
    <row r="141" spans="1:21" ht="16.5" thickBot="1">
      <c r="A141" s="259" t="s">
        <v>10</v>
      </c>
      <c r="B141" s="263">
        <f t="shared" si="6"/>
        <v>80</v>
      </c>
      <c r="C141" s="263" t="s">
        <v>3</v>
      </c>
      <c r="D141" s="263">
        <f t="shared" si="7"/>
        <v>360</v>
      </c>
      <c r="E141" s="263" t="s">
        <v>3</v>
      </c>
      <c r="F141" s="261">
        <f t="shared" si="8"/>
        <v>2350</v>
      </c>
      <c r="G141" s="263" t="s">
        <v>3</v>
      </c>
      <c r="H141" s="260">
        <v>4</v>
      </c>
      <c r="I141" s="262" t="s">
        <v>581</v>
      </c>
      <c r="J141" s="112">
        <v>80</v>
      </c>
      <c r="K141" s="75">
        <v>360</v>
      </c>
      <c r="L141" s="75">
        <v>2350</v>
      </c>
      <c r="M141" s="202">
        <v>26.964092197807631</v>
      </c>
      <c r="N141" s="87">
        <v>8872.9986206544891</v>
      </c>
      <c r="O141" s="123">
        <v>83353.167247484889</v>
      </c>
      <c r="P141" s="123">
        <v>89758.305026694463</v>
      </c>
      <c r="Q141" s="120">
        <v>32038.99474717542</v>
      </c>
      <c r="R141" s="123">
        <v>115392.1619946603</v>
      </c>
      <c r="S141" s="123">
        <v>121797.29977386989</v>
      </c>
      <c r="U141" s="7" t="s">
        <v>6342</v>
      </c>
    </row>
    <row r="142" spans="1:21" ht="16.5" thickBot="1">
      <c r="A142" s="259" t="s">
        <v>10</v>
      </c>
      <c r="B142" s="263">
        <f t="shared" si="6"/>
        <v>80</v>
      </c>
      <c r="C142" s="263" t="s">
        <v>3</v>
      </c>
      <c r="D142" s="263">
        <f t="shared" si="7"/>
        <v>360</v>
      </c>
      <c r="E142" s="263" t="s">
        <v>3</v>
      </c>
      <c r="F142" s="261">
        <f t="shared" si="8"/>
        <v>2400</v>
      </c>
      <c r="G142" s="263" t="s">
        <v>3</v>
      </c>
      <c r="H142" s="260">
        <v>4</v>
      </c>
      <c r="I142" s="262" t="s">
        <v>581</v>
      </c>
      <c r="J142" s="112">
        <v>80</v>
      </c>
      <c r="K142" s="75">
        <v>360</v>
      </c>
      <c r="L142" s="75">
        <v>2400</v>
      </c>
      <c r="M142" s="202">
        <v>27.4682210755225</v>
      </c>
      <c r="N142" s="87">
        <v>9094.8235861708508</v>
      </c>
      <c r="O142" s="123">
        <v>84402.226401016189</v>
      </c>
      <c r="P142" s="123">
        <v>90957.316393283603</v>
      </c>
      <c r="Q142" s="120">
        <v>32592.591888678344</v>
      </c>
      <c r="R142" s="123">
        <v>116994.81828969454</v>
      </c>
      <c r="S142" s="123">
        <v>123549.90828196195</v>
      </c>
      <c r="U142" s="7" t="s">
        <v>6343</v>
      </c>
    </row>
    <row r="143" spans="1:21" ht="16.5" thickBot="1">
      <c r="A143" s="259" t="s">
        <v>10</v>
      </c>
      <c r="B143" s="263">
        <f t="shared" si="6"/>
        <v>80</v>
      </c>
      <c r="C143" s="263" t="s">
        <v>3</v>
      </c>
      <c r="D143" s="263">
        <f t="shared" si="7"/>
        <v>360</v>
      </c>
      <c r="E143" s="263" t="s">
        <v>3</v>
      </c>
      <c r="F143" s="261">
        <f t="shared" si="8"/>
        <v>2450</v>
      </c>
      <c r="G143" s="263" t="s">
        <v>3</v>
      </c>
      <c r="H143" s="260">
        <v>4</v>
      </c>
      <c r="I143" s="262" t="s">
        <v>581</v>
      </c>
      <c r="J143" s="112">
        <v>80</v>
      </c>
      <c r="K143" s="75">
        <v>360</v>
      </c>
      <c r="L143" s="75">
        <v>2450</v>
      </c>
      <c r="M143" s="202">
        <v>28.70511590203737</v>
      </c>
      <c r="N143" s="87">
        <v>9316.6485516872126</v>
      </c>
      <c r="O143" s="123">
        <v>86014.904830665182</v>
      </c>
      <c r="P143" s="123">
        <v>92841.799945743653</v>
      </c>
      <c r="Q143" s="120">
        <v>33376.770807964545</v>
      </c>
      <c r="R143" s="123">
        <v>119391.67563862973</v>
      </c>
      <c r="S143" s="123">
        <v>126218.57075370819</v>
      </c>
      <c r="U143" s="7" t="s">
        <v>6344</v>
      </c>
    </row>
    <row r="144" spans="1:21" ht="16.5" thickBot="1">
      <c r="A144" s="259" t="s">
        <v>10</v>
      </c>
      <c r="B144" s="263">
        <f t="shared" si="6"/>
        <v>80</v>
      </c>
      <c r="C144" s="263" t="s">
        <v>3</v>
      </c>
      <c r="D144" s="263">
        <f t="shared" si="7"/>
        <v>360</v>
      </c>
      <c r="E144" s="263" t="s">
        <v>3</v>
      </c>
      <c r="F144" s="261">
        <f t="shared" si="8"/>
        <v>2500</v>
      </c>
      <c r="G144" s="263" t="s">
        <v>3</v>
      </c>
      <c r="H144" s="260">
        <v>4</v>
      </c>
      <c r="I144" s="262" t="s">
        <v>581</v>
      </c>
      <c r="J144" s="112">
        <v>80</v>
      </c>
      <c r="K144" s="75">
        <v>360</v>
      </c>
      <c r="L144" s="75">
        <v>2500</v>
      </c>
      <c r="M144" s="202">
        <v>29.226244779752236</v>
      </c>
      <c r="N144" s="87">
        <v>9538.4735172035744</v>
      </c>
      <c r="O144" s="123">
        <v>87063.867681369476</v>
      </c>
      <c r="P144" s="123">
        <v>94040.721334226779</v>
      </c>
      <c r="Q144" s="120">
        <v>33930.367949467472</v>
      </c>
      <c r="R144" s="123">
        <v>120994.23563083695</v>
      </c>
      <c r="S144" s="123">
        <v>127971.08928369425</v>
      </c>
      <c r="U144" s="7" t="s">
        <v>6345</v>
      </c>
    </row>
    <row r="145" spans="1:21" ht="16.5" thickBot="1">
      <c r="A145" s="259" t="s">
        <v>10</v>
      </c>
      <c r="B145" s="263">
        <f t="shared" si="6"/>
        <v>80</v>
      </c>
      <c r="C145" s="263" t="s">
        <v>3</v>
      </c>
      <c r="D145" s="263">
        <f t="shared" si="7"/>
        <v>360</v>
      </c>
      <c r="E145" s="263" t="s">
        <v>3</v>
      </c>
      <c r="F145" s="261">
        <f t="shared" si="8"/>
        <v>2550</v>
      </c>
      <c r="G145" s="263" t="s">
        <v>3</v>
      </c>
      <c r="H145" s="260">
        <v>4</v>
      </c>
      <c r="I145" s="262" t="s">
        <v>581</v>
      </c>
      <c r="J145" s="112">
        <v>80</v>
      </c>
      <c r="K145" s="75">
        <v>360</v>
      </c>
      <c r="L145" s="75">
        <v>2550</v>
      </c>
      <c r="M145" s="202">
        <v>29.730373657467105</v>
      </c>
      <c r="N145" s="87">
        <v>9760.298482719938</v>
      </c>
      <c r="O145" s="123">
        <v>91407.118377321123</v>
      </c>
      <c r="P145" s="123">
        <v>98324.065347059179</v>
      </c>
      <c r="Q145" s="120">
        <v>34714.547009147034</v>
      </c>
      <c r="R145" s="123">
        <v>126121.66538646816</v>
      </c>
      <c r="S145" s="123">
        <v>133038.61235620623</v>
      </c>
      <c r="U145" s="7" t="s">
        <v>6346</v>
      </c>
    </row>
    <row r="146" spans="1:21" ht="16.5" thickBot="1">
      <c r="A146" s="259" t="s">
        <v>10</v>
      </c>
      <c r="B146" s="260">
        <f t="shared" si="6"/>
        <v>80</v>
      </c>
      <c r="C146" s="260" t="s">
        <v>3</v>
      </c>
      <c r="D146" s="260">
        <f t="shared" si="7"/>
        <v>360</v>
      </c>
      <c r="E146" s="260" t="s">
        <v>3</v>
      </c>
      <c r="F146" s="261">
        <f t="shared" si="8"/>
        <v>2600</v>
      </c>
      <c r="G146" s="260" t="s">
        <v>3</v>
      </c>
      <c r="H146" s="260">
        <v>4</v>
      </c>
      <c r="I146" s="262" t="s">
        <v>581</v>
      </c>
      <c r="J146" s="112">
        <v>80</v>
      </c>
      <c r="K146" s="75">
        <v>360</v>
      </c>
      <c r="L146" s="75">
        <v>2600</v>
      </c>
      <c r="M146" s="202">
        <v>30.234502535181974</v>
      </c>
      <c r="N146" s="87">
        <v>9982.1234482362997</v>
      </c>
      <c r="O146" s="123">
        <v>92726.58870902624</v>
      </c>
      <c r="P146" s="123">
        <v>99776.261141886294</v>
      </c>
      <c r="Q146" s="120">
        <v>35268.144150649961</v>
      </c>
      <c r="R146" s="123">
        <v>127994.73285967621</v>
      </c>
      <c r="S146" s="123">
        <v>135044.40529253625</v>
      </c>
      <c r="U146" s="7" t="s">
        <v>6347</v>
      </c>
    </row>
    <row r="147" spans="1:21" ht="16.5" thickBot="1">
      <c r="A147" s="259" t="s">
        <v>10</v>
      </c>
      <c r="B147" s="263">
        <f t="shared" si="6"/>
        <v>80</v>
      </c>
      <c r="C147" s="263" t="s">
        <v>3</v>
      </c>
      <c r="D147" s="263">
        <f t="shared" si="7"/>
        <v>360</v>
      </c>
      <c r="E147" s="263" t="s">
        <v>3</v>
      </c>
      <c r="F147" s="261">
        <f t="shared" si="8"/>
        <v>2650</v>
      </c>
      <c r="G147" s="263" t="s">
        <v>3</v>
      </c>
      <c r="H147" s="260">
        <v>4</v>
      </c>
      <c r="I147" s="262" t="s">
        <v>581</v>
      </c>
      <c r="J147" s="112">
        <v>80</v>
      </c>
      <c r="K147" s="75">
        <v>360</v>
      </c>
      <c r="L147" s="75">
        <v>2650</v>
      </c>
      <c r="M147" s="202">
        <v>30.845631412896843</v>
      </c>
      <c r="N147" s="87">
        <v>10203.94841375266</v>
      </c>
      <c r="O147" s="123">
        <v>93615.439100087562</v>
      </c>
      <c r="P147" s="123">
        <v>100825.27005565281</v>
      </c>
      <c r="Q147" s="120">
        <v>36052.323069936159</v>
      </c>
      <c r="R147" s="123">
        <v>129667.76217002372</v>
      </c>
      <c r="S147" s="123">
        <v>136877.59312558896</v>
      </c>
      <c r="U147" s="7" t="s">
        <v>6348</v>
      </c>
    </row>
    <row r="148" spans="1:21" ht="16.5" thickBot="1">
      <c r="A148" s="259" t="s">
        <v>10</v>
      </c>
      <c r="B148" s="263">
        <f t="shared" si="6"/>
        <v>80</v>
      </c>
      <c r="C148" s="263" t="s">
        <v>3</v>
      </c>
      <c r="D148" s="263">
        <f t="shared" si="7"/>
        <v>360</v>
      </c>
      <c r="E148" s="263" t="s">
        <v>3</v>
      </c>
      <c r="F148" s="261">
        <f t="shared" si="8"/>
        <v>2700</v>
      </c>
      <c r="G148" s="263" t="s">
        <v>3</v>
      </c>
      <c r="H148" s="260">
        <v>4</v>
      </c>
      <c r="I148" s="262" t="s">
        <v>581</v>
      </c>
      <c r="J148" s="112">
        <v>80</v>
      </c>
      <c r="K148" s="75">
        <v>360</v>
      </c>
      <c r="L148" s="75">
        <v>2700</v>
      </c>
      <c r="M148" s="202">
        <v>31.389010290611711</v>
      </c>
      <c r="N148" s="87">
        <v>10425.773379269025</v>
      </c>
      <c r="O148" s="123">
        <v>94563.866095433565</v>
      </c>
      <c r="P148" s="123">
        <v>101930.06002510952</v>
      </c>
      <c r="Q148" s="120">
        <v>36605.920211439086</v>
      </c>
      <c r="R148" s="123">
        <v>131169.78630687264</v>
      </c>
      <c r="S148" s="123">
        <v>138535.98023654861</v>
      </c>
      <c r="U148" s="7" t="s">
        <v>6349</v>
      </c>
    </row>
    <row r="149" spans="1:21" ht="16.5" thickBot="1">
      <c r="A149" s="259" t="s">
        <v>10</v>
      </c>
      <c r="B149" s="263">
        <f t="shared" si="6"/>
        <v>80</v>
      </c>
      <c r="C149" s="263" t="s">
        <v>3</v>
      </c>
      <c r="D149" s="263">
        <f t="shared" si="7"/>
        <v>360</v>
      </c>
      <c r="E149" s="263" t="s">
        <v>3</v>
      </c>
      <c r="F149" s="261">
        <f t="shared" si="8"/>
        <v>2750</v>
      </c>
      <c r="G149" s="263" t="s">
        <v>3</v>
      </c>
      <c r="H149" s="260">
        <v>4</v>
      </c>
      <c r="I149" s="262" t="s">
        <v>581</v>
      </c>
      <c r="J149" s="112">
        <v>80</v>
      </c>
      <c r="K149" s="75">
        <v>360</v>
      </c>
      <c r="L149" s="75">
        <v>2750</v>
      </c>
      <c r="M149" s="202">
        <v>31.893139168326577</v>
      </c>
      <c r="N149" s="87">
        <v>10647.598344785387</v>
      </c>
      <c r="O149" s="123">
        <v>95534.374481738327</v>
      </c>
      <c r="P149" s="123">
        <v>103055.52479144571</v>
      </c>
      <c r="Q149" s="120">
        <v>37159.517352942006</v>
      </c>
      <c r="R149" s="123">
        <v>132693.89183468034</v>
      </c>
      <c r="S149" s="123">
        <v>140215.04214438773</v>
      </c>
      <c r="U149" s="7" t="s">
        <v>6350</v>
      </c>
    </row>
    <row r="150" spans="1:21" ht="16.5" thickBot="1">
      <c r="A150" s="259" t="s">
        <v>10</v>
      </c>
      <c r="B150" s="263">
        <f t="shared" si="6"/>
        <v>80</v>
      </c>
      <c r="C150" s="263" t="s">
        <v>3</v>
      </c>
      <c r="D150" s="263">
        <f t="shared" si="7"/>
        <v>360</v>
      </c>
      <c r="E150" s="263" t="s">
        <v>3</v>
      </c>
      <c r="F150" s="261">
        <f t="shared" si="8"/>
        <v>2800</v>
      </c>
      <c r="G150" s="263" t="s">
        <v>3</v>
      </c>
      <c r="H150" s="260">
        <v>4</v>
      </c>
      <c r="I150" s="262" t="s">
        <v>581</v>
      </c>
      <c r="J150" s="112">
        <v>80</v>
      </c>
      <c r="K150" s="75">
        <v>360</v>
      </c>
      <c r="L150" s="75">
        <v>2800</v>
      </c>
      <c r="M150" s="202">
        <v>32.397268046041447</v>
      </c>
      <c r="N150" s="87">
        <v>10869.423310301749</v>
      </c>
      <c r="O150" s="123">
        <v>96421.990478199194</v>
      </c>
      <c r="P150" s="123">
        <v>104103.37795195381</v>
      </c>
      <c r="Q150" s="120">
        <v>37943.696272228204</v>
      </c>
      <c r="R150" s="123">
        <v>134365.68675042741</v>
      </c>
      <c r="S150" s="123">
        <v>142047.074224182</v>
      </c>
      <c r="U150" s="7" t="s">
        <v>6351</v>
      </c>
    </row>
    <row r="151" spans="1:21" ht="16.5" thickBot="1">
      <c r="A151" s="259" t="s">
        <v>10</v>
      </c>
      <c r="B151" s="263">
        <f t="shared" si="6"/>
        <v>80</v>
      </c>
      <c r="C151" s="263" t="s">
        <v>3</v>
      </c>
      <c r="D151" s="263">
        <f t="shared" si="7"/>
        <v>360</v>
      </c>
      <c r="E151" s="263" t="s">
        <v>3</v>
      </c>
      <c r="F151" s="261">
        <f t="shared" si="8"/>
        <v>2850</v>
      </c>
      <c r="G151" s="263" t="s">
        <v>3</v>
      </c>
      <c r="H151" s="260">
        <v>4</v>
      </c>
      <c r="I151" s="262" t="s">
        <v>581</v>
      </c>
      <c r="J151" s="112">
        <v>80</v>
      </c>
      <c r="K151" s="75">
        <v>360</v>
      </c>
      <c r="L151" s="75">
        <v>2850</v>
      </c>
      <c r="M151" s="202">
        <v>32.901396923756316</v>
      </c>
      <c r="N151" s="87">
        <v>11091.24827581811</v>
      </c>
      <c r="O151" s="123">
        <v>97309.55850224811</v>
      </c>
      <c r="P151" s="123">
        <v>105151.18612340889</v>
      </c>
      <c r="Q151" s="120">
        <v>38497.293413731131</v>
      </c>
      <c r="R151" s="123">
        <v>135806.85191597923</v>
      </c>
      <c r="S151" s="123">
        <v>143648.47953714003</v>
      </c>
      <c r="U151" s="7" t="s">
        <v>6352</v>
      </c>
    </row>
    <row r="152" spans="1:21" ht="16.5" thickBot="1">
      <c r="A152" s="259" t="s">
        <v>10</v>
      </c>
      <c r="B152" s="263">
        <f t="shared" si="6"/>
        <v>80</v>
      </c>
      <c r="C152" s="263" t="s">
        <v>3</v>
      </c>
      <c r="D152" s="263">
        <f t="shared" si="7"/>
        <v>360</v>
      </c>
      <c r="E152" s="263" t="s">
        <v>3</v>
      </c>
      <c r="F152" s="261">
        <f t="shared" si="8"/>
        <v>2900</v>
      </c>
      <c r="G152" s="263" t="s">
        <v>3</v>
      </c>
      <c r="H152" s="260">
        <v>4</v>
      </c>
      <c r="I152" s="262" t="s">
        <v>581</v>
      </c>
      <c r="J152" s="112">
        <v>80</v>
      </c>
      <c r="K152" s="75">
        <v>360</v>
      </c>
      <c r="L152" s="75">
        <v>2900</v>
      </c>
      <c r="M152" s="202">
        <v>33.58152580147118</v>
      </c>
      <c r="N152" s="87">
        <v>11313.073241334472</v>
      </c>
      <c r="O152" s="123">
        <v>98197.078434550698</v>
      </c>
      <c r="P152" s="123">
        <v>106198.94930581094</v>
      </c>
      <c r="Q152" s="120">
        <v>39281.472333017329</v>
      </c>
      <c r="R152" s="123">
        <v>137478.55076756803</v>
      </c>
      <c r="S152" s="123">
        <v>145480.42163882827</v>
      </c>
      <c r="U152" s="7" t="s">
        <v>6353</v>
      </c>
    </row>
    <row r="153" spans="1:21" ht="16.5" thickBot="1">
      <c r="A153" s="259" t="s">
        <v>10</v>
      </c>
      <c r="B153" s="263">
        <f t="shared" si="6"/>
        <v>80</v>
      </c>
      <c r="C153" s="263" t="s">
        <v>3</v>
      </c>
      <c r="D153" s="263">
        <f t="shared" si="7"/>
        <v>360</v>
      </c>
      <c r="E153" s="263" t="s">
        <v>3</v>
      </c>
      <c r="F153" s="261">
        <f t="shared" si="8"/>
        <v>2950</v>
      </c>
      <c r="G153" s="263" t="s">
        <v>3</v>
      </c>
      <c r="H153" s="260">
        <v>4</v>
      </c>
      <c r="I153" s="262" t="s">
        <v>581</v>
      </c>
      <c r="J153" s="112">
        <v>80</v>
      </c>
      <c r="K153" s="75">
        <v>360</v>
      </c>
      <c r="L153" s="75">
        <v>2950</v>
      </c>
      <c r="M153" s="202">
        <v>34.08565467918605</v>
      </c>
      <c r="N153" s="87">
        <v>11534.898206850836</v>
      </c>
      <c r="O153" s="123">
        <v>99084.550155772609</v>
      </c>
      <c r="P153" s="123">
        <v>107246.66737982564</v>
      </c>
      <c r="Q153" s="120">
        <v>39835.069474520256</v>
      </c>
      <c r="R153" s="123">
        <v>138919.61963029287</v>
      </c>
      <c r="S153" s="123">
        <v>147081.73685434589</v>
      </c>
      <c r="U153" s="7" t="s">
        <v>6354</v>
      </c>
    </row>
    <row r="154" spans="1:21" ht="16.5" thickBot="1">
      <c r="A154" s="264" t="s">
        <v>10</v>
      </c>
      <c r="B154" s="265">
        <f t="shared" si="6"/>
        <v>80</v>
      </c>
      <c r="C154" s="265" t="s">
        <v>3</v>
      </c>
      <c r="D154" s="265">
        <f t="shared" si="7"/>
        <v>360</v>
      </c>
      <c r="E154" s="265" t="s">
        <v>3</v>
      </c>
      <c r="F154" s="266">
        <f t="shared" si="8"/>
        <v>3000</v>
      </c>
      <c r="G154" s="265" t="s">
        <v>3</v>
      </c>
      <c r="H154" s="267">
        <v>4</v>
      </c>
      <c r="I154" s="262" t="s">
        <v>581</v>
      </c>
      <c r="J154" s="346">
        <v>80</v>
      </c>
      <c r="K154" s="322">
        <v>360</v>
      </c>
      <c r="L154" s="322">
        <v>3000</v>
      </c>
      <c r="M154" s="305">
        <v>34.651783556900916</v>
      </c>
      <c r="N154" s="306">
        <v>11756.723172367198</v>
      </c>
      <c r="O154" s="307">
        <v>101688.81070336506</v>
      </c>
      <c r="P154" s="307">
        <v>109901.80481832674</v>
      </c>
      <c r="Q154" s="308">
        <v>40619.248393806454</v>
      </c>
      <c r="R154" s="307">
        <v>142308.05909717153</v>
      </c>
      <c r="S154" s="307">
        <v>150521.05321213318</v>
      </c>
      <c r="U154" s="7" t="s">
        <v>6355</v>
      </c>
    </row>
    <row r="155" spans="1:21" ht="22.5" customHeight="1" thickBot="1">
      <c r="A155" s="2580" t="s">
        <v>518</v>
      </c>
      <c r="B155" s="2581"/>
      <c r="C155" s="2581"/>
      <c r="D155" s="2581"/>
      <c r="E155" s="2581"/>
      <c r="F155" s="2581"/>
      <c r="G155" s="2581"/>
      <c r="H155" s="2581"/>
      <c r="I155" s="2581"/>
      <c r="J155" s="2581"/>
      <c r="K155" s="2581"/>
      <c r="L155" s="2581"/>
      <c r="M155" s="2581"/>
      <c r="N155" s="2581"/>
      <c r="O155" s="2581"/>
      <c r="P155" s="2581"/>
      <c r="Q155" s="2581"/>
      <c r="R155" s="2581"/>
      <c r="S155" s="2582"/>
      <c r="U155" s="7"/>
    </row>
    <row r="156" spans="1:21" ht="16.5" thickBot="1">
      <c r="A156" s="2583" t="s">
        <v>135</v>
      </c>
      <c r="B156" s="2584"/>
      <c r="C156" s="2584"/>
      <c r="D156" s="2584"/>
      <c r="E156" s="2584"/>
      <c r="F156" s="2584"/>
      <c r="G156" s="2584"/>
      <c r="H156" s="2584"/>
      <c r="I156" s="2584"/>
      <c r="J156" s="2584"/>
      <c r="K156" s="2584"/>
      <c r="L156" s="2584"/>
      <c r="M156" s="2584"/>
      <c r="N156" s="2584"/>
      <c r="O156" s="2584"/>
      <c r="P156" s="2584"/>
      <c r="Q156" s="2584"/>
      <c r="R156" s="2584"/>
      <c r="S156" s="2585"/>
      <c r="U156" s="7"/>
    </row>
    <row r="157" spans="1:21" ht="16.5" thickBot="1">
      <c r="A157" s="259" t="s">
        <v>10</v>
      </c>
      <c r="B157" s="260">
        <f t="shared" ref="B157:B203" si="9">J157</f>
        <v>80</v>
      </c>
      <c r="C157" s="260" t="s">
        <v>3</v>
      </c>
      <c r="D157" s="260">
        <f t="shared" ref="D157:D203" si="10">K157</f>
        <v>400</v>
      </c>
      <c r="E157" s="260" t="s">
        <v>3</v>
      </c>
      <c r="F157" s="261">
        <f t="shared" ref="F157:F203" si="11">L157</f>
        <v>700</v>
      </c>
      <c r="G157" s="260" t="s">
        <v>3</v>
      </c>
      <c r="H157" s="260">
        <v>4</v>
      </c>
      <c r="I157" s="262" t="s">
        <v>581</v>
      </c>
      <c r="J157" s="344">
        <v>80</v>
      </c>
      <c r="K157" s="327">
        <v>400</v>
      </c>
      <c r="L157" s="327">
        <v>700</v>
      </c>
      <c r="M157" s="301">
        <v>10.016169898570789</v>
      </c>
      <c r="N157" s="302">
        <v>1693.2988799999998</v>
      </c>
      <c r="O157" s="303">
        <v>29685.605380426357</v>
      </c>
      <c r="P157" s="303">
        <v>37980.675638222325</v>
      </c>
      <c r="Q157" s="304">
        <v>11307.066052331927</v>
      </c>
      <c r="R157" s="303">
        <v>40992.671432758289</v>
      </c>
      <c r="S157" s="303">
        <v>49287.741690554249</v>
      </c>
      <c r="U157" s="7" t="s">
        <v>6356</v>
      </c>
    </row>
    <row r="158" spans="1:21" ht="16.5" thickBot="1">
      <c r="A158" s="259" t="s">
        <v>10</v>
      </c>
      <c r="B158" s="263">
        <f t="shared" si="9"/>
        <v>80</v>
      </c>
      <c r="C158" s="263" t="s">
        <v>3</v>
      </c>
      <c r="D158" s="263">
        <f t="shared" si="10"/>
        <v>400</v>
      </c>
      <c r="E158" s="263" t="s">
        <v>3</v>
      </c>
      <c r="F158" s="261">
        <f t="shared" si="11"/>
        <v>750</v>
      </c>
      <c r="G158" s="263" t="s">
        <v>3</v>
      </c>
      <c r="H158" s="260">
        <v>4</v>
      </c>
      <c r="I158" s="262" t="s">
        <v>581</v>
      </c>
      <c r="J158" s="112">
        <v>80</v>
      </c>
      <c r="K158" s="75">
        <v>400</v>
      </c>
      <c r="L158" s="75">
        <v>750</v>
      </c>
      <c r="M158" s="202">
        <v>10.763905427684737</v>
      </c>
      <c r="N158" s="87">
        <v>1935.1987200000001</v>
      </c>
      <c r="O158" s="123">
        <v>31493.711482990035</v>
      </c>
      <c r="P158" s="123">
        <v>38875.806835220486</v>
      </c>
      <c r="Q158" s="120">
        <v>11909.457889725263</v>
      </c>
      <c r="R158" s="123">
        <v>43403.169372715296</v>
      </c>
      <c r="S158" s="123">
        <v>50785.264724945751</v>
      </c>
      <c r="U158" s="7" t="s">
        <v>6357</v>
      </c>
    </row>
    <row r="159" spans="1:21" ht="16.5" thickBot="1">
      <c r="A159" s="259" t="s">
        <v>10</v>
      </c>
      <c r="B159" s="263">
        <f t="shared" si="9"/>
        <v>80</v>
      </c>
      <c r="C159" s="263" t="s">
        <v>3</v>
      </c>
      <c r="D159" s="263">
        <f t="shared" si="10"/>
        <v>400</v>
      </c>
      <c r="E159" s="263" t="s">
        <v>3</v>
      </c>
      <c r="F159" s="261">
        <f t="shared" si="11"/>
        <v>800</v>
      </c>
      <c r="G159" s="263" t="s">
        <v>3</v>
      </c>
      <c r="H159" s="260">
        <v>4</v>
      </c>
      <c r="I159" s="262" t="s">
        <v>581</v>
      </c>
      <c r="J159" s="112">
        <v>80</v>
      </c>
      <c r="K159" s="75">
        <v>400</v>
      </c>
      <c r="L159" s="75">
        <v>800</v>
      </c>
      <c r="M159" s="202">
        <v>11.392640956798683</v>
      </c>
      <c r="N159" s="87">
        <v>2177.0985599999999</v>
      </c>
      <c r="O159" s="123">
        <v>33302.422372080691</v>
      </c>
      <c r="P159" s="123">
        <v>39762.910648616293</v>
      </c>
      <c r="Q159" s="120">
        <v>12511.84958672524</v>
      </c>
      <c r="R159" s="123">
        <v>45814.271958805934</v>
      </c>
      <c r="S159" s="123">
        <v>52274.760235341535</v>
      </c>
      <c r="U159" s="7" t="s">
        <v>6358</v>
      </c>
    </row>
    <row r="160" spans="1:21" ht="16.5" thickBot="1">
      <c r="A160" s="259" t="s">
        <v>10</v>
      </c>
      <c r="B160" s="263">
        <f t="shared" si="9"/>
        <v>80</v>
      </c>
      <c r="C160" s="263" t="s">
        <v>3</v>
      </c>
      <c r="D160" s="263">
        <f t="shared" si="10"/>
        <v>400</v>
      </c>
      <c r="E160" s="263" t="s">
        <v>3</v>
      </c>
      <c r="F160" s="261">
        <f t="shared" si="11"/>
        <v>850</v>
      </c>
      <c r="G160" s="263" t="s">
        <v>3</v>
      </c>
      <c r="H160" s="260">
        <v>4</v>
      </c>
      <c r="I160" s="262" t="s">
        <v>581</v>
      </c>
      <c r="J160" s="112">
        <v>80</v>
      </c>
      <c r="K160" s="75">
        <v>400</v>
      </c>
      <c r="L160" s="75">
        <v>850</v>
      </c>
      <c r="M160" s="202">
        <v>12.021376485912629</v>
      </c>
      <c r="N160" s="87">
        <v>2418.9983999999999</v>
      </c>
      <c r="O160" s="123">
        <v>35111.1333805057</v>
      </c>
      <c r="P160" s="123">
        <v>40650.014581346455</v>
      </c>
      <c r="Q160" s="120">
        <v>13344.823201901852</v>
      </c>
      <c r="R160" s="123">
        <v>48455.956582407554</v>
      </c>
      <c r="S160" s="123">
        <v>53994.837783248309</v>
      </c>
      <c r="U160" s="7" t="s">
        <v>6359</v>
      </c>
    </row>
    <row r="161" spans="1:21" ht="16.5" thickBot="1">
      <c r="A161" s="259" t="s">
        <v>10</v>
      </c>
      <c r="B161" s="263">
        <f t="shared" si="9"/>
        <v>80</v>
      </c>
      <c r="C161" s="263" t="s">
        <v>3</v>
      </c>
      <c r="D161" s="263">
        <f t="shared" si="10"/>
        <v>400</v>
      </c>
      <c r="E161" s="263" t="s">
        <v>3</v>
      </c>
      <c r="F161" s="261">
        <f t="shared" si="11"/>
        <v>900</v>
      </c>
      <c r="G161" s="263" t="s">
        <v>3</v>
      </c>
      <c r="H161" s="260">
        <v>4</v>
      </c>
      <c r="I161" s="262" t="s">
        <v>581</v>
      </c>
      <c r="J161" s="112">
        <v>80</v>
      </c>
      <c r="K161" s="75">
        <v>400</v>
      </c>
      <c r="L161" s="75">
        <v>900</v>
      </c>
      <c r="M161" s="202">
        <v>12.688112015026579</v>
      </c>
      <c r="N161" s="87">
        <v>2660.89824</v>
      </c>
      <c r="O161" s="123">
        <v>36919.84426959636</v>
      </c>
      <c r="P161" s="123">
        <v>41548.585949220651</v>
      </c>
      <c r="Q161" s="120">
        <v>13947.21489890183</v>
      </c>
      <c r="R161" s="123">
        <v>50867.059168498192</v>
      </c>
      <c r="S161" s="123">
        <v>55495.800848122482</v>
      </c>
      <c r="U161" s="7" t="s">
        <v>6360</v>
      </c>
    </row>
    <row r="162" spans="1:21" ht="16.5" thickBot="1">
      <c r="A162" s="259" t="s">
        <v>10</v>
      </c>
      <c r="B162" s="263">
        <f t="shared" si="9"/>
        <v>80</v>
      </c>
      <c r="C162" s="263" t="s">
        <v>3</v>
      </c>
      <c r="D162" s="263">
        <f t="shared" si="10"/>
        <v>400</v>
      </c>
      <c r="E162" s="263" t="s">
        <v>3</v>
      </c>
      <c r="F162" s="261">
        <f t="shared" si="11"/>
        <v>950</v>
      </c>
      <c r="G162" s="263" t="s">
        <v>3</v>
      </c>
      <c r="H162" s="260">
        <v>4</v>
      </c>
      <c r="I162" s="262" t="s">
        <v>581</v>
      </c>
      <c r="J162" s="112">
        <v>80</v>
      </c>
      <c r="K162" s="75">
        <v>400</v>
      </c>
      <c r="L162" s="75">
        <v>950</v>
      </c>
      <c r="M162" s="202">
        <v>13.385847544140526</v>
      </c>
      <c r="N162" s="87">
        <v>2902.79808</v>
      </c>
      <c r="O162" s="123">
        <v>38728.555278021362</v>
      </c>
      <c r="P162" s="123">
        <v>42435.689881950813</v>
      </c>
      <c r="Q162" s="120">
        <v>14780.188514078442</v>
      </c>
      <c r="R162" s="123">
        <v>53508.743792099805</v>
      </c>
      <c r="S162" s="123">
        <v>57215.878396029257</v>
      </c>
      <c r="U162" s="7" t="s">
        <v>6361</v>
      </c>
    </row>
    <row r="163" spans="1:21" ht="16.5" thickBot="1">
      <c r="A163" s="259" t="s">
        <v>10</v>
      </c>
      <c r="B163" s="263">
        <f t="shared" si="9"/>
        <v>80</v>
      </c>
      <c r="C163" s="263" t="s">
        <v>3</v>
      </c>
      <c r="D163" s="263">
        <f t="shared" si="10"/>
        <v>400</v>
      </c>
      <c r="E163" s="263" t="s">
        <v>3</v>
      </c>
      <c r="F163" s="261">
        <f t="shared" si="11"/>
        <v>1000</v>
      </c>
      <c r="G163" s="263" t="s">
        <v>3</v>
      </c>
      <c r="H163" s="260">
        <v>4</v>
      </c>
      <c r="I163" s="262" t="s">
        <v>581</v>
      </c>
      <c r="J163" s="112">
        <v>80</v>
      </c>
      <c r="K163" s="75">
        <v>400</v>
      </c>
      <c r="L163" s="75">
        <v>1000</v>
      </c>
      <c r="M163" s="202">
        <v>14.014583073254474</v>
      </c>
      <c r="N163" s="87">
        <v>3144.6979200000001</v>
      </c>
      <c r="O163" s="123">
        <v>40442.134129492712</v>
      </c>
      <c r="P163" s="123">
        <v>43327.380788738592</v>
      </c>
      <c r="Q163" s="120">
        <v>15382.580351471779</v>
      </c>
      <c r="R163" s="123">
        <v>55824.714480964489</v>
      </c>
      <c r="S163" s="123">
        <v>58709.961140210369</v>
      </c>
      <c r="U163" s="7" t="s">
        <v>6362</v>
      </c>
    </row>
    <row r="164" spans="1:21" ht="16.5" thickBot="1">
      <c r="A164" s="259" t="s">
        <v>10</v>
      </c>
      <c r="B164" s="263">
        <f t="shared" si="9"/>
        <v>80</v>
      </c>
      <c r="C164" s="263" t="s">
        <v>3</v>
      </c>
      <c r="D164" s="263">
        <f t="shared" si="10"/>
        <v>400</v>
      </c>
      <c r="E164" s="263" t="s">
        <v>3</v>
      </c>
      <c r="F164" s="261">
        <f t="shared" si="11"/>
        <v>1050</v>
      </c>
      <c r="G164" s="263" t="s">
        <v>3</v>
      </c>
      <c r="H164" s="260">
        <v>4</v>
      </c>
      <c r="I164" s="262" t="s">
        <v>581</v>
      </c>
      <c r="J164" s="112">
        <v>80</v>
      </c>
      <c r="K164" s="75">
        <v>400</v>
      </c>
      <c r="L164" s="75">
        <v>1050</v>
      </c>
      <c r="M164" s="202">
        <v>14.643318602368421</v>
      </c>
      <c r="N164" s="87">
        <v>3386.5977599999997</v>
      </c>
      <c r="O164" s="123">
        <v>42476.783742180378</v>
      </c>
      <c r="P164" s="123">
        <v>44221.365182555171</v>
      </c>
      <c r="Q164" s="120">
        <v>16215.553826255029</v>
      </c>
      <c r="R164" s="123">
        <v>58692.337568435411</v>
      </c>
      <c r="S164" s="123">
        <v>60436.919008810204</v>
      </c>
      <c r="U164" s="7" t="s">
        <v>6363</v>
      </c>
    </row>
    <row r="165" spans="1:21" ht="16.5" thickBot="1">
      <c r="A165" s="259" t="s">
        <v>10</v>
      </c>
      <c r="B165" s="260">
        <f t="shared" si="9"/>
        <v>80</v>
      </c>
      <c r="C165" s="260" t="s">
        <v>3</v>
      </c>
      <c r="D165" s="260">
        <f t="shared" si="10"/>
        <v>400</v>
      </c>
      <c r="E165" s="260" t="s">
        <v>3</v>
      </c>
      <c r="F165" s="261">
        <f t="shared" si="11"/>
        <v>1100</v>
      </c>
      <c r="G165" s="260" t="s">
        <v>3</v>
      </c>
      <c r="H165" s="260">
        <v>4</v>
      </c>
      <c r="I165" s="262" t="s">
        <v>581</v>
      </c>
      <c r="J165" s="112">
        <v>80</v>
      </c>
      <c r="K165" s="75">
        <v>400</v>
      </c>
      <c r="L165" s="75">
        <v>1100</v>
      </c>
      <c r="M165" s="202">
        <v>15.272054131482367</v>
      </c>
      <c r="N165" s="87">
        <v>3628.4975999999997</v>
      </c>
      <c r="O165" s="123">
        <v>44285.494631271031</v>
      </c>
      <c r="P165" s="123">
        <v>63396.638260810061</v>
      </c>
      <c r="Q165" s="120">
        <v>16817.945663648366</v>
      </c>
      <c r="R165" s="123">
        <v>61103.440294919397</v>
      </c>
      <c r="S165" s="123">
        <v>80214.58392445842</v>
      </c>
      <c r="U165" s="7" t="s">
        <v>6364</v>
      </c>
    </row>
    <row r="166" spans="1:21" ht="16.5" thickBot="1">
      <c r="A166" s="259" t="s">
        <v>10</v>
      </c>
      <c r="B166" s="263">
        <f t="shared" si="9"/>
        <v>80</v>
      </c>
      <c r="C166" s="263" t="s">
        <v>3</v>
      </c>
      <c r="D166" s="263">
        <f t="shared" si="10"/>
        <v>400</v>
      </c>
      <c r="E166" s="263" t="s">
        <v>3</v>
      </c>
      <c r="F166" s="261">
        <f t="shared" si="11"/>
        <v>1150</v>
      </c>
      <c r="G166" s="263" t="s">
        <v>3</v>
      </c>
      <c r="H166" s="260">
        <v>4</v>
      </c>
      <c r="I166" s="262" t="s">
        <v>581</v>
      </c>
      <c r="J166" s="112">
        <v>80</v>
      </c>
      <c r="K166" s="75">
        <v>400</v>
      </c>
      <c r="L166" s="75">
        <v>1150</v>
      </c>
      <c r="M166" s="202">
        <v>15.900789660596317</v>
      </c>
      <c r="N166" s="87">
        <v>3870.3974400000002</v>
      </c>
      <c r="O166" s="123">
        <v>45338.86306780859</v>
      </c>
      <c r="P166" s="123">
        <v>63416.689535668374</v>
      </c>
      <c r="Q166" s="120">
        <v>17420.33736064834</v>
      </c>
      <c r="R166" s="123">
        <v>62759.200428456927</v>
      </c>
      <c r="S166" s="123">
        <v>80837.026896316718</v>
      </c>
      <c r="U166" s="7" t="s">
        <v>6365</v>
      </c>
    </row>
    <row r="167" spans="1:21" ht="16.5" thickBot="1">
      <c r="A167" s="259" t="s">
        <v>10</v>
      </c>
      <c r="B167" s="263">
        <f t="shared" si="9"/>
        <v>80</v>
      </c>
      <c r="C167" s="263" t="s">
        <v>3</v>
      </c>
      <c r="D167" s="263">
        <f t="shared" si="10"/>
        <v>400</v>
      </c>
      <c r="E167" s="263" t="s">
        <v>3</v>
      </c>
      <c r="F167" s="261">
        <f t="shared" si="11"/>
        <v>1200</v>
      </c>
      <c r="G167" s="263" t="s">
        <v>3</v>
      </c>
      <c r="H167" s="260">
        <v>4</v>
      </c>
      <c r="I167" s="262" t="s">
        <v>581</v>
      </c>
      <c r="J167" s="112">
        <v>80</v>
      </c>
      <c r="K167" s="75">
        <v>400</v>
      </c>
      <c r="L167" s="75">
        <v>1200</v>
      </c>
      <c r="M167" s="202">
        <v>16.784025189710263</v>
      </c>
      <c r="N167" s="87">
        <v>4112.2972799999998</v>
      </c>
      <c r="O167" s="123">
        <v>46451.615622311161</v>
      </c>
      <c r="P167" s="123">
        <v>63492.045602793565</v>
      </c>
      <c r="Q167" s="120">
        <v>18253.310975824952</v>
      </c>
      <c r="R167" s="123">
        <v>64704.92659813611</v>
      </c>
      <c r="S167" s="123">
        <v>81745.356578618521</v>
      </c>
      <c r="U167" s="7" t="s">
        <v>6366</v>
      </c>
    </row>
    <row r="168" spans="1:21" ht="16.5" thickBot="1">
      <c r="A168" s="259" t="s">
        <v>10</v>
      </c>
      <c r="B168" s="263">
        <f t="shared" si="9"/>
        <v>80</v>
      </c>
      <c r="C168" s="263" t="s">
        <v>3</v>
      </c>
      <c r="D168" s="263">
        <f t="shared" si="10"/>
        <v>400</v>
      </c>
      <c r="E168" s="263" t="s">
        <v>3</v>
      </c>
      <c r="F168" s="261">
        <f t="shared" si="11"/>
        <v>1250</v>
      </c>
      <c r="G168" s="263" t="s">
        <v>3</v>
      </c>
      <c r="H168" s="260">
        <v>4</v>
      </c>
      <c r="I168" s="262" t="s">
        <v>581</v>
      </c>
      <c r="J168" s="112">
        <v>80</v>
      </c>
      <c r="K168" s="75">
        <v>400</v>
      </c>
      <c r="L168" s="75">
        <v>1250</v>
      </c>
      <c r="M168" s="202">
        <v>17.41276071882421</v>
      </c>
      <c r="N168" s="87">
        <v>4354.1971199999998</v>
      </c>
      <c r="O168" s="123">
        <v>47504.503022051118</v>
      </c>
      <c r="P168" s="123">
        <v>63504.642895640311</v>
      </c>
      <c r="Q168" s="120">
        <v>18855.702672824929</v>
      </c>
      <c r="R168" s="123">
        <v>66360.205694876044</v>
      </c>
      <c r="S168" s="123">
        <v>82360.345568465244</v>
      </c>
      <c r="U168" s="7" t="s">
        <v>6367</v>
      </c>
    </row>
    <row r="169" spans="1:21" ht="16.5" thickBot="1">
      <c r="A169" s="259" t="s">
        <v>10</v>
      </c>
      <c r="B169" s="263">
        <f t="shared" si="9"/>
        <v>80</v>
      </c>
      <c r="C169" s="263" t="s">
        <v>3</v>
      </c>
      <c r="D169" s="263">
        <f t="shared" si="10"/>
        <v>400</v>
      </c>
      <c r="E169" s="263" t="s">
        <v>3</v>
      </c>
      <c r="F169" s="261">
        <f t="shared" si="11"/>
        <v>1300</v>
      </c>
      <c r="G169" s="263" t="s">
        <v>3</v>
      </c>
      <c r="H169" s="260">
        <v>4</v>
      </c>
      <c r="I169" s="262" t="s">
        <v>581</v>
      </c>
      <c r="J169" s="112">
        <v>80</v>
      </c>
      <c r="K169" s="75">
        <v>400</v>
      </c>
      <c r="L169" s="75">
        <v>1300</v>
      </c>
      <c r="M169" s="202">
        <v>18.10349624793816</v>
      </c>
      <c r="N169" s="87">
        <v>4596.0969599999999</v>
      </c>
      <c r="O169" s="123">
        <v>51009.77389312911</v>
      </c>
      <c r="P169" s="123">
        <v>63519.116721268583</v>
      </c>
      <c r="Q169" s="120">
        <v>19688.676288001541</v>
      </c>
      <c r="R169" s="123">
        <v>70698.450181130655</v>
      </c>
      <c r="S169" s="123">
        <v>83207.793009270128</v>
      </c>
      <c r="U169" s="7" t="s">
        <v>6368</v>
      </c>
    </row>
    <row r="170" spans="1:21" ht="16.5" thickBot="1">
      <c r="A170" s="259" t="s">
        <v>10</v>
      </c>
      <c r="B170" s="263">
        <f t="shared" si="9"/>
        <v>80</v>
      </c>
      <c r="C170" s="263" t="s">
        <v>3</v>
      </c>
      <c r="D170" s="263">
        <f t="shared" si="10"/>
        <v>400</v>
      </c>
      <c r="E170" s="263" t="s">
        <v>3</v>
      </c>
      <c r="F170" s="261">
        <f t="shared" si="11"/>
        <v>1350</v>
      </c>
      <c r="G170" s="263" t="s">
        <v>3</v>
      </c>
      <c r="H170" s="260">
        <v>4</v>
      </c>
      <c r="I170" s="262" t="s">
        <v>581</v>
      </c>
      <c r="J170" s="112">
        <v>80</v>
      </c>
      <c r="K170" s="75">
        <v>400</v>
      </c>
      <c r="L170" s="75">
        <v>1350</v>
      </c>
      <c r="M170" s="202">
        <v>18.732231777052107</v>
      </c>
      <c r="N170" s="87">
        <v>4837.9967999999999</v>
      </c>
      <c r="O170" s="123">
        <v>52312.357816487754</v>
      </c>
      <c r="P170" s="123">
        <v>60163.746749474434</v>
      </c>
      <c r="Q170" s="120">
        <v>20291.067985001515</v>
      </c>
      <c r="R170" s="123">
        <v>72603.425801489269</v>
      </c>
      <c r="S170" s="123">
        <v>80454.814734475949</v>
      </c>
      <c r="U170" s="7" t="s">
        <v>6369</v>
      </c>
    </row>
    <row r="171" spans="1:21" ht="16.5" thickBot="1">
      <c r="A171" s="259" t="s">
        <v>10</v>
      </c>
      <c r="B171" s="263">
        <f t="shared" si="9"/>
        <v>80</v>
      </c>
      <c r="C171" s="263" t="s">
        <v>3</v>
      </c>
      <c r="D171" s="263">
        <f t="shared" si="10"/>
        <v>400</v>
      </c>
      <c r="E171" s="263" t="s">
        <v>3</v>
      </c>
      <c r="F171" s="261">
        <f t="shared" si="11"/>
        <v>1400</v>
      </c>
      <c r="G171" s="263" t="s">
        <v>3</v>
      </c>
      <c r="H171" s="260">
        <v>4</v>
      </c>
      <c r="I171" s="262" t="s">
        <v>581</v>
      </c>
      <c r="J171" s="112">
        <v>80</v>
      </c>
      <c r="K171" s="75">
        <v>400</v>
      </c>
      <c r="L171" s="75">
        <v>1400</v>
      </c>
      <c r="M171" s="202">
        <v>19.360967306166053</v>
      </c>
      <c r="N171" s="87">
        <v>5079.8966399999999</v>
      </c>
      <c r="O171" s="123">
        <v>53941.958096787581</v>
      </c>
      <c r="P171" s="123">
        <v>61053.978077727974</v>
      </c>
      <c r="Q171" s="120">
        <v>21124.04160017813</v>
      </c>
      <c r="R171" s="123">
        <v>75065.999696965708</v>
      </c>
      <c r="S171" s="123">
        <v>82178.019677906108</v>
      </c>
      <c r="U171" s="7" t="s">
        <v>6370</v>
      </c>
    </row>
    <row r="172" spans="1:21" ht="16.5" thickBot="1">
      <c r="A172" s="259" t="s">
        <v>10</v>
      </c>
      <c r="B172" s="263">
        <f t="shared" si="9"/>
        <v>80</v>
      </c>
      <c r="C172" s="263" t="s">
        <v>3</v>
      </c>
      <c r="D172" s="263">
        <f t="shared" si="10"/>
        <v>400</v>
      </c>
      <c r="E172" s="263" t="s">
        <v>3</v>
      </c>
      <c r="F172" s="261">
        <f t="shared" si="11"/>
        <v>1450</v>
      </c>
      <c r="G172" s="263" t="s">
        <v>3</v>
      </c>
      <c r="H172" s="260">
        <v>4</v>
      </c>
      <c r="I172" s="262" t="s">
        <v>581</v>
      </c>
      <c r="J172" s="112">
        <v>80</v>
      </c>
      <c r="K172" s="75">
        <v>400</v>
      </c>
      <c r="L172" s="75">
        <v>1450</v>
      </c>
      <c r="M172" s="202">
        <v>19.989702835280003</v>
      </c>
      <c r="N172" s="87">
        <v>5321.79648</v>
      </c>
      <c r="O172" s="123">
        <v>55244.541900811862</v>
      </c>
      <c r="P172" s="123">
        <v>61949.422050078785</v>
      </c>
      <c r="Q172" s="120">
        <v>21726.433297178104</v>
      </c>
      <c r="R172" s="123">
        <v>76970.975197989959</v>
      </c>
      <c r="S172" s="123">
        <v>83675.855347256889</v>
      </c>
      <c r="U172" s="7" t="s">
        <v>6371</v>
      </c>
    </row>
    <row r="173" spans="1:21" ht="16.5" thickBot="1">
      <c r="A173" s="259" t="s">
        <v>10</v>
      </c>
      <c r="B173" s="263">
        <f t="shared" si="9"/>
        <v>80</v>
      </c>
      <c r="C173" s="263" t="s">
        <v>3</v>
      </c>
      <c r="D173" s="263">
        <f t="shared" si="10"/>
        <v>400</v>
      </c>
      <c r="E173" s="263" t="s">
        <v>3</v>
      </c>
      <c r="F173" s="261">
        <f t="shared" si="11"/>
        <v>1500</v>
      </c>
      <c r="G173" s="263" t="s">
        <v>3</v>
      </c>
      <c r="H173" s="260">
        <v>4</v>
      </c>
      <c r="I173" s="262" t="s">
        <v>581</v>
      </c>
      <c r="J173" s="112">
        <v>80</v>
      </c>
      <c r="K173" s="75">
        <v>400</v>
      </c>
      <c r="L173" s="75">
        <v>1500</v>
      </c>
      <c r="M173" s="202">
        <v>21.258005017193948</v>
      </c>
      <c r="N173" s="87">
        <v>5563.6963199999991</v>
      </c>
      <c r="O173" s="123">
        <v>57180.457487614578</v>
      </c>
      <c r="P173" s="123">
        <v>63607.680357147969</v>
      </c>
      <c r="Q173" s="120">
        <v>22559.406912354716</v>
      </c>
      <c r="R173" s="123">
        <v>79739.864399969287</v>
      </c>
      <c r="S173" s="123">
        <v>86167.087269502692</v>
      </c>
      <c r="U173" s="7" t="s">
        <v>6372</v>
      </c>
    </row>
    <row r="174" spans="1:21" ht="16.5" thickBot="1">
      <c r="A174" s="259" t="s">
        <v>10</v>
      </c>
      <c r="B174" s="263">
        <f t="shared" si="9"/>
        <v>80</v>
      </c>
      <c r="C174" s="263" t="s">
        <v>3</v>
      </c>
      <c r="D174" s="263">
        <f t="shared" si="10"/>
        <v>400</v>
      </c>
      <c r="E174" s="263" t="s">
        <v>3</v>
      </c>
      <c r="F174" s="261">
        <f t="shared" si="11"/>
        <v>1550</v>
      </c>
      <c r="G174" s="263" t="s">
        <v>3</v>
      </c>
      <c r="H174" s="260">
        <v>4</v>
      </c>
      <c r="I174" s="262" t="s">
        <v>581</v>
      </c>
      <c r="J174" s="112">
        <v>80</v>
      </c>
      <c r="K174" s="75">
        <v>400</v>
      </c>
      <c r="L174" s="75">
        <v>1550</v>
      </c>
      <c r="M174" s="202">
        <v>21.955740546307894</v>
      </c>
      <c r="N174" s="87">
        <v>5805.5961600000001</v>
      </c>
      <c r="O174" s="123">
        <v>58483.041410973208</v>
      </c>
      <c r="P174" s="123">
        <v>64498.954309688459</v>
      </c>
      <c r="Q174" s="120">
        <v>23161.79860935469</v>
      </c>
      <c r="R174" s="123">
        <v>81644.840020327902</v>
      </c>
      <c r="S174" s="123">
        <v>87660.752919043152</v>
      </c>
      <c r="U174" s="7" t="s">
        <v>6373</v>
      </c>
    </row>
    <row r="175" spans="1:21" ht="16.5" thickBot="1">
      <c r="A175" s="259" t="s">
        <v>10</v>
      </c>
      <c r="B175" s="260">
        <f t="shared" si="9"/>
        <v>80</v>
      </c>
      <c r="C175" s="260" t="s">
        <v>3</v>
      </c>
      <c r="D175" s="260">
        <f t="shared" si="10"/>
        <v>400</v>
      </c>
      <c r="E175" s="260" t="s">
        <v>3</v>
      </c>
      <c r="F175" s="261">
        <f t="shared" si="11"/>
        <v>1600</v>
      </c>
      <c r="G175" s="260" t="s">
        <v>3</v>
      </c>
      <c r="H175" s="260">
        <v>4</v>
      </c>
      <c r="I175" s="262" t="s">
        <v>581</v>
      </c>
      <c r="J175" s="112">
        <v>80</v>
      </c>
      <c r="K175" s="75">
        <v>400</v>
      </c>
      <c r="L175" s="75">
        <v>1600</v>
      </c>
      <c r="M175" s="202">
        <v>22.58447607542184</v>
      </c>
      <c r="N175" s="87">
        <v>6047.4960000000001</v>
      </c>
      <c r="O175" s="123">
        <v>61731.666560755832</v>
      </c>
      <c r="P175" s="123">
        <v>65237.586968745105</v>
      </c>
      <c r="Q175" s="120">
        <v>23764.190446748027</v>
      </c>
      <c r="R175" s="123">
        <v>85495.857007503859</v>
      </c>
      <c r="S175" s="123">
        <v>89001.777415493125</v>
      </c>
      <c r="U175" s="7" t="s">
        <v>6374</v>
      </c>
    </row>
    <row r="176" spans="1:21" ht="16.5" thickBot="1">
      <c r="A176" s="259" t="s">
        <v>10</v>
      </c>
      <c r="B176" s="263">
        <f t="shared" si="9"/>
        <v>80</v>
      </c>
      <c r="C176" s="263" t="s">
        <v>3</v>
      </c>
      <c r="D176" s="263">
        <f t="shared" si="10"/>
        <v>400</v>
      </c>
      <c r="E176" s="263" t="s">
        <v>3</v>
      </c>
      <c r="F176" s="261">
        <f t="shared" si="11"/>
        <v>1650</v>
      </c>
      <c r="G176" s="263" t="s">
        <v>3</v>
      </c>
      <c r="H176" s="260">
        <v>4</v>
      </c>
      <c r="I176" s="262" t="s">
        <v>581</v>
      </c>
      <c r="J176" s="112">
        <v>80</v>
      </c>
      <c r="K176" s="75">
        <v>400</v>
      </c>
      <c r="L176" s="75">
        <v>1650</v>
      </c>
      <c r="M176" s="202">
        <v>23.25121160453579</v>
      </c>
      <c r="N176" s="87">
        <v>6289.3958400000001</v>
      </c>
      <c r="O176" s="123">
        <v>65232.551894172742</v>
      </c>
      <c r="P176" s="123">
        <v>82424.156429543262</v>
      </c>
      <c r="Q176" s="120">
        <v>24597.164061924639</v>
      </c>
      <c r="R176" s="123">
        <v>89829.715956097381</v>
      </c>
      <c r="S176" s="123">
        <v>107021.32049146789</v>
      </c>
      <c r="U176" s="7" t="s">
        <v>6375</v>
      </c>
    </row>
    <row r="177" spans="1:21" ht="16.5" thickBot="1">
      <c r="A177" s="259" t="s">
        <v>10</v>
      </c>
      <c r="B177" s="263">
        <f t="shared" si="9"/>
        <v>80</v>
      </c>
      <c r="C177" s="263" t="s">
        <v>3</v>
      </c>
      <c r="D177" s="263">
        <f t="shared" si="10"/>
        <v>400</v>
      </c>
      <c r="E177" s="263" t="s">
        <v>3</v>
      </c>
      <c r="F177" s="261">
        <f t="shared" si="11"/>
        <v>1700</v>
      </c>
      <c r="G177" s="263" t="s">
        <v>3</v>
      </c>
      <c r="H177" s="260">
        <v>4</v>
      </c>
      <c r="I177" s="262" t="s">
        <v>581</v>
      </c>
      <c r="J177" s="112">
        <v>80</v>
      </c>
      <c r="K177" s="75">
        <v>400</v>
      </c>
      <c r="L177" s="75">
        <v>1700</v>
      </c>
      <c r="M177" s="202">
        <v>23.879947133649736</v>
      </c>
      <c r="N177" s="87">
        <v>6531.2956800000002</v>
      </c>
      <c r="O177" s="123">
        <v>66329.988241813044</v>
      </c>
      <c r="P177" s="123">
        <v>83083.700839424346</v>
      </c>
      <c r="Q177" s="120">
        <v>25199.55575892462</v>
      </c>
      <c r="R177" s="123">
        <v>91529.54400073766</v>
      </c>
      <c r="S177" s="123">
        <v>108283.25659834896</v>
      </c>
      <c r="U177" s="7" t="s">
        <v>6376</v>
      </c>
    </row>
    <row r="178" spans="1:21" ht="16.5" thickBot="1">
      <c r="A178" s="259" t="s">
        <v>10</v>
      </c>
      <c r="B178" s="263">
        <f t="shared" si="9"/>
        <v>80</v>
      </c>
      <c r="C178" s="263" t="s">
        <v>3</v>
      </c>
      <c r="D178" s="263">
        <f t="shared" si="10"/>
        <v>400</v>
      </c>
      <c r="E178" s="263" t="s">
        <v>3</v>
      </c>
      <c r="F178" s="261">
        <f t="shared" si="11"/>
        <v>1750</v>
      </c>
      <c r="G178" s="263" t="s">
        <v>3</v>
      </c>
      <c r="H178" s="260">
        <v>4</v>
      </c>
      <c r="I178" s="262" t="s">
        <v>581</v>
      </c>
      <c r="J178" s="112">
        <v>80</v>
      </c>
      <c r="K178" s="75">
        <v>400</v>
      </c>
      <c r="L178" s="75">
        <v>1750</v>
      </c>
      <c r="M178" s="202">
        <v>24.508682662763682</v>
      </c>
      <c r="N178" s="87">
        <v>6773.1955199999993</v>
      </c>
      <c r="O178" s="123">
        <v>67351.27089147846</v>
      </c>
      <c r="P178" s="123">
        <v>74103.571889308369</v>
      </c>
      <c r="Q178" s="120">
        <v>26032.529374101232</v>
      </c>
      <c r="R178" s="123">
        <v>93383.800265579688</v>
      </c>
      <c r="S178" s="123">
        <v>100136.1012634096</v>
      </c>
      <c r="U178" s="7" t="s">
        <v>6377</v>
      </c>
    </row>
    <row r="179" spans="1:21" ht="16.5" thickBot="1">
      <c r="A179" s="259" t="s">
        <v>10</v>
      </c>
      <c r="B179" s="263">
        <f t="shared" si="9"/>
        <v>80</v>
      </c>
      <c r="C179" s="263" t="s">
        <v>3</v>
      </c>
      <c r="D179" s="263">
        <f t="shared" si="10"/>
        <v>400</v>
      </c>
      <c r="E179" s="263" t="s">
        <v>3</v>
      </c>
      <c r="F179" s="261">
        <f t="shared" si="11"/>
        <v>1800</v>
      </c>
      <c r="G179" s="263" t="s">
        <v>3</v>
      </c>
      <c r="H179" s="260">
        <v>4</v>
      </c>
      <c r="I179" s="262" t="s">
        <v>581</v>
      </c>
      <c r="J179" s="112">
        <v>80</v>
      </c>
      <c r="K179" s="75">
        <v>400</v>
      </c>
      <c r="L179" s="75">
        <v>1800</v>
      </c>
      <c r="M179" s="202">
        <v>25.206418191877635</v>
      </c>
      <c r="N179" s="87">
        <v>7015.0953599999993</v>
      </c>
      <c r="O179" s="123">
        <v>68449.403913101502</v>
      </c>
      <c r="P179" s="123">
        <v>74807.006998770419</v>
      </c>
      <c r="Q179" s="120">
        <v>26634.921071101206</v>
      </c>
      <c r="R179" s="123">
        <v>95084.324984202714</v>
      </c>
      <c r="S179" s="123">
        <v>101441.92806987162</v>
      </c>
      <c r="U179" s="7" t="s">
        <v>6378</v>
      </c>
    </row>
    <row r="180" spans="1:21" ht="16.5" thickBot="1">
      <c r="A180" s="259" t="s">
        <v>10</v>
      </c>
      <c r="B180" s="263">
        <f t="shared" si="9"/>
        <v>80</v>
      </c>
      <c r="C180" s="263" t="s">
        <v>3</v>
      </c>
      <c r="D180" s="263">
        <f t="shared" si="10"/>
        <v>400</v>
      </c>
      <c r="E180" s="263" t="s">
        <v>3</v>
      </c>
      <c r="F180" s="261">
        <f t="shared" si="11"/>
        <v>1850</v>
      </c>
      <c r="G180" s="263" t="s">
        <v>3</v>
      </c>
      <c r="H180" s="260">
        <v>4</v>
      </c>
      <c r="I180" s="262" t="s">
        <v>581</v>
      </c>
      <c r="J180" s="112">
        <v>80</v>
      </c>
      <c r="K180" s="75">
        <v>400</v>
      </c>
      <c r="L180" s="75">
        <v>1850</v>
      </c>
      <c r="M180" s="202">
        <v>25.897153720991582</v>
      </c>
      <c r="N180" s="87">
        <v>7256.9951999999994</v>
      </c>
      <c r="O180" s="123">
        <v>69547.488723643852</v>
      </c>
      <c r="P180" s="123">
        <v>75510.390078452299</v>
      </c>
      <c r="Q180" s="120">
        <v>27467.894686277818</v>
      </c>
      <c r="R180" s="123">
        <v>97015.383409921662</v>
      </c>
      <c r="S180" s="123">
        <v>102978.28476473011</v>
      </c>
      <c r="U180" s="7" t="s">
        <v>6379</v>
      </c>
    </row>
    <row r="181" spans="1:21" ht="16.5" thickBot="1">
      <c r="A181" s="259" t="s">
        <v>10</v>
      </c>
      <c r="B181" s="263">
        <f t="shared" si="9"/>
        <v>80</v>
      </c>
      <c r="C181" s="263" t="s">
        <v>3</v>
      </c>
      <c r="D181" s="263">
        <f t="shared" si="10"/>
        <v>400</v>
      </c>
      <c r="E181" s="263" t="s">
        <v>3</v>
      </c>
      <c r="F181" s="261">
        <f t="shared" si="11"/>
        <v>1900</v>
      </c>
      <c r="G181" s="263" t="s">
        <v>3</v>
      </c>
      <c r="H181" s="260">
        <v>4</v>
      </c>
      <c r="I181" s="262" t="s">
        <v>581</v>
      </c>
      <c r="J181" s="112">
        <v>80</v>
      </c>
      <c r="K181" s="75">
        <v>400</v>
      </c>
      <c r="L181" s="75">
        <v>1900</v>
      </c>
      <c r="M181" s="202">
        <v>26.525889250105529</v>
      </c>
      <c r="N181" s="87">
        <v>7498.8950400000003</v>
      </c>
      <c r="O181" s="123">
        <v>70820.627968144385</v>
      </c>
      <c r="P181" s="123">
        <v>76213.720889685341</v>
      </c>
      <c r="Q181" s="120">
        <v>28070.286383277791</v>
      </c>
      <c r="R181" s="123">
        <v>98890.91435142218</v>
      </c>
      <c r="S181" s="123">
        <v>104284.00727296314</v>
      </c>
      <c r="U181" s="7" t="s">
        <v>6380</v>
      </c>
    </row>
    <row r="182" spans="1:21" ht="16.5" thickBot="1">
      <c r="A182" s="259" t="s">
        <v>10</v>
      </c>
      <c r="B182" s="263">
        <f t="shared" si="9"/>
        <v>80</v>
      </c>
      <c r="C182" s="263" t="s">
        <v>3</v>
      </c>
      <c r="D182" s="263">
        <f t="shared" si="10"/>
        <v>400</v>
      </c>
      <c r="E182" s="263" t="s">
        <v>3</v>
      </c>
      <c r="F182" s="261">
        <f t="shared" si="11"/>
        <v>1950</v>
      </c>
      <c r="G182" s="263" t="s">
        <v>3</v>
      </c>
      <c r="H182" s="260">
        <v>4</v>
      </c>
      <c r="I182" s="262" t="s">
        <v>581</v>
      </c>
      <c r="J182" s="112">
        <v>80</v>
      </c>
      <c r="K182" s="75">
        <v>400</v>
      </c>
      <c r="L182" s="75">
        <v>1950</v>
      </c>
      <c r="M182" s="202">
        <v>27.347124779219477</v>
      </c>
      <c r="N182" s="87">
        <v>7740.7948800000004</v>
      </c>
      <c r="O182" s="123">
        <v>72277.213596669477</v>
      </c>
      <c r="P182" s="123">
        <v>76971.82497795418</v>
      </c>
      <c r="Q182" s="120">
        <v>28672.678220671129</v>
      </c>
      <c r="R182" s="123">
        <v>100949.8918173406</v>
      </c>
      <c r="S182" s="123">
        <v>105644.50319862532</v>
      </c>
      <c r="U182" s="7" t="s">
        <v>6381</v>
      </c>
    </row>
    <row r="183" spans="1:21" ht="16.5" thickBot="1">
      <c r="A183" s="259" t="s">
        <v>10</v>
      </c>
      <c r="B183" s="263">
        <f t="shared" si="9"/>
        <v>80</v>
      </c>
      <c r="C183" s="263" t="s">
        <v>3</v>
      </c>
      <c r="D183" s="263">
        <f t="shared" si="10"/>
        <v>400</v>
      </c>
      <c r="E183" s="263" t="s">
        <v>3</v>
      </c>
      <c r="F183" s="261">
        <f t="shared" si="11"/>
        <v>2000</v>
      </c>
      <c r="G183" s="263" t="s">
        <v>3</v>
      </c>
      <c r="H183" s="260">
        <v>4</v>
      </c>
      <c r="I183" s="262" t="s">
        <v>581</v>
      </c>
      <c r="J183" s="112">
        <v>80</v>
      </c>
      <c r="K183" s="75">
        <v>400</v>
      </c>
      <c r="L183" s="75">
        <v>2000</v>
      </c>
      <c r="M183" s="202">
        <v>28.067422708333421</v>
      </c>
      <c r="N183" s="87">
        <v>7982.6947199999995</v>
      </c>
      <c r="O183" s="123">
        <v>73581.580375338512</v>
      </c>
      <c r="P183" s="123">
        <v>93926.93196638643</v>
      </c>
      <c r="Q183" s="120">
        <v>29505.651695454384</v>
      </c>
      <c r="R183" s="123">
        <v>103087.2320707929</v>
      </c>
      <c r="S183" s="123">
        <v>123432.58366184082</v>
      </c>
      <c r="U183" s="7" t="s">
        <v>6382</v>
      </c>
    </row>
    <row r="184" spans="1:21" ht="16.5" thickBot="1">
      <c r="A184" s="259" t="s">
        <v>10</v>
      </c>
      <c r="B184" s="263">
        <f t="shared" si="9"/>
        <v>80</v>
      </c>
      <c r="C184" s="263" t="s">
        <v>3</v>
      </c>
      <c r="D184" s="263">
        <f t="shared" si="10"/>
        <v>400</v>
      </c>
      <c r="E184" s="263" t="s">
        <v>3</v>
      </c>
      <c r="F184" s="261">
        <f t="shared" si="11"/>
        <v>2050</v>
      </c>
      <c r="G184" s="263" t="s">
        <v>3</v>
      </c>
      <c r="H184" s="260">
        <v>4</v>
      </c>
      <c r="I184" s="262" t="s">
        <v>581</v>
      </c>
      <c r="J184" s="112">
        <v>80</v>
      </c>
      <c r="K184" s="75">
        <v>400</v>
      </c>
      <c r="L184" s="75">
        <v>2050</v>
      </c>
      <c r="M184" s="202">
        <v>28.696158237447371</v>
      </c>
      <c r="N184" s="87">
        <v>8224.5945599999995</v>
      </c>
      <c r="O184" s="123">
        <v>76823.635452700197</v>
      </c>
      <c r="P184" s="123">
        <v>94549.037369424244</v>
      </c>
      <c r="Q184" s="120">
        <v>30108.043532847722</v>
      </c>
      <c r="R184" s="123">
        <v>106931.67898554791</v>
      </c>
      <c r="S184" s="123">
        <v>124657.08090227196</v>
      </c>
      <c r="U184" s="7" t="s">
        <v>6383</v>
      </c>
    </row>
    <row r="185" spans="1:21" ht="16.5" thickBot="1">
      <c r="A185" s="259" t="s">
        <v>10</v>
      </c>
      <c r="B185" s="260">
        <f t="shared" si="9"/>
        <v>80</v>
      </c>
      <c r="C185" s="260" t="s">
        <v>3</v>
      </c>
      <c r="D185" s="260">
        <f t="shared" si="10"/>
        <v>400</v>
      </c>
      <c r="E185" s="260" t="s">
        <v>3</v>
      </c>
      <c r="F185" s="261">
        <f t="shared" si="11"/>
        <v>2100</v>
      </c>
      <c r="G185" s="260" t="s">
        <v>3</v>
      </c>
      <c r="H185" s="260">
        <v>4</v>
      </c>
      <c r="I185" s="262" t="s">
        <v>581</v>
      </c>
      <c r="J185" s="112">
        <v>80</v>
      </c>
      <c r="K185" s="75">
        <v>400</v>
      </c>
      <c r="L185" s="75">
        <v>2100</v>
      </c>
      <c r="M185" s="202">
        <v>29.32489376656131</v>
      </c>
      <c r="N185" s="87">
        <v>8466.4943999999996</v>
      </c>
      <c r="O185" s="123">
        <v>77983.650260403825</v>
      </c>
      <c r="P185" s="123">
        <v>94900.045541063402</v>
      </c>
      <c r="Q185" s="120">
        <v>30941.01700763097</v>
      </c>
      <c r="R185" s="123">
        <v>108924.6672680348</v>
      </c>
      <c r="S185" s="123">
        <v>125841.06254869438</v>
      </c>
      <c r="U185" s="7" t="s">
        <v>6384</v>
      </c>
    </row>
    <row r="186" spans="1:21" ht="16.5" thickBot="1">
      <c r="A186" s="259" t="s">
        <v>10</v>
      </c>
      <c r="B186" s="263">
        <f t="shared" si="9"/>
        <v>80</v>
      </c>
      <c r="C186" s="263" t="s">
        <v>3</v>
      </c>
      <c r="D186" s="263">
        <f t="shared" si="10"/>
        <v>400</v>
      </c>
      <c r="E186" s="263" t="s">
        <v>3</v>
      </c>
      <c r="F186" s="261">
        <f t="shared" si="11"/>
        <v>2150</v>
      </c>
      <c r="G186" s="263" t="s">
        <v>3</v>
      </c>
      <c r="H186" s="260">
        <v>4</v>
      </c>
      <c r="I186" s="262" t="s">
        <v>581</v>
      </c>
      <c r="J186" s="112">
        <v>80</v>
      </c>
      <c r="K186" s="75">
        <v>400</v>
      </c>
      <c r="L186" s="75">
        <v>2150</v>
      </c>
      <c r="M186" s="202">
        <v>30.077629295675266</v>
      </c>
      <c r="N186" s="87">
        <v>8708.3942399999996</v>
      </c>
      <c r="O186" s="123">
        <v>79291.282265779868</v>
      </c>
      <c r="P186" s="123">
        <v>95520.988508118724</v>
      </c>
      <c r="Q186" s="120">
        <v>31543.408845024307</v>
      </c>
      <c r="R186" s="123">
        <v>110834.69111080418</v>
      </c>
      <c r="S186" s="123">
        <v>127064.39735314302</v>
      </c>
      <c r="U186" s="7" t="s">
        <v>6385</v>
      </c>
    </row>
    <row r="187" spans="1:21" ht="16.5" thickBot="1">
      <c r="A187" s="259" t="s">
        <v>10</v>
      </c>
      <c r="B187" s="263">
        <f t="shared" si="9"/>
        <v>80</v>
      </c>
      <c r="C187" s="263" t="s">
        <v>3</v>
      </c>
      <c r="D187" s="263">
        <f t="shared" si="10"/>
        <v>400</v>
      </c>
      <c r="E187" s="263" t="s">
        <v>3</v>
      </c>
      <c r="F187" s="261">
        <f t="shared" si="11"/>
        <v>2200</v>
      </c>
      <c r="G187" s="263" t="s">
        <v>3</v>
      </c>
      <c r="H187" s="260">
        <v>4</v>
      </c>
      <c r="I187" s="262" t="s">
        <v>581</v>
      </c>
      <c r="J187" s="112">
        <v>80</v>
      </c>
      <c r="K187" s="75">
        <v>400</v>
      </c>
      <c r="L187" s="75">
        <v>2200</v>
      </c>
      <c r="M187" s="202">
        <v>30.706364824789208</v>
      </c>
      <c r="N187" s="87">
        <v>8950.2940799999997</v>
      </c>
      <c r="O187" s="123">
        <v>80598.866298743931</v>
      </c>
      <c r="P187" s="123">
        <v>101442.04503158193</v>
      </c>
      <c r="Q187" s="120">
        <v>32376.382319807555</v>
      </c>
      <c r="R187" s="123">
        <v>112975.24861855149</v>
      </c>
      <c r="S187" s="123">
        <v>133818.42735138949</v>
      </c>
      <c r="U187" s="7" t="s">
        <v>6386</v>
      </c>
    </row>
    <row r="188" spans="1:21" ht="16.5" thickBot="1">
      <c r="A188" s="259" t="s">
        <v>10</v>
      </c>
      <c r="B188" s="263">
        <f t="shared" si="9"/>
        <v>80</v>
      </c>
      <c r="C188" s="263" t="s">
        <v>3</v>
      </c>
      <c r="D188" s="263">
        <f t="shared" si="10"/>
        <v>400</v>
      </c>
      <c r="E188" s="263" t="s">
        <v>3</v>
      </c>
      <c r="F188" s="261">
        <f t="shared" si="11"/>
        <v>2250</v>
      </c>
      <c r="G188" s="263" t="s">
        <v>3</v>
      </c>
      <c r="H188" s="260">
        <v>4</v>
      </c>
      <c r="I188" s="262" t="s">
        <v>581</v>
      </c>
      <c r="J188" s="112">
        <v>80</v>
      </c>
      <c r="K188" s="75">
        <v>400</v>
      </c>
      <c r="L188" s="75">
        <v>2250</v>
      </c>
      <c r="M188" s="202">
        <v>31.335100353903158</v>
      </c>
      <c r="N188" s="87">
        <v>9192.1939199999997</v>
      </c>
      <c r="O188" s="123">
        <v>82226.061275721397</v>
      </c>
      <c r="P188" s="123">
        <v>102038.22456797966</v>
      </c>
      <c r="Q188" s="120">
        <v>32978.774157200758</v>
      </c>
      <c r="R188" s="123">
        <v>115204.83543292215</v>
      </c>
      <c r="S188" s="123">
        <v>135016.99872518043</v>
      </c>
      <c r="U188" s="7" t="s">
        <v>6387</v>
      </c>
    </row>
    <row r="189" spans="1:21" ht="16.5" thickBot="1">
      <c r="A189" s="259" t="s">
        <v>10</v>
      </c>
      <c r="B189" s="263">
        <f t="shared" si="9"/>
        <v>80</v>
      </c>
      <c r="C189" s="263" t="s">
        <v>3</v>
      </c>
      <c r="D189" s="263">
        <f t="shared" si="10"/>
        <v>400</v>
      </c>
      <c r="E189" s="263" t="s">
        <v>3</v>
      </c>
      <c r="F189" s="261">
        <f t="shared" si="11"/>
        <v>2300</v>
      </c>
      <c r="G189" s="263" t="s">
        <v>3</v>
      </c>
      <c r="H189" s="260">
        <v>4</v>
      </c>
      <c r="I189" s="262" t="s">
        <v>581</v>
      </c>
      <c r="J189" s="112">
        <v>80</v>
      </c>
      <c r="K189" s="75">
        <v>400</v>
      </c>
      <c r="L189" s="75">
        <v>2300</v>
      </c>
      <c r="M189" s="202">
        <v>31.963835883017104</v>
      </c>
      <c r="N189" s="87">
        <v>9434.0937599999997</v>
      </c>
      <c r="O189" s="123">
        <v>83290.739864718969</v>
      </c>
      <c r="P189" s="123">
        <v>102630.46344520339</v>
      </c>
      <c r="Q189" s="120">
        <v>33581.165854200874</v>
      </c>
      <c r="R189" s="123">
        <v>116871.90571891985</v>
      </c>
      <c r="S189" s="123">
        <v>136211.62929940427</v>
      </c>
      <c r="U189" s="7" t="s">
        <v>6388</v>
      </c>
    </row>
    <row r="190" spans="1:21" ht="16.5" thickBot="1">
      <c r="A190" s="259" t="s">
        <v>10</v>
      </c>
      <c r="B190" s="263">
        <f t="shared" si="9"/>
        <v>80</v>
      </c>
      <c r="C190" s="263" t="s">
        <v>3</v>
      </c>
      <c r="D190" s="263">
        <f t="shared" si="10"/>
        <v>400</v>
      </c>
      <c r="E190" s="263" t="s">
        <v>3</v>
      </c>
      <c r="F190" s="261">
        <f t="shared" si="11"/>
        <v>2350</v>
      </c>
      <c r="G190" s="263" t="s">
        <v>3</v>
      </c>
      <c r="H190" s="260">
        <v>4</v>
      </c>
      <c r="I190" s="262" t="s">
        <v>581</v>
      </c>
      <c r="J190" s="112">
        <v>80</v>
      </c>
      <c r="K190" s="75">
        <v>400</v>
      </c>
      <c r="L190" s="75">
        <v>2350</v>
      </c>
      <c r="M190" s="202">
        <v>32.592571412131051</v>
      </c>
      <c r="N190" s="87">
        <v>9675.9935999999998</v>
      </c>
      <c r="O190" s="123">
        <v>84355.37024263585</v>
      </c>
      <c r="P190" s="123">
        <v>103226.45538799015</v>
      </c>
      <c r="Q190" s="120">
        <v>34414.139469377486</v>
      </c>
      <c r="R190" s="123">
        <v>118769.50971201333</v>
      </c>
      <c r="S190" s="123">
        <v>137640.59485736763</v>
      </c>
      <c r="U190" s="7" t="s">
        <v>6389</v>
      </c>
    </row>
    <row r="191" spans="1:21" ht="16.5" thickBot="1">
      <c r="A191" s="259" t="s">
        <v>10</v>
      </c>
      <c r="B191" s="263">
        <f t="shared" si="9"/>
        <v>80</v>
      </c>
      <c r="C191" s="263" t="s">
        <v>3</v>
      </c>
      <c r="D191" s="263">
        <f t="shared" si="10"/>
        <v>400</v>
      </c>
      <c r="E191" s="263" t="s">
        <v>3</v>
      </c>
      <c r="F191" s="261">
        <f t="shared" si="11"/>
        <v>2400</v>
      </c>
      <c r="G191" s="263" t="s">
        <v>3</v>
      </c>
      <c r="H191" s="260">
        <v>4</v>
      </c>
      <c r="I191" s="262" t="s">
        <v>581</v>
      </c>
      <c r="J191" s="112">
        <v>80</v>
      </c>
      <c r="K191" s="75">
        <v>400</v>
      </c>
      <c r="L191" s="75">
        <v>2400</v>
      </c>
      <c r="M191" s="202">
        <v>33.221306941244997</v>
      </c>
      <c r="N191" s="87">
        <v>9917.893439999998</v>
      </c>
      <c r="O191" s="123">
        <v>85419.952528806403</v>
      </c>
      <c r="P191" s="123">
        <v>103822.34315188228</v>
      </c>
      <c r="Q191" s="120">
        <v>35016.531306770819</v>
      </c>
      <c r="R191" s="123">
        <v>120436.48383557722</v>
      </c>
      <c r="S191" s="123">
        <v>138838.8744586531</v>
      </c>
      <c r="U191" s="7" t="s">
        <v>6390</v>
      </c>
    </row>
    <row r="192" spans="1:21" ht="16.5" thickBot="1">
      <c r="A192" s="259" t="s">
        <v>10</v>
      </c>
      <c r="B192" s="263">
        <f t="shared" si="9"/>
        <v>80</v>
      </c>
      <c r="C192" s="263" t="s">
        <v>3</v>
      </c>
      <c r="D192" s="263">
        <f t="shared" si="10"/>
        <v>400</v>
      </c>
      <c r="E192" s="263" t="s">
        <v>3</v>
      </c>
      <c r="F192" s="261">
        <f t="shared" si="11"/>
        <v>2450</v>
      </c>
      <c r="G192" s="263" t="s">
        <v>3</v>
      </c>
      <c r="H192" s="260">
        <v>4</v>
      </c>
      <c r="I192" s="262" t="s">
        <v>581</v>
      </c>
      <c r="J192" s="112">
        <v>80</v>
      </c>
      <c r="K192" s="75">
        <v>400</v>
      </c>
      <c r="L192" s="75">
        <v>2450</v>
      </c>
      <c r="M192" s="202">
        <v>34.603609123158947</v>
      </c>
      <c r="N192" s="87">
        <v>10159.79328</v>
      </c>
      <c r="O192" s="123">
        <v>87117.818625343425</v>
      </c>
      <c r="P192" s="123">
        <v>105185.11097207408</v>
      </c>
      <c r="Q192" s="120">
        <v>35849.504781554067</v>
      </c>
      <c r="R192" s="123">
        <v>122967.32340689749</v>
      </c>
      <c r="S192" s="123">
        <v>141034.61575362814</v>
      </c>
      <c r="U192" s="7" t="s">
        <v>6391</v>
      </c>
    </row>
    <row r="193" spans="1:21" ht="16.5" thickBot="1">
      <c r="A193" s="259" t="s">
        <v>10</v>
      </c>
      <c r="B193" s="263">
        <f t="shared" si="9"/>
        <v>80</v>
      </c>
      <c r="C193" s="263" t="s">
        <v>3</v>
      </c>
      <c r="D193" s="263">
        <f t="shared" si="10"/>
        <v>400</v>
      </c>
      <c r="E193" s="263" t="s">
        <v>3</v>
      </c>
      <c r="F193" s="261">
        <f t="shared" si="11"/>
        <v>2500</v>
      </c>
      <c r="G193" s="263" t="s">
        <v>3</v>
      </c>
      <c r="H193" s="260">
        <v>4</v>
      </c>
      <c r="I193" s="262" t="s">
        <v>581</v>
      </c>
      <c r="J193" s="112">
        <v>80</v>
      </c>
      <c r="K193" s="75">
        <v>400</v>
      </c>
      <c r="L193" s="75">
        <v>2500</v>
      </c>
      <c r="M193" s="202">
        <v>35.249344652272896</v>
      </c>
      <c r="N193" s="87">
        <v>10401.693119999998</v>
      </c>
      <c r="O193" s="123">
        <v>88182.30472802135</v>
      </c>
      <c r="P193" s="123">
        <v>105780.7901395082</v>
      </c>
      <c r="Q193" s="120">
        <v>36451.896618947409</v>
      </c>
      <c r="R193" s="123">
        <v>124634.20134696877</v>
      </c>
      <c r="S193" s="123">
        <v>142232.68675845562</v>
      </c>
      <c r="U193" s="7" t="s">
        <v>6392</v>
      </c>
    </row>
    <row r="194" spans="1:21" ht="16.5" thickBot="1">
      <c r="A194" s="259" t="s">
        <v>10</v>
      </c>
      <c r="B194" s="263">
        <f t="shared" si="9"/>
        <v>80</v>
      </c>
      <c r="C194" s="263" t="s">
        <v>3</v>
      </c>
      <c r="D194" s="263">
        <f t="shared" si="10"/>
        <v>400</v>
      </c>
      <c r="E194" s="263" t="s">
        <v>3</v>
      </c>
      <c r="F194" s="261">
        <f t="shared" si="11"/>
        <v>2550</v>
      </c>
      <c r="G194" s="263" t="s">
        <v>3</v>
      </c>
      <c r="H194" s="260">
        <v>4</v>
      </c>
      <c r="I194" s="262" t="s">
        <v>581</v>
      </c>
      <c r="J194" s="112">
        <v>80</v>
      </c>
      <c r="K194" s="75">
        <v>400</v>
      </c>
      <c r="L194" s="75">
        <v>2550</v>
      </c>
      <c r="M194" s="202">
        <v>35.878080181386842</v>
      </c>
      <c r="N194" s="87">
        <v>10643.59296</v>
      </c>
      <c r="O194" s="123">
        <v>92541.07855661225</v>
      </c>
      <c r="P194" s="123">
        <v>112419.21119471994</v>
      </c>
      <c r="Q194" s="120">
        <v>37284.870093730657</v>
      </c>
      <c r="R194" s="123">
        <v>129825.94865034291</v>
      </c>
      <c r="S194" s="123">
        <v>149704.0812884506</v>
      </c>
      <c r="U194" s="7" t="s">
        <v>6393</v>
      </c>
    </row>
    <row r="195" spans="1:21" ht="16.5" thickBot="1">
      <c r="A195" s="259" t="s">
        <v>10</v>
      </c>
      <c r="B195" s="260">
        <f t="shared" si="9"/>
        <v>80</v>
      </c>
      <c r="C195" s="260" t="s">
        <v>3</v>
      </c>
      <c r="D195" s="260">
        <f t="shared" si="10"/>
        <v>400</v>
      </c>
      <c r="E195" s="260" t="s">
        <v>3</v>
      </c>
      <c r="F195" s="261">
        <f t="shared" si="11"/>
        <v>2600</v>
      </c>
      <c r="G195" s="260" t="s">
        <v>3</v>
      </c>
      <c r="H195" s="260">
        <v>4</v>
      </c>
      <c r="I195" s="262" t="s">
        <v>581</v>
      </c>
      <c r="J195" s="112">
        <v>80</v>
      </c>
      <c r="K195" s="75">
        <v>400</v>
      </c>
      <c r="L195" s="75">
        <v>2600</v>
      </c>
      <c r="M195" s="202">
        <v>36.506815710500788</v>
      </c>
      <c r="N195" s="87">
        <v>10885.4928</v>
      </c>
      <c r="O195" s="123">
        <v>93876.072020956621</v>
      </c>
      <c r="P195" s="123">
        <v>112980.92291112299</v>
      </c>
      <c r="Q195" s="120">
        <v>37887.261931123991</v>
      </c>
      <c r="R195" s="123">
        <v>131763.3339520806</v>
      </c>
      <c r="S195" s="123">
        <v>150868.18484224699</v>
      </c>
      <c r="U195" s="7" t="s">
        <v>6394</v>
      </c>
    </row>
    <row r="196" spans="1:21" ht="16.5" thickBot="1">
      <c r="A196" s="259" t="s">
        <v>10</v>
      </c>
      <c r="B196" s="263">
        <f t="shared" si="9"/>
        <v>80</v>
      </c>
      <c r="C196" s="263" t="s">
        <v>3</v>
      </c>
      <c r="D196" s="263">
        <f t="shared" si="10"/>
        <v>400</v>
      </c>
      <c r="E196" s="263" t="s">
        <v>3</v>
      </c>
      <c r="F196" s="261">
        <f t="shared" si="11"/>
        <v>2650</v>
      </c>
      <c r="G196" s="263" t="s">
        <v>3</v>
      </c>
      <c r="H196" s="260">
        <v>4</v>
      </c>
      <c r="I196" s="262" t="s">
        <v>581</v>
      </c>
      <c r="J196" s="112">
        <v>80</v>
      </c>
      <c r="K196" s="75">
        <v>400</v>
      </c>
      <c r="L196" s="75">
        <v>2650</v>
      </c>
      <c r="M196" s="202">
        <v>37.242551239614741</v>
      </c>
      <c r="N196" s="87">
        <v>11127.392639999998</v>
      </c>
      <c r="O196" s="123">
        <v>94780.445663991559</v>
      </c>
      <c r="P196" s="123">
        <v>113542.53044863141</v>
      </c>
      <c r="Q196" s="120">
        <v>38720.235405907246</v>
      </c>
      <c r="R196" s="123">
        <v>133500.6810698988</v>
      </c>
      <c r="S196" s="123">
        <v>152262.76585453865</v>
      </c>
      <c r="U196" s="7" t="s">
        <v>6395</v>
      </c>
    </row>
    <row r="197" spans="1:21" ht="16.5" thickBot="1">
      <c r="A197" s="259" t="s">
        <v>10</v>
      </c>
      <c r="B197" s="263">
        <f t="shared" si="9"/>
        <v>80</v>
      </c>
      <c r="C197" s="263" t="s">
        <v>3</v>
      </c>
      <c r="D197" s="263">
        <f t="shared" si="10"/>
        <v>400</v>
      </c>
      <c r="E197" s="263" t="s">
        <v>3</v>
      </c>
      <c r="F197" s="261">
        <f t="shared" si="11"/>
        <v>2700</v>
      </c>
      <c r="G197" s="263" t="s">
        <v>3</v>
      </c>
      <c r="H197" s="260">
        <v>4</v>
      </c>
      <c r="I197" s="262" t="s">
        <v>581</v>
      </c>
      <c r="J197" s="112">
        <v>80</v>
      </c>
      <c r="K197" s="75">
        <v>400</v>
      </c>
      <c r="L197" s="75">
        <v>2700</v>
      </c>
      <c r="M197" s="202">
        <v>37.949786768728686</v>
      </c>
      <c r="N197" s="87">
        <v>11369.29248</v>
      </c>
      <c r="O197" s="123">
        <v>95744.395791976829</v>
      </c>
      <c r="P197" s="123">
        <v>114159.85985198835</v>
      </c>
      <c r="Q197" s="120">
        <v>39322.627243300587</v>
      </c>
      <c r="R197" s="123">
        <v>135067.02303527741</v>
      </c>
      <c r="S197" s="123">
        <v>153482.48709528893</v>
      </c>
      <c r="U197" s="7" t="s">
        <v>6396</v>
      </c>
    </row>
    <row r="198" spans="1:21" ht="16.5" thickBot="1">
      <c r="A198" s="259" t="s">
        <v>10</v>
      </c>
      <c r="B198" s="263">
        <f t="shared" si="9"/>
        <v>80</v>
      </c>
      <c r="C198" s="263" t="s">
        <v>3</v>
      </c>
      <c r="D198" s="263">
        <f t="shared" si="10"/>
        <v>400</v>
      </c>
      <c r="E198" s="263" t="s">
        <v>3</v>
      </c>
      <c r="F198" s="261">
        <f t="shared" si="11"/>
        <v>2750</v>
      </c>
      <c r="G198" s="263" t="s">
        <v>3</v>
      </c>
      <c r="H198" s="260">
        <v>4</v>
      </c>
      <c r="I198" s="262" t="s">
        <v>581</v>
      </c>
      <c r="J198" s="112">
        <v>80</v>
      </c>
      <c r="K198" s="75">
        <v>400</v>
      </c>
      <c r="L198" s="75">
        <v>2750</v>
      </c>
      <c r="M198" s="202">
        <v>38.578522297842625</v>
      </c>
      <c r="N198" s="87">
        <v>11611.19232</v>
      </c>
      <c r="O198" s="123">
        <v>96730.42731092083</v>
      </c>
      <c r="P198" s="123">
        <v>114717.6101450391</v>
      </c>
      <c r="Q198" s="120">
        <v>39925.018940300557</v>
      </c>
      <c r="R198" s="123">
        <v>136655.44625122138</v>
      </c>
      <c r="S198" s="123">
        <v>154642.62908533966</v>
      </c>
      <c r="U198" s="7" t="s">
        <v>6397</v>
      </c>
    </row>
    <row r="199" spans="1:21" ht="16.5" thickBot="1">
      <c r="A199" s="259" t="s">
        <v>10</v>
      </c>
      <c r="B199" s="263">
        <f t="shared" si="9"/>
        <v>80</v>
      </c>
      <c r="C199" s="263" t="s">
        <v>3</v>
      </c>
      <c r="D199" s="263">
        <f t="shared" si="10"/>
        <v>400</v>
      </c>
      <c r="E199" s="263" t="s">
        <v>3</v>
      </c>
      <c r="F199" s="261">
        <f t="shared" si="11"/>
        <v>2800</v>
      </c>
      <c r="G199" s="263" t="s">
        <v>3</v>
      </c>
      <c r="H199" s="260">
        <v>4</v>
      </c>
      <c r="I199" s="262" t="s">
        <v>581</v>
      </c>
      <c r="J199" s="112">
        <v>80</v>
      </c>
      <c r="K199" s="75">
        <v>400</v>
      </c>
      <c r="L199" s="75">
        <v>2800</v>
      </c>
      <c r="M199" s="202">
        <v>39.207257826956578</v>
      </c>
      <c r="N199" s="87">
        <v>11853.092160000002</v>
      </c>
      <c r="O199" s="123">
        <v>97633.566678689676</v>
      </c>
      <c r="P199" s="123">
        <v>115278.92567137317</v>
      </c>
      <c r="Q199" s="120">
        <v>40757.992555477169</v>
      </c>
      <c r="R199" s="123">
        <v>138391.55923416684</v>
      </c>
      <c r="S199" s="123">
        <v>156036.91822685034</v>
      </c>
      <c r="U199" s="7" t="s">
        <v>6398</v>
      </c>
    </row>
    <row r="200" spans="1:21" ht="16.5" thickBot="1">
      <c r="A200" s="259" t="s">
        <v>10</v>
      </c>
      <c r="B200" s="263">
        <f t="shared" si="9"/>
        <v>80</v>
      </c>
      <c r="C200" s="263" t="s">
        <v>3</v>
      </c>
      <c r="D200" s="263">
        <f t="shared" si="10"/>
        <v>400</v>
      </c>
      <c r="E200" s="263" t="s">
        <v>3</v>
      </c>
      <c r="F200" s="261">
        <f t="shared" si="11"/>
        <v>2850</v>
      </c>
      <c r="G200" s="263" t="s">
        <v>3</v>
      </c>
      <c r="H200" s="260">
        <v>4</v>
      </c>
      <c r="I200" s="262" t="s">
        <v>581</v>
      </c>
      <c r="J200" s="112">
        <v>80</v>
      </c>
      <c r="K200" s="75">
        <v>400</v>
      </c>
      <c r="L200" s="75">
        <v>2850</v>
      </c>
      <c r="M200" s="202">
        <v>39.835993356070524</v>
      </c>
      <c r="N200" s="87">
        <v>12094.992</v>
      </c>
      <c r="O200" s="123">
        <v>98536.657835377846</v>
      </c>
      <c r="P200" s="123">
        <v>115834.72651834961</v>
      </c>
      <c r="Q200" s="120">
        <v>41360.384252477146</v>
      </c>
      <c r="R200" s="123">
        <v>139897.04208785499</v>
      </c>
      <c r="S200" s="123">
        <v>157195.11077082675</v>
      </c>
      <c r="U200" s="7" t="s">
        <v>6399</v>
      </c>
    </row>
    <row r="201" spans="1:21" ht="16.5" thickBot="1">
      <c r="A201" s="259" t="s">
        <v>10</v>
      </c>
      <c r="B201" s="263">
        <f t="shared" si="9"/>
        <v>80</v>
      </c>
      <c r="C201" s="263" t="s">
        <v>3</v>
      </c>
      <c r="D201" s="263">
        <f t="shared" si="10"/>
        <v>400</v>
      </c>
      <c r="E201" s="263" t="s">
        <v>3</v>
      </c>
      <c r="F201" s="261">
        <f t="shared" si="11"/>
        <v>2900</v>
      </c>
      <c r="G201" s="263" t="s">
        <v>3</v>
      </c>
      <c r="H201" s="260">
        <v>4</v>
      </c>
      <c r="I201" s="262" t="s">
        <v>581</v>
      </c>
      <c r="J201" s="112">
        <v>80</v>
      </c>
      <c r="K201" s="75">
        <v>400</v>
      </c>
      <c r="L201" s="75">
        <v>2900</v>
      </c>
      <c r="M201" s="202">
        <v>40.640728885184473</v>
      </c>
      <c r="N201" s="87">
        <v>12336.891839999998</v>
      </c>
      <c r="O201" s="123">
        <v>99439.700900319702</v>
      </c>
      <c r="P201" s="123">
        <v>116392.2785970315</v>
      </c>
      <c r="Q201" s="120">
        <v>42193.357867653758</v>
      </c>
      <c r="R201" s="123">
        <v>141633.05876797345</v>
      </c>
      <c r="S201" s="123">
        <v>158585.63646468526</v>
      </c>
      <c r="U201" s="7" t="s">
        <v>6400</v>
      </c>
    </row>
    <row r="202" spans="1:21" ht="16.5" thickBot="1">
      <c r="A202" s="259" t="s">
        <v>10</v>
      </c>
      <c r="B202" s="263">
        <f t="shared" si="9"/>
        <v>80</v>
      </c>
      <c r="C202" s="263" t="s">
        <v>3</v>
      </c>
      <c r="D202" s="263">
        <f t="shared" si="10"/>
        <v>400</v>
      </c>
      <c r="E202" s="263" t="s">
        <v>3</v>
      </c>
      <c r="F202" s="261">
        <f t="shared" si="11"/>
        <v>2950</v>
      </c>
      <c r="G202" s="263" t="s">
        <v>3</v>
      </c>
      <c r="H202" s="260">
        <v>4</v>
      </c>
      <c r="I202" s="262" t="s">
        <v>581</v>
      </c>
      <c r="J202" s="112">
        <v>80</v>
      </c>
      <c r="K202" s="75">
        <v>400</v>
      </c>
      <c r="L202" s="75">
        <v>2950</v>
      </c>
      <c r="M202" s="202">
        <v>41.269464414298412</v>
      </c>
      <c r="N202" s="87">
        <v>12578.79168</v>
      </c>
      <c r="O202" s="123">
        <v>100342.69587351523</v>
      </c>
      <c r="P202" s="123">
        <v>122800.08970453177</v>
      </c>
      <c r="Q202" s="120">
        <v>42795.749564653735</v>
      </c>
      <c r="R202" s="123">
        <v>143138.44543816897</v>
      </c>
      <c r="S202" s="123">
        <v>165595.8392691855</v>
      </c>
      <c r="U202" s="7" t="s">
        <v>6401</v>
      </c>
    </row>
    <row r="203" spans="1:21" ht="16.5" thickBot="1">
      <c r="A203" s="259" t="s">
        <v>10</v>
      </c>
      <c r="B203" s="263">
        <f t="shared" si="9"/>
        <v>80</v>
      </c>
      <c r="C203" s="263" t="s">
        <v>3</v>
      </c>
      <c r="D203" s="263">
        <f t="shared" si="10"/>
        <v>400</v>
      </c>
      <c r="E203" s="263" t="s">
        <v>3</v>
      </c>
      <c r="F203" s="261">
        <f t="shared" si="11"/>
        <v>3000</v>
      </c>
      <c r="G203" s="263" t="s">
        <v>3</v>
      </c>
      <c r="H203" s="260">
        <v>4</v>
      </c>
      <c r="I203" s="262" t="s">
        <v>581</v>
      </c>
      <c r="J203" s="146">
        <v>80</v>
      </c>
      <c r="K203" s="147">
        <v>400</v>
      </c>
      <c r="L203" s="147">
        <v>3000</v>
      </c>
      <c r="M203" s="209">
        <v>41.960199943412363</v>
      </c>
      <c r="N203" s="148">
        <v>12820.69152</v>
      </c>
      <c r="O203" s="149">
        <v>102962.47955374695</v>
      </c>
      <c r="P203" s="149">
        <v>123541.22134438191</v>
      </c>
      <c r="Q203" s="159">
        <v>43628.723179830347</v>
      </c>
      <c r="R203" s="149">
        <v>146591.20273357729</v>
      </c>
      <c r="S203" s="149">
        <v>167169.94452421225</v>
      </c>
      <c r="U203" s="7" t="s">
        <v>6402</v>
      </c>
    </row>
  </sheetData>
  <mergeCells count="18">
    <mergeCell ref="A57:S57"/>
    <mergeCell ref="A7:S7"/>
    <mergeCell ref="A8:S8"/>
    <mergeCell ref="A9:S9"/>
    <mergeCell ref="Q4:Q5"/>
    <mergeCell ref="R4:R5"/>
    <mergeCell ref="S4:S5"/>
    <mergeCell ref="O6:S6"/>
    <mergeCell ref="A4:I6"/>
    <mergeCell ref="J4:M5"/>
    <mergeCell ref="N4:N6"/>
    <mergeCell ref="O4:O5"/>
    <mergeCell ref="P4:P5"/>
    <mergeCell ref="A58:S58"/>
    <mergeCell ref="A106:S106"/>
    <mergeCell ref="A107:S107"/>
    <mergeCell ref="A155:S155"/>
    <mergeCell ref="A156:S156"/>
  </mergeCells>
  <hyperlinks>
    <hyperlink ref="A1:I1" location="Главная!A1" display="Вернуться на главную страницу" xr:uid="{00000000-0004-0000-0A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4">
    <tabColor rgb="FF3366FF"/>
  </sheetPr>
  <dimension ref="A1:U253"/>
  <sheetViews>
    <sheetView zoomScale="70" zoomScaleNormal="70" workbookViewId="0">
      <pane ySplit="6" topLeftCell="A7" activePane="bottomLeft" state="frozen"/>
      <selection pane="bottomLeft" activeCell="U7" sqref="U7"/>
    </sheetView>
  </sheetViews>
  <sheetFormatPr defaultRowHeight="15.75"/>
  <cols>
    <col min="1" max="1" width="5.5703125" style="7" customWidth="1"/>
    <col min="2" max="2" width="6" style="7" customWidth="1"/>
    <col min="3" max="3" width="3" style="7" customWidth="1"/>
    <col min="4" max="4" width="6" style="7" customWidth="1"/>
    <col min="5" max="5" width="3" style="7" customWidth="1"/>
    <col min="6" max="6" width="7.7109375" style="96" customWidth="1"/>
    <col min="7" max="7" width="3" style="7" customWidth="1"/>
    <col min="8" max="8" width="6" style="7" customWidth="1"/>
    <col min="9" max="9" width="8.140625" style="7" customWidth="1"/>
    <col min="10" max="10" width="11.28515625" style="7" customWidth="1"/>
    <col min="11" max="12" width="11.28515625" style="96" customWidth="1"/>
    <col min="13" max="13" width="15.5703125" style="9" customWidth="1"/>
    <col min="14" max="14" width="19.140625" style="7" customWidth="1"/>
    <col min="15" max="16" width="27.7109375" style="251" customWidth="1"/>
    <col min="17" max="17" width="26.28515625" style="118" customWidth="1"/>
    <col min="18" max="19" width="27.7109375" style="251" customWidth="1"/>
    <col min="20" max="20" width="9.140625" style="7"/>
    <col min="21" max="21" width="26.85546875" style="7" customWidth="1"/>
    <col min="22" max="16384" width="9.140625" style="7"/>
  </cols>
  <sheetData>
    <row r="1" spans="1:21" ht="16.5" customHeight="1">
      <c r="A1" s="1217" t="s">
        <v>9</v>
      </c>
      <c r="B1" s="1217"/>
      <c r="C1" s="1217"/>
      <c r="D1" s="1217"/>
      <c r="E1" s="1217"/>
      <c r="F1" s="97"/>
      <c r="G1" s="1217"/>
      <c r="H1" s="1217"/>
      <c r="I1" s="1217"/>
      <c r="M1" s="176"/>
      <c r="O1" s="118"/>
      <c r="P1" s="118"/>
      <c r="R1" s="118"/>
      <c r="S1" s="118"/>
    </row>
    <row r="2" spans="1:21" s="74" customFormat="1" ht="16.5" customHeight="1">
      <c r="A2" s="956" t="s">
        <v>377</v>
      </c>
      <c r="B2" s="1217"/>
      <c r="C2" s="1217"/>
      <c r="D2" s="1217"/>
      <c r="E2" s="1217"/>
      <c r="F2" s="97"/>
      <c r="G2" s="1217"/>
      <c r="H2" s="1217"/>
      <c r="I2" s="1217"/>
      <c r="J2" s="7"/>
      <c r="K2" s="96"/>
      <c r="L2" s="96"/>
      <c r="M2" s="175"/>
      <c r="N2" s="7"/>
      <c r="O2" s="117"/>
      <c r="P2" s="117"/>
      <c r="Q2" s="117"/>
      <c r="R2" s="117"/>
      <c r="S2" s="117"/>
    </row>
    <row r="3" spans="1:21" ht="13.5" customHeight="1" thickBot="1">
      <c r="A3" s="16"/>
      <c r="B3" s="16"/>
      <c r="C3" s="16"/>
      <c r="D3" s="16"/>
      <c r="E3" s="16"/>
      <c r="F3" s="109"/>
      <c r="G3" s="16"/>
      <c r="H3" s="16"/>
      <c r="I3" s="1251"/>
      <c r="J3" s="16"/>
      <c r="K3" s="108"/>
      <c r="L3" s="108"/>
      <c r="M3" s="175"/>
      <c r="O3" s="116"/>
      <c r="P3" s="116"/>
      <c r="Q3" s="117"/>
      <c r="R3" s="117"/>
      <c r="S3" s="117"/>
    </row>
    <row r="4" spans="1:21" s="74" customFormat="1" ht="69" customHeight="1">
      <c r="A4" s="2598" t="s">
        <v>8</v>
      </c>
      <c r="B4" s="2599"/>
      <c r="C4" s="2599"/>
      <c r="D4" s="2599"/>
      <c r="E4" s="2599"/>
      <c r="F4" s="2599"/>
      <c r="G4" s="2599"/>
      <c r="H4" s="2599"/>
      <c r="I4" s="2600"/>
      <c r="J4" s="2607" t="s">
        <v>97</v>
      </c>
      <c r="K4" s="2608"/>
      <c r="L4" s="2608"/>
      <c r="M4" s="2609"/>
      <c r="N4" s="2613" t="s">
        <v>96</v>
      </c>
      <c r="O4" s="2586" t="s">
        <v>173</v>
      </c>
      <c r="P4" s="2619" t="s">
        <v>174</v>
      </c>
      <c r="Q4" s="2586" t="s">
        <v>71</v>
      </c>
      <c r="R4" s="2588" t="s">
        <v>5817</v>
      </c>
      <c r="S4" s="2590" t="s">
        <v>5818</v>
      </c>
    </row>
    <row r="5" spans="1:21" s="74" customFormat="1" ht="72" customHeight="1" thickBot="1">
      <c r="A5" s="2601"/>
      <c r="B5" s="2602"/>
      <c r="C5" s="2602"/>
      <c r="D5" s="2602"/>
      <c r="E5" s="2602"/>
      <c r="F5" s="2602"/>
      <c r="G5" s="2602"/>
      <c r="H5" s="2602"/>
      <c r="I5" s="2603"/>
      <c r="J5" s="2610"/>
      <c r="K5" s="2611"/>
      <c r="L5" s="2611"/>
      <c r="M5" s="2612"/>
      <c r="N5" s="2614"/>
      <c r="O5" s="2616"/>
      <c r="P5" s="2620"/>
      <c r="Q5" s="2587"/>
      <c r="R5" s="2589"/>
      <c r="S5" s="2591"/>
    </row>
    <row r="6" spans="1:21" s="74" customFormat="1" ht="61.5" customHeight="1" thickBot="1">
      <c r="A6" s="2604"/>
      <c r="B6" s="2605"/>
      <c r="C6" s="2605"/>
      <c r="D6" s="2605"/>
      <c r="E6" s="2605"/>
      <c r="F6" s="2605"/>
      <c r="G6" s="2605"/>
      <c r="H6" s="2605"/>
      <c r="I6" s="2606"/>
      <c r="J6" s="287" t="s">
        <v>0</v>
      </c>
      <c r="K6" s="295" t="s">
        <v>1</v>
      </c>
      <c r="L6" s="295" t="s">
        <v>2</v>
      </c>
      <c r="M6" s="258" t="s">
        <v>94</v>
      </c>
      <c r="N6" s="2615"/>
      <c r="O6" s="2592" t="s">
        <v>169</v>
      </c>
      <c r="P6" s="2593"/>
      <c r="Q6" s="2593"/>
      <c r="R6" s="2593"/>
      <c r="S6" s="2594"/>
    </row>
    <row r="7" spans="1:21" ht="30" customHeight="1" thickBot="1">
      <c r="A7" s="2595" t="s">
        <v>159</v>
      </c>
      <c r="B7" s="2596"/>
      <c r="C7" s="2596"/>
      <c r="D7" s="2596"/>
      <c r="E7" s="2596"/>
      <c r="F7" s="2596"/>
      <c r="G7" s="2596"/>
      <c r="H7" s="2596"/>
      <c r="I7" s="2596"/>
      <c r="J7" s="2596"/>
      <c r="K7" s="2596"/>
      <c r="L7" s="2596"/>
      <c r="M7" s="2596"/>
      <c r="N7" s="2596"/>
      <c r="O7" s="2596"/>
      <c r="P7" s="2596"/>
      <c r="Q7" s="2596"/>
      <c r="R7" s="2596"/>
      <c r="S7" s="2597"/>
    </row>
    <row r="8" spans="1:21" ht="22.5" customHeight="1" thickBot="1">
      <c r="A8" s="2580" t="s">
        <v>51</v>
      </c>
      <c r="B8" s="2581"/>
      <c r="C8" s="2581"/>
      <c r="D8" s="2581"/>
      <c r="E8" s="2581"/>
      <c r="F8" s="2581"/>
      <c r="G8" s="2581"/>
      <c r="H8" s="2581"/>
      <c r="I8" s="2581"/>
      <c r="J8" s="2581"/>
      <c r="K8" s="2581"/>
      <c r="L8" s="2581"/>
      <c r="M8" s="2581"/>
      <c r="N8" s="2581"/>
      <c r="O8" s="2581"/>
      <c r="P8" s="2581"/>
      <c r="Q8" s="2581"/>
      <c r="R8" s="2581"/>
      <c r="S8" s="2582"/>
    </row>
    <row r="9" spans="1:21" ht="22.5" customHeight="1" thickBot="1">
      <c r="A9" s="2624" t="s">
        <v>70</v>
      </c>
      <c r="B9" s="2625"/>
      <c r="C9" s="2625"/>
      <c r="D9" s="2625"/>
      <c r="E9" s="2625"/>
      <c r="F9" s="2625"/>
      <c r="G9" s="2625"/>
      <c r="H9" s="2625"/>
      <c r="I9" s="2625"/>
      <c r="J9" s="2625"/>
      <c r="K9" s="2625"/>
      <c r="L9" s="2625"/>
      <c r="M9" s="2625"/>
      <c r="N9" s="2625"/>
      <c r="O9" s="2625"/>
      <c r="P9" s="2625"/>
      <c r="Q9" s="2625"/>
      <c r="R9" s="2625"/>
      <c r="S9" s="2626"/>
    </row>
    <row r="10" spans="1:21" ht="16.5" customHeight="1" thickBot="1">
      <c r="A10" s="2583" t="s">
        <v>134</v>
      </c>
      <c r="B10" s="2584"/>
      <c r="C10" s="2584"/>
      <c r="D10" s="2584"/>
      <c r="E10" s="2584"/>
      <c r="F10" s="2584"/>
      <c r="G10" s="2584"/>
      <c r="H10" s="2584"/>
      <c r="I10" s="2584"/>
      <c r="J10" s="2584"/>
      <c r="K10" s="2584"/>
      <c r="L10" s="2584"/>
      <c r="M10" s="2584"/>
      <c r="N10" s="2584"/>
      <c r="O10" s="2584"/>
      <c r="P10" s="2584"/>
      <c r="Q10" s="2584"/>
      <c r="R10" s="2584"/>
      <c r="S10" s="2585"/>
    </row>
    <row r="11" spans="1:21" ht="16.5" customHeight="1" thickBot="1">
      <c r="A11" s="259" t="s">
        <v>10</v>
      </c>
      <c r="B11" s="263">
        <f t="shared" ref="B11:B57" si="0">J11</f>
        <v>90</v>
      </c>
      <c r="C11" s="263" t="s">
        <v>3</v>
      </c>
      <c r="D11" s="263">
        <f t="shared" ref="D11:D57" si="1">K11</f>
        <v>200</v>
      </c>
      <c r="E11" s="263" t="s">
        <v>3</v>
      </c>
      <c r="F11" s="261">
        <f t="shared" ref="F11:F57" si="2">L11</f>
        <v>700</v>
      </c>
      <c r="G11" s="263" t="s">
        <v>3</v>
      </c>
      <c r="H11" s="260">
        <v>2</v>
      </c>
      <c r="I11" s="262" t="s">
        <v>581</v>
      </c>
      <c r="J11" s="112">
        <v>90</v>
      </c>
      <c r="K11" s="75">
        <v>200</v>
      </c>
      <c r="L11" s="75">
        <v>700</v>
      </c>
      <c r="M11" s="202">
        <v>6.4586574778801307</v>
      </c>
      <c r="N11" s="87">
        <v>820.99289999999996</v>
      </c>
      <c r="O11" s="123">
        <v>25356.987582802354</v>
      </c>
      <c r="P11" s="123">
        <v>26703.24632988809</v>
      </c>
      <c r="Q11" s="120">
        <v>7482.4550490171396</v>
      </c>
      <c r="R11" s="123">
        <v>32839.442631819496</v>
      </c>
      <c r="S11" s="123">
        <v>34185.701378905229</v>
      </c>
      <c r="U11" s="7" t="s">
        <v>6403</v>
      </c>
    </row>
    <row r="12" spans="1:21" ht="16.5" customHeight="1" thickBot="1">
      <c r="A12" s="259" t="s">
        <v>10</v>
      </c>
      <c r="B12" s="263">
        <f t="shared" si="0"/>
        <v>90</v>
      </c>
      <c r="C12" s="263" t="s">
        <v>3</v>
      </c>
      <c r="D12" s="263">
        <f t="shared" si="1"/>
        <v>200</v>
      </c>
      <c r="E12" s="263" t="s">
        <v>3</v>
      </c>
      <c r="F12" s="261">
        <f t="shared" si="2"/>
        <v>750</v>
      </c>
      <c r="G12" s="263" t="s">
        <v>3</v>
      </c>
      <c r="H12" s="260">
        <v>2</v>
      </c>
      <c r="I12" s="262" t="s">
        <v>581</v>
      </c>
      <c r="J12" s="112">
        <v>90</v>
      </c>
      <c r="K12" s="75">
        <v>200</v>
      </c>
      <c r="L12" s="75">
        <v>750</v>
      </c>
      <c r="M12" s="202">
        <v>6.8310565969107895</v>
      </c>
      <c r="N12" s="87">
        <v>938.27760000000001</v>
      </c>
      <c r="O12" s="123">
        <v>26872.477366504103</v>
      </c>
      <c r="P12" s="123">
        <v>28276.110282960966</v>
      </c>
      <c r="Q12" s="120">
        <v>7840.8736877451383</v>
      </c>
      <c r="R12" s="123">
        <v>34713.351054249244</v>
      </c>
      <c r="S12" s="123">
        <v>36116.983970706104</v>
      </c>
      <c r="U12" s="7" t="s">
        <v>6404</v>
      </c>
    </row>
    <row r="13" spans="1:21" ht="16.5" customHeight="1" thickBot="1">
      <c r="A13" s="259" t="s">
        <v>10</v>
      </c>
      <c r="B13" s="263">
        <f t="shared" si="0"/>
        <v>90</v>
      </c>
      <c r="C13" s="263" t="s">
        <v>3</v>
      </c>
      <c r="D13" s="263">
        <f t="shared" si="1"/>
        <v>200</v>
      </c>
      <c r="E13" s="263" t="s">
        <v>3</v>
      </c>
      <c r="F13" s="261">
        <f t="shared" si="2"/>
        <v>800</v>
      </c>
      <c r="G13" s="263" t="s">
        <v>3</v>
      </c>
      <c r="H13" s="260">
        <v>2</v>
      </c>
      <c r="I13" s="262" t="s">
        <v>581</v>
      </c>
      <c r="J13" s="112">
        <v>90</v>
      </c>
      <c r="K13" s="75">
        <v>200</v>
      </c>
      <c r="L13" s="75">
        <v>800</v>
      </c>
      <c r="M13" s="202">
        <v>7.2034557159414465</v>
      </c>
      <c r="N13" s="87">
        <v>1055.5623000000001</v>
      </c>
      <c r="O13" s="123">
        <v>28387.967150205855</v>
      </c>
      <c r="P13" s="123">
        <v>29848.974236033846</v>
      </c>
      <c r="Q13" s="120">
        <v>8199.2923264731398</v>
      </c>
      <c r="R13" s="123">
        <v>36587.259476678999</v>
      </c>
      <c r="S13" s="123">
        <v>38048.266562506986</v>
      </c>
      <c r="U13" s="7" t="s">
        <v>6405</v>
      </c>
    </row>
    <row r="14" spans="1:21" ht="16.5" customHeight="1" thickBot="1">
      <c r="A14" s="259" t="s">
        <v>10</v>
      </c>
      <c r="B14" s="263">
        <f t="shared" si="0"/>
        <v>90</v>
      </c>
      <c r="C14" s="263" t="s">
        <v>3</v>
      </c>
      <c r="D14" s="263">
        <f t="shared" si="1"/>
        <v>200</v>
      </c>
      <c r="E14" s="263" t="s">
        <v>3</v>
      </c>
      <c r="F14" s="261">
        <f t="shared" si="2"/>
        <v>850</v>
      </c>
      <c r="G14" s="263" t="s">
        <v>3</v>
      </c>
      <c r="H14" s="260">
        <v>2</v>
      </c>
      <c r="I14" s="262" t="s">
        <v>581</v>
      </c>
      <c r="J14" s="112">
        <v>90</v>
      </c>
      <c r="K14" s="75">
        <v>200</v>
      </c>
      <c r="L14" s="75">
        <v>850</v>
      </c>
      <c r="M14" s="202">
        <v>7.592894834972105</v>
      </c>
      <c r="N14" s="87">
        <v>1172.847</v>
      </c>
      <c r="O14" s="123">
        <v>29903.456933907604</v>
      </c>
      <c r="P14" s="123">
        <v>31421.838189106722</v>
      </c>
      <c r="Q14" s="120">
        <v>8788.2927429844149</v>
      </c>
      <c r="R14" s="123">
        <v>38691.749676892017</v>
      </c>
      <c r="S14" s="123">
        <v>40210.130932091139</v>
      </c>
      <c r="U14" s="7" t="s">
        <v>6406</v>
      </c>
    </row>
    <row r="15" spans="1:21" ht="16.5" customHeight="1" thickBot="1">
      <c r="A15" s="259" t="s">
        <v>10</v>
      </c>
      <c r="B15" s="263">
        <f t="shared" si="0"/>
        <v>90</v>
      </c>
      <c r="C15" s="263" t="s">
        <v>3</v>
      </c>
      <c r="D15" s="263">
        <f t="shared" si="1"/>
        <v>200</v>
      </c>
      <c r="E15" s="263" t="s">
        <v>3</v>
      </c>
      <c r="F15" s="261">
        <f t="shared" si="2"/>
        <v>900</v>
      </c>
      <c r="G15" s="263" t="s">
        <v>3</v>
      </c>
      <c r="H15" s="260">
        <v>2</v>
      </c>
      <c r="I15" s="262" t="s">
        <v>581</v>
      </c>
      <c r="J15" s="112">
        <v>90</v>
      </c>
      <c r="K15" s="75">
        <v>200</v>
      </c>
      <c r="L15" s="75">
        <v>900</v>
      </c>
      <c r="M15" s="202">
        <v>8.0032939540027641</v>
      </c>
      <c r="N15" s="87">
        <v>1290.1317000000001</v>
      </c>
      <c r="O15" s="123">
        <v>31418.946717609349</v>
      </c>
      <c r="P15" s="123">
        <v>32994.702142179602</v>
      </c>
      <c r="Q15" s="120">
        <v>9146.7115221057775</v>
      </c>
      <c r="R15" s="123">
        <v>40565.658239715129</v>
      </c>
      <c r="S15" s="123">
        <v>42141.413664285377</v>
      </c>
      <c r="U15" s="7" t="s">
        <v>6407</v>
      </c>
    </row>
    <row r="16" spans="1:21" ht="16.5" customHeight="1" thickBot="1">
      <c r="A16" s="259" t="s">
        <v>10</v>
      </c>
      <c r="B16" s="263">
        <f t="shared" si="0"/>
        <v>90</v>
      </c>
      <c r="C16" s="263" t="s">
        <v>3</v>
      </c>
      <c r="D16" s="263">
        <f t="shared" si="1"/>
        <v>200</v>
      </c>
      <c r="E16" s="263" t="s">
        <v>3</v>
      </c>
      <c r="F16" s="261">
        <f t="shared" si="2"/>
        <v>950</v>
      </c>
      <c r="G16" s="263" t="s">
        <v>3</v>
      </c>
      <c r="H16" s="260">
        <v>2</v>
      </c>
      <c r="I16" s="262" t="s">
        <v>581</v>
      </c>
      <c r="J16" s="112">
        <v>90</v>
      </c>
      <c r="K16" s="75">
        <v>200</v>
      </c>
      <c r="L16" s="75">
        <v>950</v>
      </c>
      <c r="M16" s="202">
        <v>8.4617330730334217</v>
      </c>
      <c r="N16" s="87">
        <v>1407.4164000000001</v>
      </c>
      <c r="O16" s="123">
        <v>32934.436501311102</v>
      </c>
      <c r="P16" s="123">
        <v>34567.566095252478</v>
      </c>
      <c r="Q16" s="120">
        <v>9735.7119386170507</v>
      </c>
      <c r="R16" s="123">
        <v>42670.148439928154</v>
      </c>
      <c r="S16" s="123">
        <v>44303.27803386953</v>
      </c>
      <c r="U16" s="7" t="s">
        <v>6408</v>
      </c>
    </row>
    <row r="17" spans="1:21" ht="16.5" customHeight="1" thickBot="1">
      <c r="A17" s="259" t="s">
        <v>10</v>
      </c>
      <c r="B17" s="263">
        <f t="shared" si="0"/>
        <v>90</v>
      </c>
      <c r="C17" s="263" t="s">
        <v>3</v>
      </c>
      <c r="D17" s="263">
        <f t="shared" si="1"/>
        <v>200</v>
      </c>
      <c r="E17" s="263" t="s">
        <v>3</v>
      </c>
      <c r="F17" s="261">
        <f t="shared" si="2"/>
        <v>1000</v>
      </c>
      <c r="G17" s="263" t="s">
        <v>3</v>
      </c>
      <c r="H17" s="260">
        <v>2</v>
      </c>
      <c r="I17" s="262" t="s">
        <v>581</v>
      </c>
      <c r="J17" s="112">
        <v>90</v>
      </c>
      <c r="K17" s="75">
        <v>200</v>
      </c>
      <c r="L17" s="75">
        <v>1000</v>
      </c>
      <c r="M17" s="202">
        <v>8.8341321920640787</v>
      </c>
      <c r="N17" s="87">
        <v>1524.7011</v>
      </c>
      <c r="O17" s="123">
        <v>34354.79424739354</v>
      </c>
      <c r="P17" s="123">
        <v>36051.358406083418</v>
      </c>
      <c r="Q17" s="120">
        <v>10094.130577345051</v>
      </c>
      <c r="R17" s="123">
        <v>44448.924824738591</v>
      </c>
      <c r="S17" s="123">
        <v>46145.48898342847</v>
      </c>
      <c r="U17" s="7" t="s">
        <v>6409</v>
      </c>
    </row>
    <row r="18" spans="1:21" ht="16.5" customHeight="1" thickBot="1">
      <c r="A18" s="259" t="s">
        <v>10</v>
      </c>
      <c r="B18" s="263">
        <f t="shared" si="0"/>
        <v>90</v>
      </c>
      <c r="C18" s="263" t="s">
        <v>3</v>
      </c>
      <c r="D18" s="263">
        <f t="shared" si="1"/>
        <v>200</v>
      </c>
      <c r="E18" s="263" t="s">
        <v>3</v>
      </c>
      <c r="F18" s="261">
        <f t="shared" si="2"/>
        <v>1050</v>
      </c>
      <c r="G18" s="263" t="s">
        <v>3</v>
      </c>
      <c r="H18" s="260">
        <v>2</v>
      </c>
      <c r="I18" s="262" t="s">
        <v>581</v>
      </c>
      <c r="J18" s="112">
        <v>90</v>
      </c>
      <c r="K18" s="75">
        <v>200</v>
      </c>
      <c r="L18" s="75">
        <v>1050</v>
      </c>
      <c r="M18" s="202">
        <v>9.2235713110947373</v>
      </c>
      <c r="N18" s="87">
        <v>1641.9857999999999</v>
      </c>
      <c r="O18" s="123">
        <v>36096.222635357946</v>
      </c>
      <c r="P18" s="123">
        <v>37835.767449813706</v>
      </c>
      <c r="Q18" s="120">
        <v>10683.130993856326</v>
      </c>
      <c r="R18" s="123">
        <v>46779.353629214274</v>
      </c>
      <c r="S18" s="123">
        <v>48518.898443670034</v>
      </c>
      <c r="U18" s="7" t="s">
        <v>6410</v>
      </c>
    </row>
    <row r="19" spans="1:21" ht="16.5" customHeight="1" thickBot="1">
      <c r="A19" s="259" t="s">
        <v>10</v>
      </c>
      <c r="B19" s="260">
        <f t="shared" si="0"/>
        <v>90</v>
      </c>
      <c r="C19" s="260" t="s">
        <v>3</v>
      </c>
      <c r="D19" s="260">
        <f t="shared" si="1"/>
        <v>200</v>
      </c>
      <c r="E19" s="260" t="s">
        <v>3</v>
      </c>
      <c r="F19" s="261">
        <f t="shared" si="2"/>
        <v>1100</v>
      </c>
      <c r="G19" s="260" t="s">
        <v>3</v>
      </c>
      <c r="H19" s="260">
        <v>2</v>
      </c>
      <c r="I19" s="262" t="s">
        <v>581</v>
      </c>
      <c r="J19" s="112">
        <v>90</v>
      </c>
      <c r="K19" s="75">
        <v>200</v>
      </c>
      <c r="L19" s="75">
        <v>1100</v>
      </c>
      <c r="M19" s="202">
        <v>9.5959704301253943</v>
      </c>
      <c r="N19" s="87">
        <v>1759.2705000000001</v>
      </c>
      <c r="O19" s="123">
        <v>37611.712419059695</v>
      </c>
      <c r="P19" s="123">
        <v>39408.631402886582</v>
      </c>
      <c r="Q19" s="120">
        <v>11041.549772977691</v>
      </c>
      <c r="R19" s="123">
        <v>48653.262192037386</v>
      </c>
      <c r="S19" s="123">
        <v>50450.181175864273</v>
      </c>
      <c r="U19" s="7" t="s">
        <v>6411</v>
      </c>
    </row>
    <row r="20" spans="1:21" ht="16.5" customHeight="1" thickBot="1">
      <c r="A20" s="259" t="s">
        <v>10</v>
      </c>
      <c r="B20" s="263">
        <f t="shared" si="0"/>
        <v>90</v>
      </c>
      <c r="C20" s="263" t="s">
        <v>3</v>
      </c>
      <c r="D20" s="263">
        <f t="shared" si="1"/>
        <v>200</v>
      </c>
      <c r="E20" s="263" t="s">
        <v>3</v>
      </c>
      <c r="F20" s="261">
        <f t="shared" si="2"/>
        <v>1150</v>
      </c>
      <c r="G20" s="263" t="s">
        <v>3</v>
      </c>
      <c r="H20" s="260">
        <v>2</v>
      </c>
      <c r="I20" s="262" t="s">
        <v>581</v>
      </c>
      <c r="J20" s="112">
        <v>90</v>
      </c>
      <c r="K20" s="75">
        <v>200</v>
      </c>
      <c r="L20" s="75">
        <v>1150</v>
      </c>
      <c r="M20" s="202">
        <v>9.9683695491560531</v>
      </c>
      <c r="N20" s="87">
        <v>1876.5552</v>
      </c>
      <c r="O20" s="123">
        <v>38371.859750208343</v>
      </c>
      <c r="P20" s="123">
        <v>40274.272573970535</v>
      </c>
      <c r="Q20" s="120">
        <v>11399.96841170569</v>
      </c>
      <c r="R20" s="123">
        <v>49771.828161914033</v>
      </c>
      <c r="S20" s="123">
        <v>51674.240985676224</v>
      </c>
      <c r="U20" s="7" t="s">
        <v>6412</v>
      </c>
    </row>
    <row r="21" spans="1:21" ht="16.5" customHeight="1" thickBot="1">
      <c r="A21" s="259" t="s">
        <v>10</v>
      </c>
      <c r="B21" s="263">
        <f t="shared" si="0"/>
        <v>90</v>
      </c>
      <c r="C21" s="263" t="s">
        <v>3</v>
      </c>
      <c r="D21" s="263">
        <f t="shared" si="1"/>
        <v>200</v>
      </c>
      <c r="E21" s="263" t="s">
        <v>3</v>
      </c>
      <c r="F21" s="261">
        <f t="shared" si="2"/>
        <v>1200</v>
      </c>
      <c r="G21" s="263" t="s">
        <v>3</v>
      </c>
      <c r="H21" s="260">
        <v>2</v>
      </c>
      <c r="I21" s="262" t="s">
        <v>581</v>
      </c>
      <c r="J21" s="112">
        <v>90</v>
      </c>
      <c r="K21" s="75">
        <v>200</v>
      </c>
      <c r="L21" s="75">
        <v>1200</v>
      </c>
      <c r="M21" s="202">
        <v>10.573058668186709</v>
      </c>
      <c r="N21" s="87">
        <v>1993.8398999999999</v>
      </c>
      <c r="O21" s="123">
        <v>39167.146037781757</v>
      </c>
      <c r="P21" s="123">
        <v>41172.814108255196</v>
      </c>
      <c r="Q21" s="120">
        <v>11988.968828216965</v>
      </c>
      <c r="R21" s="123">
        <v>51156.114865998723</v>
      </c>
      <c r="S21" s="123">
        <v>53161.782936472162</v>
      </c>
      <c r="U21" s="7" t="s">
        <v>6413</v>
      </c>
    </row>
    <row r="22" spans="1:21" ht="16.5" customHeight="1" thickBot="1">
      <c r="A22" s="259" t="s">
        <v>10</v>
      </c>
      <c r="B22" s="263">
        <f t="shared" si="0"/>
        <v>90</v>
      </c>
      <c r="C22" s="263" t="s">
        <v>3</v>
      </c>
      <c r="D22" s="263">
        <f t="shared" si="1"/>
        <v>200</v>
      </c>
      <c r="E22" s="263" t="s">
        <v>3</v>
      </c>
      <c r="F22" s="261">
        <f t="shared" si="2"/>
        <v>1250</v>
      </c>
      <c r="G22" s="263" t="s">
        <v>3</v>
      </c>
      <c r="H22" s="260">
        <v>2</v>
      </c>
      <c r="I22" s="262" t="s">
        <v>581</v>
      </c>
      <c r="J22" s="112">
        <v>90</v>
      </c>
      <c r="K22" s="75">
        <v>200</v>
      </c>
      <c r="L22" s="75">
        <v>1250</v>
      </c>
      <c r="M22" s="202">
        <v>10.945457787217368</v>
      </c>
      <c r="N22" s="87">
        <v>2111.1246000000001</v>
      </c>
      <c r="O22" s="123">
        <v>39926.812212798446</v>
      </c>
      <c r="P22" s="123">
        <v>42038.004792137224</v>
      </c>
      <c r="Q22" s="120">
        <v>12347.387466944965</v>
      </c>
      <c r="R22" s="123">
        <v>52274.199679743411</v>
      </c>
      <c r="S22" s="123">
        <v>54385.392259082189</v>
      </c>
      <c r="U22" s="7" t="s">
        <v>6414</v>
      </c>
    </row>
    <row r="23" spans="1:21" ht="16.5" customHeight="1" thickBot="1">
      <c r="A23" s="259" t="s">
        <v>10</v>
      </c>
      <c r="B23" s="263">
        <f t="shared" si="0"/>
        <v>90</v>
      </c>
      <c r="C23" s="263" t="s">
        <v>3</v>
      </c>
      <c r="D23" s="263">
        <f t="shared" si="1"/>
        <v>200</v>
      </c>
      <c r="E23" s="263" t="s">
        <v>3</v>
      </c>
      <c r="F23" s="261">
        <f t="shared" si="2"/>
        <v>1300</v>
      </c>
      <c r="G23" s="263" t="s">
        <v>3</v>
      </c>
      <c r="H23" s="260">
        <v>2</v>
      </c>
      <c r="I23" s="262" t="s">
        <v>581</v>
      </c>
      <c r="J23" s="112">
        <v>90</v>
      </c>
      <c r="K23" s="75">
        <v>200</v>
      </c>
      <c r="L23" s="75">
        <v>1300</v>
      </c>
      <c r="M23" s="202">
        <v>11.396896906248026</v>
      </c>
      <c r="N23" s="87">
        <v>2228.4092999999998</v>
      </c>
      <c r="O23" s="123">
        <v>43138.861978487548</v>
      </c>
      <c r="P23" s="123">
        <v>45199.348195715422</v>
      </c>
      <c r="Q23" s="120">
        <v>12936.38788345624</v>
      </c>
      <c r="R23" s="123">
        <v>56075.24986194379</v>
      </c>
      <c r="S23" s="123">
        <v>58135.736079171664</v>
      </c>
      <c r="U23" s="7" t="s">
        <v>6415</v>
      </c>
    </row>
    <row r="24" spans="1:21" ht="16.5" customHeight="1" thickBot="1">
      <c r="A24" s="259" t="s">
        <v>10</v>
      </c>
      <c r="B24" s="263">
        <f t="shared" si="0"/>
        <v>90</v>
      </c>
      <c r="C24" s="263" t="s">
        <v>3</v>
      </c>
      <c r="D24" s="263">
        <f t="shared" si="1"/>
        <v>200</v>
      </c>
      <c r="E24" s="263" t="s">
        <v>3</v>
      </c>
      <c r="F24" s="261">
        <f t="shared" si="2"/>
        <v>1350</v>
      </c>
      <c r="G24" s="263" t="s">
        <v>3</v>
      </c>
      <c r="H24" s="260">
        <v>2</v>
      </c>
      <c r="I24" s="262" t="s">
        <v>581</v>
      </c>
      <c r="J24" s="112">
        <v>90</v>
      </c>
      <c r="K24" s="75">
        <v>200</v>
      </c>
      <c r="L24" s="75">
        <v>1350</v>
      </c>
      <c r="M24" s="202">
        <v>11.769296025278685</v>
      </c>
      <c r="N24" s="87">
        <v>2345.694</v>
      </c>
      <c r="O24" s="123">
        <v>44148.224677122918</v>
      </c>
      <c r="P24" s="123">
        <v>46298.328133278083</v>
      </c>
      <c r="Q24" s="120">
        <v>13294.806662577603</v>
      </c>
      <c r="R24" s="123">
        <v>57443.031339700523</v>
      </c>
      <c r="S24" s="123">
        <v>59593.134795855687</v>
      </c>
      <c r="U24" s="7" t="s">
        <v>6416</v>
      </c>
    </row>
    <row r="25" spans="1:21" ht="16.5" customHeight="1" thickBot="1">
      <c r="A25" s="259" t="s">
        <v>10</v>
      </c>
      <c r="B25" s="263">
        <f t="shared" si="0"/>
        <v>90</v>
      </c>
      <c r="C25" s="263" t="s">
        <v>3</v>
      </c>
      <c r="D25" s="263">
        <f t="shared" si="1"/>
        <v>200</v>
      </c>
      <c r="E25" s="263" t="s">
        <v>3</v>
      </c>
      <c r="F25" s="261">
        <f t="shared" si="2"/>
        <v>1400</v>
      </c>
      <c r="G25" s="263" t="s">
        <v>3</v>
      </c>
      <c r="H25" s="260">
        <v>2</v>
      </c>
      <c r="I25" s="262" t="s">
        <v>581</v>
      </c>
      <c r="J25" s="112">
        <v>90</v>
      </c>
      <c r="K25" s="75">
        <v>200</v>
      </c>
      <c r="L25" s="75">
        <v>1400</v>
      </c>
      <c r="M25" s="202">
        <v>12.158735144309341</v>
      </c>
      <c r="N25" s="87">
        <v>2462.9787000000001</v>
      </c>
      <c r="O25" s="123">
        <v>45484.603852033841</v>
      </c>
      <c r="P25" s="123">
        <v>47703.491990215327</v>
      </c>
      <c r="Q25" s="120">
        <v>13883.807079088876</v>
      </c>
      <c r="R25" s="123">
        <v>59368.410931122715</v>
      </c>
      <c r="S25" s="123">
        <v>61587.299069304201</v>
      </c>
      <c r="U25" s="7" t="s">
        <v>6417</v>
      </c>
    </row>
    <row r="26" spans="1:21" ht="16.5" customHeight="1" thickBot="1">
      <c r="A26" s="259" t="s">
        <v>10</v>
      </c>
      <c r="B26" s="263">
        <f t="shared" si="0"/>
        <v>90</v>
      </c>
      <c r="C26" s="263" t="s">
        <v>3</v>
      </c>
      <c r="D26" s="263">
        <f t="shared" si="1"/>
        <v>200</v>
      </c>
      <c r="E26" s="263" t="s">
        <v>3</v>
      </c>
      <c r="F26" s="261">
        <f t="shared" si="2"/>
        <v>1450</v>
      </c>
      <c r="G26" s="263" t="s">
        <v>3</v>
      </c>
      <c r="H26" s="260">
        <v>2</v>
      </c>
      <c r="I26" s="262" t="s">
        <v>581</v>
      </c>
      <c r="J26" s="112">
        <v>90</v>
      </c>
      <c r="K26" s="75">
        <v>200</v>
      </c>
      <c r="L26" s="75">
        <v>1450</v>
      </c>
      <c r="M26" s="202">
        <v>12.53113426334</v>
      </c>
      <c r="N26" s="87">
        <v>2580.2634000000003</v>
      </c>
      <c r="O26" s="123">
        <v>46493.966550669218</v>
      </c>
      <c r="P26" s="123">
        <v>48802.47192777798</v>
      </c>
      <c r="Q26" s="120">
        <v>14242.225717816877</v>
      </c>
      <c r="R26" s="123">
        <v>60736.192268486091</v>
      </c>
      <c r="S26" s="123">
        <v>63044.697645594861</v>
      </c>
      <c r="U26" s="7" t="s">
        <v>6418</v>
      </c>
    </row>
    <row r="27" spans="1:21" ht="16.5" customHeight="1" thickBot="1">
      <c r="A27" s="259" t="s">
        <v>10</v>
      </c>
      <c r="B27" s="263">
        <f t="shared" si="0"/>
        <v>90</v>
      </c>
      <c r="C27" s="263" t="s">
        <v>3</v>
      </c>
      <c r="D27" s="263">
        <f t="shared" si="1"/>
        <v>200</v>
      </c>
      <c r="E27" s="263" t="s">
        <v>3</v>
      </c>
      <c r="F27" s="261">
        <f t="shared" si="2"/>
        <v>1500</v>
      </c>
      <c r="G27" s="263" t="s">
        <v>3</v>
      </c>
      <c r="H27" s="260">
        <v>2</v>
      </c>
      <c r="I27" s="262" t="s">
        <v>581</v>
      </c>
      <c r="J27" s="112">
        <v>90</v>
      </c>
      <c r="K27" s="75">
        <v>200</v>
      </c>
      <c r="L27" s="75">
        <v>1500</v>
      </c>
      <c r="M27" s="202">
        <v>13.456136515170655</v>
      </c>
      <c r="N27" s="87">
        <v>2697.5480999999995</v>
      </c>
      <c r="O27" s="123">
        <v>47921.951552251223</v>
      </c>
      <c r="P27" s="123">
        <v>50367.436304346062</v>
      </c>
      <c r="Q27" s="120">
        <v>14831.226134328155</v>
      </c>
      <c r="R27" s="123">
        <v>62753.17768657938</v>
      </c>
      <c r="S27" s="123">
        <v>65198.662438674219</v>
      </c>
      <c r="U27" s="7" t="s">
        <v>6419</v>
      </c>
    </row>
    <row r="28" spans="1:21" ht="16.5" customHeight="1" thickBot="1">
      <c r="A28" s="259" t="s">
        <v>10</v>
      </c>
      <c r="B28" s="263">
        <f t="shared" si="0"/>
        <v>90</v>
      </c>
      <c r="C28" s="263" t="s">
        <v>3</v>
      </c>
      <c r="D28" s="263">
        <f t="shared" si="1"/>
        <v>200</v>
      </c>
      <c r="E28" s="263" t="s">
        <v>3</v>
      </c>
      <c r="F28" s="261">
        <f t="shared" si="2"/>
        <v>1550</v>
      </c>
      <c r="G28" s="263" t="s">
        <v>3</v>
      </c>
      <c r="H28" s="260">
        <v>2</v>
      </c>
      <c r="I28" s="262" t="s">
        <v>581</v>
      </c>
      <c r="J28" s="112">
        <v>90</v>
      </c>
      <c r="K28" s="75">
        <v>200</v>
      </c>
      <c r="L28" s="75">
        <v>1550</v>
      </c>
      <c r="M28" s="202">
        <v>13.897535634201315</v>
      </c>
      <c r="N28" s="87">
        <v>2814.8328000000001</v>
      </c>
      <c r="O28" s="123">
        <v>48931.3142508866</v>
      </c>
      <c r="P28" s="123">
        <v>51466.416361243078</v>
      </c>
      <c r="Q28" s="120">
        <v>15189.644913449516</v>
      </c>
      <c r="R28" s="123">
        <v>64120.95916433612</v>
      </c>
      <c r="S28" s="123">
        <v>66656.061274692591</v>
      </c>
      <c r="U28" s="7" t="s">
        <v>6420</v>
      </c>
    </row>
    <row r="29" spans="1:21" ht="16.5" customHeight="1" thickBot="1">
      <c r="A29" s="259" t="s">
        <v>10</v>
      </c>
      <c r="B29" s="260">
        <f t="shared" si="0"/>
        <v>90</v>
      </c>
      <c r="C29" s="260" t="s">
        <v>3</v>
      </c>
      <c r="D29" s="260">
        <f t="shared" si="1"/>
        <v>200</v>
      </c>
      <c r="E29" s="260" t="s">
        <v>3</v>
      </c>
      <c r="F29" s="261">
        <f t="shared" si="2"/>
        <v>1600</v>
      </c>
      <c r="G29" s="260" t="s">
        <v>3</v>
      </c>
      <c r="H29" s="260">
        <v>2</v>
      </c>
      <c r="I29" s="262" t="s">
        <v>581</v>
      </c>
      <c r="J29" s="112">
        <v>90</v>
      </c>
      <c r="K29" s="75">
        <v>200</v>
      </c>
      <c r="L29" s="75">
        <v>1600</v>
      </c>
      <c r="M29" s="202">
        <v>14.269934753231972</v>
      </c>
      <c r="N29" s="87">
        <v>2932.1174999999998</v>
      </c>
      <c r="O29" s="123">
        <v>51886.718295280312</v>
      </c>
      <c r="P29" s="123">
        <v>54387.463805263884</v>
      </c>
      <c r="Q29" s="120">
        <v>15548.063552177517</v>
      </c>
      <c r="R29" s="123">
        <v>67434.781847457823</v>
      </c>
      <c r="S29" s="123">
        <v>69935.527357441402</v>
      </c>
      <c r="U29" s="7" t="s">
        <v>6421</v>
      </c>
    </row>
    <row r="30" spans="1:21" ht="16.5" customHeight="1" thickBot="1">
      <c r="A30" s="259" t="s">
        <v>10</v>
      </c>
      <c r="B30" s="263">
        <f t="shared" si="0"/>
        <v>90</v>
      </c>
      <c r="C30" s="263" t="s">
        <v>3</v>
      </c>
      <c r="D30" s="263">
        <f t="shared" si="1"/>
        <v>200</v>
      </c>
      <c r="E30" s="263" t="s">
        <v>3</v>
      </c>
      <c r="F30" s="261">
        <f t="shared" si="2"/>
        <v>1650</v>
      </c>
      <c r="G30" s="263" t="s">
        <v>3</v>
      </c>
      <c r="H30" s="260">
        <v>2</v>
      </c>
      <c r="I30" s="262" t="s">
        <v>581</v>
      </c>
      <c r="J30" s="112">
        <v>90</v>
      </c>
      <c r="K30" s="75">
        <v>200</v>
      </c>
      <c r="L30" s="75">
        <v>1650</v>
      </c>
      <c r="M30" s="202">
        <v>14.697373872262631</v>
      </c>
      <c r="N30" s="87">
        <v>3049.4022</v>
      </c>
      <c r="O30" s="123">
        <v>55094.382403973948</v>
      </c>
      <c r="P30" s="123">
        <v>57544.700913579007</v>
      </c>
      <c r="Q30" s="120">
        <v>16137.063968688792</v>
      </c>
      <c r="R30" s="123">
        <v>71231.446372662744</v>
      </c>
      <c r="S30" s="123">
        <v>73681.764882267802</v>
      </c>
      <c r="U30" s="7" t="s">
        <v>6422</v>
      </c>
    </row>
    <row r="31" spans="1:21" ht="16.5" customHeight="1" thickBot="1">
      <c r="A31" s="259" t="s">
        <v>10</v>
      </c>
      <c r="B31" s="263">
        <f t="shared" si="0"/>
        <v>90</v>
      </c>
      <c r="C31" s="263" t="s">
        <v>3</v>
      </c>
      <c r="D31" s="263">
        <f t="shared" si="1"/>
        <v>200</v>
      </c>
      <c r="E31" s="263" t="s">
        <v>3</v>
      </c>
      <c r="F31" s="261">
        <f t="shared" si="2"/>
        <v>1700</v>
      </c>
      <c r="G31" s="263" t="s">
        <v>3</v>
      </c>
      <c r="H31" s="260">
        <v>2</v>
      </c>
      <c r="I31" s="262" t="s">
        <v>581</v>
      </c>
      <c r="J31" s="112">
        <v>90</v>
      </c>
      <c r="K31" s="75">
        <v>200</v>
      </c>
      <c r="L31" s="75">
        <v>1700</v>
      </c>
      <c r="M31" s="202">
        <v>15.06977299129329</v>
      </c>
      <c r="N31" s="87">
        <v>3166.6869000000002</v>
      </c>
      <c r="O31" s="123">
        <v>55898.597646225353</v>
      </c>
      <c r="P31" s="123">
        <v>58451.602535656471</v>
      </c>
      <c r="Q31" s="120">
        <v>16495.48260741679</v>
      </c>
      <c r="R31" s="123">
        <v>72394.08025364214</v>
      </c>
      <c r="S31" s="123">
        <v>74947.085143073258</v>
      </c>
      <c r="U31" s="7" t="s">
        <v>6423</v>
      </c>
    </row>
    <row r="32" spans="1:21" ht="16.5" customHeight="1" thickBot="1">
      <c r="A32" s="259" t="s">
        <v>10</v>
      </c>
      <c r="B32" s="263">
        <f t="shared" si="0"/>
        <v>90</v>
      </c>
      <c r="C32" s="263" t="s">
        <v>3</v>
      </c>
      <c r="D32" s="263">
        <f t="shared" si="1"/>
        <v>200</v>
      </c>
      <c r="E32" s="263" t="s">
        <v>3</v>
      </c>
      <c r="F32" s="261">
        <f t="shared" si="2"/>
        <v>1750</v>
      </c>
      <c r="G32" s="263" t="s">
        <v>3</v>
      </c>
      <c r="H32" s="260">
        <v>2</v>
      </c>
      <c r="I32" s="262" t="s">
        <v>581</v>
      </c>
      <c r="J32" s="112">
        <v>90</v>
      </c>
      <c r="K32" s="75">
        <v>200</v>
      </c>
      <c r="L32" s="75">
        <v>1750</v>
      </c>
      <c r="M32" s="202">
        <v>15.459212110323946</v>
      </c>
      <c r="N32" s="87">
        <v>3283.9715999999999</v>
      </c>
      <c r="O32" s="123">
        <v>56626.659190501858</v>
      </c>
      <c r="P32" s="123">
        <v>59287.20187875424</v>
      </c>
      <c r="Q32" s="120">
        <v>17084.483023928067</v>
      </c>
      <c r="R32" s="123">
        <v>73711.142214429929</v>
      </c>
      <c r="S32" s="123">
        <v>76371.684902682304</v>
      </c>
      <c r="U32" s="7" t="s">
        <v>6424</v>
      </c>
    </row>
    <row r="33" spans="1:21" ht="16.5" customHeight="1" thickBot="1">
      <c r="A33" s="259" t="s">
        <v>10</v>
      </c>
      <c r="B33" s="263">
        <f t="shared" si="0"/>
        <v>90</v>
      </c>
      <c r="C33" s="263" t="s">
        <v>3</v>
      </c>
      <c r="D33" s="263">
        <f t="shared" si="1"/>
        <v>200</v>
      </c>
      <c r="E33" s="263" t="s">
        <v>3</v>
      </c>
      <c r="F33" s="261">
        <f t="shared" si="2"/>
        <v>1800</v>
      </c>
      <c r="G33" s="263" t="s">
        <v>3</v>
      </c>
      <c r="H33" s="260">
        <v>2</v>
      </c>
      <c r="I33" s="262" t="s">
        <v>581</v>
      </c>
      <c r="J33" s="112">
        <v>90</v>
      </c>
      <c r="K33" s="75">
        <v>200</v>
      </c>
      <c r="L33" s="75">
        <v>1800</v>
      </c>
      <c r="M33" s="202">
        <v>15.900611229354602</v>
      </c>
      <c r="N33" s="87">
        <v>3401.2562999999996</v>
      </c>
      <c r="O33" s="123">
        <v>57431.570987401639</v>
      </c>
      <c r="P33" s="123">
        <v>60194.755782433211</v>
      </c>
      <c r="Q33" s="120">
        <v>17442.90180304943</v>
      </c>
      <c r="R33" s="123">
        <v>74874.472790451066</v>
      </c>
      <c r="S33" s="123">
        <v>77637.657585482637</v>
      </c>
      <c r="U33" s="7" t="s">
        <v>6425</v>
      </c>
    </row>
    <row r="34" spans="1:21" ht="16.5" customHeight="1" thickBot="1">
      <c r="A34" s="259" t="s">
        <v>10</v>
      </c>
      <c r="B34" s="263">
        <f t="shared" si="0"/>
        <v>90</v>
      </c>
      <c r="C34" s="263" t="s">
        <v>3</v>
      </c>
      <c r="D34" s="263">
        <f t="shared" si="1"/>
        <v>200</v>
      </c>
      <c r="E34" s="263" t="s">
        <v>3</v>
      </c>
      <c r="F34" s="261">
        <f t="shared" si="2"/>
        <v>1850</v>
      </c>
      <c r="G34" s="263" t="s">
        <v>3</v>
      </c>
      <c r="H34" s="260">
        <v>2</v>
      </c>
      <c r="I34" s="262" t="s">
        <v>581</v>
      </c>
      <c r="J34" s="112">
        <v>90</v>
      </c>
      <c r="K34" s="75">
        <v>200</v>
      </c>
      <c r="L34" s="75">
        <v>1850</v>
      </c>
      <c r="M34" s="202">
        <v>16.352050348385262</v>
      </c>
      <c r="N34" s="87">
        <v>3518.5410000000002</v>
      </c>
      <c r="O34" s="123">
        <v>58236.4346925551</v>
      </c>
      <c r="P34" s="123">
        <v>61102.264697059174</v>
      </c>
      <c r="Q34" s="120">
        <v>18031.902219560703</v>
      </c>
      <c r="R34" s="123">
        <v>76268.336912115803</v>
      </c>
      <c r="S34" s="123">
        <v>79134.16691661987</v>
      </c>
      <c r="U34" s="7" t="s">
        <v>6426</v>
      </c>
    </row>
    <row r="35" spans="1:21" ht="16.5" customHeight="1" thickBot="1">
      <c r="A35" s="259" t="s">
        <v>10</v>
      </c>
      <c r="B35" s="263">
        <f t="shared" si="0"/>
        <v>90</v>
      </c>
      <c r="C35" s="263" t="s">
        <v>3</v>
      </c>
      <c r="D35" s="263">
        <f t="shared" si="1"/>
        <v>200</v>
      </c>
      <c r="E35" s="263" t="s">
        <v>3</v>
      </c>
      <c r="F35" s="261">
        <f t="shared" si="2"/>
        <v>1900</v>
      </c>
      <c r="G35" s="263" t="s">
        <v>3</v>
      </c>
      <c r="H35" s="260">
        <v>2</v>
      </c>
      <c r="I35" s="262" t="s">
        <v>581</v>
      </c>
      <c r="J35" s="112">
        <v>90</v>
      </c>
      <c r="K35" s="75">
        <v>200</v>
      </c>
      <c r="L35" s="75">
        <v>1900</v>
      </c>
      <c r="M35" s="202">
        <v>16.724449467415919</v>
      </c>
      <c r="N35" s="87">
        <v>3635.8256999999999</v>
      </c>
      <c r="O35" s="123">
        <v>59216.352831666714</v>
      </c>
      <c r="P35" s="123">
        <v>62173.675891873434</v>
      </c>
      <c r="Q35" s="120">
        <v>18390.320858288702</v>
      </c>
      <c r="R35" s="123">
        <v>77606.673689955409</v>
      </c>
      <c r="S35" s="123">
        <v>80563.996750162129</v>
      </c>
      <c r="U35" s="7" t="s">
        <v>6427</v>
      </c>
    </row>
    <row r="36" spans="1:21" ht="16.5" customHeight="1" thickBot="1">
      <c r="A36" s="259" t="s">
        <v>10</v>
      </c>
      <c r="B36" s="263">
        <f t="shared" si="0"/>
        <v>90</v>
      </c>
      <c r="C36" s="263" t="s">
        <v>3</v>
      </c>
      <c r="D36" s="263">
        <f t="shared" si="1"/>
        <v>200</v>
      </c>
      <c r="E36" s="263" t="s">
        <v>3</v>
      </c>
      <c r="F36" s="261">
        <f t="shared" si="2"/>
        <v>1950</v>
      </c>
      <c r="G36" s="263" t="s">
        <v>3</v>
      </c>
      <c r="H36" s="260">
        <v>2</v>
      </c>
      <c r="I36" s="262" t="s">
        <v>581</v>
      </c>
      <c r="J36" s="112">
        <v>90</v>
      </c>
      <c r="K36" s="75">
        <v>200</v>
      </c>
      <c r="L36" s="75">
        <v>1950</v>
      </c>
      <c r="M36" s="202">
        <v>17.250098586446576</v>
      </c>
      <c r="N36" s="87">
        <v>3753.1104</v>
      </c>
      <c r="O36" s="123">
        <v>60355.472193262656</v>
      </c>
      <c r="P36" s="123">
        <v>63394.146440078046</v>
      </c>
      <c r="Q36" s="120">
        <v>18748.739497016704</v>
      </c>
      <c r="R36" s="123">
        <v>79104.211690279364</v>
      </c>
      <c r="S36" s="123">
        <v>82142.885937094747</v>
      </c>
      <c r="U36" s="7" t="s">
        <v>6428</v>
      </c>
    </row>
    <row r="37" spans="1:21" ht="16.5" customHeight="1" thickBot="1">
      <c r="A37" s="259" t="s">
        <v>10</v>
      </c>
      <c r="B37" s="263">
        <f t="shared" si="0"/>
        <v>90</v>
      </c>
      <c r="C37" s="263" t="s">
        <v>3</v>
      </c>
      <c r="D37" s="263">
        <f t="shared" si="1"/>
        <v>200</v>
      </c>
      <c r="E37" s="263" t="s">
        <v>3</v>
      </c>
      <c r="F37" s="261">
        <f t="shared" si="2"/>
        <v>2000</v>
      </c>
      <c r="G37" s="263" t="s">
        <v>3</v>
      </c>
      <c r="H37" s="260">
        <v>2</v>
      </c>
      <c r="I37" s="262" t="s">
        <v>581</v>
      </c>
      <c r="J37" s="112">
        <v>90</v>
      </c>
      <c r="K37" s="75">
        <v>200</v>
      </c>
      <c r="L37" s="75">
        <v>2000</v>
      </c>
      <c r="M37" s="202">
        <v>17.731100105477235</v>
      </c>
      <c r="N37" s="87">
        <v>3870.3950999999993</v>
      </c>
      <c r="O37" s="123">
        <v>61366.617747208416</v>
      </c>
      <c r="P37" s="123">
        <v>64685.052899822374</v>
      </c>
      <c r="Q37" s="120">
        <v>19337.740053921341</v>
      </c>
      <c r="R37" s="123">
        <v>80704.35780112975</v>
      </c>
      <c r="S37" s="123">
        <v>84022.792953743716</v>
      </c>
      <c r="U37" s="7" t="s">
        <v>6429</v>
      </c>
    </row>
    <row r="38" spans="1:21" ht="16.5" customHeight="1" thickBot="1">
      <c r="A38" s="259" t="s">
        <v>10</v>
      </c>
      <c r="B38" s="263">
        <f t="shared" si="0"/>
        <v>90</v>
      </c>
      <c r="C38" s="263" t="s">
        <v>3</v>
      </c>
      <c r="D38" s="263">
        <f t="shared" si="1"/>
        <v>200</v>
      </c>
      <c r="E38" s="263" t="s">
        <v>3</v>
      </c>
      <c r="F38" s="261">
        <f t="shared" si="2"/>
        <v>2050</v>
      </c>
      <c r="G38" s="263" t="s">
        <v>3</v>
      </c>
      <c r="H38" s="260">
        <v>2</v>
      </c>
      <c r="I38" s="262" t="s">
        <v>581</v>
      </c>
      <c r="J38" s="112">
        <v>90</v>
      </c>
      <c r="K38" s="75">
        <v>200</v>
      </c>
      <c r="L38" s="75">
        <v>2050</v>
      </c>
      <c r="M38" s="202">
        <v>18.103499224507896</v>
      </c>
      <c r="N38" s="87">
        <v>3987.6797999999999</v>
      </c>
      <c r="O38" s="123">
        <v>64315.451719181197</v>
      </c>
      <c r="P38" s="123">
        <v>67599.948896350543</v>
      </c>
      <c r="Q38" s="120">
        <v>19696.15869264934</v>
      </c>
      <c r="R38" s="123">
        <v>84011.610411830537</v>
      </c>
      <c r="S38" s="123">
        <v>87296.107588999876</v>
      </c>
      <c r="U38" s="7" t="s">
        <v>6430</v>
      </c>
    </row>
    <row r="39" spans="1:21" ht="16.5" customHeight="1" thickBot="1">
      <c r="A39" s="259" t="s">
        <v>10</v>
      </c>
      <c r="B39" s="260">
        <f t="shared" si="0"/>
        <v>90</v>
      </c>
      <c r="C39" s="260" t="s">
        <v>3</v>
      </c>
      <c r="D39" s="260">
        <f t="shared" si="1"/>
        <v>200</v>
      </c>
      <c r="E39" s="260" t="s">
        <v>3</v>
      </c>
      <c r="F39" s="261">
        <f t="shared" si="2"/>
        <v>2100</v>
      </c>
      <c r="G39" s="260" t="s">
        <v>3</v>
      </c>
      <c r="H39" s="260">
        <v>2</v>
      </c>
      <c r="I39" s="262" t="s">
        <v>581</v>
      </c>
      <c r="J39" s="112">
        <v>90</v>
      </c>
      <c r="K39" s="75">
        <v>200</v>
      </c>
      <c r="L39" s="75">
        <v>2100</v>
      </c>
      <c r="M39" s="202">
        <v>18.492938343538555</v>
      </c>
      <c r="N39" s="87">
        <v>4104.9645</v>
      </c>
      <c r="O39" s="123">
        <v>65182.245302161566</v>
      </c>
      <c r="P39" s="123">
        <v>68565.44225625509</v>
      </c>
      <c r="Q39" s="120">
        <v>20285.159109160617</v>
      </c>
      <c r="R39" s="123">
        <v>85467.404411322175</v>
      </c>
      <c r="S39" s="123">
        <v>88850.6013654157</v>
      </c>
      <c r="U39" s="7" t="s">
        <v>6431</v>
      </c>
    </row>
    <row r="40" spans="1:21" ht="16.5" customHeight="1" thickBot="1">
      <c r="A40" s="259" t="s">
        <v>10</v>
      </c>
      <c r="B40" s="263">
        <f t="shared" si="0"/>
        <v>90</v>
      </c>
      <c r="C40" s="263" t="s">
        <v>3</v>
      </c>
      <c r="D40" s="263">
        <f t="shared" si="1"/>
        <v>200</v>
      </c>
      <c r="E40" s="263" t="s">
        <v>3</v>
      </c>
      <c r="F40" s="261">
        <f t="shared" si="2"/>
        <v>2150</v>
      </c>
      <c r="G40" s="263" t="s">
        <v>3</v>
      </c>
      <c r="H40" s="260">
        <v>2</v>
      </c>
      <c r="I40" s="262" t="s">
        <v>581</v>
      </c>
      <c r="J40" s="112">
        <v>90</v>
      </c>
      <c r="K40" s="75">
        <v>200</v>
      </c>
      <c r="L40" s="75">
        <v>2150</v>
      </c>
      <c r="M40" s="202">
        <v>18.98933746256921</v>
      </c>
      <c r="N40" s="87">
        <v>4222.2492000000002</v>
      </c>
      <c r="O40" s="123">
        <v>66196.656202148704</v>
      </c>
      <c r="P40" s="123">
        <v>69669.148908408708</v>
      </c>
      <c r="Q40" s="120">
        <v>20643.577747888616</v>
      </c>
      <c r="R40" s="123">
        <v>86840.23395003732</v>
      </c>
      <c r="S40" s="123">
        <v>90312.726656297324</v>
      </c>
      <c r="U40" s="7" t="s">
        <v>6432</v>
      </c>
    </row>
    <row r="41" spans="1:21" ht="16.5" customHeight="1" thickBot="1">
      <c r="A41" s="259" t="s">
        <v>10</v>
      </c>
      <c r="B41" s="263">
        <f t="shared" si="0"/>
        <v>90</v>
      </c>
      <c r="C41" s="263" t="s">
        <v>3</v>
      </c>
      <c r="D41" s="263">
        <f t="shared" si="1"/>
        <v>200</v>
      </c>
      <c r="E41" s="263" t="s">
        <v>3</v>
      </c>
      <c r="F41" s="261">
        <f t="shared" si="2"/>
        <v>2200</v>
      </c>
      <c r="G41" s="263" t="s">
        <v>3</v>
      </c>
      <c r="H41" s="260">
        <v>2</v>
      </c>
      <c r="I41" s="262" t="s">
        <v>581</v>
      </c>
      <c r="J41" s="112">
        <v>90</v>
      </c>
      <c r="K41" s="75">
        <v>200</v>
      </c>
      <c r="L41" s="75">
        <v>2200</v>
      </c>
      <c r="M41" s="202">
        <v>19.378776581599869</v>
      </c>
      <c r="N41" s="87">
        <v>4339.5338999999994</v>
      </c>
      <c r="O41" s="123">
        <v>67211.019010389515</v>
      </c>
      <c r="P41" s="123">
        <v>70772.810571509326</v>
      </c>
      <c r="Q41" s="120">
        <v>21232.578164399893</v>
      </c>
      <c r="R41" s="123">
        <v>88443.597174789407</v>
      </c>
      <c r="S41" s="123">
        <v>92005.388735909219</v>
      </c>
      <c r="U41" s="7" t="s">
        <v>6433</v>
      </c>
    </row>
    <row r="42" spans="1:21" ht="16.5" customHeight="1" thickBot="1">
      <c r="A42" s="259" t="s">
        <v>10</v>
      </c>
      <c r="B42" s="263">
        <f t="shared" si="0"/>
        <v>90</v>
      </c>
      <c r="C42" s="263" t="s">
        <v>3</v>
      </c>
      <c r="D42" s="263">
        <f t="shared" si="1"/>
        <v>200</v>
      </c>
      <c r="E42" s="263" t="s">
        <v>3</v>
      </c>
      <c r="F42" s="261">
        <f t="shared" si="2"/>
        <v>2250</v>
      </c>
      <c r="G42" s="263" t="s">
        <v>3</v>
      </c>
      <c r="H42" s="260">
        <v>2</v>
      </c>
      <c r="I42" s="262" t="s">
        <v>581</v>
      </c>
      <c r="J42" s="112">
        <v>90</v>
      </c>
      <c r="K42" s="75">
        <v>200</v>
      </c>
      <c r="L42" s="75">
        <v>2250</v>
      </c>
      <c r="M42" s="202">
        <v>19.751175700630526</v>
      </c>
      <c r="N42" s="87">
        <v>4456.8185999999996</v>
      </c>
      <c r="O42" s="123">
        <v>68544.992881978076</v>
      </c>
      <c r="P42" s="123">
        <v>72175.722350440046</v>
      </c>
      <c r="Q42" s="120">
        <v>21590.996943521255</v>
      </c>
      <c r="R42" s="123">
        <v>90135.989825499331</v>
      </c>
      <c r="S42" s="123">
        <v>93766.719293961301</v>
      </c>
      <c r="U42" s="7" t="s">
        <v>6434</v>
      </c>
    </row>
    <row r="43" spans="1:21" ht="16.5" customHeight="1" thickBot="1">
      <c r="A43" s="259" t="s">
        <v>10</v>
      </c>
      <c r="B43" s="263">
        <f t="shared" si="0"/>
        <v>90</v>
      </c>
      <c r="C43" s="263" t="s">
        <v>3</v>
      </c>
      <c r="D43" s="263">
        <f t="shared" si="1"/>
        <v>200</v>
      </c>
      <c r="E43" s="263" t="s">
        <v>3</v>
      </c>
      <c r="F43" s="261">
        <f t="shared" si="2"/>
        <v>2300</v>
      </c>
      <c r="G43" s="263" t="s">
        <v>3</v>
      </c>
      <c r="H43" s="260">
        <v>2</v>
      </c>
      <c r="I43" s="262" t="s">
        <v>581</v>
      </c>
      <c r="J43" s="112">
        <v>90</v>
      </c>
      <c r="K43" s="75">
        <v>200</v>
      </c>
      <c r="L43" s="75">
        <v>2300</v>
      </c>
      <c r="M43" s="202">
        <v>20.123574819661187</v>
      </c>
      <c r="N43" s="87">
        <v>4574.1032999999998</v>
      </c>
      <c r="O43" s="123">
        <v>69316.450246252367</v>
      </c>
      <c r="P43" s="123">
        <v>73051.953013795297</v>
      </c>
      <c r="Q43" s="120">
        <v>21949.415582249254</v>
      </c>
      <c r="R43" s="123">
        <v>91265.865828501614</v>
      </c>
      <c r="S43" s="123">
        <v>95001.368596044544</v>
      </c>
      <c r="U43" s="7" t="s">
        <v>6435</v>
      </c>
    </row>
    <row r="44" spans="1:21" ht="16.5" customHeight="1" thickBot="1">
      <c r="A44" s="259" t="s">
        <v>10</v>
      </c>
      <c r="B44" s="263">
        <f t="shared" si="0"/>
        <v>90</v>
      </c>
      <c r="C44" s="263" t="s">
        <v>3</v>
      </c>
      <c r="D44" s="263">
        <f t="shared" si="1"/>
        <v>200</v>
      </c>
      <c r="E44" s="263" t="s">
        <v>3</v>
      </c>
      <c r="F44" s="261">
        <f t="shared" si="2"/>
        <v>2350</v>
      </c>
      <c r="G44" s="263" t="s">
        <v>3</v>
      </c>
      <c r="H44" s="260">
        <v>2</v>
      </c>
      <c r="I44" s="262" t="s">
        <v>581</v>
      </c>
      <c r="J44" s="112">
        <v>90</v>
      </c>
      <c r="K44" s="75">
        <v>200</v>
      </c>
      <c r="L44" s="75">
        <v>2350</v>
      </c>
      <c r="M44" s="202">
        <v>20.513013938691842</v>
      </c>
      <c r="N44" s="87">
        <v>4691.3879999999999</v>
      </c>
      <c r="O44" s="123">
        <v>70087.859518780344</v>
      </c>
      <c r="P44" s="123">
        <v>73928.13856876317</v>
      </c>
      <c r="Q44" s="120">
        <v>22538.415998760531</v>
      </c>
      <c r="R44" s="123">
        <v>92626.275517540867</v>
      </c>
      <c r="S44" s="123">
        <v>96466.554567523708</v>
      </c>
      <c r="U44" s="7" t="s">
        <v>6436</v>
      </c>
    </row>
    <row r="45" spans="1:21" ht="16.5" customHeight="1" thickBot="1">
      <c r="A45" s="259" t="s">
        <v>10</v>
      </c>
      <c r="B45" s="263">
        <f t="shared" si="0"/>
        <v>90</v>
      </c>
      <c r="C45" s="263" t="s">
        <v>3</v>
      </c>
      <c r="D45" s="263">
        <f t="shared" si="1"/>
        <v>200</v>
      </c>
      <c r="E45" s="263" t="s">
        <v>3</v>
      </c>
      <c r="F45" s="261">
        <f t="shared" si="2"/>
        <v>2400</v>
      </c>
      <c r="G45" s="263" t="s">
        <v>3</v>
      </c>
      <c r="H45" s="260">
        <v>2</v>
      </c>
      <c r="I45" s="262" t="s">
        <v>581</v>
      </c>
      <c r="J45" s="112">
        <v>90</v>
      </c>
      <c r="K45" s="75">
        <v>200</v>
      </c>
      <c r="L45" s="75">
        <v>2400</v>
      </c>
      <c r="M45" s="202">
        <v>20.885413057722499</v>
      </c>
      <c r="N45" s="87">
        <v>4808.6727000000001</v>
      </c>
      <c r="O45" s="123">
        <v>70859.220699562007</v>
      </c>
      <c r="P45" s="123">
        <v>74804.279254012392</v>
      </c>
      <c r="Q45" s="120">
        <v>22896.83463748853</v>
      </c>
      <c r="R45" s="123">
        <v>93756.055337050537</v>
      </c>
      <c r="S45" s="123">
        <v>97701.113891500921</v>
      </c>
      <c r="U45" s="7" t="s">
        <v>6437</v>
      </c>
    </row>
    <row r="46" spans="1:21" ht="16.5" customHeight="1" thickBot="1">
      <c r="A46" s="259" t="s">
        <v>10</v>
      </c>
      <c r="B46" s="263">
        <f t="shared" si="0"/>
        <v>90</v>
      </c>
      <c r="C46" s="263" t="s">
        <v>3</v>
      </c>
      <c r="D46" s="263">
        <f t="shared" si="1"/>
        <v>200</v>
      </c>
      <c r="E46" s="263" t="s">
        <v>3</v>
      </c>
      <c r="F46" s="261">
        <f t="shared" si="2"/>
        <v>2450</v>
      </c>
      <c r="G46" s="263" t="s">
        <v>3</v>
      </c>
      <c r="H46" s="260">
        <v>2</v>
      </c>
      <c r="I46" s="262" t="s">
        <v>581</v>
      </c>
      <c r="J46" s="112">
        <v>90</v>
      </c>
      <c r="K46" s="75">
        <v>200</v>
      </c>
      <c r="L46" s="75">
        <v>2450</v>
      </c>
      <c r="M46" s="202">
        <v>21.924415309553162</v>
      </c>
      <c r="N46" s="87">
        <v>4925.9574000000002</v>
      </c>
      <c r="O46" s="123">
        <v>72049.156091543948</v>
      </c>
      <c r="P46" s="123">
        <v>76146.359031210945</v>
      </c>
      <c r="Q46" s="120">
        <v>23485.83519439317</v>
      </c>
      <c r="R46" s="123">
        <v>95534.991285937111</v>
      </c>
      <c r="S46" s="123">
        <v>99632.194225604122</v>
      </c>
      <c r="U46" s="7" t="s">
        <v>6438</v>
      </c>
    </row>
    <row r="47" spans="1:21" ht="16.5" customHeight="1" thickBot="1">
      <c r="A47" s="259" t="s">
        <v>10</v>
      </c>
      <c r="B47" s="263">
        <f t="shared" si="0"/>
        <v>90</v>
      </c>
      <c r="C47" s="263" t="s">
        <v>3</v>
      </c>
      <c r="D47" s="263">
        <f t="shared" si="1"/>
        <v>200</v>
      </c>
      <c r="E47" s="263" t="s">
        <v>3</v>
      </c>
      <c r="F47" s="261">
        <f t="shared" si="2"/>
        <v>2500</v>
      </c>
      <c r="G47" s="263" t="s">
        <v>3</v>
      </c>
      <c r="H47" s="260">
        <v>2</v>
      </c>
      <c r="I47" s="262" t="s">
        <v>581</v>
      </c>
      <c r="J47" s="112">
        <v>90</v>
      </c>
      <c r="K47" s="75">
        <v>200</v>
      </c>
      <c r="L47" s="75">
        <v>2500</v>
      </c>
      <c r="M47" s="202">
        <v>22.313814428583818</v>
      </c>
      <c r="N47" s="87">
        <v>5043.2420999999995</v>
      </c>
      <c r="O47" s="123">
        <v>72820.421088832954</v>
      </c>
      <c r="P47" s="123">
        <v>77022.409619019774</v>
      </c>
      <c r="Q47" s="120">
        <v>23844.253833121165</v>
      </c>
      <c r="R47" s="123">
        <v>96664.674921954123</v>
      </c>
      <c r="S47" s="123">
        <v>100866.66345214094</v>
      </c>
      <c r="U47" s="7" t="s">
        <v>6439</v>
      </c>
    </row>
    <row r="48" spans="1:21" ht="16.5" customHeight="1" thickBot="1">
      <c r="A48" s="259" t="s">
        <v>10</v>
      </c>
      <c r="B48" s="263">
        <f t="shared" si="0"/>
        <v>90</v>
      </c>
      <c r="C48" s="263" t="s">
        <v>3</v>
      </c>
      <c r="D48" s="263">
        <f t="shared" si="1"/>
        <v>200</v>
      </c>
      <c r="E48" s="263" t="s">
        <v>3</v>
      </c>
      <c r="F48" s="261">
        <f t="shared" si="2"/>
        <v>2550</v>
      </c>
      <c r="G48" s="263" t="s">
        <v>3</v>
      </c>
      <c r="H48" s="260">
        <v>2</v>
      </c>
      <c r="I48" s="262" t="s">
        <v>581</v>
      </c>
      <c r="J48" s="112">
        <v>90</v>
      </c>
      <c r="K48" s="75">
        <v>200</v>
      </c>
      <c r="L48" s="75">
        <v>2550</v>
      </c>
      <c r="M48" s="202">
        <v>22.703253547614473</v>
      </c>
      <c r="N48" s="87">
        <v>5160.5268000000005</v>
      </c>
      <c r="O48" s="123">
        <v>76885.973692700602</v>
      </c>
      <c r="P48" s="123">
        <v>80982.882831177893</v>
      </c>
      <c r="Q48" s="120">
        <v>24433.254249632446</v>
      </c>
      <c r="R48" s="123">
        <v>101319.22794233305</v>
      </c>
      <c r="S48" s="123">
        <v>105416.13708081034</v>
      </c>
      <c r="U48" s="7" t="s">
        <v>6440</v>
      </c>
    </row>
    <row r="49" spans="1:21" ht="16.5" customHeight="1" thickBot="1">
      <c r="A49" s="259" t="s">
        <v>10</v>
      </c>
      <c r="B49" s="260">
        <f t="shared" si="0"/>
        <v>90</v>
      </c>
      <c r="C49" s="260" t="s">
        <v>3</v>
      </c>
      <c r="D49" s="260">
        <f t="shared" si="1"/>
        <v>200</v>
      </c>
      <c r="E49" s="260" t="s">
        <v>3</v>
      </c>
      <c r="F49" s="261">
        <f t="shared" si="2"/>
        <v>2600</v>
      </c>
      <c r="G49" s="260" t="s">
        <v>3</v>
      </c>
      <c r="H49" s="260">
        <v>2</v>
      </c>
      <c r="I49" s="262" t="s">
        <v>581</v>
      </c>
      <c r="J49" s="112">
        <v>90</v>
      </c>
      <c r="K49" s="75">
        <v>200</v>
      </c>
      <c r="L49" s="75">
        <v>2600</v>
      </c>
      <c r="M49" s="202">
        <v>23.075652666645134</v>
      </c>
      <c r="N49" s="87">
        <v>5277.8114999999998</v>
      </c>
      <c r="O49" s="123">
        <v>77927.746051656068</v>
      </c>
      <c r="P49" s="123">
        <v>82112.207825330726</v>
      </c>
      <c r="Q49" s="120">
        <v>24791.672888360441</v>
      </c>
      <c r="R49" s="123">
        <v>102719.41894001651</v>
      </c>
      <c r="S49" s="123">
        <v>106903.88071369116</v>
      </c>
      <c r="U49" s="7" t="s">
        <v>6441</v>
      </c>
    </row>
    <row r="50" spans="1:21" ht="16.5" customHeight="1" thickBot="1">
      <c r="A50" s="259" t="s">
        <v>10</v>
      </c>
      <c r="B50" s="263">
        <f t="shared" si="0"/>
        <v>90</v>
      </c>
      <c r="C50" s="263" t="s">
        <v>3</v>
      </c>
      <c r="D50" s="263">
        <f t="shared" si="1"/>
        <v>200</v>
      </c>
      <c r="E50" s="263" t="s">
        <v>3</v>
      </c>
      <c r="F50" s="261">
        <f t="shared" si="2"/>
        <v>2650</v>
      </c>
      <c r="G50" s="263" t="s">
        <v>3</v>
      </c>
      <c r="H50" s="260">
        <v>2</v>
      </c>
      <c r="I50" s="262" t="s">
        <v>581</v>
      </c>
      <c r="J50" s="112">
        <v>90</v>
      </c>
      <c r="K50" s="75">
        <v>200</v>
      </c>
      <c r="L50" s="75">
        <v>2650</v>
      </c>
      <c r="M50" s="202">
        <v>23.572091785675795</v>
      </c>
      <c r="N50" s="87">
        <v>5395.096199999999</v>
      </c>
      <c r="O50" s="123">
        <v>78538.898589302102</v>
      </c>
      <c r="P50" s="123">
        <v>82838.345938422965</v>
      </c>
      <c r="Q50" s="120">
        <v>25380.673304871718</v>
      </c>
      <c r="R50" s="123">
        <v>103919.57189417382</v>
      </c>
      <c r="S50" s="123">
        <v>108219.01924329468</v>
      </c>
      <c r="U50" s="7" t="s">
        <v>6442</v>
      </c>
    </row>
    <row r="51" spans="1:21" ht="16.5" customHeight="1" thickBot="1">
      <c r="A51" s="259" t="s">
        <v>10</v>
      </c>
      <c r="B51" s="263">
        <f t="shared" si="0"/>
        <v>90</v>
      </c>
      <c r="C51" s="263" t="s">
        <v>3</v>
      </c>
      <c r="D51" s="263">
        <f t="shared" si="1"/>
        <v>200</v>
      </c>
      <c r="E51" s="263" t="s">
        <v>3</v>
      </c>
      <c r="F51" s="261">
        <f t="shared" si="2"/>
        <v>2700</v>
      </c>
      <c r="G51" s="263" t="s">
        <v>3</v>
      </c>
      <c r="H51" s="260">
        <v>2</v>
      </c>
      <c r="I51" s="262" t="s">
        <v>581</v>
      </c>
      <c r="J51" s="112">
        <v>90</v>
      </c>
      <c r="K51" s="75">
        <v>200</v>
      </c>
      <c r="L51" s="75">
        <v>2700</v>
      </c>
      <c r="M51" s="202">
        <v>23.983740904706448</v>
      </c>
      <c r="N51" s="87">
        <v>5512.3809000000001</v>
      </c>
      <c r="O51" s="123">
        <v>79185.382450358229</v>
      </c>
      <c r="P51" s="123">
        <v>83597.564728931044</v>
      </c>
      <c r="Q51" s="120">
        <v>25739.09208399308</v>
      </c>
      <c r="R51" s="123">
        <v>104924.47453435131</v>
      </c>
      <c r="S51" s="123">
        <v>109336.65681292412</v>
      </c>
      <c r="U51" s="7" t="s">
        <v>6443</v>
      </c>
    </row>
    <row r="52" spans="1:21" ht="16.5" customHeight="1" thickBot="1">
      <c r="A52" s="259" t="s">
        <v>10</v>
      </c>
      <c r="B52" s="263">
        <f t="shared" si="0"/>
        <v>90</v>
      </c>
      <c r="C52" s="263" t="s">
        <v>3</v>
      </c>
      <c r="D52" s="263">
        <f t="shared" si="1"/>
        <v>200</v>
      </c>
      <c r="E52" s="263" t="s">
        <v>3</v>
      </c>
      <c r="F52" s="261">
        <f t="shared" si="2"/>
        <v>2750</v>
      </c>
      <c r="G52" s="263" t="s">
        <v>3</v>
      </c>
      <c r="H52" s="260">
        <v>2</v>
      </c>
      <c r="I52" s="262" t="s">
        <v>581</v>
      </c>
      <c r="J52" s="112">
        <v>90</v>
      </c>
      <c r="K52" s="75">
        <v>200</v>
      </c>
      <c r="L52" s="75">
        <v>2750</v>
      </c>
      <c r="M52" s="202">
        <v>24.356140023737108</v>
      </c>
      <c r="N52" s="87">
        <v>5629.6656000000003</v>
      </c>
      <c r="O52" s="123">
        <v>79878.192863913311</v>
      </c>
      <c r="P52" s="123">
        <v>84400.158694592974</v>
      </c>
      <c r="Q52" s="120">
        <v>26097.510722721079</v>
      </c>
      <c r="R52" s="123">
        <v>105975.70358663439</v>
      </c>
      <c r="S52" s="123">
        <v>110497.66941731406</v>
      </c>
      <c r="U52" s="7" t="s">
        <v>6444</v>
      </c>
    </row>
    <row r="53" spans="1:21" ht="16.5" customHeight="1" thickBot="1">
      <c r="A53" s="259" t="s">
        <v>10</v>
      </c>
      <c r="B53" s="263">
        <f t="shared" si="0"/>
        <v>90</v>
      </c>
      <c r="C53" s="263" t="s">
        <v>3</v>
      </c>
      <c r="D53" s="263">
        <f t="shared" si="1"/>
        <v>200</v>
      </c>
      <c r="E53" s="263" t="s">
        <v>3</v>
      </c>
      <c r="F53" s="261">
        <f t="shared" si="2"/>
        <v>2800</v>
      </c>
      <c r="G53" s="263" t="s">
        <v>3</v>
      </c>
      <c r="H53" s="260">
        <v>2</v>
      </c>
      <c r="I53" s="262" t="s">
        <v>581</v>
      </c>
      <c r="J53" s="112">
        <v>90</v>
      </c>
      <c r="K53" s="75">
        <v>200</v>
      </c>
      <c r="L53" s="75">
        <v>2800</v>
      </c>
      <c r="M53" s="202">
        <v>24.745579142767767</v>
      </c>
      <c r="N53" s="87">
        <v>5746.9502999999995</v>
      </c>
      <c r="O53" s="123">
        <v>80488.111006958905</v>
      </c>
      <c r="P53" s="123">
        <v>85125.141054426771</v>
      </c>
      <c r="Q53" s="120">
        <v>26686.511139232356</v>
      </c>
      <c r="R53" s="123">
        <v>107174.62214619126</v>
      </c>
      <c r="S53" s="123">
        <v>111811.65219365913</v>
      </c>
      <c r="U53" s="7" t="s">
        <v>6445</v>
      </c>
    </row>
    <row r="54" spans="1:21" ht="16.5" customHeight="1" thickBot="1">
      <c r="A54" s="259" t="s">
        <v>10</v>
      </c>
      <c r="B54" s="263">
        <f t="shared" si="0"/>
        <v>90</v>
      </c>
      <c r="C54" s="263" t="s">
        <v>3</v>
      </c>
      <c r="D54" s="263">
        <f t="shared" si="1"/>
        <v>200</v>
      </c>
      <c r="E54" s="263" t="s">
        <v>3</v>
      </c>
      <c r="F54" s="261">
        <f t="shared" si="2"/>
        <v>2850</v>
      </c>
      <c r="G54" s="263" t="s">
        <v>3</v>
      </c>
      <c r="H54" s="260">
        <v>2</v>
      </c>
      <c r="I54" s="262" t="s">
        <v>581</v>
      </c>
      <c r="J54" s="112">
        <v>90</v>
      </c>
      <c r="K54" s="75">
        <v>200</v>
      </c>
      <c r="L54" s="75">
        <v>2850</v>
      </c>
      <c r="M54" s="202">
        <v>25.117978261798424</v>
      </c>
      <c r="N54" s="87">
        <v>5864.2349999999997</v>
      </c>
      <c r="O54" s="123">
        <v>81097.980938923822</v>
      </c>
      <c r="P54" s="123">
        <v>85850.078425207568</v>
      </c>
      <c r="Q54" s="120">
        <v>27044.929777960355</v>
      </c>
      <c r="R54" s="123">
        <v>108142.91071688417</v>
      </c>
      <c r="S54" s="123">
        <v>112895.00820316792</v>
      </c>
      <c r="U54" s="7" t="s">
        <v>6446</v>
      </c>
    </row>
    <row r="55" spans="1:21" ht="16.5" customHeight="1" thickBot="1">
      <c r="A55" s="259" t="s">
        <v>10</v>
      </c>
      <c r="B55" s="263">
        <f t="shared" si="0"/>
        <v>90</v>
      </c>
      <c r="C55" s="263" t="s">
        <v>3</v>
      </c>
      <c r="D55" s="263">
        <f t="shared" si="1"/>
        <v>200</v>
      </c>
      <c r="E55" s="263" t="s">
        <v>3</v>
      </c>
      <c r="F55" s="261">
        <f t="shared" si="2"/>
        <v>2900</v>
      </c>
      <c r="G55" s="263" t="s">
        <v>3</v>
      </c>
      <c r="H55" s="260">
        <v>2</v>
      </c>
      <c r="I55" s="262" t="s">
        <v>581</v>
      </c>
      <c r="J55" s="112">
        <v>90</v>
      </c>
      <c r="K55" s="75">
        <v>200</v>
      </c>
      <c r="L55" s="75">
        <v>2900</v>
      </c>
      <c r="M55" s="202">
        <v>25.683417380829077</v>
      </c>
      <c r="N55" s="87">
        <v>5981.5196999999998</v>
      </c>
      <c r="O55" s="123">
        <v>81707.802898476759</v>
      </c>
      <c r="P55" s="123">
        <v>86574.970806935336</v>
      </c>
      <c r="Q55" s="120">
        <v>27633.930194471632</v>
      </c>
      <c r="R55" s="123">
        <v>109341.73309294839</v>
      </c>
      <c r="S55" s="123">
        <v>114208.90100140696</v>
      </c>
      <c r="U55" s="7" t="s">
        <v>6447</v>
      </c>
    </row>
    <row r="56" spans="1:21" ht="16.5" customHeight="1" thickBot="1">
      <c r="A56" s="259" t="s">
        <v>10</v>
      </c>
      <c r="B56" s="263">
        <f t="shared" si="0"/>
        <v>90</v>
      </c>
      <c r="C56" s="263" t="s">
        <v>3</v>
      </c>
      <c r="D56" s="263">
        <f t="shared" si="1"/>
        <v>200</v>
      </c>
      <c r="E56" s="263" t="s">
        <v>3</v>
      </c>
      <c r="F56" s="261">
        <f t="shared" si="2"/>
        <v>2950</v>
      </c>
      <c r="G56" s="263" t="s">
        <v>3</v>
      </c>
      <c r="H56" s="260">
        <v>2</v>
      </c>
      <c r="I56" s="262" t="s">
        <v>581</v>
      </c>
      <c r="J56" s="112">
        <v>90</v>
      </c>
      <c r="K56" s="75">
        <v>200</v>
      </c>
      <c r="L56" s="75">
        <v>2950</v>
      </c>
      <c r="M56" s="202">
        <v>26.055816499859738</v>
      </c>
      <c r="N56" s="87">
        <v>6098.8044</v>
      </c>
      <c r="O56" s="123">
        <v>82317.576766283368</v>
      </c>
      <c r="P56" s="123">
        <v>87299.818080275742</v>
      </c>
      <c r="Q56" s="120">
        <v>27992.348973592994</v>
      </c>
      <c r="R56" s="123">
        <v>110309.92573987636</v>
      </c>
      <c r="S56" s="123">
        <v>115292.16705386873</v>
      </c>
      <c r="U56" s="7" t="s">
        <v>6448</v>
      </c>
    </row>
    <row r="57" spans="1:21" ht="16.5" customHeight="1" thickBot="1">
      <c r="A57" s="264" t="s">
        <v>10</v>
      </c>
      <c r="B57" s="265">
        <f t="shared" si="0"/>
        <v>90</v>
      </c>
      <c r="C57" s="265" t="s">
        <v>3</v>
      </c>
      <c r="D57" s="265">
        <f t="shared" si="1"/>
        <v>200</v>
      </c>
      <c r="E57" s="265" t="s">
        <v>3</v>
      </c>
      <c r="F57" s="266">
        <f t="shared" si="2"/>
        <v>3000</v>
      </c>
      <c r="G57" s="265" t="s">
        <v>3</v>
      </c>
      <c r="H57" s="267">
        <v>2</v>
      </c>
      <c r="I57" s="262" t="s">
        <v>581</v>
      </c>
      <c r="J57" s="346">
        <v>90</v>
      </c>
      <c r="K57" s="322">
        <v>200</v>
      </c>
      <c r="L57" s="322">
        <v>3000</v>
      </c>
      <c r="M57" s="305">
        <v>26.445255618890393</v>
      </c>
      <c r="N57" s="306">
        <v>6216.0890999999992</v>
      </c>
      <c r="O57" s="307">
        <v>84644.139221791833</v>
      </c>
      <c r="P57" s="307">
        <v>89632.084837436923</v>
      </c>
      <c r="Q57" s="308">
        <v>28581.349390104271</v>
      </c>
      <c r="R57" s="307">
        <v>113225.4886118961</v>
      </c>
      <c r="S57" s="307">
        <v>118213.43422754119</v>
      </c>
      <c r="U57" s="7" t="s">
        <v>6449</v>
      </c>
    </row>
    <row r="58" spans="1:21" ht="22.5" customHeight="1" thickBot="1">
      <c r="A58" s="2580" t="s">
        <v>50</v>
      </c>
      <c r="B58" s="2581"/>
      <c r="C58" s="2581"/>
      <c r="D58" s="2581"/>
      <c r="E58" s="2581"/>
      <c r="F58" s="2581"/>
      <c r="G58" s="2581"/>
      <c r="H58" s="2581"/>
      <c r="I58" s="2581"/>
      <c r="J58" s="2581"/>
      <c r="K58" s="2581"/>
      <c r="L58" s="2581"/>
      <c r="M58" s="2581"/>
      <c r="N58" s="2581"/>
      <c r="O58" s="2581"/>
      <c r="P58" s="2581"/>
      <c r="Q58" s="2581"/>
      <c r="R58" s="2581"/>
      <c r="S58" s="2582"/>
    </row>
    <row r="59" spans="1:21" ht="16.5" customHeight="1" thickBot="1">
      <c r="A59" s="2583" t="s">
        <v>134</v>
      </c>
      <c r="B59" s="2584"/>
      <c r="C59" s="2584"/>
      <c r="D59" s="2584"/>
      <c r="E59" s="2584"/>
      <c r="F59" s="2584"/>
      <c r="G59" s="2584"/>
      <c r="H59" s="2584"/>
      <c r="I59" s="2584"/>
      <c r="J59" s="2584"/>
      <c r="K59" s="2584"/>
      <c r="L59" s="2584"/>
      <c r="M59" s="2584"/>
      <c r="N59" s="2584"/>
      <c r="O59" s="2584"/>
      <c r="P59" s="2584"/>
      <c r="Q59" s="2584"/>
      <c r="R59" s="2584"/>
      <c r="S59" s="2585"/>
    </row>
    <row r="60" spans="1:21" ht="16.5" thickBot="1">
      <c r="A60" s="259" t="s">
        <v>10</v>
      </c>
      <c r="B60" s="260">
        <f t="shared" ref="B60:B106" si="3">J60</f>
        <v>90</v>
      </c>
      <c r="C60" s="260" t="s">
        <v>3</v>
      </c>
      <c r="D60" s="260">
        <f t="shared" ref="D60:D106" si="4">K60</f>
        <v>260</v>
      </c>
      <c r="E60" s="260" t="s">
        <v>3</v>
      </c>
      <c r="F60" s="261">
        <f t="shared" ref="F60:F106" si="5">L60</f>
        <v>700</v>
      </c>
      <c r="G60" s="260" t="s">
        <v>3</v>
      </c>
      <c r="H60" s="260">
        <v>2</v>
      </c>
      <c r="I60" s="262" t="s">
        <v>581</v>
      </c>
      <c r="J60" s="344">
        <v>90</v>
      </c>
      <c r="K60" s="327">
        <v>260</v>
      </c>
      <c r="L60" s="327">
        <v>700</v>
      </c>
      <c r="M60" s="301">
        <v>7.348585919248551</v>
      </c>
      <c r="N60" s="302">
        <v>1087.47912</v>
      </c>
      <c r="O60" s="303">
        <v>25881.455762040747</v>
      </c>
      <c r="P60" s="303">
        <v>27754.040604986523</v>
      </c>
      <c r="Q60" s="304">
        <v>8629.8383359722393</v>
      </c>
      <c r="R60" s="303">
        <v>34511.294098012986</v>
      </c>
      <c r="S60" s="303">
        <v>36383.878940958763</v>
      </c>
      <c r="U60" s="7" t="s">
        <v>6450</v>
      </c>
    </row>
    <row r="61" spans="1:21" ht="16.5" thickBot="1">
      <c r="A61" s="259" t="s">
        <v>10</v>
      </c>
      <c r="B61" s="263">
        <f t="shared" si="3"/>
        <v>90</v>
      </c>
      <c r="C61" s="263" t="s">
        <v>3</v>
      </c>
      <c r="D61" s="263">
        <f t="shared" si="4"/>
        <v>260</v>
      </c>
      <c r="E61" s="263" t="s">
        <v>3</v>
      </c>
      <c r="F61" s="261">
        <f t="shared" si="5"/>
        <v>750</v>
      </c>
      <c r="G61" s="263" t="s">
        <v>3</v>
      </c>
      <c r="H61" s="260">
        <v>2</v>
      </c>
      <c r="I61" s="262" t="s">
        <v>581</v>
      </c>
      <c r="J61" s="112">
        <v>90</v>
      </c>
      <c r="K61" s="75">
        <v>260</v>
      </c>
      <c r="L61" s="75">
        <v>750</v>
      </c>
      <c r="M61" s="202">
        <v>7.7687656001213146</v>
      </c>
      <c r="N61" s="87">
        <v>1242.8332800000001</v>
      </c>
      <c r="O61" s="123">
        <v>27420.230304368564</v>
      </c>
      <c r="P61" s="123">
        <v>29375.984512203413</v>
      </c>
      <c r="Q61" s="120">
        <v>9061.4489483391772</v>
      </c>
      <c r="R61" s="123">
        <v>36481.679252707741</v>
      </c>
      <c r="S61" s="123">
        <v>38437.43346054259</v>
      </c>
      <c r="U61" s="7" t="s">
        <v>6451</v>
      </c>
    </row>
    <row r="62" spans="1:21" ht="16.5" thickBot="1">
      <c r="A62" s="259" t="s">
        <v>10</v>
      </c>
      <c r="B62" s="263">
        <f t="shared" si="3"/>
        <v>90</v>
      </c>
      <c r="C62" s="263" t="s">
        <v>3</v>
      </c>
      <c r="D62" s="263">
        <f t="shared" si="4"/>
        <v>260</v>
      </c>
      <c r="E62" s="263" t="s">
        <v>3</v>
      </c>
      <c r="F62" s="261">
        <f t="shared" si="5"/>
        <v>800</v>
      </c>
      <c r="G62" s="263" t="s">
        <v>3</v>
      </c>
      <c r="H62" s="260">
        <v>2</v>
      </c>
      <c r="I62" s="262" t="s">
        <v>581</v>
      </c>
      <c r="J62" s="112">
        <v>90</v>
      </c>
      <c r="K62" s="75">
        <v>260</v>
      </c>
      <c r="L62" s="75">
        <v>800</v>
      </c>
      <c r="M62" s="202">
        <v>8.1889452809940781</v>
      </c>
      <c r="N62" s="87">
        <v>1398.1874399999999</v>
      </c>
      <c r="O62" s="123">
        <v>28959.004966030738</v>
      </c>
      <c r="P62" s="123">
        <v>30997.928419420296</v>
      </c>
      <c r="Q62" s="120">
        <v>9493.059560706115</v>
      </c>
      <c r="R62" s="123">
        <v>38452.064526736853</v>
      </c>
      <c r="S62" s="123">
        <v>40490.987980126411</v>
      </c>
      <c r="U62" s="7" t="s">
        <v>6452</v>
      </c>
    </row>
    <row r="63" spans="1:21" ht="16.5" thickBot="1">
      <c r="A63" s="259" t="s">
        <v>10</v>
      </c>
      <c r="B63" s="263">
        <f t="shared" si="3"/>
        <v>90</v>
      </c>
      <c r="C63" s="263" t="s">
        <v>3</v>
      </c>
      <c r="D63" s="263">
        <f t="shared" si="4"/>
        <v>260</v>
      </c>
      <c r="E63" s="263" t="s">
        <v>3</v>
      </c>
      <c r="F63" s="261">
        <f t="shared" si="5"/>
        <v>850</v>
      </c>
      <c r="G63" s="263" t="s">
        <v>3</v>
      </c>
      <c r="H63" s="260">
        <v>2</v>
      </c>
      <c r="I63" s="262" t="s">
        <v>581</v>
      </c>
      <c r="J63" s="112">
        <v>90</v>
      </c>
      <c r="K63" s="75">
        <v>260</v>
      </c>
      <c r="L63" s="75">
        <v>850</v>
      </c>
      <c r="M63" s="202">
        <v>8.6261649618668415</v>
      </c>
      <c r="N63" s="87">
        <v>1553.5416</v>
      </c>
      <c r="O63" s="123">
        <v>30497.779508358555</v>
      </c>
      <c r="P63" s="123">
        <v>32619.872326637182</v>
      </c>
      <c r="Q63" s="120">
        <v>10155.251950856327</v>
      </c>
      <c r="R63" s="123">
        <v>40653.031459214879</v>
      </c>
      <c r="S63" s="123">
        <v>42775.124277493509</v>
      </c>
      <c r="U63" s="7" t="s">
        <v>6453</v>
      </c>
    </row>
    <row r="64" spans="1:21" ht="16.5" thickBot="1">
      <c r="A64" s="259" t="s">
        <v>10</v>
      </c>
      <c r="B64" s="263">
        <f t="shared" si="3"/>
        <v>90</v>
      </c>
      <c r="C64" s="263" t="s">
        <v>3</v>
      </c>
      <c r="D64" s="263">
        <f t="shared" si="4"/>
        <v>260</v>
      </c>
      <c r="E64" s="263" t="s">
        <v>3</v>
      </c>
      <c r="F64" s="261">
        <f t="shared" si="5"/>
        <v>900</v>
      </c>
      <c r="G64" s="263" t="s">
        <v>3</v>
      </c>
      <c r="H64" s="260">
        <v>2</v>
      </c>
      <c r="I64" s="262" t="s">
        <v>581</v>
      </c>
      <c r="J64" s="112">
        <v>90</v>
      </c>
      <c r="K64" s="75">
        <v>260</v>
      </c>
      <c r="L64" s="75">
        <v>900</v>
      </c>
      <c r="M64" s="202">
        <v>9.0843446427396053</v>
      </c>
      <c r="N64" s="87">
        <v>1708.8957599999999</v>
      </c>
      <c r="O64" s="123">
        <v>32036.554050686369</v>
      </c>
      <c r="P64" s="123">
        <v>34241.816114519708</v>
      </c>
      <c r="Q64" s="120">
        <v>10586.862563223265</v>
      </c>
      <c r="R64" s="123">
        <v>42623.416613909634</v>
      </c>
      <c r="S64" s="123">
        <v>44828.678677742973</v>
      </c>
      <c r="U64" s="7" t="s">
        <v>6454</v>
      </c>
    </row>
    <row r="65" spans="1:21" ht="16.5" thickBot="1">
      <c r="A65" s="259" t="s">
        <v>10</v>
      </c>
      <c r="B65" s="263">
        <f t="shared" si="3"/>
        <v>90</v>
      </c>
      <c r="C65" s="263" t="s">
        <v>3</v>
      </c>
      <c r="D65" s="263">
        <f t="shared" si="4"/>
        <v>260</v>
      </c>
      <c r="E65" s="263" t="s">
        <v>3</v>
      </c>
      <c r="F65" s="261">
        <f t="shared" si="5"/>
        <v>950</v>
      </c>
      <c r="G65" s="263" t="s">
        <v>3</v>
      </c>
      <c r="H65" s="260">
        <v>2</v>
      </c>
      <c r="I65" s="262" t="s">
        <v>581</v>
      </c>
      <c r="J65" s="112">
        <v>90</v>
      </c>
      <c r="K65" s="75">
        <v>260</v>
      </c>
      <c r="L65" s="75">
        <v>950</v>
      </c>
      <c r="M65" s="202">
        <v>9.5905643236123694</v>
      </c>
      <c r="N65" s="87">
        <v>1864.24992</v>
      </c>
      <c r="O65" s="123">
        <v>33575.328593014186</v>
      </c>
      <c r="P65" s="123">
        <v>35863.760021736598</v>
      </c>
      <c r="Q65" s="120">
        <v>11249.054953373477</v>
      </c>
      <c r="R65" s="123">
        <v>44824.38354638766</v>
      </c>
      <c r="S65" s="123">
        <v>47112.814975110072</v>
      </c>
      <c r="U65" s="7" t="s">
        <v>6455</v>
      </c>
    </row>
    <row r="66" spans="1:21" ht="16.5" thickBot="1">
      <c r="A66" s="259" t="s">
        <v>10</v>
      </c>
      <c r="B66" s="263">
        <f t="shared" si="3"/>
        <v>90</v>
      </c>
      <c r="C66" s="263" t="s">
        <v>3</v>
      </c>
      <c r="D66" s="263">
        <f t="shared" si="4"/>
        <v>260</v>
      </c>
      <c r="E66" s="263" t="s">
        <v>3</v>
      </c>
      <c r="F66" s="261">
        <f t="shared" si="5"/>
        <v>1000</v>
      </c>
      <c r="G66" s="263" t="s">
        <v>3</v>
      </c>
      <c r="H66" s="260">
        <v>2</v>
      </c>
      <c r="I66" s="262" t="s">
        <v>581</v>
      </c>
      <c r="J66" s="112">
        <v>90</v>
      </c>
      <c r="K66" s="75">
        <v>260</v>
      </c>
      <c r="L66" s="75">
        <v>1000</v>
      </c>
      <c r="M66" s="202">
        <v>10.010744004485133</v>
      </c>
      <c r="N66" s="87">
        <v>2019.6040799999998</v>
      </c>
      <c r="O66" s="123">
        <v>35018.971097722686</v>
      </c>
      <c r="P66" s="123">
        <v>37396.632286711552</v>
      </c>
      <c r="Q66" s="120">
        <v>11680.665565740415</v>
      </c>
      <c r="R66" s="123">
        <v>46699.636663463098</v>
      </c>
      <c r="S66" s="123">
        <v>49077.297852451971</v>
      </c>
      <c r="U66" s="7" t="s">
        <v>6456</v>
      </c>
    </row>
    <row r="67" spans="1:21" ht="16.5" thickBot="1">
      <c r="A67" s="259" t="s">
        <v>10</v>
      </c>
      <c r="B67" s="263">
        <f t="shared" si="3"/>
        <v>90</v>
      </c>
      <c r="C67" s="263" t="s">
        <v>3</v>
      </c>
      <c r="D67" s="263">
        <f t="shared" si="4"/>
        <v>260</v>
      </c>
      <c r="E67" s="263" t="s">
        <v>3</v>
      </c>
      <c r="F67" s="261">
        <f t="shared" si="5"/>
        <v>1050</v>
      </c>
      <c r="G67" s="263" t="s">
        <v>3</v>
      </c>
      <c r="H67" s="260">
        <v>2</v>
      </c>
      <c r="I67" s="262" t="s">
        <v>581</v>
      </c>
      <c r="J67" s="112">
        <v>90</v>
      </c>
      <c r="K67" s="75">
        <v>260</v>
      </c>
      <c r="L67" s="75">
        <v>1050</v>
      </c>
      <c r="M67" s="202">
        <v>10.447963685357896</v>
      </c>
      <c r="N67" s="87">
        <v>2174.9582399999999</v>
      </c>
      <c r="O67" s="123">
        <v>36783.684363647524</v>
      </c>
      <c r="P67" s="123">
        <v>39230.121284585846</v>
      </c>
      <c r="Q67" s="120">
        <v>12342.857815497266</v>
      </c>
      <c r="R67" s="123">
        <v>49126.542179144788</v>
      </c>
      <c r="S67" s="123">
        <v>51572.97910008311</v>
      </c>
      <c r="U67" s="7" t="s">
        <v>6457</v>
      </c>
    </row>
    <row r="68" spans="1:21" ht="16.5" thickBot="1">
      <c r="A68" s="259" t="s">
        <v>10</v>
      </c>
      <c r="B68" s="260">
        <f t="shared" si="3"/>
        <v>90</v>
      </c>
      <c r="C68" s="260" t="s">
        <v>3</v>
      </c>
      <c r="D68" s="260">
        <f t="shared" si="4"/>
        <v>260</v>
      </c>
      <c r="E68" s="260" t="s">
        <v>3</v>
      </c>
      <c r="F68" s="261">
        <f t="shared" si="5"/>
        <v>1100</v>
      </c>
      <c r="G68" s="260" t="s">
        <v>3</v>
      </c>
      <c r="H68" s="260">
        <v>2</v>
      </c>
      <c r="I68" s="262" t="s">
        <v>581</v>
      </c>
      <c r="J68" s="112">
        <v>90</v>
      </c>
      <c r="K68" s="75">
        <v>260</v>
      </c>
      <c r="L68" s="75">
        <v>1100</v>
      </c>
      <c r="M68" s="202">
        <v>10.868143366230658</v>
      </c>
      <c r="N68" s="87">
        <v>2330.3123999999998</v>
      </c>
      <c r="O68" s="123">
        <v>38322.459025309698</v>
      </c>
      <c r="P68" s="123">
        <v>40852.065191802729</v>
      </c>
      <c r="Q68" s="120">
        <v>12774.468427864203</v>
      </c>
      <c r="R68" s="123">
        <v>51096.927453173899</v>
      </c>
      <c r="S68" s="123">
        <v>53626.53361966693</v>
      </c>
      <c r="U68" s="7" t="s">
        <v>6458</v>
      </c>
    </row>
    <row r="69" spans="1:21" ht="16.5" thickBot="1">
      <c r="A69" s="259" t="s">
        <v>10</v>
      </c>
      <c r="B69" s="263">
        <f t="shared" si="3"/>
        <v>90</v>
      </c>
      <c r="C69" s="263" t="s">
        <v>3</v>
      </c>
      <c r="D69" s="263">
        <f t="shared" si="4"/>
        <v>260</v>
      </c>
      <c r="E69" s="263" t="s">
        <v>3</v>
      </c>
      <c r="F69" s="261">
        <f t="shared" si="5"/>
        <v>1150</v>
      </c>
      <c r="G69" s="263" t="s">
        <v>3</v>
      </c>
      <c r="H69" s="260">
        <v>2</v>
      </c>
      <c r="I69" s="262" t="s">
        <v>581</v>
      </c>
      <c r="J69" s="112">
        <v>90</v>
      </c>
      <c r="K69" s="75">
        <v>260</v>
      </c>
      <c r="L69" s="75">
        <v>1150</v>
      </c>
      <c r="M69" s="202">
        <v>11.288323047103422</v>
      </c>
      <c r="N69" s="87">
        <v>2485.6665600000001</v>
      </c>
      <c r="O69" s="123">
        <v>39105.890995750051</v>
      </c>
      <c r="P69" s="123">
        <v>41766.786197696332</v>
      </c>
      <c r="Q69" s="120">
        <v>13206.07904023114</v>
      </c>
      <c r="R69" s="123">
        <v>52311.97003598119</v>
      </c>
      <c r="S69" s="123">
        <v>54972.865237927472</v>
      </c>
      <c r="U69" s="7" t="s">
        <v>6459</v>
      </c>
    </row>
    <row r="70" spans="1:21" ht="16.5" thickBot="1">
      <c r="A70" s="259" t="s">
        <v>10</v>
      </c>
      <c r="B70" s="263">
        <f t="shared" si="3"/>
        <v>90</v>
      </c>
      <c r="C70" s="263" t="s">
        <v>3</v>
      </c>
      <c r="D70" s="263">
        <f t="shared" si="4"/>
        <v>260</v>
      </c>
      <c r="E70" s="263" t="s">
        <v>3</v>
      </c>
      <c r="F70" s="261">
        <f t="shared" si="5"/>
        <v>1200</v>
      </c>
      <c r="G70" s="263" t="s">
        <v>3</v>
      </c>
      <c r="H70" s="260">
        <v>2</v>
      </c>
      <c r="I70" s="262" t="s">
        <v>581</v>
      </c>
      <c r="J70" s="112">
        <v>90</v>
      </c>
      <c r="K70" s="75">
        <v>260</v>
      </c>
      <c r="L70" s="75">
        <v>1200</v>
      </c>
      <c r="M70" s="202">
        <v>11.940792727976184</v>
      </c>
      <c r="N70" s="87">
        <v>2641.0207199999995</v>
      </c>
      <c r="O70" s="123">
        <v>39924.462041949533</v>
      </c>
      <c r="P70" s="123">
        <v>42714.407686125</v>
      </c>
      <c r="Q70" s="120">
        <v>13868.271430381354</v>
      </c>
      <c r="R70" s="123">
        <v>53792.733472330889</v>
      </c>
      <c r="S70" s="123">
        <v>56582.679116506355</v>
      </c>
      <c r="U70" s="7" t="s">
        <v>6460</v>
      </c>
    </row>
    <row r="71" spans="1:21" ht="16.5" thickBot="1">
      <c r="A71" s="259" t="s">
        <v>10</v>
      </c>
      <c r="B71" s="263">
        <f t="shared" si="3"/>
        <v>90</v>
      </c>
      <c r="C71" s="263" t="s">
        <v>3</v>
      </c>
      <c r="D71" s="263">
        <f t="shared" si="4"/>
        <v>260</v>
      </c>
      <c r="E71" s="263" t="s">
        <v>3</v>
      </c>
      <c r="F71" s="261">
        <f t="shared" si="5"/>
        <v>1250</v>
      </c>
      <c r="G71" s="263" t="s">
        <v>3</v>
      </c>
      <c r="H71" s="260">
        <v>2</v>
      </c>
      <c r="I71" s="262" t="s">
        <v>581</v>
      </c>
      <c r="J71" s="112">
        <v>90</v>
      </c>
      <c r="K71" s="75">
        <v>260</v>
      </c>
      <c r="L71" s="75">
        <v>1250</v>
      </c>
      <c r="M71" s="202">
        <v>12.360972408848946</v>
      </c>
      <c r="N71" s="87">
        <v>2796.3748799999998</v>
      </c>
      <c r="O71" s="123">
        <v>40707.413214261003</v>
      </c>
      <c r="P71" s="123">
        <v>43628.678324151035</v>
      </c>
      <c r="Q71" s="120">
        <v>14299.882042748291</v>
      </c>
      <c r="R71" s="123">
        <v>55007.295257009297</v>
      </c>
      <c r="S71" s="123">
        <v>57928.560366899328</v>
      </c>
      <c r="U71" s="7" t="s">
        <v>6461</v>
      </c>
    </row>
    <row r="72" spans="1:21" ht="16.5" thickBot="1">
      <c r="A72" s="259" t="s">
        <v>10</v>
      </c>
      <c r="B72" s="263">
        <f t="shared" si="3"/>
        <v>90</v>
      </c>
      <c r="C72" s="263" t="s">
        <v>3</v>
      </c>
      <c r="D72" s="263">
        <f t="shared" si="4"/>
        <v>260</v>
      </c>
      <c r="E72" s="263" t="s">
        <v>3</v>
      </c>
      <c r="F72" s="261">
        <f t="shared" si="5"/>
        <v>1300</v>
      </c>
      <c r="G72" s="263" t="s">
        <v>3</v>
      </c>
      <c r="H72" s="260">
        <v>2</v>
      </c>
      <c r="I72" s="262" t="s">
        <v>581</v>
      </c>
      <c r="J72" s="112">
        <v>90</v>
      </c>
      <c r="K72" s="75">
        <v>260</v>
      </c>
      <c r="L72" s="75">
        <v>1300</v>
      </c>
      <c r="M72" s="202">
        <v>12.860192089721714</v>
      </c>
      <c r="N72" s="87">
        <v>2951.7290399999997</v>
      </c>
      <c r="O72" s="123">
        <v>43942.747738576167</v>
      </c>
      <c r="P72" s="123">
        <v>46839.101681873239</v>
      </c>
      <c r="Q72" s="120">
        <v>14962.074432898504</v>
      </c>
      <c r="R72" s="123">
        <v>58904.822171474669</v>
      </c>
      <c r="S72" s="123">
        <v>61801.176114771741</v>
      </c>
      <c r="U72" s="7" t="s">
        <v>6462</v>
      </c>
    </row>
    <row r="73" spans="1:21" ht="16.5" thickBot="1">
      <c r="A73" s="259" t="s">
        <v>10</v>
      </c>
      <c r="B73" s="263">
        <f t="shared" si="3"/>
        <v>90</v>
      </c>
      <c r="C73" s="263" t="s">
        <v>3</v>
      </c>
      <c r="D73" s="263">
        <f t="shared" si="4"/>
        <v>260</v>
      </c>
      <c r="E73" s="263" t="s">
        <v>3</v>
      </c>
      <c r="F73" s="261">
        <f t="shared" si="5"/>
        <v>1350</v>
      </c>
      <c r="G73" s="263" t="s">
        <v>3</v>
      </c>
      <c r="H73" s="260">
        <v>2</v>
      </c>
      <c r="I73" s="262" t="s">
        <v>581</v>
      </c>
      <c r="J73" s="112">
        <v>90</v>
      </c>
      <c r="K73" s="75">
        <v>260</v>
      </c>
      <c r="L73" s="75">
        <v>1350</v>
      </c>
      <c r="M73" s="202">
        <v>13.280371770594474</v>
      </c>
      <c r="N73" s="87">
        <v>3107.0832</v>
      </c>
      <c r="O73" s="123">
        <v>44975.395195837606</v>
      </c>
      <c r="P73" s="123">
        <v>47987.161692914269</v>
      </c>
      <c r="Q73" s="120">
        <v>15393.685045265442</v>
      </c>
      <c r="R73" s="123">
        <v>60369.080241103045</v>
      </c>
      <c r="S73" s="123">
        <v>63380.846738179709</v>
      </c>
      <c r="U73" s="7" t="s">
        <v>6463</v>
      </c>
    </row>
    <row r="74" spans="1:21" ht="16.5" thickBot="1">
      <c r="A74" s="259" t="s">
        <v>10</v>
      </c>
      <c r="B74" s="263">
        <f t="shared" si="3"/>
        <v>90</v>
      </c>
      <c r="C74" s="263" t="s">
        <v>3</v>
      </c>
      <c r="D74" s="263">
        <f t="shared" si="4"/>
        <v>260</v>
      </c>
      <c r="E74" s="263" t="s">
        <v>3</v>
      </c>
      <c r="F74" s="261">
        <f t="shared" si="5"/>
        <v>1400</v>
      </c>
      <c r="G74" s="263" t="s">
        <v>3</v>
      </c>
      <c r="H74" s="260">
        <v>2</v>
      </c>
      <c r="I74" s="262" t="s">
        <v>581</v>
      </c>
      <c r="J74" s="112">
        <v>90</v>
      </c>
      <c r="K74" s="75">
        <v>260</v>
      </c>
      <c r="L74" s="75">
        <v>1400</v>
      </c>
      <c r="M74" s="202">
        <v>13.717591451467236</v>
      </c>
      <c r="N74" s="87">
        <v>3262.4373600000004</v>
      </c>
      <c r="O74" s="123">
        <v>46335.059129374597</v>
      </c>
      <c r="P74" s="123">
        <v>49441.405265326801</v>
      </c>
      <c r="Q74" s="120">
        <v>16055.877435415654</v>
      </c>
      <c r="R74" s="123">
        <v>62390.936564790252</v>
      </c>
      <c r="S74" s="123">
        <v>65497.282700742457</v>
      </c>
      <c r="U74" s="7" t="s">
        <v>6464</v>
      </c>
    </row>
    <row r="75" spans="1:21" ht="16.5" thickBot="1">
      <c r="A75" s="259" t="s">
        <v>10</v>
      </c>
      <c r="B75" s="263">
        <f t="shared" si="3"/>
        <v>90</v>
      </c>
      <c r="C75" s="263" t="s">
        <v>3</v>
      </c>
      <c r="D75" s="263">
        <f t="shared" si="4"/>
        <v>260</v>
      </c>
      <c r="E75" s="263" t="s">
        <v>3</v>
      </c>
      <c r="F75" s="261">
        <f t="shared" si="5"/>
        <v>1450</v>
      </c>
      <c r="G75" s="263" t="s">
        <v>3</v>
      </c>
      <c r="H75" s="260">
        <v>2</v>
      </c>
      <c r="I75" s="262" t="s">
        <v>581</v>
      </c>
      <c r="J75" s="112">
        <v>90</v>
      </c>
      <c r="K75" s="75">
        <v>260</v>
      </c>
      <c r="L75" s="75">
        <v>1450</v>
      </c>
      <c r="M75" s="202">
        <v>14.137771132339999</v>
      </c>
      <c r="N75" s="87">
        <v>3417.7915199999998</v>
      </c>
      <c r="O75" s="123">
        <v>47367.706586636035</v>
      </c>
      <c r="P75" s="123">
        <v>50589.465276367831</v>
      </c>
      <c r="Q75" s="120">
        <v>16487.48804778259</v>
      </c>
      <c r="R75" s="123">
        <v>63855.194634418629</v>
      </c>
      <c r="S75" s="123">
        <v>67076.953324150425</v>
      </c>
      <c r="U75" s="7" t="s">
        <v>6465</v>
      </c>
    </row>
    <row r="76" spans="1:21" ht="16.5" thickBot="1">
      <c r="A76" s="259" t="s">
        <v>10</v>
      </c>
      <c r="B76" s="263">
        <f t="shared" si="3"/>
        <v>90</v>
      </c>
      <c r="C76" s="263" t="s">
        <v>3</v>
      </c>
      <c r="D76" s="263">
        <f t="shared" si="4"/>
        <v>260</v>
      </c>
      <c r="E76" s="263" t="s">
        <v>3</v>
      </c>
      <c r="F76" s="261">
        <f t="shared" si="5"/>
        <v>1500</v>
      </c>
      <c r="G76" s="263" t="s">
        <v>3</v>
      </c>
      <c r="H76" s="260">
        <v>2</v>
      </c>
      <c r="I76" s="262" t="s">
        <v>581</v>
      </c>
      <c r="J76" s="112">
        <v>90</v>
      </c>
      <c r="K76" s="75">
        <v>260</v>
      </c>
      <c r="L76" s="75">
        <v>1500</v>
      </c>
      <c r="M76" s="202">
        <v>15.141755002012761</v>
      </c>
      <c r="N76" s="87">
        <v>3573.1456799999996</v>
      </c>
      <c r="O76" s="123">
        <v>48859.450384417571</v>
      </c>
      <c r="P76" s="123">
        <v>52274.757827595371</v>
      </c>
      <c r="Q76" s="120">
        <v>17149.680437932802</v>
      </c>
      <c r="R76" s="123">
        <v>66009.130822350373</v>
      </c>
      <c r="S76" s="123">
        <v>69424.438265528181</v>
      </c>
      <c r="U76" s="7" t="s">
        <v>6466</v>
      </c>
    </row>
    <row r="77" spans="1:21" ht="16.5" thickBot="1">
      <c r="A77" s="259" t="s">
        <v>10</v>
      </c>
      <c r="B77" s="263">
        <f t="shared" si="3"/>
        <v>90</v>
      </c>
      <c r="C77" s="263" t="s">
        <v>3</v>
      </c>
      <c r="D77" s="263">
        <f t="shared" si="4"/>
        <v>260</v>
      </c>
      <c r="E77" s="263" t="s">
        <v>3</v>
      </c>
      <c r="F77" s="261">
        <f t="shared" si="5"/>
        <v>1550</v>
      </c>
      <c r="G77" s="263" t="s">
        <v>3</v>
      </c>
      <c r="H77" s="260">
        <v>2</v>
      </c>
      <c r="I77" s="262" t="s">
        <v>581</v>
      </c>
      <c r="J77" s="112">
        <v>90</v>
      </c>
      <c r="K77" s="75">
        <v>260</v>
      </c>
      <c r="L77" s="75">
        <v>1550</v>
      </c>
      <c r="M77" s="202">
        <v>15.630934682885528</v>
      </c>
      <c r="N77" s="87">
        <v>3728.4998399999999</v>
      </c>
      <c r="O77" s="123">
        <v>49892.097841679017</v>
      </c>
      <c r="P77" s="123">
        <v>53422.817838636387</v>
      </c>
      <c r="Q77" s="120">
        <v>17581.29105029974</v>
      </c>
      <c r="R77" s="123">
        <v>67473.388891978757</v>
      </c>
      <c r="S77" s="123">
        <v>71004.108888936127</v>
      </c>
      <c r="U77" s="7" t="s">
        <v>6467</v>
      </c>
    </row>
    <row r="78" spans="1:21" ht="16.5" thickBot="1">
      <c r="A78" s="259" t="s">
        <v>10</v>
      </c>
      <c r="B78" s="260">
        <f t="shared" si="3"/>
        <v>90</v>
      </c>
      <c r="C78" s="260" t="s">
        <v>3</v>
      </c>
      <c r="D78" s="260">
        <f t="shared" si="4"/>
        <v>260</v>
      </c>
      <c r="E78" s="260" t="s">
        <v>3</v>
      </c>
      <c r="F78" s="261">
        <f t="shared" si="5"/>
        <v>1600</v>
      </c>
      <c r="G78" s="260" t="s">
        <v>3</v>
      </c>
      <c r="H78" s="260">
        <v>2</v>
      </c>
      <c r="I78" s="262" t="s">
        <v>581</v>
      </c>
      <c r="J78" s="112">
        <v>90</v>
      </c>
      <c r="K78" s="75">
        <v>260</v>
      </c>
      <c r="L78" s="75">
        <v>1600</v>
      </c>
      <c r="M78" s="202">
        <v>16.051114363758288</v>
      </c>
      <c r="N78" s="87">
        <v>3883.8539999999994</v>
      </c>
      <c r="O78" s="123">
        <v>52870.78664469879</v>
      </c>
      <c r="P78" s="123">
        <v>56392.94511746685</v>
      </c>
      <c r="Q78" s="120">
        <v>18012.901662666678</v>
      </c>
      <c r="R78" s="123">
        <v>70883.688307365461</v>
      </c>
      <c r="S78" s="123">
        <v>74405.846780133521</v>
      </c>
      <c r="U78" s="7" t="s">
        <v>6468</v>
      </c>
    </row>
    <row r="79" spans="1:21" ht="16.5" thickBot="1">
      <c r="A79" s="259" t="s">
        <v>10</v>
      </c>
      <c r="B79" s="263">
        <f t="shared" si="3"/>
        <v>90</v>
      </c>
      <c r="C79" s="263" t="s">
        <v>3</v>
      </c>
      <c r="D79" s="263">
        <f t="shared" si="4"/>
        <v>260</v>
      </c>
      <c r="E79" s="263" t="s">
        <v>3</v>
      </c>
      <c r="F79" s="261">
        <f t="shared" si="5"/>
        <v>1650</v>
      </c>
      <c r="G79" s="263" t="s">
        <v>3</v>
      </c>
      <c r="H79" s="260">
        <v>2</v>
      </c>
      <c r="I79" s="262" t="s">
        <v>581</v>
      </c>
      <c r="J79" s="112">
        <v>90</v>
      </c>
      <c r="K79" s="75">
        <v>260</v>
      </c>
      <c r="L79" s="75">
        <v>1650</v>
      </c>
      <c r="M79" s="202">
        <v>16.526334044631053</v>
      </c>
      <c r="N79" s="87">
        <v>4039.2081599999997</v>
      </c>
      <c r="O79" s="123">
        <v>56101.735631352858</v>
      </c>
      <c r="P79" s="123">
        <v>59599.26217992598</v>
      </c>
      <c r="Q79" s="120">
        <v>18675.09391242353</v>
      </c>
      <c r="R79" s="123">
        <v>74776.829543776388</v>
      </c>
      <c r="S79" s="123">
        <v>78274.35609234951</v>
      </c>
      <c r="U79" s="7" t="s">
        <v>6469</v>
      </c>
    </row>
    <row r="80" spans="1:21" ht="16.5" thickBot="1">
      <c r="A80" s="259" t="s">
        <v>10</v>
      </c>
      <c r="B80" s="263">
        <f t="shared" si="3"/>
        <v>90</v>
      </c>
      <c r="C80" s="263" t="s">
        <v>3</v>
      </c>
      <c r="D80" s="263">
        <f t="shared" si="4"/>
        <v>260</v>
      </c>
      <c r="E80" s="263" t="s">
        <v>3</v>
      </c>
      <c r="F80" s="261">
        <f t="shared" si="5"/>
        <v>1700</v>
      </c>
      <c r="G80" s="263" t="s">
        <v>3</v>
      </c>
      <c r="H80" s="260">
        <v>2</v>
      </c>
      <c r="I80" s="262" t="s">
        <v>581</v>
      </c>
      <c r="J80" s="112">
        <v>90</v>
      </c>
      <c r="K80" s="75">
        <v>260</v>
      </c>
      <c r="L80" s="75">
        <v>1700</v>
      </c>
      <c r="M80" s="202">
        <v>16.946513725503817</v>
      </c>
      <c r="N80" s="87">
        <v>4194.56232</v>
      </c>
      <c r="O80" s="123">
        <v>56929.235632230339</v>
      </c>
      <c r="P80" s="123">
        <v>60555.243875481807</v>
      </c>
      <c r="Q80" s="120">
        <v>19106.704524790468</v>
      </c>
      <c r="R80" s="123">
        <v>76035.940157020814</v>
      </c>
      <c r="S80" s="123">
        <v>79661.948400272275</v>
      </c>
      <c r="U80" s="7" t="s">
        <v>6470</v>
      </c>
    </row>
    <row r="81" spans="1:21" ht="16.5" thickBot="1">
      <c r="A81" s="259" t="s">
        <v>10</v>
      </c>
      <c r="B81" s="263">
        <f t="shared" si="3"/>
        <v>90</v>
      </c>
      <c r="C81" s="263" t="s">
        <v>3</v>
      </c>
      <c r="D81" s="263">
        <f t="shared" si="4"/>
        <v>260</v>
      </c>
      <c r="E81" s="263" t="s">
        <v>3</v>
      </c>
      <c r="F81" s="261">
        <f t="shared" si="5"/>
        <v>1750</v>
      </c>
      <c r="G81" s="263" t="s">
        <v>3</v>
      </c>
      <c r="H81" s="260">
        <v>2</v>
      </c>
      <c r="I81" s="262" t="s">
        <v>581</v>
      </c>
      <c r="J81" s="112">
        <v>90</v>
      </c>
      <c r="K81" s="75">
        <v>260</v>
      </c>
      <c r="L81" s="75">
        <v>1750</v>
      </c>
      <c r="M81" s="202">
        <v>17.383733406376578</v>
      </c>
      <c r="N81" s="87">
        <v>4349.9164799999999</v>
      </c>
      <c r="O81" s="123">
        <v>57680.581935132905</v>
      </c>
      <c r="P81" s="123">
        <v>61439.923053389226</v>
      </c>
      <c r="Q81" s="120">
        <v>19768.89691494068</v>
      </c>
      <c r="R81" s="123">
        <v>77449.478850073589</v>
      </c>
      <c r="S81" s="123">
        <v>81208.819968329903</v>
      </c>
      <c r="U81" s="7" t="s">
        <v>6471</v>
      </c>
    </row>
    <row r="82" spans="1:21" ht="16.5" thickBot="1">
      <c r="A82" s="259" t="s">
        <v>10</v>
      </c>
      <c r="B82" s="263">
        <f t="shared" si="3"/>
        <v>90</v>
      </c>
      <c r="C82" s="263" t="s">
        <v>3</v>
      </c>
      <c r="D82" s="263">
        <f t="shared" si="4"/>
        <v>260</v>
      </c>
      <c r="E82" s="263" t="s">
        <v>3</v>
      </c>
      <c r="F82" s="261">
        <f t="shared" si="5"/>
        <v>1800</v>
      </c>
      <c r="G82" s="263" t="s">
        <v>3</v>
      </c>
      <c r="H82" s="260">
        <v>2</v>
      </c>
      <c r="I82" s="262" t="s">
        <v>581</v>
      </c>
      <c r="J82" s="112">
        <v>90</v>
      </c>
      <c r="K82" s="75">
        <v>260</v>
      </c>
      <c r="L82" s="75">
        <v>1800</v>
      </c>
      <c r="M82" s="202">
        <v>17.872913087249344</v>
      </c>
      <c r="N82" s="87">
        <v>4505.2706399999997</v>
      </c>
      <c r="O82" s="123">
        <v>58508.778490658755</v>
      </c>
      <c r="P82" s="123">
        <v>62396.55691121221</v>
      </c>
      <c r="Q82" s="120">
        <v>20200.507527307618</v>
      </c>
      <c r="R82" s="123">
        <v>78709.286017966369</v>
      </c>
      <c r="S82" s="123">
        <v>82597.064438519825</v>
      </c>
      <c r="U82" s="7" t="s">
        <v>6472</v>
      </c>
    </row>
    <row r="83" spans="1:21" ht="16.5" thickBot="1">
      <c r="A83" s="259" t="s">
        <v>10</v>
      </c>
      <c r="B83" s="263">
        <f t="shared" si="3"/>
        <v>90</v>
      </c>
      <c r="C83" s="263" t="s">
        <v>3</v>
      </c>
      <c r="D83" s="263">
        <f t="shared" si="4"/>
        <v>260</v>
      </c>
      <c r="E83" s="263" t="s">
        <v>3</v>
      </c>
      <c r="F83" s="261">
        <f t="shared" si="5"/>
        <v>1850</v>
      </c>
      <c r="G83" s="263" t="s">
        <v>3</v>
      </c>
      <c r="H83" s="260">
        <v>2</v>
      </c>
      <c r="I83" s="262" t="s">
        <v>581</v>
      </c>
      <c r="J83" s="112">
        <v>90</v>
      </c>
      <c r="K83" s="75">
        <v>260</v>
      </c>
      <c r="L83" s="75">
        <v>1850</v>
      </c>
      <c r="M83" s="202">
        <v>18.372132768122107</v>
      </c>
      <c r="N83" s="87">
        <v>4660.6247999999996</v>
      </c>
      <c r="O83" s="123">
        <v>59336.926954438277</v>
      </c>
      <c r="P83" s="123">
        <v>63353.145660647817</v>
      </c>
      <c r="Q83" s="120">
        <v>20862.69991745783</v>
      </c>
      <c r="R83" s="123">
        <v>80199.626871896107</v>
      </c>
      <c r="S83" s="123">
        <v>84215.845578105655</v>
      </c>
      <c r="U83" s="7" t="s">
        <v>6473</v>
      </c>
    </row>
    <row r="84" spans="1:21" ht="16.5" thickBot="1">
      <c r="A84" s="259" t="s">
        <v>10</v>
      </c>
      <c r="B84" s="263">
        <f t="shared" si="3"/>
        <v>90</v>
      </c>
      <c r="C84" s="263" t="s">
        <v>3</v>
      </c>
      <c r="D84" s="263">
        <f t="shared" si="4"/>
        <v>260</v>
      </c>
      <c r="E84" s="263" t="s">
        <v>3</v>
      </c>
      <c r="F84" s="261">
        <f t="shared" si="5"/>
        <v>1900</v>
      </c>
      <c r="G84" s="263" t="s">
        <v>3</v>
      </c>
      <c r="H84" s="260">
        <v>2</v>
      </c>
      <c r="I84" s="262" t="s">
        <v>581</v>
      </c>
      <c r="J84" s="112">
        <v>90</v>
      </c>
      <c r="K84" s="75">
        <v>260</v>
      </c>
      <c r="L84" s="75">
        <v>1900</v>
      </c>
      <c r="M84" s="202">
        <v>18.792312448994871</v>
      </c>
      <c r="N84" s="87">
        <v>4815.9789600000004</v>
      </c>
      <c r="O84" s="123">
        <v>60340.129852175953</v>
      </c>
      <c r="P84" s="123">
        <v>64473.636928940454</v>
      </c>
      <c r="Q84" s="120">
        <v>21294.310529824768</v>
      </c>
      <c r="R84" s="123">
        <v>81634.440382000728</v>
      </c>
      <c r="S84" s="123">
        <v>85767.947458765222</v>
      </c>
      <c r="U84" s="7" t="s">
        <v>6474</v>
      </c>
    </row>
    <row r="85" spans="1:21" ht="16.5" thickBot="1">
      <c r="A85" s="259" t="s">
        <v>10</v>
      </c>
      <c r="B85" s="263">
        <f t="shared" si="3"/>
        <v>90</v>
      </c>
      <c r="C85" s="263" t="s">
        <v>3</v>
      </c>
      <c r="D85" s="263">
        <f t="shared" si="4"/>
        <v>260</v>
      </c>
      <c r="E85" s="263" t="s">
        <v>3</v>
      </c>
      <c r="F85" s="261">
        <f t="shared" si="5"/>
        <v>1950</v>
      </c>
      <c r="G85" s="263" t="s">
        <v>3</v>
      </c>
      <c r="H85" s="260">
        <v>2</v>
      </c>
      <c r="I85" s="262" t="s">
        <v>581</v>
      </c>
      <c r="J85" s="112">
        <v>90</v>
      </c>
      <c r="K85" s="75">
        <v>260</v>
      </c>
      <c r="L85" s="75">
        <v>1950</v>
      </c>
      <c r="M85" s="202">
        <v>19.365742129867634</v>
      </c>
      <c r="N85" s="87">
        <v>4971.3331200000002</v>
      </c>
      <c r="O85" s="123">
        <v>61502.534091732312</v>
      </c>
      <c r="P85" s="123">
        <v>65743.187311954709</v>
      </c>
      <c r="Q85" s="120">
        <v>21725.921142191706</v>
      </c>
      <c r="R85" s="123">
        <v>83228.455233924018</v>
      </c>
      <c r="S85" s="123">
        <v>87469.108454146422</v>
      </c>
      <c r="U85" s="7" t="s">
        <v>6475</v>
      </c>
    </row>
    <row r="86" spans="1:21" ht="16.5" thickBot="1">
      <c r="A86" s="259" t="s">
        <v>10</v>
      </c>
      <c r="B86" s="263">
        <f t="shared" si="3"/>
        <v>90</v>
      </c>
      <c r="C86" s="263" t="s">
        <v>3</v>
      </c>
      <c r="D86" s="263">
        <f t="shared" si="4"/>
        <v>260</v>
      </c>
      <c r="E86" s="263" t="s">
        <v>3</v>
      </c>
      <c r="F86" s="261">
        <f t="shared" si="5"/>
        <v>2000</v>
      </c>
      <c r="G86" s="263" t="s">
        <v>3</v>
      </c>
      <c r="H86" s="260">
        <v>2</v>
      </c>
      <c r="I86" s="262" t="s">
        <v>581</v>
      </c>
      <c r="J86" s="112">
        <v>90</v>
      </c>
      <c r="K86" s="75">
        <v>260</v>
      </c>
      <c r="L86" s="75">
        <v>2000</v>
      </c>
      <c r="M86" s="202">
        <v>19.894524210740396</v>
      </c>
      <c r="N86" s="87">
        <v>5126.6872799999992</v>
      </c>
      <c r="O86" s="123">
        <v>62536.964404304148</v>
      </c>
      <c r="P86" s="123">
        <v>67083.1738451774</v>
      </c>
      <c r="Q86" s="120">
        <v>22388.113532341918</v>
      </c>
      <c r="R86" s="123">
        <v>84925.077936646063</v>
      </c>
      <c r="S86" s="123">
        <v>89471.287377519315</v>
      </c>
      <c r="U86" s="7" t="s">
        <v>6476</v>
      </c>
    </row>
    <row r="87" spans="1:21" ht="16.5" thickBot="1">
      <c r="A87" s="259" t="s">
        <v>10</v>
      </c>
      <c r="B87" s="263">
        <f t="shared" si="3"/>
        <v>90</v>
      </c>
      <c r="C87" s="263" t="s">
        <v>3</v>
      </c>
      <c r="D87" s="263">
        <f t="shared" si="4"/>
        <v>260</v>
      </c>
      <c r="E87" s="263" t="s">
        <v>3</v>
      </c>
      <c r="F87" s="261">
        <f t="shared" si="5"/>
        <v>2050</v>
      </c>
      <c r="G87" s="263" t="s">
        <v>3</v>
      </c>
      <c r="H87" s="260">
        <v>2</v>
      </c>
      <c r="I87" s="262" t="s">
        <v>581</v>
      </c>
      <c r="J87" s="112">
        <v>90</v>
      </c>
      <c r="K87" s="75">
        <v>260</v>
      </c>
      <c r="L87" s="75">
        <v>2050</v>
      </c>
      <c r="M87" s="202">
        <v>20.31470389161316</v>
      </c>
      <c r="N87" s="87">
        <v>5282.0414399999991</v>
      </c>
      <c r="O87" s="123">
        <v>65509.083254237354</v>
      </c>
      <c r="P87" s="123">
        <v>70047.149676515226</v>
      </c>
      <c r="Q87" s="120">
        <v>22819.724144708856</v>
      </c>
      <c r="R87" s="123">
        <v>88328.807398946214</v>
      </c>
      <c r="S87" s="123">
        <v>92866.873821224086</v>
      </c>
      <c r="U87" s="7" t="s">
        <v>6477</v>
      </c>
    </row>
    <row r="88" spans="1:21" ht="16.5" thickBot="1">
      <c r="A88" s="259" t="s">
        <v>10</v>
      </c>
      <c r="B88" s="260">
        <f t="shared" si="3"/>
        <v>90</v>
      </c>
      <c r="C88" s="260" t="s">
        <v>3</v>
      </c>
      <c r="D88" s="260">
        <f t="shared" si="4"/>
        <v>260</v>
      </c>
      <c r="E88" s="260" t="s">
        <v>3</v>
      </c>
      <c r="F88" s="261">
        <f t="shared" si="5"/>
        <v>2100</v>
      </c>
      <c r="G88" s="260" t="s">
        <v>3</v>
      </c>
      <c r="H88" s="260">
        <v>2</v>
      </c>
      <c r="I88" s="262" t="s">
        <v>581</v>
      </c>
      <c r="J88" s="112">
        <v>90</v>
      </c>
      <c r="K88" s="75">
        <v>260</v>
      </c>
      <c r="L88" s="75">
        <v>2100</v>
      </c>
      <c r="M88" s="202">
        <v>20.751923572485921</v>
      </c>
      <c r="N88" s="87">
        <v>5437.3955999999998</v>
      </c>
      <c r="O88" s="123">
        <v>66399.161595843791</v>
      </c>
      <c r="P88" s="123">
        <v>71061.72299056378</v>
      </c>
      <c r="Q88" s="120">
        <v>23481.916534859069</v>
      </c>
      <c r="R88" s="123">
        <v>89881.078130702866</v>
      </c>
      <c r="S88" s="123">
        <v>94543.639525422856</v>
      </c>
      <c r="U88" s="7" t="s">
        <v>6478</v>
      </c>
    </row>
    <row r="89" spans="1:21" ht="16.5" thickBot="1">
      <c r="A89" s="259" t="s">
        <v>10</v>
      </c>
      <c r="B89" s="263">
        <f t="shared" si="3"/>
        <v>90</v>
      </c>
      <c r="C89" s="263" t="s">
        <v>3</v>
      </c>
      <c r="D89" s="263">
        <f t="shared" si="4"/>
        <v>260</v>
      </c>
      <c r="E89" s="263" t="s">
        <v>3</v>
      </c>
      <c r="F89" s="261">
        <f t="shared" si="5"/>
        <v>2150</v>
      </c>
      <c r="G89" s="263" t="s">
        <v>3</v>
      </c>
      <c r="H89" s="260">
        <v>2</v>
      </c>
      <c r="I89" s="262" t="s">
        <v>581</v>
      </c>
      <c r="J89" s="112">
        <v>90</v>
      </c>
      <c r="K89" s="75">
        <v>260</v>
      </c>
      <c r="L89" s="75">
        <v>2150</v>
      </c>
      <c r="M89" s="202">
        <v>21.296103253358687</v>
      </c>
      <c r="N89" s="87">
        <v>5592.7497599999997</v>
      </c>
      <c r="O89" s="123">
        <v>67436.857254456991</v>
      </c>
      <c r="P89" s="123">
        <v>72214.509596861419</v>
      </c>
      <c r="Q89" s="120">
        <v>23913.527147226006</v>
      </c>
      <c r="R89" s="123">
        <v>91350.384401682997</v>
      </c>
      <c r="S89" s="123">
        <v>96128.036744087425</v>
      </c>
      <c r="U89" s="7" t="s">
        <v>6479</v>
      </c>
    </row>
    <row r="90" spans="1:21" ht="16.5" thickBot="1">
      <c r="A90" s="259" t="s">
        <v>10</v>
      </c>
      <c r="B90" s="263">
        <f t="shared" si="3"/>
        <v>90</v>
      </c>
      <c r="C90" s="263" t="s">
        <v>3</v>
      </c>
      <c r="D90" s="263">
        <f t="shared" si="4"/>
        <v>260</v>
      </c>
      <c r="E90" s="263" t="s">
        <v>3</v>
      </c>
      <c r="F90" s="261">
        <f t="shared" si="5"/>
        <v>2200</v>
      </c>
      <c r="G90" s="263" t="s">
        <v>3</v>
      </c>
      <c r="H90" s="260">
        <v>2</v>
      </c>
      <c r="I90" s="262" t="s">
        <v>581</v>
      </c>
      <c r="J90" s="112">
        <v>90</v>
      </c>
      <c r="K90" s="75">
        <v>260</v>
      </c>
      <c r="L90" s="75">
        <v>2200</v>
      </c>
      <c r="M90" s="202">
        <v>21.733322934231445</v>
      </c>
      <c r="N90" s="87">
        <v>5748.1039199999996</v>
      </c>
      <c r="O90" s="123">
        <v>68474.504940658226</v>
      </c>
      <c r="P90" s="123">
        <v>73367.251214106043</v>
      </c>
      <c r="Q90" s="120">
        <v>24575.719537376219</v>
      </c>
      <c r="R90" s="123">
        <v>93050.224478034448</v>
      </c>
      <c r="S90" s="123">
        <v>97942.970751482266</v>
      </c>
      <c r="U90" s="7" t="s">
        <v>6480</v>
      </c>
    </row>
    <row r="91" spans="1:21" ht="16.5" thickBot="1">
      <c r="A91" s="259" t="s">
        <v>10</v>
      </c>
      <c r="B91" s="263">
        <f t="shared" si="3"/>
        <v>90</v>
      </c>
      <c r="C91" s="263" t="s">
        <v>3</v>
      </c>
      <c r="D91" s="263">
        <f t="shared" si="4"/>
        <v>260</v>
      </c>
      <c r="E91" s="263" t="s">
        <v>3</v>
      </c>
      <c r="F91" s="261">
        <f t="shared" si="5"/>
        <v>2250</v>
      </c>
      <c r="G91" s="263" t="s">
        <v>3</v>
      </c>
      <c r="H91" s="260">
        <v>2</v>
      </c>
      <c r="I91" s="262" t="s">
        <v>581</v>
      </c>
      <c r="J91" s="112">
        <v>90</v>
      </c>
      <c r="K91" s="75">
        <v>260</v>
      </c>
      <c r="L91" s="75">
        <v>2250</v>
      </c>
      <c r="M91" s="202">
        <v>22.153502615104209</v>
      </c>
      <c r="N91" s="87">
        <v>5903.4580799999994</v>
      </c>
      <c r="O91" s="123">
        <v>69831.763570872849</v>
      </c>
      <c r="P91" s="123">
        <v>74819.242827846407</v>
      </c>
      <c r="Q91" s="120">
        <v>25007.330009349789</v>
      </c>
      <c r="R91" s="123">
        <v>94839.09358022263</v>
      </c>
      <c r="S91" s="123">
        <v>99826.572837196203</v>
      </c>
      <c r="U91" s="7" t="s">
        <v>6481</v>
      </c>
    </row>
    <row r="92" spans="1:21" ht="16.5" thickBot="1">
      <c r="A92" s="259" t="s">
        <v>10</v>
      </c>
      <c r="B92" s="263">
        <f t="shared" si="3"/>
        <v>90</v>
      </c>
      <c r="C92" s="263" t="s">
        <v>3</v>
      </c>
      <c r="D92" s="263">
        <f t="shared" si="4"/>
        <v>260</v>
      </c>
      <c r="E92" s="263" t="s">
        <v>3</v>
      </c>
      <c r="F92" s="261">
        <f t="shared" si="5"/>
        <v>2300</v>
      </c>
      <c r="G92" s="263" t="s">
        <v>3</v>
      </c>
      <c r="H92" s="260">
        <v>2</v>
      </c>
      <c r="I92" s="262" t="s">
        <v>581</v>
      </c>
      <c r="J92" s="112">
        <v>90</v>
      </c>
      <c r="K92" s="75">
        <v>260</v>
      </c>
      <c r="L92" s="75">
        <v>2300</v>
      </c>
      <c r="M92" s="202">
        <v>22.573682295976973</v>
      </c>
      <c r="N92" s="87">
        <v>6058.8122400000002</v>
      </c>
      <c r="O92" s="123">
        <v>70626.505693773215</v>
      </c>
      <c r="P92" s="123">
        <v>75744.553445345649</v>
      </c>
      <c r="Q92" s="120">
        <v>25438.940621716731</v>
      </c>
      <c r="R92" s="123">
        <v>96065.446315489942</v>
      </c>
      <c r="S92" s="123">
        <v>101183.49406706238</v>
      </c>
      <c r="U92" s="7" t="s">
        <v>6482</v>
      </c>
    </row>
    <row r="93" spans="1:21" ht="16.5" thickBot="1">
      <c r="A93" s="259" t="s">
        <v>10</v>
      </c>
      <c r="B93" s="263">
        <f t="shared" si="3"/>
        <v>90</v>
      </c>
      <c r="C93" s="263" t="s">
        <v>3</v>
      </c>
      <c r="D93" s="263">
        <f t="shared" si="4"/>
        <v>260</v>
      </c>
      <c r="E93" s="263" t="s">
        <v>3</v>
      </c>
      <c r="F93" s="261">
        <f t="shared" si="5"/>
        <v>2350</v>
      </c>
      <c r="G93" s="263" t="s">
        <v>3</v>
      </c>
      <c r="H93" s="260">
        <v>2</v>
      </c>
      <c r="I93" s="262" t="s">
        <v>581</v>
      </c>
      <c r="J93" s="112">
        <v>90</v>
      </c>
      <c r="K93" s="75">
        <v>260</v>
      </c>
      <c r="L93" s="75">
        <v>2350</v>
      </c>
      <c r="M93" s="202">
        <v>23.010901976849738</v>
      </c>
      <c r="N93" s="87">
        <v>6214.1664000000001</v>
      </c>
      <c r="O93" s="123">
        <v>71421.199844261617</v>
      </c>
      <c r="P93" s="123">
        <v>76669.818954457543</v>
      </c>
      <c r="Q93" s="120">
        <v>26101.133011866939</v>
      </c>
      <c r="R93" s="123">
        <v>97522.33285612856</v>
      </c>
      <c r="S93" s="123">
        <v>102770.95196632449</v>
      </c>
      <c r="U93" s="7" t="s">
        <v>6483</v>
      </c>
    </row>
    <row r="94" spans="1:21" ht="16.5" thickBot="1">
      <c r="A94" s="259" t="s">
        <v>10</v>
      </c>
      <c r="B94" s="263">
        <f t="shared" si="3"/>
        <v>90</v>
      </c>
      <c r="C94" s="263" t="s">
        <v>3</v>
      </c>
      <c r="D94" s="263">
        <f t="shared" si="4"/>
        <v>260</v>
      </c>
      <c r="E94" s="263" t="s">
        <v>3</v>
      </c>
      <c r="F94" s="261">
        <f t="shared" si="5"/>
        <v>2400</v>
      </c>
      <c r="G94" s="263" t="s">
        <v>3</v>
      </c>
      <c r="H94" s="260">
        <v>2</v>
      </c>
      <c r="I94" s="262" t="s">
        <v>581</v>
      </c>
      <c r="J94" s="112">
        <v>90</v>
      </c>
      <c r="K94" s="75">
        <v>260</v>
      </c>
      <c r="L94" s="75">
        <v>2400</v>
      </c>
      <c r="M94" s="202">
        <v>23.431081657722501</v>
      </c>
      <c r="N94" s="87">
        <v>6369.520559999999</v>
      </c>
      <c r="O94" s="123">
        <v>72215.845783669341</v>
      </c>
      <c r="P94" s="123">
        <v>77595.039474516409</v>
      </c>
      <c r="Q94" s="120">
        <v>26532.743624233881</v>
      </c>
      <c r="R94" s="123">
        <v>98748.58940790323</v>
      </c>
      <c r="S94" s="123">
        <v>104127.78309875028</v>
      </c>
      <c r="U94" s="7" t="s">
        <v>6484</v>
      </c>
    </row>
    <row r="95" spans="1:21" ht="16.5" thickBot="1">
      <c r="A95" s="259" t="s">
        <v>10</v>
      </c>
      <c r="B95" s="263">
        <f t="shared" si="3"/>
        <v>90</v>
      </c>
      <c r="C95" s="263" t="s">
        <v>3</v>
      </c>
      <c r="D95" s="263">
        <f t="shared" si="4"/>
        <v>260</v>
      </c>
      <c r="E95" s="263" t="s">
        <v>3</v>
      </c>
      <c r="F95" s="261">
        <f t="shared" si="5"/>
        <v>2450</v>
      </c>
      <c r="G95" s="263" t="s">
        <v>3</v>
      </c>
      <c r="H95" s="260">
        <v>2</v>
      </c>
      <c r="I95" s="262" t="s">
        <v>581</v>
      </c>
      <c r="J95" s="112">
        <v>90</v>
      </c>
      <c r="K95" s="75">
        <v>260</v>
      </c>
      <c r="L95" s="75">
        <v>2450</v>
      </c>
      <c r="M95" s="202">
        <v>24.549065527395264</v>
      </c>
      <c r="N95" s="87">
        <v>6524.8747200000007</v>
      </c>
      <c r="O95" s="123">
        <v>73469.539852516464</v>
      </c>
      <c r="P95" s="123">
        <v>79057.447545708797</v>
      </c>
      <c r="Q95" s="120">
        <v>27194.936014384097</v>
      </c>
      <c r="R95" s="123">
        <v>100664.47586690055</v>
      </c>
      <c r="S95" s="123">
        <v>106252.38356009289</v>
      </c>
      <c r="U95" s="7" t="s">
        <v>6485</v>
      </c>
    </row>
    <row r="96" spans="1:21" ht="16.5" thickBot="1">
      <c r="A96" s="259" t="s">
        <v>10</v>
      </c>
      <c r="B96" s="263">
        <f t="shared" si="3"/>
        <v>90</v>
      </c>
      <c r="C96" s="263" t="s">
        <v>3</v>
      </c>
      <c r="D96" s="263">
        <f t="shared" si="4"/>
        <v>260</v>
      </c>
      <c r="E96" s="263" t="s">
        <v>3</v>
      </c>
      <c r="F96" s="261">
        <f t="shared" si="5"/>
        <v>2500</v>
      </c>
      <c r="G96" s="263" t="s">
        <v>3</v>
      </c>
      <c r="H96" s="260">
        <v>2</v>
      </c>
      <c r="I96" s="262" t="s">
        <v>581</v>
      </c>
      <c r="J96" s="112">
        <v>90</v>
      </c>
      <c r="K96" s="75">
        <v>260</v>
      </c>
      <c r="L96" s="75">
        <v>2500</v>
      </c>
      <c r="M96" s="202">
        <v>24.986245208268031</v>
      </c>
      <c r="N96" s="87">
        <v>6680.2288799999997</v>
      </c>
      <c r="O96" s="123">
        <v>74264.089608431532</v>
      </c>
      <c r="P96" s="123">
        <v>79982.577968327285</v>
      </c>
      <c r="Q96" s="120">
        <v>27626.546626751031</v>
      </c>
      <c r="R96" s="123">
        <v>101890.63623518257</v>
      </c>
      <c r="S96" s="123">
        <v>107609.12459507832</v>
      </c>
      <c r="U96" s="7" t="s">
        <v>6486</v>
      </c>
    </row>
    <row r="97" spans="1:21" ht="16.5" thickBot="1">
      <c r="A97" s="259" t="s">
        <v>10</v>
      </c>
      <c r="B97" s="263">
        <f t="shared" si="3"/>
        <v>90</v>
      </c>
      <c r="C97" s="263" t="s">
        <v>3</v>
      </c>
      <c r="D97" s="263">
        <f t="shared" si="4"/>
        <v>260</v>
      </c>
      <c r="E97" s="263" t="s">
        <v>3</v>
      </c>
      <c r="F97" s="261">
        <f t="shared" si="5"/>
        <v>2550</v>
      </c>
      <c r="G97" s="263" t="s">
        <v>3</v>
      </c>
      <c r="H97" s="260">
        <v>2</v>
      </c>
      <c r="I97" s="262" t="s">
        <v>581</v>
      </c>
      <c r="J97" s="112">
        <v>90</v>
      </c>
      <c r="K97" s="75">
        <v>260</v>
      </c>
      <c r="L97" s="75">
        <v>2550</v>
      </c>
      <c r="M97" s="202">
        <v>25.423464889140796</v>
      </c>
      <c r="N97" s="87">
        <v>6835.5830399999995</v>
      </c>
      <c r="O97" s="123">
        <v>78352.927090259604</v>
      </c>
      <c r="P97" s="123">
        <v>83992.131253963758</v>
      </c>
      <c r="Q97" s="120">
        <v>28288.739016901247</v>
      </c>
      <c r="R97" s="123">
        <v>106641.66610716085</v>
      </c>
      <c r="S97" s="123">
        <v>112280.87027086501</v>
      </c>
      <c r="U97" s="7" t="s">
        <v>6487</v>
      </c>
    </row>
    <row r="98" spans="1:21" ht="16.5" thickBot="1">
      <c r="A98" s="259" t="s">
        <v>10</v>
      </c>
      <c r="B98" s="260">
        <f t="shared" si="3"/>
        <v>90</v>
      </c>
      <c r="C98" s="260" t="s">
        <v>3</v>
      </c>
      <c r="D98" s="260">
        <f t="shared" si="4"/>
        <v>260</v>
      </c>
      <c r="E98" s="260" t="s">
        <v>3</v>
      </c>
      <c r="F98" s="261">
        <f t="shared" si="5"/>
        <v>2600</v>
      </c>
      <c r="G98" s="260" t="s">
        <v>3</v>
      </c>
      <c r="H98" s="260">
        <v>2</v>
      </c>
      <c r="I98" s="262" t="s">
        <v>581</v>
      </c>
      <c r="J98" s="112">
        <v>90</v>
      </c>
      <c r="K98" s="75">
        <v>260</v>
      </c>
      <c r="L98" s="75">
        <v>2600</v>
      </c>
      <c r="M98" s="202">
        <v>25.843644570013556</v>
      </c>
      <c r="N98" s="87">
        <v>6990.9371999999994</v>
      </c>
      <c r="O98" s="123">
        <v>79417.984207841146</v>
      </c>
      <c r="P98" s="123">
        <v>85170.536202260599</v>
      </c>
      <c r="Q98" s="120">
        <v>28720.349629268181</v>
      </c>
      <c r="R98" s="123">
        <v>108138.33383710933</v>
      </c>
      <c r="S98" s="123">
        <v>113890.88583152878</v>
      </c>
      <c r="U98" s="7" t="s">
        <v>6488</v>
      </c>
    </row>
    <row r="99" spans="1:21" ht="16.5" thickBot="1">
      <c r="A99" s="259" t="s">
        <v>10</v>
      </c>
      <c r="B99" s="263">
        <f t="shared" si="3"/>
        <v>90</v>
      </c>
      <c r="C99" s="263" t="s">
        <v>3</v>
      </c>
      <c r="D99" s="263">
        <f t="shared" si="4"/>
        <v>260</v>
      </c>
      <c r="E99" s="263" t="s">
        <v>3</v>
      </c>
      <c r="F99" s="261">
        <f t="shared" si="5"/>
        <v>2650</v>
      </c>
      <c r="G99" s="263" t="s">
        <v>3</v>
      </c>
      <c r="H99" s="260">
        <v>2</v>
      </c>
      <c r="I99" s="262" t="s">
        <v>581</v>
      </c>
      <c r="J99" s="112">
        <v>90</v>
      </c>
      <c r="K99" s="75">
        <v>260</v>
      </c>
      <c r="L99" s="75">
        <v>2650</v>
      </c>
      <c r="M99" s="202">
        <v>26.387864250886324</v>
      </c>
      <c r="N99" s="87">
        <v>7146.2913599999993</v>
      </c>
      <c r="O99" s="123">
        <v>80052.421504113256</v>
      </c>
      <c r="P99" s="123">
        <v>85945.754269496843</v>
      </c>
      <c r="Q99" s="120">
        <v>29382.542019418397</v>
      </c>
      <c r="R99" s="123">
        <v>109434.96352353165</v>
      </c>
      <c r="S99" s="123">
        <v>115328.29628891524</v>
      </c>
      <c r="U99" s="7" t="s">
        <v>6489</v>
      </c>
    </row>
    <row r="100" spans="1:21" ht="16.5" thickBot="1">
      <c r="A100" s="259" t="s">
        <v>10</v>
      </c>
      <c r="B100" s="263">
        <f t="shared" si="3"/>
        <v>90</v>
      </c>
      <c r="C100" s="263" t="s">
        <v>3</v>
      </c>
      <c r="D100" s="263">
        <f t="shared" si="4"/>
        <v>260</v>
      </c>
      <c r="E100" s="263" t="s">
        <v>3</v>
      </c>
      <c r="F100" s="261">
        <f t="shared" si="5"/>
        <v>2700</v>
      </c>
      <c r="G100" s="263" t="s">
        <v>3</v>
      </c>
      <c r="H100" s="260">
        <v>2</v>
      </c>
      <c r="I100" s="262" t="s">
        <v>581</v>
      </c>
      <c r="J100" s="112">
        <v>90</v>
      </c>
      <c r="K100" s="75">
        <v>260</v>
      </c>
      <c r="L100" s="75">
        <v>2700</v>
      </c>
      <c r="M100" s="202">
        <v>26.847293931759086</v>
      </c>
      <c r="N100" s="87">
        <v>7301.64552</v>
      </c>
      <c r="O100" s="123">
        <v>80722.190123795415</v>
      </c>
      <c r="P100" s="123">
        <v>86754.05289481458</v>
      </c>
      <c r="Q100" s="120">
        <v>29814.152631785331</v>
      </c>
      <c r="R100" s="123">
        <v>110536.34275558074</v>
      </c>
      <c r="S100" s="123">
        <v>116568.20552659991</v>
      </c>
      <c r="U100" s="7" t="s">
        <v>6490</v>
      </c>
    </row>
    <row r="101" spans="1:21" ht="16.5" thickBot="1">
      <c r="A101" s="259" t="s">
        <v>10</v>
      </c>
      <c r="B101" s="263">
        <f t="shared" si="3"/>
        <v>90</v>
      </c>
      <c r="C101" s="263" t="s">
        <v>3</v>
      </c>
      <c r="D101" s="263">
        <f t="shared" si="4"/>
        <v>260</v>
      </c>
      <c r="E101" s="263" t="s">
        <v>3</v>
      </c>
      <c r="F101" s="261">
        <f t="shared" si="5"/>
        <v>2750</v>
      </c>
      <c r="G101" s="263" t="s">
        <v>3</v>
      </c>
      <c r="H101" s="260">
        <v>2</v>
      </c>
      <c r="I101" s="262" t="s">
        <v>581</v>
      </c>
      <c r="J101" s="112">
        <v>90</v>
      </c>
      <c r="K101" s="75">
        <v>260</v>
      </c>
      <c r="L101" s="75">
        <v>2750</v>
      </c>
      <c r="M101" s="202">
        <v>27.267473612631846</v>
      </c>
      <c r="N101" s="87">
        <v>7456.9996799999999</v>
      </c>
      <c r="O101" s="123">
        <v>81438.285415310951</v>
      </c>
      <c r="P101" s="123">
        <v>87605.726814620502</v>
      </c>
      <c r="Q101" s="120">
        <v>30245.763244152273</v>
      </c>
      <c r="R101" s="123">
        <v>111684.04865946322</v>
      </c>
      <c r="S101" s="123">
        <v>117851.49005877278</v>
      </c>
      <c r="U101" s="7" t="s">
        <v>6491</v>
      </c>
    </row>
    <row r="102" spans="1:21" ht="16.5" thickBot="1">
      <c r="A102" s="259" t="s">
        <v>10</v>
      </c>
      <c r="B102" s="263">
        <f t="shared" si="3"/>
        <v>90</v>
      </c>
      <c r="C102" s="263" t="s">
        <v>3</v>
      </c>
      <c r="D102" s="263">
        <f t="shared" si="4"/>
        <v>260</v>
      </c>
      <c r="E102" s="263" t="s">
        <v>3</v>
      </c>
      <c r="F102" s="261">
        <f t="shared" si="5"/>
        <v>2800</v>
      </c>
      <c r="G102" s="263" t="s">
        <v>3</v>
      </c>
      <c r="H102" s="260">
        <v>2</v>
      </c>
      <c r="I102" s="262" t="s">
        <v>581</v>
      </c>
      <c r="J102" s="112">
        <v>90</v>
      </c>
      <c r="K102" s="75">
        <v>260</v>
      </c>
      <c r="L102" s="75">
        <v>2800</v>
      </c>
      <c r="M102" s="202">
        <v>27.704693293504608</v>
      </c>
      <c r="N102" s="87">
        <v>7612.3538400000007</v>
      </c>
      <c r="O102" s="123">
        <v>82071.488316982606</v>
      </c>
      <c r="P102" s="123">
        <v>88379.789128598321</v>
      </c>
      <c r="Q102" s="120">
        <v>30907.955493909118</v>
      </c>
      <c r="R102" s="123">
        <v>112979.44381089172</v>
      </c>
      <c r="S102" s="123">
        <v>119287.74462250744</v>
      </c>
      <c r="U102" s="7" t="s">
        <v>6492</v>
      </c>
    </row>
    <row r="103" spans="1:21" ht="16.5" thickBot="1">
      <c r="A103" s="259" t="s">
        <v>10</v>
      </c>
      <c r="B103" s="263">
        <f t="shared" si="3"/>
        <v>90</v>
      </c>
      <c r="C103" s="263" t="s">
        <v>3</v>
      </c>
      <c r="D103" s="263">
        <f t="shared" si="4"/>
        <v>260</v>
      </c>
      <c r="E103" s="263" t="s">
        <v>3</v>
      </c>
      <c r="F103" s="261">
        <f t="shared" si="5"/>
        <v>2850</v>
      </c>
      <c r="G103" s="263" t="s">
        <v>3</v>
      </c>
      <c r="H103" s="260">
        <v>2</v>
      </c>
      <c r="I103" s="262" t="s">
        <v>581</v>
      </c>
      <c r="J103" s="112">
        <v>90</v>
      </c>
      <c r="K103" s="75">
        <v>260</v>
      </c>
      <c r="L103" s="75">
        <v>2850</v>
      </c>
      <c r="M103" s="202">
        <v>28.124872974377368</v>
      </c>
      <c r="N103" s="87">
        <v>7767.7079999999987</v>
      </c>
      <c r="O103" s="123">
        <v>82704.643126907918</v>
      </c>
      <c r="P103" s="123">
        <v>89153.80645352311</v>
      </c>
      <c r="Q103" s="120">
        <v>31339.566106276056</v>
      </c>
      <c r="R103" s="123">
        <v>114044.20923318397</v>
      </c>
      <c r="S103" s="123">
        <v>120493.37255979917</v>
      </c>
      <c r="U103" s="7" t="s">
        <v>6493</v>
      </c>
    </row>
    <row r="104" spans="1:21" ht="16.5" thickBot="1">
      <c r="A104" s="259" t="s">
        <v>10</v>
      </c>
      <c r="B104" s="263">
        <f t="shared" si="3"/>
        <v>90</v>
      </c>
      <c r="C104" s="263" t="s">
        <v>3</v>
      </c>
      <c r="D104" s="263">
        <f t="shared" si="4"/>
        <v>260</v>
      </c>
      <c r="E104" s="263" t="s">
        <v>3</v>
      </c>
      <c r="F104" s="261">
        <f t="shared" si="5"/>
        <v>2900</v>
      </c>
      <c r="G104" s="263" t="s">
        <v>3</v>
      </c>
      <c r="H104" s="260">
        <v>2</v>
      </c>
      <c r="I104" s="262" t="s">
        <v>581</v>
      </c>
      <c r="J104" s="112">
        <v>90</v>
      </c>
      <c r="K104" s="75">
        <v>260</v>
      </c>
      <c r="L104" s="75">
        <v>2900</v>
      </c>
      <c r="M104" s="202">
        <v>28.738092655250135</v>
      </c>
      <c r="N104" s="87">
        <v>7923.0621599999986</v>
      </c>
      <c r="O104" s="123">
        <v>83337.749845086946</v>
      </c>
      <c r="P104" s="123">
        <v>89927.778670060536</v>
      </c>
      <c r="Q104" s="120">
        <v>32001.758496426271</v>
      </c>
      <c r="R104" s="123">
        <v>115339.50834151322</v>
      </c>
      <c r="S104" s="123">
        <v>121929.53716648681</v>
      </c>
      <c r="U104" s="7" t="s">
        <v>6494</v>
      </c>
    </row>
    <row r="105" spans="1:21" ht="16.5" thickBot="1">
      <c r="A105" s="259" t="s">
        <v>10</v>
      </c>
      <c r="B105" s="263">
        <f t="shared" si="3"/>
        <v>90</v>
      </c>
      <c r="C105" s="263" t="s">
        <v>3</v>
      </c>
      <c r="D105" s="263">
        <f t="shared" si="4"/>
        <v>260</v>
      </c>
      <c r="E105" s="263" t="s">
        <v>3</v>
      </c>
      <c r="F105" s="261">
        <f t="shared" si="5"/>
        <v>2950</v>
      </c>
      <c r="G105" s="263" t="s">
        <v>3</v>
      </c>
      <c r="H105" s="260">
        <v>2</v>
      </c>
      <c r="I105" s="262" t="s">
        <v>581</v>
      </c>
      <c r="J105" s="112">
        <v>90</v>
      </c>
      <c r="K105" s="75">
        <v>260</v>
      </c>
      <c r="L105" s="75">
        <v>2950</v>
      </c>
      <c r="M105" s="202">
        <v>29.158272336122899</v>
      </c>
      <c r="N105" s="87">
        <v>8078.4163199999994</v>
      </c>
      <c r="O105" s="123">
        <v>83970.808471519616</v>
      </c>
      <c r="P105" s="123">
        <v>90701.705897544962</v>
      </c>
      <c r="Q105" s="120">
        <v>32433.369108793206</v>
      </c>
      <c r="R105" s="123">
        <v>116404.17758031283</v>
      </c>
      <c r="S105" s="123">
        <v>123135.07500633817</v>
      </c>
      <c r="U105" s="7" t="s">
        <v>6495</v>
      </c>
    </row>
    <row r="106" spans="1:21" ht="16.5" thickBot="1">
      <c r="A106" s="264" t="s">
        <v>10</v>
      </c>
      <c r="B106" s="265">
        <f t="shared" si="3"/>
        <v>90</v>
      </c>
      <c r="C106" s="265" t="s">
        <v>3</v>
      </c>
      <c r="D106" s="265">
        <f t="shared" si="4"/>
        <v>260</v>
      </c>
      <c r="E106" s="265" t="s">
        <v>3</v>
      </c>
      <c r="F106" s="266">
        <f t="shared" si="5"/>
        <v>3000</v>
      </c>
      <c r="G106" s="265" t="s">
        <v>3</v>
      </c>
      <c r="H106" s="267">
        <v>2</v>
      </c>
      <c r="I106" s="262" t="s">
        <v>581</v>
      </c>
      <c r="J106" s="346">
        <v>90</v>
      </c>
      <c r="K106" s="322">
        <v>260</v>
      </c>
      <c r="L106" s="322">
        <v>3000</v>
      </c>
      <c r="M106" s="305">
        <v>29.595492016995664</v>
      </c>
      <c r="N106" s="306">
        <v>8233.7704799999992</v>
      </c>
      <c r="O106" s="307">
        <v>86320.655804988506</v>
      </c>
      <c r="P106" s="307">
        <v>93083.05260885015</v>
      </c>
      <c r="Q106" s="308">
        <v>33095.561498943418</v>
      </c>
      <c r="R106" s="307">
        <v>119416.21730393192</v>
      </c>
      <c r="S106" s="307">
        <v>126178.61410779358</v>
      </c>
      <c r="U106" s="7" t="s">
        <v>6496</v>
      </c>
    </row>
    <row r="107" spans="1:21" ht="22.5" customHeight="1" thickBot="1">
      <c r="A107" s="2580" t="s">
        <v>48</v>
      </c>
      <c r="B107" s="2581"/>
      <c r="C107" s="2581"/>
      <c r="D107" s="2581"/>
      <c r="E107" s="2581"/>
      <c r="F107" s="2581"/>
      <c r="G107" s="2581"/>
      <c r="H107" s="2581"/>
      <c r="I107" s="2581"/>
      <c r="J107" s="2581"/>
      <c r="K107" s="2581"/>
      <c r="L107" s="2581"/>
      <c r="M107" s="2581"/>
      <c r="N107" s="2581"/>
      <c r="O107" s="2581"/>
      <c r="P107" s="2581"/>
      <c r="Q107" s="2581"/>
      <c r="R107" s="2581"/>
      <c r="S107" s="2582"/>
    </row>
    <row r="108" spans="1:21" ht="16.5" thickBot="1">
      <c r="A108" s="2583" t="s">
        <v>134</v>
      </c>
      <c r="B108" s="2584"/>
      <c r="C108" s="2584"/>
      <c r="D108" s="2584"/>
      <c r="E108" s="2584"/>
      <c r="F108" s="2584"/>
      <c r="G108" s="2584"/>
      <c r="H108" s="2584"/>
      <c r="I108" s="2584"/>
      <c r="J108" s="2584"/>
      <c r="K108" s="2584"/>
      <c r="L108" s="2584"/>
      <c r="M108" s="2584"/>
      <c r="N108" s="2584"/>
      <c r="O108" s="2584"/>
      <c r="P108" s="2584"/>
      <c r="Q108" s="2584"/>
      <c r="R108" s="2584"/>
      <c r="S108" s="2585"/>
    </row>
    <row r="109" spans="1:21" ht="16.5" thickBot="1">
      <c r="A109" s="259" t="s">
        <v>10</v>
      </c>
      <c r="B109" s="260">
        <f t="shared" ref="B109:B155" si="6">J109</f>
        <v>90</v>
      </c>
      <c r="C109" s="260" t="s">
        <v>3</v>
      </c>
      <c r="D109" s="260">
        <f t="shared" ref="D109:D155" si="7">K109</f>
        <v>300</v>
      </c>
      <c r="E109" s="260" t="s">
        <v>3</v>
      </c>
      <c r="F109" s="261">
        <f t="shared" ref="F109:F155" si="8">L109</f>
        <v>700</v>
      </c>
      <c r="G109" s="260" t="s">
        <v>3</v>
      </c>
      <c r="H109" s="260">
        <v>2</v>
      </c>
      <c r="I109" s="262" t="s">
        <v>581</v>
      </c>
      <c r="J109" s="344">
        <v>90</v>
      </c>
      <c r="K109" s="327">
        <v>300</v>
      </c>
      <c r="L109" s="327">
        <v>700</v>
      </c>
      <c r="M109" s="301">
        <v>7.9788715468274987</v>
      </c>
      <c r="N109" s="302">
        <v>1262.4448199999997</v>
      </c>
      <c r="O109" s="303">
        <v>26322.032006851627</v>
      </c>
      <c r="P109" s="303">
        <v>28526.937380288531</v>
      </c>
      <c r="Q109" s="304">
        <v>9394.7606208712132</v>
      </c>
      <c r="R109" s="303">
        <v>35716.79262772284</v>
      </c>
      <c r="S109" s="303">
        <v>37921.698001159748</v>
      </c>
      <c r="U109" s="7" t="s">
        <v>6497</v>
      </c>
    </row>
    <row r="110" spans="1:21" ht="16.5" thickBot="1">
      <c r="A110" s="259" t="s">
        <v>10</v>
      </c>
      <c r="B110" s="263">
        <f t="shared" si="6"/>
        <v>90</v>
      </c>
      <c r="C110" s="263" t="s">
        <v>3</v>
      </c>
      <c r="D110" s="263">
        <f t="shared" si="7"/>
        <v>300</v>
      </c>
      <c r="E110" s="263" t="s">
        <v>3</v>
      </c>
      <c r="F110" s="261">
        <f t="shared" si="8"/>
        <v>750</v>
      </c>
      <c r="G110" s="263" t="s">
        <v>3</v>
      </c>
      <c r="H110" s="260">
        <v>2</v>
      </c>
      <c r="I110" s="262" t="s">
        <v>581</v>
      </c>
      <c r="J110" s="112">
        <v>90</v>
      </c>
      <c r="K110" s="75">
        <v>300</v>
      </c>
      <c r="L110" s="75">
        <v>750</v>
      </c>
      <c r="M110" s="202">
        <v>8.434604935594999</v>
      </c>
      <c r="N110" s="87">
        <v>1442.7940799999999</v>
      </c>
      <c r="O110" s="123">
        <v>27876.329681818701</v>
      </c>
      <c r="P110" s="123">
        <v>30181.601217156636</v>
      </c>
      <c r="Q110" s="120">
        <v>9875.165788735203</v>
      </c>
      <c r="R110" s="123">
        <v>37751.495470553906</v>
      </c>
      <c r="S110" s="123">
        <v>40056.767005891837</v>
      </c>
      <c r="U110" s="7" t="s">
        <v>6498</v>
      </c>
    </row>
    <row r="111" spans="1:21" ht="16.5" thickBot="1">
      <c r="A111" s="259" t="s">
        <v>10</v>
      </c>
      <c r="B111" s="263">
        <f t="shared" si="6"/>
        <v>90</v>
      </c>
      <c r="C111" s="263" t="s">
        <v>3</v>
      </c>
      <c r="D111" s="263">
        <f t="shared" si="7"/>
        <v>300</v>
      </c>
      <c r="E111" s="263" t="s">
        <v>3</v>
      </c>
      <c r="F111" s="261">
        <f t="shared" si="8"/>
        <v>800</v>
      </c>
      <c r="G111" s="263" t="s">
        <v>3</v>
      </c>
      <c r="H111" s="260">
        <v>2</v>
      </c>
      <c r="I111" s="262" t="s">
        <v>581</v>
      </c>
      <c r="J111" s="112">
        <v>90</v>
      </c>
      <c r="K111" s="75">
        <v>300</v>
      </c>
      <c r="L111" s="75">
        <v>800</v>
      </c>
      <c r="M111" s="202">
        <v>8.8903383243625012</v>
      </c>
      <c r="N111" s="87">
        <v>1623.1433399999999</v>
      </c>
      <c r="O111" s="123">
        <v>29430.627476120131</v>
      </c>
      <c r="P111" s="123">
        <v>31836.265054024741</v>
      </c>
      <c r="Q111" s="120">
        <v>10355.570956599189</v>
      </c>
      <c r="R111" s="123">
        <v>39786.19843271932</v>
      </c>
      <c r="S111" s="123">
        <v>42191.836010623927</v>
      </c>
      <c r="U111" s="7" t="s">
        <v>6499</v>
      </c>
    </row>
    <row r="112" spans="1:21" ht="16.5" thickBot="1">
      <c r="A112" s="259" t="s">
        <v>10</v>
      </c>
      <c r="B112" s="263">
        <f t="shared" si="6"/>
        <v>90</v>
      </c>
      <c r="C112" s="263" t="s">
        <v>3</v>
      </c>
      <c r="D112" s="263">
        <f t="shared" si="7"/>
        <v>300</v>
      </c>
      <c r="E112" s="263" t="s">
        <v>3</v>
      </c>
      <c r="F112" s="261">
        <f t="shared" si="8"/>
        <v>850</v>
      </c>
      <c r="G112" s="263" t="s">
        <v>3</v>
      </c>
      <c r="H112" s="260">
        <v>2</v>
      </c>
      <c r="I112" s="262" t="s">
        <v>581</v>
      </c>
      <c r="J112" s="112">
        <v>90</v>
      </c>
      <c r="K112" s="75">
        <v>300</v>
      </c>
      <c r="L112" s="75">
        <v>850</v>
      </c>
      <c r="M112" s="202">
        <v>9.3631117131299995</v>
      </c>
      <c r="N112" s="87">
        <v>1803.4925999999998</v>
      </c>
      <c r="O112" s="123">
        <v>30984.925270421565</v>
      </c>
      <c r="P112" s="123">
        <v>33490.92889089285</v>
      </c>
      <c r="Q112" s="120">
        <v>11066.558042639816</v>
      </c>
      <c r="R112" s="123">
        <v>42051.483313061384</v>
      </c>
      <c r="S112" s="123">
        <v>44557.486933532666</v>
      </c>
      <c r="U112" s="7" t="s">
        <v>6500</v>
      </c>
    </row>
    <row r="113" spans="1:21" ht="16.5" thickBot="1">
      <c r="A113" s="259" t="s">
        <v>10</v>
      </c>
      <c r="B113" s="263">
        <f t="shared" si="6"/>
        <v>90</v>
      </c>
      <c r="C113" s="263" t="s">
        <v>3</v>
      </c>
      <c r="D113" s="263">
        <f t="shared" si="7"/>
        <v>300</v>
      </c>
      <c r="E113" s="263" t="s">
        <v>3</v>
      </c>
      <c r="F113" s="261">
        <f t="shared" si="8"/>
        <v>900</v>
      </c>
      <c r="G113" s="263" t="s">
        <v>3</v>
      </c>
      <c r="H113" s="260">
        <v>2</v>
      </c>
      <c r="I113" s="262" t="s">
        <v>581</v>
      </c>
      <c r="J113" s="112">
        <v>90</v>
      </c>
      <c r="K113" s="75">
        <v>300</v>
      </c>
      <c r="L113" s="75">
        <v>900</v>
      </c>
      <c r="M113" s="202">
        <v>9.8568451018975001</v>
      </c>
      <c r="N113" s="87">
        <v>1983.84186</v>
      </c>
      <c r="O113" s="123">
        <v>32539.223064722995</v>
      </c>
      <c r="P113" s="123">
        <v>35145.592727760952</v>
      </c>
      <c r="Q113" s="120">
        <v>11546.963210503804</v>
      </c>
      <c r="R113" s="123">
        <v>44086.186275226799</v>
      </c>
      <c r="S113" s="123">
        <v>46692.555938264755</v>
      </c>
      <c r="U113" s="7" t="s">
        <v>6501</v>
      </c>
    </row>
    <row r="114" spans="1:21" ht="16.5" thickBot="1">
      <c r="A114" s="259" t="s">
        <v>10</v>
      </c>
      <c r="B114" s="263">
        <f t="shared" si="6"/>
        <v>90</v>
      </c>
      <c r="C114" s="263" t="s">
        <v>3</v>
      </c>
      <c r="D114" s="263">
        <f t="shared" si="7"/>
        <v>300</v>
      </c>
      <c r="E114" s="263" t="s">
        <v>3</v>
      </c>
      <c r="F114" s="261">
        <f t="shared" si="8"/>
        <v>950</v>
      </c>
      <c r="G114" s="263" t="s">
        <v>3</v>
      </c>
      <c r="H114" s="260">
        <v>2</v>
      </c>
      <c r="I114" s="262" t="s">
        <v>581</v>
      </c>
      <c r="J114" s="112">
        <v>90</v>
      </c>
      <c r="K114" s="75">
        <v>300</v>
      </c>
      <c r="L114" s="75">
        <v>950</v>
      </c>
      <c r="M114" s="202">
        <v>10.398618490664999</v>
      </c>
      <c r="N114" s="87">
        <v>2164.19112</v>
      </c>
      <c r="O114" s="123">
        <v>34093.520739690066</v>
      </c>
      <c r="P114" s="123">
        <v>36800.256564629053</v>
      </c>
      <c r="Q114" s="120">
        <v>12257.950156151066</v>
      </c>
      <c r="R114" s="123">
        <v>46351.470895841136</v>
      </c>
      <c r="S114" s="123">
        <v>49058.206720780116</v>
      </c>
      <c r="U114" s="7" t="s">
        <v>6502</v>
      </c>
    </row>
    <row r="115" spans="1:21" ht="16.5" thickBot="1">
      <c r="A115" s="259" t="s">
        <v>10</v>
      </c>
      <c r="B115" s="263">
        <f t="shared" si="6"/>
        <v>90</v>
      </c>
      <c r="C115" s="263" t="s">
        <v>3</v>
      </c>
      <c r="D115" s="263">
        <f t="shared" si="7"/>
        <v>300</v>
      </c>
      <c r="E115" s="263" t="s">
        <v>3</v>
      </c>
      <c r="F115" s="261">
        <f t="shared" si="8"/>
        <v>1000</v>
      </c>
      <c r="G115" s="263" t="s">
        <v>3</v>
      </c>
      <c r="H115" s="260">
        <v>2</v>
      </c>
      <c r="I115" s="262" t="s">
        <v>581</v>
      </c>
      <c r="J115" s="112">
        <v>90</v>
      </c>
      <c r="K115" s="75">
        <v>300</v>
      </c>
      <c r="L115" s="75">
        <v>1000</v>
      </c>
      <c r="M115" s="202">
        <v>10.854351879432501</v>
      </c>
      <c r="N115" s="87">
        <v>2344.5403799999999</v>
      </c>
      <c r="O115" s="123">
        <v>35552.686496372189</v>
      </c>
      <c r="P115" s="123">
        <v>38365.848759255226</v>
      </c>
      <c r="Q115" s="120">
        <v>12738.355464408416</v>
      </c>
      <c r="R115" s="123">
        <v>48291.041960780603</v>
      </c>
      <c r="S115" s="123">
        <v>51104.204223663641</v>
      </c>
      <c r="U115" s="7" t="s">
        <v>6503</v>
      </c>
    </row>
    <row r="116" spans="1:21" ht="16.5" thickBot="1">
      <c r="A116" s="259" t="s">
        <v>10</v>
      </c>
      <c r="B116" s="263">
        <f t="shared" si="6"/>
        <v>90</v>
      </c>
      <c r="C116" s="263" t="s">
        <v>3</v>
      </c>
      <c r="D116" s="263">
        <f t="shared" si="7"/>
        <v>300</v>
      </c>
      <c r="E116" s="263" t="s">
        <v>3</v>
      </c>
      <c r="F116" s="261">
        <f t="shared" si="8"/>
        <v>1050</v>
      </c>
      <c r="G116" s="263" t="s">
        <v>3</v>
      </c>
      <c r="H116" s="260">
        <v>2</v>
      </c>
      <c r="I116" s="262" t="s">
        <v>581</v>
      </c>
      <c r="J116" s="112">
        <v>90</v>
      </c>
      <c r="K116" s="75">
        <v>300</v>
      </c>
      <c r="L116" s="75">
        <v>1050</v>
      </c>
      <c r="M116" s="202">
        <v>11.3271252682</v>
      </c>
      <c r="N116" s="87">
        <v>2524.8896399999994</v>
      </c>
      <c r="O116" s="123">
        <v>37332.92289493628</v>
      </c>
      <c r="P116" s="123">
        <v>40232.057806115103</v>
      </c>
      <c r="Q116" s="120">
        <v>13449.342410055679</v>
      </c>
      <c r="R116" s="123">
        <v>50782.265304991961</v>
      </c>
      <c r="S116" s="123">
        <v>53681.400216170783</v>
      </c>
      <c r="U116" s="7" t="s">
        <v>6504</v>
      </c>
    </row>
    <row r="117" spans="1:21" ht="16.5" thickBot="1">
      <c r="A117" s="259" t="s">
        <v>10</v>
      </c>
      <c r="B117" s="260">
        <f t="shared" si="6"/>
        <v>90</v>
      </c>
      <c r="C117" s="260" t="s">
        <v>3</v>
      </c>
      <c r="D117" s="260">
        <f t="shared" si="7"/>
        <v>300</v>
      </c>
      <c r="E117" s="260" t="s">
        <v>3</v>
      </c>
      <c r="F117" s="261">
        <f t="shared" si="8"/>
        <v>1100</v>
      </c>
      <c r="G117" s="260" t="s">
        <v>3</v>
      </c>
      <c r="H117" s="260">
        <v>2</v>
      </c>
      <c r="I117" s="262" t="s">
        <v>581</v>
      </c>
      <c r="J117" s="112">
        <v>90</v>
      </c>
      <c r="K117" s="75">
        <v>300</v>
      </c>
      <c r="L117" s="75">
        <v>1100</v>
      </c>
      <c r="M117" s="202">
        <v>11.7828586569675</v>
      </c>
      <c r="N117" s="87">
        <v>2705.2388999999998</v>
      </c>
      <c r="O117" s="123">
        <v>38887.220689237714</v>
      </c>
      <c r="P117" s="123">
        <v>41886.721642983204</v>
      </c>
      <c r="Q117" s="120">
        <v>13929.747718313029</v>
      </c>
      <c r="R117" s="123">
        <v>52816.968407550739</v>
      </c>
      <c r="S117" s="123">
        <v>55816.469361296229</v>
      </c>
      <c r="U117" s="7" t="s">
        <v>6505</v>
      </c>
    </row>
    <row r="118" spans="1:21" ht="16.5" thickBot="1">
      <c r="A118" s="259" t="s">
        <v>10</v>
      </c>
      <c r="B118" s="263">
        <f t="shared" si="6"/>
        <v>90</v>
      </c>
      <c r="C118" s="263" t="s">
        <v>3</v>
      </c>
      <c r="D118" s="263">
        <f t="shared" si="7"/>
        <v>300</v>
      </c>
      <c r="E118" s="263" t="s">
        <v>3</v>
      </c>
      <c r="F118" s="261">
        <f t="shared" si="8"/>
        <v>1150</v>
      </c>
      <c r="G118" s="263" t="s">
        <v>3</v>
      </c>
      <c r="H118" s="260">
        <v>2</v>
      </c>
      <c r="I118" s="262" t="s">
        <v>581</v>
      </c>
      <c r="J118" s="112">
        <v>90</v>
      </c>
      <c r="K118" s="75">
        <v>300</v>
      </c>
      <c r="L118" s="75">
        <v>1150</v>
      </c>
      <c r="M118" s="202">
        <v>12.238592045735</v>
      </c>
      <c r="N118" s="87">
        <v>2885.5881599999998</v>
      </c>
      <c r="O118" s="123">
        <v>39686.17603098604</v>
      </c>
      <c r="P118" s="123">
        <v>42834.162578528027</v>
      </c>
      <c r="Q118" s="120">
        <v>14410.152886177015</v>
      </c>
      <c r="R118" s="123">
        <v>54096.328917163053</v>
      </c>
      <c r="S118" s="123">
        <v>57244.31546470504</v>
      </c>
      <c r="U118" s="7" t="s">
        <v>6506</v>
      </c>
    </row>
    <row r="119" spans="1:21" ht="16.5" thickBot="1">
      <c r="A119" s="259" t="s">
        <v>10</v>
      </c>
      <c r="B119" s="263">
        <f t="shared" si="6"/>
        <v>90</v>
      </c>
      <c r="C119" s="263" t="s">
        <v>3</v>
      </c>
      <c r="D119" s="263">
        <f t="shared" si="7"/>
        <v>300</v>
      </c>
      <c r="E119" s="263" t="s">
        <v>3</v>
      </c>
      <c r="F119" s="261">
        <f t="shared" si="8"/>
        <v>1200</v>
      </c>
      <c r="G119" s="263" t="s">
        <v>3</v>
      </c>
      <c r="H119" s="260">
        <v>2</v>
      </c>
      <c r="I119" s="262" t="s">
        <v>581</v>
      </c>
      <c r="J119" s="112">
        <v>90</v>
      </c>
      <c r="K119" s="75">
        <v>300</v>
      </c>
      <c r="L119" s="75">
        <v>1200</v>
      </c>
      <c r="M119" s="202">
        <v>12.926615434502498</v>
      </c>
      <c r="N119" s="87">
        <v>3065.9374199999997</v>
      </c>
      <c r="O119" s="123">
        <v>40520.27020982479</v>
      </c>
      <c r="P119" s="123">
        <v>43814.503996607906</v>
      </c>
      <c r="Q119" s="120">
        <v>15121.139831824277</v>
      </c>
      <c r="R119" s="123">
        <v>55641.410041649069</v>
      </c>
      <c r="S119" s="123">
        <v>58935.643828432185</v>
      </c>
      <c r="U119" s="7" t="s">
        <v>6507</v>
      </c>
    </row>
    <row r="120" spans="1:21" ht="16.5" thickBot="1">
      <c r="A120" s="259" t="s">
        <v>10</v>
      </c>
      <c r="B120" s="263">
        <f t="shared" si="6"/>
        <v>90</v>
      </c>
      <c r="C120" s="263" t="s">
        <v>3</v>
      </c>
      <c r="D120" s="263">
        <f t="shared" si="7"/>
        <v>300</v>
      </c>
      <c r="E120" s="263" t="s">
        <v>3</v>
      </c>
      <c r="F120" s="261">
        <f t="shared" si="8"/>
        <v>1250</v>
      </c>
      <c r="G120" s="263" t="s">
        <v>3</v>
      </c>
      <c r="H120" s="260">
        <v>2</v>
      </c>
      <c r="I120" s="262" t="s">
        <v>581</v>
      </c>
      <c r="J120" s="112">
        <v>90</v>
      </c>
      <c r="K120" s="75">
        <v>300</v>
      </c>
      <c r="L120" s="75">
        <v>1250</v>
      </c>
      <c r="M120" s="202">
        <v>13.38234882327</v>
      </c>
      <c r="N120" s="87">
        <v>3246.2866799999997</v>
      </c>
      <c r="O120" s="123">
        <v>41318.744514775506</v>
      </c>
      <c r="P120" s="123">
        <v>44761.494683619523</v>
      </c>
      <c r="Q120" s="120">
        <v>15601.545140081627</v>
      </c>
      <c r="R120" s="123">
        <v>56920.28965485713</v>
      </c>
      <c r="S120" s="123">
        <v>60363.039823701154</v>
      </c>
      <c r="U120" s="7" t="s">
        <v>6508</v>
      </c>
    </row>
    <row r="121" spans="1:21" ht="16.5" thickBot="1">
      <c r="A121" s="259" t="s">
        <v>10</v>
      </c>
      <c r="B121" s="263">
        <f t="shared" si="6"/>
        <v>90</v>
      </c>
      <c r="C121" s="263" t="s">
        <v>3</v>
      </c>
      <c r="D121" s="263">
        <f t="shared" si="7"/>
        <v>300</v>
      </c>
      <c r="E121" s="263" t="s">
        <v>3</v>
      </c>
      <c r="F121" s="261">
        <f t="shared" si="8"/>
        <v>1300</v>
      </c>
      <c r="G121" s="263" t="s">
        <v>3</v>
      </c>
      <c r="H121" s="260">
        <v>2</v>
      </c>
      <c r="I121" s="262" t="s">
        <v>581</v>
      </c>
      <c r="J121" s="112">
        <v>90</v>
      </c>
      <c r="K121" s="75">
        <v>300</v>
      </c>
      <c r="L121" s="75">
        <v>1300</v>
      </c>
      <c r="M121" s="202">
        <v>13.917122212037501</v>
      </c>
      <c r="N121" s="87">
        <v>3426.6359399999997</v>
      </c>
      <c r="O121" s="123">
        <v>44569.602291064293</v>
      </c>
      <c r="P121" s="123">
        <v>48004.637851658597</v>
      </c>
      <c r="Q121" s="120">
        <v>16312.53208572889</v>
      </c>
      <c r="R121" s="123">
        <v>60882.134376793183</v>
      </c>
      <c r="S121" s="123">
        <v>64317.169937387487</v>
      </c>
      <c r="U121" s="7" t="s">
        <v>6509</v>
      </c>
    </row>
    <row r="122" spans="1:21" ht="16.5" thickBot="1">
      <c r="A122" s="259" t="s">
        <v>10</v>
      </c>
      <c r="B122" s="263">
        <f t="shared" si="6"/>
        <v>90</v>
      </c>
      <c r="C122" s="263" t="s">
        <v>3</v>
      </c>
      <c r="D122" s="263">
        <f t="shared" si="7"/>
        <v>300</v>
      </c>
      <c r="E122" s="263" t="s">
        <v>3</v>
      </c>
      <c r="F122" s="261">
        <f t="shared" si="8"/>
        <v>1350</v>
      </c>
      <c r="G122" s="263" t="s">
        <v>3</v>
      </c>
      <c r="H122" s="260">
        <v>2</v>
      </c>
      <c r="I122" s="262" t="s">
        <v>581</v>
      </c>
      <c r="J122" s="112">
        <v>90</v>
      </c>
      <c r="K122" s="75">
        <v>300</v>
      </c>
      <c r="L122" s="75">
        <v>1350</v>
      </c>
      <c r="M122" s="202">
        <v>14.372855600805</v>
      </c>
      <c r="N122" s="87">
        <v>3606.9851999999996</v>
      </c>
      <c r="O122" s="123">
        <v>45617.772880964993</v>
      </c>
      <c r="P122" s="123">
        <v>49185.41779235084</v>
      </c>
      <c r="Q122" s="120">
        <v>16792.937253592878</v>
      </c>
      <c r="R122" s="123">
        <v>62410.71013455787</v>
      </c>
      <c r="S122" s="123">
        <v>65978.355045943725</v>
      </c>
      <c r="U122" s="7" t="s">
        <v>6510</v>
      </c>
    </row>
    <row r="123" spans="1:21" ht="16.5" thickBot="1">
      <c r="A123" s="259" t="s">
        <v>10</v>
      </c>
      <c r="B123" s="263">
        <f t="shared" si="6"/>
        <v>90</v>
      </c>
      <c r="C123" s="263" t="s">
        <v>3</v>
      </c>
      <c r="D123" s="263">
        <f t="shared" si="7"/>
        <v>300</v>
      </c>
      <c r="E123" s="263" t="s">
        <v>3</v>
      </c>
      <c r="F123" s="261">
        <f t="shared" si="8"/>
        <v>1400</v>
      </c>
      <c r="G123" s="263" t="s">
        <v>3</v>
      </c>
      <c r="H123" s="260">
        <v>2</v>
      </c>
      <c r="I123" s="262" t="s">
        <v>581</v>
      </c>
      <c r="J123" s="112">
        <v>90</v>
      </c>
      <c r="K123" s="75">
        <v>300</v>
      </c>
      <c r="L123" s="75">
        <v>1400</v>
      </c>
      <c r="M123" s="202">
        <v>14.845628989572504</v>
      </c>
      <c r="N123" s="87">
        <v>3787.3344599999996</v>
      </c>
      <c r="O123" s="123">
        <v>46992.9600664756</v>
      </c>
      <c r="P123" s="123">
        <v>50672.381413748953</v>
      </c>
      <c r="Q123" s="120">
        <v>17503.924339633504</v>
      </c>
      <c r="R123" s="123">
        <v>64496.884406109108</v>
      </c>
      <c r="S123" s="123">
        <v>68176.305753382461</v>
      </c>
      <c r="U123" s="7" t="s">
        <v>6511</v>
      </c>
    </row>
    <row r="124" spans="1:21" ht="16.5" thickBot="1">
      <c r="A124" s="259" t="s">
        <v>10</v>
      </c>
      <c r="B124" s="263">
        <f t="shared" si="6"/>
        <v>90</v>
      </c>
      <c r="C124" s="263" t="s">
        <v>3</v>
      </c>
      <c r="D124" s="263">
        <f t="shared" si="7"/>
        <v>300</v>
      </c>
      <c r="E124" s="263" t="s">
        <v>3</v>
      </c>
      <c r="F124" s="261">
        <f t="shared" si="8"/>
        <v>1450</v>
      </c>
      <c r="G124" s="263" t="s">
        <v>3</v>
      </c>
      <c r="H124" s="260">
        <v>2</v>
      </c>
      <c r="I124" s="262" t="s">
        <v>581</v>
      </c>
      <c r="J124" s="112">
        <v>90</v>
      </c>
      <c r="K124" s="75">
        <v>300</v>
      </c>
      <c r="L124" s="75">
        <v>1450</v>
      </c>
      <c r="M124" s="202">
        <v>15.30136237834</v>
      </c>
      <c r="N124" s="87">
        <v>3967.68372</v>
      </c>
      <c r="O124" s="123">
        <v>48041.130775710648</v>
      </c>
      <c r="P124" s="123">
        <v>51853.161354441203</v>
      </c>
      <c r="Q124" s="120">
        <v>17984.32950749735</v>
      </c>
      <c r="R124" s="123">
        <v>66025.460283207998</v>
      </c>
      <c r="S124" s="123">
        <v>69837.490861938553</v>
      </c>
      <c r="U124" s="7" t="s">
        <v>6512</v>
      </c>
    </row>
    <row r="125" spans="1:21" ht="16.5" thickBot="1">
      <c r="A125" s="259" t="s">
        <v>10</v>
      </c>
      <c r="B125" s="263">
        <f t="shared" si="6"/>
        <v>90</v>
      </c>
      <c r="C125" s="263" t="s">
        <v>3</v>
      </c>
      <c r="D125" s="263">
        <f t="shared" si="7"/>
        <v>300</v>
      </c>
      <c r="E125" s="263" t="s">
        <v>3</v>
      </c>
      <c r="F125" s="261">
        <f t="shared" si="8"/>
        <v>1500</v>
      </c>
      <c r="G125" s="263" t="s">
        <v>3</v>
      </c>
      <c r="H125" s="260">
        <v>2</v>
      </c>
      <c r="I125" s="262" t="s">
        <v>581</v>
      </c>
      <c r="J125" s="112">
        <v>90</v>
      </c>
      <c r="K125" s="75">
        <v>300</v>
      </c>
      <c r="L125" s="75">
        <v>1500</v>
      </c>
      <c r="M125" s="202">
        <v>16.361700659907498</v>
      </c>
      <c r="N125" s="87">
        <v>4148.03298</v>
      </c>
      <c r="O125" s="123">
        <v>49618.062001711507</v>
      </c>
      <c r="P125" s="123">
        <v>53652.641014924739</v>
      </c>
      <c r="Q125" s="120">
        <v>18695.316593538118</v>
      </c>
      <c r="R125" s="123">
        <v>68313.378595249626</v>
      </c>
      <c r="S125" s="123">
        <v>72347.957608462864</v>
      </c>
      <c r="U125" s="7" t="s">
        <v>6513</v>
      </c>
    </row>
    <row r="126" spans="1:21" ht="16.5" thickBot="1">
      <c r="A126" s="259" t="s">
        <v>10</v>
      </c>
      <c r="B126" s="263">
        <f t="shared" si="6"/>
        <v>90</v>
      </c>
      <c r="C126" s="263" t="s">
        <v>3</v>
      </c>
      <c r="D126" s="263">
        <f t="shared" si="7"/>
        <v>300</v>
      </c>
      <c r="E126" s="263" t="s">
        <v>3</v>
      </c>
      <c r="F126" s="261">
        <f t="shared" si="8"/>
        <v>1550</v>
      </c>
      <c r="G126" s="263" t="s">
        <v>3</v>
      </c>
      <c r="H126" s="260">
        <v>2</v>
      </c>
      <c r="I126" s="262" t="s">
        <v>581</v>
      </c>
      <c r="J126" s="112">
        <v>90</v>
      </c>
      <c r="K126" s="75">
        <v>300</v>
      </c>
      <c r="L126" s="75">
        <v>1550</v>
      </c>
      <c r="M126" s="202">
        <v>16.886434048675</v>
      </c>
      <c r="N126" s="87">
        <v>4328.3822399999999</v>
      </c>
      <c r="O126" s="123">
        <v>50666.23271094657</v>
      </c>
      <c r="P126" s="123">
        <v>54833.420955616974</v>
      </c>
      <c r="Q126" s="120">
        <v>19175.721761402103</v>
      </c>
      <c r="R126" s="123">
        <v>69841.954472348676</v>
      </c>
      <c r="S126" s="123">
        <v>74009.142717019073</v>
      </c>
      <c r="U126" s="7" t="s">
        <v>6514</v>
      </c>
    </row>
    <row r="127" spans="1:21" ht="16.5" thickBot="1">
      <c r="A127" s="259" t="s">
        <v>10</v>
      </c>
      <c r="B127" s="260">
        <f t="shared" si="6"/>
        <v>90</v>
      </c>
      <c r="C127" s="260" t="s">
        <v>3</v>
      </c>
      <c r="D127" s="260">
        <f t="shared" si="7"/>
        <v>300</v>
      </c>
      <c r="E127" s="260" t="s">
        <v>3</v>
      </c>
      <c r="F127" s="261">
        <f t="shared" si="8"/>
        <v>1600</v>
      </c>
      <c r="G127" s="260" t="s">
        <v>3</v>
      </c>
      <c r="H127" s="260">
        <v>2</v>
      </c>
      <c r="I127" s="262" t="s">
        <v>581</v>
      </c>
      <c r="J127" s="112">
        <v>90</v>
      </c>
      <c r="K127" s="75">
        <v>300</v>
      </c>
      <c r="L127" s="75">
        <v>1600</v>
      </c>
      <c r="M127" s="202">
        <v>17.342167437442502</v>
      </c>
      <c r="N127" s="87">
        <v>4508.7314999999999</v>
      </c>
      <c r="O127" s="123">
        <v>53660.444646605603</v>
      </c>
      <c r="P127" s="123">
        <v>57836.268164098663</v>
      </c>
      <c r="Q127" s="120">
        <v>19656.126929266091</v>
      </c>
      <c r="R127" s="123">
        <v>73316.571575871698</v>
      </c>
      <c r="S127" s="123">
        <v>77492.395093364757</v>
      </c>
      <c r="U127" s="7" t="s">
        <v>6515</v>
      </c>
    </row>
    <row r="128" spans="1:21" ht="16.5" thickBot="1">
      <c r="A128" s="259" t="s">
        <v>10</v>
      </c>
      <c r="B128" s="263">
        <f t="shared" si="6"/>
        <v>90</v>
      </c>
      <c r="C128" s="263" t="s">
        <v>3</v>
      </c>
      <c r="D128" s="263">
        <f t="shared" si="7"/>
        <v>300</v>
      </c>
      <c r="E128" s="263" t="s">
        <v>3</v>
      </c>
      <c r="F128" s="261">
        <f t="shared" si="8"/>
        <v>1650</v>
      </c>
      <c r="G128" s="263" t="s">
        <v>3</v>
      </c>
      <c r="H128" s="260">
        <v>2</v>
      </c>
      <c r="I128" s="262" t="s">
        <v>581</v>
      </c>
      <c r="J128" s="112">
        <v>90</v>
      </c>
      <c r="K128" s="75">
        <v>300</v>
      </c>
      <c r="L128" s="75">
        <v>1650</v>
      </c>
      <c r="M128" s="202">
        <v>17.852940826210002</v>
      </c>
      <c r="N128" s="87">
        <v>4689.0807599999998</v>
      </c>
      <c r="O128" s="123">
        <v>56906.916885233288</v>
      </c>
      <c r="P128" s="123">
        <v>61075.30527554336</v>
      </c>
      <c r="Q128" s="120">
        <v>20367.114015306717</v>
      </c>
      <c r="R128" s="123">
        <v>77274.030900540005</v>
      </c>
      <c r="S128" s="123">
        <v>81442.419290850085</v>
      </c>
      <c r="U128" s="7" t="s">
        <v>6516</v>
      </c>
    </row>
    <row r="129" spans="1:21" ht="16.5" thickBot="1">
      <c r="A129" s="259" t="s">
        <v>10</v>
      </c>
      <c r="B129" s="263">
        <f t="shared" si="6"/>
        <v>90</v>
      </c>
      <c r="C129" s="263" t="s">
        <v>3</v>
      </c>
      <c r="D129" s="263">
        <f t="shared" si="7"/>
        <v>300</v>
      </c>
      <c r="E129" s="263" t="s">
        <v>3</v>
      </c>
      <c r="F129" s="261">
        <f t="shared" si="8"/>
        <v>1700</v>
      </c>
      <c r="G129" s="263" t="s">
        <v>3</v>
      </c>
      <c r="H129" s="260">
        <v>2</v>
      </c>
      <c r="I129" s="262" t="s">
        <v>581</v>
      </c>
      <c r="J129" s="112">
        <v>90</v>
      </c>
      <c r="K129" s="75">
        <v>300</v>
      </c>
      <c r="L129" s="75">
        <v>1700</v>
      </c>
      <c r="M129" s="202">
        <v>18.308674214977501</v>
      </c>
      <c r="N129" s="87">
        <v>4869.4300199999998</v>
      </c>
      <c r="O129" s="123">
        <v>57749.940138084377</v>
      </c>
      <c r="P129" s="123">
        <v>62064.00678141605</v>
      </c>
      <c r="Q129" s="120">
        <v>20847.519183170705</v>
      </c>
      <c r="R129" s="123">
        <v>78597.459321255083</v>
      </c>
      <c r="S129" s="123">
        <v>82911.525964586763</v>
      </c>
      <c r="U129" s="7" t="s">
        <v>6517</v>
      </c>
    </row>
    <row r="130" spans="1:21" ht="16.5" thickBot="1">
      <c r="A130" s="259" t="s">
        <v>10</v>
      </c>
      <c r="B130" s="263">
        <f t="shared" si="6"/>
        <v>90</v>
      </c>
      <c r="C130" s="263" t="s">
        <v>3</v>
      </c>
      <c r="D130" s="263">
        <f t="shared" si="7"/>
        <v>300</v>
      </c>
      <c r="E130" s="263" t="s">
        <v>3</v>
      </c>
      <c r="F130" s="261">
        <f t="shared" si="8"/>
        <v>1750</v>
      </c>
      <c r="G130" s="263" t="s">
        <v>3</v>
      </c>
      <c r="H130" s="260">
        <v>2</v>
      </c>
      <c r="I130" s="262" t="s">
        <v>581</v>
      </c>
      <c r="J130" s="112">
        <v>90</v>
      </c>
      <c r="K130" s="75">
        <v>300</v>
      </c>
      <c r="L130" s="75">
        <v>1750</v>
      </c>
      <c r="M130" s="202">
        <v>18.781447603745001</v>
      </c>
      <c r="N130" s="87">
        <v>5049.7792799999988</v>
      </c>
      <c r="O130" s="123">
        <v>58516.809573626204</v>
      </c>
      <c r="P130" s="123">
        <v>62981.406008309052</v>
      </c>
      <c r="Q130" s="120">
        <v>21558.506269211328</v>
      </c>
      <c r="R130" s="123">
        <v>80075.315842837532</v>
      </c>
      <c r="S130" s="123">
        <v>84539.912277520372</v>
      </c>
      <c r="U130" s="7" t="s">
        <v>6518</v>
      </c>
    </row>
    <row r="131" spans="1:21" ht="16.5" thickBot="1">
      <c r="A131" s="259" t="s">
        <v>10</v>
      </c>
      <c r="B131" s="263">
        <f t="shared" si="6"/>
        <v>90</v>
      </c>
      <c r="C131" s="263" t="s">
        <v>3</v>
      </c>
      <c r="D131" s="263">
        <f t="shared" si="7"/>
        <v>300</v>
      </c>
      <c r="E131" s="263" t="s">
        <v>3</v>
      </c>
      <c r="F131" s="261">
        <f t="shared" si="8"/>
        <v>1800</v>
      </c>
      <c r="G131" s="263" t="s">
        <v>3</v>
      </c>
      <c r="H131" s="260">
        <v>2</v>
      </c>
      <c r="I131" s="262" t="s">
        <v>581</v>
      </c>
      <c r="J131" s="112">
        <v>90</v>
      </c>
      <c r="K131" s="75">
        <v>300</v>
      </c>
      <c r="L131" s="75">
        <v>1800</v>
      </c>
      <c r="M131" s="202">
        <v>19.306180992512498</v>
      </c>
      <c r="N131" s="87">
        <v>5230.1285399999997</v>
      </c>
      <c r="O131" s="123">
        <v>59360.529381125663</v>
      </c>
      <c r="P131" s="123">
        <v>63970.759795783255</v>
      </c>
      <c r="Q131" s="120">
        <v>22038.911437075316</v>
      </c>
      <c r="R131" s="123">
        <v>81399.440818200979</v>
      </c>
      <c r="S131" s="123">
        <v>86009.671232858571</v>
      </c>
      <c r="U131" s="7" t="s">
        <v>6519</v>
      </c>
    </row>
    <row r="132" spans="1:21" ht="16.5" thickBot="1">
      <c r="A132" s="259" t="s">
        <v>10</v>
      </c>
      <c r="B132" s="263">
        <f t="shared" si="6"/>
        <v>90</v>
      </c>
      <c r="C132" s="263" t="s">
        <v>3</v>
      </c>
      <c r="D132" s="263">
        <f t="shared" si="7"/>
        <v>300</v>
      </c>
      <c r="E132" s="263" t="s">
        <v>3</v>
      </c>
      <c r="F132" s="261">
        <f t="shared" si="8"/>
        <v>1850</v>
      </c>
      <c r="G132" s="263" t="s">
        <v>3</v>
      </c>
      <c r="H132" s="260">
        <v>2</v>
      </c>
      <c r="I132" s="262" t="s">
        <v>581</v>
      </c>
      <c r="J132" s="112">
        <v>90</v>
      </c>
      <c r="K132" s="75">
        <v>300</v>
      </c>
      <c r="L132" s="75">
        <v>1850</v>
      </c>
      <c r="M132" s="202">
        <v>19.84095438128</v>
      </c>
      <c r="N132" s="87">
        <v>5410.4777999999997</v>
      </c>
      <c r="O132" s="123">
        <v>60204.201096878809</v>
      </c>
      <c r="P132" s="123">
        <v>64960.068594204437</v>
      </c>
      <c r="Q132" s="120">
        <v>22749.898382722578</v>
      </c>
      <c r="R132" s="123">
        <v>82954.099479601384</v>
      </c>
      <c r="S132" s="123">
        <v>87709.966976927011</v>
      </c>
      <c r="U132" s="7" t="s">
        <v>6520</v>
      </c>
    </row>
    <row r="133" spans="1:21" ht="16.5" thickBot="1">
      <c r="A133" s="259" t="s">
        <v>10</v>
      </c>
      <c r="B133" s="263">
        <f t="shared" si="6"/>
        <v>90</v>
      </c>
      <c r="C133" s="263" t="s">
        <v>3</v>
      </c>
      <c r="D133" s="263">
        <f t="shared" si="7"/>
        <v>300</v>
      </c>
      <c r="E133" s="263" t="s">
        <v>3</v>
      </c>
      <c r="F133" s="261">
        <f t="shared" si="8"/>
        <v>1900</v>
      </c>
      <c r="G133" s="263" t="s">
        <v>3</v>
      </c>
      <c r="H133" s="260">
        <v>2</v>
      </c>
      <c r="I133" s="262" t="s">
        <v>581</v>
      </c>
      <c r="J133" s="112">
        <v>90</v>
      </c>
      <c r="K133" s="75">
        <v>300</v>
      </c>
      <c r="L133" s="75">
        <v>1900</v>
      </c>
      <c r="M133" s="202">
        <v>20.296687770047502</v>
      </c>
      <c r="N133" s="87">
        <v>5590.8270599999996</v>
      </c>
      <c r="O133" s="123">
        <v>61222.927127255745</v>
      </c>
      <c r="P133" s="123">
        <v>66113.279672813936</v>
      </c>
      <c r="Q133" s="120">
        <v>23230.30369097993</v>
      </c>
      <c r="R133" s="123">
        <v>84453.230818235679</v>
      </c>
      <c r="S133" s="123">
        <v>89343.583363793863</v>
      </c>
      <c r="U133" s="7" t="s">
        <v>6521</v>
      </c>
    </row>
    <row r="134" spans="1:21" ht="16.5" thickBot="1">
      <c r="A134" s="259" t="s">
        <v>10</v>
      </c>
      <c r="B134" s="263">
        <f t="shared" si="6"/>
        <v>90</v>
      </c>
      <c r="C134" s="263" t="s">
        <v>3</v>
      </c>
      <c r="D134" s="263">
        <f t="shared" si="7"/>
        <v>300</v>
      </c>
      <c r="E134" s="263" t="s">
        <v>3</v>
      </c>
      <c r="F134" s="261">
        <f t="shared" si="8"/>
        <v>1950</v>
      </c>
      <c r="G134" s="263" t="s">
        <v>3</v>
      </c>
      <c r="H134" s="260">
        <v>2</v>
      </c>
      <c r="I134" s="262" t="s">
        <v>581</v>
      </c>
      <c r="J134" s="112">
        <v>90</v>
      </c>
      <c r="K134" s="75">
        <v>300</v>
      </c>
      <c r="L134" s="75">
        <v>1950</v>
      </c>
      <c r="M134" s="202">
        <v>20.905671158815004</v>
      </c>
      <c r="N134" s="87">
        <v>5771.1763199999996</v>
      </c>
      <c r="O134" s="123">
        <v>62400.854499451372</v>
      </c>
      <c r="P134" s="123">
        <v>67415.55010481365</v>
      </c>
      <c r="Q134" s="120">
        <v>23710.708858843918</v>
      </c>
      <c r="R134" s="123">
        <v>86111.563358295287</v>
      </c>
      <c r="S134" s="123">
        <v>91126.258963657572</v>
      </c>
      <c r="U134" s="7" t="s">
        <v>6522</v>
      </c>
    </row>
    <row r="135" spans="1:21" ht="16.5" thickBot="1">
      <c r="A135" s="259" t="s">
        <v>10</v>
      </c>
      <c r="B135" s="263">
        <f t="shared" si="6"/>
        <v>90</v>
      </c>
      <c r="C135" s="263" t="s">
        <v>3</v>
      </c>
      <c r="D135" s="263">
        <f t="shared" si="7"/>
        <v>300</v>
      </c>
      <c r="E135" s="263" t="s">
        <v>3</v>
      </c>
      <c r="F135" s="261">
        <f t="shared" si="8"/>
        <v>2000</v>
      </c>
      <c r="G135" s="263" t="s">
        <v>3</v>
      </c>
      <c r="H135" s="260">
        <v>2</v>
      </c>
      <c r="I135" s="262" t="s">
        <v>581</v>
      </c>
      <c r="J135" s="112">
        <v>90</v>
      </c>
      <c r="K135" s="75">
        <v>300</v>
      </c>
      <c r="L135" s="75">
        <v>2000</v>
      </c>
      <c r="M135" s="202">
        <v>21.470006947582501</v>
      </c>
      <c r="N135" s="87">
        <v>5951.5255799999995</v>
      </c>
      <c r="O135" s="123">
        <v>63450.80806399681</v>
      </c>
      <c r="P135" s="123">
        <v>68788.256567687684</v>
      </c>
      <c r="Q135" s="120">
        <v>24421.695804491177</v>
      </c>
      <c r="R135" s="123">
        <v>87872.503868487984</v>
      </c>
      <c r="S135" s="123">
        <v>93209.952372178857</v>
      </c>
      <c r="U135" s="7" t="s">
        <v>6523</v>
      </c>
    </row>
    <row r="136" spans="1:21" ht="16.5" thickBot="1">
      <c r="A136" s="259" t="s">
        <v>10</v>
      </c>
      <c r="B136" s="263">
        <f t="shared" si="6"/>
        <v>90</v>
      </c>
      <c r="C136" s="263" t="s">
        <v>3</v>
      </c>
      <c r="D136" s="263">
        <f t="shared" si="7"/>
        <v>300</v>
      </c>
      <c r="E136" s="263" t="s">
        <v>3</v>
      </c>
      <c r="F136" s="261">
        <f t="shared" si="8"/>
        <v>2050</v>
      </c>
      <c r="G136" s="263" t="s">
        <v>3</v>
      </c>
      <c r="H136" s="260">
        <v>2</v>
      </c>
      <c r="I136" s="262" t="s">
        <v>581</v>
      </c>
      <c r="J136" s="112">
        <v>90</v>
      </c>
      <c r="K136" s="75">
        <v>300</v>
      </c>
      <c r="L136" s="75">
        <v>2050</v>
      </c>
      <c r="M136" s="202">
        <v>21.925740336350003</v>
      </c>
      <c r="N136" s="87">
        <v>6131.8748399999995</v>
      </c>
      <c r="O136" s="123">
        <v>66438.450046569284</v>
      </c>
      <c r="P136" s="123">
        <v>71784.952328676722</v>
      </c>
      <c r="Q136" s="120">
        <v>24902.101112748529</v>
      </c>
      <c r="R136" s="123">
        <v>91340.551159317809</v>
      </c>
      <c r="S136" s="123">
        <v>96687.053441425247</v>
      </c>
      <c r="U136" s="7" t="s">
        <v>6524</v>
      </c>
    </row>
    <row r="137" spans="1:21" ht="16.5" thickBot="1">
      <c r="A137" s="259" t="s">
        <v>10</v>
      </c>
      <c r="B137" s="260">
        <f t="shared" si="6"/>
        <v>90</v>
      </c>
      <c r="C137" s="260" t="s">
        <v>3</v>
      </c>
      <c r="D137" s="260">
        <f t="shared" si="7"/>
        <v>300</v>
      </c>
      <c r="E137" s="260" t="s">
        <v>3</v>
      </c>
      <c r="F137" s="261">
        <f t="shared" si="8"/>
        <v>2100</v>
      </c>
      <c r="G137" s="260" t="s">
        <v>3</v>
      </c>
      <c r="H137" s="260">
        <v>2</v>
      </c>
      <c r="I137" s="262" t="s">
        <v>581</v>
      </c>
      <c r="J137" s="112">
        <v>90</v>
      </c>
      <c r="K137" s="75">
        <v>300</v>
      </c>
      <c r="L137" s="75">
        <v>2100</v>
      </c>
      <c r="M137" s="202">
        <v>22.398513725117503</v>
      </c>
      <c r="N137" s="87">
        <v>6312.2240999999995</v>
      </c>
      <c r="O137" s="123">
        <v>67344.051520814974</v>
      </c>
      <c r="P137" s="123">
        <v>72832.245572376487</v>
      </c>
      <c r="Q137" s="120">
        <v>25613.088058395791</v>
      </c>
      <c r="R137" s="123">
        <v>92957.139579210765</v>
      </c>
      <c r="S137" s="123">
        <v>98445.333630772278</v>
      </c>
      <c r="U137" s="7" t="s">
        <v>6525</v>
      </c>
    </row>
    <row r="138" spans="1:21" ht="16.5" thickBot="1">
      <c r="A138" s="259" t="s">
        <v>10</v>
      </c>
      <c r="B138" s="263">
        <f t="shared" si="6"/>
        <v>90</v>
      </c>
      <c r="C138" s="263" t="s">
        <v>3</v>
      </c>
      <c r="D138" s="263">
        <f t="shared" si="7"/>
        <v>300</v>
      </c>
      <c r="E138" s="263" t="s">
        <v>3</v>
      </c>
      <c r="F138" s="261">
        <f t="shared" si="8"/>
        <v>2150</v>
      </c>
      <c r="G138" s="263" t="s">
        <v>3</v>
      </c>
      <c r="H138" s="260">
        <v>2</v>
      </c>
      <c r="I138" s="262" t="s">
        <v>581</v>
      </c>
      <c r="J138" s="112">
        <v>90</v>
      </c>
      <c r="K138" s="75">
        <v>300</v>
      </c>
      <c r="L138" s="75">
        <v>2150</v>
      </c>
      <c r="M138" s="202">
        <v>22.978247113885004</v>
      </c>
      <c r="N138" s="87">
        <v>6492.5733599999994</v>
      </c>
      <c r="O138" s="123">
        <v>68397.27043140179</v>
      </c>
      <c r="P138" s="123">
        <v>74017.752227659701</v>
      </c>
      <c r="Q138" s="120">
        <v>26093.493366653143</v>
      </c>
      <c r="R138" s="123">
        <v>94490.763798054933</v>
      </c>
      <c r="S138" s="123">
        <v>100111.24559431284</v>
      </c>
      <c r="U138" s="7" t="s">
        <v>6526</v>
      </c>
    </row>
    <row r="139" spans="1:21" ht="16.5" thickBot="1">
      <c r="A139" s="259" t="s">
        <v>10</v>
      </c>
      <c r="B139" s="263">
        <f t="shared" si="6"/>
        <v>90</v>
      </c>
      <c r="C139" s="263" t="s">
        <v>3</v>
      </c>
      <c r="D139" s="263">
        <f t="shared" si="7"/>
        <v>300</v>
      </c>
      <c r="E139" s="263" t="s">
        <v>3</v>
      </c>
      <c r="F139" s="261">
        <f t="shared" si="8"/>
        <v>2200</v>
      </c>
      <c r="G139" s="263" t="s">
        <v>3</v>
      </c>
      <c r="H139" s="260">
        <v>2</v>
      </c>
      <c r="I139" s="262" t="s">
        <v>581</v>
      </c>
      <c r="J139" s="112">
        <v>90</v>
      </c>
      <c r="K139" s="75">
        <v>300</v>
      </c>
      <c r="L139" s="75">
        <v>2200</v>
      </c>
      <c r="M139" s="202">
        <v>23.451020502652501</v>
      </c>
      <c r="N139" s="87">
        <v>6672.9226200000003</v>
      </c>
      <c r="O139" s="123">
        <v>69450.441250242293</v>
      </c>
      <c r="P139" s="123">
        <v>75203.213774555552</v>
      </c>
      <c r="Q139" s="120">
        <v>26804.480312300402</v>
      </c>
      <c r="R139" s="123">
        <v>96254.921562542702</v>
      </c>
      <c r="S139" s="123">
        <v>102007.69408685595</v>
      </c>
      <c r="U139" s="7" t="s">
        <v>6527</v>
      </c>
    </row>
    <row r="140" spans="1:21" ht="16.5" thickBot="1">
      <c r="A140" s="259" t="s">
        <v>10</v>
      </c>
      <c r="B140" s="263">
        <f t="shared" si="6"/>
        <v>90</v>
      </c>
      <c r="C140" s="263" t="s">
        <v>3</v>
      </c>
      <c r="D140" s="263">
        <f t="shared" si="7"/>
        <v>300</v>
      </c>
      <c r="E140" s="263" t="s">
        <v>3</v>
      </c>
      <c r="F140" s="261">
        <f t="shared" si="8"/>
        <v>2250</v>
      </c>
      <c r="G140" s="263" t="s">
        <v>3</v>
      </c>
      <c r="H140" s="260">
        <v>2</v>
      </c>
      <c r="I140" s="262" t="s">
        <v>581</v>
      </c>
      <c r="J140" s="112">
        <v>90</v>
      </c>
      <c r="K140" s="75">
        <v>300</v>
      </c>
      <c r="L140" s="75">
        <v>2250</v>
      </c>
      <c r="M140" s="202">
        <v>23.906753891420003</v>
      </c>
      <c r="N140" s="87">
        <v>6853.2718799999993</v>
      </c>
      <c r="O140" s="123">
        <v>70823.223132430518</v>
      </c>
      <c r="P140" s="123">
        <v>76687.925317947127</v>
      </c>
      <c r="Q140" s="120">
        <v>27284.885480164394</v>
      </c>
      <c r="R140" s="123">
        <v>98108.108612594908</v>
      </c>
      <c r="S140" s="123">
        <v>103972.81079811152</v>
      </c>
      <c r="U140" s="7" t="s">
        <v>6528</v>
      </c>
    </row>
    <row r="141" spans="1:21" ht="16.5" thickBot="1">
      <c r="A141" s="259" t="s">
        <v>10</v>
      </c>
      <c r="B141" s="263">
        <f t="shared" si="6"/>
        <v>90</v>
      </c>
      <c r="C141" s="263" t="s">
        <v>3</v>
      </c>
      <c r="D141" s="263">
        <f t="shared" si="7"/>
        <v>300</v>
      </c>
      <c r="E141" s="263" t="s">
        <v>3</v>
      </c>
      <c r="F141" s="261">
        <f t="shared" si="8"/>
        <v>2300</v>
      </c>
      <c r="G141" s="263" t="s">
        <v>3</v>
      </c>
      <c r="H141" s="260">
        <v>2</v>
      </c>
      <c r="I141" s="262" t="s">
        <v>581</v>
      </c>
      <c r="J141" s="112">
        <v>90</v>
      </c>
      <c r="K141" s="75">
        <v>300</v>
      </c>
      <c r="L141" s="75">
        <v>2300</v>
      </c>
      <c r="M141" s="202">
        <v>24.362487280187501</v>
      </c>
      <c r="N141" s="87">
        <v>7033.6211399999993</v>
      </c>
      <c r="O141" s="123">
        <v>71633.488507304515</v>
      </c>
      <c r="P141" s="123">
        <v>77645.955865097611</v>
      </c>
      <c r="Q141" s="120">
        <v>27765.290788421746</v>
      </c>
      <c r="R141" s="123">
        <v>99398.779295726257</v>
      </c>
      <c r="S141" s="123">
        <v>105411.24665351935</v>
      </c>
      <c r="U141" s="7" t="s">
        <v>6529</v>
      </c>
    </row>
    <row r="142" spans="1:21" ht="16.5" thickBot="1">
      <c r="A142" s="259" t="s">
        <v>10</v>
      </c>
      <c r="B142" s="263">
        <f t="shared" si="6"/>
        <v>90</v>
      </c>
      <c r="C142" s="263" t="s">
        <v>3</v>
      </c>
      <c r="D142" s="263">
        <f t="shared" si="7"/>
        <v>300</v>
      </c>
      <c r="E142" s="263" t="s">
        <v>3</v>
      </c>
      <c r="F142" s="261">
        <f t="shared" si="8"/>
        <v>2350</v>
      </c>
      <c r="G142" s="263" t="s">
        <v>3</v>
      </c>
      <c r="H142" s="260">
        <v>2</v>
      </c>
      <c r="I142" s="262" t="s">
        <v>581</v>
      </c>
      <c r="J142" s="112">
        <v>90</v>
      </c>
      <c r="K142" s="75">
        <v>300</v>
      </c>
      <c r="L142" s="75">
        <v>2350</v>
      </c>
      <c r="M142" s="202">
        <v>24.835260668955002</v>
      </c>
      <c r="N142" s="87">
        <v>7213.9703999999992</v>
      </c>
      <c r="O142" s="123">
        <v>72443.70579043217</v>
      </c>
      <c r="P142" s="123">
        <v>78603.941423195065</v>
      </c>
      <c r="Q142" s="120">
        <v>28476.277734069005</v>
      </c>
      <c r="R142" s="123">
        <v>100919.98352450118</v>
      </c>
      <c r="S142" s="123">
        <v>107080.21915726407</v>
      </c>
      <c r="U142" s="7" t="s">
        <v>6530</v>
      </c>
    </row>
    <row r="143" spans="1:21" ht="16.5" thickBot="1">
      <c r="A143" s="259" t="s">
        <v>10</v>
      </c>
      <c r="B143" s="263">
        <f t="shared" si="6"/>
        <v>90</v>
      </c>
      <c r="C143" s="263" t="s">
        <v>3</v>
      </c>
      <c r="D143" s="263">
        <f t="shared" si="7"/>
        <v>300</v>
      </c>
      <c r="E143" s="263" t="s">
        <v>3</v>
      </c>
      <c r="F143" s="261">
        <f t="shared" si="8"/>
        <v>2400</v>
      </c>
      <c r="G143" s="263" t="s">
        <v>3</v>
      </c>
      <c r="H143" s="260">
        <v>2</v>
      </c>
      <c r="I143" s="262" t="s">
        <v>581</v>
      </c>
      <c r="J143" s="112">
        <v>90</v>
      </c>
      <c r="K143" s="75">
        <v>300</v>
      </c>
      <c r="L143" s="75">
        <v>2400</v>
      </c>
      <c r="M143" s="202">
        <v>25.2909940577225</v>
      </c>
      <c r="N143" s="87">
        <v>7394.3196599999992</v>
      </c>
      <c r="O143" s="123">
        <v>73253.874981813497</v>
      </c>
      <c r="P143" s="123">
        <v>79561.881872905156</v>
      </c>
      <c r="Q143" s="120">
        <v>28956.682901932996</v>
      </c>
      <c r="R143" s="123">
        <v>102210.55788374649</v>
      </c>
      <c r="S143" s="123">
        <v>108518.56477483816</v>
      </c>
      <c r="U143" s="7" t="s">
        <v>6531</v>
      </c>
    </row>
    <row r="144" spans="1:21" ht="16.5" thickBot="1">
      <c r="A144" s="259" t="s">
        <v>10</v>
      </c>
      <c r="B144" s="263">
        <f t="shared" si="6"/>
        <v>90</v>
      </c>
      <c r="C144" s="263" t="s">
        <v>3</v>
      </c>
      <c r="D144" s="263">
        <f t="shared" si="7"/>
        <v>300</v>
      </c>
      <c r="E144" s="263" t="s">
        <v>3</v>
      </c>
      <c r="F144" s="261">
        <f t="shared" si="8"/>
        <v>2450</v>
      </c>
      <c r="G144" s="263" t="s">
        <v>3</v>
      </c>
      <c r="H144" s="260">
        <v>2</v>
      </c>
      <c r="I144" s="262" t="s">
        <v>581</v>
      </c>
      <c r="J144" s="112">
        <v>90</v>
      </c>
      <c r="K144" s="75">
        <v>300</v>
      </c>
      <c r="L144" s="75">
        <v>2450</v>
      </c>
      <c r="M144" s="202">
        <v>26.465332339289997</v>
      </c>
      <c r="N144" s="87">
        <v>7574.6689199999992</v>
      </c>
      <c r="O144" s="123">
        <v>74592.756598214313</v>
      </c>
      <c r="P144" s="123">
        <v>81138.477053353534</v>
      </c>
      <c r="Q144" s="120">
        <v>29667.669987973619</v>
      </c>
      <c r="R144" s="123">
        <v>104260.42658618794</v>
      </c>
      <c r="S144" s="123">
        <v>110806.14704132715</v>
      </c>
      <c r="U144" s="7" t="s">
        <v>6532</v>
      </c>
    </row>
    <row r="145" spans="1:21" ht="16.5" thickBot="1">
      <c r="A145" s="259" t="s">
        <v>10</v>
      </c>
      <c r="B145" s="263">
        <f t="shared" si="6"/>
        <v>90</v>
      </c>
      <c r="C145" s="263" t="s">
        <v>3</v>
      </c>
      <c r="D145" s="263">
        <f t="shared" si="7"/>
        <v>300</v>
      </c>
      <c r="E145" s="263" t="s">
        <v>3</v>
      </c>
      <c r="F145" s="261">
        <f t="shared" si="8"/>
        <v>2500</v>
      </c>
      <c r="G145" s="263" t="s">
        <v>3</v>
      </c>
      <c r="H145" s="260">
        <v>2</v>
      </c>
      <c r="I145" s="262" t="s">
        <v>581</v>
      </c>
      <c r="J145" s="112">
        <v>90</v>
      </c>
      <c r="K145" s="75">
        <v>300</v>
      </c>
      <c r="L145" s="75">
        <v>2500</v>
      </c>
      <c r="M145" s="202">
        <v>26.938065728057502</v>
      </c>
      <c r="N145" s="87">
        <v>7755.0181799999991</v>
      </c>
      <c r="O145" s="123">
        <v>75402.829606102998</v>
      </c>
      <c r="P145" s="123">
        <v>82096.327405623248</v>
      </c>
      <c r="Q145" s="120">
        <v>30148.075155837607</v>
      </c>
      <c r="R145" s="123">
        <v>105550.9047619406</v>
      </c>
      <c r="S145" s="123">
        <v>112244.40256146085</v>
      </c>
      <c r="U145" s="7" t="s">
        <v>6533</v>
      </c>
    </row>
    <row r="146" spans="1:21" ht="16.5" thickBot="1">
      <c r="A146" s="259" t="s">
        <v>10</v>
      </c>
      <c r="B146" s="263">
        <f t="shared" si="6"/>
        <v>90</v>
      </c>
      <c r="C146" s="263" t="s">
        <v>3</v>
      </c>
      <c r="D146" s="263">
        <f t="shared" si="7"/>
        <v>300</v>
      </c>
      <c r="E146" s="263" t="s">
        <v>3</v>
      </c>
      <c r="F146" s="261">
        <f t="shared" si="8"/>
        <v>2550</v>
      </c>
      <c r="G146" s="263" t="s">
        <v>3</v>
      </c>
      <c r="H146" s="260">
        <v>2</v>
      </c>
      <c r="I146" s="262" t="s">
        <v>581</v>
      </c>
      <c r="J146" s="112">
        <v>90</v>
      </c>
      <c r="K146" s="75">
        <v>300</v>
      </c>
      <c r="L146" s="75">
        <v>2550</v>
      </c>
      <c r="M146" s="202">
        <v>27.410839116825002</v>
      </c>
      <c r="N146" s="87">
        <v>7935.36744</v>
      </c>
      <c r="O146" s="123">
        <v>79507.190220570323</v>
      </c>
      <c r="P146" s="123">
        <v>86138.600620910933</v>
      </c>
      <c r="Q146" s="120">
        <v>30859.06224187823</v>
      </c>
      <c r="R146" s="123">
        <v>110366.25246244855</v>
      </c>
      <c r="S146" s="123">
        <v>116997.66286278916</v>
      </c>
      <c r="U146" s="7" t="s">
        <v>6534</v>
      </c>
    </row>
    <row r="147" spans="1:21" ht="16.5" thickBot="1">
      <c r="A147" s="259" t="s">
        <v>10</v>
      </c>
      <c r="B147" s="260">
        <f t="shared" si="6"/>
        <v>90</v>
      </c>
      <c r="C147" s="260" t="s">
        <v>3</v>
      </c>
      <c r="D147" s="260">
        <f t="shared" si="7"/>
        <v>300</v>
      </c>
      <c r="E147" s="260" t="s">
        <v>3</v>
      </c>
      <c r="F147" s="261">
        <f t="shared" si="8"/>
        <v>2600</v>
      </c>
      <c r="G147" s="260" t="s">
        <v>3</v>
      </c>
      <c r="H147" s="260">
        <v>2</v>
      </c>
      <c r="I147" s="262" t="s">
        <v>581</v>
      </c>
      <c r="J147" s="112">
        <v>90</v>
      </c>
      <c r="K147" s="75">
        <v>300</v>
      </c>
      <c r="L147" s="75">
        <v>2600</v>
      </c>
      <c r="M147" s="202">
        <v>27.866572505592501</v>
      </c>
      <c r="N147" s="87">
        <v>8115.7166999999999</v>
      </c>
      <c r="O147" s="123">
        <v>80587.770590125481</v>
      </c>
      <c r="P147" s="123">
        <v>87349.725498858999</v>
      </c>
      <c r="Q147" s="120">
        <v>31339.467409742221</v>
      </c>
      <c r="R147" s="123">
        <v>111927.23799986771</v>
      </c>
      <c r="S147" s="123">
        <v>118689.19290860122</v>
      </c>
      <c r="U147" s="7" t="s">
        <v>6535</v>
      </c>
    </row>
    <row r="148" spans="1:21" ht="16.5" thickBot="1">
      <c r="A148" s="259" t="s">
        <v>10</v>
      </c>
      <c r="B148" s="263">
        <f t="shared" si="6"/>
        <v>90</v>
      </c>
      <c r="C148" s="263" t="s">
        <v>3</v>
      </c>
      <c r="D148" s="263">
        <f t="shared" si="7"/>
        <v>300</v>
      </c>
      <c r="E148" s="263" t="s">
        <v>3</v>
      </c>
      <c r="F148" s="261">
        <f t="shared" si="8"/>
        <v>2650</v>
      </c>
      <c r="G148" s="263" t="s">
        <v>3</v>
      </c>
      <c r="H148" s="260">
        <v>2</v>
      </c>
      <c r="I148" s="262" t="s">
        <v>581</v>
      </c>
      <c r="J148" s="112">
        <v>90</v>
      </c>
      <c r="K148" s="75">
        <v>300</v>
      </c>
      <c r="L148" s="75">
        <v>2650</v>
      </c>
      <c r="M148" s="202">
        <v>28.446345894360004</v>
      </c>
      <c r="N148" s="87">
        <v>8296.0659599999999</v>
      </c>
      <c r="O148" s="123">
        <v>81237.73101903683</v>
      </c>
      <c r="P148" s="123">
        <v>88157.66349574647</v>
      </c>
      <c r="Q148" s="120">
        <v>32050.45435538948</v>
      </c>
      <c r="R148" s="123">
        <v>113288.18537442631</v>
      </c>
      <c r="S148" s="123">
        <v>120208.11785113595</v>
      </c>
      <c r="U148" s="7" t="s">
        <v>6536</v>
      </c>
    </row>
    <row r="149" spans="1:21" ht="16.5" thickBot="1">
      <c r="A149" s="259" t="s">
        <v>10</v>
      </c>
      <c r="B149" s="263">
        <f t="shared" si="6"/>
        <v>90</v>
      </c>
      <c r="C149" s="263" t="s">
        <v>3</v>
      </c>
      <c r="D149" s="263">
        <f t="shared" si="7"/>
        <v>300</v>
      </c>
      <c r="E149" s="263" t="s">
        <v>3</v>
      </c>
      <c r="F149" s="261">
        <f t="shared" si="8"/>
        <v>2700</v>
      </c>
      <c r="G149" s="263" t="s">
        <v>3</v>
      </c>
      <c r="H149" s="260">
        <v>2</v>
      </c>
      <c r="I149" s="262" t="s">
        <v>581</v>
      </c>
      <c r="J149" s="112">
        <v>90</v>
      </c>
      <c r="K149" s="75">
        <v>300</v>
      </c>
      <c r="L149" s="75">
        <v>2700</v>
      </c>
      <c r="M149" s="202">
        <v>28.941329283127502</v>
      </c>
      <c r="N149" s="87">
        <v>8476.415219999999</v>
      </c>
      <c r="O149" s="123">
        <v>81923.02289069262</v>
      </c>
      <c r="P149" s="123">
        <v>88998.682050715404</v>
      </c>
      <c r="Q149" s="120">
        <v>32530.859663646832</v>
      </c>
      <c r="R149" s="123">
        <v>114453.88255433945</v>
      </c>
      <c r="S149" s="123">
        <v>121529.54171436223</v>
      </c>
      <c r="U149" s="7" t="s">
        <v>6537</v>
      </c>
    </row>
    <row r="150" spans="1:21" ht="16.5" thickBot="1">
      <c r="A150" s="259" t="s">
        <v>10</v>
      </c>
      <c r="B150" s="263">
        <f t="shared" si="6"/>
        <v>90</v>
      </c>
      <c r="C150" s="263" t="s">
        <v>3</v>
      </c>
      <c r="D150" s="263">
        <f t="shared" si="7"/>
        <v>300</v>
      </c>
      <c r="E150" s="263" t="s">
        <v>3</v>
      </c>
      <c r="F150" s="261">
        <f t="shared" si="8"/>
        <v>2750</v>
      </c>
      <c r="G150" s="263" t="s">
        <v>3</v>
      </c>
      <c r="H150" s="260">
        <v>2</v>
      </c>
      <c r="I150" s="262" t="s">
        <v>581</v>
      </c>
      <c r="J150" s="112">
        <v>90</v>
      </c>
      <c r="K150" s="75">
        <v>300</v>
      </c>
      <c r="L150" s="75">
        <v>2750</v>
      </c>
      <c r="M150" s="202">
        <v>29.397062671895</v>
      </c>
      <c r="N150" s="87">
        <v>8656.7644799999998</v>
      </c>
      <c r="O150" s="123">
        <v>82654.641314847409</v>
      </c>
      <c r="P150" s="123">
        <v>89883.076019506916</v>
      </c>
      <c r="Q150" s="120">
        <v>33011.264831510824</v>
      </c>
      <c r="R150" s="123">
        <v>115665.90614635823</v>
      </c>
      <c r="S150" s="123">
        <v>122894.34085101774</v>
      </c>
      <c r="U150" s="7" t="s">
        <v>6538</v>
      </c>
    </row>
    <row r="151" spans="1:21" ht="16.5" thickBot="1">
      <c r="A151" s="259" t="s">
        <v>10</v>
      </c>
      <c r="B151" s="263">
        <f t="shared" si="6"/>
        <v>90</v>
      </c>
      <c r="C151" s="263" t="s">
        <v>3</v>
      </c>
      <c r="D151" s="263">
        <f t="shared" si="7"/>
        <v>300</v>
      </c>
      <c r="E151" s="263" t="s">
        <v>3</v>
      </c>
      <c r="F151" s="261">
        <f t="shared" si="8"/>
        <v>2800</v>
      </c>
      <c r="G151" s="263" t="s">
        <v>3</v>
      </c>
      <c r="H151" s="260">
        <v>2</v>
      </c>
      <c r="I151" s="262" t="s">
        <v>581</v>
      </c>
      <c r="J151" s="112">
        <v>90</v>
      </c>
      <c r="K151" s="75">
        <v>300</v>
      </c>
      <c r="L151" s="75">
        <v>2800</v>
      </c>
      <c r="M151" s="202">
        <v>29.869836060662504</v>
      </c>
      <c r="N151" s="87">
        <v>8837.1137399999989</v>
      </c>
      <c r="O151" s="123">
        <v>83303.367349158332</v>
      </c>
      <c r="P151" s="123">
        <v>90689.858263135946</v>
      </c>
      <c r="Q151" s="120">
        <v>33722.251777158082</v>
      </c>
      <c r="R151" s="123">
        <v>117025.61912631642</v>
      </c>
      <c r="S151" s="123">
        <v>124412.11004029404</v>
      </c>
      <c r="U151" s="7" t="s">
        <v>6539</v>
      </c>
    </row>
    <row r="152" spans="1:21" ht="16.5" thickBot="1">
      <c r="A152" s="259" t="s">
        <v>10</v>
      </c>
      <c r="B152" s="263">
        <f t="shared" si="6"/>
        <v>90</v>
      </c>
      <c r="C152" s="263" t="s">
        <v>3</v>
      </c>
      <c r="D152" s="263">
        <f t="shared" si="7"/>
        <v>300</v>
      </c>
      <c r="E152" s="263" t="s">
        <v>3</v>
      </c>
      <c r="F152" s="261">
        <f t="shared" si="8"/>
        <v>2850</v>
      </c>
      <c r="G152" s="263" t="s">
        <v>3</v>
      </c>
      <c r="H152" s="260">
        <v>2</v>
      </c>
      <c r="I152" s="262" t="s">
        <v>581</v>
      </c>
      <c r="J152" s="112">
        <v>90</v>
      </c>
      <c r="K152" s="75">
        <v>300</v>
      </c>
      <c r="L152" s="75">
        <v>2850</v>
      </c>
      <c r="M152" s="202">
        <v>30.325569449430002</v>
      </c>
      <c r="N152" s="87">
        <v>9017.4629999999997</v>
      </c>
      <c r="O152" s="123">
        <v>83952.045411057275</v>
      </c>
      <c r="P152" s="123">
        <v>91496.595517711961</v>
      </c>
      <c r="Q152" s="120">
        <v>34202.657085415434</v>
      </c>
      <c r="R152" s="123">
        <v>118154.70249647272</v>
      </c>
      <c r="S152" s="123">
        <v>125699.25260312739</v>
      </c>
      <c r="U152" s="7" t="s">
        <v>6540</v>
      </c>
    </row>
    <row r="153" spans="1:21" ht="16.5" thickBot="1">
      <c r="A153" s="259" t="s">
        <v>10</v>
      </c>
      <c r="B153" s="263">
        <f t="shared" si="6"/>
        <v>90</v>
      </c>
      <c r="C153" s="263" t="s">
        <v>3</v>
      </c>
      <c r="D153" s="263">
        <f t="shared" si="7"/>
        <v>300</v>
      </c>
      <c r="E153" s="263" t="s">
        <v>3</v>
      </c>
      <c r="F153" s="261">
        <f t="shared" si="8"/>
        <v>2900</v>
      </c>
      <c r="G153" s="263" t="s">
        <v>3</v>
      </c>
      <c r="H153" s="260">
        <v>2</v>
      </c>
      <c r="I153" s="262" t="s">
        <v>581</v>
      </c>
      <c r="J153" s="112">
        <v>90</v>
      </c>
      <c r="K153" s="75">
        <v>300</v>
      </c>
      <c r="L153" s="75">
        <v>2900</v>
      </c>
      <c r="M153" s="202">
        <v>30.974342838197501</v>
      </c>
      <c r="N153" s="87">
        <v>9197.8122599999988</v>
      </c>
      <c r="O153" s="123">
        <v>84600.675261875527</v>
      </c>
      <c r="P153" s="123">
        <v>92303.287783234977</v>
      </c>
      <c r="Q153" s="120">
        <v>34913.644031062693</v>
      </c>
      <c r="R153" s="123">
        <v>119514.31929293822</v>
      </c>
      <c r="S153" s="123">
        <v>127216.93181429767</v>
      </c>
      <c r="U153" s="7" t="s">
        <v>6541</v>
      </c>
    </row>
    <row r="154" spans="1:21" ht="16.5" thickBot="1">
      <c r="A154" s="259" t="s">
        <v>10</v>
      </c>
      <c r="B154" s="263">
        <f t="shared" si="6"/>
        <v>90</v>
      </c>
      <c r="C154" s="263" t="s">
        <v>3</v>
      </c>
      <c r="D154" s="263">
        <f t="shared" si="7"/>
        <v>300</v>
      </c>
      <c r="E154" s="263" t="s">
        <v>3</v>
      </c>
      <c r="F154" s="261">
        <f t="shared" si="8"/>
        <v>2950</v>
      </c>
      <c r="G154" s="263" t="s">
        <v>3</v>
      </c>
      <c r="H154" s="260">
        <v>2</v>
      </c>
      <c r="I154" s="262" t="s">
        <v>581</v>
      </c>
      <c r="J154" s="112">
        <v>90</v>
      </c>
      <c r="K154" s="75">
        <v>300</v>
      </c>
      <c r="L154" s="75">
        <v>2950</v>
      </c>
      <c r="M154" s="202">
        <v>31.430076226965006</v>
      </c>
      <c r="N154" s="87">
        <v>9378.1615199999997</v>
      </c>
      <c r="O154" s="123">
        <v>85249.257140281828</v>
      </c>
      <c r="P154" s="123">
        <v>93109.9349403706</v>
      </c>
      <c r="Q154" s="120">
        <v>35394.049339320045</v>
      </c>
      <c r="R154" s="123">
        <v>120643.30647960187</v>
      </c>
      <c r="S154" s="123">
        <v>128503.98427969065</v>
      </c>
      <c r="U154" s="7" t="s">
        <v>6542</v>
      </c>
    </row>
    <row r="155" spans="1:21" ht="16.5" thickBot="1">
      <c r="A155" s="264" t="s">
        <v>10</v>
      </c>
      <c r="B155" s="265">
        <f t="shared" si="6"/>
        <v>90</v>
      </c>
      <c r="C155" s="265" t="s">
        <v>3</v>
      </c>
      <c r="D155" s="265">
        <f t="shared" si="7"/>
        <v>300</v>
      </c>
      <c r="E155" s="265" t="s">
        <v>3</v>
      </c>
      <c r="F155" s="266">
        <f t="shared" si="8"/>
        <v>3000</v>
      </c>
      <c r="G155" s="265" t="s">
        <v>3</v>
      </c>
      <c r="H155" s="267">
        <v>2</v>
      </c>
      <c r="I155" s="262" t="s">
        <v>581</v>
      </c>
      <c r="J155" s="346">
        <v>90</v>
      </c>
      <c r="K155" s="322">
        <v>300</v>
      </c>
      <c r="L155" s="322">
        <v>3000</v>
      </c>
      <c r="M155" s="305">
        <v>31.902849615732499</v>
      </c>
      <c r="N155" s="306">
        <v>9558.5107799999987</v>
      </c>
      <c r="O155" s="307">
        <v>87614.627606389971</v>
      </c>
      <c r="P155" s="307">
        <v>95524.001581327029</v>
      </c>
      <c r="Q155" s="308">
        <v>36105.036284967304</v>
      </c>
      <c r="R155" s="307">
        <v>123719.66389135728</v>
      </c>
      <c r="S155" s="307">
        <v>131629.03786629433</v>
      </c>
      <c r="U155" s="7" t="s">
        <v>6543</v>
      </c>
    </row>
    <row r="156" spans="1:21" ht="22.5" customHeight="1" thickBot="1">
      <c r="A156" s="2580" t="s">
        <v>49</v>
      </c>
      <c r="B156" s="2581"/>
      <c r="C156" s="2581"/>
      <c r="D156" s="2581"/>
      <c r="E156" s="2581"/>
      <c r="F156" s="2581"/>
      <c r="G156" s="2581"/>
      <c r="H156" s="2581"/>
      <c r="I156" s="2581"/>
      <c r="J156" s="2581"/>
      <c r="K156" s="2581"/>
      <c r="L156" s="2581"/>
      <c r="M156" s="2581"/>
      <c r="N156" s="2581"/>
      <c r="O156" s="2581"/>
      <c r="P156" s="2581"/>
      <c r="Q156" s="2581"/>
      <c r="R156" s="2581"/>
      <c r="S156" s="2582"/>
    </row>
    <row r="157" spans="1:21" ht="16.5" customHeight="1" thickBot="1">
      <c r="A157" s="2583" t="s">
        <v>135</v>
      </c>
      <c r="B157" s="2584"/>
      <c r="C157" s="2584"/>
      <c r="D157" s="2584"/>
      <c r="E157" s="2584"/>
      <c r="F157" s="2584"/>
      <c r="G157" s="2584"/>
      <c r="H157" s="2584"/>
      <c r="I157" s="2584"/>
      <c r="J157" s="2584"/>
      <c r="K157" s="2584"/>
      <c r="L157" s="2584"/>
      <c r="M157" s="2584"/>
      <c r="N157" s="2584"/>
      <c r="O157" s="2584"/>
      <c r="P157" s="2584"/>
      <c r="Q157" s="2584"/>
      <c r="R157" s="2584"/>
      <c r="S157" s="2585"/>
    </row>
    <row r="158" spans="1:21" ht="16.5" thickBot="1">
      <c r="A158" s="259" t="s">
        <v>10</v>
      </c>
      <c r="B158" s="260">
        <f t="shared" ref="B158:B204" si="9">J158</f>
        <v>90</v>
      </c>
      <c r="C158" s="260" t="s">
        <v>3</v>
      </c>
      <c r="D158" s="260">
        <f t="shared" ref="D158:D204" si="10">K158</f>
        <v>360</v>
      </c>
      <c r="E158" s="260" t="s">
        <v>3</v>
      </c>
      <c r="F158" s="261">
        <f t="shared" ref="F158:F204" si="11">L158</f>
        <v>700</v>
      </c>
      <c r="G158" s="260" t="s">
        <v>3</v>
      </c>
      <c r="H158" s="260">
        <v>4</v>
      </c>
      <c r="I158" s="262" t="s">
        <v>581</v>
      </c>
      <c r="J158" s="344">
        <v>90</v>
      </c>
      <c r="K158" s="327">
        <v>360</v>
      </c>
      <c r="L158" s="327">
        <v>700</v>
      </c>
      <c r="M158" s="301">
        <v>10.655379967823421</v>
      </c>
      <c r="N158" s="302">
        <v>1566.6159599999999</v>
      </c>
      <c r="O158" s="303">
        <v>29508.219988450946</v>
      </c>
      <c r="P158" s="303">
        <v>32124.092843098188</v>
      </c>
      <c r="Q158" s="304">
        <v>10542.143907826316</v>
      </c>
      <c r="R158" s="303">
        <v>40050.36389627726</v>
      </c>
      <c r="S158" s="303">
        <v>42666.236750924501</v>
      </c>
      <c r="U158" s="7" t="s">
        <v>6544</v>
      </c>
    </row>
    <row r="159" spans="1:21" ht="16.5" thickBot="1">
      <c r="A159" s="259" t="s">
        <v>10</v>
      </c>
      <c r="B159" s="263">
        <f t="shared" si="9"/>
        <v>90</v>
      </c>
      <c r="C159" s="263" t="s">
        <v>3</v>
      </c>
      <c r="D159" s="263">
        <f t="shared" si="10"/>
        <v>360</v>
      </c>
      <c r="E159" s="263" t="s">
        <v>3</v>
      </c>
      <c r="F159" s="261">
        <f t="shared" si="11"/>
        <v>750</v>
      </c>
      <c r="G159" s="263" t="s">
        <v>3</v>
      </c>
      <c r="H159" s="260">
        <v>4</v>
      </c>
      <c r="I159" s="262" t="s">
        <v>581</v>
      </c>
      <c r="J159" s="112">
        <v>90</v>
      </c>
      <c r="K159" s="75">
        <v>360</v>
      </c>
      <c r="L159" s="75">
        <v>750</v>
      </c>
      <c r="M159" s="202">
        <v>11.272919367200526</v>
      </c>
      <c r="N159" s="87">
        <v>1790.41824</v>
      </c>
      <c r="O159" s="123">
        <v>31312.86849732231</v>
      </c>
      <c r="P159" s="123">
        <v>34044.197462789845</v>
      </c>
      <c r="Q159" s="120">
        <v>11095.741049329239</v>
      </c>
      <c r="R159" s="123">
        <v>42408.609546651547</v>
      </c>
      <c r="S159" s="123">
        <v>45139.938512119086</v>
      </c>
      <c r="U159" s="7" t="s">
        <v>6545</v>
      </c>
    </row>
    <row r="160" spans="1:21" ht="16.5" thickBot="1">
      <c r="A160" s="259" t="s">
        <v>10</v>
      </c>
      <c r="B160" s="263">
        <f t="shared" si="9"/>
        <v>90</v>
      </c>
      <c r="C160" s="263" t="s">
        <v>3</v>
      </c>
      <c r="D160" s="263">
        <f t="shared" si="10"/>
        <v>360</v>
      </c>
      <c r="E160" s="263" t="s">
        <v>3</v>
      </c>
      <c r="F160" s="261">
        <f t="shared" si="11"/>
        <v>800</v>
      </c>
      <c r="G160" s="263" t="s">
        <v>3</v>
      </c>
      <c r="H160" s="260">
        <v>4</v>
      </c>
      <c r="I160" s="262" t="s">
        <v>581</v>
      </c>
      <c r="J160" s="112">
        <v>90</v>
      </c>
      <c r="K160" s="75">
        <v>360</v>
      </c>
      <c r="L160" s="75">
        <v>800</v>
      </c>
      <c r="M160" s="202">
        <v>11.890458766577632</v>
      </c>
      <c r="N160" s="87">
        <v>2014.2205199999996</v>
      </c>
      <c r="O160" s="123">
        <v>33117.517006193673</v>
      </c>
      <c r="P160" s="123">
        <v>35964.302201815859</v>
      </c>
      <c r="Q160" s="120">
        <v>11649.338190832164</v>
      </c>
      <c r="R160" s="123">
        <v>44766.855197025841</v>
      </c>
      <c r="S160" s="123">
        <v>47613.640392648027</v>
      </c>
      <c r="U160" s="7" t="s">
        <v>6546</v>
      </c>
    </row>
    <row r="161" spans="1:21" ht="16.5" thickBot="1">
      <c r="A161" s="259" t="s">
        <v>10</v>
      </c>
      <c r="B161" s="263">
        <f t="shared" si="9"/>
        <v>90</v>
      </c>
      <c r="C161" s="263" t="s">
        <v>3</v>
      </c>
      <c r="D161" s="263">
        <f t="shared" si="10"/>
        <v>360</v>
      </c>
      <c r="E161" s="263" t="s">
        <v>3</v>
      </c>
      <c r="F161" s="261">
        <f t="shared" si="11"/>
        <v>850</v>
      </c>
      <c r="G161" s="263" t="s">
        <v>3</v>
      </c>
      <c r="H161" s="260">
        <v>4</v>
      </c>
      <c r="I161" s="262" t="s">
        <v>581</v>
      </c>
      <c r="J161" s="112">
        <v>90</v>
      </c>
      <c r="K161" s="75">
        <v>360</v>
      </c>
      <c r="L161" s="75">
        <v>850</v>
      </c>
      <c r="M161" s="202">
        <v>12.525038165954737</v>
      </c>
      <c r="N161" s="87">
        <v>2238.0227999999997</v>
      </c>
      <c r="O161" s="123">
        <v>34922.165515065033</v>
      </c>
      <c r="P161" s="123">
        <v>37884.406821507524</v>
      </c>
      <c r="Q161" s="120">
        <v>12433.517110118366</v>
      </c>
      <c r="R161" s="123">
        <v>47355.682625183399</v>
      </c>
      <c r="S161" s="123">
        <v>50317.92393162589</v>
      </c>
      <c r="U161" s="7" t="s">
        <v>6547</v>
      </c>
    </row>
    <row r="162" spans="1:21" ht="16.5" thickBot="1">
      <c r="A162" s="259" t="s">
        <v>10</v>
      </c>
      <c r="B162" s="263">
        <f t="shared" si="9"/>
        <v>90</v>
      </c>
      <c r="C162" s="263" t="s">
        <v>3</v>
      </c>
      <c r="D162" s="263">
        <f t="shared" si="10"/>
        <v>360</v>
      </c>
      <c r="E162" s="263" t="s">
        <v>3</v>
      </c>
      <c r="F162" s="261">
        <f t="shared" si="11"/>
        <v>900</v>
      </c>
      <c r="G162" s="263" t="s">
        <v>3</v>
      </c>
      <c r="H162" s="260">
        <v>4</v>
      </c>
      <c r="I162" s="262" t="s">
        <v>581</v>
      </c>
      <c r="J162" s="112">
        <v>90</v>
      </c>
      <c r="K162" s="75">
        <v>360</v>
      </c>
      <c r="L162" s="75">
        <v>900</v>
      </c>
      <c r="M162" s="202">
        <v>13.180577565331843</v>
      </c>
      <c r="N162" s="87">
        <v>2461.8250799999996</v>
      </c>
      <c r="O162" s="123">
        <v>36726.814023936393</v>
      </c>
      <c r="P162" s="123">
        <v>39804.511441199174</v>
      </c>
      <c r="Q162" s="120">
        <v>12987.114251621291</v>
      </c>
      <c r="R162" s="123">
        <v>49713.928275557686</v>
      </c>
      <c r="S162" s="123">
        <v>52791.625692820468</v>
      </c>
      <c r="U162" s="7" t="s">
        <v>6548</v>
      </c>
    </row>
    <row r="163" spans="1:21" ht="16.5" thickBot="1">
      <c r="A163" s="259" t="s">
        <v>10</v>
      </c>
      <c r="B163" s="263">
        <f t="shared" si="9"/>
        <v>90</v>
      </c>
      <c r="C163" s="263" t="s">
        <v>3</v>
      </c>
      <c r="D163" s="263">
        <f t="shared" si="10"/>
        <v>360</v>
      </c>
      <c r="E163" s="263" t="s">
        <v>3</v>
      </c>
      <c r="F163" s="261">
        <f t="shared" si="11"/>
        <v>950</v>
      </c>
      <c r="G163" s="263" t="s">
        <v>3</v>
      </c>
      <c r="H163" s="260">
        <v>4</v>
      </c>
      <c r="I163" s="262" t="s">
        <v>581</v>
      </c>
      <c r="J163" s="112">
        <v>90</v>
      </c>
      <c r="K163" s="75">
        <v>360</v>
      </c>
      <c r="L163" s="75">
        <v>950</v>
      </c>
      <c r="M163" s="202">
        <v>13.884156964708946</v>
      </c>
      <c r="N163" s="87">
        <v>2685.6273599999995</v>
      </c>
      <c r="O163" s="123">
        <v>38531.46253280776</v>
      </c>
      <c r="P163" s="123">
        <v>41724.616060890832</v>
      </c>
      <c r="Q163" s="120">
        <v>13771.293170907491</v>
      </c>
      <c r="R163" s="123">
        <v>52302.755703715251</v>
      </c>
      <c r="S163" s="123">
        <v>55495.909231798323</v>
      </c>
      <c r="U163" s="7" t="s">
        <v>6549</v>
      </c>
    </row>
    <row r="164" spans="1:21" ht="16.5" thickBot="1">
      <c r="A164" s="259" t="s">
        <v>10</v>
      </c>
      <c r="B164" s="263">
        <f t="shared" si="9"/>
        <v>90</v>
      </c>
      <c r="C164" s="263" t="s">
        <v>3</v>
      </c>
      <c r="D164" s="263">
        <f t="shared" si="10"/>
        <v>360</v>
      </c>
      <c r="E164" s="263" t="s">
        <v>3</v>
      </c>
      <c r="F164" s="261">
        <f t="shared" si="11"/>
        <v>1000</v>
      </c>
      <c r="G164" s="263" t="s">
        <v>3</v>
      </c>
      <c r="H164" s="260">
        <v>4</v>
      </c>
      <c r="I164" s="262" t="s">
        <v>581</v>
      </c>
      <c r="J164" s="112">
        <v>90</v>
      </c>
      <c r="K164" s="75">
        <v>360</v>
      </c>
      <c r="L164" s="75">
        <v>1000</v>
      </c>
      <c r="M164" s="202">
        <v>14.501696364086051</v>
      </c>
      <c r="N164" s="87">
        <v>2909.4296399999998</v>
      </c>
      <c r="O164" s="123">
        <v>40240.979004059816</v>
      </c>
      <c r="P164" s="123">
        <v>43555.649157674918</v>
      </c>
      <c r="Q164" s="120">
        <v>14324.890312410414</v>
      </c>
      <c r="R164" s="123">
        <v>54565.869316470227</v>
      </c>
      <c r="S164" s="123">
        <v>57880.539470085336</v>
      </c>
      <c r="U164" s="7" t="s">
        <v>6550</v>
      </c>
    </row>
    <row r="165" spans="1:21" ht="16.5" thickBot="1">
      <c r="A165" s="259" t="s">
        <v>10</v>
      </c>
      <c r="B165" s="263">
        <f t="shared" si="9"/>
        <v>90</v>
      </c>
      <c r="C165" s="263" t="s">
        <v>3</v>
      </c>
      <c r="D165" s="263">
        <f t="shared" si="10"/>
        <v>360</v>
      </c>
      <c r="E165" s="263" t="s">
        <v>3</v>
      </c>
      <c r="F165" s="261">
        <f t="shared" si="11"/>
        <v>1050</v>
      </c>
      <c r="G165" s="263" t="s">
        <v>3</v>
      </c>
      <c r="H165" s="260">
        <v>4</v>
      </c>
      <c r="I165" s="262" t="s">
        <v>581</v>
      </c>
      <c r="J165" s="112">
        <v>90</v>
      </c>
      <c r="K165" s="75">
        <v>360</v>
      </c>
      <c r="L165" s="75">
        <v>1050</v>
      </c>
      <c r="M165" s="202">
        <v>15.136275763463157</v>
      </c>
      <c r="N165" s="87">
        <v>3133.2319199999997</v>
      </c>
      <c r="O165" s="123">
        <v>42271.56623652819</v>
      </c>
      <c r="P165" s="123">
        <v>45687.298868023987</v>
      </c>
      <c r="Q165" s="120">
        <v>15109.069231696616</v>
      </c>
      <c r="R165" s="123">
        <v>57380.635468224806</v>
      </c>
      <c r="S165" s="123">
        <v>60796.368099720603</v>
      </c>
      <c r="U165" s="7" t="s">
        <v>6551</v>
      </c>
    </row>
    <row r="166" spans="1:21" ht="16.5" thickBot="1">
      <c r="A166" s="259" t="s">
        <v>10</v>
      </c>
      <c r="B166" s="260">
        <f t="shared" si="9"/>
        <v>90</v>
      </c>
      <c r="C166" s="260" t="s">
        <v>3</v>
      </c>
      <c r="D166" s="260">
        <f t="shared" si="10"/>
        <v>360</v>
      </c>
      <c r="E166" s="260" t="s">
        <v>3</v>
      </c>
      <c r="F166" s="261">
        <f t="shared" si="11"/>
        <v>1100</v>
      </c>
      <c r="G166" s="260" t="s">
        <v>3</v>
      </c>
      <c r="H166" s="260">
        <v>4</v>
      </c>
      <c r="I166" s="262" t="s">
        <v>581</v>
      </c>
      <c r="J166" s="112">
        <v>90</v>
      </c>
      <c r="K166" s="75">
        <v>360</v>
      </c>
      <c r="L166" s="75">
        <v>1100</v>
      </c>
      <c r="M166" s="202">
        <v>15.753815162840262</v>
      </c>
      <c r="N166" s="87">
        <v>3357.0341999999996</v>
      </c>
      <c r="O166" s="123">
        <v>44076.214745399549</v>
      </c>
      <c r="P166" s="123">
        <v>47607.403487715645</v>
      </c>
      <c r="Q166" s="120">
        <v>15662.66637319954</v>
      </c>
      <c r="R166" s="123">
        <v>59738.881118599093</v>
      </c>
      <c r="S166" s="123">
        <v>63270.069860915188</v>
      </c>
      <c r="U166" s="7" t="s">
        <v>6552</v>
      </c>
    </row>
    <row r="167" spans="1:21" ht="16.5" thickBot="1">
      <c r="A167" s="259" t="s">
        <v>10</v>
      </c>
      <c r="B167" s="263">
        <f t="shared" si="9"/>
        <v>90</v>
      </c>
      <c r="C167" s="263" t="s">
        <v>3</v>
      </c>
      <c r="D167" s="263">
        <f t="shared" si="10"/>
        <v>360</v>
      </c>
      <c r="E167" s="263" t="s">
        <v>3</v>
      </c>
      <c r="F167" s="261">
        <f t="shared" si="11"/>
        <v>1150</v>
      </c>
      <c r="G167" s="263" t="s">
        <v>3</v>
      </c>
      <c r="H167" s="260">
        <v>4</v>
      </c>
      <c r="I167" s="262" t="s">
        <v>581</v>
      </c>
      <c r="J167" s="112">
        <v>90</v>
      </c>
      <c r="K167" s="75">
        <v>360</v>
      </c>
      <c r="L167" s="75">
        <v>1150</v>
      </c>
      <c r="M167" s="202">
        <v>16.37135456221737</v>
      </c>
      <c r="N167" s="87">
        <v>3580.8364799999999</v>
      </c>
      <c r="O167" s="123">
        <v>45125.520682383452</v>
      </c>
      <c r="P167" s="123">
        <v>48820.285325418379</v>
      </c>
      <c r="Q167" s="120">
        <v>16216.263514702467</v>
      </c>
      <c r="R167" s="123">
        <v>61341.784197085915</v>
      </c>
      <c r="S167" s="123">
        <v>65036.548840120842</v>
      </c>
      <c r="U167" s="7" t="s">
        <v>6553</v>
      </c>
    </row>
    <row r="168" spans="1:21" ht="16.5" thickBot="1">
      <c r="A168" s="259" t="s">
        <v>10</v>
      </c>
      <c r="B168" s="263">
        <f t="shared" si="9"/>
        <v>90</v>
      </c>
      <c r="C168" s="263" t="s">
        <v>3</v>
      </c>
      <c r="D168" s="263">
        <f t="shared" si="10"/>
        <v>360</v>
      </c>
      <c r="E168" s="263" t="s">
        <v>3</v>
      </c>
      <c r="F168" s="261">
        <f t="shared" si="11"/>
        <v>1200</v>
      </c>
      <c r="G168" s="263" t="s">
        <v>3</v>
      </c>
      <c r="H168" s="260">
        <v>4</v>
      </c>
      <c r="I168" s="262" t="s">
        <v>581</v>
      </c>
      <c r="J168" s="112">
        <v>90</v>
      </c>
      <c r="K168" s="75">
        <v>360</v>
      </c>
      <c r="L168" s="75">
        <v>1200</v>
      </c>
      <c r="M168" s="202">
        <v>17.260433961594472</v>
      </c>
      <c r="N168" s="87">
        <v>3804.6387599999998</v>
      </c>
      <c r="O168" s="123">
        <v>46234.210856666738</v>
      </c>
      <c r="P168" s="123">
        <v>50088.768023930497</v>
      </c>
      <c r="Q168" s="120">
        <v>17000.442574382028</v>
      </c>
      <c r="R168" s="123">
        <v>63234.653431048762</v>
      </c>
      <c r="S168" s="123">
        <v>67089.210598312522</v>
      </c>
      <c r="U168" s="7" t="s">
        <v>6554</v>
      </c>
    </row>
    <row r="169" spans="1:21" ht="16.5" thickBot="1">
      <c r="A169" s="259" t="s">
        <v>10</v>
      </c>
      <c r="B169" s="263">
        <f t="shared" si="9"/>
        <v>90</v>
      </c>
      <c r="C169" s="263" t="s">
        <v>3</v>
      </c>
      <c r="D169" s="263">
        <f t="shared" si="10"/>
        <v>360</v>
      </c>
      <c r="E169" s="263" t="s">
        <v>3</v>
      </c>
      <c r="F169" s="261">
        <f t="shared" si="11"/>
        <v>1250</v>
      </c>
      <c r="G169" s="263" t="s">
        <v>3</v>
      </c>
      <c r="H169" s="260">
        <v>4</v>
      </c>
      <c r="I169" s="262" t="s">
        <v>581</v>
      </c>
      <c r="J169" s="112">
        <v>90</v>
      </c>
      <c r="K169" s="75">
        <v>360</v>
      </c>
      <c r="L169" s="75">
        <v>1250</v>
      </c>
      <c r="M169" s="202">
        <v>17.877973360971581</v>
      </c>
      <c r="N169" s="87">
        <v>4028.4410399999992</v>
      </c>
      <c r="O169" s="123">
        <v>47283.035756853038</v>
      </c>
      <c r="P169" s="123">
        <v>51301.199493765671</v>
      </c>
      <c r="Q169" s="120">
        <v>17554.039715884952</v>
      </c>
      <c r="R169" s="123">
        <v>64837.07547273799</v>
      </c>
      <c r="S169" s="123">
        <v>68855.239209650623</v>
      </c>
      <c r="U169" s="7" t="s">
        <v>6555</v>
      </c>
    </row>
    <row r="170" spans="1:21" ht="16.5" thickBot="1">
      <c r="A170" s="259" t="s">
        <v>10</v>
      </c>
      <c r="B170" s="263">
        <f t="shared" si="9"/>
        <v>90</v>
      </c>
      <c r="C170" s="263" t="s">
        <v>3</v>
      </c>
      <c r="D170" s="263">
        <f t="shared" si="10"/>
        <v>360</v>
      </c>
      <c r="E170" s="263" t="s">
        <v>3</v>
      </c>
      <c r="F170" s="261">
        <f t="shared" si="11"/>
        <v>1300</v>
      </c>
      <c r="G170" s="263" t="s">
        <v>3</v>
      </c>
      <c r="H170" s="260">
        <v>4</v>
      </c>
      <c r="I170" s="262" t="s">
        <v>581</v>
      </c>
      <c r="J170" s="112">
        <v>90</v>
      </c>
      <c r="K170" s="75">
        <v>360</v>
      </c>
      <c r="L170" s="75">
        <v>1300</v>
      </c>
      <c r="M170" s="202">
        <v>18.574552760348684</v>
      </c>
      <c r="N170" s="87">
        <v>4252.2433199999996</v>
      </c>
      <c r="O170" s="123">
        <v>50784.244367046107</v>
      </c>
      <c r="P170" s="123">
        <v>54809.783563962657</v>
      </c>
      <c r="Q170" s="120">
        <v>18338.218635171153</v>
      </c>
      <c r="R170" s="123">
        <v>69122.463002217264</v>
      </c>
      <c r="S170" s="123">
        <v>73148.002199133814</v>
      </c>
      <c r="U170" s="7" t="s">
        <v>6556</v>
      </c>
    </row>
    <row r="171" spans="1:21" ht="16.5" thickBot="1">
      <c r="A171" s="259" t="s">
        <v>10</v>
      </c>
      <c r="B171" s="263">
        <f t="shared" si="9"/>
        <v>90</v>
      </c>
      <c r="C171" s="263" t="s">
        <v>3</v>
      </c>
      <c r="D171" s="263">
        <f t="shared" si="10"/>
        <v>360</v>
      </c>
      <c r="E171" s="263" t="s">
        <v>3</v>
      </c>
      <c r="F171" s="261">
        <f t="shared" si="11"/>
        <v>1350</v>
      </c>
      <c r="G171" s="263" t="s">
        <v>3</v>
      </c>
      <c r="H171" s="260">
        <v>4</v>
      </c>
      <c r="I171" s="262" t="s">
        <v>581</v>
      </c>
      <c r="J171" s="112">
        <v>90</v>
      </c>
      <c r="K171" s="75">
        <v>360</v>
      </c>
      <c r="L171" s="75">
        <v>1350</v>
      </c>
      <c r="M171" s="202">
        <v>19.192092159725789</v>
      </c>
      <c r="N171" s="87">
        <v>4476.0455999999995</v>
      </c>
      <c r="O171" s="123">
        <v>52082.76567151674</v>
      </c>
      <c r="P171" s="123">
        <v>56256.004287478449</v>
      </c>
      <c r="Q171" s="120">
        <v>18891.815776674081</v>
      </c>
      <c r="R171" s="123">
        <v>70974.581448190816</v>
      </c>
      <c r="S171" s="123">
        <v>75147.820064152533</v>
      </c>
      <c r="U171" s="7" t="s">
        <v>6557</v>
      </c>
    </row>
    <row r="172" spans="1:21" ht="16.5" thickBot="1">
      <c r="A172" s="259" t="s">
        <v>10</v>
      </c>
      <c r="B172" s="263">
        <f t="shared" si="9"/>
        <v>90</v>
      </c>
      <c r="C172" s="263" t="s">
        <v>3</v>
      </c>
      <c r="D172" s="263">
        <f t="shared" si="10"/>
        <v>360</v>
      </c>
      <c r="E172" s="263" t="s">
        <v>3</v>
      </c>
      <c r="F172" s="261">
        <f t="shared" si="11"/>
        <v>1400</v>
      </c>
      <c r="G172" s="263" t="s">
        <v>3</v>
      </c>
      <c r="H172" s="260">
        <v>4</v>
      </c>
      <c r="I172" s="262" t="s">
        <v>581</v>
      </c>
      <c r="J172" s="112">
        <v>90</v>
      </c>
      <c r="K172" s="75">
        <v>360</v>
      </c>
      <c r="L172" s="75">
        <v>1400</v>
      </c>
      <c r="M172" s="202">
        <v>19.826671559102891</v>
      </c>
      <c r="N172" s="87">
        <v>4699.8478800000003</v>
      </c>
      <c r="O172" s="123">
        <v>53708.303690931636</v>
      </c>
      <c r="P172" s="123">
        <v>58008.408691700119</v>
      </c>
      <c r="Q172" s="120">
        <v>19675.994695960278</v>
      </c>
      <c r="R172" s="123">
        <v>73384.298386891911</v>
      </c>
      <c r="S172" s="123">
        <v>77684.403387660393</v>
      </c>
      <c r="U172" s="7" t="s">
        <v>6558</v>
      </c>
    </row>
    <row r="173" spans="1:21" ht="16.5" thickBot="1">
      <c r="A173" s="259" t="s">
        <v>10</v>
      </c>
      <c r="B173" s="263">
        <f t="shared" si="9"/>
        <v>90</v>
      </c>
      <c r="C173" s="263" t="s">
        <v>3</v>
      </c>
      <c r="D173" s="263">
        <f t="shared" si="10"/>
        <v>360</v>
      </c>
      <c r="E173" s="263" t="s">
        <v>3</v>
      </c>
      <c r="F173" s="261">
        <f t="shared" si="11"/>
        <v>1450</v>
      </c>
      <c r="G173" s="263" t="s">
        <v>3</v>
      </c>
      <c r="H173" s="260">
        <v>4</v>
      </c>
      <c r="I173" s="262" t="s">
        <v>581</v>
      </c>
      <c r="J173" s="112">
        <v>90</v>
      </c>
      <c r="K173" s="75">
        <v>360</v>
      </c>
      <c r="L173" s="75">
        <v>1450</v>
      </c>
      <c r="M173" s="202">
        <v>20.444210958480003</v>
      </c>
      <c r="N173" s="87">
        <v>4923.6501599999992</v>
      </c>
      <c r="O173" s="123">
        <v>55006.824995402261</v>
      </c>
      <c r="P173" s="123">
        <v>59454.629415215917</v>
      </c>
      <c r="Q173" s="120">
        <v>20229.591837463206</v>
      </c>
      <c r="R173" s="123">
        <v>75236.416832865463</v>
      </c>
      <c r="S173" s="123">
        <v>79684.221252679126</v>
      </c>
      <c r="U173" s="7" t="s">
        <v>6559</v>
      </c>
    </row>
    <row r="174" spans="1:21" ht="16.5" thickBot="1">
      <c r="A174" s="259" t="s">
        <v>10</v>
      </c>
      <c r="B174" s="263">
        <f t="shared" si="9"/>
        <v>90</v>
      </c>
      <c r="C174" s="263" t="s">
        <v>3</v>
      </c>
      <c r="D174" s="263">
        <f t="shared" si="10"/>
        <v>360</v>
      </c>
      <c r="E174" s="263" t="s">
        <v>3</v>
      </c>
      <c r="F174" s="261">
        <f t="shared" si="11"/>
        <v>1500</v>
      </c>
      <c r="G174" s="263" t="s">
        <v>3</v>
      </c>
      <c r="H174" s="260">
        <v>4</v>
      </c>
      <c r="I174" s="262" t="s">
        <v>581</v>
      </c>
      <c r="J174" s="112">
        <v>90</v>
      </c>
      <c r="K174" s="75">
        <v>360</v>
      </c>
      <c r="L174" s="75">
        <v>1500</v>
      </c>
      <c r="M174" s="202">
        <v>21.697556306657106</v>
      </c>
      <c r="N174" s="87">
        <v>5147.4524399999991</v>
      </c>
      <c r="O174" s="123">
        <v>56869.013787071272</v>
      </c>
      <c r="P174" s="123">
        <v>61586.367432989995</v>
      </c>
      <c r="Q174" s="120">
        <v>21013.770756749404</v>
      </c>
      <c r="R174" s="123">
        <v>77882.784543820671</v>
      </c>
      <c r="S174" s="123">
        <v>82600.138189739402</v>
      </c>
      <c r="U174" s="7" t="s">
        <v>6560</v>
      </c>
    </row>
    <row r="175" spans="1:21" ht="16.5" thickBot="1">
      <c r="A175" s="259" t="s">
        <v>10</v>
      </c>
      <c r="B175" s="263">
        <f t="shared" si="9"/>
        <v>90</v>
      </c>
      <c r="C175" s="263" t="s">
        <v>3</v>
      </c>
      <c r="D175" s="263">
        <f t="shared" si="10"/>
        <v>360</v>
      </c>
      <c r="E175" s="263" t="s">
        <v>3</v>
      </c>
      <c r="F175" s="261">
        <f t="shared" si="11"/>
        <v>1550</v>
      </c>
      <c r="G175" s="263" t="s">
        <v>3</v>
      </c>
      <c r="H175" s="260">
        <v>4</v>
      </c>
      <c r="I175" s="262" t="s">
        <v>581</v>
      </c>
      <c r="J175" s="112">
        <v>90</v>
      </c>
      <c r="K175" s="75">
        <v>360</v>
      </c>
      <c r="L175" s="75">
        <v>1550</v>
      </c>
      <c r="M175" s="202">
        <v>22.384095706034209</v>
      </c>
      <c r="N175" s="87">
        <v>5371.254719999999</v>
      </c>
      <c r="O175" s="123">
        <v>58167.53521087626</v>
      </c>
      <c r="P175" s="123">
        <v>63032.588156505786</v>
      </c>
      <c r="Q175" s="120">
        <v>21567.367898252327</v>
      </c>
      <c r="R175" s="123">
        <v>79734.903109128587</v>
      </c>
      <c r="S175" s="123">
        <v>84599.956054758106</v>
      </c>
      <c r="U175" s="7" t="s">
        <v>6561</v>
      </c>
    </row>
    <row r="176" spans="1:21" ht="16.5" thickBot="1">
      <c r="A176" s="259" t="s">
        <v>10</v>
      </c>
      <c r="B176" s="260">
        <f t="shared" si="9"/>
        <v>90</v>
      </c>
      <c r="C176" s="260" t="s">
        <v>3</v>
      </c>
      <c r="D176" s="260">
        <f t="shared" si="10"/>
        <v>360</v>
      </c>
      <c r="E176" s="260" t="s">
        <v>3</v>
      </c>
      <c r="F176" s="261">
        <f t="shared" si="11"/>
        <v>1600</v>
      </c>
      <c r="G176" s="260" t="s">
        <v>3</v>
      </c>
      <c r="H176" s="260">
        <v>4</v>
      </c>
      <c r="I176" s="262" t="s">
        <v>581</v>
      </c>
      <c r="J176" s="112">
        <v>90</v>
      </c>
      <c r="K176" s="75">
        <v>360</v>
      </c>
      <c r="L176" s="75">
        <v>1600</v>
      </c>
      <c r="M176" s="202">
        <v>23.00163510541131</v>
      </c>
      <c r="N176" s="87">
        <v>5595.0569999999989</v>
      </c>
      <c r="O176" s="123">
        <v>61412.097980439583</v>
      </c>
      <c r="P176" s="123">
        <v>66300.876267145388</v>
      </c>
      <c r="Q176" s="120">
        <v>22120.965039755254</v>
      </c>
      <c r="R176" s="123">
        <v>83533.063020194837</v>
      </c>
      <c r="S176" s="123">
        <v>88421.841306900635</v>
      </c>
      <c r="U176" s="7" t="s">
        <v>6562</v>
      </c>
    </row>
    <row r="177" spans="1:21" ht="16.5" thickBot="1">
      <c r="A177" s="259" t="s">
        <v>10</v>
      </c>
      <c r="B177" s="263">
        <f t="shared" si="9"/>
        <v>90</v>
      </c>
      <c r="C177" s="263" t="s">
        <v>3</v>
      </c>
      <c r="D177" s="263">
        <f t="shared" si="10"/>
        <v>360</v>
      </c>
      <c r="E177" s="263" t="s">
        <v>3</v>
      </c>
      <c r="F177" s="261">
        <f t="shared" si="11"/>
        <v>1650</v>
      </c>
      <c r="G177" s="263" t="s">
        <v>3</v>
      </c>
      <c r="H177" s="260">
        <v>4</v>
      </c>
      <c r="I177" s="262" t="s">
        <v>581</v>
      </c>
      <c r="J177" s="112">
        <v>90</v>
      </c>
      <c r="K177" s="75">
        <v>360</v>
      </c>
      <c r="L177" s="75">
        <v>1650</v>
      </c>
      <c r="M177" s="202">
        <v>23.67421450478842</v>
      </c>
      <c r="N177" s="87">
        <v>5818.8592799999997</v>
      </c>
      <c r="O177" s="123">
        <v>64908.920814302837</v>
      </c>
      <c r="P177" s="123">
        <v>69805.354042079271</v>
      </c>
      <c r="Q177" s="120">
        <v>22905.143959041456</v>
      </c>
      <c r="R177" s="123">
        <v>87814.064773344289</v>
      </c>
      <c r="S177" s="123">
        <v>92710.498001120723</v>
      </c>
      <c r="U177" s="7" t="s">
        <v>6563</v>
      </c>
    </row>
    <row r="178" spans="1:21" ht="16.5" thickBot="1">
      <c r="A178" s="259" t="s">
        <v>10</v>
      </c>
      <c r="B178" s="263">
        <f t="shared" si="9"/>
        <v>90</v>
      </c>
      <c r="C178" s="263" t="s">
        <v>3</v>
      </c>
      <c r="D178" s="263">
        <f t="shared" si="10"/>
        <v>360</v>
      </c>
      <c r="E178" s="263" t="s">
        <v>3</v>
      </c>
      <c r="F178" s="261">
        <f t="shared" si="11"/>
        <v>1700</v>
      </c>
      <c r="G178" s="263" t="s">
        <v>3</v>
      </c>
      <c r="H178" s="260">
        <v>4</v>
      </c>
      <c r="I178" s="262" t="s">
        <v>581</v>
      </c>
      <c r="J178" s="112">
        <v>90</v>
      </c>
      <c r="K178" s="75">
        <v>360</v>
      </c>
      <c r="L178" s="75">
        <v>1700</v>
      </c>
      <c r="M178" s="202">
        <v>24.291753904165528</v>
      </c>
      <c r="N178" s="87">
        <v>6042.6615599999996</v>
      </c>
      <c r="O178" s="123">
        <v>66002.29478172386</v>
      </c>
      <c r="P178" s="123">
        <v>71059.496450109888</v>
      </c>
      <c r="Q178" s="120">
        <v>23458.741100544379</v>
      </c>
      <c r="R178" s="123">
        <v>89461.035882268246</v>
      </c>
      <c r="S178" s="123">
        <v>94518.237550654274</v>
      </c>
      <c r="U178" s="7" t="s">
        <v>6564</v>
      </c>
    </row>
    <row r="179" spans="1:21" ht="16.5" thickBot="1">
      <c r="A179" s="259" t="s">
        <v>10</v>
      </c>
      <c r="B179" s="263">
        <f t="shared" si="9"/>
        <v>90</v>
      </c>
      <c r="C179" s="263" t="s">
        <v>3</v>
      </c>
      <c r="D179" s="263">
        <f t="shared" si="10"/>
        <v>360</v>
      </c>
      <c r="E179" s="263" t="s">
        <v>3</v>
      </c>
      <c r="F179" s="261">
        <f t="shared" si="11"/>
        <v>1750</v>
      </c>
      <c r="G179" s="263" t="s">
        <v>3</v>
      </c>
      <c r="H179" s="260">
        <v>4</v>
      </c>
      <c r="I179" s="262" t="s">
        <v>581</v>
      </c>
      <c r="J179" s="112">
        <v>90</v>
      </c>
      <c r="K179" s="75">
        <v>360</v>
      </c>
      <c r="L179" s="75">
        <v>1750</v>
      </c>
      <c r="M179" s="202">
        <v>24.926333303542627</v>
      </c>
      <c r="N179" s="87">
        <v>6266.4638399999994</v>
      </c>
      <c r="O179" s="123">
        <v>67019.515051169976</v>
      </c>
      <c r="P179" s="123">
        <v>72242.336459826431</v>
      </c>
      <c r="Q179" s="120">
        <v>24242.920019830581</v>
      </c>
      <c r="R179" s="123">
        <v>91262.435071000553</v>
      </c>
      <c r="S179" s="123">
        <v>96485.256479657008</v>
      </c>
      <c r="U179" s="7" t="s">
        <v>6565</v>
      </c>
    </row>
    <row r="180" spans="1:21" ht="16.5" thickBot="1">
      <c r="A180" s="259" t="s">
        <v>10</v>
      </c>
      <c r="B180" s="263">
        <f t="shared" si="9"/>
        <v>90</v>
      </c>
      <c r="C180" s="263" t="s">
        <v>3</v>
      </c>
      <c r="D180" s="263">
        <f t="shared" si="10"/>
        <v>360</v>
      </c>
      <c r="E180" s="263" t="s">
        <v>3</v>
      </c>
      <c r="F180" s="261">
        <f t="shared" si="11"/>
        <v>1800</v>
      </c>
      <c r="G180" s="263" t="s">
        <v>3</v>
      </c>
      <c r="H180" s="260">
        <v>4</v>
      </c>
      <c r="I180" s="262" t="s">
        <v>581</v>
      </c>
      <c r="J180" s="112">
        <v>90</v>
      </c>
      <c r="K180" s="75">
        <v>360</v>
      </c>
      <c r="L180" s="75">
        <v>1800</v>
      </c>
      <c r="M180" s="202">
        <v>25.612872702919734</v>
      </c>
      <c r="N180" s="87">
        <v>6490.2661199999993</v>
      </c>
      <c r="O180" s="123">
        <v>68113.585573239368</v>
      </c>
      <c r="P180" s="123">
        <v>73497.13103012419</v>
      </c>
      <c r="Q180" s="120">
        <v>24796.517161333504</v>
      </c>
      <c r="R180" s="123">
        <v>92910.102734572865</v>
      </c>
      <c r="S180" s="123">
        <v>98293.648191457702</v>
      </c>
      <c r="U180" s="7" t="s">
        <v>6566</v>
      </c>
    </row>
    <row r="181" spans="1:21" ht="16.5" thickBot="1">
      <c r="A181" s="259" t="s">
        <v>10</v>
      </c>
      <c r="B181" s="263">
        <f t="shared" si="9"/>
        <v>90</v>
      </c>
      <c r="C181" s="263" t="s">
        <v>3</v>
      </c>
      <c r="D181" s="263">
        <f t="shared" si="10"/>
        <v>360</v>
      </c>
      <c r="E181" s="263" t="s">
        <v>3</v>
      </c>
      <c r="F181" s="261">
        <f t="shared" si="11"/>
        <v>1850</v>
      </c>
      <c r="G181" s="263" t="s">
        <v>3</v>
      </c>
      <c r="H181" s="260">
        <v>4</v>
      </c>
      <c r="I181" s="262" t="s">
        <v>581</v>
      </c>
      <c r="J181" s="112">
        <v>90</v>
      </c>
      <c r="K181" s="75">
        <v>360</v>
      </c>
      <c r="L181" s="75">
        <v>1850</v>
      </c>
      <c r="M181" s="202">
        <v>26.309452102296845</v>
      </c>
      <c r="N181" s="87">
        <v>6714.0683999999992</v>
      </c>
      <c r="O181" s="123">
        <v>69207.608003562433</v>
      </c>
      <c r="P181" s="123">
        <v>74751.880611368921</v>
      </c>
      <c r="Q181" s="120">
        <v>25580.69622101307</v>
      </c>
      <c r="R181" s="123">
        <v>94788.304224575506</v>
      </c>
      <c r="S181" s="123">
        <v>100332.57683238199</v>
      </c>
      <c r="U181" s="7" t="s">
        <v>6567</v>
      </c>
    </row>
    <row r="182" spans="1:21" ht="16.5" thickBot="1">
      <c r="A182" s="259" t="s">
        <v>10</v>
      </c>
      <c r="B182" s="263">
        <f t="shared" si="9"/>
        <v>90</v>
      </c>
      <c r="C182" s="263" t="s">
        <v>3</v>
      </c>
      <c r="D182" s="263">
        <f t="shared" si="10"/>
        <v>360</v>
      </c>
      <c r="E182" s="263" t="s">
        <v>3</v>
      </c>
      <c r="F182" s="261">
        <f t="shared" si="11"/>
        <v>1900</v>
      </c>
      <c r="G182" s="263" t="s">
        <v>3</v>
      </c>
      <c r="H182" s="260">
        <v>4</v>
      </c>
      <c r="I182" s="262" t="s">
        <v>581</v>
      </c>
      <c r="J182" s="112">
        <v>90</v>
      </c>
      <c r="K182" s="75">
        <v>360</v>
      </c>
      <c r="L182" s="75">
        <v>1900</v>
      </c>
      <c r="M182" s="202">
        <v>26.92699150167395</v>
      </c>
      <c r="N182" s="87">
        <v>6937.87068</v>
      </c>
      <c r="O182" s="123">
        <v>70476.684867843665</v>
      </c>
      <c r="P182" s="123">
        <v>76170.532472801962</v>
      </c>
      <c r="Q182" s="120">
        <v>26134.293362515993</v>
      </c>
      <c r="R182" s="123">
        <v>96610.978230359658</v>
      </c>
      <c r="S182" s="123">
        <v>102304.82583531796</v>
      </c>
      <c r="U182" s="7" t="s">
        <v>6568</v>
      </c>
    </row>
    <row r="183" spans="1:21" ht="16.5" thickBot="1">
      <c r="A183" s="259" t="s">
        <v>10</v>
      </c>
      <c r="B183" s="263">
        <f t="shared" si="9"/>
        <v>90</v>
      </c>
      <c r="C183" s="263" t="s">
        <v>3</v>
      </c>
      <c r="D183" s="263">
        <f t="shared" si="10"/>
        <v>360</v>
      </c>
      <c r="E183" s="263" t="s">
        <v>3</v>
      </c>
      <c r="F183" s="261">
        <f t="shared" si="11"/>
        <v>1950</v>
      </c>
      <c r="G183" s="263" t="s">
        <v>3</v>
      </c>
      <c r="H183" s="260">
        <v>4</v>
      </c>
      <c r="I183" s="262" t="s">
        <v>581</v>
      </c>
      <c r="J183" s="112">
        <v>90</v>
      </c>
      <c r="K183" s="75">
        <v>360</v>
      </c>
      <c r="L183" s="75">
        <v>1950</v>
      </c>
      <c r="M183" s="202">
        <v>27.737030901051053</v>
      </c>
      <c r="N183" s="87">
        <v>7161.6729599999999</v>
      </c>
      <c r="O183" s="123">
        <v>71929.207996815123</v>
      </c>
      <c r="P183" s="123">
        <v>77760.944185234053</v>
      </c>
      <c r="Q183" s="120">
        <v>26687.890504018917</v>
      </c>
      <c r="R183" s="123">
        <v>98617.098500834036</v>
      </c>
      <c r="S183" s="123">
        <v>104448.83468925297</v>
      </c>
      <c r="U183" s="7" t="s">
        <v>6569</v>
      </c>
    </row>
    <row r="184" spans="1:21" ht="16.5" thickBot="1">
      <c r="A184" s="259" t="s">
        <v>10</v>
      </c>
      <c r="B184" s="263">
        <f t="shared" si="9"/>
        <v>90</v>
      </c>
      <c r="C184" s="263" t="s">
        <v>3</v>
      </c>
      <c r="D184" s="263">
        <f t="shared" si="10"/>
        <v>360</v>
      </c>
      <c r="E184" s="263" t="s">
        <v>3</v>
      </c>
      <c r="F184" s="261">
        <f t="shared" si="11"/>
        <v>2000</v>
      </c>
      <c r="G184" s="263" t="s">
        <v>3</v>
      </c>
      <c r="H184" s="260">
        <v>4</v>
      </c>
      <c r="I184" s="262" t="s">
        <v>581</v>
      </c>
      <c r="J184" s="112">
        <v>90</v>
      </c>
      <c r="K184" s="75">
        <v>360</v>
      </c>
      <c r="L184" s="75">
        <v>2000</v>
      </c>
      <c r="M184" s="202">
        <v>28.46317270042816</v>
      </c>
      <c r="N184" s="87">
        <v>7385.4752399999979</v>
      </c>
      <c r="O184" s="123">
        <v>73229.512395264857</v>
      </c>
      <c r="P184" s="123">
        <v>79399.091430931512</v>
      </c>
      <c r="Q184" s="120">
        <v>27472.069423305118</v>
      </c>
      <c r="R184" s="123">
        <v>100701.58181856998</v>
      </c>
      <c r="S184" s="123">
        <v>106871.16085423663</v>
      </c>
      <c r="U184" s="7" t="s">
        <v>6570</v>
      </c>
    </row>
    <row r="185" spans="1:21" ht="16.5" thickBot="1">
      <c r="A185" s="259" t="s">
        <v>10</v>
      </c>
      <c r="B185" s="263">
        <f t="shared" si="9"/>
        <v>90</v>
      </c>
      <c r="C185" s="263" t="s">
        <v>3</v>
      </c>
      <c r="D185" s="263">
        <f t="shared" si="10"/>
        <v>360</v>
      </c>
      <c r="E185" s="263" t="s">
        <v>3</v>
      </c>
      <c r="F185" s="261">
        <f t="shared" si="11"/>
        <v>2050</v>
      </c>
      <c r="G185" s="263" t="s">
        <v>3</v>
      </c>
      <c r="H185" s="260">
        <v>4</v>
      </c>
      <c r="I185" s="262" t="s">
        <v>581</v>
      </c>
      <c r="J185" s="112">
        <v>90</v>
      </c>
      <c r="K185" s="75">
        <v>360</v>
      </c>
      <c r="L185" s="75">
        <v>2050</v>
      </c>
      <c r="M185" s="202">
        <v>29.080712099805265</v>
      </c>
      <c r="N185" s="87">
        <v>7609.2775199999996</v>
      </c>
      <c r="O185" s="123">
        <v>76467.505092407257</v>
      </c>
      <c r="P185" s="123">
        <v>82661.228094078469</v>
      </c>
      <c r="Q185" s="120">
        <v>28025.666564808042</v>
      </c>
      <c r="R185" s="123">
        <v>104493.17165721529</v>
      </c>
      <c r="S185" s="123">
        <v>110686.89465888651</v>
      </c>
      <c r="U185" s="7" t="s">
        <v>6571</v>
      </c>
    </row>
    <row r="186" spans="1:21" ht="16.5" thickBot="1">
      <c r="A186" s="259" t="s">
        <v>10</v>
      </c>
      <c r="B186" s="260">
        <f t="shared" si="9"/>
        <v>90</v>
      </c>
      <c r="C186" s="260" t="s">
        <v>3</v>
      </c>
      <c r="D186" s="260">
        <f t="shared" si="10"/>
        <v>360</v>
      </c>
      <c r="E186" s="260" t="s">
        <v>3</v>
      </c>
      <c r="F186" s="261">
        <f t="shared" si="11"/>
        <v>2100</v>
      </c>
      <c r="G186" s="260" t="s">
        <v>3</v>
      </c>
      <c r="H186" s="260">
        <v>4</v>
      </c>
      <c r="I186" s="262" t="s">
        <v>581</v>
      </c>
      <c r="J186" s="112">
        <v>90</v>
      </c>
      <c r="K186" s="75">
        <v>360</v>
      </c>
      <c r="L186" s="75">
        <v>2100</v>
      </c>
      <c r="M186" s="202">
        <v>29.715291499182371</v>
      </c>
      <c r="N186" s="87">
        <v>7833.0797999999986</v>
      </c>
      <c r="O186" s="123">
        <v>77623.457400557221</v>
      </c>
      <c r="P186" s="123">
        <v>83973.962120601806</v>
      </c>
      <c r="Q186" s="120">
        <v>28809.845484094247</v>
      </c>
      <c r="R186" s="123">
        <v>106433.30288465146</v>
      </c>
      <c r="S186" s="123">
        <v>112783.80760469605</v>
      </c>
      <c r="U186" s="7" t="s">
        <v>6572</v>
      </c>
    </row>
    <row r="187" spans="1:21" ht="16.5" thickBot="1">
      <c r="A187" s="259" t="s">
        <v>10</v>
      </c>
      <c r="B187" s="263">
        <f t="shared" si="9"/>
        <v>90</v>
      </c>
      <c r="C187" s="263" t="s">
        <v>3</v>
      </c>
      <c r="D187" s="263">
        <f t="shared" si="10"/>
        <v>360</v>
      </c>
      <c r="E187" s="263" t="s">
        <v>3</v>
      </c>
      <c r="F187" s="261">
        <f t="shared" si="11"/>
        <v>2150</v>
      </c>
      <c r="G187" s="263" t="s">
        <v>3</v>
      </c>
      <c r="H187" s="260">
        <v>4</v>
      </c>
      <c r="I187" s="262" t="s">
        <v>581</v>
      </c>
      <c r="J187" s="112">
        <v>90</v>
      </c>
      <c r="K187" s="75">
        <v>360</v>
      </c>
      <c r="L187" s="75">
        <v>2150</v>
      </c>
      <c r="M187" s="202">
        <v>30.456830898559474</v>
      </c>
      <c r="N187" s="87">
        <v>8056.8820799999985</v>
      </c>
      <c r="O187" s="123">
        <v>78927.027025713978</v>
      </c>
      <c r="P187" s="123">
        <v>85424.909558708561</v>
      </c>
      <c r="Q187" s="120">
        <v>29363.442625597167</v>
      </c>
      <c r="R187" s="123">
        <v>108290.46965131114</v>
      </c>
      <c r="S187" s="123">
        <v>114788.35218430572</v>
      </c>
      <c r="U187" s="7" t="s">
        <v>6573</v>
      </c>
    </row>
    <row r="188" spans="1:21" ht="16.5" thickBot="1">
      <c r="A188" s="259" t="s">
        <v>10</v>
      </c>
      <c r="B188" s="263">
        <f t="shared" si="9"/>
        <v>90</v>
      </c>
      <c r="C188" s="263" t="s">
        <v>3</v>
      </c>
      <c r="D188" s="263">
        <f t="shared" si="10"/>
        <v>360</v>
      </c>
      <c r="E188" s="263" t="s">
        <v>3</v>
      </c>
      <c r="F188" s="261">
        <f t="shared" si="11"/>
        <v>2200</v>
      </c>
      <c r="G188" s="263" t="s">
        <v>3</v>
      </c>
      <c r="H188" s="260">
        <v>4</v>
      </c>
      <c r="I188" s="262" t="s">
        <v>581</v>
      </c>
      <c r="J188" s="112">
        <v>90</v>
      </c>
      <c r="K188" s="75">
        <v>360</v>
      </c>
      <c r="L188" s="75">
        <v>2200</v>
      </c>
      <c r="M188" s="202">
        <v>31.091410297936577</v>
      </c>
      <c r="N188" s="87">
        <v>8280.6843599999993</v>
      </c>
      <c r="O188" s="123">
        <v>80230.548559124407</v>
      </c>
      <c r="P188" s="123">
        <v>86875.811888427954</v>
      </c>
      <c r="Q188" s="120">
        <v>30147.621544883372</v>
      </c>
      <c r="R188" s="123">
        <v>110378.17010400778</v>
      </c>
      <c r="S188" s="123">
        <v>117023.43343331132</v>
      </c>
      <c r="U188" s="7" t="s">
        <v>6574</v>
      </c>
    </row>
    <row r="189" spans="1:21" ht="16.5" thickBot="1">
      <c r="A189" s="259" t="s">
        <v>10</v>
      </c>
      <c r="B189" s="263">
        <f t="shared" si="9"/>
        <v>90</v>
      </c>
      <c r="C189" s="263" t="s">
        <v>3</v>
      </c>
      <c r="D189" s="263">
        <f t="shared" si="10"/>
        <v>360</v>
      </c>
      <c r="E189" s="263" t="s">
        <v>3</v>
      </c>
      <c r="F189" s="261">
        <f t="shared" si="11"/>
        <v>2250</v>
      </c>
      <c r="G189" s="263" t="s">
        <v>3</v>
      </c>
      <c r="H189" s="260">
        <v>4</v>
      </c>
      <c r="I189" s="262" t="s">
        <v>581</v>
      </c>
      <c r="J189" s="112">
        <v>90</v>
      </c>
      <c r="K189" s="75">
        <v>360</v>
      </c>
      <c r="L189" s="75">
        <v>2250</v>
      </c>
      <c r="M189" s="202">
        <v>31.708949697313688</v>
      </c>
      <c r="N189" s="87">
        <v>8504.4866399999992</v>
      </c>
      <c r="O189" s="123">
        <v>81853.681155882572</v>
      </c>
      <c r="P189" s="123">
        <v>88625.964214643085</v>
      </c>
      <c r="Q189" s="120">
        <v>30701.218686386295</v>
      </c>
      <c r="R189" s="123">
        <v>112554.89984226887</v>
      </c>
      <c r="S189" s="123">
        <v>119327.18290102939</v>
      </c>
      <c r="U189" s="7" t="s">
        <v>6575</v>
      </c>
    </row>
    <row r="190" spans="1:21" ht="16.5" thickBot="1">
      <c r="A190" s="259" t="s">
        <v>10</v>
      </c>
      <c r="B190" s="263">
        <f t="shared" si="9"/>
        <v>90</v>
      </c>
      <c r="C190" s="263" t="s">
        <v>3</v>
      </c>
      <c r="D190" s="263">
        <f t="shared" si="10"/>
        <v>360</v>
      </c>
      <c r="E190" s="263" t="s">
        <v>3</v>
      </c>
      <c r="F190" s="261">
        <f t="shared" si="11"/>
        <v>2300</v>
      </c>
      <c r="G190" s="263" t="s">
        <v>3</v>
      </c>
      <c r="H190" s="260">
        <v>4</v>
      </c>
      <c r="I190" s="262" t="s">
        <v>581</v>
      </c>
      <c r="J190" s="112">
        <v>90</v>
      </c>
      <c r="K190" s="75">
        <v>360</v>
      </c>
      <c r="L190" s="75">
        <v>2300</v>
      </c>
      <c r="M190" s="202">
        <v>32.326489096690793</v>
      </c>
      <c r="N190" s="87">
        <v>8728.2889199999991</v>
      </c>
      <c r="O190" s="123">
        <v>82914.297245326481</v>
      </c>
      <c r="P190" s="123">
        <v>89849.435544617125</v>
      </c>
      <c r="Q190" s="120">
        <v>31254.815827889219</v>
      </c>
      <c r="R190" s="123">
        <v>114169.1130732157</v>
      </c>
      <c r="S190" s="123">
        <v>121104.25137250635</v>
      </c>
      <c r="U190" s="7" t="s">
        <v>6576</v>
      </c>
    </row>
    <row r="191" spans="1:21" ht="16.5" thickBot="1">
      <c r="A191" s="259" t="s">
        <v>10</v>
      </c>
      <c r="B191" s="263">
        <f t="shared" si="9"/>
        <v>90</v>
      </c>
      <c r="C191" s="263" t="s">
        <v>3</v>
      </c>
      <c r="D191" s="263">
        <f t="shared" si="10"/>
        <v>360</v>
      </c>
      <c r="E191" s="263" t="s">
        <v>3</v>
      </c>
      <c r="F191" s="261">
        <f t="shared" si="11"/>
        <v>2350</v>
      </c>
      <c r="G191" s="263" t="s">
        <v>3</v>
      </c>
      <c r="H191" s="260">
        <v>4</v>
      </c>
      <c r="I191" s="262" t="s">
        <v>581</v>
      </c>
      <c r="J191" s="112">
        <v>90</v>
      </c>
      <c r="K191" s="75">
        <v>360</v>
      </c>
      <c r="L191" s="75">
        <v>2350</v>
      </c>
      <c r="M191" s="202">
        <v>32.961068496067895</v>
      </c>
      <c r="N191" s="87">
        <v>8952.0911999999989</v>
      </c>
      <c r="O191" s="123">
        <v>83974.865243024076</v>
      </c>
      <c r="P191" s="123">
        <v>91072.861885538136</v>
      </c>
      <c r="Q191" s="120">
        <v>32038.99474717542</v>
      </c>
      <c r="R191" s="123">
        <v>116013.8599901995</v>
      </c>
      <c r="S191" s="123">
        <v>123111.85663271355</v>
      </c>
      <c r="U191" s="7" t="s">
        <v>6577</v>
      </c>
    </row>
    <row r="192" spans="1:21" ht="16.5" thickBot="1">
      <c r="A192" s="259" t="s">
        <v>10</v>
      </c>
      <c r="B192" s="263">
        <f t="shared" si="9"/>
        <v>90</v>
      </c>
      <c r="C192" s="263" t="s">
        <v>3</v>
      </c>
      <c r="D192" s="263">
        <f t="shared" si="10"/>
        <v>360</v>
      </c>
      <c r="E192" s="263" t="s">
        <v>3</v>
      </c>
      <c r="F192" s="261">
        <f t="shared" si="11"/>
        <v>2400</v>
      </c>
      <c r="G192" s="263" t="s">
        <v>3</v>
      </c>
      <c r="H192" s="260">
        <v>4</v>
      </c>
      <c r="I192" s="262" t="s">
        <v>581</v>
      </c>
      <c r="J192" s="112">
        <v>90</v>
      </c>
      <c r="K192" s="75">
        <v>360</v>
      </c>
      <c r="L192" s="75">
        <v>2400</v>
      </c>
      <c r="M192" s="202">
        <v>33.578607895445003</v>
      </c>
      <c r="N192" s="87">
        <v>9175.893479999997</v>
      </c>
      <c r="O192" s="123">
        <v>85035.385148975343</v>
      </c>
      <c r="P192" s="123">
        <v>92296.243237406146</v>
      </c>
      <c r="Q192" s="120">
        <v>32592.591888678344</v>
      </c>
      <c r="R192" s="123">
        <v>117627.97703765369</v>
      </c>
      <c r="S192" s="123">
        <v>124888.83512608449</v>
      </c>
      <c r="U192" s="7" t="s">
        <v>6578</v>
      </c>
    </row>
    <row r="193" spans="1:21" ht="16.5" thickBot="1">
      <c r="A193" s="259" t="s">
        <v>10</v>
      </c>
      <c r="B193" s="263">
        <f t="shared" si="9"/>
        <v>90</v>
      </c>
      <c r="C193" s="263" t="s">
        <v>3</v>
      </c>
      <c r="D193" s="263">
        <f t="shared" si="10"/>
        <v>360</v>
      </c>
      <c r="E193" s="263" t="s">
        <v>3</v>
      </c>
      <c r="F193" s="261">
        <f t="shared" si="11"/>
        <v>2450</v>
      </c>
      <c r="G193" s="263" t="s">
        <v>3</v>
      </c>
      <c r="H193" s="260">
        <v>4</v>
      </c>
      <c r="I193" s="262" t="s">
        <v>581</v>
      </c>
      <c r="J193" s="112">
        <v>90</v>
      </c>
      <c r="K193" s="75">
        <v>360</v>
      </c>
      <c r="L193" s="75">
        <v>2450</v>
      </c>
      <c r="M193" s="202">
        <v>34.945953243622107</v>
      </c>
      <c r="N193" s="87">
        <v>9399.6957600000005</v>
      </c>
      <c r="O193" s="123">
        <v>86659.524331044304</v>
      </c>
      <c r="P193" s="123">
        <v>94205.096775145052</v>
      </c>
      <c r="Q193" s="120">
        <v>33376.770807964545</v>
      </c>
      <c r="R193" s="123">
        <v>120036.29513900884</v>
      </c>
      <c r="S193" s="123">
        <v>127581.86758310959</v>
      </c>
      <c r="U193" s="7" t="s">
        <v>6579</v>
      </c>
    </row>
    <row r="194" spans="1:21" ht="16.5" thickBot="1">
      <c r="A194" s="259" t="s">
        <v>10</v>
      </c>
      <c r="B194" s="263">
        <f t="shared" si="9"/>
        <v>90</v>
      </c>
      <c r="C194" s="263" t="s">
        <v>3</v>
      </c>
      <c r="D194" s="263">
        <f t="shared" si="10"/>
        <v>360</v>
      </c>
      <c r="E194" s="263" t="s">
        <v>3</v>
      </c>
      <c r="F194" s="261">
        <f t="shared" si="11"/>
        <v>2500</v>
      </c>
      <c r="G194" s="263" t="s">
        <v>3</v>
      </c>
      <c r="H194" s="260">
        <v>4</v>
      </c>
      <c r="I194" s="262" t="s">
        <v>581</v>
      </c>
      <c r="J194" s="112">
        <v>90</v>
      </c>
      <c r="K194" s="75">
        <v>360</v>
      </c>
      <c r="L194" s="75">
        <v>2500</v>
      </c>
      <c r="M194" s="202">
        <v>35.580492642999218</v>
      </c>
      <c r="N194" s="87">
        <v>9623.4980399999986</v>
      </c>
      <c r="O194" s="123">
        <v>87719.948053502929</v>
      </c>
      <c r="P194" s="123">
        <v>95428.387910238307</v>
      </c>
      <c r="Q194" s="120">
        <v>33930.367949467472</v>
      </c>
      <c r="R194" s="123">
        <v>121650.3160029704</v>
      </c>
      <c r="S194" s="123">
        <v>129358.75585970578</v>
      </c>
      <c r="U194" s="7" t="s">
        <v>6580</v>
      </c>
    </row>
    <row r="195" spans="1:21" ht="16.5" thickBot="1">
      <c r="A195" s="259" t="s">
        <v>10</v>
      </c>
      <c r="B195" s="263">
        <f t="shared" si="9"/>
        <v>90</v>
      </c>
      <c r="C195" s="263" t="s">
        <v>3</v>
      </c>
      <c r="D195" s="263">
        <f t="shared" si="10"/>
        <v>360</v>
      </c>
      <c r="E195" s="263" t="s">
        <v>3</v>
      </c>
      <c r="F195" s="261">
        <f t="shared" si="11"/>
        <v>2550</v>
      </c>
      <c r="G195" s="263" t="s">
        <v>3</v>
      </c>
      <c r="H195" s="260">
        <v>4</v>
      </c>
      <c r="I195" s="262" t="s">
        <v>581</v>
      </c>
      <c r="J195" s="112">
        <v>90</v>
      </c>
      <c r="K195" s="75">
        <v>360</v>
      </c>
      <c r="L195" s="75">
        <v>2550</v>
      </c>
      <c r="M195" s="202">
        <v>36.215072042376313</v>
      </c>
      <c r="N195" s="87">
        <v>9847.3003199999985</v>
      </c>
      <c r="O195" s="123">
        <v>92074.659501874543</v>
      </c>
      <c r="P195" s="123">
        <v>99736.101908349548</v>
      </c>
      <c r="Q195" s="120">
        <v>34714.547009147034</v>
      </c>
      <c r="R195" s="123">
        <v>126789.20651102158</v>
      </c>
      <c r="S195" s="123">
        <v>134450.64891749658</v>
      </c>
      <c r="U195" s="7" t="s">
        <v>6581</v>
      </c>
    </row>
    <row r="196" spans="1:21" ht="16.5" thickBot="1">
      <c r="A196" s="259" t="s">
        <v>10</v>
      </c>
      <c r="B196" s="260">
        <f t="shared" si="9"/>
        <v>90</v>
      </c>
      <c r="C196" s="260" t="s">
        <v>3</v>
      </c>
      <c r="D196" s="260">
        <f t="shared" si="10"/>
        <v>360</v>
      </c>
      <c r="E196" s="260" t="s">
        <v>3</v>
      </c>
      <c r="F196" s="261">
        <f t="shared" si="11"/>
        <v>2600</v>
      </c>
      <c r="G196" s="260" t="s">
        <v>3</v>
      </c>
      <c r="H196" s="260">
        <v>4</v>
      </c>
      <c r="I196" s="262" t="s">
        <v>581</v>
      </c>
      <c r="J196" s="112">
        <v>90</v>
      </c>
      <c r="K196" s="75">
        <v>360</v>
      </c>
      <c r="L196" s="75">
        <v>2600</v>
      </c>
      <c r="M196" s="202">
        <v>36.832611441753421</v>
      </c>
      <c r="N196" s="87">
        <v>10071.102599999998</v>
      </c>
      <c r="O196" s="123">
        <v>93405.59046666525</v>
      </c>
      <c r="P196" s="123">
        <v>101212.66756912117</v>
      </c>
      <c r="Q196" s="120">
        <v>35268.144150649961</v>
      </c>
      <c r="R196" s="123">
        <v>128673.7346173152</v>
      </c>
      <c r="S196" s="123">
        <v>136480.81171977113</v>
      </c>
      <c r="U196" s="7" t="s">
        <v>6582</v>
      </c>
    </row>
    <row r="197" spans="1:21" ht="16.5" thickBot="1">
      <c r="A197" s="259" t="s">
        <v>10</v>
      </c>
      <c r="B197" s="263">
        <f t="shared" si="9"/>
        <v>90</v>
      </c>
      <c r="C197" s="263" t="s">
        <v>3</v>
      </c>
      <c r="D197" s="263">
        <f t="shared" si="10"/>
        <v>360</v>
      </c>
      <c r="E197" s="263" t="s">
        <v>3</v>
      </c>
      <c r="F197" s="261">
        <f t="shared" si="11"/>
        <v>2650</v>
      </c>
      <c r="G197" s="263" t="s">
        <v>3</v>
      </c>
      <c r="H197" s="260">
        <v>4</v>
      </c>
      <c r="I197" s="262" t="s">
        <v>581</v>
      </c>
      <c r="J197" s="112">
        <v>90</v>
      </c>
      <c r="K197" s="75">
        <v>360</v>
      </c>
      <c r="L197" s="75">
        <v>2650</v>
      </c>
      <c r="M197" s="202">
        <v>37.57419084113053</v>
      </c>
      <c r="N197" s="87">
        <v>10294.904879999998</v>
      </c>
      <c r="O197" s="123">
        <v>94305.901729480902</v>
      </c>
      <c r="P197" s="123">
        <v>102286.04646816655</v>
      </c>
      <c r="Q197" s="120">
        <v>36052.323069936159</v>
      </c>
      <c r="R197" s="123">
        <v>130358.22479941706</v>
      </c>
      <c r="S197" s="123">
        <v>138338.36953810271</v>
      </c>
      <c r="U197" s="7" t="s">
        <v>6583</v>
      </c>
    </row>
    <row r="198" spans="1:21" ht="16.5" thickBot="1">
      <c r="A198" s="259" t="s">
        <v>10</v>
      </c>
      <c r="B198" s="263">
        <f t="shared" si="9"/>
        <v>90</v>
      </c>
      <c r="C198" s="263" t="s">
        <v>3</v>
      </c>
      <c r="D198" s="263">
        <f t="shared" si="10"/>
        <v>360</v>
      </c>
      <c r="E198" s="263" t="s">
        <v>3</v>
      </c>
      <c r="F198" s="261">
        <f t="shared" si="11"/>
        <v>2700</v>
      </c>
      <c r="G198" s="263" t="s">
        <v>3</v>
      </c>
      <c r="H198" s="260">
        <v>4</v>
      </c>
      <c r="I198" s="262" t="s">
        <v>581</v>
      </c>
      <c r="J198" s="112">
        <v>90</v>
      </c>
      <c r="K198" s="75">
        <v>360</v>
      </c>
      <c r="L198" s="75">
        <v>2700</v>
      </c>
      <c r="M198" s="202">
        <v>38.270230240507637</v>
      </c>
      <c r="N198" s="87">
        <v>10518.70716</v>
      </c>
      <c r="O198" s="123">
        <v>95265.789357912523</v>
      </c>
      <c r="P198" s="123">
        <v>103415.20630356774</v>
      </c>
      <c r="Q198" s="120">
        <v>36605.920211439086</v>
      </c>
      <c r="R198" s="123">
        <v>131871.7095693516</v>
      </c>
      <c r="S198" s="123">
        <v>140021.12651500682</v>
      </c>
      <c r="U198" s="7" t="s">
        <v>6584</v>
      </c>
    </row>
    <row r="199" spans="1:21" ht="16.5" thickBot="1">
      <c r="A199" s="259" t="s">
        <v>10</v>
      </c>
      <c r="B199" s="263">
        <f t="shared" si="9"/>
        <v>90</v>
      </c>
      <c r="C199" s="263" t="s">
        <v>3</v>
      </c>
      <c r="D199" s="263">
        <f t="shared" si="10"/>
        <v>360</v>
      </c>
      <c r="E199" s="263" t="s">
        <v>3</v>
      </c>
      <c r="F199" s="261">
        <f t="shared" si="11"/>
        <v>2750</v>
      </c>
      <c r="G199" s="263" t="s">
        <v>3</v>
      </c>
      <c r="H199" s="260">
        <v>4</v>
      </c>
      <c r="I199" s="262" t="s">
        <v>581</v>
      </c>
      <c r="J199" s="112">
        <v>90</v>
      </c>
      <c r="K199" s="75">
        <v>360</v>
      </c>
      <c r="L199" s="75">
        <v>2750</v>
      </c>
      <c r="M199" s="202">
        <v>38.887769639884738</v>
      </c>
      <c r="N199" s="87">
        <v>10742.509439999998</v>
      </c>
      <c r="O199" s="123">
        <v>96247.758496637238</v>
      </c>
      <c r="P199" s="123">
        <v>104565.0410551828</v>
      </c>
      <c r="Q199" s="120">
        <v>37159.517352942006</v>
      </c>
      <c r="R199" s="123">
        <v>133407.27584957925</v>
      </c>
      <c r="S199" s="123">
        <v>141724.55840812481</v>
      </c>
      <c r="U199" s="7" t="s">
        <v>6585</v>
      </c>
    </row>
    <row r="200" spans="1:21" ht="16.5" thickBot="1">
      <c r="A200" s="259" t="s">
        <v>10</v>
      </c>
      <c r="B200" s="263">
        <f t="shared" si="9"/>
        <v>90</v>
      </c>
      <c r="C200" s="263" t="s">
        <v>3</v>
      </c>
      <c r="D200" s="263">
        <f t="shared" si="10"/>
        <v>360</v>
      </c>
      <c r="E200" s="263" t="s">
        <v>3</v>
      </c>
      <c r="F200" s="261">
        <f t="shared" si="11"/>
        <v>2800</v>
      </c>
      <c r="G200" s="263" t="s">
        <v>3</v>
      </c>
      <c r="H200" s="260">
        <v>4</v>
      </c>
      <c r="I200" s="262" t="s">
        <v>581</v>
      </c>
      <c r="J200" s="112">
        <v>90</v>
      </c>
      <c r="K200" s="75">
        <v>360</v>
      </c>
      <c r="L200" s="75">
        <v>2800</v>
      </c>
      <c r="M200" s="202">
        <v>39.522349039261847</v>
      </c>
      <c r="N200" s="87">
        <v>10966.31172</v>
      </c>
      <c r="O200" s="123">
        <v>97146.83536485245</v>
      </c>
      <c r="P200" s="123">
        <v>105637.2640816354</v>
      </c>
      <c r="Q200" s="120">
        <v>37943.696272228204</v>
      </c>
      <c r="R200" s="123">
        <v>135090.53163708065</v>
      </c>
      <c r="S200" s="123">
        <v>143580.9603538636</v>
      </c>
      <c r="U200" s="7" t="s">
        <v>6586</v>
      </c>
    </row>
    <row r="201" spans="1:21" ht="16.5" thickBot="1">
      <c r="A201" s="259" t="s">
        <v>10</v>
      </c>
      <c r="B201" s="263">
        <f t="shared" si="9"/>
        <v>90</v>
      </c>
      <c r="C201" s="263" t="s">
        <v>3</v>
      </c>
      <c r="D201" s="263">
        <f t="shared" si="10"/>
        <v>360</v>
      </c>
      <c r="E201" s="263" t="s">
        <v>3</v>
      </c>
      <c r="F201" s="261">
        <f t="shared" si="11"/>
        <v>2850</v>
      </c>
      <c r="G201" s="263" t="s">
        <v>3</v>
      </c>
      <c r="H201" s="260">
        <v>4</v>
      </c>
      <c r="I201" s="262" t="s">
        <v>581</v>
      </c>
      <c r="J201" s="112">
        <v>90</v>
      </c>
      <c r="K201" s="75">
        <v>360</v>
      </c>
      <c r="L201" s="75">
        <v>2850</v>
      </c>
      <c r="M201" s="202">
        <v>40.139888438638941</v>
      </c>
      <c r="N201" s="87">
        <v>11190.113999999998</v>
      </c>
      <c r="O201" s="123">
        <v>98045.864141321334</v>
      </c>
      <c r="P201" s="123">
        <v>106709.44211903495</v>
      </c>
      <c r="Q201" s="120">
        <v>38497.293413731131</v>
      </c>
      <c r="R201" s="123">
        <v>136543.15755505246</v>
      </c>
      <c r="S201" s="123">
        <v>145206.73553276609</v>
      </c>
      <c r="U201" s="7" t="s">
        <v>6587</v>
      </c>
    </row>
    <row r="202" spans="1:21" ht="16.5" thickBot="1">
      <c r="A202" s="259" t="s">
        <v>10</v>
      </c>
      <c r="B202" s="263">
        <f t="shared" si="9"/>
        <v>90</v>
      </c>
      <c r="C202" s="263" t="s">
        <v>3</v>
      </c>
      <c r="D202" s="263">
        <f t="shared" si="10"/>
        <v>360</v>
      </c>
      <c r="E202" s="263" t="s">
        <v>3</v>
      </c>
      <c r="F202" s="261">
        <f t="shared" si="11"/>
        <v>2900</v>
      </c>
      <c r="G202" s="263" t="s">
        <v>3</v>
      </c>
      <c r="H202" s="260">
        <v>4</v>
      </c>
      <c r="I202" s="262" t="s">
        <v>581</v>
      </c>
      <c r="J202" s="112">
        <v>90</v>
      </c>
      <c r="K202" s="75">
        <v>360</v>
      </c>
      <c r="L202" s="75">
        <v>2900</v>
      </c>
      <c r="M202" s="202">
        <v>40.950467838016053</v>
      </c>
      <c r="N202" s="87">
        <v>11413.916279999999</v>
      </c>
      <c r="O202" s="123">
        <v>98944.844826043889</v>
      </c>
      <c r="P202" s="123">
        <v>107781.57516738152</v>
      </c>
      <c r="Q202" s="120">
        <v>39281.472333017329</v>
      </c>
      <c r="R202" s="123">
        <v>138226.3171590612</v>
      </c>
      <c r="S202" s="123">
        <v>147063.04750039885</v>
      </c>
      <c r="U202" s="7" t="s">
        <v>6588</v>
      </c>
    </row>
    <row r="203" spans="1:21" ht="16.5" thickBot="1">
      <c r="A203" s="259" t="s">
        <v>10</v>
      </c>
      <c r="B203" s="263">
        <f t="shared" si="9"/>
        <v>90</v>
      </c>
      <c r="C203" s="263" t="s">
        <v>3</v>
      </c>
      <c r="D203" s="263">
        <f t="shared" si="10"/>
        <v>360</v>
      </c>
      <c r="E203" s="263" t="s">
        <v>3</v>
      </c>
      <c r="F203" s="261">
        <f t="shared" si="11"/>
        <v>2950</v>
      </c>
      <c r="G203" s="263" t="s">
        <v>3</v>
      </c>
      <c r="H203" s="260">
        <v>4</v>
      </c>
      <c r="I203" s="262" t="s">
        <v>581</v>
      </c>
      <c r="J203" s="112">
        <v>90</v>
      </c>
      <c r="K203" s="75">
        <v>360</v>
      </c>
      <c r="L203" s="75">
        <v>2950</v>
      </c>
      <c r="M203" s="202">
        <v>41.568007237393161</v>
      </c>
      <c r="N203" s="87">
        <v>11637.718559999999</v>
      </c>
      <c r="O203" s="123">
        <v>99843.777419020102</v>
      </c>
      <c r="P203" s="123">
        <v>108853.66322667507</v>
      </c>
      <c r="Q203" s="120">
        <v>39835.069474520256</v>
      </c>
      <c r="R203" s="123">
        <v>139678.84689354035</v>
      </c>
      <c r="S203" s="123">
        <v>148688.73270119532</v>
      </c>
      <c r="U203" s="7" t="s">
        <v>6589</v>
      </c>
    </row>
    <row r="204" spans="1:21" ht="16.5" thickBot="1">
      <c r="A204" s="264" t="s">
        <v>10</v>
      </c>
      <c r="B204" s="265">
        <f t="shared" si="9"/>
        <v>90</v>
      </c>
      <c r="C204" s="265" t="s">
        <v>3</v>
      </c>
      <c r="D204" s="265">
        <f t="shared" si="10"/>
        <v>360</v>
      </c>
      <c r="E204" s="265" t="s">
        <v>3</v>
      </c>
      <c r="F204" s="266">
        <f t="shared" si="11"/>
        <v>3000</v>
      </c>
      <c r="G204" s="265" t="s">
        <v>3</v>
      </c>
      <c r="H204" s="267">
        <v>4</v>
      </c>
      <c r="I204" s="262" t="s">
        <v>581</v>
      </c>
      <c r="J204" s="346">
        <v>90</v>
      </c>
      <c r="K204" s="322">
        <v>360</v>
      </c>
      <c r="L204" s="322">
        <v>3000</v>
      </c>
      <c r="M204" s="337">
        <v>42.202586636770263</v>
      </c>
      <c r="N204" s="306">
        <v>11861.520839999999</v>
      </c>
      <c r="O204" s="307">
        <v>102459.49859969817</v>
      </c>
      <c r="P204" s="307">
        <v>111533.17053112066</v>
      </c>
      <c r="Q204" s="308">
        <v>40619.248393806454</v>
      </c>
      <c r="R204" s="307">
        <v>143078.74699350464</v>
      </c>
      <c r="S204" s="307">
        <v>152152.41892492713</v>
      </c>
      <c r="U204" s="7" t="s">
        <v>6590</v>
      </c>
    </row>
    <row r="205" spans="1:21" ht="22.5" customHeight="1" thickBot="1">
      <c r="A205" s="2580" t="s">
        <v>67</v>
      </c>
      <c r="B205" s="2581"/>
      <c r="C205" s="2581"/>
      <c r="D205" s="2581"/>
      <c r="E205" s="2581"/>
      <c r="F205" s="2581"/>
      <c r="G205" s="2581"/>
      <c r="H205" s="2581"/>
      <c r="I205" s="2581"/>
      <c r="J205" s="2581"/>
      <c r="K205" s="2581"/>
      <c r="L205" s="2581"/>
      <c r="M205" s="2581"/>
      <c r="N205" s="2581"/>
      <c r="O205" s="2581"/>
      <c r="P205" s="2581"/>
      <c r="Q205" s="2581"/>
      <c r="R205" s="2581"/>
      <c r="S205" s="2582"/>
    </row>
    <row r="206" spans="1:21" ht="16.5" customHeight="1" thickBot="1">
      <c r="A206" s="2583" t="s">
        <v>135</v>
      </c>
      <c r="B206" s="2584"/>
      <c r="C206" s="2584"/>
      <c r="D206" s="2584"/>
      <c r="E206" s="2584"/>
      <c r="F206" s="2584"/>
      <c r="G206" s="2584"/>
      <c r="H206" s="2584"/>
      <c r="I206" s="2584"/>
      <c r="J206" s="2584"/>
      <c r="K206" s="2584"/>
      <c r="L206" s="2584"/>
      <c r="M206" s="2584"/>
      <c r="N206" s="2584"/>
      <c r="O206" s="2584"/>
      <c r="P206" s="2584"/>
      <c r="Q206" s="2584"/>
      <c r="R206" s="2584"/>
      <c r="S206" s="2585"/>
    </row>
    <row r="207" spans="1:21" ht="16.5" thickBot="1">
      <c r="A207" s="259" t="s">
        <v>10</v>
      </c>
      <c r="B207" s="260">
        <f t="shared" ref="B207:B253" si="12">J207</f>
        <v>90</v>
      </c>
      <c r="C207" s="260" t="s">
        <v>3</v>
      </c>
      <c r="D207" s="260">
        <f t="shared" ref="D207:D253" si="13">K207</f>
        <v>400</v>
      </c>
      <c r="E207" s="260" t="s">
        <v>3</v>
      </c>
      <c r="F207" s="261">
        <f t="shared" ref="F207:F253" si="14">L207</f>
        <v>700</v>
      </c>
      <c r="G207" s="260" t="s">
        <v>3</v>
      </c>
      <c r="H207" s="260">
        <v>4</v>
      </c>
      <c r="I207" s="262" t="s">
        <v>581</v>
      </c>
      <c r="J207" s="344">
        <v>90</v>
      </c>
      <c r="K207" s="327">
        <v>400</v>
      </c>
      <c r="L207" s="327">
        <v>700</v>
      </c>
      <c r="M207" s="301">
        <v>11.188148966214593</v>
      </c>
      <c r="N207" s="302">
        <v>1733.5063199999997</v>
      </c>
      <c r="O207" s="303">
        <v>29934.878267073709</v>
      </c>
      <c r="P207" s="303">
        <v>32883.958306492939</v>
      </c>
      <c r="Q207" s="304">
        <v>11307.066052331927</v>
      </c>
      <c r="R207" s="303">
        <v>41241.944319405637</v>
      </c>
      <c r="S207" s="303">
        <v>44191.02435882487</v>
      </c>
      <c r="U207" s="7" t="s">
        <v>6591</v>
      </c>
    </row>
    <row r="208" spans="1:21" ht="16.5" thickBot="1">
      <c r="A208" s="259" t="s">
        <v>10</v>
      </c>
      <c r="B208" s="263">
        <f t="shared" si="12"/>
        <v>90</v>
      </c>
      <c r="C208" s="263" t="s">
        <v>3</v>
      </c>
      <c r="D208" s="263">
        <f t="shared" si="13"/>
        <v>400</v>
      </c>
      <c r="E208" s="263" t="s">
        <v>3</v>
      </c>
      <c r="F208" s="261">
        <f t="shared" si="14"/>
        <v>750</v>
      </c>
      <c r="G208" s="263" t="s">
        <v>3</v>
      </c>
      <c r="H208" s="260">
        <v>4</v>
      </c>
      <c r="I208" s="262" t="s">
        <v>581</v>
      </c>
      <c r="J208" s="112">
        <v>90</v>
      </c>
      <c r="K208" s="75">
        <v>400</v>
      </c>
      <c r="L208" s="75">
        <v>750</v>
      </c>
      <c r="M208" s="202">
        <v>11.836565335560552</v>
      </c>
      <c r="N208" s="87">
        <v>1981.1500799999999</v>
      </c>
      <c r="O208" s="123">
        <v>31768.967874772443</v>
      </c>
      <c r="P208" s="123">
        <v>34849.814167743069</v>
      </c>
      <c r="Q208" s="120">
        <v>11909.457889725263</v>
      </c>
      <c r="R208" s="123">
        <v>43678.425764497704</v>
      </c>
      <c r="S208" s="123">
        <v>46759.272057468334</v>
      </c>
      <c r="U208" s="7" t="s">
        <v>6592</v>
      </c>
    </row>
    <row r="209" spans="1:21" ht="16.5" thickBot="1">
      <c r="A209" s="259" t="s">
        <v>10</v>
      </c>
      <c r="B209" s="263">
        <f t="shared" si="12"/>
        <v>90</v>
      </c>
      <c r="C209" s="263" t="s">
        <v>3</v>
      </c>
      <c r="D209" s="263">
        <f t="shared" si="13"/>
        <v>400</v>
      </c>
      <c r="E209" s="263" t="s">
        <v>3</v>
      </c>
      <c r="F209" s="261">
        <f t="shared" si="14"/>
        <v>800</v>
      </c>
      <c r="G209" s="263" t="s">
        <v>3</v>
      </c>
      <c r="H209" s="260">
        <v>4</v>
      </c>
      <c r="I209" s="262" t="s">
        <v>581</v>
      </c>
      <c r="J209" s="112">
        <v>90</v>
      </c>
      <c r="K209" s="75">
        <v>400</v>
      </c>
      <c r="L209" s="75">
        <v>800</v>
      </c>
      <c r="M209" s="202">
        <v>12.484981704906515</v>
      </c>
      <c r="N209" s="87">
        <v>2228.7938399999998</v>
      </c>
      <c r="O209" s="123">
        <v>33589.139635617423</v>
      </c>
      <c r="P209" s="123">
        <v>36802.638836420309</v>
      </c>
      <c r="Q209" s="120">
        <v>12511.84958672524</v>
      </c>
      <c r="R209" s="123">
        <v>46100.989222342665</v>
      </c>
      <c r="S209" s="123">
        <v>49314.488423145551</v>
      </c>
      <c r="U209" s="7" t="s">
        <v>6593</v>
      </c>
    </row>
    <row r="210" spans="1:21" ht="16.5" thickBot="1">
      <c r="A210" s="259" t="s">
        <v>10</v>
      </c>
      <c r="B210" s="263">
        <f t="shared" si="12"/>
        <v>90</v>
      </c>
      <c r="C210" s="263" t="s">
        <v>3</v>
      </c>
      <c r="D210" s="263">
        <f t="shared" si="13"/>
        <v>400</v>
      </c>
      <c r="E210" s="263" t="s">
        <v>3</v>
      </c>
      <c r="F210" s="261">
        <f t="shared" si="14"/>
        <v>850</v>
      </c>
      <c r="G210" s="263" t="s">
        <v>3</v>
      </c>
      <c r="H210" s="260">
        <v>4</v>
      </c>
      <c r="I210" s="262" t="s">
        <v>581</v>
      </c>
      <c r="J210" s="112">
        <v>90</v>
      </c>
      <c r="K210" s="75">
        <v>400</v>
      </c>
      <c r="L210" s="75">
        <v>850</v>
      </c>
      <c r="M210" s="202">
        <v>13.151290074252474</v>
      </c>
      <c r="N210" s="87">
        <v>2476.4375999999997</v>
      </c>
      <c r="O210" s="123">
        <v>35409.311277128043</v>
      </c>
      <c r="P210" s="123">
        <v>38755.463385763185</v>
      </c>
      <c r="Q210" s="120">
        <v>13344.823201901852</v>
      </c>
      <c r="R210" s="123">
        <v>48754.134479029897</v>
      </c>
      <c r="S210" s="123">
        <v>52100.286587665039</v>
      </c>
      <c r="U210" s="7" t="s">
        <v>6594</v>
      </c>
    </row>
    <row r="211" spans="1:21" ht="16.5" thickBot="1">
      <c r="A211" s="259" t="s">
        <v>10</v>
      </c>
      <c r="B211" s="263">
        <f t="shared" si="12"/>
        <v>90</v>
      </c>
      <c r="C211" s="263" t="s">
        <v>3</v>
      </c>
      <c r="D211" s="263">
        <f t="shared" si="13"/>
        <v>400</v>
      </c>
      <c r="E211" s="263" t="s">
        <v>3</v>
      </c>
      <c r="F211" s="261">
        <f t="shared" si="14"/>
        <v>900</v>
      </c>
      <c r="G211" s="263" t="s">
        <v>3</v>
      </c>
      <c r="H211" s="260">
        <v>4</v>
      </c>
      <c r="I211" s="262" t="s">
        <v>581</v>
      </c>
      <c r="J211" s="112">
        <v>90</v>
      </c>
      <c r="K211" s="75">
        <v>400</v>
      </c>
      <c r="L211" s="75">
        <v>900</v>
      </c>
      <c r="M211" s="202">
        <v>13.839606443598436</v>
      </c>
      <c r="N211" s="87">
        <v>2724.0813600000001</v>
      </c>
      <c r="O211" s="123">
        <v>37229.483037973019</v>
      </c>
      <c r="P211" s="123">
        <v>40708.288054440418</v>
      </c>
      <c r="Q211" s="120">
        <v>13947.21489890183</v>
      </c>
      <c r="R211" s="123">
        <v>51176.697936874851</v>
      </c>
      <c r="S211" s="123">
        <v>54655.502953342249</v>
      </c>
      <c r="U211" s="7" t="s">
        <v>6595</v>
      </c>
    </row>
    <row r="212" spans="1:21" ht="16.5" thickBot="1">
      <c r="A212" s="259" t="s">
        <v>10</v>
      </c>
      <c r="B212" s="263">
        <f t="shared" si="12"/>
        <v>90</v>
      </c>
      <c r="C212" s="263" t="s">
        <v>3</v>
      </c>
      <c r="D212" s="263">
        <f t="shared" si="13"/>
        <v>400</v>
      </c>
      <c r="E212" s="263" t="s">
        <v>3</v>
      </c>
      <c r="F212" s="261">
        <f t="shared" si="14"/>
        <v>950</v>
      </c>
      <c r="G212" s="263" t="s">
        <v>3</v>
      </c>
      <c r="H212" s="260">
        <v>4</v>
      </c>
      <c r="I212" s="262" t="s">
        <v>581</v>
      </c>
      <c r="J212" s="112">
        <v>90</v>
      </c>
      <c r="K212" s="75">
        <v>400</v>
      </c>
      <c r="L212" s="75">
        <v>950</v>
      </c>
      <c r="M212" s="202">
        <v>14.578364812944395</v>
      </c>
      <c r="N212" s="87">
        <v>2971.7251199999996</v>
      </c>
      <c r="O212" s="123">
        <v>39049.654679483647</v>
      </c>
      <c r="P212" s="123">
        <v>42661.112603783295</v>
      </c>
      <c r="Q212" s="120">
        <v>14780.188514078442</v>
      </c>
      <c r="R212" s="123">
        <v>53829.84319356209</v>
      </c>
      <c r="S212" s="123">
        <v>57441.301117861738</v>
      </c>
      <c r="U212" s="7" t="s">
        <v>6596</v>
      </c>
    </row>
    <row r="213" spans="1:21" ht="16.5" thickBot="1">
      <c r="A213" s="259" t="s">
        <v>10</v>
      </c>
      <c r="B213" s="263">
        <f t="shared" si="12"/>
        <v>90</v>
      </c>
      <c r="C213" s="263" t="s">
        <v>3</v>
      </c>
      <c r="D213" s="263">
        <f t="shared" si="13"/>
        <v>400</v>
      </c>
      <c r="E213" s="263" t="s">
        <v>3</v>
      </c>
      <c r="F213" s="261">
        <f t="shared" si="14"/>
        <v>1000</v>
      </c>
      <c r="G213" s="263" t="s">
        <v>3</v>
      </c>
      <c r="H213" s="260">
        <v>4</v>
      </c>
      <c r="I213" s="262" t="s">
        <v>581</v>
      </c>
      <c r="J213" s="112">
        <v>90</v>
      </c>
      <c r="K213" s="75">
        <v>400</v>
      </c>
      <c r="L213" s="75">
        <v>1000</v>
      </c>
      <c r="M213" s="202">
        <v>15.226781182290354</v>
      </c>
      <c r="N213" s="87">
        <v>3219.3688799999995</v>
      </c>
      <c r="O213" s="123">
        <v>40774.694402709312</v>
      </c>
      <c r="P213" s="123">
        <v>44524.865630218599</v>
      </c>
      <c r="Q213" s="120">
        <v>15382.580351471779</v>
      </c>
      <c r="R213" s="123">
        <v>56157.27475418109</v>
      </c>
      <c r="S213" s="123">
        <v>59907.445981690376</v>
      </c>
      <c r="U213" s="7" t="s">
        <v>6597</v>
      </c>
    </row>
    <row r="214" spans="1:21" ht="16.5" thickBot="1">
      <c r="A214" s="259" t="s">
        <v>10</v>
      </c>
      <c r="B214" s="263">
        <f t="shared" si="12"/>
        <v>90</v>
      </c>
      <c r="C214" s="263" t="s">
        <v>3</v>
      </c>
      <c r="D214" s="263">
        <f t="shared" si="13"/>
        <v>400</v>
      </c>
      <c r="E214" s="263" t="s">
        <v>3</v>
      </c>
      <c r="F214" s="261">
        <f t="shared" si="14"/>
        <v>1050</v>
      </c>
      <c r="G214" s="263" t="s">
        <v>3</v>
      </c>
      <c r="H214" s="260">
        <v>4</v>
      </c>
      <c r="I214" s="262" t="s">
        <v>581</v>
      </c>
      <c r="J214" s="112">
        <v>90</v>
      </c>
      <c r="K214" s="75">
        <v>400</v>
      </c>
      <c r="L214" s="75">
        <v>1050</v>
      </c>
      <c r="M214" s="202">
        <v>15.893089551636315</v>
      </c>
      <c r="N214" s="87">
        <v>3467.0126399999995</v>
      </c>
      <c r="O214" s="123">
        <v>42820.804767816946</v>
      </c>
      <c r="P214" s="123">
        <v>46689.235270218887</v>
      </c>
      <c r="Q214" s="120">
        <v>16215.553826255029</v>
      </c>
      <c r="R214" s="123">
        <v>59036.358594071979</v>
      </c>
      <c r="S214" s="123">
        <v>62904.78909647392</v>
      </c>
      <c r="U214" s="7" t="s">
        <v>6598</v>
      </c>
    </row>
    <row r="215" spans="1:21" ht="16.5" thickBot="1">
      <c r="A215" s="259" t="s">
        <v>10</v>
      </c>
      <c r="B215" s="260">
        <f t="shared" si="12"/>
        <v>90</v>
      </c>
      <c r="C215" s="260" t="s">
        <v>3</v>
      </c>
      <c r="D215" s="260">
        <f t="shared" si="13"/>
        <v>400</v>
      </c>
      <c r="E215" s="260" t="s">
        <v>3</v>
      </c>
      <c r="F215" s="261">
        <f t="shared" si="14"/>
        <v>1100</v>
      </c>
      <c r="G215" s="260" t="s">
        <v>3</v>
      </c>
      <c r="H215" s="260">
        <v>4</v>
      </c>
      <c r="I215" s="262" t="s">
        <v>581</v>
      </c>
      <c r="J215" s="112">
        <v>90</v>
      </c>
      <c r="K215" s="75">
        <v>400</v>
      </c>
      <c r="L215" s="75">
        <v>1100</v>
      </c>
      <c r="M215" s="202">
        <v>16.541505920982274</v>
      </c>
      <c r="N215" s="87">
        <v>3714.6563999999998</v>
      </c>
      <c r="O215" s="123">
        <v>44640.976409327573</v>
      </c>
      <c r="P215" s="123">
        <v>48642.05993889612</v>
      </c>
      <c r="Q215" s="120">
        <v>16817.945663648366</v>
      </c>
      <c r="R215" s="123">
        <v>61458.92207297594</v>
      </c>
      <c r="S215" s="123">
        <v>65460.005602544486</v>
      </c>
      <c r="U215" s="7" t="s">
        <v>6599</v>
      </c>
    </row>
    <row r="216" spans="1:21" ht="16.5" thickBot="1">
      <c r="A216" s="259" t="s">
        <v>10</v>
      </c>
      <c r="B216" s="263">
        <f t="shared" si="12"/>
        <v>90</v>
      </c>
      <c r="C216" s="263" t="s">
        <v>3</v>
      </c>
      <c r="D216" s="263">
        <f t="shared" si="13"/>
        <v>400</v>
      </c>
      <c r="E216" s="263" t="s">
        <v>3</v>
      </c>
      <c r="F216" s="261">
        <f t="shared" si="14"/>
        <v>1150</v>
      </c>
      <c r="G216" s="263" t="s">
        <v>3</v>
      </c>
      <c r="H216" s="260">
        <v>4</v>
      </c>
      <c r="I216" s="262" t="s">
        <v>581</v>
      </c>
      <c r="J216" s="112">
        <v>90</v>
      </c>
      <c r="K216" s="75">
        <v>400</v>
      </c>
      <c r="L216" s="75">
        <v>1150</v>
      </c>
      <c r="M216" s="202">
        <v>17.189922290328241</v>
      </c>
      <c r="N216" s="87">
        <v>3962.3001599999998</v>
      </c>
      <c r="O216" s="123">
        <v>45705.805598285093</v>
      </c>
      <c r="P216" s="123">
        <v>49887.661586915718</v>
      </c>
      <c r="Q216" s="120">
        <v>17420.33736064834</v>
      </c>
      <c r="R216" s="123">
        <v>63126.142958933429</v>
      </c>
      <c r="S216" s="123">
        <v>67307.998947564061</v>
      </c>
      <c r="U216" s="7" t="s">
        <v>6600</v>
      </c>
    </row>
    <row r="217" spans="1:21" ht="16.5" thickBot="1">
      <c r="A217" s="259" t="s">
        <v>10</v>
      </c>
      <c r="B217" s="263">
        <f t="shared" si="12"/>
        <v>90</v>
      </c>
      <c r="C217" s="263" t="s">
        <v>3</v>
      </c>
      <c r="D217" s="263">
        <f t="shared" si="13"/>
        <v>400</v>
      </c>
      <c r="E217" s="263" t="s">
        <v>3</v>
      </c>
      <c r="F217" s="261">
        <f t="shared" si="14"/>
        <v>1200</v>
      </c>
      <c r="G217" s="263" t="s">
        <v>3</v>
      </c>
      <c r="H217" s="260">
        <v>4</v>
      </c>
      <c r="I217" s="262" t="s">
        <v>581</v>
      </c>
      <c r="J217" s="112">
        <v>90</v>
      </c>
      <c r="K217" s="75">
        <v>400</v>
      </c>
      <c r="L217" s="75">
        <v>1200</v>
      </c>
      <c r="M217" s="202">
        <v>18.123455659674196</v>
      </c>
      <c r="N217" s="87">
        <v>4209.9439199999997</v>
      </c>
      <c r="O217" s="123">
        <v>46830.018905207631</v>
      </c>
      <c r="P217" s="123">
        <v>51188.864334413418</v>
      </c>
      <c r="Q217" s="120">
        <v>18253.310975824952</v>
      </c>
      <c r="R217" s="123">
        <v>65083.32988103258</v>
      </c>
      <c r="S217" s="123">
        <v>69442.175310238366</v>
      </c>
      <c r="U217" s="7" t="s">
        <v>6601</v>
      </c>
    </row>
    <row r="218" spans="1:21" ht="16.5" thickBot="1">
      <c r="A218" s="259" t="s">
        <v>10</v>
      </c>
      <c r="B218" s="263">
        <f t="shared" si="12"/>
        <v>90</v>
      </c>
      <c r="C218" s="263" t="s">
        <v>3</v>
      </c>
      <c r="D218" s="263">
        <f t="shared" si="13"/>
        <v>400</v>
      </c>
      <c r="E218" s="263" t="s">
        <v>3</v>
      </c>
      <c r="F218" s="261">
        <f t="shared" si="14"/>
        <v>1250</v>
      </c>
      <c r="G218" s="263" t="s">
        <v>3</v>
      </c>
      <c r="H218" s="260">
        <v>4</v>
      </c>
      <c r="I218" s="262" t="s">
        <v>581</v>
      </c>
      <c r="J218" s="112">
        <v>90</v>
      </c>
      <c r="K218" s="75">
        <v>400</v>
      </c>
      <c r="L218" s="75">
        <v>1250</v>
      </c>
      <c r="M218" s="202">
        <v>18.771872029020159</v>
      </c>
      <c r="N218" s="87">
        <v>4457.5876799999996</v>
      </c>
      <c r="O218" s="123">
        <v>47894.367176701911</v>
      </c>
      <c r="P218" s="123">
        <v>52434.015733899803</v>
      </c>
      <c r="Q218" s="120">
        <v>18855.702672824929</v>
      </c>
      <c r="R218" s="123">
        <v>66750.069849526844</v>
      </c>
      <c r="S218" s="123">
        <v>71289.718406724729</v>
      </c>
      <c r="U218" s="7" t="s">
        <v>6602</v>
      </c>
    </row>
    <row r="219" spans="1:21" ht="16.5" thickBot="1">
      <c r="A219" s="259" t="s">
        <v>10</v>
      </c>
      <c r="B219" s="263">
        <f t="shared" si="12"/>
        <v>90</v>
      </c>
      <c r="C219" s="263" t="s">
        <v>3</v>
      </c>
      <c r="D219" s="263">
        <f t="shared" si="13"/>
        <v>400</v>
      </c>
      <c r="E219" s="263" t="s">
        <v>3</v>
      </c>
      <c r="F219" s="261">
        <f t="shared" si="14"/>
        <v>1300</v>
      </c>
      <c r="G219" s="263" t="s">
        <v>3</v>
      </c>
      <c r="H219" s="260">
        <v>4</v>
      </c>
      <c r="I219" s="262" t="s">
        <v>581</v>
      </c>
      <c r="J219" s="112">
        <v>90</v>
      </c>
      <c r="K219" s="75">
        <v>400</v>
      </c>
      <c r="L219" s="75">
        <v>1300</v>
      </c>
      <c r="M219" s="202">
        <v>19.503280398366119</v>
      </c>
      <c r="N219" s="87">
        <v>4705.2314399999996</v>
      </c>
      <c r="O219" s="123">
        <v>51411.098800199878</v>
      </c>
      <c r="P219" s="123">
        <v>55975.319733748009</v>
      </c>
      <c r="Q219" s="120">
        <v>19688.676288001541</v>
      </c>
      <c r="R219" s="123">
        <v>71099.775088201422</v>
      </c>
      <c r="S219" s="123">
        <v>75663.996021749554</v>
      </c>
      <c r="U219" s="7" t="s">
        <v>6603</v>
      </c>
    </row>
    <row r="220" spans="1:21" ht="16.5" thickBot="1">
      <c r="A220" s="259" t="s">
        <v>10</v>
      </c>
      <c r="B220" s="263">
        <f t="shared" si="12"/>
        <v>90</v>
      </c>
      <c r="C220" s="263" t="s">
        <v>3</v>
      </c>
      <c r="D220" s="263">
        <f t="shared" si="13"/>
        <v>400</v>
      </c>
      <c r="E220" s="263" t="s">
        <v>3</v>
      </c>
      <c r="F220" s="261">
        <f t="shared" si="14"/>
        <v>1350</v>
      </c>
      <c r="G220" s="263" t="s">
        <v>3</v>
      </c>
      <c r="H220" s="260">
        <v>4</v>
      </c>
      <c r="I220" s="262" t="s">
        <v>581</v>
      </c>
      <c r="J220" s="112">
        <v>90</v>
      </c>
      <c r="K220" s="75">
        <v>400</v>
      </c>
      <c r="L220" s="75">
        <v>1350</v>
      </c>
      <c r="M220" s="202">
        <v>20.151696767712078</v>
      </c>
      <c r="N220" s="87">
        <v>4952.8751999999995</v>
      </c>
      <c r="O220" s="123">
        <v>52725.143356644126</v>
      </c>
      <c r="P220" s="123">
        <v>57454.260386915026</v>
      </c>
      <c r="Q220" s="120">
        <v>20291.067985001515</v>
      </c>
      <c r="R220" s="123">
        <v>73016.211341645641</v>
      </c>
      <c r="S220" s="123">
        <v>77745.328371916548</v>
      </c>
      <c r="U220" s="7" t="s">
        <v>6604</v>
      </c>
    </row>
    <row r="221" spans="1:21" ht="16.5" thickBot="1">
      <c r="A221" s="259" t="s">
        <v>10</v>
      </c>
      <c r="B221" s="263">
        <f t="shared" si="12"/>
        <v>90</v>
      </c>
      <c r="C221" s="263" t="s">
        <v>3</v>
      </c>
      <c r="D221" s="263">
        <f t="shared" si="13"/>
        <v>400</v>
      </c>
      <c r="E221" s="263" t="s">
        <v>3</v>
      </c>
      <c r="F221" s="261">
        <f t="shared" si="14"/>
        <v>1400</v>
      </c>
      <c r="G221" s="263" t="s">
        <v>3</v>
      </c>
      <c r="H221" s="260">
        <v>4</v>
      </c>
      <c r="I221" s="262" t="s">
        <v>581</v>
      </c>
      <c r="J221" s="112">
        <v>90</v>
      </c>
      <c r="K221" s="75">
        <v>400</v>
      </c>
      <c r="L221" s="75">
        <v>1400</v>
      </c>
      <c r="M221" s="202">
        <v>20.818005137058037</v>
      </c>
      <c r="N221" s="87">
        <v>5200.5189600000003</v>
      </c>
      <c r="O221" s="123">
        <v>54366.204508698276</v>
      </c>
      <c r="P221" s="123">
        <v>59239.384840122271</v>
      </c>
      <c r="Q221" s="120">
        <v>21124.04160017813</v>
      </c>
      <c r="R221" s="123">
        <v>75490.24610887641</v>
      </c>
      <c r="S221" s="123">
        <v>80363.426440300405</v>
      </c>
      <c r="U221" s="7" t="s">
        <v>6605</v>
      </c>
    </row>
    <row r="222" spans="1:21" ht="16.5" thickBot="1">
      <c r="A222" s="259" t="s">
        <v>10</v>
      </c>
      <c r="B222" s="263">
        <f t="shared" si="12"/>
        <v>90</v>
      </c>
      <c r="C222" s="263" t="s">
        <v>3</v>
      </c>
      <c r="D222" s="263">
        <f t="shared" si="13"/>
        <v>400</v>
      </c>
      <c r="E222" s="263" t="s">
        <v>3</v>
      </c>
      <c r="F222" s="261">
        <f t="shared" si="14"/>
        <v>1450</v>
      </c>
      <c r="G222" s="263" t="s">
        <v>3</v>
      </c>
      <c r="H222" s="260">
        <v>4</v>
      </c>
      <c r="I222" s="262" t="s">
        <v>581</v>
      </c>
      <c r="J222" s="112">
        <v>90</v>
      </c>
      <c r="K222" s="75">
        <v>400</v>
      </c>
      <c r="L222" s="75">
        <v>1450</v>
      </c>
      <c r="M222" s="202">
        <v>21.466421506404004</v>
      </c>
      <c r="N222" s="87">
        <v>5448.1627200000003</v>
      </c>
      <c r="O222" s="123">
        <v>55680.249065142525</v>
      </c>
      <c r="P222" s="123">
        <v>60718.325493289281</v>
      </c>
      <c r="Q222" s="120">
        <v>21726.433297178104</v>
      </c>
      <c r="R222" s="123">
        <v>77406.682362320629</v>
      </c>
      <c r="S222" s="123">
        <v>82444.758790467386</v>
      </c>
      <c r="U222" s="7" t="s">
        <v>6606</v>
      </c>
    </row>
    <row r="223" spans="1:21" ht="16.5" thickBot="1">
      <c r="A223" s="259" t="s">
        <v>10</v>
      </c>
      <c r="B223" s="263">
        <f t="shared" si="12"/>
        <v>90</v>
      </c>
      <c r="C223" s="263" t="s">
        <v>3</v>
      </c>
      <c r="D223" s="263">
        <f t="shared" si="13"/>
        <v>400</v>
      </c>
      <c r="E223" s="263" t="s">
        <v>3</v>
      </c>
      <c r="F223" s="261">
        <f t="shared" si="14"/>
        <v>1500</v>
      </c>
      <c r="G223" s="263" t="s">
        <v>3</v>
      </c>
      <c r="H223" s="260">
        <v>4</v>
      </c>
      <c r="I223" s="262" t="s">
        <v>581</v>
      </c>
      <c r="J223" s="112">
        <v>90</v>
      </c>
      <c r="K223" s="75">
        <v>400</v>
      </c>
      <c r="L223" s="75">
        <v>1500</v>
      </c>
      <c r="M223" s="202">
        <v>22.782434121989962</v>
      </c>
      <c r="N223" s="87">
        <v>5695.8064799999984</v>
      </c>
      <c r="O223" s="123">
        <v>57627.625523699564</v>
      </c>
      <c r="P223" s="123">
        <v>62964.250620319355</v>
      </c>
      <c r="Q223" s="120">
        <v>22559.406912354716</v>
      </c>
      <c r="R223" s="123">
        <v>80187.032436054287</v>
      </c>
      <c r="S223" s="123">
        <v>85523.657532674071</v>
      </c>
      <c r="U223" s="7" t="s">
        <v>6607</v>
      </c>
    </row>
    <row r="224" spans="1:21" ht="16.5" thickBot="1">
      <c r="A224" s="259" t="s">
        <v>10</v>
      </c>
      <c r="B224" s="263">
        <f t="shared" si="12"/>
        <v>90</v>
      </c>
      <c r="C224" s="263" t="s">
        <v>3</v>
      </c>
      <c r="D224" s="263">
        <f t="shared" si="13"/>
        <v>400</v>
      </c>
      <c r="E224" s="263" t="s">
        <v>3</v>
      </c>
      <c r="F224" s="261">
        <f t="shared" si="14"/>
        <v>1550</v>
      </c>
      <c r="G224" s="263" t="s">
        <v>3</v>
      </c>
      <c r="H224" s="260">
        <v>4</v>
      </c>
      <c r="I224" s="262" t="s">
        <v>581</v>
      </c>
      <c r="J224" s="112">
        <v>90</v>
      </c>
      <c r="K224" s="75">
        <v>400</v>
      </c>
      <c r="L224" s="75">
        <v>1550</v>
      </c>
      <c r="M224" s="202">
        <v>23.503300491335921</v>
      </c>
      <c r="N224" s="87">
        <v>5943.4502399999992</v>
      </c>
      <c r="O224" s="123">
        <v>58941.670080143813</v>
      </c>
      <c r="P224" s="123">
        <v>64443.191273486373</v>
      </c>
      <c r="Q224" s="120">
        <v>23161.79860935469</v>
      </c>
      <c r="R224" s="123">
        <v>82103.468689498506</v>
      </c>
      <c r="S224" s="123">
        <v>87604.989882841066</v>
      </c>
      <c r="U224" s="7" t="s">
        <v>6608</v>
      </c>
    </row>
    <row r="225" spans="1:21" ht="16.5" thickBot="1">
      <c r="A225" s="259" t="s">
        <v>10</v>
      </c>
      <c r="B225" s="260">
        <f t="shared" si="12"/>
        <v>90</v>
      </c>
      <c r="C225" s="260" t="s">
        <v>3</v>
      </c>
      <c r="D225" s="260">
        <f t="shared" si="13"/>
        <v>400</v>
      </c>
      <c r="E225" s="260" t="s">
        <v>3</v>
      </c>
      <c r="F225" s="261">
        <f t="shared" si="14"/>
        <v>1600</v>
      </c>
      <c r="G225" s="260" t="s">
        <v>3</v>
      </c>
      <c r="H225" s="260">
        <v>4</v>
      </c>
      <c r="I225" s="262" t="s">
        <v>581</v>
      </c>
      <c r="J225" s="112">
        <v>90</v>
      </c>
      <c r="K225" s="75">
        <v>400</v>
      </c>
      <c r="L225" s="75">
        <v>1600</v>
      </c>
      <c r="M225" s="202">
        <v>24.151716860681876</v>
      </c>
      <c r="N225" s="87">
        <v>6191.0939999999991</v>
      </c>
      <c r="O225" s="123">
        <v>62201.755982346389</v>
      </c>
      <c r="P225" s="123">
        <v>67744.199313777062</v>
      </c>
      <c r="Q225" s="120">
        <v>23764.190446748027</v>
      </c>
      <c r="R225" s="123">
        <v>85965.946429094416</v>
      </c>
      <c r="S225" s="123">
        <v>91508.389760525082</v>
      </c>
      <c r="U225" s="7" t="s">
        <v>6609</v>
      </c>
    </row>
    <row r="226" spans="1:21" ht="16.5" thickBot="1">
      <c r="A226" s="259" t="s">
        <v>10</v>
      </c>
      <c r="B226" s="263">
        <f t="shared" si="12"/>
        <v>90</v>
      </c>
      <c r="C226" s="263" t="s">
        <v>3</v>
      </c>
      <c r="D226" s="263">
        <f t="shared" si="13"/>
        <v>400</v>
      </c>
      <c r="E226" s="263" t="s">
        <v>3</v>
      </c>
      <c r="F226" s="261">
        <f t="shared" si="14"/>
        <v>1650</v>
      </c>
      <c r="G226" s="263" t="s">
        <v>3</v>
      </c>
      <c r="H226" s="260">
        <v>4</v>
      </c>
      <c r="I226" s="262" t="s">
        <v>581</v>
      </c>
      <c r="J226" s="112">
        <v>90</v>
      </c>
      <c r="K226" s="75">
        <v>400</v>
      </c>
      <c r="L226" s="75">
        <v>1650</v>
      </c>
      <c r="M226" s="202">
        <v>24.857925230027842</v>
      </c>
      <c r="N226" s="87">
        <v>6438.7377599999991</v>
      </c>
      <c r="O226" s="123">
        <v>65714.102068183274</v>
      </c>
      <c r="P226" s="123">
        <v>71281.397137696666</v>
      </c>
      <c r="Q226" s="120">
        <v>24597.164061924639</v>
      </c>
      <c r="R226" s="123">
        <v>90311.266130107921</v>
      </c>
      <c r="S226" s="123">
        <v>95878.561199621297</v>
      </c>
      <c r="U226" s="7" t="s">
        <v>6610</v>
      </c>
    </row>
    <row r="227" spans="1:21" ht="16.5" thickBot="1">
      <c r="A227" s="259" t="s">
        <v>10</v>
      </c>
      <c r="B227" s="263">
        <f t="shared" si="12"/>
        <v>90</v>
      </c>
      <c r="C227" s="263" t="s">
        <v>3</v>
      </c>
      <c r="D227" s="263">
        <f t="shared" si="13"/>
        <v>400</v>
      </c>
      <c r="E227" s="263" t="s">
        <v>3</v>
      </c>
      <c r="F227" s="261">
        <f t="shared" si="14"/>
        <v>1700</v>
      </c>
      <c r="G227" s="263" t="s">
        <v>3</v>
      </c>
      <c r="H227" s="260">
        <v>4</v>
      </c>
      <c r="I227" s="262" t="s">
        <v>581</v>
      </c>
      <c r="J227" s="112">
        <v>90</v>
      </c>
      <c r="K227" s="75">
        <v>400</v>
      </c>
      <c r="L227" s="75">
        <v>1700</v>
      </c>
      <c r="M227" s="202">
        <v>25.506341599373805</v>
      </c>
      <c r="N227" s="87">
        <v>6686.3815199999999</v>
      </c>
      <c r="O227" s="123">
        <v>66822.999287577899</v>
      </c>
      <c r="P227" s="123">
        <v>72568.25947537848</v>
      </c>
      <c r="Q227" s="120">
        <v>25199.55575892462</v>
      </c>
      <c r="R227" s="123">
        <v>92022.555046502515</v>
      </c>
      <c r="S227" s="123">
        <v>97767.815234303096</v>
      </c>
      <c r="U227" s="7" t="s">
        <v>6611</v>
      </c>
    </row>
    <row r="228" spans="1:21" ht="16.5" thickBot="1">
      <c r="A228" s="259" t="s">
        <v>10</v>
      </c>
      <c r="B228" s="263">
        <f t="shared" si="12"/>
        <v>90</v>
      </c>
      <c r="C228" s="263" t="s">
        <v>3</v>
      </c>
      <c r="D228" s="263">
        <f t="shared" si="13"/>
        <v>400</v>
      </c>
      <c r="E228" s="263" t="s">
        <v>3</v>
      </c>
      <c r="F228" s="261">
        <f t="shared" si="14"/>
        <v>1750</v>
      </c>
      <c r="G228" s="263" t="s">
        <v>3</v>
      </c>
      <c r="H228" s="260">
        <v>4</v>
      </c>
      <c r="I228" s="262" t="s">
        <v>581</v>
      </c>
      <c r="J228" s="112">
        <v>90</v>
      </c>
      <c r="K228" s="75">
        <v>400</v>
      </c>
      <c r="L228" s="75">
        <v>1750</v>
      </c>
      <c r="M228" s="202">
        <v>26.17264996871976</v>
      </c>
      <c r="N228" s="87">
        <v>6934.0252799999989</v>
      </c>
      <c r="O228" s="123">
        <v>67855.742689663268</v>
      </c>
      <c r="P228" s="123">
        <v>73783.819414746249</v>
      </c>
      <c r="Q228" s="120">
        <v>26032.529374101232</v>
      </c>
      <c r="R228" s="123">
        <v>93888.272063764496</v>
      </c>
      <c r="S228" s="123">
        <v>99816.348788847477</v>
      </c>
      <c r="U228" s="7" t="s">
        <v>6612</v>
      </c>
    </row>
    <row r="229" spans="1:21" ht="16.5" thickBot="1">
      <c r="A229" s="259" t="s">
        <v>10</v>
      </c>
      <c r="B229" s="263">
        <f t="shared" si="12"/>
        <v>90</v>
      </c>
      <c r="C229" s="263" t="s">
        <v>3</v>
      </c>
      <c r="D229" s="263">
        <f t="shared" si="13"/>
        <v>400</v>
      </c>
      <c r="E229" s="263" t="s">
        <v>3</v>
      </c>
      <c r="F229" s="261">
        <f t="shared" si="14"/>
        <v>1800</v>
      </c>
      <c r="G229" s="263" t="s">
        <v>3</v>
      </c>
      <c r="H229" s="260">
        <v>4</v>
      </c>
      <c r="I229" s="262" t="s">
        <v>581</v>
      </c>
      <c r="J229" s="112">
        <v>90</v>
      </c>
      <c r="K229" s="75">
        <v>400</v>
      </c>
      <c r="L229" s="75">
        <v>1800</v>
      </c>
      <c r="M229" s="202">
        <v>26.893516338065723</v>
      </c>
      <c r="N229" s="87">
        <v>7181.6690399999989</v>
      </c>
      <c r="O229" s="123">
        <v>68965.336463706291</v>
      </c>
      <c r="P229" s="123">
        <v>75071.333914695235</v>
      </c>
      <c r="Q229" s="120">
        <v>26634.921071101206</v>
      </c>
      <c r="R229" s="123">
        <v>95600.25753480749</v>
      </c>
      <c r="S229" s="123">
        <v>101706.25498579643</v>
      </c>
      <c r="U229" s="7" t="s">
        <v>6613</v>
      </c>
    </row>
    <row r="230" spans="1:21" ht="16.5" thickBot="1">
      <c r="A230" s="259" t="s">
        <v>10</v>
      </c>
      <c r="B230" s="263">
        <f t="shared" si="12"/>
        <v>90</v>
      </c>
      <c r="C230" s="263" t="s">
        <v>3</v>
      </c>
      <c r="D230" s="263">
        <f t="shared" si="13"/>
        <v>400</v>
      </c>
      <c r="E230" s="263" t="s">
        <v>3</v>
      </c>
      <c r="F230" s="261">
        <f t="shared" si="14"/>
        <v>1850</v>
      </c>
      <c r="G230" s="263" t="s">
        <v>3</v>
      </c>
      <c r="H230" s="260">
        <v>4</v>
      </c>
      <c r="I230" s="262" t="s">
        <v>581</v>
      </c>
      <c r="J230" s="112">
        <v>90</v>
      </c>
      <c r="K230" s="75">
        <v>400</v>
      </c>
      <c r="L230" s="75">
        <v>1850</v>
      </c>
      <c r="M230" s="202">
        <v>27.62492470741169</v>
      </c>
      <c r="N230" s="87">
        <v>7429.3127999999997</v>
      </c>
      <c r="O230" s="123">
        <v>70074.882026668623</v>
      </c>
      <c r="P230" s="123">
        <v>76358.803425591177</v>
      </c>
      <c r="Q230" s="120">
        <v>27467.894686277818</v>
      </c>
      <c r="R230" s="123">
        <v>97542.776712946448</v>
      </c>
      <c r="S230" s="123">
        <v>103826.69811186899</v>
      </c>
      <c r="U230" s="7" t="s">
        <v>6614</v>
      </c>
    </row>
    <row r="231" spans="1:21" ht="16.5" thickBot="1">
      <c r="A231" s="259" t="s">
        <v>10</v>
      </c>
      <c r="B231" s="263">
        <f t="shared" si="12"/>
        <v>90</v>
      </c>
      <c r="C231" s="263" t="s">
        <v>3</v>
      </c>
      <c r="D231" s="263">
        <f t="shared" si="13"/>
        <v>400</v>
      </c>
      <c r="E231" s="263" t="s">
        <v>3</v>
      </c>
      <c r="F231" s="261">
        <f t="shared" si="14"/>
        <v>1900</v>
      </c>
      <c r="G231" s="263" t="s">
        <v>3</v>
      </c>
      <c r="H231" s="260">
        <v>4</v>
      </c>
      <c r="I231" s="262" t="s">
        <v>581</v>
      </c>
      <c r="J231" s="112">
        <v>90</v>
      </c>
      <c r="K231" s="75">
        <v>400</v>
      </c>
      <c r="L231" s="75">
        <v>1900</v>
      </c>
      <c r="M231" s="202">
        <v>28.273341076757649</v>
      </c>
      <c r="N231" s="87">
        <v>7676.9565599999996</v>
      </c>
      <c r="O231" s="123">
        <v>71359.482023589109</v>
      </c>
      <c r="P231" s="123">
        <v>77810.175336009808</v>
      </c>
      <c r="Q231" s="120">
        <v>28070.286383277791</v>
      </c>
      <c r="R231" s="123">
        <v>99429.768406866904</v>
      </c>
      <c r="S231" s="123">
        <v>105880.4617192876</v>
      </c>
      <c r="U231" s="7" t="s">
        <v>6615</v>
      </c>
    </row>
    <row r="232" spans="1:21" ht="16.5" thickBot="1">
      <c r="A232" s="259" t="s">
        <v>10</v>
      </c>
      <c r="B232" s="263">
        <f t="shared" si="12"/>
        <v>90</v>
      </c>
      <c r="C232" s="263" t="s">
        <v>3</v>
      </c>
      <c r="D232" s="263">
        <f t="shared" si="13"/>
        <v>400</v>
      </c>
      <c r="E232" s="263" t="s">
        <v>3</v>
      </c>
      <c r="F232" s="261">
        <f t="shared" si="14"/>
        <v>1950</v>
      </c>
      <c r="G232" s="263" t="s">
        <v>3</v>
      </c>
      <c r="H232" s="260">
        <v>4</v>
      </c>
      <c r="I232" s="262" t="s">
        <v>581</v>
      </c>
      <c r="J232" s="112">
        <v>90</v>
      </c>
      <c r="K232" s="75">
        <v>400</v>
      </c>
      <c r="L232" s="75">
        <v>1950</v>
      </c>
      <c r="M232" s="202">
        <v>29.123882446103607</v>
      </c>
      <c r="N232" s="87">
        <v>7924.6003199999996</v>
      </c>
      <c r="O232" s="123">
        <v>72827.528404534169</v>
      </c>
      <c r="P232" s="123">
        <v>79433.306978093111</v>
      </c>
      <c r="Q232" s="120">
        <v>28672.678220671129</v>
      </c>
      <c r="R232" s="123">
        <v>101500.20662520529</v>
      </c>
      <c r="S232" s="123">
        <v>108105.98519876425</v>
      </c>
      <c r="U232" s="7" t="s">
        <v>6616</v>
      </c>
    </row>
    <row r="233" spans="1:21" ht="16.5" thickBot="1">
      <c r="A233" s="259" t="s">
        <v>10</v>
      </c>
      <c r="B233" s="263">
        <f t="shared" si="12"/>
        <v>90</v>
      </c>
      <c r="C233" s="263" t="s">
        <v>3</v>
      </c>
      <c r="D233" s="263">
        <f t="shared" si="13"/>
        <v>400</v>
      </c>
      <c r="E233" s="263" t="s">
        <v>3</v>
      </c>
      <c r="F233" s="261">
        <f t="shared" si="14"/>
        <v>2000</v>
      </c>
      <c r="G233" s="263" t="s">
        <v>3</v>
      </c>
      <c r="H233" s="260">
        <v>4</v>
      </c>
      <c r="I233" s="262" t="s">
        <v>581</v>
      </c>
      <c r="J233" s="112">
        <v>90</v>
      </c>
      <c r="K233" s="75">
        <v>400</v>
      </c>
      <c r="L233" s="75">
        <v>2000</v>
      </c>
      <c r="M233" s="202">
        <v>29.886331335449569</v>
      </c>
      <c r="N233" s="87">
        <v>8172.2440799999995</v>
      </c>
      <c r="O233" s="123">
        <v>74143.355935623156</v>
      </c>
      <c r="P233" s="123">
        <v>81104.174153441782</v>
      </c>
      <c r="Q233" s="120">
        <v>29505.651695454384</v>
      </c>
      <c r="R233" s="123">
        <v>103649.00763107755</v>
      </c>
      <c r="S233" s="123">
        <v>110609.82584889617</v>
      </c>
      <c r="U233" s="7" t="s">
        <v>6617</v>
      </c>
    </row>
    <row r="234" spans="1:21" ht="16.5" thickBot="1">
      <c r="A234" s="259" t="s">
        <v>10</v>
      </c>
      <c r="B234" s="263">
        <f t="shared" si="12"/>
        <v>90</v>
      </c>
      <c r="C234" s="263" t="s">
        <v>3</v>
      </c>
      <c r="D234" s="263">
        <f t="shared" si="13"/>
        <v>400</v>
      </c>
      <c r="E234" s="263" t="s">
        <v>3</v>
      </c>
      <c r="F234" s="261">
        <f t="shared" si="14"/>
        <v>2050</v>
      </c>
      <c r="G234" s="263" t="s">
        <v>3</v>
      </c>
      <c r="H234" s="260">
        <v>4</v>
      </c>
      <c r="I234" s="262" t="s">
        <v>581</v>
      </c>
      <c r="J234" s="112">
        <v>90</v>
      </c>
      <c r="K234" s="75">
        <v>400</v>
      </c>
      <c r="L234" s="75">
        <v>2050</v>
      </c>
      <c r="M234" s="202">
        <v>30.534747704795528</v>
      </c>
      <c r="N234" s="87">
        <v>8419.8878399999994</v>
      </c>
      <c r="O234" s="123">
        <v>77396.871884739172</v>
      </c>
      <c r="P234" s="123">
        <v>84399.030746239965</v>
      </c>
      <c r="Q234" s="120">
        <v>30108.043532847722</v>
      </c>
      <c r="R234" s="123">
        <v>107504.91541758689</v>
      </c>
      <c r="S234" s="123">
        <v>114507.07427908768</v>
      </c>
      <c r="U234" s="7" t="s">
        <v>6618</v>
      </c>
    </row>
    <row r="235" spans="1:21" ht="16.5" thickBot="1">
      <c r="A235" s="259" t="s">
        <v>10</v>
      </c>
      <c r="B235" s="260">
        <f t="shared" si="12"/>
        <v>90</v>
      </c>
      <c r="C235" s="260" t="s">
        <v>3</v>
      </c>
      <c r="D235" s="260">
        <f t="shared" si="13"/>
        <v>400</v>
      </c>
      <c r="E235" s="260" t="s">
        <v>3</v>
      </c>
      <c r="F235" s="261">
        <f t="shared" si="14"/>
        <v>2100</v>
      </c>
      <c r="G235" s="260" t="s">
        <v>3</v>
      </c>
      <c r="H235" s="260">
        <v>4</v>
      </c>
      <c r="I235" s="262" t="s">
        <v>581</v>
      </c>
      <c r="J235" s="112">
        <v>90</v>
      </c>
      <c r="K235" s="75">
        <v>400</v>
      </c>
      <c r="L235" s="75">
        <v>2100</v>
      </c>
      <c r="M235" s="202">
        <v>31.201056074141491</v>
      </c>
      <c r="N235" s="87">
        <v>8667.5315999999984</v>
      </c>
      <c r="O235" s="123">
        <v>78568.347325528404</v>
      </c>
      <c r="P235" s="123">
        <v>85744.484821748862</v>
      </c>
      <c r="Q235" s="120">
        <v>30941.01700763097</v>
      </c>
      <c r="R235" s="123">
        <v>109509.36433315938</v>
      </c>
      <c r="S235" s="123">
        <v>116685.50182937983</v>
      </c>
      <c r="U235" s="7" t="s">
        <v>6619</v>
      </c>
    </row>
    <row r="236" spans="1:21" ht="16.5" thickBot="1">
      <c r="A236" s="259" t="s">
        <v>10</v>
      </c>
      <c r="B236" s="263">
        <f t="shared" si="12"/>
        <v>90</v>
      </c>
      <c r="C236" s="263" t="s">
        <v>3</v>
      </c>
      <c r="D236" s="263">
        <f t="shared" si="13"/>
        <v>400</v>
      </c>
      <c r="E236" s="263" t="s">
        <v>3</v>
      </c>
      <c r="F236" s="261">
        <f t="shared" si="14"/>
        <v>2150</v>
      </c>
      <c r="G236" s="263" t="s">
        <v>3</v>
      </c>
      <c r="H236" s="260">
        <v>4</v>
      </c>
      <c r="I236" s="262" t="s">
        <v>581</v>
      </c>
      <c r="J236" s="112">
        <v>90</v>
      </c>
      <c r="K236" s="75">
        <v>400</v>
      </c>
      <c r="L236" s="75">
        <v>2150</v>
      </c>
      <c r="M236" s="202">
        <v>31.979672443487448</v>
      </c>
      <c r="N236" s="87">
        <v>8915.1753599999993</v>
      </c>
      <c r="O236" s="123">
        <v>79887.440202658778</v>
      </c>
      <c r="P236" s="123">
        <v>87228.152189506858</v>
      </c>
      <c r="Q236" s="120">
        <v>31543.408845024307</v>
      </c>
      <c r="R236" s="123">
        <v>111430.84904768309</v>
      </c>
      <c r="S236" s="123">
        <v>118771.56103453116</v>
      </c>
      <c r="U236" s="7" t="s">
        <v>6620</v>
      </c>
    </row>
    <row r="237" spans="1:21" ht="16.5" thickBot="1">
      <c r="A237" s="259" t="s">
        <v>10</v>
      </c>
      <c r="B237" s="263">
        <f t="shared" si="12"/>
        <v>90</v>
      </c>
      <c r="C237" s="263" t="s">
        <v>3</v>
      </c>
      <c r="D237" s="263">
        <f t="shared" si="13"/>
        <v>400</v>
      </c>
      <c r="E237" s="263" t="s">
        <v>3</v>
      </c>
      <c r="F237" s="261">
        <f t="shared" si="14"/>
        <v>2200</v>
      </c>
      <c r="G237" s="263" t="s">
        <v>3</v>
      </c>
      <c r="H237" s="260">
        <v>4</v>
      </c>
      <c r="I237" s="262" t="s">
        <v>581</v>
      </c>
      <c r="J237" s="112">
        <v>90</v>
      </c>
      <c r="K237" s="75">
        <v>400</v>
      </c>
      <c r="L237" s="75">
        <v>2200</v>
      </c>
      <c r="M237" s="202">
        <v>32.645980812833407</v>
      </c>
      <c r="N237" s="87">
        <v>9162.8191200000001</v>
      </c>
      <c r="O237" s="123">
        <v>81206.484988042823</v>
      </c>
      <c r="P237" s="123">
        <v>88711.774448877477</v>
      </c>
      <c r="Q237" s="120">
        <v>32376.382319807555</v>
      </c>
      <c r="R237" s="123">
        <v>113582.86730785038</v>
      </c>
      <c r="S237" s="123">
        <v>121088.15676868503</v>
      </c>
      <c r="U237" s="7" t="s">
        <v>6621</v>
      </c>
    </row>
    <row r="238" spans="1:21" ht="16.5" thickBot="1">
      <c r="A238" s="259" t="s">
        <v>10</v>
      </c>
      <c r="B238" s="263">
        <f t="shared" si="12"/>
        <v>90</v>
      </c>
      <c r="C238" s="263" t="s">
        <v>3</v>
      </c>
      <c r="D238" s="263">
        <f t="shared" si="13"/>
        <v>400</v>
      </c>
      <c r="E238" s="263" t="s">
        <v>3</v>
      </c>
      <c r="F238" s="261">
        <f t="shared" si="14"/>
        <v>2250</v>
      </c>
      <c r="G238" s="263" t="s">
        <v>3</v>
      </c>
      <c r="H238" s="260">
        <v>4</v>
      </c>
      <c r="I238" s="262" t="s">
        <v>581</v>
      </c>
      <c r="J238" s="112">
        <v>90</v>
      </c>
      <c r="K238" s="75">
        <v>400</v>
      </c>
      <c r="L238" s="75">
        <v>2250</v>
      </c>
      <c r="M238" s="202">
        <v>33.294397182179374</v>
      </c>
      <c r="N238" s="87">
        <v>9410.4628799999991</v>
      </c>
      <c r="O238" s="123">
        <v>82845.140717440241</v>
      </c>
      <c r="P238" s="123">
        <v>90494.64670474382</v>
      </c>
      <c r="Q238" s="120">
        <v>32978.774157200758</v>
      </c>
      <c r="R238" s="123">
        <v>115823.91487464099</v>
      </c>
      <c r="S238" s="123">
        <v>123473.42086194459</v>
      </c>
      <c r="U238" s="7" t="s">
        <v>6622</v>
      </c>
    </row>
    <row r="239" spans="1:21" ht="16.5" thickBot="1">
      <c r="A239" s="259" t="s">
        <v>10</v>
      </c>
      <c r="B239" s="263">
        <f t="shared" si="12"/>
        <v>90</v>
      </c>
      <c r="C239" s="263" t="s">
        <v>3</v>
      </c>
      <c r="D239" s="263">
        <f t="shared" si="13"/>
        <v>400</v>
      </c>
      <c r="E239" s="263" t="s">
        <v>3</v>
      </c>
      <c r="F239" s="261">
        <f t="shared" si="14"/>
        <v>2300</v>
      </c>
      <c r="G239" s="263" t="s">
        <v>3</v>
      </c>
      <c r="H239" s="260">
        <v>4</v>
      </c>
      <c r="I239" s="262" t="s">
        <v>581</v>
      </c>
      <c r="J239" s="112">
        <v>90</v>
      </c>
      <c r="K239" s="75">
        <v>400</v>
      </c>
      <c r="L239" s="75">
        <v>2300</v>
      </c>
      <c r="M239" s="202">
        <v>33.942813551525333</v>
      </c>
      <c r="N239" s="87">
        <v>9658.10664</v>
      </c>
      <c r="O239" s="123">
        <v>83921.280058857781</v>
      </c>
      <c r="P239" s="123">
        <v>91750.838083703435</v>
      </c>
      <c r="Q239" s="120">
        <v>33581.165854200874</v>
      </c>
      <c r="R239" s="123">
        <v>117502.44591305865</v>
      </c>
      <c r="S239" s="123">
        <v>125332.00393790432</v>
      </c>
      <c r="U239" s="7" t="s">
        <v>6623</v>
      </c>
    </row>
    <row r="240" spans="1:21" ht="16.5" thickBot="1">
      <c r="A240" s="259" t="s">
        <v>10</v>
      </c>
      <c r="B240" s="263">
        <f t="shared" si="12"/>
        <v>90</v>
      </c>
      <c r="C240" s="263" t="s">
        <v>3</v>
      </c>
      <c r="D240" s="263">
        <f t="shared" si="13"/>
        <v>400</v>
      </c>
      <c r="E240" s="263" t="s">
        <v>3</v>
      </c>
      <c r="F240" s="261">
        <f t="shared" si="14"/>
        <v>2350</v>
      </c>
      <c r="G240" s="263" t="s">
        <v>3</v>
      </c>
      <c r="H240" s="260">
        <v>4</v>
      </c>
      <c r="I240" s="262" t="s">
        <v>581</v>
      </c>
      <c r="J240" s="112">
        <v>90</v>
      </c>
      <c r="K240" s="75">
        <v>400</v>
      </c>
      <c r="L240" s="75">
        <v>2350</v>
      </c>
      <c r="M240" s="202">
        <v>34.609121920871289</v>
      </c>
      <c r="N240" s="87">
        <v>9905.750399999999</v>
      </c>
      <c r="O240" s="123">
        <v>84997.37118919463</v>
      </c>
      <c r="P240" s="123">
        <v>93006.984354275672</v>
      </c>
      <c r="Q240" s="120">
        <v>34414.139469377486</v>
      </c>
      <c r="R240" s="123">
        <v>119411.51065857211</v>
      </c>
      <c r="S240" s="123">
        <v>127421.12382365315</v>
      </c>
      <c r="U240" s="7" t="s">
        <v>6624</v>
      </c>
    </row>
    <row r="241" spans="1:21" ht="16.5" thickBot="1">
      <c r="A241" s="259" t="s">
        <v>10</v>
      </c>
      <c r="B241" s="263">
        <f t="shared" si="12"/>
        <v>90</v>
      </c>
      <c r="C241" s="263" t="s">
        <v>3</v>
      </c>
      <c r="D241" s="263">
        <f t="shared" si="13"/>
        <v>400</v>
      </c>
      <c r="E241" s="263" t="s">
        <v>3</v>
      </c>
      <c r="F241" s="261">
        <f t="shared" si="14"/>
        <v>2400</v>
      </c>
      <c r="G241" s="263" t="s">
        <v>3</v>
      </c>
      <c r="H241" s="260">
        <v>4</v>
      </c>
      <c r="I241" s="262" t="s">
        <v>581</v>
      </c>
      <c r="J241" s="112">
        <v>90</v>
      </c>
      <c r="K241" s="75">
        <v>400</v>
      </c>
      <c r="L241" s="75">
        <v>2400</v>
      </c>
      <c r="M241" s="202">
        <v>35.257538290217255</v>
      </c>
      <c r="N241" s="87">
        <v>10153.394159999998</v>
      </c>
      <c r="O241" s="123">
        <v>86073.414347119513</v>
      </c>
      <c r="P241" s="123">
        <v>94263.085635794894</v>
      </c>
      <c r="Q241" s="120">
        <v>35016.531306770819</v>
      </c>
      <c r="R241" s="123">
        <v>121089.94565389033</v>
      </c>
      <c r="S241" s="123">
        <v>129279.61694256571</v>
      </c>
      <c r="U241" s="7" t="s">
        <v>6625</v>
      </c>
    </row>
    <row r="242" spans="1:21" ht="16.5" thickBot="1">
      <c r="A242" s="259" t="s">
        <v>10</v>
      </c>
      <c r="B242" s="263">
        <f t="shared" si="12"/>
        <v>90</v>
      </c>
      <c r="C242" s="263" t="s">
        <v>3</v>
      </c>
      <c r="D242" s="263">
        <f t="shared" si="13"/>
        <v>400</v>
      </c>
      <c r="E242" s="263" t="s">
        <v>3</v>
      </c>
      <c r="F242" s="261">
        <f t="shared" si="14"/>
        <v>2450</v>
      </c>
      <c r="G242" s="263" t="s">
        <v>3</v>
      </c>
      <c r="H242" s="260">
        <v>4</v>
      </c>
      <c r="I242" s="262" t="s">
        <v>581</v>
      </c>
      <c r="J242" s="112">
        <v>90</v>
      </c>
      <c r="K242" s="75">
        <v>400</v>
      </c>
      <c r="L242" s="75">
        <v>2450</v>
      </c>
      <c r="M242" s="202">
        <v>36.693250905803211</v>
      </c>
      <c r="N242" s="87">
        <v>10401.037920000001</v>
      </c>
      <c r="O242" s="123">
        <v>87782.741076742153</v>
      </c>
      <c r="P242" s="123">
        <v>96286.126163455439</v>
      </c>
      <c r="Q242" s="120">
        <v>35849.504781554067</v>
      </c>
      <c r="R242" s="123">
        <v>123632.24585829623</v>
      </c>
      <c r="S242" s="123">
        <v>132135.6309450095</v>
      </c>
      <c r="U242" s="7" t="s">
        <v>6626</v>
      </c>
    </row>
    <row r="243" spans="1:21" ht="16.5" thickBot="1">
      <c r="A243" s="259" t="s">
        <v>10</v>
      </c>
      <c r="B243" s="263">
        <f t="shared" si="12"/>
        <v>90</v>
      </c>
      <c r="C243" s="263" t="s">
        <v>3</v>
      </c>
      <c r="D243" s="263">
        <f t="shared" si="13"/>
        <v>400</v>
      </c>
      <c r="E243" s="263" t="s">
        <v>3</v>
      </c>
      <c r="F243" s="261">
        <f t="shared" si="14"/>
        <v>2500</v>
      </c>
      <c r="G243" s="263" t="s">
        <v>3</v>
      </c>
      <c r="H243" s="260">
        <v>4</v>
      </c>
      <c r="I243" s="262" t="s">
        <v>581</v>
      </c>
      <c r="J243" s="112">
        <v>90</v>
      </c>
      <c r="K243" s="75">
        <v>400</v>
      </c>
      <c r="L243" s="75">
        <v>2500</v>
      </c>
      <c r="M243" s="202">
        <v>37.35951727514918</v>
      </c>
      <c r="N243" s="87">
        <v>10648.681679999998</v>
      </c>
      <c r="O243" s="123">
        <v>88858.687931840017</v>
      </c>
      <c r="P243" s="123">
        <v>97542.13734753427</v>
      </c>
      <c r="Q243" s="120">
        <v>36451.896618947409</v>
      </c>
      <c r="R243" s="123">
        <v>125310.58455078743</v>
      </c>
      <c r="S243" s="123">
        <v>133994.03396648169</v>
      </c>
      <c r="U243" s="7" t="s">
        <v>6627</v>
      </c>
    </row>
    <row r="244" spans="1:21" ht="16.5" thickBot="1">
      <c r="A244" s="259" t="s">
        <v>10</v>
      </c>
      <c r="B244" s="263">
        <f t="shared" si="12"/>
        <v>90</v>
      </c>
      <c r="C244" s="263" t="s">
        <v>3</v>
      </c>
      <c r="D244" s="263">
        <f t="shared" si="13"/>
        <v>400</v>
      </c>
      <c r="E244" s="263" t="s">
        <v>3</v>
      </c>
      <c r="F244" s="261">
        <f t="shared" si="14"/>
        <v>2550</v>
      </c>
      <c r="G244" s="263" t="s">
        <v>3</v>
      </c>
      <c r="H244" s="260">
        <v>4</v>
      </c>
      <c r="I244" s="262" t="s">
        <v>581</v>
      </c>
      <c r="J244" s="112">
        <v>90</v>
      </c>
      <c r="K244" s="75">
        <v>400</v>
      </c>
      <c r="L244" s="75">
        <v>2550</v>
      </c>
      <c r="M244" s="202">
        <v>38.025825644495129</v>
      </c>
      <c r="N244" s="87">
        <v>10896.325440000001</v>
      </c>
      <c r="O244" s="123">
        <v>93228.922632185247</v>
      </c>
      <c r="P244" s="123">
        <v>101882.57127529674</v>
      </c>
      <c r="Q244" s="120">
        <v>37284.870093730657</v>
      </c>
      <c r="R244" s="123">
        <v>130513.7927259159</v>
      </c>
      <c r="S244" s="123">
        <v>139167.44136902739</v>
      </c>
      <c r="U244" s="7" t="s">
        <v>6628</v>
      </c>
    </row>
    <row r="245" spans="1:21" ht="16.5" thickBot="1">
      <c r="A245" s="259" t="s">
        <v>10</v>
      </c>
      <c r="B245" s="260">
        <f t="shared" si="12"/>
        <v>90</v>
      </c>
      <c r="C245" s="260" t="s">
        <v>3</v>
      </c>
      <c r="D245" s="260">
        <f t="shared" si="13"/>
        <v>400</v>
      </c>
      <c r="E245" s="260" t="s">
        <v>3</v>
      </c>
      <c r="F245" s="261">
        <f t="shared" si="14"/>
        <v>2600</v>
      </c>
      <c r="G245" s="260" t="s">
        <v>3</v>
      </c>
      <c r="H245" s="260">
        <v>4</v>
      </c>
      <c r="I245" s="262" t="s">
        <v>581</v>
      </c>
      <c r="J245" s="112">
        <v>90</v>
      </c>
      <c r="K245" s="75">
        <v>400</v>
      </c>
      <c r="L245" s="75">
        <v>2600</v>
      </c>
      <c r="M245" s="202">
        <v>38.674242013841095</v>
      </c>
      <c r="N245" s="87">
        <v>11143.9692</v>
      </c>
      <c r="O245" s="123">
        <v>94575.376848949585</v>
      </c>
      <c r="P245" s="123">
        <v>103391.85698505392</v>
      </c>
      <c r="Q245" s="120">
        <v>37887.261931123991</v>
      </c>
      <c r="R245" s="123">
        <v>132462.63878007358</v>
      </c>
      <c r="S245" s="123">
        <v>141279.11891617792</v>
      </c>
      <c r="U245" s="7" t="s">
        <v>6629</v>
      </c>
    </row>
    <row r="246" spans="1:21" ht="16.5" thickBot="1">
      <c r="A246" s="259" t="s">
        <v>10</v>
      </c>
      <c r="B246" s="263">
        <f t="shared" si="12"/>
        <v>90</v>
      </c>
      <c r="C246" s="263" t="s">
        <v>3</v>
      </c>
      <c r="D246" s="263">
        <f t="shared" si="13"/>
        <v>400</v>
      </c>
      <c r="E246" s="263" t="s">
        <v>3</v>
      </c>
      <c r="F246" s="261">
        <f t="shared" si="14"/>
        <v>2650</v>
      </c>
      <c r="G246" s="263" t="s">
        <v>3</v>
      </c>
      <c r="H246" s="260">
        <v>4</v>
      </c>
      <c r="I246" s="262" t="s">
        <v>581</v>
      </c>
      <c r="J246" s="112">
        <v>90</v>
      </c>
      <c r="K246" s="75">
        <v>400</v>
      </c>
      <c r="L246" s="75">
        <v>2650</v>
      </c>
      <c r="M246" s="202">
        <v>39.452900383187057</v>
      </c>
      <c r="N246" s="87">
        <v>11391.612959999997</v>
      </c>
      <c r="O246" s="123">
        <v>95491.211244404505</v>
      </c>
      <c r="P246" s="123">
        <v>104497.95569441617</v>
      </c>
      <c r="Q246" s="120">
        <v>38720.235405907246</v>
      </c>
      <c r="R246" s="123">
        <v>134211.44665031176</v>
      </c>
      <c r="S246" s="123">
        <v>143218.19110032343</v>
      </c>
      <c r="U246" s="7" t="s">
        <v>6630</v>
      </c>
    </row>
    <row r="247" spans="1:21" ht="16.5" thickBot="1">
      <c r="A247" s="259" t="s">
        <v>10</v>
      </c>
      <c r="B247" s="263">
        <f t="shared" si="12"/>
        <v>90</v>
      </c>
      <c r="C247" s="263" t="s">
        <v>3</v>
      </c>
      <c r="D247" s="263">
        <f t="shared" si="13"/>
        <v>400</v>
      </c>
      <c r="E247" s="263" t="s">
        <v>3</v>
      </c>
      <c r="F247" s="261">
        <f t="shared" si="14"/>
        <v>2700</v>
      </c>
      <c r="G247" s="263" t="s">
        <v>3</v>
      </c>
      <c r="H247" s="260">
        <v>4</v>
      </c>
      <c r="I247" s="262" t="s">
        <v>581</v>
      </c>
      <c r="J247" s="112">
        <v>90</v>
      </c>
      <c r="K247" s="75">
        <v>400</v>
      </c>
      <c r="L247" s="75">
        <v>2700</v>
      </c>
      <c r="M247" s="202">
        <v>40.183741752533017</v>
      </c>
      <c r="N247" s="87">
        <v>11639.256719999999</v>
      </c>
      <c r="O247" s="123">
        <v>96466.622124809728</v>
      </c>
      <c r="P247" s="123">
        <v>105659.83557880294</v>
      </c>
      <c r="Q247" s="120">
        <v>39322.627243300587</v>
      </c>
      <c r="R247" s="123">
        <v>135789.24936811032</v>
      </c>
      <c r="S247" s="123">
        <v>144982.46282210352</v>
      </c>
      <c r="U247" s="7" t="s">
        <v>6631</v>
      </c>
    </row>
    <row r="248" spans="1:21" ht="16.5" thickBot="1">
      <c r="A248" s="259" t="s">
        <v>10</v>
      </c>
      <c r="B248" s="263">
        <f t="shared" si="12"/>
        <v>90</v>
      </c>
      <c r="C248" s="263" t="s">
        <v>3</v>
      </c>
      <c r="D248" s="263">
        <f t="shared" si="13"/>
        <v>400</v>
      </c>
      <c r="E248" s="263" t="s">
        <v>3</v>
      </c>
      <c r="F248" s="261">
        <f t="shared" si="14"/>
        <v>2750</v>
      </c>
      <c r="G248" s="263" t="s">
        <v>3</v>
      </c>
      <c r="H248" s="260">
        <v>4</v>
      </c>
      <c r="I248" s="262" t="s">
        <v>581</v>
      </c>
      <c r="J248" s="112">
        <v>90</v>
      </c>
      <c r="K248" s="75">
        <v>400</v>
      </c>
      <c r="L248" s="75">
        <v>2750</v>
      </c>
      <c r="M248" s="202">
        <v>40.832158121878976</v>
      </c>
      <c r="N248" s="87">
        <v>11886.900479999998</v>
      </c>
      <c r="O248" s="123">
        <v>97464.114515508059</v>
      </c>
      <c r="P248" s="123">
        <v>106842.39026006921</v>
      </c>
      <c r="Q248" s="120">
        <v>39925.018940300557</v>
      </c>
      <c r="R248" s="123">
        <v>137389.13345580862</v>
      </c>
      <c r="S248" s="123">
        <v>146767.40920036976</v>
      </c>
      <c r="U248" s="7" t="s">
        <v>6632</v>
      </c>
    </row>
    <row r="249" spans="1:21" ht="16.5" thickBot="1">
      <c r="A249" s="259" t="s">
        <v>10</v>
      </c>
      <c r="B249" s="263">
        <f t="shared" si="12"/>
        <v>90</v>
      </c>
      <c r="C249" s="263" t="s">
        <v>3</v>
      </c>
      <c r="D249" s="263">
        <f t="shared" si="13"/>
        <v>400</v>
      </c>
      <c r="E249" s="263" t="s">
        <v>3</v>
      </c>
      <c r="F249" s="261">
        <f t="shared" si="14"/>
        <v>2800</v>
      </c>
      <c r="G249" s="263" t="s">
        <v>3</v>
      </c>
      <c r="H249" s="260">
        <v>4</v>
      </c>
      <c r="I249" s="262" t="s">
        <v>581</v>
      </c>
      <c r="J249" s="112">
        <v>90</v>
      </c>
      <c r="K249" s="75">
        <v>400</v>
      </c>
      <c r="L249" s="75">
        <v>2800</v>
      </c>
      <c r="M249" s="202">
        <v>41.498466491224939</v>
      </c>
      <c r="N249" s="87">
        <v>12134.544239999999</v>
      </c>
      <c r="O249" s="123">
        <v>98378.714516362539</v>
      </c>
      <c r="P249" s="123">
        <v>107947.33321617302</v>
      </c>
      <c r="Q249" s="120">
        <v>40757.992555477169</v>
      </c>
      <c r="R249" s="123">
        <v>139136.70707183972</v>
      </c>
      <c r="S249" s="123">
        <v>148705.32577165018</v>
      </c>
      <c r="U249" s="7" t="s">
        <v>6633</v>
      </c>
    </row>
    <row r="250" spans="1:21" ht="16.5" thickBot="1">
      <c r="A250" s="259" t="s">
        <v>10</v>
      </c>
      <c r="B250" s="263">
        <f t="shared" si="12"/>
        <v>90</v>
      </c>
      <c r="C250" s="263" t="s">
        <v>3</v>
      </c>
      <c r="D250" s="263">
        <f t="shared" si="13"/>
        <v>400</v>
      </c>
      <c r="E250" s="263" t="s">
        <v>3</v>
      </c>
      <c r="F250" s="261">
        <f t="shared" si="14"/>
        <v>2850</v>
      </c>
      <c r="G250" s="263" t="s">
        <v>3</v>
      </c>
      <c r="H250" s="260">
        <v>4</v>
      </c>
      <c r="I250" s="262" t="s">
        <v>581</v>
      </c>
      <c r="J250" s="112">
        <v>90</v>
      </c>
      <c r="K250" s="75">
        <v>400</v>
      </c>
      <c r="L250" s="75">
        <v>2850</v>
      </c>
      <c r="M250" s="202">
        <v>42.146882860570891</v>
      </c>
      <c r="N250" s="87">
        <v>12382.187999999998</v>
      </c>
      <c r="O250" s="123">
        <v>99293.266425470661</v>
      </c>
      <c r="P250" s="123">
        <v>109052.23130255818</v>
      </c>
      <c r="Q250" s="120">
        <v>41360.384252477146</v>
      </c>
      <c r="R250" s="123">
        <v>140653.65067794779</v>
      </c>
      <c r="S250" s="123">
        <v>150412.61555503533</v>
      </c>
      <c r="U250" s="7" t="s">
        <v>6634</v>
      </c>
    </row>
    <row r="251" spans="1:21" ht="16.5" thickBot="1">
      <c r="A251" s="259" t="s">
        <v>10</v>
      </c>
      <c r="B251" s="263">
        <f t="shared" si="12"/>
        <v>90</v>
      </c>
      <c r="C251" s="263" t="s">
        <v>3</v>
      </c>
      <c r="D251" s="263">
        <f t="shared" si="13"/>
        <v>400</v>
      </c>
      <c r="E251" s="263" t="s">
        <v>3</v>
      </c>
      <c r="F251" s="261">
        <f t="shared" si="14"/>
        <v>2900</v>
      </c>
      <c r="G251" s="263" t="s">
        <v>3</v>
      </c>
      <c r="H251" s="260">
        <v>4</v>
      </c>
      <c r="I251" s="262" t="s">
        <v>581</v>
      </c>
      <c r="J251" s="112">
        <v>90</v>
      </c>
      <c r="K251" s="75">
        <v>400</v>
      </c>
      <c r="L251" s="75">
        <v>2900</v>
      </c>
      <c r="M251" s="202">
        <v>42.997991229916856</v>
      </c>
      <c r="N251" s="87">
        <v>12629.831759999999</v>
      </c>
      <c r="O251" s="123">
        <v>100207.77036216683</v>
      </c>
      <c r="P251" s="123">
        <v>110157.08428055595</v>
      </c>
      <c r="Q251" s="120">
        <v>42193.357867653758</v>
      </c>
      <c r="R251" s="123">
        <v>142401.12822982058</v>
      </c>
      <c r="S251" s="123">
        <v>152350.44214820972</v>
      </c>
      <c r="U251" s="7" t="s">
        <v>6635</v>
      </c>
    </row>
    <row r="252" spans="1:21" ht="16.5" thickBot="1">
      <c r="A252" s="259" t="s">
        <v>10</v>
      </c>
      <c r="B252" s="263">
        <f t="shared" si="12"/>
        <v>90</v>
      </c>
      <c r="C252" s="263" t="s">
        <v>3</v>
      </c>
      <c r="D252" s="263">
        <f t="shared" si="13"/>
        <v>400</v>
      </c>
      <c r="E252" s="263" t="s">
        <v>3</v>
      </c>
      <c r="F252" s="261">
        <f t="shared" si="14"/>
        <v>2950</v>
      </c>
      <c r="G252" s="263" t="s">
        <v>3</v>
      </c>
      <c r="H252" s="260">
        <v>4</v>
      </c>
      <c r="I252" s="262" t="s">
        <v>581</v>
      </c>
      <c r="J252" s="112">
        <v>90</v>
      </c>
      <c r="K252" s="75">
        <v>400</v>
      </c>
      <c r="L252" s="75">
        <v>2950</v>
      </c>
      <c r="M252" s="202">
        <v>43.646407599262822</v>
      </c>
      <c r="N252" s="87">
        <v>12877.475519999998</v>
      </c>
      <c r="O252" s="123">
        <v>101122.22608778231</v>
      </c>
      <c r="P252" s="123">
        <v>111261.89215016636</v>
      </c>
      <c r="Q252" s="120">
        <v>42795.749564653735</v>
      </c>
      <c r="R252" s="123">
        <v>143917.97565243606</v>
      </c>
      <c r="S252" s="123">
        <v>154057.64171482009</v>
      </c>
      <c r="U252" s="7" t="s">
        <v>6636</v>
      </c>
    </row>
    <row r="253" spans="1:21" ht="16.5" thickBot="1">
      <c r="A253" s="259" t="s">
        <v>10</v>
      </c>
      <c r="B253" s="263">
        <f t="shared" si="12"/>
        <v>90</v>
      </c>
      <c r="C253" s="263" t="s">
        <v>3</v>
      </c>
      <c r="D253" s="263">
        <f t="shared" si="13"/>
        <v>400</v>
      </c>
      <c r="E253" s="263" t="s">
        <v>3</v>
      </c>
      <c r="F253" s="261">
        <f t="shared" si="14"/>
        <v>3000</v>
      </c>
      <c r="G253" s="263" t="s">
        <v>3</v>
      </c>
      <c r="H253" s="260">
        <v>4</v>
      </c>
      <c r="I253" s="262" t="s">
        <v>581</v>
      </c>
      <c r="J253" s="146">
        <v>90</v>
      </c>
      <c r="K253" s="147">
        <v>400</v>
      </c>
      <c r="L253" s="147">
        <v>3000</v>
      </c>
      <c r="M253" s="192">
        <v>44.377815968608779</v>
      </c>
      <c r="N253" s="148">
        <v>13125.119279999999</v>
      </c>
      <c r="O253" s="149">
        <v>103753.470520434</v>
      </c>
      <c r="P253" s="149">
        <v>113974.11950359754</v>
      </c>
      <c r="Q253" s="159">
        <v>43628.723179830347</v>
      </c>
      <c r="R253" s="149">
        <v>147382.19370026435</v>
      </c>
      <c r="S253" s="149">
        <v>157602.84268342788</v>
      </c>
      <c r="U253" s="7" t="s">
        <v>6637</v>
      </c>
    </row>
  </sheetData>
  <mergeCells count="21">
    <mergeCell ref="A10:S10"/>
    <mergeCell ref="A7:S7"/>
    <mergeCell ref="A8:S8"/>
    <mergeCell ref="A9:S9"/>
    <mergeCell ref="A205:S205"/>
    <mergeCell ref="A206:S206"/>
    <mergeCell ref="A58:S58"/>
    <mergeCell ref="A59:S59"/>
    <mergeCell ref="A107:S107"/>
    <mergeCell ref="A108:S108"/>
    <mergeCell ref="A156:S156"/>
    <mergeCell ref="A157:S157"/>
    <mergeCell ref="Q4:Q5"/>
    <mergeCell ref="R4:R5"/>
    <mergeCell ref="S4:S5"/>
    <mergeCell ref="O6:S6"/>
    <mergeCell ref="A4:I6"/>
    <mergeCell ref="J4:M5"/>
    <mergeCell ref="N4:N6"/>
    <mergeCell ref="O4:O5"/>
    <mergeCell ref="P4:P5"/>
  </mergeCells>
  <hyperlinks>
    <hyperlink ref="A1:I1" location="Главная!A1" display="Вернуться на главную страницу" xr:uid="{00000000-0004-0000-0B00-000000000000}"/>
    <hyperlink ref="A2" location="'Калькулятор теплоотдач ВКВ'!R1C1" display="Вернуться Калькулятор теплоотдач ВКВ" xr:uid="{00000000-0004-0000-0B00-000001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15">
    <tabColor rgb="FF3366FF"/>
  </sheetPr>
  <dimension ref="A1:U253"/>
  <sheetViews>
    <sheetView zoomScale="85" zoomScaleNormal="85" workbookViewId="0">
      <pane ySplit="6" topLeftCell="A202" activePane="bottomLeft" state="frozen"/>
      <selection pane="bottomLeft" activeCell="A137" sqref="A137:R137"/>
    </sheetView>
  </sheetViews>
  <sheetFormatPr defaultRowHeight="15.75"/>
  <cols>
    <col min="1" max="1" width="5.5703125" style="7" customWidth="1"/>
    <col min="2" max="2" width="6" style="7" customWidth="1"/>
    <col min="3" max="3" width="3" style="7" customWidth="1"/>
    <col min="4" max="4" width="6" style="7" customWidth="1"/>
    <col min="5" max="5" width="3" style="7" customWidth="1"/>
    <col min="6" max="6" width="7.7109375" style="96" customWidth="1"/>
    <col min="7" max="7" width="3" style="7" customWidth="1"/>
    <col min="8" max="8" width="6" style="7" customWidth="1"/>
    <col min="9" max="9" width="8.140625" style="7" customWidth="1"/>
    <col min="10" max="10" width="11.28515625" style="7" customWidth="1"/>
    <col min="11" max="12" width="11.28515625" style="96" customWidth="1"/>
    <col min="13" max="13" width="15.5703125" style="9" customWidth="1"/>
    <col min="14" max="14" width="19.140625" style="7" customWidth="1"/>
    <col min="15" max="16" width="27.7109375" style="251" customWidth="1"/>
    <col min="17" max="17" width="26.28515625" style="118" customWidth="1"/>
    <col min="18" max="19" width="27.7109375" style="251" customWidth="1"/>
    <col min="20" max="20" width="9.140625" style="7"/>
    <col min="21" max="21" width="29" style="7" customWidth="1"/>
    <col min="22" max="16384" width="9.140625" style="7"/>
  </cols>
  <sheetData>
    <row r="1" spans="1:21" ht="16.5" customHeight="1">
      <c r="A1" s="1217" t="s">
        <v>9</v>
      </c>
      <c r="B1" s="1217"/>
      <c r="C1" s="1217"/>
      <c r="D1" s="1217"/>
      <c r="E1" s="1217"/>
      <c r="F1" s="97"/>
      <c r="G1" s="1217"/>
      <c r="H1" s="1217"/>
      <c r="I1" s="1217"/>
      <c r="M1" s="176"/>
      <c r="O1" s="118"/>
      <c r="P1" s="118"/>
      <c r="R1" s="118"/>
      <c r="S1" s="118"/>
    </row>
    <row r="2" spans="1:21" s="74" customFormat="1" ht="16.5" customHeight="1">
      <c r="A2" s="956" t="s">
        <v>377</v>
      </c>
      <c r="B2" s="1217"/>
      <c r="C2" s="1217"/>
      <c r="D2" s="1217"/>
      <c r="E2" s="1217"/>
      <c r="F2" s="97"/>
      <c r="G2" s="1217"/>
      <c r="H2" s="1217"/>
      <c r="I2" s="1217"/>
      <c r="J2" s="7"/>
      <c r="K2" s="96"/>
      <c r="L2" s="96"/>
      <c r="M2" s="175"/>
      <c r="N2" s="7"/>
      <c r="O2" s="117"/>
      <c r="P2" s="117"/>
      <c r="Q2" s="117"/>
      <c r="R2" s="117"/>
      <c r="S2" s="117"/>
    </row>
    <row r="3" spans="1:21" ht="13.5" customHeight="1" thickBot="1">
      <c r="A3" s="16"/>
      <c r="B3" s="16"/>
      <c r="C3" s="16"/>
      <c r="D3" s="16"/>
      <c r="E3" s="16"/>
      <c r="F3" s="109"/>
      <c r="G3" s="16"/>
      <c r="H3" s="16"/>
      <c r="I3" s="1251"/>
      <c r="J3" s="16"/>
      <c r="K3" s="108"/>
      <c r="L3" s="108"/>
      <c r="M3" s="175"/>
      <c r="O3" s="116"/>
      <c r="P3" s="116"/>
      <c r="Q3" s="117"/>
      <c r="R3" s="117"/>
      <c r="S3" s="117"/>
    </row>
    <row r="4" spans="1:21" s="74" customFormat="1" ht="69" customHeight="1">
      <c r="A4" s="2598" t="s">
        <v>8</v>
      </c>
      <c r="B4" s="2599"/>
      <c r="C4" s="2599"/>
      <c r="D4" s="2599"/>
      <c r="E4" s="2599"/>
      <c r="F4" s="2599"/>
      <c r="G4" s="2599"/>
      <c r="H4" s="2599"/>
      <c r="I4" s="2600"/>
      <c r="J4" s="2607" t="s">
        <v>97</v>
      </c>
      <c r="K4" s="2608"/>
      <c r="L4" s="2608"/>
      <c r="M4" s="2609"/>
      <c r="N4" s="2613" t="s">
        <v>96</v>
      </c>
      <c r="O4" s="2586" t="s">
        <v>173</v>
      </c>
      <c r="P4" s="2619" t="s">
        <v>174</v>
      </c>
      <c r="Q4" s="2586" t="s">
        <v>71</v>
      </c>
      <c r="R4" s="2588" t="s">
        <v>5817</v>
      </c>
      <c r="S4" s="2590" t="s">
        <v>5818</v>
      </c>
    </row>
    <row r="5" spans="1:21" s="74" customFormat="1" ht="72" customHeight="1" thickBot="1">
      <c r="A5" s="2601"/>
      <c r="B5" s="2602"/>
      <c r="C5" s="2602"/>
      <c r="D5" s="2602"/>
      <c r="E5" s="2602"/>
      <c r="F5" s="2602"/>
      <c r="G5" s="2602"/>
      <c r="H5" s="2602"/>
      <c r="I5" s="2603"/>
      <c r="J5" s="2610"/>
      <c r="K5" s="2611"/>
      <c r="L5" s="2611"/>
      <c r="M5" s="2612"/>
      <c r="N5" s="2614"/>
      <c r="O5" s="2616"/>
      <c r="P5" s="2620"/>
      <c r="Q5" s="2587"/>
      <c r="R5" s="2589"/>
      <c r="S5" s="2591"/>
    </row>
    <row r="6" spans="1:21" s="74" customFormat="1" ht="61.5" customHeight="1" thickBot="1">
      <c r="A6" s="2604"/>
      <c r="B6" s="2605"/>
      <c r="C6" s="2605"/>
      <c r="D6" s="2605"/>
      <c r="E6" s="2605"/>
      <c r="F6" s="2605"/>
      <c r="G6" s="2605"/>
      <c r="H6" s="2605"/>
      <c r="I6" s="2606"/>
      <c r="J6" s="287" t="s">
        <v>0</v>
      </c>
      <c r="K6" s="295" t="s">
        <v>1</v>
      </c>
      <c r="L6" s="295" t="s">
        <v>2</v>
      </c>
      <c r="M6" s="258" t="s">
        <v>94</v>
      </c>
      <c r="N6" s="2615"/>
      <c r="O6" s="2592" t="s">
        <v>169</v>
      </c>
      <c r="P6" s="2593"/>
      <c r="Q6" s="2593"/>
      <c r="R6" s="2593"/>
      <c r="S6" s="2594"/>
    </row>
    <row r="7" spans="1:21" ht="30" customHeight="1" thickBot="1">
      <c r="A7" s="2595" t="s">
        <v>159</v>
      </c>
      <c r="B7" s="2596"/>
      <c r="C7" s="2596"/>
      <c r="D7" s="2596"/>
      <c r="E7" s="2596"/>
      <c r="F7" s="2596"/>
      <c r="G7" s="2596"/>
      <c r="H7" s="2596"/>
      <c r="I7" s="2596"/>
      <c r="J7" s="2596"/>
      <c r="K7" s="2596"/>
      <c r="L7" s="2596"/>
      <c r="M7" s="2596"/>
      <c r="N7" s="2596"/>
      <c r="O7" s="2596"/>
      <c r="P7" s="2596"/>
      <c r="Q7" s="2596"/>
      <c r="R7" s="2596"/>
      <c r="S7" s="2597"/>
    </row>
    <row r="8" spans="1:21" ht="22.5" customHeight="1" thickBot="1">
      <c r="A8" s="2580" t="s">
        <v>51</v>
      </c>
      <c r="B8" s="2581"/>
      <c r="C8" s="2581"/>
      <c r="D8" s="2581"/>
      <c r="E8" s="2581"/>
      <c r="F8" s="2581"/>
      <c r="G8" s="2581"/>
      <c r="H8" s="2581"/>
      <c r="I8" s="2581"/>
      <c r="J8" s="2581"/>
      <c r="K8" s="2581"/>
      <c r="L8" s="2581"/>
      <c r="M8" s="2581"/>
      <c r="N8" s="2581"/>
      <c r="O8" s="2581"/>
      <c r="P8" s="2581"/>
      <c r="Q8" s="2581"/>
      <c r="R8" s="2581"/>
      <c r="S8" s="2582"/>
    </row>
    <row r="9" spans="1:21" ht="22.5" customHeight="1" thickBot="1">
      <c r="A9" s="2624" t="s">
        <v>70</v>
      </c>
      <c r="B9" s="2625"/>
      <c r="C9" s="2625"/>
      <c r="D9" s="2625"/>
      <c r="E9" s="2625"/>
      <c r="F9" s="2625"/>
      <c r="G9" s="2625"/>
      <c r="H9" s="2625"/>
      <c r="I9" s="2625"/>
      <c r="J9" s="2625"/>
      <c r="K9" s="2625"/>
      <c r="L9" s="2625"/>
      <c r="M9" s="2625"/>
      <c r="N9" s="2625"/>
      <c r="O9" s="2625"/>
      <c r="P9" s="2625"/>
      <c r="Q9" s="2625"/>
      <c r="R9" s="2625"/>
      <c r="S9" s="2626"/>
    </row>
    <row r="10" spans="1:21" ht="16.5" customHeight="1" thickBot="1">
      <c r="A10" s="2627" t="s">
        <v>134</v>
      </c>
      <c r="B10" s="2628"/>
      <c r="C10" s="2628"/>
      <c r="D10" s="2628"/>
      <c r="E10" s="2628"/>
      <c r="F10" s="2628"/>
      <c r="G10" s="2628"/>
      <c r="H10" s="2628"/>
      <c r="I10" s="2628"/>
      <c r="J10" s="2628"/>
      <c r="K10" s="2628"/>
      <c r="L10" s="2628"/>
      <c r="M10" s="2628"/>
      <c r="N10" s="2628"/>
      <c r="O10" s="2628"/>
      <c r="P10" s="2628"/>
      <c r="Q10" s="2628"/>
      <c r="R10" s="2628"/>
      <c r="S10" s="2629"/>
    </row>
    <row r="11" spans="1:21" ht="16.5" customHeight="1" thickBot="1">
      <c r="A11" s="259" t="s">
        <v>10</v>
      </c>
      <c r="B11" s="263">
        <f t="shared" ref="B11:B57" si="0">J11</f>
        <v>110</v>
      </c>
      <c r="C11" s="263" t="s">
        <v>3</v>
      </c>
      <c r="D11" s="263">
        <f t="shared" ref="D11:D57" si="1">K11</f>
        <v>200</v>
      </c>
      <c r="E11" s="263" t="s">
        <v>3</v>
      </c>
      <c r="F11" s="261">
        <f t="shared" ref="F11:F57" si="2">L11</f>
        <v>700</v>
      </c>
      <c r="G11" s="263" t="s">
        <v>3</v>
      </c>
      <c r="H11" s="260">
        <v>2</v>
      </c>
      <c r="I11" s="262" t="s">
        <v>581</v>
      </c>
      <c r="J11" s="112">
        <v>110</v>
      </c>
      <c r="K11" s="75">
        <v>200</v>
      </c>
      <c r="L11" s="75">
        <v>700</v>
      </c>
      <c r="M11" s="202">
        <v>6.7729431148801309</v>
      </c>
      <c r="N11" s="87">
        <v>1029.5973111354838</v>
      </c>
      <c r="O11" s="123">
        <v>25652.522581395304</v>
      </c>
      <c r="P11" s="123">
        <v>28939.40999767922</v>
      </c>
      <c r="Q11" s="120">
        <v>7482.4550490171396</v>
      </c>
      <c r="R11" s="123">
        <v>33134.977630412446</v>
      </c>
      <c r="S11" s="123">
        <v>36421.865046696359</v>
      </c>
      <c r="U11" s="7" t="s">
        <v>6638</v>
      </c>
    </row>
    <row r="12" spans="1:21" ht="16.5" customHeight="1" thickBot="1">
      <c r="A12" s="259" t="s">
        <v>10</v>
      </c>
      <c r="B12" s="263">
        <f t="shared" si="0"/>
        <v>110</v>
      </c>
      <c r="C12" s="263" t="s">
        <v>3</v>
      </c>
      <c r="D12" s="263">
        <f t="shared" si="1"/>
        <v>200</v>
      </c>
      <c r="E12" s="263" t="s">
        <v>3</v>
      </c>
      <c r="F12" s="261">
        <f t="shared" si="2"/>
        <v>750</v>
      </c>
      <c r="G12" s="263" t="s">
        <v>3</v>
      </c>
      <c r="H12" s="260">
        <v>2</v>
      </c>
      <c r="I12" s="262" t="s">
        <v>581</v>
      </c>
      <c r="J12" s="112">
        <v>110</v>
      </c>
      <c r="K12" s="75">
        <v>200</v>
      </c>
      <c r="L12" s="75">
        <v>750</v>
      </c>
      <c r="M12" s="202">
        <v>7.1615927839107894</v>
      </c>
      <c r="N12" s="87">
        <v>1176.6826412976961</v>
      </c>
      <c r="O12" s="123">
        <v>27183.293368323677</v>
      </c>
      <c r="P12" s="123">
        <v>30639.199918501919</v>
      </c>
      <c r="Q12" s="120">
        <v>7840.8736877451383</v>
      </c>
      <c r="R12" s="123">
        <v>35024.167056068814</v>
      </c>
      <c r="S12" s="123">
        <v>38480.073606247061</v>
      </c>
      <c r="U12" s="7" t="s">
        <v>6639</v>
      </c>
    </row>
    <row r="13" spans="1:21" ht="16.5" customHeight="1" thickBot="1">
      <c r="A13" s="259" t="s">
        <v>10</v>
      </c>
      <c r="B13" s="263">
        <f t="shared" si="0"/>
        <v>110</v>
      </c>
      <c r="C13" s="263" t="s">
        <v>3</v>
      </c>
      <c r="D13" s="263">
        <f t="shared" si="1"/>
        <v>200</v>
      </c>
      <c r="E13" s="263" t="s">
        <v>3</v>
      </c>
      <c r="F13" s="261">
        <f t="shared" si="2"/>
        <v>800</v>
      </c>
      <c r="G13" s="263" t="s">
        <v>3</v>
      </c>
      <c r="H13" s="260">
        <v>2</v>
      </c>
      <c r="I13" s="262" t="s">
        <v>581</v>
      </c>
      <c r="J13" s="112">
        <v>110</v>
      </c>
      <c r="K13" s="75">
        <v>200</v>
      </c>
      <c r="L13" s="75">
        <v>800</v>
      </c>
      <c r="M13" s="202">
        <v>7.5502424529414469</v>
      </c>
      <c r="N13" s="87">
        <v>1323.7679714599078</v>
      </c>
      <c r="O13" s="123">
        <v>28714.064155252046</v>
      </c>
      <c r="P13" s="123">
        <v>32338.989839324615</v>
      </c>
      <c r="Q13" s="120">
        <v>8199.2923264731398</v>
      </c>
      <c r="R13" s="123">
        <v>36913.35648172519</v>
      </c>
      <c r="S13" s="123">
        <v>40538.282165797755</v>
      </c>
      <c r="U13" s="7" t="s">
        <v>6640</v>
      </c>
    </row>
    <row r="14" spans="1:21" ht="16.5" customHeight="1" thickBot="1">
      <c r="A14" s="259" t="s">
        <v>10</v>
      </c>
      <c r="B14" s="263">
        <f t="shared" si="0"/>
        <v>110</v>
      </c>
      <c r="C14" s="263" t="s">
        <v>3</v>
      </c>
      <c r="D14" s="263">
        <f t="shared" si="1"/>
        <v>200</v>
      </c>
      <c r="E14" s="263" t="s">
        <v>3</v>
      </c>
      <c r="F14" s="261">
        <f t="shared" si="2"/>
        <v>850</v>
      </c>
      <c r="G14" s="263" t="s">
        <v>3</v>
      </c>
      <c r="H14" s="260">
        <v>2</v>
      </c>
      <c r="I14" s="262" t="s">
        <v>581</v>
      </c>
      <c r="J14" s="112">
        <v>110</v>
      </c>
      <c r="K14" s="75">
        <v>200</v>
      </c>
      <c r="L14" s="75">
        <v>850</v>
      </c>
      <c r="M14" s="202">
        <v>7.9559321219721042</v>
      </c>
      <c r="N14" s="87">
        <v>1470.8533016221199</v>
      </c>
      <c r="O14" s="123">
        <v>30244.834942180416</v>
      </c>
      <c r="P14" s="123">
        <v>34038.779886501339</v>
      </c>
      <c r="Q14" s="120">
        <v>8788.2927429844149</v>
      </c>
      <c r="R14" s="123">
        <v>39033.127685164829</v>
      </c>
      <c r="S14" s="123">
        <v>42827.072629485752</v>
      </c>
      <c r="U14" s="7" t="s">
        <v>6641</v>
      </c>
    </row>
    <row r="15" spans="1:21" ht="16.5" customHeight="1" thickBot="1">
      <c r="A15" s="259" t="s">
        <v>10</v>
      </c>
      <c r="B15" s="263">
        <f t="shared" si="0"/>
        <v>110</v>
      </c>
      <c r="C15" s="263" t="s">
        <v>3</v>
      </c>
      <c r="D15" s="263">
        <f t="shared" si="1"/>
        <v>200</v>
      </c>
      <c r="E15" s="263" t="s">
        <v>3</v>
      </c>
      <c r="F15" s="261">
        <f t="shared" si="2"/>
        <v>900</v>
      </c>
      <c r="G15" s="263" t="s">
        <v>3</v>
      </c>
      <c r="H15" s="260">
        <v>2</v>
      </c>
      <c r="I15" s="262" t="s">
        <v>581</v>
      </c>
      <c r="J15" s="112">
        <v>110</v>
      </c>
      <c r="K15" s="75">
        <v>200</v>
      </c>
      <c r="L15" s="75">
        <v>900</v>
      </c>
      <c r="M15" s="202">
        <v>8.3825817910027638</v>
      </c>
      <c r="N15" s="87">
        <v>1617.9386317843318</v>
      </c>
      <c r="O15" s="123">
        <v>31775.605729108789</v>
      </c>
      <c r="P15" s="123">
        <v>35738.569807324042</v>
      </c>
      <c r="Q15" s="120">
        <v>9146.7115221057775</v>
      </c>
      <c r="R15" s="123">
        <v>40922.317251214568</v>
      </c>
      <c r="S15" s="123">
        <v>44885.281329429818</v>
      </c>
      <c r="U15" s="7" t="s">
        <v>6642</v>
      </c>
    </row>
    <row r="16" spans="1:21" ht="16.5" customHeight="1" thickBot="1">
      <c r="A16" s="259" t="s">
        <v>10</v>
      </c>
      <c r="B16" s="263">
        <f t="shared" si="0"/>
        <v>110</v>
      </c>
      <c r="C16" s="263" t="s">
        <v>3</v>
      </c>
      <c r="D16" s="263">
        <f t="shared" si="1"/>
        <v>200</v>
      </c>
      <c r="E16" s="263" t="s">
        <v>3</v>
      </c>
      <c r="F16" s="261">
        <f t="shared" si="2"/>
        <v>950</v>
      </c>
      <c r="G16" s="263" t="s">
        <v>3</v>
      </c>
      <c r="H16" s="260">
        <v>2</v>
      </c>
      <c r="I16" s="262" t="s">
        <v>581</v>
      </c>
      <c r="J16" s="112">
        <v>110</v>
      </c>
      <c r="K16" s="75">
        <v>200</v>
      </c>
      <c r="L16" s="75">
        <v>950</v>
      </c>
      <c r="M16" s="202">
        <v>8.8572714600334201</v>
      </c>
      <c r="N16" s="87">
        <v>1765.023961946544</v>
      </c>
      <c r="O16" s="123">
        <v>33306.376516037162</v>
      </c>
      <c r="P16" s="123">
        <v>37438.359728146737</v>
      </c>
      <c r="Q16" s="120">
        <v>9735.7119386170507</v>
      </c>
      <c r="R16" s="123">
        <v>43042.088454654215</v>
      </c>
      <c r="S16" s="123">
        <v>47174.07166676379</v>
      </c>
      <c r="U16" s="7" t="s">
        <v>6643</v>
      </c>
    </row>
    <row r="17" spans="1:21" ht="16.5" customHeight="1" thickBot="1">
      <c r="A17" s="259" t="s">
        <v>10</v>
      </c>
      <c r="B17" s="263">
        <f t="shared" si="0"/>
        <v>110</v>
      </c>
      <c r="C17" s="263" t="s">
        <v>3</v>
      </c>
      <c r="D17" s="263">
        <f t="shared" si="1"/>
        <v>200</v>
      </c>
      <c r="E17" s="263" t="s">
        <v>3</v>
      </c>
      <c r="F17" s="261">
        <f t="shared" si="2"/>
        <v>1000</v>
      </c>
      <c r="G17" s="263" t="s">
        <v>3</v>
      </c>
      <c r="H17" s="260">
        <v>2</v>
      </c>
      <c r="I17" s="262" t="s">
        <v>581</v>
      </c>
      <c r="J17" s="112">
        <v>110</v>
      </c>
      <c r="K17" s="75">
        <v>200</v>
      </c>
      <c r="L17" s="75">
        <v>1000</v>
      </c>
      <c r="M17" s="202">
        <v>9.2459211290640777</v>
      </c>
      <c r="N17" s="87">
        <v>1912.1092921087561</v>
      </c>
      <c r="O17" s="123">
        <v>34742.015265346221</v>
      </c>
      <c r="P17" s="123">
        <v>39043.838498360208</v>
      </c>
      <c r="Q17" s="120">
        <v>10094.130577345051</v>
      </c>
      <c r="R17" s="123">
        <v>44836.145842691272</v>
      </c>
      <c r="S17" s="123">
        <v>49137.969075705259</v>
      </c>
      <c r="U17" s="7" t="s">
        <v>6644</v>
      </c>
    </row>
    <row r="18" spans="1:21" ht="16.5" customHeight="1" thickBot="1">
      <c r="A18" s="259" t="s">
        <v>10</v>
      </c>
      <c r="B18" s="263">
        <f t="shared" si="0"/>
        <v>110</v>
      </c>
      <c r="C18" s="263" t="s">
        <v>3</v>
      </c>
      <c r="D18" s="263">
        <f t="shared" si="1"/>
        <v>200</v>
      </c>
      <c r="E18" s="263" t="s">
        <v>3</v>
      </c>
      <c r="F18" s="261">
        <f t="shared" si="2"/>
        <v>1050</v>
      </c>
      <c r="G18" s="263" t="s">
        <v>3</v>
      </c>
      <c r="H18" s="260">
        <v>2</v>
      </c>
      <c r="I18" s="262" t="s">
        <v>581</v>
      </c>
      <c r="J18" s="112">
        <v>110</v>
      </c>
      <c r="K18" s="75">
        <v>200</v>
      </c>
      <c r="L18" s="75">
        <v>1050</v>
      </c>
      <c r="M18" s="202">
        <v>9.6516107980947368</v>
      </c>
      <c r="N18" s="87">
        <v>2059.1946222709676</v>
      </c>
      <c r="O18" s="123">
        <v>36498.724775871611</v>
      </c>
      <c r="P18" s="123">
        <v>40967.617465056668</v>
      </c>
      <c r="Q18" s="120">
        <v>10683.130993856326</v>
      </c>
      <c r="R18" s="123">
        <v>47181.855769727939</v>
      </c>
      <c r="S18" s="123">
        <v>51650.748458912996</v>
      </c>
      <c r="U18" s="7" t="s">
        <v>6645</v>
      </c>
    </row>
    <row r="19" spans="1:21" ht="16.5" customHeight="1" thickBot="1">
      <c r="A19" s="259" t="s">
        <v>10</v>
      </c>
      <c r="B19" s="260">
        <f t="shared" si="0"/>
        <v>110</v>
      </c>
      <c r="C19" s="260" t="s">
        <v>3</v>
      </c>
      <c r="D19" s="260">
        <f t="shared" si="1"/>
        <v>200</v>
      </c>
      <c r="E19" s="260" t="s">
        <v>3</v>
      </c>
      <c r="F19" s="261">
        <f t="shared" si="2"/>
        <v>1100</v>
      </c>
      <c r="G19" s="260" t="s">
        <v>3</v>
      </c>
      <c r="H19" s="260">
        <v>2</v>
      </c>
      <c r="I19" s="262" t="s">
        <v>581</v>
      </c>
      <c r="J19" s="112">
        <v>110</v>
      </c>
      <c r="K19" s="75">
        <v>200</v>
      </c>
      <c r="L19" s="75">
        <v>1100</v>
      </c>
      <c r="M19" s="202">
        <v>10.040260467125394</v>
      </c>
      <c r="N19" s="87">
        <v>2206.2799524331799</v>
      </c>
      <c r="O19" s="123">
        <v>38029.495562799981</v>
      </c>
      <c r="P19" s="123">
        <v>42667.407385879364</v>
      </c>
      <c r="Q19" s="120">
        <v>11041.549772977691</v>
      </c>
      <c r="R19" s="123">
        <v>49071.045335777671</v>
      </c>
      <c r="S19" s="123">
        <v>53708.957158857054</v>
      </c>
      <c r="U19" s="7" t="s">
        <v>6646</v>
      </c>
    </row>
    <row r="20" spans="1:21" ht="16.5" customHeight="1" thickBot="1">
      <c r="A20" s="259" t="s">
        <v>10</v>
      </c>
      <c r="B20" s="263">
        <f t="shared" si="0"/>
        <v>110</v>
      </c>
      <c r="C20" s="263" t="s">
        <v>3</v>
      </c>
      <c r="D20" s="263">
        <f t="shared" si="1"/>
        <v>200</v>
      </c>
      <c r="E20" s="263" t="s">
        <v>3</v>
      </c>
      <c r="F20" s="261">
        <f t="shared" si="2"/>
        <v>1150</v>
      </c>
      <c r="G20" s="263" t="s">
        <v>3</v>
      </c>
      <c r="H20" s="260">
        <v>2</v>
      </c>
      <c r="I20" s="262" t="s">
        <v>581</v>
      </c>
      <c r="J20" s="112">
        <v>110</v>
      </c>
      <c r="K20" s="75">
        <v>200</v>
      </c>
      <c r="L20" s="75">
        <v>1150</v>
      </c>
      <c r="M20" s="202">
        <v>10.428910136156052</v>
      </c>
      <c r="N20" s="87">
        <v>2353.3652825953923</v>
      </c>
      <c r="O20" s="123">
        <v>38804.923897175249</v>
      </c>
      <c r="P20" s="123">
        <v>43618.373058242119</v>
      </c>
      <c r="Q20" s="120">
        <v>11399.96841170569</v>
      </c>
      <c r="R20" s="123">
        <v>50204.892308880939</v>
      </c>
      <c r="S20" s="123">
        <v>55018.341469947809</v>
      </c>
      <c r="U20" s="7" t="s">
        <v>6647</v>
      </c>
    </row>
    <row r="21" spans="1:21" ht="16.5" customHeight="1" thickBot="1">
      <c r="A21" s="259" t="s">
        <v>10</v>
      </c>
      <c r="B21" s="263">
        <f t="shared" si="0"/>
        <v>110</v>
      </c>
      <c r="C21" s="263" t="s">
        <v>3</v>
      </c>
      <c r="D21" s="263">
        <f t="shared" si="1"/>
        <v>200</v>
      </c>
      <c r="E21" s="263" t="s">
        <v>3</v>
      </c>
      <c r="F21" s="261">
        <f t="shared" si="2"/>
        <v>1200</v>
      </c>
      <c r="G21" s="263" t="s">
        <v>3</v>
      </c>
      <c r="H21" s="260">
        <v>2</v>
      </c>
      <c r="I21" s="262" t="s">
        <v>581</v>
      </c>
      <c r="J21" s="112">
        <v>110</v>
      </c>
      <c r="K21" s="75">
        <v>200</v>
      </c>
      <c r="L21" s="75">
        <v>1200</v>
      </c>
      <c r="M21" s="202">
        <v>11.04984980518671</v>
      </c>
      <c r="N21" s="87">
        <v>2500.4506127576037</v>
      </c>
      <c r="O21" s="123">
        <v>39615.491187975291</v>
      </c>
      <c r="P21" s="123">
        <v>44604.174535641985</v>
      </c>
      <c r="Q21" s="120">
        <v>11988.968828216965</v>
      </c>
      <c r="R21" s="123">
        <v>51604.460016192257</v>
      </c>
      <c r="S21" s="123">
        <v>56593.143363858951</v>
      </c>
      <c r="U21" s="7" t="s">
        <v>6648</v>
      </c>
    </row>
    <row r="22" spans="1:21" ht="16.5" customHeight="1" thickBot="1">
      <c r="A22" s="259" t="s">
        <v>10</v>
      </c>
      <c r="B22" s="263">
        <f t="shared" si="0"/>
        <v>110</v>
      </c>
      <c r="C22" s="263" t="s">
        <v>3</v>
      </c>
      <c r="D22" s="263">
        <f t="shared" si="1"/>
        <v>200</v>
      </c>
      <c r="E22" s="263" t="s">
        <v>3</v>
      </c>
      <c r="F22" s="261">
        <f t="shared" si="2"/>
        <v>1250</v>
      </c>
      <c r="G22" s="263" t="s">
        <v>3</v>
      </c>
      <c r="H22" s="260">
        <v>2</v>
      </c>
      <c r="I22" s="262" t="s">
        <v>581</v>
      </c>
      <c r="J22" s="112">
        <v>110</v>
      </c>
      <c r="K22" s="75">
        <v>200</v>
      </c>
      <c r="L22" s="75">
        <v>1250</v>
      </c>
      <c r="M22" s="202">
        <v>11.43849947421737</v>
      </c>
      <c r="N22" s="87">
        <v>2647.5359429198156</v>
      </c>
      <c r="O22" s="123">
        <v>40390.438485552964</v>
      </c>
      <c r="P22" s="123">
        <v>45554.663474263696</v>
      </c>
      <c r="Q22" s="120">
        <v>12347.387466944965</v>
      </c>
      <c r="R22" s="123">
        <v>52737.825952497929</v>
      </c>
      <c r="S22" s="123">
        <v>57902.050941208661</v>
      </c>
      <c r="U22" s="7" t="s">
        <v>6649</v>
      </c>
    </row>
    <row r="23" spans="1:21" ht="16.5" customHeight="1" thickBot="1">
      <c r="A23" s="259" t="s">
        <v>10</v>
      </c>
      <c r="B23" s="263">
        <f t="shared" si="0"/>
        <v>110</v>
      </c>
      <c r="C23" s="263" t="s">
        <v>3</v>
      </c>
      <c r="D23" s="263">
        <f t="shared" si="1"/>
        <v>200</v>
      </c>
      <c r="E23" s="263" t="s">
        <v>3</v>
      </c>
      <c r="F23" s="261">
        <f t="shared" si="2"/>
        <v>1300</v>
      </c>
      <c r="G23" s="263" t="s">
        <v>3</v>
      </c>
      <c r="H23" s="260">
        <v>2</v>
      </c>
      <c r="I23" s="262" t="s">
        <v>581</v>
      </c>
      <c r="J23" s="112">
        <v>110</v>
      </c>
      <c r="K23" s="75">
        <v>200</v>
      </c>
      <c r="L23" s="75">
        <v>1300</v>
      </c>
      <c r="M23" s="202">
        <v>11.906189143248026</v>
      </c>
      <c r="N23" s="87">
        <v>2794.6212730820275</v>
      </c>
      <c r="O23" s="123">
        <v>43617.76925446868</v>
      </c>
      <c r="P23" s="123">
        <v>48936.372813268506</v>
      </c>
      <c r="Q23" s="120">
        <v>12936.38788345624</v>
      </c>
      <c r="R23" s="123">
        <v>56554.157137924922</v>
      </c>
      <c r="S23" s="123">
        <v>61872.760696724748</v>
      </c>
      <c r="U23" s="7" t="s">
        <v>6650</v>
      </c>
    </row>
    <row r="24" spans="1:21" ht="16.5" customHeight="1" thickBot="1">
      <c r="A24" s="259" t="s">
        <v>10</v>
      </c>
      <c r="B24" s="263">
        <f t="shared" si="0"/>
        <v>110</v>
      </c>
      <c r="C24" s="263" t="s">
        <v>3</v>
      </c>
      <c r="D24" s="263">
        <f t="shared" si="1"/>
        <v>200</v>
      </c>
      <c r="E24" s="263" t="s">
        <v>3</v>
      </c>
      <c r="F24" s="261">
        <f t="shared" si="2"/>
        <v>1350</v>
      </c>
      <c r="G24" s="263" t="s">
        <v>3</v>
      </c>
      <c r="H24" s="260">
        <v>2</v>
      </c>
      <c r="I24" s="262" t="s">
        <v>581</v>
      </c>
      <c r="J24" s="112">
        <v>110</v>
      </c>
      <c r="K24" s="75">
        <v>200</v>
      </c>
      <c r="L24" s="75">
        <v>1350</v>
      </c>
      <c r="M24" s="202">
        <v>12.294838812278684</v>
      </c>
      <c r="N24" s="87">
        <v>2941.7066032442399</v>
      </c>
      <c r="O24" s="123">
        <v>44642.412956330671</v>
      </c>
      <c r="P24" s="123">
        <v>50134.403314610878</v>
      </c>
      <c r="Q24" s="120">
        <v>13294.806662577603</v>
      </c>
      <c r="R24" s="123">
        <v>57937.219618908275</v>
      </c>
      <c r="S24" s="123">
        <v>63429.209977188482</v>
      </c>
      <c r="U24" s="7" t="s">
        <v>6651</v>
      </c>
    </row>
    <row r="25" spans="1:21" ht="16.5" customHeight="1" thickBot="1">
      <c r="A25" s="259" t="s">
        <v>10</v>
      </c>
      <c r="B25" s="263">
        <f t="shared" si="0"/>
        <v>110</v>
      </c>
      <c r="C25" s="263" t="s">
        <v>3</v>
      </c>
      <c r="D25" s="263">
        <f t="shared" si="1"/>
        <v>200</v>
      </c>
      <c r="E25" s="263" t="s">
        <v>3</v>
      </c>
      <c r="F25" s="261">
        <f t="shared" si="2"/>
        <v>1400</v>
      </c>
      <c r="G25" s="263" t="s">
        <v>3</v>
      </c>
      <c r="H25" s="260">
        <v>2</v>
      </c>
      <c r="I25" s="262" t="s">
        <v>581</v>
      </c>
      <c r="J25" s="112">
        <v>110</v>
      </c>
      <c r="K25" s="75">
        <v>200</v>
      </c>
      <c r="L25" s="75">
        <v>1400</v>
      </c>
      <c r="M25" s="202">
        <v>12.700528481309341</v>
      </c>
      <c r="N25" s="87">
        <v>3088.7919334064522</v>
      </c>
      <c r="O25" s="123">
        <v>45994.073134468221</v>
      </c>
      <c r="P25" s="123">
        <v>51656.628301406527</v>
      </c>
      <c r="Q25" s="120">
        <v>13883.807079088876</v>
      </c>
      <c r="R25" s="123">
        <v>59877.880213557095</v>
      </c>
      <c r="S25" s="123">
        <v>65540.435380495401</v>
      </c>
      <c r="U25" s="7" t="s">
        <v>6652</v>
      </c>
    </row>
    <row r="26" spans="1:21" ht="16.5" customHeight="1" thickBot="1">
      <c r="A26" s="259" t="s">
        <v>10</v>
      </c>
      <c r="B26" s="263">
        <f t="shared" si="0"/>
        <v>110</v>
      </c>
      <c r="C26" s="263" t="s">
        <v>3</v>
      </c>
      <c r="D26" s="263">
        <f t="shared" si="1"/>
        <v>200</v>
      </c>
      <c r="E26" s="263" t="s">
        <v>3</v>
      </c>
      <c r="F26" s="261">
        <f t="shared" si="2"/>
        <v>1450</v>
      </c>
      <c r="G26" s="263" t="s">
        <v>3</v>
      </c>
      <c r="H26" s="260">
        <v>2</v>
      </c>
      <c r="I26" s="262" t="s">
        <v>581</v>
      </c>
      <c r="J26" s="112">
        <v>110</v>
      </c>
      <c r="K26" s="75">
        <v>200</v>
      </c>
      <c r="L26" s="75">
        <v>1450</v>
      </c>
      <c r="M26" s="202">
        <v>13.08917815034</v>
      </c>
      <c r="N26" s="87">
        <v>3235.8772635686637</v>
      </c>
      <c r="O26" s="123">
        <v>47018.716836330226</v>
      </c>
      <c r="P26" s="123">
        <v>52854.658802748905</v>
      </c>
      <c r="Q26" s="120">
        <v>14242.225717816877</v>
      </c>
      <c r="R26" s="123">
        <v>61260.942554147099</v>
      </c>
      <c r="S26" s="123">
        <v>67096.884520565785</v>
      </c>
      <c r="U26" s="7" t="s">
        <v>6653</v>
      </c>
    </row>
    <row r="27" spans="1:21" ht="16.5" customHeight="1" thickBot="1">
      <c r="A27" s="259" t="s">
        <v>10</v>
      </c>
      <c r="B27" s="263">
        <f t="shared" si="0"/>
        <v>110</v>
      </c>
      <c r="C27" s="263" t="s">
        <v>3</v>
      </c>
      <c r="D27" s="263">
        <f t="shared" si="1"/>
        <v>200</v>
      </c>
      <c r="E27" s="263" t="s">
        <v>3</v>
      </c>
      <c r="F27" s="261">
        <f t="shared" si="2"/>
        <v>1500</v>
      </c>
      <c r="G27" s="263" t="s">
        <v>3</v>
      </c>
      <c r="H27" s="260">
        <v>2</v>
      </c>
      <c r="I27" s="262" t="s">
        <v>581</v>
      </c>
      <c r="J27" s="112">
        <v>110</v>
      </c>
      <c r="K27" s="75">
        <v>200</v>
      </c>
      <c r="L27" s="75">
        <v>1500</v>
      </c>
      <c r="M27" s="202">
        <v>14.044893941670658</v>
      </c>
      <c r="N27" s="87">
        <v>3382.9625937308756</v>
      </c>
      <c r="O27" s="123">
        <v>48475.58301993127</v>
      </c>
      <c r="P27" s="123">
        <v>54576.704469047225</v>
      </c>
      <c r="Q27" s="120">
        <v>14831.226134328155</v>
      </c>
      <c r="R27" s="123">
        <v>63306.809154259427</v>
      </c>
      <c r="S27" s="123">
        <v>69407.930603375382</v>
      </c>
      <c r="U27" s="7" t="s">
        <v>6654</v>
      </c>
    </row>
    <row r="28" spans="1:21" ht="16.5" customHeight="1" thickBot="1">
      <c r="A28" s="259" t="s">
        <v>10</v>
      </c>
      <c r="B28" s="263">
        <f t="shared" si="0"/>
        <v>110</v>
      </c>
      <c r="C28" s="263" t="s">
        <v>3</v>
      </c>
      <c r="D28" s="263">
        <f t="shared" si="1"/>
        <v>200</v>
      </c>
      <c r="E28" s="263" t="s">
        <v>3</v>
      </c>
      <c r="F28" s="261">
        <f t="shared" si="2"/>
        <v>1550</v>
      </c>
      <c r="G28" s="263" t="s">
        <v>3</v>
      </c>
      <c r="H28" s="260">
        <v>2</v>
      </c>
      <c r="I28" s="262" t="s">
        <v>581</v>
      </c>
      <c r="J28" s="112">
        <v>110</v>
      </c>
      <c r="K28" s="75">
        <v>200</v>
      </c>
      <c r="L28" s="75">
        <v>1550</v>
      </c>
      <c r="M28" s="202">
        <v>14.502543610701313</v>
      </c>
      <c r="N28" s="87">
        <v>3530.047923893088</v>
      </c>
      <c r="O28" s="123">
        <v>49500.226602458912</v>
      </c>
      <c r="P28" s="123">
        <v>55774.734970389596</v>
      </c>
      <c r="Q28" s="120">
        <v>15189.644913449516</v>
      </c>
      <c r="R28" s="123">
        <v>64689.871515908424</v>
      </c>
      <c r="S28" s="123">
        <v>70964.379883839109</v>
      </c>
      <c r="U28" s="7" t="s">
        <v>6655</v>
      </c>
    </row>
    <row r="29" spans="1:21" ht="16.5" customHeight="1" thickBot="1">
      <c r="A29" s="259" t="s">
        <v>10</v>
      </c>
      <c r="B29" s="260">
        <f t="shared" si="0"/>
        <v>110</v>
      </c>
      <c r="C29" s="260" t="s">
        <v>3</v>
      </c>
      <c r="D29" s="260">
        <f t="shared" si="1"/>
        <v>200</v>
      </c>
      <c r="E29" s="260" t="s">
        <v>3</v>
      </c>
      <c r="F29" s="261">
        <f t="shared" si="2"/>
        <v>1600</v>
      </c>
      <c r="G29" s="260" t="s">
        <v>3</v>
      </c>
      <c r="H29" s="260">
        <v>2</v>
      </c>
      <c r="I29" s="262" t="s">
        <v>581</v>
      </c>
      <c r="J29" s="112">
        <v>110</v>
      </c>
      <c r="K29" s="75">
        <v>200</v>
      </c>
      <c r="L29" s="75">
        <v>1600</v>
      </c>
      <c r="M29" s="202">
        <v>14.891193279731972</v>
      </c>
      <c r="N29" s="87">
        <v>3677.1332540552999</v>
      </c>
      <c r="O29" s="123">
        <v>52470.911769413608</v>
      </c>
      <c r="P29" s="123">
        <v>58902.013293392454</v>
      </c>
      <c r="Q29" s="120">
        <v>15548.063552177517</v>
      </c>
      <c r="R29" s="123">
        <v>68018.975321591119</v>
      </c>
      <c r="S29" s="123">
        <v>74450.076845569973</v>
      </c>
      <c r="U29" s="7" t="s">
        <v>6656</v>
      </c>
    </row>
    <row r="30" spans="1:21" ht="16.5" customHeight="1" thickBot="1">
      <c r="A30" s="259" t="s">
        <v>10</v>
      </c>
      <c r="B30" s="263">
        <f t="shared" si="0"/>
        <v>110</v>
      </c>
      <c r="C30" s="263" t="s">
        <v>3</v>
      </c>
      <c r="D30" s="263">
        <f t="shared" si="1"/>
        <v>200</v>
      </c>
      <c r="E30" s="263" t="s">
        <v>3</v>
      </c>
      <c r="F30" s="261">
        <f t="shared" si="2"/>
        <v>1650</v>
      </c>
      <c r="G30" s="263" t="s">
        <v>3</v>
      </c>
      <c r="H30" s="260">
        <v>2</v>
      </c>
      <c r="I30" s="262" t="s">
        <v>581</v>
      </c>
      <c r="J30" s="112">
        <v>110</v>
      </c>
      <c r="K30" s="75">
        <v>200</v>
      </c>
      <c r="L30" s="75">
        <v>1650</v>
      </c>
      <c r="M30" s="202">
        <v>15.334882948762631</v>
      </c>
      <c r="N30" s="87">
        <v>3824.2185842175122</v>
      </c>
      <c r="O30" s="123">
        <v>55693.856881333872</v>
      </c>
      <c r="P30" s="123">
        <v>62279.374790353999</v>
      </c>
      <c r="Q30" s="120">
        <v>16137.063968688792</v>
      </c>
      <c r="R30" s="123">
        <v>71830.920850022667</v>
      </c>
      <c r="S30" s="123">
        <v>78416.438759042794</v>
      </c>
      <c r="U30" s="7" t="s">
        <v>6657</v>
      </c>
    </row>
    <row r="31" spans="1:21" ht="16.5" customHeight="1" thickBot="1">
      <c r="A31" s="259" t="s">
        <v>10</v>
      </c>
      <c r="B31" s="263">
        <f t="shared" si="0"/>
        <v>110</v>
      </c>
      <c r="C31" s="263" t="s">
        <v>3</v>
      </c>
      <c r="D31" s="263">
        <f t="shared" si="1"/>
        <v>200</v>
      </c>
      <c r="E31" s="263" t="s">
        <v>3</v>
      </c>
      <c r="F31" s="261">
        <f t="shared" si="2"/>
        <v>1700</v>
      </c>
      <c r="G31" s="263" t="s">
        <v>3</v>
      </c>
      <c r="H31" s="260">
        <v>2</v>
      </c>
      <c r="I31" s="262" t="s">
        <v>581</v>
      </c>
      <c r="J31" s="112">
        <v>110</v>
      </c>
      <c r="K31" s="75">
        <v>200</v>
      </c>
      <c r="L31" s="75">
        <v>1700</v>
      </c>
      <c r="M31" s="202">
        <v>15.723532617793289</v>
      </c>
      <c r="N31" s="87">
        <v>3971.3039143797241</v>
      </c>
      <c r="O31" s="123">
        <v>56513.353126811904</v>
      </c>
      <c r="P31" s="123">
        <v>63274.028251770877</v>
      </c>
      <c r="Q31" s="120">
        <v>16495.48260741679</v>
      </c>
      <c r="R31" s="123">
        <v>73008.835734228691</v>
      </c>
      <c r="S31" s="123">
        <v>79769.510859187663</v>
      </c>
      <c r="U31" s="7" t="s">
        <v>6658</v>
      </c>
    </row>
    <row r="32" spans="1:21" ht="16.5" customHeight="1" thickBot="1">
      <c r="A32" s="259" t="s">
        <v>10</v>
      </c>
      <c r="B32" s="263">
        <f t="shared" si="0"/>
        <v>110</v>
      </c>
      <c r="C32" s="263" t="s">
        <v>3</v>
      </c>
      <c r="D32" s="263">
        <f t="shared" si="1"/>
        <v>200</v>
      </c>
      <c r="E32" s="263" t="s">
        <v>3</v>
      </c>
      <c r="F32" s="261">
        <f t="shared" si="2"/>
        <v>1750</v>
      </c>
      <c r="G32" s="263" t="s">
        <v>3</v>
      </c>
      <c r="H32" s="260">
        <v>2</v>
      </c>
      <c r="I32" s="262" t="s">
        <v>581</v>
      </c>
      <c r="J32" s="112">
        <v>110</v>
      </c>
      <c r="K32" s="75">
        <v>200</v>
      </c>
      <c r="L32" s="75">
        <v>1750</v>
      </c>
      <c r="M32" s="202">
        <v>16.129222286823946</v>
      </c>
      <c r="N32" s="87">
        <v>4118.3892445419351</v>
      </c>
      <c r="O32" s="123">
        <v>57256.695674315029</v>
      </c>
      <c r="P32" s="123">
        <v>64193.185056149341</v>
      </c>
      <c r="Q32" s="120">
        <v>17084.483023928067</v>
      </c>
      <c r="R32" s="123">
        <v>74341.178698243093</v>
      </c>
      <c r="S32" s="123">
        <v>81277.668080077405</v>
      </c>
      <c r="U32" s="7" t="s">
        <v>6659</v>
      </c>
    </row>
    <row r="33" spans="1:21" ht="16.5" customHeight="1" thickBot="1">
      <c r="A33" s="259" t="s">
        <v>10</v>
      </c>
      <c r="B33" s="263">
        <f t="shared" si="0"/>
        <v>110</v>
      </c>
      <c r="C33" s="263" t="s">
        <v>3</v>
      </c>
      <c r="D33" s="263">
        <f t="shared" si="1"/>
        <v>200</v>
      </c>
      <c r="E33" s="263" t="s">
        <v>3</v>
      </c>
      <c r="F33" s="261">
        <f t="shared" si="2"/>
        <v>1800</v>
      </c>
      <c r="G33" s="263" t="s">
        <v>3</v>
      </c>
      <c r="H33" s="260">
        <v>2</v>
      </c>
      <c r="I33" s="262" t="s">
        <v>581</v>
      </c>
      <c r="J33" s="112">
        <v>110</v>
      </c>
      <c r="K33" s="75">
        <v>200</v>
      </c>
      <c r="L33" s="75">
        <v>1800</v>
      </c>
      <c r="M33" s="202">
        <v>16.586871955854605</v>
      </c>
      <c r="N33" s="87">
        <v>4265.4745747041479</v>
      </c>
      <c r="O33" s="123">
        <v>58076.888474441432</v>
      </c>
      <c r="P33" s="123">
        <v>65188.529042319671</v>
      </c>
      <c r="Q33" s="120">
        <v>17442.90180304943</v>
      </c>
      <c r="R33" s="123">
        <v>75519.790277490858</v>
      </c>
      <c r="S33" s="123">
        <v>82631.430845369105</v>
      </c>
      <c r="U33" s="7" t="s">
        <v>6660</v>
      </c>
    </row>
    <row r="34" spans="1:21" ht="16.5" customHeight="1" thickBot="1">
      <c r="A34" s="259" t="s">
        <v>10</v>
      </c>
      <c r="B34" s="263">
        <f t="shared" si="0"/>
        <v>110</v>
      </c>
      <c r="C34" s="263" t="s">
        <v>3</v>
      </c>
      <c r="D34" s="263">
        <f t="shared" si="1"/>
        <v>200</v>
      </c>
      <c r="E34" s="263" t="s">
        <v>3</v>
      </c>
      <c r="F34" s="261">
        <f t="shared" si="2"/>
        <v>1850</v>
      </c>
      <c r="G34" s="263" t="s">
        <v>3</v>
      </c>
      <c r="H34" s="260">
        <v>2</v>
      </c>
      <c r="I34" s="262" t="s">
        <v>581</v>
      </c>
      <c r="J34" s="112">
        <v>110</v>
      </c>
      <c r="K34" s="75">
        <v>200</v>
      </c>
      <c r="L34" s="75">
        <v>1850</v>
      </c>
      <c r="M34" s="202">
        <v>17.054561624885263</v>
      </c>
      <c r="N34" s="87">
        <v>4412.5599048663598</v>
      </c>
      <c r="O34" s="123">
        <v>58897.033302155869</v>
      </c>
      <c r="P34" s="123">
        <v>66183.825393022096</v>
      </c>
      <c r="Q34" s="120">
        <v>18031.902219560703</v>
      </c>
      <c r="R34" s="123">
        <v>76928.935521716572</v>
      </c>
      <c r="S34" s="123">
        <v>84215.727612582792</v>
      </c>
      <c r="U34" s="7" t="s">
        <v>6661</v>
      </c>
    </row>
    <row r="35" spans="1:21" ht="16.5" customHeight="1" thickBot="1">
      <c r="A35" s="259" t="s">
        <v>10</v>
      </c>
      <c r="B35" s="263">
        <f t="shared" si="0"/>
        <v>110</v>
      </c>
      <c r="C35" s="263" t="s">
        <v>3</v>
      </c>
      <c r="D35" s="263">
        <f t="shared" si="1"/>
        <v>200</v>
      </c>
      <c r="E35" s="263" t="s">
        <v>3</v>
      </c>
      <c r="F35" s="261">
        <f t="shared" si="2"/>
        <v>1900</v>
      </c>
      <c r="G35" s="263" t="s">
        <v>3</v>
      </c>
      <c r="H35" s="260">
        <v>2</v>
      </c>
      <c r="I35" s="262" t="s">
        <v>581</v>
      </c>
      <c r="J35" s="112">
        <v>110</v>
      </c>
      <c r="K35" s="75">
        <v>200</v>
      </c>
      <c r="L35" s="75">
        <v>1900</v>
      </c>
      <c r="M35" s="202">
        <v>17.443211293915919</v>
      </c>
      <c r="N35" s="87">
        <v>4559.6452350285717</v>
      </c>
      <c r="O35" s="123">
        <v>59892.232325159748</v>
      </c>
      <c r="P35" s="123">
        <v>67352.665460866163</v>
      </c>
      <c r="Q35" s="120">
        <v>18390.320858288702</v>
      </c>
      <c r="R35" s="123">
        <v>78282.553183448443</v>
      </c>
      <c r="S35" s="123">
        <v>85742.986319154865</v>
      </c>
      <c r="U35" s="7" t="s">
        <v>6662</v>
      </c>
    </row>
    <row r="36" spans="1:21" ht="16.5" customHeight="1" thickBot="1">
      <c r="A36" s="259" t="s">
        <v>10</v>
      </c>
      <c r="B36" s="263">
        <f t="shared" si="0"/>
        <v>110</v>
      </c>
      <c r="C36" s="263" t="s">
        <v>3</v>
      </c>
      <c r="D36" s="263">
        <f t="shared" si="1"/>
        <v>200</v>
      </c>
      <c r="E36" s="263" t="s">
        <v>3</v>
      </c>
      <c r="F36" s="261">
        <f t="shared" si="2"/>
        <v>1950</v>
      </c>
      <c r="G36" s="263" t="s">
        <v>3</v>
      </c>
      <c r="H36" s="260">
        <v>2</v>
      </c>
      <c r="I36" s="262" t="s">
        <v>581</v>
      </c>
      <c r="J36" s="112">
        <v>110</v>
      </c>
      <c r="K36" s="75">
        <v>200</v>
      </c>
      <c r="L36" s="75">
        <v>1950</v>
      </c>
      <c r="M36" s="202">
        <v>17.985110962946578</v>
      </c>
      <c r="N36" s="87">
        <v>4706.7305651907845</v>
      </c>
      <c r="O36" s="123">
        <v>61046.632809316667</v>
      </c>
      <c r="P36" s="123">
        <v>68679.332826650803</v>
      </c>
      <c r="Q36" s="120">
        <v>18748.739497016704</v>
      </c>
      <c r="R36" s="123">
        <v>79795.372306333375</v>
      </c>
      <c r="S36" s="123">
        <v>87428.072323667511</v>
      </c>
      <c r="U36" s="7" t="s">
        <v>6663</v>
      </c>
    </row>
    <row r="37" spans="1:21" ht="16.5" customHeight="1" thickBot="1">
      <c r="A37" s="259" t="s">
        <v>10</v>
      </c>
      <c r="B37" s="263">
        <f t="shared" si="0"/>
        <v>110</v>
      </c>
      <c r="C37" s="263" t="s">
        <v>3</v>
      </c>
      <c r="D37" s="263">
        <f t="shared" si="1"/>
        <v>200</v>
      </c>
      <c r="E37" s="263" t="s">
        <v>3</v>
      </c>
      <c r="F37" s="261">
        <f t="shared" si="2"/>
        <v>2000</v>
      </c>
      <c r="G37" s="263" t="s">
        <v>3</v>
      </c>
      <c r="H37" s="260">
        <v>2</v>
      </c>
      <c r="I37" s="262" t="s">
        <v>581</v>
      </c>
      <c r="J37" s="112">
        <v>110</v>
      </c>
      <c r="K37" s="75">
        <v>200</v>
      </c>
      <c r="L37" s="75">
        <v>2000</v>
      </c>
      <c r="M37" s="202">
        <v>18.482363031977236</v>
      </c>
      <c r="N37" s="87">
        <v>4853.8158953529955</v>
      </c>
      <c r="O37" s="123">
        <v>62073.059366489055</v>
      </c>
      <c r="P37" s="123">
        <v>70080.579645597289</v>
      </c>
      <c r="Q37" s="120">
        <v>19337.740053921341</v>
      </c>
      <c r="R37" s="123">
        <v>81410.799420410389</v>
      </c>
      <c r="S37" s="123">
        <v>89418.31969951863</v>
      </c>
      <c r="U37" s="7" t="s">
        <v>6664</v>
      </c>
    </row>
    <row r="38" spans="1:21" ht="16.5" customHeight="1" thickBot="1">
      <c r="A38" s="259" t="s">
        <v>10</v>
      </c>
      <c r="B38" s="263">
        <f t="shared" si="0"/>
        <v>110</v>
      </c>
      <c r="C38" s="263" t="s">
        <v>3</v>
      </c>
      <c r="D38" s="263">
        <f t="shared" si="1"/>
        <v>200</v>
      </c>
      <c r="E38" s="263" t="s">
        <v>3</v>
      </c>
      <c r="F38" s="261">
        <f t="shared" si="2"/>
        <v>2050</v>
      </c>
      <c r="G38" s="263" t="s">
        <v>3</v>
      </c>
      <c r="H38" s="260">
        <v>2</v>
      </c>
      <c r="I38" s="262" t="s">
        <v>581</v>
      </c>
      <c r="J38" s="112">
        <v>110</v>
      </c>
      <c r="K38" s="75">
        <v>200</v>
      </c>
      <c r="L38" s="75">
        <v>2050</v>
      </c>
      <c r="M38" s="202">
        <v>18.871012701007896</v>
      </c>
      <c r="N38" s="87">
        <v>5000.9012255152074</v>
      </c>
      <c r="O38" s="123">
        <v>65037.174341688456</v>
      </c>
      <c r="P38" s="123">
        <v>73201.344544900974</v>
      </c>
      <c r="Q38" s="120">
        <v>19696.15869264934</v>
      </c>
      <c r="R38" s="123">
        <v>84733.333034337789</v>
      </c>
      <c r="S38" s="123">
        <v>92897.503237550322</v>
      </c>
      <c r="U38" s="7" t="s">
        <v>6665</v>
      </c>
    </row>
    <row r="39" spans="1:21" ht="16.5" customHeight="1" thickBot="1">
      <c r="A39" s="259" t="s">
        <v>10</v>
      </c>
      <c r="B39" s="260">
        <f t="shared" si="0"/>
        <v>110</v>
      </c>
      <c r="C39" s="260" t="s">
        <v>3</v>
      </c>
      <c r="D39" s="260">
        <f t="shared" si="1"/>
        <v>200</v>
      </c>
      <c r="E39" s="260" t="s">
        <v>3</v>
      </c>
      <c r="F39" s="261">
        <f t="shared" si="2"/>
        <v>2100</v>
      </c>
      <c r="G39" s="260" t="s">
        <v>3</v>
      </c>
      <c r="H39" s="260">
        <v>2</v>
      </c>
      <c r="I39" s="262" t="s">
        <v>581</v>
      </c>
      <c r="J39" s="112">
        <v>110</v>
      </c>
      <c r="K39" s="75">
        <v>200</v>
      </c>
      <c r="L39" s="75">
        <v>2100</v>
      </c>
      <c r="M39" s="202">
        <v>19.276702370038553</v>
      </c>
      <c r="N39" s="87">
        <v>5147.9865556774193</v>
      </c>
      <c r="O39" s="123">
        <v>65919.248927895445</v>
      </c>
      <c r="P39" s="123">
        <v>74258.036316958285</v>
      </c>
      <c r="Q39" s="120">
        <v>20285.159109160617</v>
      </c>
      <c r="R39" s="123">
        <v>86204.40803705607</v>
      </c>
      <c r="S39" s="123">
        <v>94543.195426118909</v>
      </c>
      <c r="U39" s="7" t="s">
        <v>6666</v>
      </c>
    </row>
    <row r="40" spans="1:21" ht="16.5" customHeight="1" thickBot="1">
      <c r="A40" s="259" t="s">
        <v>10</v>
      </c>
      <c r="B40" s="263">
        <f t="shared" si="0"/>
        <v>110</v>
      </c>
      <c r="C40" s="263" t="s">
        <v>3</v>
      </c>
      <c r="D40" s="263">
        <f t="shared" si="1"/>
        <v>200</v>
      </c>
      <c r="E40" s="263" t="s">
        <v>3</v>
      </c>
      <c r="F40" s="261">
        <f t="shared" si="2"/>
        <v>2150</v>
      </c>
      <c r="G40" s="263" t="s">
        <v>3</v>
      </c>
      <c r="H40" s="260">
        <v>2</v>
      </c>
      <c r="I40" s="262" t="s">
        <v>581</v>
      </c>
      <c r="J40" s="112">
        <v>110</v>
      </c>
      <c r="K40" s="75">
        <v>200</v>
      </c>
      <c r="L40" s="75">
        <v>2150</v>
      </c>
      <c r="M40" s="202">
        <v>19.789352039069211</v>
      </c>
      <c r="N40" s="87">
        <v>5295.0718858396312</v>
      </c>
      <c r="O40" s="123">
        <v>66948.940950443561</v>
      </c>
      <c r="P40" s="123">
        <v>75461.071448572373</v>
      </c>
      <c r="Q40" s="120">
        <v>20643.577747888616</v>
      </c>
      <c r="R40" s="123">
        <v>87592.518698332176</v>
      </c>
      <c r="S40" s="123">
        <v>96104.649196460989</v>
      </c>
      <c r="U40" s="7" t="s">
        <v>6667</v>
      </c>
    </row>
    <row r="41" spans="1:21" ht="16.5" customHeight="1" thickBot="1">
      <c r="A41" s="259" t="s">
        <v>10</v>
      </c>
      <c r="B41" s="263">
        <f t="shared" si="0"/>
        <v>110</v>
      </c>
      <c r="C41" s="263" t="s">
        <v>3</v>
      </c>
      <c r="D41" s="263">
        <f t="shared" si="1"/>
        <v>200</v>
      </c>
      <c r="E41" s="263" t="s">
        <v>3</v>
      </c>
      <c r="F41" s="261">
        <f t="shared" si="2"/>
        <v>2200</v>
      </c>
      <c r="G41" s="263" t="s">
        <v>3</v>
      </c>
      <c r="H41" s="260">
        <v>2</v>
      </c>
      <c r="I41" s="262" t="s">
        <v>581</v>
      </c>
      <c r="J41" s="112">
        <v>110</v>
      </c>
      <c r="K41" s="75">
        <v>200</v>
      </c>
      <c r="L41" s="75">
        <v>2200</v>
      </c>
      <c r="M41" s="202">
        <v>20.195041708099868</v>
      </c>
      <c r="N41" s="87">
        <v>5442.1572160018441</v>
      </c>
      <c r="O41" s="123">
        <v>67978.584761910999</v>
      </c>
      <c r="P41" s="123">
        <v>76664.059071072581</v>
      </c>
      <c r="Q41" s="120">
        <v>21232.578164399893</v>
      </c>
      <c r="R41" s="123">
        <v>89211.162926310892</v>
      </c>
      <c r="S41" s="123">
        <v>97896.637235472474</v>
      </c>
      <c r="U41" s="7" t="s">
        <v>6668</v>
      </c>
    </row>
    <row r="42" spans="1:21" ht="16.5" customHeight="1" thickBot="1">
      <c r="A42" s="259" t="s">
        <v>10</v>
      </c>
      <c r="B42" s="263">
        <f t="shared" si="0"/>
        <v>110</v>
      </c>
      <c r="C42" s="263" t="s">
        <v>3</v>
      </c>
      <c r="D42" s="263">
        <f t="shared" si="1"/>
        <v>200</v>
      </c>
      <c r="E42" s="263" t="s">
        <v>3</v>
      </c>
      <c r="F42" s="261">
        <f t="shared" si="2"/>
        <v>2250</v>
      </c>
      <c r="G42" s="263" t="s">
        <v>3</v>
      </c>
      <c r="H42" s="260">
        <v>2</v>
      </c>
      <c r="I42" s="262" t="s">
        <v>581</v>
      </c>
      <c r="J42" s="112">
        <v>110</v>
      </c>
      <c r="K42" s="75">
        <v>200</v>
      </c>
      <c r="L42" s="75">
        <v>2250</v>
      </c>
      <c r="M42" s="202">
        <v>20.583691377130524</v>
      </c>
      <c r="N42" s="87">
        <v>5589.2425461640551</v>
      </c>
      <c r="O42" s="123">
        <v>69327.839636726188</v>
      </c>
      <c r="P42" s="123">
        <v>78183.899504684858</v>
      </c>
      <c r="Q42" s="120">
        <v>21590.996943521255</v>
      </c>
      <c r="R42" s="123">
        <v>90918.836580247444</v>
      </c>
      <c r="S42" s="123">
        <v>99774.896448206113</v>
      </c>
      <c r="U42" s="7" t="s">
        <v>6669</v>
      </c>
    </row>
    <row r="43" spans="1:21" ht="16.5" customHeight="1" thickBot="1">
      <c r="A43" s="259" t="s">
        <v>10</v>
      </c>
      <c r="B43" s="263">
        <f t="shared" si="0"/>
        <v>110</v>
      </c>
      <c r="C43" s="263" t="s">
        <v>3</v>
      </c>
      <c r="D43" s="263">
        <f t="shared" si="1"/>
        <v>200</v>
      </c>
      <c r="E43" s="263" t="s">
        <v>3</v>
      </c>
      <c r="F43" s="261">
        <f t="shared" si="2"/>
        <v>2300</v>
      </c>
      <c r="G43" s="263" t="s">
        <v>3</v>
      </c>
      <c r="H43" s="260">
        <v>2</v>
      </c>
      <c r="I43" s="262" t="s">
        <v>581</v>
      </c>
      <c r="J43" s="112">
        <v>110</v>
      </c>
      <c r="K43" s="75">
        <v>200</v>
      </c>
      <c r="L43" s="75">
        <v>2300</v>
      </c>
      <c r="M43" s="202">
        <v>20.972341046161183</v>
      </c>
      <c r="N43" s="87">
        <v>5736.3278763262679</v>
      </c>
      <c r="O43" s="123">
        <v>70114.578004227107</v>
      </c>
      <c r="P43" s="123">
        <v>79146.077706983007</v>
      </c>
      <c r="Q43" s="120">
        <v>21949.415582249254</v>
      </c>
      <c r="R43" s="123">
        <v>92063.993586476368</v>
      </c>
      <c r="S43" s="123">
        <v>101095.49328923225</v>
      </c>
      <c r="U43" s="7" t="s">
        <v>6670</v>
      </c>
    </row>
    <row r="44" spans="1:21" ht="16.5" customHeight="1" thickBot="1">
      <c r="A44" s="259" t="s">
        <v>10</v>
      </c>
      <c r="B44" s="263">
        <f t="shared" si="0"/>
        <v>110</v>
      </c>
      <c r="C44" s="263" t="s">
        <v>3</v>
      </c>
      <c r="D44" s="263">
        <f t="shared" si="1"/>
        <v>200</v>
      </c>
      <c r="E44" s="263" t="s">
        <v>3</v>
      </c>
      <c r="F44" s="261">
        <f t="shared" si="2"/>
        <v>2350</v>
      </c>
      <c r="G44" s="263" t="s">
        <v>3</v>
      </c>
      <c r="H44" s="260">
        <v>2</v>
      </c>
      <c r="I44" s="262" t="s">
        <v>581</v>
      </c>
      <c r="J44" s="112">
        <v>110</v>
      </c>
      <c r="K44" s="75">
        <v>200</v>
      </c>
      <c r="L44" s="75">
        <v>2350</v>
      </c>
      <c r="M44" s="202">
        <v>21.378030715191841</v>
      </c>
      <c r="N44" s="87">
        <v>5883.4132064884798</v>
      </c>
      <c r="O44" s="123">
        <v>70901.268279981712</v>
      </c>
      <c r="P44" s="123">
        <v>80108.208273813259</v>
      </c>
      <c r="Q44" s="120">
        <v>22538.415998760531</v>
      </c>
      <c r="R44" s="123">
        <v>93439.684278742236</v>
      </c>
      <c r="S44" s="123">
        <v>102646.6242725738</v>
      </c>
      <c r="U44" s="7" t="s">
        <v>6671</v>
      </c>
    </row>
    <row r="45" spans="1:21" ht="16.5" customHeight="1" thickBot="1">
      <c r="A45" s="259" t="s">
        <v>10</v>
      </c>
      <c r="B45" s="263">
        <f t="shared" si="0"/>
        <v>110</v>
      </c>
      <c r="C45" s="263" t="s">
        <v>3</v>
      </c>
      <c r="D45" s="263">
        <f t="shared" si="1"/>
        <v>200</v>
      </c>
      <c r="E45" s="263" t="s">
        <v>3</v>
      </c>
      <c r="F45" s="261">
        <f t="shared" si="2"/>
        <v>2400</v>
      </c>
      <c r="G45" s="263" t="s">
        <v>3</v>
      </c>
      <c r="H45" s="260">
        <v>2</v>
      </c>
      <c r="I45" s="262" t="s">
        <v>581</v>
      </c>
      <c r="J45" s="112">
        <v>110</v>
      </c>
      <c r="K45" s="75">
        <v>200</v>
      </c>
      <c r="L45" s="75">
        <v>2400</v>
      </c>
      <c r="M45" s="202">
        <v>21.7666803842225</v>
      </c>
      <c r="N45" s="87">
        <v>6030.4985366506908</v>
      </c>
      <c r="O45" s="123">
        <v>71687.910463989974</v>
      </c>
      <c r="P45" s="123">
        <v>81070.291078821581</v>
      </c>
      <c r="Q45" s="120">
        <v>22896.83463748853</v>
      </c>
      <c r="R45" s="123">
        <v>94584.745101478504</v>
      </c>
      <c r="S45" s="123">
        <v>103967.12571631011</v>
      </c>
      <c r="U45" s="7" t="s">
        <v>6672</v>
      </c>
    </row>
    <row r="46" spans="1:21" ht="16.5" customHeight="1" thickBot="1">
      <c r="A46" s="259" t="s">
        <v>10</v>
      </c>
      <c r="B46" s="263">
        <f t="shared" si="0"/>
        <v>110</v>
      </c>
      <c r="C46" s="263" t="s">
        <v>3</v>
      </c>
      <c r="D46" s="263">
        <f t="shared" si="1"/>
        <v>200</v>
      </c>
      <c r="E46" s="263" t="s">
        <v>3</v>
      </c>
      <c r="F46" s="261">
        <f t="shared" si="2"/>
        <v>2450</v>
      </c>
      <c r="G46" s="263" t="s">
        <v>3</v>
      </c>
      <c r="H46" s="260">
        <v>2</v>
      </c>
      <c r="I46" s="262" t="s">
        <v>581</v>
      </c>
      <c r="J46" s="112">
        <v>110</v>
      </c>
      <c r="K46" s="75">
        <v>200</v>
      </c>
      <c r="L46" s="75">
        <v>2450</v>
      </c>
      <c r="M46" s="202">
        <v>22.836396175553158</v>
      </c>
      <c r="N46" s="87">
        <v>6177.5838668129045</v>
      </c>
      <c r="O46" s="123">
        <v>72906.72703799099</v>
      </c>
      <c r="P46" s="123">
        <v>82556.341539671979</v>
      </c>
      <c r="Q46" s="120">
        <v>23485.83519439317</v>
      </c>
      <c r="R46" s="123">
        <v>96392.562232384167</v>
      </c>
      <c r="S46" s="123">
        <v>106042.17673406514</v>
      </c>
      <c r="U46" s="7" t="s">
        <v>6673</v>
      </c>
    </row>
    <row r="47" spans="1:21" ht="16.5" customHeight="1" thickBot="1">
      <c r="A47" s="259" t="s">
        <v>10</v>
      </c>
      <c r="B47" s="263">
        <f t="shared" si="0"/>
        <v>110</v>
      </c>
      <c r="C47" s="263" t="s">
        <v>3</v>
      </c>
      <c r="D47" s="263">
        <f t="shared" si="1"/>
        <v>200</v>
      </c>
      <c r="E47" s="263" t="s">
        <v>3</v>
      </c>
      <c r="F47" s="261">
        <f t="shared" si="2"/>
        <v>2500</v>
      </c>
      <c r="G47" s="263" t="s">
        <v>3</v>
      </c>
      <c r="H47" s="260">
        <v>2</v>
      </c>
      <c r="I47" s="262" t="s">
        <v>581</v>
      </c>
      <c r="J47" s="112">
        <v>110</v>
      </c>
      <c r="K47" s="75">
        <v>200</v>
      </c>
      <c r="L47" s="75">
        <v>2500</v>
      </c>
      <c r="M47" s="202">
        <v>23.242045844583821</v>
      </c>
      <c r="N47" s="87">
        <v>6324.6691969751155</v>
      </c>
      <c r="O47" s="123">
        <v>73693.27303850661</v>
      </c>
      <c r="P47" s="123">
        <v>83518.328947390502</v>
      </c>
      <c r="Q47" s="120">
        <v>23844.253833121165</v>
      </c>
      <c r="R47" s="123">
        <v>97537.526871627779</v>
      </c>
      <c r="S47" s="123">
        <v>107362.58278051167</v>
      </c>
      <c r="U47" s="7" t="s">
        <v>6674</v>
      </c>
    </row>
    <row r="48" spans="1:21" ht="16.5" customHeight="1" thickBot="1">
      <c r="A48" s="259" t="s">
        <v>10</v>
      </c>
      <c r="B48" s="263">
        <f t="shared" si="0"/>
        <v>110</v>
      </c>
      <c r="C48" s="263" t="s">
        <v>3</v>
      </c>
      <c r="D48" s="263">
        <f t="shared" si="1"/>
        <v>200</v>
      </c>
      <c r="E48" s="263" t="s">
        <v>3</v>
      </c>
      <c r="F48" s="261">
        <f t="shared" si="2"/>
        <v>2550</v>
      </c>
      <c r="G48" s="263" t="s">
        <v>3</v>
      </c>
      <c r="H48" s="260">
        <v>2</v>
      </c>
      <c r="I48" s="262" t="s">
        <v>581</v>
      </c>
      <c r="J48" s="112">
        <v>110</v>
      </c>
      <c r="K48" s="75">
        <v>200</v>
      </c>
      <c r="L48" s="75">
        <v>2550</v>
      </c>
      <c r="M48" s="202">
        <v>23.647735513614471</v>
      </c>
      <c r="N48" s="87">
        <v>6471.7545271373274</v>
      </c>
      <c r="O48" s="123">
        <v>77774.106764935234</v>
      </c>
      <c r="P48" s="123">
        <v>87746.175857128066</v>
      </c>
      <c r="Q48" s="120">
        <v>24433.254249632446</v>
      </c>
      <c r="R48" s="123">
        <v>102207.36101456768</v>
      </c>
      <c r="S48" s="123">
        <v>112179.43010676051</v>
      </c>
      <c r="U48" s="7" t="s">
        <v>6675</v>
      </c>
    </row>
    <row r="49" spans="1:21" ht="16.5" customHeight="1" thickBot="1">
      <c r="A49" s="259" t="s">
        <v>10</v>
      </c>
      <c r="B49" s="260">
        <f t="shared" si="0"/>
        <v>110</v>
      </c>
      <c r="C49" s="260" t="s">
        <v>3</v>
      </c>
      <c r="D49" s="260">
        <f t="shared" si="1"/>
        <v>200</v>
      </c>
      <c r="E49" s="260" t="s">
        <v>3</v>
      </c>
      <c r="F49" s="261">
        <f t="shared" si="2"/>
        <v>2600</v>
      </c>
      <c r="G49" s="260" t="s">
        <v>3</v>
      </c>
      <c r="H49" s="260">
        <v>2</v>
      </c>
      <c r="I49" s="262" t="s">
        <v>581</v>
      </c>
      <c r="J49" s="112">
        <v>110</v>
      </c>
      <c r="K49" s="75">
        <v>200</v>
      </c>
      <c r="L49" s="75">
        <v>2600</v>
      </c>
      <c r="M49" s="202">
        <v>24.036385182645134</v>
      </c>
      <c r="N49" s="87">
        <v>6618.8398572995402</v>
      </c>
      <c r="O49" s="123">
        <v>78831.160127117342</v>
      </c>
      <c r="P49" s="123">
        <v>88976.336292035412</v>
      </c>
      <c r="Q49" s="120">
        <v>24791.672888360441</v>
      </c>
      <c r="R49" s="123">
        <v>103622.83301547778</v>
      </c>
      <c r="S49" s="123">
        <v>113768.00918039585</v>
      </c>
      <c r="U49" s="7" t="s">
        <v>6676</v>
      </c>
    </row>
    <row r="50" spans="1:21" ht="16.5" customHeight="1" thickBot="1">
      <c r="A50" s="259" t="s">
        <v>10</v>
      </c>
      <c r="B50" s="263">
        <f t="shared" si="0"/>
        <v>110</v>
      </c>
      <c r="C50" s="263" t="s">
        <v>3</v>
      </c>
      <c r="D50" s="263">
        <f t="shared" si="1"/>
        <v>200</v>
      </c>
      <c r="E50" s="263" t="s">
        <v>3</v>
      </c>
      <c r="F50" s="261">
        <f t="shared" si="2"/>
        <v>2650</v>
      </c>
      <c r="G50" s="263" t="s">
        <v>3</v>
      </c>
      <c r="H50" s="260">
        <v>2</v>
      </c>
      <c r="I50" s="262" t="s">
        <v>581</v>
      </c>
      <c r="J50" s="112">
        <v>110</v>
      </c>
      <c r="K50" s="75">
        <v>200</v>
      </c>
      <c r="L50" s="75">
        <v>2650</v>
      </c>
      <c r="M50" s="202">
        <v>24.549074851675798</v>
      </c>
      <c r="N50" s="87">
        <v>6765.9251874617512</v>
      </c>
      <c r="O50" s="123">
        <v>79457.59366798999</v>
      </c>
      <c r="P50" s="123">
        <v>89779.592970525686</v>
      </c>
      <c r="Q50" s="120">
        <v>25380.673304871718</v>
      </c>
      <c r="R50" s="123">
        <v>104838.2669728617</v>
      </c>
      <c r="S50" s="123">
        <v>115160.2662753974</v>
      </c>
      <c r="U50" s="7" t="s">
        <v>6677</v>
      </c>
    </row>
    <row r="51" spans="1:21" ht="16.5" customHeight="1" thickBot="1">
      <c r="A51" s="259" t="s">
        <v>10</v>
      </c>
      <c r="B51" s="263">
        <f t="shared" si="0"/>
        <v>110</v>
      </c>
      <c r="C51" s="263" t="s">
        <v>3</v>
      </c>
      <c r="D51" s="263">
        <f t="shared" si="1"/>
        <v>200</v>
      </c>
      <c r="E51" s="263" t="s">
        <v>3</v>
      </c>
      <c r="F51" s="261">
        <f t="shared" si="2"/>
        <v>2700</v>
      </c>
      <c r="G51" s="263" t="s">
        <v>3</v>
      </c>
      <c r="H51" s="260">
        <v>2</v>
      </c>
      <c r="I51" s="262" t="s">
        <v>581</v>
      </c>
      <c r="J51" s="112">
        <v>110</v>
      </c>
      <c r="K51" s="75">
        <v>200</v>
      </c>
      <c r="L51" s="75">
        <v>2700</v>
      </c>
      <c r="M51" s="202">
        <v>24.976974520706452</v>
      </c>
      <c r="N51" s="87">
        <v>6913.010517623964</v>
      </c>
      <c r="O51" s="123">
        <v>80119.35853227273</v>
      </c>
      <c r="P51" s="123">
        <v>90617.876248632703</v>
      </c>
      <c r="Q51" s="120">
        <v>25739.09208399308</v>
      </c>
      <c r="R51" s="123">
        <v>105858.45061626581</v>
      </c>
      <c r="S51" s="123">
        <v>116356.96833262578</v>
      </c>
      <c r="U51" s="7" t="s">
        <v>6678</v>
      </c>
    </row>
    <row r="52" spans="1:21" ht="16.5" customHeight="1" thickBot="1">
      <c r="A52" s="259" t="s">
        <v>10</v>
      </c>
      <c r="B52" s="263">
        <f t="shared" si="0"/>
        <v>110</v>
      </c>
      <c r="C52" s="263" t="s">
        <v>3</v>
      </c>
      <c r="D52" s="263">
        <f t="shared" si="1"/>
        <v>200</v>
      </c>
      <c r="E52" s="263" t="s">
        <v>3</v>
      </c>
      <c r="F52" s="261">
        <f t="shared" si="2"/>
        <v>2750</v>
      </c>
      <c r="G52" s="263" t="s">
        <v>3</v>
      </c>
      <c r="H52" s="260">
        <v>2</v>
      </c>
      <c r="I52" s="262" t="s">
        <v>581</v>
      </c>
      <c r="J52" s="112">
        <v>110</v>
      </c>
      <c r="K52" s="75">
        <v>200</v>
      </c>
      <c r="L52" s="75">
        <v>2750</v>
      </c>
      <c r="M52" s="202">
        <v>25.365624189737112</v>
      </c>
      <c r="N52" s="87">
        <v>7060.0958477861759</v>
      </c>
      <c r="O52" s="123">
        <v>80827.44994905444</v>
      </c>
      <c r="P52" s="123">
        <v>91502.086182784973</v>
      </c>
      <c r="Q52" s="120">
        <v>26097.510722721079</v>
      </c>
      <c r="R52" s="123">
        <v>106924.96067177552</v>
      </c>
      <c r="S52" s="123">
        <v>117599.59690550606</v>
      </c>
      <c r="U52" s="7" t="s">
        <v>6679</v>
      </c>
    </row>
    <row r="53" spans="1:21" ht="16.5" customHeight="1" thickBot="1">
      <c r="A53" s="259" t="s">
        <v>10</v>
      </c>
      <c r="B53" s="263">
        <f t="shared" si="0"/>
        <v>110</v>
      </c>
      <c r="C53" s="263" t="s">
        <v>3</v>
      </c>
      <c r="D53" s="263">
        <f t="shared" si="1"/>
        <v>200</v>
      </c>
      <c r="E53" s="263" t="s">
        <v>3</v>
      </c>
      <c r="F53" s="261">
        <f t="shared" si="2"/>
        <v>2800</v>
      </c>
      <c r="G53" s="263" t="s">
        <v>3</v>
      </c>
      <c r="H53" s="260">
        <v>2</v>
      </c>
      <c r="I53" s="262" t="s">
        <v>581</v>
      </c>
      <c r="J53" s="112">
        <v>110</v>
      </c>
      <c r="K53" s="75">
        <v>200</v>
      </c>
      <c r="L53" s="75">
        <v>2800</v>
      </c>
      <c r="M53" s="202">
        <v>25.771313858767769</v>
      </c>
      <c r="N53" s="87">
        <v>7207.1811779483878</v>
      </c>
      <c r="O53" s="123">
        <v>81452.649095326648</v>
      </c>
      <c r="P53" s="123">
        <v>92304.119248885036</v>
      </c>
      <c r="Q53" s="120">
        <v>26686.511139232356</v>
      </c>
      <c r="R53" s="123">
        <v>108139.16023455901</v>
      </c>
      <c r="S53" s="123">
        <v>118990.6303881174</v>
      </c>
      <c r="U53" s="7" t="s">
        <v>6680</v>
      </c>
    </row>
    <row r="54" spans="1:21" ht="16.5" customHeight="1" thickBot="1">
      <c r="A54" s="259" t="s">
        <v>10</v>
      </c>
      <c r="B54" s="263">
        <f t="shared" si="0"/>
        <v>110</v>
      </c>
      <c r="C54" s="263" t="s">
        <v>3</v>
      </c>
      <c r="D54" s="263">
        <f t="shared" si="1"/>
        <v>200</v>
      </c>
      <c r="E54" s="263" t="s">
        <v>3</v>
      </c>
      <c r="F54" s="261">
        <f t="shared" si="2"/>
        <v>2850</v>
      </c>
      <c r="G54" s="263" t="s">
        <v>3</v>
      </c>
      <c r="H54" s="260">
        <v>2</v>
      </c>
      <c r="I54" s="262" t="s">
        <v>581</v>
      </c>
      <c r="J54" s="112">
        <v>110</v>
      </c>
      <c r="K54" s="75">
        <v>200</v>
      </c>
      <c r="L54" s="75">
        <v>2850</v>
      </c>
      <c r="M54" s="202">
        <v>26.159963527798425</v>
      </c>
      <c r="N54" s="87">
        <v>7354.2665081105997</v>
      </c>
      <c r="O54" s="123">
        <v>82077.800149852541</v>
      </c>
      <c r="P54" s="123">
        <v>93106.104553163168</v>
      </c>
      <c r="Q54" s="120">
        <v>27044.929777960355</v>
      </c>
      <c r="R54" s="123">
        <v>109122.72992781289</v>
      </c>
      <c r="S54" s="123">
        <v>120151.03433112352</v>
      </c>
      <c r="U54" s="7" t="s">
        <v>6681</v>
      </c>
    </row>
    <row r="55" spans="1:21" ht="16.5" customHeight="1" thickBot="1">
      <c r="A55" s="259" t="s">
        <v>10</v>
      </c>
      <c r="B55" s="263">
        <f t="shared" si="0"/>
        <v>110</v>
      </c>
      <c r="C55" s="263" t="s">
        <v>3</v>
      </c>
      <c r="D55" s="263">
        <f t="shared" si="1"/>
        <v>200</v>
      </c>
      <c r="E55" s="263" t="s">
        <v>3</v>
      </c>
      <c r="F55" s="261">
        <f t="shared" si="2"/>
        <v>2900</v>
      </c>
      <c r="G55" s="263" t="s">
        <v>3</v>
      </c>
      <c r="H55" s="260">
        <v>2</v>
      </c>
      <c r="I55" s="262" t="s">
        <v>581</v>
      </c>
      <c r="J55" s="112">
        <v>110</v>
      </c>
      <c r="K55" s="75">
        <v>200</v>
      </c>
      <c r="L55" s="75">
        <v>2900</v>
      </c>
      <c r="M55" s="202">
        <v>26.741653196829077</v>
      </c>
      <c r="N55" s="87">
        <v>7501.3518382728116</v>
      </c>
      <c r="O55" s="123">
        <v>82702.903112632121</v>
      </c>
      <c r="P55" s="123">
        <v>93908.042095619385</v>
      </c>
      <c r="Q55" s="120">
        <v>27633.930194471632</v>
      </c>
      <c r="R55" s="123">
        <v>110336.83330710375</v>
      </c>
      <c r="S55" s="123">
        <v>121541.97229009101</v>
      </c>
      <c r="U55" s="7" t="s">
        <v>6682</v>
      </c>
    </row>
    <row r="56" spans="1:21" ht="16.5" customHeight="1" thickBot="1">
      <c r="A56" s="259" t="s">
        <v>10</v>
      </c>
      <c r="B56" s="263">
        <f t="shared" si="0"/>
        <v>110</v>
      </c>
      <c r="C56" s="263" t="s">
        <v>3</v>
      </c>
      <c r="D56" s="263">
        <f t="shared" si="1"/>
        <v>200</v>
      </c>
      <c r="E56" s="263" t="s">
        <v>3</v>
      </c>
      <c r="F56" s="261">
        <f t="shared" si="2"/>
        <v>2950</v>
      </c>
      <c r="G56" s="263" t="s">
        <v>3</v>
      </c>
      <c r="H56" s="260">
        <v>2</v>
      </c>
      <c r="I56" s="262" t="s">
        <v>581</v>
      </c>
      <c r="J56" s="112">
        <v>110</v>
      </c>
      <c r="K56" s="75">
        <v>200</v>
      </c>
      <c r="L56" s="75">
        <v>2950</v>
      </c>
      <c r="M56" s="202">
        <v>27.13030286585974</v>
      </c>
      <c r="N56" s="87">
        <v>7648.4371684350244</v>
      </c>
      <c r="O56" s="123">
        <v>83327.95786433098</v>
      </c>
      <c r="P56" s="123">
        <v>94709.932128961736</v>
      </c>
      <c r="Q56" s="120">
        <v>27992.348973592994</v>
      </c>
      <c r="R56" s="123">
        <v>111320.30683792397</v>
      </c>
      <c r="S56" s="123">
        <v>122702.28110255473</v>
      </c>
      <c r="U56" s="7" t="s">
        <v>6683</v>
      </c>
    </row>
    <row r="57" spans="1:21" ht="16.5" customHeight="1" thickBot="1">
      <c r="A57" s="264" t="s">
        <v>10</v>
      </c>
      <c r="B57" s="265">
        <f t="shared" si="0"/>
        <v>110</v>
      </c>
      <c r="C57" s="265" t="s">
        <v>3</v>
      </c>
      <c r="D57" s="265">
        <f t="shared" si="1"/>
        <v>200</v>
      </c>
      <c r="E57" s="265" t="s">
        <v>3</v>
      </c>
      <c r="F57" s="266">
        <f t="shared" si="2"/>
        <v>3000</v>
      </c>
      <c r="G57" s="265" t="s">
        <v>3</v>
      </c>
      <c r="H57" s="267">
        <v>2</v>
      </c>
      <c r="I57" s="262" t="s">
        <v>581</v>
      </c>
      <c r="J57" s="346">
        <v>110</v>
      </c>
      <c r="K57" s="322">
        <v>200</v>
      </c>
      <c r="L57" s="322">
        <v>3000</v>
      </c>
      <c r="M57" s="305">
        <v>27.535992534890397</v>
      </c>
      <c r="N57" s="306">
        <v>7795.5224985972354</v>
      </c>
      <c r="O57" s="307">
        <v>85669.801442400421</v>
      </c>
      <c r="P57" s="307">
        <v>97213.795607054388</v>
      </c>
      <c r="Q57" s="308">
        <v>28581.349390104271</v>
      </c>
      <c r="R57" s="307">
        <v>114251.15083250469</v>
      </c>
      <c r="S57" s="307">
        <v>125795.14499715866</v>
      </c>
      <c r="U57" s="7" t="s">
        <v>6684</v>
      </c>
    </row>
    <row r="58" spans="1:21" ht="22.5" customHeight="1" thickBot="1">
      <c r="A58" s="2580" t="s">
        <v>50</v>
      </c>
      <c r="B58" s="2581"/>
      <c r="C58" s="2581"/>
      <c r="D58" s="2581"/>
      <c r="E58" s="2581"/>
      <c r="F58" s="2581"/>
      <c r="G58" s="2581"/>
      <c r="H58" s="2581"/>
      <c r="I58" s="2581"/>
      <c r="J58" s="2581"/>
      <c r="K58" s="2581"/>
      <c r="L58" s="2581"/>
      <c r="M58" s="2581"/>
      <c r="N58" s="2581"/>
      <c r="O58" s="2581"/>
      <c r="P58" s="2581"/>
      <c r="Q58" s="2581"/>
      <c r="R58" s="2581"/>
      <c r="S58" s="2582"/>
    </row>
    <row r="59" spans="1:21" ht="16.5" customHeight="1" thickBot="1">
      <c r="A59" s="2627" t="s">
        <v>134</v>
      </c>
      <c r="B59" s="2628"/>
      <c r="C59" s="2628"/>
      <c r="D59" s="2628"/>
      <c r="E59" s="2628"/>
      <c r="F59" s="2628"/>
      <c r="G59" s="2628"/>
      <c r="H59" s="2628"/>
      <c r="I59" s="2628"/>
      <c r="J59" s="2628"/>
      <c r="K59" s="2628"/>
      <c r="L59" s="2628"/>
      <c r="M59" s="2628"/>
      <c r="N59" s="2628"/>
      <c r="O59" s="2628"/>
      <c r="P59" s="2628"/>
      <c r="Q59" s="2628"/>
      <c r="R59" s="2628"/>
      <c r="S59" s="2629"/>
    </row>
    <row r="60" spans="1:21" ht="16.5" customHeight="1" thickBot="1">
      <c r="A60" s="259" t="s">
        <v>10</v>
      </c>
      <c r="B60" s="260">
        <f t="shared" ref="B60:B106" si="3">J60</f>
        <v>110</v>
      </c>
      <c r="C60" s="260" t="s">
        <v>3</v>
      </c>
      <c r="D60" s="260">
        <f t="shared" ref="D60:D106" si="4">K60</f>
        <v>260</v>
      </c>
      <c r="E60" s="260" t="s">
        <v>3</v>
      </c>
      <c r="F60" s="261">
        <f t="shared" ref="F60:F106" si="5">L60</f>
        <v>700</v>
      </c>
      <c r="G60" s="260" t="s">
        <v>3</v>
      </c>
      <c r="H60" s="260">
        <v>2</v>
      </c>
      <c r="I60" s="262" t="s">
        <v>581</v>
      </c>
      <c r="J60" s="344">
        <v>110</v>
      </c>
      <c r="K60" s="327">
        <v>260</v>
      </c>
      <c r="L60" s="327">
        <v>700</v>
      </c>
      <c r="M60" s="301">
        <v>7.6921225462485516</v>
      </c>
      <c r="N60" s="302">
        <v>1300.1297400000001</v>
      </c>
      <c r="O60" s="303">
        <v>26210.063800650609</v>
      </c>
      <c r="P60" s="303">
        <v>30118.63522929481</v>
      </c>
      <c r="Q60" s="304">
        <v>8629.8383359722393</v>
      </c>
      <c r="R60" s="303">
        <v>34839.902136622848</v>
      </c>
      <c r="S60" s="303">
        <v>38748.47356526705</v>
      </c>
      <c r="U60" s="7" t="s">
        <v>6685</v>
      </c>
    </row>
    <row r="61" spans="1:21" ht="16.5" customHeight="1" thickBot="1">
      <c r="A61" s="259" t="s">
        <v>10</v>
      </c>
      <c r="B61" s="263">
        <f t="shared" si="3"/>
        <v>110</v>
      </c>
      <c r="C61" s="263" t="s">
        <v>3</v>
      </c>
      <c r="D61" s="263">
        <f t="shared" si="4"/>
        <v>260</v>
      </c>
      <c r="E61" s="263" t="s">
        <v>3</v>
      </c>
      <c r="F61" s="261">
        <f t="shared" si="5"/>
        <v>750</v>
      </c>
      <c r="G61" s="263" t="s">
        <v>3</v>
      </c>
      <c r="H61" s="260">
        <v>2</v>
      </c>
      <c r="I61" s="262" t="s">
        <v>581</v>
      </c>
      <c r="J61" s="112">
        <v>110</v>
      </c>
      <c r="K61" s="75">
        <v>260</v>
      </c>
      <c r="L61" s="75">
        <v>750</v>
      </c>
      <c r="M61" s="202">
        <v>8.128552777121314</v>
      </c>
      <c r="N61" s="87">
        <v>1485.8625599999998</v>
      </c>
      <c r="O61" s="123">
        <v>27764.119346205047</v>
      </c>
      <c r="P61" s="123">
        <v>31870.39216038763</v>
      </c>
      <c r="Q61" s="120">
        <v>9061.4489483391772</v>
      </c>
      <c r="R61" s="123">
        <v>36825.568294544224</v>
      </c>
      <c r="S61" s="123">
        <v>40931.841108726803</v>
      </c>
      <c r="U61" s="7" t="s">
        <v>6686</v>
      </c>
    </row>
    <row r="62" spans="1:21" ht="16.5" customHeight="1" thickBot="1">
      <c r="A62" s="259" t="s">
        <v>10</v>
      </c>
      <c r="B62" s="263">
        <f t="shared" si="3"/>
        <v>110</v>
      </c>
      <c r="C62" s="263" t="s">
        <v>3</v>
      </c>
      <c r="D62" s="263">
        <f t="shared" si="4"/>
        <v>260</v>
      </c>
      <c r="E62" s="263" t="s">
        <v>3</v>
      </c>
      <c r="F62" s="261">
        <f t="shared" si="5"/>
        <v>800</v>
      </c>
      <c r="G62" s="263" t="s">
        <v>3</v>
      </c>
      <c r="H62" s="260">
        <v>2</v>
      </c>
      <c r="I62" s="262" t="s">
        <v>581</v>
      </c>
      <c r="J62" s="112">
        <v>110</v>
      </c>
      <c r="K62" s="75">
        <v>260</v>
      </c>
      <c r="L62" s="75">
        <v>800</v>
      </c>
      <c r="M62" s="202">
        <v>8.5649830079940781</v>
      </c>
      <c r="N62" s="87">
        <v>1671.59538</v>
      </c>
      <c r="O62" s="123">
        <v>29318.175011093845</v>
      </c>
      <c r="P62" s="123">
        <v>33622.14909148046</v>
      </c>
      <c r="Q62" s="120">
        <v>9493.059560706115</v>
      </c>
      <c r="R62" s="123">
        <v>38811.234571799956</v>
      </c>
      <c r="S62" s="123">
        <v>43115.208652186571</v>
      </c>
      <c r="U62" s="7" t="s">
        <v>6687</v>
      </c>
    </row>
    <row r="63" spans="1:21" ht="16.5" customHeight="1" thickBot="1">
      <c r="A63" s="259" t="s">
        <v>10</v>
      </c>
      <c r="B63" s="263">
        <f t="shared" si="3"/>
        <v>110</v>
      </c>
      <c r="C63" s="263" t="s">
        <v>3</v>
      </c>
      <c r="D63" s="263">
        <f t="shared" si="4"/>
        <v>260</v>
      </c>
      <c r="E63" s="263" t="s">
        <v>3</v>
      </c>
      <c r="F63" s="261">
        <f t="shared" si="5"/>
        <v>850</v>
      </c>
      <c r="G63" s="263" t="s">
        <v>3</v>
      </c>
      <c r="H63" s="260">
        <v>2</v>
      </c>
      <c r="I63" s="262" t="s">
        <v>581</v>
      </c>
      <c r="J63" s="112">
        <v>110</v>
      </c>
      <c r="K63" s="75">
        <v>260</v>
      </c>
      <c r="L63" s="75">
        <v>850</v>
      </c>
      <c r="M63" s="202">
        <v>9.0184532388668419</v>
      </c>
      <c r="N63" s="87">
        <v>1857.3281999999999</v>
      </c>
      <c r="O63" s="123">
        <v>30872.230556648279</v>
      </c>
      <c r="P63" s="123">
        <v>35373.906022573276</v>
      </c>
      <c r="Q63" s="120">
        <v>10155.251950856327</v>
      </c>
      <c r="R63" s="123">
        <v>41027.48250750461</v>
      </c>
      <c r="S63" s="123">
        <v>45529.157973429603</v>
      </c>
      <c r="U63" s="7" t="s">
        <v>6688</v>
      </c>
    </row>
    <row r="64" spans="1:21" ht="16.5" customHeight="1" thickBot="1">
      <c r="A64" s="259" t="s">
        <v>10</v>
      </c>
      <c r="B64" s="263">
        <f t="shared" si="3"/>
        <v>110</v>
      </c>
      <c r="C64" s="263" t="s">
        <v>3</v>
      </c>
      <c r="D64" s="263">
        <f t="shared" si="4"/>
        <v>260</v>
      </c>
      <c r="E64" s="263" t="s">
        <v>3</v>
      </c>
      <c r="F64" s="261">
        <f t="shared" si="5"/>
        <v>900</v>
      </c>
      <c r="G64" s="263" t="s">
        <v>3</v>
      </c>
      <c r="H64" s="260">
        <v>2</v>
      </c>
      <c r="I64" s="262" t="s">
        <v>581</v>
      </c>
      <c r="J64" s="112">
        <v>110</v>
      </c>
      <c r="K64" s="75">
        <v>260</v>
      </c>
      <c r="L64" s="75">
        <v>900</v>
      </c>
      <c r="M64" s="202">
        <v>9.4928834697396045</v>
      </c>
      <c r="N64" s="87">
        <v>2043.0610200000001</v>
      </c>
      <c r="O64" s="123">
        <v>32426.286102202717</v>
      </c>
      <c r="P64" s="123">
        <v>37125.662953666106</v>
      </c>
      <c r="Q64" s="120">
        <v>10586.862563223265</v>
      </c>
      <c r="R64" s="123">
        <v>43013.148665425979</v>
      </c>
      <c r="S64" s="123">
        <v>47712.525516889371</v>
      </c>
      <c r="U64" s="7" t="s">
        <v>6689</v>
      </c>
    </row>
    <row r="65" spans="1:21" ht="16.5" customHeight="1" thickBot="1">
      <c r="A65" s="259" t="s">
        <v>10</v>
      </c>
      <c r="B65" s="263">
        <f t="shared" si="3"/>
        <v>110</v>
      </c>
      <c r="C65" s="263" t="s">
        <v>3</v>
      </c>
      <c r="D65" s="263">
        <f t="shared" si="4"/>
        <v>260</v>
      </c>
      <c r="E65" s="263" t="s">
        <v>3</v>
      </c>
      <c r="F65" s="261">
        <f t="shared" si="5"/>
        <v>950</v>
      </c>
      <c r="G65" s="263" t="s">
        <v>3</v>
      </c>
      <c r="H65" s="260">
        <v>2</v>
      </c>
      <c r="I65" s="262" t="s">
        <v>581</v>
      </c>
      <c r="J65" s="112">
        <v>110</v>
      </c>
      <c r="K65" s="75">
        <v>260</v>
      </c>
      <c r="L65" s="75">
        <v>950</v>
      </c>
      <c r="M65" s="202">
        <v>10.015353700612369</v>
      </c>
      <c r="N65" s="87">
        <v>2228.7938399999998</v>
      </c>
      <c r="O65" s="123">
        <v>33980.341767091515</v>
      </c>
      <c r="P65" s="123">
        <v>38877.419884758929</v>
      </c>
      <c r="Q65" s="120">
        <v>11249.054953373477</v>
      </c>
      <c r="R65" s="123">
        <v>45229.396720464996</v>
      </c>
      <c r="S65" s="123">
        <v>50126.474838132403</v>
      </c>
      <c r="U65" s="7" t="s">
        <v>6690</v>
      </c>
    </row>
    <row r="66" spans="1:21" ht="16.5" customHeight="1" thickBot="1">
      <c r="A66" s="259" t="s">
        <v>10</v>
      </c>
      <c r="B66" s="263">
        <f t="shared" si="3"/>
        <v>110</v>
      </c>
      <c r="C66" s="263" t="s">
        <v>3</v>
      </c>
      <c r="D66" s="263">
        <f t="shared" si="4"/>
        <v>260</v>
      </c>
      <c r="E66" s="263" t="s">
        <v>3</v>
      </c>
      <c r="F66" s="261">
        <f t="shared" si="5"/>
        <v>1000</v>
      </c>
      <c r="G66" s="263" t="s">
        <v>3</v>
      </c>
      <c r="H66" s="260">
        <v>2</v>
      </c>
      <c r="I66" s="262" t="s">
        <v>581</v>
      </c>
      <c r="J66" s="112">
        <v>110</v>
      </c>
      <c r="K66" s="75">
        <v>260</v>
      </c>
      <c r="L66" s="75">
        <v>1000</v>
      </c>
      <c r="M66" s="202">
        <v>10.451783931485133</v>
      </c>
      <c r="N66" s="87">
        <v>2414.52666</v>
      </c>
      <c r="O66" s="123">
        <v>35439.265275026642</v>
      </c>
      <c r="P66" s="123">
        <v>40534.865665242643</v>
      </c>
      <c r="Q66" s="120">
        <v>11680.665565740415</v>
      </c>
      <c r="R66" s="123">
        <v>47119.930840767061</v>
      </c>
      <c r="S66" s="123">
        <v>52215.531230983062</v>
      </c>
      <c r="U66" s="7" t="s">
        <v>6691</v>
      </c>
    </row>
    <row r="67" spans="1:21" ht="16.5" customHeight="1" thickBot="1">
      <c r="A67" s="259" t="s">
        <v>10</v>
      </c>
      <c r="B67" s="263">
        <f t="shared" si="3"/>
        <v>110</v>
      </c>
      <c r="C67" s="263" t="s">
        <v>3</v>
      </c>
      <c r="D67" s="263">
        <f t="shared" si="4"/>
        <v>260</v>
      </c>
      <c r="E67" s="263" t="s">
        <v>3</v>
      </c>
      <c r="F67" s="261">
        <f t="shared" si="5"/>
        <v>1050</v>
      </c>
      <c r="G67" s="263" t="s">
        <v>3</v>
      </c>
      <c r="H67" s="260">
        <v>2</v>
      </c>
      <c r="I67" s="262" t="s">
        <v>581</v>
      </c>
      <c r="J67" s="112">
        <v>110</v>
      </c>
      <c r="K67" s="75">
        <v>260</v>
      </c>
      <c r="L67" s="75">
        <v>1050</v>
      </c>
      <c r="M67" s="202">
        <v>10.905254162357895</v>
      </c>
      <c r="N67" s="87">
        <v>2600.2594800000002</v>
      </c>
      <c r="O67" s="123">
        <v>37219.259544178094</v>
      </c>
      <c r="P67" s="123">
        <v>42510.611515855082</v>
      </c>
      <c r="Q67" s="120">
        <v>12342.857815497266</v>
      </c>
      <c r="R67" s="123">
        <v>49562.117359675358</v>
      </c>
      <c r="S67" s="123">
        <v>54853.469331352346</v>
      </c>
      <c r="U67" s="7" t="s">
        <v>6692</v>
      </c>
    </row>
    <row r="68" spans="1:21" ht="16.5" customHeight="1" thickBot="1">
      <c r="A68" s="259" t="s">
        <v>10</v>
      </c>
      <c r="B68" s="260">
        <f t="shared" si="3"/>
        <v>110</v>
      </c>
      <c r="C68" s="260" t="s">
        <v>3</v>
      </c>
      <c r="D68" s="260">
        <f t="shared" si="4"/>
        <v>260</v>
      </c>
      <c r="E68" s="260" t="s">
        <v>3</v>
      </c>
      <c r="F68" s="261">
        <f t="shared" si="5"/>
        <v>1100</v>
      </c>
      <c r="G68" s="260" t="s">
        <v>3</v>
      </c>
      <c r="H68" s="260">
        <v>2</v>
      </c>
      <c r="I68" s="262" t="s">
        <v>581</v>
      </c>
      <c r="J68" s="112">
        <v>110</v>
      </c>
      <c r="K68" s="75">
        <v>260</v>
      </c>
      <c r="L68" s="75">
        <v>1100</v>
      </c>
      <c r="M68" s="202">
        <v>11.341684393230658</v>
      </c>
      <c r="N68" s="87">
        <v>2785.9922999999999</v>
      </c>
      <c r="O68" s="123">
        <v>38773.315089732532</v>
      </c>
      <c r="P68" s="123">
        <v>44262.368446947912</v>
      </c>
      <c r="Q68" s="120">
        <v>12774.468427864203</v>
      </c>
      <c r="R68" s="123">
        <v>51547.783517596734</v>
      </c>
      <c r="S68" s="123">
        <v>57036.836874812114</v>
      </c>
      <c r="U68" s="7" t="s">
        <v>6693</v>
      </c>
    </row>
    <row r="69" spans="1:21" ht="16.5" customHeight="1" thickBot="1">
      <c r="A69" s="259" t="s">
        <v>10</v>
      </c>
      <c r="B69" s="263">
        <f t="shared" si="3"/>
        <v>110</v>
      </c>
      <c r="C69" s="263" t="s">
        <v>3</v>
      </c>
      <c r="D69" s="263">
        <f t="shared" si="4"/>
        <v>260</v>
      </c>
      <c r="E69" s="263" t="s">
        <v>3</v>
      </c>
      <c r="F69" s="261">
        <f t="shared" si="5"/>
        <v>1150</v>
      </c>
      <c r="G69" s="263" t="s">
        <v>3</v>
      </c>
      <c r="H69" s="260">
        <v>2</v>
      </c>
      <c r="I69" s="262" t="s">
        <v>581</v>
      </c>
      <c r="J69" s="112">
        <v>110</v>
      </c>
      <c r="K69" s="75">
        <v>260</v>
      </c>
      <c r="L69" s="75">
        <v>1150</v>
      </c>
      <c r="M69" s="202">
        <v>11.77811462410342</v>
      </c>
      <c r="N69" s="87">
        <v>2971.7251199999996</v>
      </c>
      <c r="O69" s="123">
        <v>39572.028182733869</v>
      </c>
      <c r="P69" s="123">
        <v>45265.301255934806</v>
      </c>
      <c r="Q69" s="120">
        <v>13206.07904023114</v>
      </c>
      <c r="R69" s="123">
        <v>52778.107222965009</v>
      </c>
      <c r="S69" s="123">
        <v>58471.380296165946</v>
      </c>
      <c r="U69" s="7" t="s">
        <v>6694</v>
      </c>
    </row>
    <row r="70" spans="1:21" ht="16.5" customHeight="1" thickBot="1">
      <c r="A70" s="259" t="s">
        <v>10</v>
      </c>
      <c r="B70" s="263">
        <f t="shared" si="3"/>
        <v>110</v>
      </c>
      <c r="C70" s="263" t="s">
        <v>3</v>
      </c>
      <c r="D70" s="263">
        <f t="shared" si="4"/>
        <v>260</v>
      </c>
      <c r="E70" s="263" t="s">
        <v>3</v>
      </c>
      <c r="F70" s="261">
        <f t="shared" si="5"/>
        <v>1200</v>
      </c>
      <c r="G70" s="263" t="s">
        <v>3</v>
      </c>
      <c r="H70" s="260">
        <v>2</v>
      </c>
      <c r="I70" s="262" t="s">
        <v>581</v>
      </c>
      <c r="J70" s="112">
        <v>110</v>
      </c>
      <c r="K70" s="75">
        <v>260</v>
      </c>
      <c r="L70" s="75">
        <v>1200</v>
      </c>
      <c r="M70" s="202">
        <v>12.446834854976185</v>
      </c>
      <c r="N70" s="87">
        <v>3157.4579399999998</v>
      </c>
      <c r="O70" s="123">
        <v>40405.880351494328</v>
      </c>
      <c r="P70" s="123">
        <v>46303.069743604814</v>
      </c>
      <c r="Q70" s="120">
        <v>13868.271430381354</v>
      </c>
      <c r="R70" s="123">
        <v>54274.151781875684</v>
      </c>
      <c r="S70" s="123">
        <v>60171.341173986169</v>
      </c>
      <c r="U70" s="7" t="s">
        <v>6695</v>
      </c>
    </row>
    <row r="71" spans="1:21" ht="16.5" customHeight="1" thickBot="1">
      <c r="A71" s="259" t="s">
        <v>10</v>
      </c>
      <c r="B71" s="263">
        <f t="shared" si="3"/>
        <v>110</v>
      </c>
      <c r="C71" s="263" t="s">
        <v>3</v>
      </c>
      <c r="D71" s="263">
        <f t="shared" si="4"/>
        <v>260</v>
      </c>
      <c r="E71" s="263" t="s">
        <v>3</v>
      </c>
      <c r="F71" s="261">
        <f t="shared" si="5"/>
        <v>1250</v>
      </c>
      <c r="G71" s="263" t="s">
        <v>3</v>
      </c>
      <c r="H71" s="260">
        <v>2</v>
      </c>
      <c r="I71" s="262" t="s">
        <v>581</v>
      </c>
      <c r="J71" s="112">
        <v>110</v>
      </c>
      <c r="K71" s="75">
        <v>260</v>
      </c>
      <c r="L71" s="75">
        <v>1250</v>
      </c>
      <c r="M71" s="202">
        <v>12.883265085848947</v>
      </c>
      <c r="N71" s="87">
        <v>3343.19076</v>
      </c>
      <c r="O71" s="123">
        <v>41204.112407698063</v>
      </c>
      <c r="P71" s="123">
        <v>47305.52556614262</v>
      </c>
      <c r="Q71" s="120">
        <v>14299.882042748291</v>
      </c>
      <c r="R71" s="123">
        <v>55503.994450446356</v>
      </c>
      <c r="S71" s="123">
        <v>61605.407608890913</v>
      </c>
      <c r="U71" s="7" t="s">
        <v>6696</v>
      </c>
    </row>
    <row r="72" spans="1:21" ht="16.5" customHeight="1" thickBot="1">
      <c r="A72" s="259" t="s">
        <v>10</v>
      </c>
      <c r="B72" s="263">
        <f t="shared" si="3"/>
        <v>110</v>
      </c>
      <c r="C72" s="263" t="s">
        <v>3</v>
      </c>
      <c r="D72" s="263">
        <f t="shared" si="4"/>
        <v>260</v>
      </c>
      <c r="E72" s="263" t="s">
        <v>3</v>
      </c>
      <c r="F72" s="261">
        <f t="shared" si="5"/>
        <v>1300</v>
      </c>
      <c r="G72" s="263" t="s">
        <v>3</v>
      </c>
      <c r="H72" s="260">
        <v>2</v>
      </c>
      <c r="I72" s="262" t="s">
        <v>581</v>
      </c>
      <c r="J72" s="112">
        <v>110</v>
      </c>
      <c r="K72" s="75">
        <v>260</v>
      </c>
      <c r="L72" s="75">
        <v>1300</v>
      </c>
      <c r="M72" s="202">
        <v>13.398735316721712</v>
      </c>
      <c r="N72" s="87">
        <v>3528.9235800000001</v>
      </c>
      <c r="O72" s="123">
        <v>44454.727935239855</v>
      </c>
      <c r="P72" s="123">
        <v>50739.201915417558</v>
      </c>
      <c r="Q72" s="120">
        <v>14962.074432898504</v>
      </c>
      <c r="R72" s="123">
        <v>59416.802368138357</v>
      </c>
      <c r="S72" s="123">
        <v>65701.276348316067</v>
      </c>
      <c r="U72" s="7" t="s">
        <v>6697</v>
      </c>
    </row>
    <row r="73" spans="1:21" ht="16.5" customHeight="1" thickBot="1">
      <c r="A73" s="259" t="s">
        <v>10</v>
      </c>
      <c r="B73" s="263">
        <f t="shared" si="3"/>
        <v>110</v>
      </c>
      <c r="C73" s="263" t="s">
        <v>3</v>
      </c>
      <c r="D73" s="263">
        <f t="shared" si="4"/>
        <v>260</v>
      </c>
      <c r="E73" s="263" t="s">
        <v>3</v>
      </c>
      <c r="F73" s="261">
        <f t="shared" si="5"/>
        <v>1350</v>
      </c>
      <c r="G73" s="263" t="s">
        <v>3</v>
      </c>
      <c r="H73" s="260">
        <v>2</v>
      </c>
      <c r="I73" s="262" t="s">
        <v>581</v>
      </c>
      <c r="J73" s="112">
        <v>110</v>
      </c>
      <c r="K73" s="75">
        <v>260</v>
      </c>
      <c r="L73" s="75">
        <v>1350</v>
      </c>
      <c r="M73" s="202">
        <v>13.835165547594475</v>
      </c>
      <c r="N73" s="87">
        <v>3714.6563999999998</v>
      </c>
      <c r="O73" s="123">
        <v>45502.656515062277</v>
      </c>
      <c r="P73" s="123">
        <v>51989.199427030049</v>
      </c>
      <c r="Q73" s="120">
        <v>15393.685045265442</v>
      </c>
      <c r="R73" s="123">
        <v>60896.341560327717</v>
      </c>
      <c r="S73" s="123">
        <v>67382.884472295496</v>
      </c>
      <c r="U73" s="7" t="s">
        <v>6698</v>
      </c>
    </row>
    <row r="74" spans="1:21" ht="16.5" customHeight="1" thickBot="1">
      <c r="A74" s="259" t="s">
        <v>10</v>
      </c>
      <c r="B74" s="263">
        <f t="shared" si="3"/>
        <v>110</v>
      </c>
      <c r="C74" s="263" t="s">
        <v>3</v>
      </c>
      <c r="D74" s="263">
        <f t="shared" si="4"/>
        <v>260</v>
      </c>
      <c r="E74" s="263" t="s">
        <v>3</v>
      </c>
      <c r="F74" s="261">
        <f t="shared" si="5"/>
        <v>1400</v>
      </c>
      <c r="G74" s="263" t="s">
        <v>3</v>
      </c>
      <c r="H74" s="260">
        <v>2</v>
      </c>
      <c r="I74" s="262" t="s">
        <v>581</v>
      </c>
      <c r="J74" s="112">
        <v>110</v>
      </c>
      <c r="K74" s="75">
        <v>260</v>
      </c>
      <c r="L74" s="75">
        <v>1400</v>
      </c>
      <c r="M74" s="202">
        <v>14.288635778467235</v>
      </c>
      <c r="N74" s="87">
        <v>3900.3892199999996</v>
      </c>
      <c r="O74" s="123">
        <v>46877.601451825889</v>
      </c>
      <c r="P74" s="123">
        <v>53563.391424095826</v>
      </c>
      <c r="Q74" s="120">
        <v>16055.877435415654</v>
      </c>
      <c r="R74" s="123">
        <v>62933.478887241545</v>
      </c>
      <c r="S74" s="123">
        <v>69619.268859511474</v>
      </c>
      <c r="U74" s="7" t="s">
        <v>6699</v>
      </c>
    </row>
    <row r="75" spans="1:21" ht="16.5" customHeight="1" thickBot="1">
      <c r="A75" s="259" t="s">
        <v>10</v>
      </c>
      <c r="B75" s="263">
        <f t="shared" si="3"/>
        <v>110</v>
      </c>
      <c r="C75" s="263" t="s">
        <v>3</v>
      </c>
      <c r="D75" s="263">
        <f t="shared" si="4"/>
        <v>260</v>
      </c>
      <c r="E75" s="263" t="s">
        <v>3</v>
      </c>
      <c r="F75" s="261">
        <f t="shared" si="5"/>
        <v>1450</v>
      </c>
      <c r="G75" s="263" t="s">
        <v>3</v>
      </c>
      <c r="H75" s="260">
        <v>2</v>
      </c>
      <c r="I75" s="262" t="s">
        <v>581</v>
      </c>
      <c r="J75" s="112">
        <v>110</v>
      </c>
      <c r="K75" s="75">
        <v>260</v>
      </c>
      <c r="L75" s="75">
        <v>1450</v>
      </c>
      <c r="M75" s="202">
        <v>14.725066009339997</v>
      </c>
      <c r="N75" s="87">
        <v>4086.1220400000002</v>
      </c>
      <c r="O75" s="123">
        <v>47925.529912313956</v>
      </c>
      <c r="P75" s="123">
        <v>54813.388809354299</v>
      </c>
      <c r="Q75" s="120">
        <v>16487.48804778259</v>
      </c>
      <c r="R75" s="123">
        <v>64413.017960096549</v>
      </c>
      <c r="S75" s="123">
        <v>71300.876857136886</v>
      </c>
      <c r="U75" s="7" t="s">
        <v>6700</v>
      </c>
    </row>
    <row r="76" spans="1:21" ht="16.5" customHeight="1" thickBot="1">
      <c r="A76" s="259" t="s">
        <v>10</v>
      </c>
      <c r="B76" s="263">
        <f t="shared" si="3"/>
        <v>110</v>
      </c>
      <c r="C76" s="263" t="s">
        <v>3</v>
      </c>
      <c r="D76" s="263">
        <f t="shared" si="4"/>
        <v>260</v>
      </c>
      <c r="E76" s="263" t="s">
        <v>3</v>
      </c>
      <c r="F76" s="261">
        <f t="shared" si="5"/>
        <v>1500</v>
      </c>
      <c r="G76" s="263" t="s">
        <v>3</v>
      </c>
      <c r="H76" s="260">
        <v>2</v>
      </c>
      <c r="I76" s="262" t="s">
        <v>581</v>
      </c>
      <c r="J76" s="112">
        <v>110</v>
      </c>
      <c r="K76" s="75">
        <v>260</v>
      </c>
      <c r="L76" s="75">
        <v>1500</v>
      </c>
      <c r="M76" s="202">
        <v>15.764638583512763</v>
      </c>
      <c r="N76" s="87">
        <v>4271.8548599999995</v>
      </c>
      <c r="O76" s="123">
        <v>49450.739121481914</v>
      </c>
      <c r="P76" s="123">
        <v>56673.162259575518</v>
      </c>
      <c r="Q76" s="120">
        <v>17149.680437932802</v>
      </c>
      <c r="R76" s="123">
        <v>66600.419559414717</v>
      </c>
      <c r="S76" s="123">
        <v>73822.842697508313</v>
      </c>
      <c r="U76" s="7" t="s">
        <v>6701</v>
      </c>
    </row>
    <row r="77" spans="1:21" ht="16.5" customHeight="1" thickBot="1">
      <c r="A77" s="259" t="s">
        <v>10</v>
      </c>
      <c r="B77" s="263">
        <f t="shared" si="3"/>
        <v>110</v>
      </c>
      <c r="C77" s="263" t="s">
        <v>3</v>
      </c>
      <c r="D77" s="263">
        <f t="shared" si="4"/>
        <v>260</v>
      </c>
      <c r="E77" s="263" t="s">
        <v>3</v>
      </c>
      <c r="F77" s="261">
        <f t="shared" si="5"/>
        <v>1550</v>
      </c>
      <c r="G77" s="263" t="s">
        <v>3</v>
      </c>
      <c r="H77" s="260">
        <v>2</v>
      </c>
      <c r="I77" s="262" t="s">
        <v>581</v>
      </c>
      <c r="J77" s="112">
        <v>110</v>
      </c>
      <c r="K77" s="75">
        <v>260</v>
      </c>
      <c r="L77" s="75">
        <v>1550</v>
      </c>
      <c r="M77" s="202">
        <v>16.270068814385525</v>
      </c>
      <c r="N77" s="87">
        <v>4457.5876799999996</v>
      </c>
      <c r="O77" s="123">
        <v>50498.667581969981</v>
      </c>
      <c r="P77" s="123">
        <v>57923.159771188017</v>
      </c>
      <c r="Q77" s="120">
        <v>17581.29105029974</v>
      </c>
      <c r="R77" s="123">
        <v>68079.958632269729</v>
      </c>
      <c r="S77" s="123">
        <v>75504.450821487757</v>
      </c>
      <c r="U77" s="7" t="s">
        <v>6702</v>
      </c>
    </row>
    <row r="78" spans="1:21" ht="16.5" customHeight="1" thickBot="1">
      <c r="A78" s="259" t="s">
        <v>10</v>
      </c>
      <c r="B78" s="260">
        <f t="shared" si="3"/>
        <v>110</v>
      </c>
      <c r="C78" s="260" t="s">
        <v>3</v>
      </c>
      <c r="D78" s="260">
        <f t="shared" si="4"/>
        <v>260</v>
      </c>
      <c r="E78" s="260" t="s">
        <v>3</v>
      </c>
      <c r="F78" s="261">
        <f t="shared" si="5"/>
        <v>1600</v>
      </c>
      <c r="G78" s="260" t="s">
        <v>3</v>
      </c>
      <c r="H78" s="260">
        <v>2</v>
      </c>
      <c r="I78" s="262" t="s">
        <v>581</v>
      </c>
      <c r="J78" s="112">
        <v>110</v>
      </c>
      <c r="K78" s="75">
        <v>260</v>
      </c>
      <c r="L78" s="75">
        <v>1600</v>
      </c>
      <c r="M78" s="202">
        <v>16.70649904525829</v>
      </c>
      <c r="N78" s="87">
        <v>4643.3204999999998</v>
      </c>
      <c r="O78" s="123">
        <v>53492.637388216383</v>
      </c>
      <c r="P78" s="123">
        <v>61102.405104461002</v>
      </c>
      <c r="Q78" s="120">
        <v>18012.901662666678</v>
      </c>
      <c r="R78" s="123">
        <v>71505.539050883061</v>
      </c>
      <c r="S78" s="123">
        <v>79115.30676712768</v>
      </c>
      <c r="U78" s="7" t="s">
        <v>6703</v>
      </c>
    </row>
    <row r="79" spans="1:21" ht="16.5" customHeight="1" thickBot="1">
      <c r="A79" s="259" t="s">
        <v>10</v>
      </c>
      <c r="B79" s="263">
        <f t="shared" si="3"/>
        <v>110</v>
      </c>
      <c r="C79" s="263" t="s">
        <v>3</v>
      </c>
      <c r="D79" s="263">
        <f t="shared" si="4"/>
        <v>260</v>
      </c>
      <c r="E79" s="263" t="s">
        <v>3</v>
      </c>
      <c r="F79" s="261">
        <f t="shared" si="5"/>
        <v>1650</v>
      </c>
      <c r="G79" s="263" t="s">
        <v>3</v>
      </c>
      <c r="H79" s="260">
        <v>2</v>
      </c>
      <c r="I79" s="262" t="s">
        <v>581</v>
      </c>
      <c r="J79" s="112">
        <v>110</v>
      </c>
      <c r="K79" s="75">
        <v>260</v>
      </c>
      <c r="L79" s="75">
        <v>1650</v>
      </c>
      <c r="M79" s="202">
        <v>17.197969276131055</v>
      </c>
      <c r="N79" s="87">
        <v>4829.05332</v>
      </c>
      <c r="O79" s="123">
        <v>56738.867378097064</v>
      </c>
      <c r="P79" s="123">
        <v>64531.733611692667</v>
      </c>
      <c r="Q79" s="120">
        <v>18675.09391242353</v>
      </c>
      <c r="R79" s="123">
        <v>75413.961290520587</v>
      </c>
      <c r="S79" s="123">
        <v>83206.827524116205</v>
      </c>
      <c r="U79" s="7" t="s">
        <v>6704</v>
      </c>
    </row>
    <row r="80" spans="1:21" ht="16.5" customHeight="1" thickBot="1">
      <c r="A80" s="259" t="s">
        <v>10</v>
      </c>
      <c r="B80" s="263">
        <f t="shared" si="3"/>
        <v>110</v>
      </c>
      <c r="C80" s="263" t="s">
        <v>3</v>
      </c>
      <c r="D80" s="263">
        <f t="shared" si="4"/>
        <v>260</v>
      </c>
      <c r="E80" s="263" t="s">
        <v>3</v>
      </c>
      <c r="F80" s="261">
        <f t="shared" si="5"/>
        <v>1700</v>
      </c>
      <c r="G80" s="263" t="s">
        <v>3</v>
      </c>
      <c r="H80" s="260">
        <v>2</v>
      </c>
      <c r="I80" s="262" t="s">
        <v>581</v>
      </c>
      <c r="J80" s="112">
        <v>110</v>
      </c>
      <c r="K80" s="75">
        <v>260</v>
      </c>
      <c r="L80" s="75">
        <v>1700</v>
      </c>
      <c r="M80" s="202">
        <v>17.634399507003817</v>
      </c>
      <c r="N80" s="87">
        <v>5014.7861400000002</v>
      </c>
      <c r="O80" s="123">
        <v>57581.648501535521</v>
      </c>
      <c r="P80" s="123">
        <v>65578.35395702564</v>
      </c>
      <c r="Q80" s="120">
        <v>19106.704524790468</v>
      </c>
      <c r="R80" s="123">
        <v>76688.353026325989</v>
      </c>
      <c r="S80" s="123">
        <v>84685.058481816115</v>
      </c>
      <c r="U80" s="7" t="s">
        <v>6705</v>
      </c>
    </row>
    <row r="81" spans="1:21" ht="16.5" customHeight="1" thickBot="1">
      <c r="A81" s="259" t="s">
        <v>10</v>
      </c>
      <c r="B81" s="263">
        <f t="shared" si="3"/>
        <v>110</v>
      </c>
      <c r="C81" s="263" t="s">
        <v>3</v>
      </c>
      <c r="D81" s="263">
        <f t="shared" si="4"/>
        <v>260</v>
      </c>
      <c r="E81" s="263" t="s">
        <v>3</v>
      </c>
      <c r="F81" s="261">
        <f t="shared" si="5"/>
        <v>1750</v>
      </c>
      <c r="G81" s="263" t="s">
        <v>3</v>
      </c>
      <c r="H81" s="260">
        <v>2</v>
      </c>
      <c r="I81" s="262" t="s">
        <v>581</v>
      </c>
      <c r="J81" s="112">
        <v>110</v>
      </c>
      <c r="K81" s="75">
        <v>260</v>
      </c>
      <c r="L81" s="75">
        <v>1750</v>
      </c>
      <c r="M81" s="202">
        <v>18.087869737876577</v>
      </c>
      <c r="N81" s="87">
        <v>5200.5189600000003</v>
      </c>
      <c r="O81" s="123">
        <v>58348.275807664715</v>
      </c>
      <c r="P81" s="123">
        <v>66549.477771674239</v>
      </c>
      <c r="Q81" s="120">
        <v>19768.89691494068</v>
      </c>
      <c r="R81" s="123">
        <v>78117.172722605392</v>
      </c>
      <c r="S81" s="123">
        <v>86318.374686614916</v>
      </c>
      <c r="U81" s="7" t="s">
        <v>6706</v>
      </c>
    </row>
    <row r="82" spans="1:21" ht="16.5" customHeight="1" thickBot="1">
      <c r="A82" s="259" t="s">
        <v>10</v>
      </c>
      <c r="B82" s="263">
        <f t="shared" si="3"/>
        <v>110</v>
      </c>
      <c r="C82" s="263" t="s">
        <v>3</v>
      </c>
      <c r="D82" s="263">
        <f t="shared" si="4"/>
        <v>260</v>
      </c>
      <c r="E82" s="263" t="s">
        <v>3</v>
      </c>
      <c r="F82" s="261">
        <f t="shared" si="5"/>
        <v>1800</v>
      </c>
      <c r="G82" s="263" t="s">
        <v>3</v>
      </c>
      <c r="H82" s="260">
        <v>2</v>
      </c>
      <c r="I82" s="262" t="s">
        <v>581</v>
      </c>
      <c r="J82" s="112">
        <v>110</v>
      </c>
      <c r="K82" s="75">
        <v>260</v>
      </c>
      <c r="L82" s="75">
        <v>1800</v>
      </c>
      <c r="M82" s="202">
        <v>18.593299968749342</v>
      </c>
      <c r="N82" s="87">
        <v>5386.2517799999996</v>
      </c>
      <c r="O82" s="123">
        <v>59191.753366417179</v>
      </c>
      <c r="P82" s="123">
        <v>67596.788768114697</v>
      </c>
      <c r="Q82" s="120">
        <v>20200.507527307618</v>
      </c>
      <c r="R82" s="123">
        <v>79392.260893724801</v>
      </c>
      <c r="S82" s="123">
        <v>87797.296295422319</v>
      </c>
      <c r="U82" s="7" t="s">
        <v>6707</v>
      </c>
    </row>
    <row r="83" spans="1:21" ht="16.5" customHeight="1" thickBot="1">
      <c r="A83" s="259" t="s">
        <v>10</v>
      </c>
      <c r="B83" s="263">
        <f t="shared" si="3"/>
        <v>110</v>
      </c>
      <c r="C83" s="263" t="s">
        <v>3</v>
      </c>
      <c r="D83" s="263">
        <f t="shared" si="4"/>
        <v>260</v>
      </c>
      <c r="E83" s="263" t="s">
        <v>3</v>
      </c>
      <c r="F83" s="261">
        <f t="shared" si="5"/>
        <v>1850</v>
      </c>
      <c r="G83" s="263" t="s">
        <v>3</v>
      </c>
      <c r="H83" s="260">
        <v>2</v>
      </c>
      <c r="I83" s="262" t="s">
        <v>581</v>
      </c>
      <c r="J83" s="112">
        <v>110</v>
      </c>
      <c r="K83" s="75">
        <v>260</v>
      </c>
      <c r="L83" s="75">
        <v>1850</v>
      </c>
      <c r="M83" s="202">
        <v>19.108770199622107</v>
      </c>
      <c r="N83" s="87">
        <v>5571.9845999999998</v>
      </c>
      <c r="O83" s="123">
        <v>60035.182952757685</v>
      </c>
      <c r="P83" s="123">
        <v>68644.052002733224</v>
      </c>
      <c r="Q83" s="120">
        <v>20862.69991745783</v>
      </c>
      <c r="R83" s="123">
        <v>80897.882870215515</v>
      </c>
      <c r="S83" s="123">
        <v>89506.751920191047</v>
      </c>
      <c r="U83" s="7" t="s">
        <v>6708</v>
      </c>
    </row>
    <row r="84" spans="1:21" ht="16.5" customHeight="1" thickBot="1">
      <c r="A84" s="259" t="s">
        <v>10</v>
      </c>
      <c r="B84" s="263">
        <f t="shared" si="3"/>
        <v>110</v>
      </c>
      <c r="C84" s="263" t="s">
        <v>3</v>
      </c>
      <c r="D84" s="263">
        <f t="shared" si="4"/>
        <v>260</v>
      </c>
      <c r="E84" s="263" t="s">
        <v>3</v>
      </c>
      <c r="F84" s="261">
        <f t="shared" si="5"/>
        <v>1900</v>
      </c>
      <c r="G84" s="263" t="s">
        <v>3</v>
      </c>
      <c r="H84" s="260">
        <v>2</v>
      </c>
      <c r="I84" s="262" t="s">
        <v>581</v>
      </c>
      <c r="J84" s="112">
        <v>110</v>
      </c>
      <c r="K84" s="75">
        <v>260</v>
      </c>
      <c r="L84" s="75">
        <v>1900</v>
      </c>
      <c r="M84" s="202">
        <v>19.545200430494869</v>
      </c>
      <c r="N84" s="87">
        <v>5757.7174199999999</v>
      </c>
      <c r="O84" s="123">
        <v>61053.666853721988</v>
      </c>
      <c r="P84" s="123">
        <v>69864.859080847426</v>
      </c>
      <c r="Q84" s="120">
        <v>21294.310529824768</v>
      </c>
      <c r="R84" s="123">
        <v>82347.977383546764</v>
      </c>
      <c r="S84" s="123">
        <v>91159.169610672194</v>
      </c>
      <c r="U84" s="7" t="s">
        <v>6709</v>
      </c>
    </row>
    <row r="85" spans="1:21" ht="16.5" customHeight="1" thickBot="1">
      <c r="A85" s="259" t="s">
        <v>10</v>
      </c>
      <c r="B85" s="263">
        <f t="shared" si="3"/>
        <v>110</v>
      </c>
      <c r="C85" s="263" t="s">
        <v>3</v>
      </c>
      <c r="D85" s="263">
        <f t="shared" si="4"/>
        <v>260</v>
      </c>
      <c r="E85" s="263" t="s">
        <v>3</v>
      </c>
      <c r="F85" s="261">
        <f t="shared" si="5"/>
        <v>1950</v>
      </c>
      <c r="G85" s="263" t="s">
        <v>3</v>
      </c>
      <c r="H85" s="260">
        <v>2</v>
      </c>
      <c r="I85" s="262" t="s">
        <v>581</v>
      </c>
      <c r="J85" s="112">
        <v>110</v>
      </c>
      <c r="K85" s="75">
        <v>260</v>
      </c>
      <c r="L85" s="75">
        <v>1950</v>
      </c>
      <c r="M85" s="202">
        <v>20.134880661367632</v>
      </c>
      <c r="N85" s="87">
        <v>5943.4502399999992</v>
      </c>
      <c r="O85" s="123">
        <v>62231.35197717062</v>
      </c>
      <c r="P85" s="123">
        <v>71243.493583256204</v>
      </c>
      <c r="Q85" s="120">
        <v>21725.921142191706</v>
      </c>
      <c r="R85" s="123">
        <v>83957.273119362333</v>
      </c>
      <c r="S85" s="123">
        <v>92969.414725447918</v>
      </c>
      <c r="U85" s="7" t="s">
        <v>6710</v>
      </c>
    </row>
    <row r="86" spans="1:21" ht="16.5" customHeight="1" thickBot="1">
      <c r="A86" s="259" t="s">
        <v>10</v>
      </c>
      <c r="B86" s="263">
        <f t="shared" si="3"/>
        <v>110</v>
      </c>
      <c r="C86" s="263" t="s">
        <v>3</v>
      </c>
      <c r="D86" s="263">
        <f t="shared" si="4"/>
        <v>260</v>
      </c>
      <c r="E86" s="263" t="s">
        <v>3</v>
      </c>
      <c r="F86" s="261">
        <f t="shared" si="5"/>
        <v>2000</v>
      </c>
      <c r="G86" s="263" t="s">
        <v>3</v>
      </c>
      <c r="H86" s="260">
        <v>2</v>
      </c>
      <c r="I86" s="262" t="s">
        <v>581</v>
      </c>
      <c r="J86" s="112">
        <v>110</v>
      </c>
      <c r="K86" s="75">
        <v>260</v>
      </c>
      <c r="L86" s="75">
        <v>2000</v>
      </c>
      <c r="M86" s="202">
        <v>20.679913292240396</v>
      </c>
      <c r="N86" s="87">
        <v>6129.1830599999994</v>
      </c>
      <c r="O86" s="123">
        <v>63281.063412303425</v>
      </c>
      <c r="P86" s="123">
        <v>72696.707286118792</v>
      </c>
      <c r="Q86" s="120">
        <v>22388.113532341918</v>
      </c>
      <c r="R86" s="123">
        <v>85669.17694464534</v>
      </c>
      <c r="S86" s="123">
        <v>95084.820818460707</v>
      </c>
      <c r="U86" s="7" t="s">
        <v>6711</v>
      </c>
    </row>
    <row r="87" spans="1:21" ht="16.5" customHeight="1" thickBot="1">
      <c r="A87" s="259" t="s">
        <v>10</v>
      </c>
      <c r="B87" s="263">
        <f t="shared" si="3"/>
        <v>110</v>
      </c>
      <c r="C87" s="263" t="s">
        <v>3</v>
      </c>
      <c r="D87" s="263">
        <f t="shared" si="4"/>
        <v>260</v>
      </c>
      <c r="E87" s="263" t="s">
        <v>3</v>
      </c>
      <c r="F87" s="261">
        <f t="shared" si="5"/>
        <v>2050</v>
      </c>
      <c r="G87" s="263" t="s">
        <v>3</v>
      </c>
      <c r="H87" s="260">
        <v>2</v>
      </c>
      <c r="I87" s="262" t="s">
        <v>581</v>
      </c>
      <c r="J87" s="112">
        <v>110</v>
      </c>
      <c r="K87" s="75">
        <v>260</v>
      </c>
      <c r="L87" s="75">
        <v>2050</v>
      </c>
      <c r="M87" s="202">
        <v>21.116343523113159</v>
      </c>
      <c r="N87" s="87">
        <v>6314.9158799999996</v>
      </c>
      <c r="O87" s="123">
        <v>66268.463146128895</v>
      </c>
      <c r="P87" s="123">
        <v>75869.439195692612</v>
      </c>
      <c r="Q87" s="120">
        <v>22819.724144708856</v>
      </c>
      <c r="R87" s="123">
        <v>89088.187290837755</v>
      </c>
      <c r="S87" s="123">
        <v>98689.163340401472</v>
      </c>
      <c r="U87" s="7" t="s">
        <v>6712</v>
      </c>
    </row>
    <row r="88" spans="1:21" ht="16.5" customHeight="1" thickBot="1">
      <c r="A88" s="259" t="s">
        <v>10</v>
      </c>
      <c r="B88" s="260">
        <f t="shared" si="3"/>
        <v>110</v>
      </c>
      <c r="C88" s="260" t="s">
        <v>3</v>
      </c>
      <c r="D88" s="260">
        <f t="shared" si="4"/>
        <v>260</v>
      </c>
      <c r="E88" s="260" t="s">
        <v>3</v>
      </c>
      <c r="F88" s="261">
        <f t="shared" si="5"/>
        <v>2100</v>
      </c>
      <c r="G88" s="260" t="s">
        <v>3</v>
      </c>
      <c r="H88" s="260">
        <v>2</v>
      </c>
      <c r="I88" s="262" t="s">
        <v>581</v>
      </c>
      <c r="J88" s="112">
        <v>110</v>
      </c>
      <c r="K88" s="75">
        <v>260</v>
      </c>
      <c r="L88" s="75">
        <v>2100</v>
      </c>
      <c r="M88" s="202">
        <v>21.569813753985922</v>
      </c>
      <c r="N88" s="87">
        <v>6500.6487000000006</v>
      </c>
      <c r="O88" s="123">
        <v>67173.822610296309</v>
      </c>
      <c r="P88" s="123">
        <v>76978.097978020043</v>
      </c>
      <c r="Q88" s="120">
        <v>23481.916534859069</v>
      </c>
      <c r="R88" s="123">
        <v>90655.739145155385</v>
      </c>
      <c r="S88" s="123">
        <v>100460.0145128791</v>
      </c>
      <c r="U88" s="7" t="s">
        <v>6713</v>
      </c>
    </row>
    <row r="89" spans="1:21" ht="16.5" customHeight="1" thickBot="1">
      <c r="A89" s="259" t="s">
        <v>10</v>
      </c>
      <c r="B89" s="263">
        <f t="shared" si="3"/>
        <v>110</v>
      </c>
      <c r="C89" s="263" t="s">
        <v>3</v>
      </c>
      <c r="D89" s="263">
        <f t="shared" si="4"/>
        <v>260</v>
      </c>
      <c r="E89" s="263" t="s">
        <v>3</v>
      </c>
      <c r="F89" s="261">
        <f t="shared" si="5"/>
        <v>2150</v>
      </c>
      <c r="G89" s="263" t="s">
        <v>3</v>
      </c>
      <c r="H89" s="260">
        <v>2</v>
      </c>
      <c r="I89" s="262" t="s">
        <v>581</v>
      </c>
      <c r="J89" s="112">
        <v>110</v>
      </c>
      <c r="K89" s="75">
        <v>260</v>
      </c>
      <c r="L89" s="75">
        <v>2150</v>
      </c>
      <c r="M89" s="202">
        <v>22.130243984858687</v>
      </c>
      <c r="N89" s="87">
        <v>6686.3815199999999</v>
      </c>
      <c r="O89" s="123">
        <v>68226.799272136137</v>
      </c>
      <c r="P89" s="123">
        <v>78233.100119904266</v>
      </c>
      <c r="Q89" s="120">
        <v>23913.527147226006</v>
      </c>
      <c r="R89" s="123">
        <v>92140.326419362143</v>
      </c>
      <c r="S89" s="123">
        <v>102146.62726713027</v>
      </c>
      <c r="U89" s="7" t="s">
        <v>6714</v>
      </c>
    </row>
    <row r="90" spans="1:21" ht="16.5" customHeight="1" thickBot="1">
      <c r="A90" s="259" t="s">
        <v>10</v>
      </c>
      <c r="B90" s="263">
        <f t="shared" si="3"/>
        <v>110</v>
      </c>
      <c r="C90" s="263" t="s">
        <v>3</v>
      </c>
      <c r="D90" s="263">
        <f t="shared" si="4"/>
        <v>260</v>
      </c>
      <c r="E90" s="263" t="s">
        <v>3</v>
      </c>
      <c r="F90" s="261">
        <f t="shared" si="5"/>
        <v>2200</v>
      </c>
      <c r="G90" s="263" t="s">
        <v>3</v>
      </c>
      <c r="H90" s="260">
        <v>2</v>
      </c>
      <c r="I90" s="262" t="s">
        <v>581</v>
      </c>
      <c r="J90" s="112">
        <v>110</v>
      </c>
      <c r="K90" s="75">
        <v>260</v>
      </c>
      <c r="L90" s="75">
        <v>2200</v>
      </c>
      <c r="M90" s="202">
        <v>22.583714215731447</v>
      </c>
      <c r="N90" s="87">
        <v>6872.1143400000001</v>
      </c>
      <c r="O90" s="123">
        <v>69279.727961564</v>
      </c>
      <c r="P90" s="123">
        <v>79488.054626320576</v>
      </c>
      <c r="Q90" s="120">
        <v>24575.719537376219</v>
      </c>
      <c r="R90" s="123">
        <v>93855.447498940222</v>
      </c>
      <c r="S90" s="123">
        <v>104063.7741636968</v>
      </c>
      <c r="U90" s="7" t="s">
        <v>6715</v>
      </c>
    </row>
    <row r="91" spans="1:21" ht="16.5" customHeight="1" thickBot="1">
      <c r="A91" s="259" t="s">
        <v>10</v>
      </c>
      <c r="B91" s="263">
        <f t="shared" si="3"/>
        <v>110</v>
      </c>
      <c r="C91" s="263" t="s">
        <v>3</v>
      </c>
      <c r="D91" s="263">
        <f t="shared" si="4"/>
        <v>260</v>
      </c>
      <c r="E91" s="263" t="s">
        <v>3</v>
      </c>
      <c r="F91" s="261">
        <f t="shared" si="5"/>
        <v>2250</v>
      </c>
      <c r="G91" s="263" t="s">
        <v>3</v>
      </c>
      <c r="H91" s="260">
        <v>2</v>
      </c>
      <c r="I91" s="262" t="s">
        <v>581</v>
      </c>
      <c r="J91" s="112">
        <v>110</v>
      </c>
      <c r="K91" s="75">
        <v>260</v>
      </c>
      <c r="L91" s="75">
        <v>2250</v>
      </c>
      <c r="M91" s="202">
        <v>23.020144446604213</v>
      </c>
      <c r="N91" s="87">
        <v>7057.8471600000003</v>
      </c>
      <c r="O91" s="123">
        <v>70652.267714339599</v>
      </c>
      <c r="P91" s="123">
        <v>81059.862070202958</v>
      </c>
      <c r="Q91" s="120">
        <v>25007.330009349789</v>
      </c>
      <c r="R91" s="123">
        <v>95659.597723689396</v>
      </c>
      <c r="S91" s="123">
        <v>106067.19207955274</v>
      </c>
      <c r="U91" s="7" t="s">
        <v>6716</v>
      </c>
    </row>
    <row r="92" spans="1:21" ht="16.5" customHeight="1" thickBot="1">
      <c r="A92" s="259" t="s">
        <v>10</v>
      </c>
      <c r="B92" s="263">
        <f t="shared" si="3"/>
        <v>110</v>
      </c>
      <c r="C92" s="263" t="s">
        <v>3</v>
      </c>
      <c r="D92" s="263">
        <f t="shared" si="4"/>
        <v>260</v>
      </c>
      <c r="E92" s="263" t="s">
        <v>3</v>
      </c>
      <c r="F92" s="261">
        <f t="shared" si="5"/>
        <v>2300</v>
      </c>
      <c r="G92" s="263" t="s">
        <v>3</v>
      </c>
      <c r="H92" s="260">
        <v>2</v>
      </c>
      <c r="I92" s="262" t="s">
        <v>581</v>
      </c>
      <c r="J92" s="112">
        <v>110</v>
      </c>
      <c r="K92" s="75">
        <v>260</v>
      </c>
      <c r="L92" s="75">
        <v>2300</v>
      </c>
      <c r="M92" s="202">
        <v>23.456574677476972</v>
      </c>
      <c r="N92" s="87">
        <v>7243.5799799999995</v>
      </c>
      <c r="O92" s="123">
        <v>71462.290840466594</v>
      </c>
      <c r="P92" s="123">
        <v>82074.007282771243</v>
      </c>
      <c r="Q92" s="120">
        <v>25438.940621716731</v>
      </c>
      <c r="R92" s="123">
        <v>96901.231462183321</v>
      </c>
      <c r="S92" s="123">
        <v>107512.94790448797</v>
      </c>
      <c r="U92" s="7" t="s">
        <v>6717</v>
      </c>
    </row>
    <row r="93" spans="1:21" ht="16.5" customHeight="1" thickBot="1">
      <c r="A93" s="259" t="s">
        <v>10</v>
      </c>
      <c r="B93" s="263">
        <f t="shared" si="3"/>
        <v>110</v>
      </c>
      <c r="C93" s="263" t="s">
        <v>3</v>
      </c>
      <c r="D93" s="263">
        <f t="shared" si="4"/>
        <v>260</v>
      </c>
      <c r="E93" s="263" t="s">
        <v>3</v>
      </c>
      <c r="F93" s="261">
        <f t="shared" si="5"/>
        <v>2350</v>
      </c>
      <c r="G93" s="263" t="s">
        <v>3</v>
      </c>
      <c r="H93" s="260">
        <v>2</v>
      </c>
      <c r="I93" s="262" t="s">
        <v>581</v>
      </c>
      <c r="J93" s="112">
        <v>110</v>
      </c>
      <c r="K93" s="75">
        <v>260</v>
      </c>
      <c r="L93" s="75">
        <v>2350</v>
      </c>
      <c r="M93" s="202">
        <v>23.91004490834974</v>
      </c>
      <c r="N93" s="87">
        <v>7429.3127999999997</v>
      </c>
      <c r="O93" s="123">
        <v>72272.26587484726</v>
      </c>
      <c r="P93" s="123">
        <v>83088.104859871615</v>
      </c>
      <c r="Q93" s="120">
        <v>26101.133011866939</v>
      </c>
      <c r="R93" s="123">
        <v>98373.398886714203</v>
      </c>
      <c r="S93" s="123">
        <v>109189.23787173856</v>
      </c>
      <c r="U93" s="7" t="s">
        <v>6718</v>
      </c>
    </row>
    <row r="94" spans="1:21" ht="16.5" customHeight="1" thickBot="1">
      <c r="A94" s="259" t="s">
        <v>10</v>
      </c>
      <c r="B94" s="263">
        <f t="shared" si="3"/>
        <v>110</v>
      </c>
      <c r="C94" s="263" t="s">
        <v>3</v>
      </c>
      <c r="D94" s="263">
        <f t="shared" si="4"/>
        <v>260</v>
      </c>
      <c r="E94" s="263" t="s">
        <v>3</v>
      </c>
      <c r="F94" s="261">
        <f t="shared" si="5"/>
        <v>2400</v>
      </c>
      <c r="G94" s="263" t="s">
        <v>3</v>
      </c>
      <c r="H94" s="260">
        <v>2</v>
      </c>
      <c r="I94" s="262" t="s">
        <v>581</v>
      </c>
      <c r="J94" s="112">
        <v>110</v>
      </c>
      <c r="K94" s="75">
        <v>260</v>
      </c>
      <c r="L94" s="75">
        <v>2400</v>
      </c>
      <c r="M94" s="202">
        <v>24.346475139222502</v>
      </c>
      <c r="N94" s="87">
        <v>7615.0456199999999</v>
      </c>
      <c r="O94" s="123">
        <v>73082.192936815962</v>
      </c>
      <c r="P94" s="123">
        <v>84102.154675150072</v>
      </c>
      <c r="Q94" s="120">
        <v>26532.743624233881</v>
      </c>
      <c r="R94" s="123">
        <v>99614.936561049835</v>
      </c>
      <c r="S94" s="123">
        <v>110634.89829938396</v>
      </c>
      <c r="U94" s="7" t="s">
        <v>6719</v>
      </c>
    </row>
    <row r="95" spans="1:21" ht="16.5" customHeight="1" thickBot="1">
      <c r="A95" s="259" t="s">
        <v>10</v>
      </c>
      <c r="B95" s="263">
        <f t="shared" si="3"/>
        <v>110</v>
      </c>
      <c r="C95" s="263" t="s">
        <v>3</v>
      </c>
      <c r="D95" s="263">
        <f t="shared" si="4"/>
        <v>260</v>
      </c>
      <c r="E95" s="263" t="s">
        <v>3</v>
      </c>
      <c r="F95" s="261">
        <f t="shared" si="5"/>
        <v>2450</v>
      </c>
      <c r="G95" s="263" t="s">
        <v>3</v>
      </c>
      <c r="H95" s="260">
        <v>2</v>
      </c>
      <c r="I95" s="262" t="s">
        <v>581</v>
      </c>
      <c r="J95" s="112">
        <v>110</v>
      </c>
      <c r="K95" s="75">
        <v>260</v>
      </c>
      <c r="L95" s="75">
        <v>2450</v>
      </c>
      <c r="M95" s="202">
        <v>25.500047713395265</v>
      </c>
      <c r="N95" s="87">
        <v>7800.7784399999991</v>
      </c>
      <c r="O95" s="123">
        <v>74369.352417049507</v>
      </c>
      <c r="P95" s="123">
        <v>85725.932793569344</v>
      </c>
      <c r="Q95" s="120">
        <v>27194.936014384097</v>
      </c>
      <c r="R95" s="123">
        <v>101564.28843143361</v>
      </c>
      <c r="S95" s="123">
        <v>112920.86880795343</v>
      </c>
      <c r="U95" s="7" t="s">
        <v>6720</v>
      </c>
    </row>
    <row r="96" spans="1:21" ht="16.5" customHeight="1" thickBot="1">
      <c r="A96" s="259" t="s">
        <v>10</v>
      </c>
      <c r="B96" s="263">
        <f t="shared" si="3"/>
        <v>110</v>
      </c>
      <c r="C96" s="263" t="s">
        <v>3</v>
      </c>
      <c r="D96" s="263">
        <f t="shared" si="4"/>
        <v>260</v>
      </c>
      <c r="E96" s="263" t="s">
        <v>3</v>
      </c>
      <c r="F96" s="261">
        <f t="shared" si="5"/>
        <v>2500</v>
      </c>
      <c r="G96" s="263" t="s">
        <v>3</v>
      </c>
      <c r="H96" s="260">
        <v>2</v>
      </c>
      <c r="I96" s="262" t="s">
        <v>581</v>
      </c>
      <c r="J96" s="112">
        <v>110</v>
      </c>
      <c r="K96" s="75">
        <v>260</v>
      </c>
      <c r="L96" s="75">
        <v>2500</v>
      </c>
      <c r="M96" s="202">
        <v>25.95347794426803</v>
      </c>
      <c r="N96" s="87">
        <v>7986.5112599999993</v>
      </c>
      <c r="O96" s="123">
        <v>75179.183176191204</v>
      </c>
      <c r="P96" s="123">
        <v>86739.887211557987</v>
      </c>
      <c r="Q96" s="120">
        <v>27626.546626751031</v>
      </c>
      <c r="R96" s="123">
        <v>102805.72980294224</v>
      </c>
      <c r="S96" s="123">
        <v>114366.43383830902</v>
      </c>
      <c r="U96" s="7" t="s">
        <v>6721</v>
      </c>
    </row>
    <row r="97" spans="1:21" ht="16.5" customHeight="1" thickBot="1">
      <c r="A97" s="259" t="s">
        <v>10</v>
      </c>
      <c r="B97" s="263">
        <f t="shared" si="3"/>
        <v>110</v>
      </c>
      <c r="C97" s="263" t="s">
        <v>3</v>
      </c>
      <c r="D97" s="263">
        <f t="shared" si="4"/>
        <v>260</v>
      </c>
      <c r="E97" s="263" t="s">
        <v>3</v>
      </c>
      <c r="F97" s="261">
        <f t="shared" si="5"/>
        <v>2550</v>
      </c>
      <c r="G97" s="263" t="s">
        <v>3</v>
      </c>
      <c r="H97" s="260">
        <v>2</v>
      </c>
      <c r="I97" s="262" t="s">
        <v>581</v>
      </c>
      <c r="J97" s="112">
        <v>110</v>
      </c>
      <c r="K97" s="75">
        <v>260</v>
      </c>
      <c r="L97" s="75">
        <v>2550</v>
      </c>
      <c r="M97" s="202">
        <v>26.406948175140791</v>
      </c>
      <c r="N97" s="87">
        <v>8172.2440800000004</v>
      </c>
      <c r="O97" s="123">
        <v>79283.301780580266</v>
      </c>
      <c r="P97" s="123">
        <v>91019.701005211638</v>
      </c>
      <c r="Q97" s="120">
        <v>28288.739016901247</v>
      </c>
      <c r="R97" s="123">
        <v>107572.04079748152</v>
      </c>
      <c r="S97" s="123">
        <v>119308.44002211289</v>
      </c>
      <c r="U97" s="7" t="s">
        <v>6722</v>
      </c>
    </row>
    <row r="98" spans="1:21" ht="16.5" customHeight="1" thickBot="1">
      <c r="A98" s="259" t="s">
        <v>10</v>
      </c>
      <c r="B98" s="260">
        <f t="shared" si="3"/>
        <v>110</v>
      </c>
      <c r="C98" s="260" t="s">
        <v>3</v>
      </c>
      <c r="D98" s="260">
        <f t="shared" si="4"/>
        <v>260</v>
      </c>
      <c r="E98" s="260" t="s">
        <v>3</v>
      </c>
      <c r="F98" s="261">
        <f t="shared" si="5"/>
        <v>2600</v>
      </c>
      <c r="G98" s="260" t="s">
        <v>3</v>
      </c>
      <c r="H98" s="260">
        <v>2</v>
      </c>
      <c r="I98" s="262" t="s">
        <v>581</v>
      </c>
      <c r="J98" s="112">
        <v>110</v>
      </c>
      <c r="K98" s="75">
        <v>260</v>
      </c>
      <c r="L98" s="75">
        <v>2600</v>
      </c>
      <c r="M98" s="202">
        <v>26.843378406013557</v>
      </c>
      <c r="N98" s="87">
        <v>8357.9768999999997</v>
      </c>
      <c r="O98" s="123">
        <v>80363.639901388422</v>
      </c>
      <c r="P98" s="123">
        <v>92301.828576743137</v>
      </c>
      <c r="Q98" s="120">
        <v>28720.349629268181</v>
      </c>
      <c r="R98" s="123">
        <v>109083.9895306566</v>
      </c>
      <c r="S98" s="123">
        <v>121022.17820601132</v>
      </c>
      <c r="U98" s="7" t="s">
        <v>6723</v>
      </c>
    </row>
    <row r="99" spans="1:21" ht="16.5" customHeight="1" thickBot="1">
      <c r="A99" s="259" t="s">
        <v>10</v>
      </c>
      <c r="B99" s="263">
        <f t="shared" si="3"/>
        <v>110</v>
      </c>
      <c r="C99" s="263" t="s">
        <v>3</v>
      </c>
      <c r="D99" s="263">
        <f t="shared" si="4"/>
        <v>260</v>
      </c>
      <c r="E99" s="263" t="s">
        <v>3</v>
      </c>
      <c r="F99" s="261">
        <f t="shared" si="5"/>
        <v>2650</v>
      </c>
      <c r="G99" s="263" t="s">
        <v>3</v>
      </c>
      <c r="H99" s="260">
        <v>2</v>
      </c>
      <c r="I99" s="262" t="s">
        <v>581</v>
      </c>
      <c r="J99" s="112">
        <v>110</v>
      </c>
      <c r="K99" s="75">
        <v>260</v>
      </c>
      <c r="L99" s="75">
        <v>2650</v>
      </c>
      <c r="M99" s="202">
        <v>27.403848636886323</v>
      </c>
      <c r="N99" s="87">
        <v>8543.7097199999989</v>
      </c>
      <c r="O99" s="123">
        <v>81013.358200887145</v>
      </c>
      <c r="P99" s="123">
        <v>93157.052265503531</v>
      </c>
      <c r="Q99" s="120">
        <v>29382.542019418397</v>
      </c>
      <c r="R99" s="123">
        <v>110395.90022030554</v>
      </c>
      <c r="S99" s="123">
        <v>122539.59428492193</v>
      </c>
      <c r="U99" s="7" t="s">
        <v>6724</v>
      </c>
    </row>
    <row r="100" spans="1:21" ht="16.5" customHeight="1" thickBot="1">
      <c r="A100" s="259" t="s">
        <v>10</v>
      </c>
      <c r="B100" s="263">
        <f t="shared" si="3"/>
        <v>110</v>
      </c>
      <c r="C100" s="263" t="s">
        <v>3</v>
      </c>
      <c r="D100" s="263">
        <f t="shared" si="4"/>
        <v>260</v>
      </c>
      <c r="E100" s="263" t="s">
        <v>3</v>
      </c>
      <c r="F100" s="261">
        <f t="shared" si="5"/>
        <v>2700</v>
      </c>
      <c r="G100" s="263" t="s">
        <v>3</v>
      </c>
      <c r="H100" s="260">
        <v>2</v>
      </c>
      <c r="I100" s="262" t="s">
        <v>581</v>
      </c>
      <c r="J100" s="112">
        <v>110</v>
      </c>
      <c r="K100" s="75">
        <v>260</v>
      </c>
      <c r="L100" s="75">
        <v>2700</v>
      </c>
      <c r="M100" s="202">
        <v>27.879528867759085</v>
      </c>
      <c r="N100" s="87">
        <v>8729.44254</v>
      </c>
      <c r="O100" s="123">
        <v>81698.407823795933</v>
      </c>
      <c r="P100" s="123">
        <v>94047.302427526665</v>
      </c>
      <c r="Q100" s="120">
        <v>29814.152631785331</v>
      </c>
      <c r="R100" s="123">
        <v>111512.56045558126</v>
      </c>
      <c r="S100" s="123">
        <v>123861.45505931199</v>
      </c>
      <c r="U100" s="7" t="s">
        <v>6725</v>
      </c>
    </row>
    <row r="101" spans="1:21" ht="16.5" customHeight="1" thickBot="1">
      <c r="A101" s="259" t="s">
        <v>10</v>
      </c>
      <c r="B101" s="263">
        <f t="shared" si="3"/>
        <v>110</v>
      </c>
      <c r="C101" s="263" t="s">
        <v>3</v>
      </c>
      <c r="D101" s="263">
        <f t="shared" si="4"/>
        <v>260</v>
      </c>
      <c r="E101" s="263" t="s">
        <v>3</v>
      </c>
      <c r="F101" s="261">
        <f t="shared" si="5"/>
        <v>2750</v>
      </c>
      <c r="G101" s="263" t="s">
        <v>3</v>
      </c>
      <c r="H101" s="260">
        <v>2</v>
      </c>
      <c r="I101" s="262" t="s">
        <v>581</v>
      </c>
      <c r="J101" s="112">
        <v>110</v>
      </c>
      <c r="K101" s="75">
        <v>260</v>
      </c>
      <c r="L101" s="75">
        <v>2750</v>
      </c>
      <c r="M101" s="202">
        <v>28.315959098631847</v>
      </c>
      <c r="N101" s="87">
        <v>8915.1753599999993</v>
      </c>
      <c r="O101" s="123">
        <v>82429.784118538068</v>
      </c>
      <c r="P101" s="123">
        <v>94983.47937194907</v>
      </c>
      <c r="Q101" s="120">
        <v>30245.763244152273</v>
      </c>
      <c r="R101" s="123">
        <v>112675.54736269034</v>
      </c>
      <c r="S101" s="123">
        <v>125229.24261610134</v>
      </c>
      <c r="U101" s="7" t="s">
        <v>6726</v>
      </c>
    </row>
    <row r="102" spans="1:21" ht="16.5" customHeight="1" thickBot="1">
      <c r="A102" s="259" t="s">
        <v>10</v>
      </c>
      <c r="B102" s="263">
        <f t="shared" si="3"/>
        <v>110</v>
      </c>
      <c r="C102" s="263" t="s">
        <v>3</v>
      </c>
      <c r="D102" s="263">
        <f t="shared" si="4"/>
        <v>260</v>
      </c>
      <c r="E102" s="263" t="s">
        <v>3</v>
      </c>
      <c r="F102" s="261">
        <f t="shared" si="5"/>
        <v>2800</v>
      </c>
      <c r="G102" s="263" t="s">
        <v>3</v>
      </c>
      <c r="H102" s="260">
        <v>2</v>
      </c>
      <c r="I102" s="262" t="s">
        <v>581</v>
      </c>
      <c r="J102" s="112">
        <v>110</v>
      </c>
      <c r="K102" s="75">
        <v>260</v>
      </c>
      <c r="L102" s="75">
        <v>2800</v>
      </c>
      <c r="M102" s="202">
        <v>28.769429329504604</v>
      </c>
      <c r="N102" s="87">
        <v>9100.9081800000004</v>
      </c>
      <c r="O102" s="123">
        <v>83078.268023436351</v>
      </c>
      <c r="P102" s="123">
        <v>95837.479448319238</v>
      </c>
      <c r="Q102" s="120">
        <v>30907.955493909118</v>
      </c>
      <c r="R102" s="123">
        <v>113986.22351734547</v>
      </c>
      <c r="S102" s="123">
        <v>126745.43494222836</v>
      </c>
      <c r="U102" s="7" t="s">
        <v>6727</v>
      </c>
    </row>
    <row r="103" spans="1:21" ht="16.5" customHeight="1" thickBot="1">
      <c r="A103" s="259" t="s">
        <v>10</v>
      </c>
      <c r="B103" s="263">
        <f t="shared" si="3"/>
        <v>110</v>
      </c>
      <c r="C103" s="263" t="s">
        <v>3</v>
      </c>
      <c r="D103" s="263">
        <f t="shared" si="4"/>
        <v>260</v>
      </c>
      <c r="E103" s="263" t="s">
        <v>3</v>
      </c>
      <c r="F103" s="261">
        <f t="shared" si="5"/>
        <v>2850</v>
      </c>
      <c r="G103" s="263" t="s">
        <v>3</v>
      </c>
      <c r="H103" s="260">
        <v>2</v>
      </c>
      <c r="I103" s="262" t="s">
        <v>581</v>
      </c>
      <c r="J103" s="112">
        <v>110</v>
      </c>
      <c r="K103" s="75">
        <v>260</v>
      </c>
      <c r="L103" s="75">
        <v>2850</v>
      </c>
      <c r="M103" s="202">
        <v>29.20585956037737</v>
      </c>
      <c r="N103" s="87">
        <v>9286.6409999999996</v>
      </c>
      <c r="O103" s="123">
        <v>83726.703836588305</v>
      </c>
      <c r="P103" s="123">
        <v>96691.431762867505</v>
      </c>
      <c r="Q103" s="120">
        <v>31339.566106276056</v>
      </c>
      <c r="R103" s="123">
        <v>115066.26994286437</v>
      </c>
      <c r="S103" s="123">
        <v>128030.99786914355</v>
      </c>
      <c r="U103" s="7" t="s">
        <v>6728</v>
      </c>
    </row>
    <row r="104" spans="1:21" ht="16.5" customHeight="1" thickBot="1">
      <c r="A104" s="259" t="s">
        <v>10</v>
      </c>
      <c r="B104" s="263">
        <f t="shared" si="3"/>
        <v>110</v>
      </c>
      <c r="C104" s="263" t="s">
        <v>3</v>
      </c>
      <c r="D104" s="263">
        <f t="shared" si="4"/>
        <v>260</v>
      </c>
      <c r="E104" s="263" t="s">
        <v>3</v>
      </c>
      <c r="F104" s="261">
        <f t="shared" si="5"/>
        <v>2900</v>
      </c>
      <c r="G104" s="263" t="s">
        <v>3</v>
      </c>
      <c r="H104" s="260">
        <v>2</v>
      </c>
      <c r="I104" s="262" t="s">
        <v>581</v>
      </c>
      <c r="J104" s="112">
        <v>110</v>
      </c>
      <c r="K104" s="75">
        <v>260</v>
      </c>
      <c r="L104" s="75">
        <v>2900</v>
      </c>
      <c r="M104" s="202">
        <v>29.835329791250132</v>
      </c>
      <c r="N104" s="87">
        <v>9472.3738199999989</v>
      </c>
      <c r="O104" s="123">
        <v>84375.091557993946</v>
      </c>
      <c r="P104" s="123">
        <v>97545.336315593857</v>
      </c>
      <c r="Q104" s="120">
        <v>32001.758496426271</v>
      </c>
      <c r="R104" s="123">
        <v>116376.85005442021</v>
      </c>
      <c r="S104" s="123">
        <v>129547.09481202014</v>
      </c>
      <c r="U104" s="7" t="s">
        <v>6729</v>
      </c>
    </row>
    <row r="105" spans="1:21" ht="16.5" customHeight="1" thickBot="1">
      <c r="A105" s="259" t="s">
        <v>10</v>
      </c>
      <c r="B105" s="263">
        <f t="shared" si="3"/>
        <v>110</v>
      </c>
      <c r="C105" s="263" t="s">
        <v>3</v>
      </c>
      <c r="D105" s="263">
        <f t="shared" si="4"/>
        <v>260</v>
      </c>
      <c r="E105" s="263" t="s">
        <v>3</v>
      </c>
      <c r="F105" s="261">
        <f t="shared" si="5"/>
        <v>2950</v>
      </c>
      <c r="G105" s="263" t="s">
        <v>3</v>
      </c>
      <c r="H105" s="260">
        <v>2</v>
      </c>
      <c r="I105" s="262" t="s">
        <v>581</v>
      </c>
      <c r="J105" s="112">
        <v>110</v>
      </c>
      <c r="K105" s="75">
        <v>260</v>
      </c>
      <c r="L105" s="75">
        <v>2950</v>
      </c>
      <c r="M105" s="202">
        <v>30.271760022122894</v>
      </c>
      <c r="N105" s="87">
        <v>9658.10664</v>
      </c>
      <c r="O105" s="123">
        <v>85023.431187653245</v>
      </c>
      <c r="P105" s="123">
        <v>98399.193232852296</v>
      </c>
      <c r="Q105" s="120">
        <v>32433.369108793206</v>
      </c>
      <c r="R105" s="123">
        <v>117456.80029644645</v>
      </c>
      <c r="S105" s="123">
        <v>130832.56234164551</v>
      </c>
      <c r="U105" s="7" t="s">
        <v>6730</v>
      </c>
    </row>
    <row r="106" spans="1:21" ht="16.5" customHeight="1" thickBot="1">
      <c r="A106" s="264" t="s">
        <v>10</v>
      </c>
      <c r="B106" s="265">
        <f t="shared" si="3"/>
        <v>110</v>
      </c>
      <c r="C106" s="265" t="s">
        <v>3</v>
      </c>
      <c r="D106" s="265">
        <f t="shared" si="4"/>
        <v>260</v>
      </c>
      <c r="E106" s="265" t="s">
        <v>3</v>
      </c>
      <c r="F106" s="266">
        <f t="shared" si="5"/>
        <v>3000</v>
      </c>
      <c r="G106" s="265" t="s">
        <v>3</v>
      </c>
      <c r="H106" s="267">
        <v>2</v>
      </c>
      <c r="I106" s="262" t="s">
        <v>581</v>
      </c>
      <c r="J106" s="346">
        <v>110</v>
      </c>
      <c r="K106" s="322">
        <v>260</v>
      </c>
      <c r="L106" s="322">
        <v>3000</v>
      </c>
      <c r="M106" s="305">
        <v>30.725230252995658</v>
      </c>
      <c r="N106" s="306">
        <v>9843.8394599999992</v>
      </c>
      <c r="O106" s="307">
        <v>87388.559524348748</v>
      </c>
      <c r="P106" s="307">
        <v>100955.0237212151</v>
      </c>
      <c r="Q106" s="308">
        <v>33095.561498943418</v>
      </c>
      <c r="R106" s="307">
        <v>120484.12102329216</v>
      </c>
      <c r="S106" s="307">
        <v>134050.58522015851</v>
      </c>
      <c r="U106" s="7" t="s">
        <v>6731</v>
      </c>
    </row>
    <row r="107" spans="1:21" ht="22.5" customHeight="1" thickBot="1">
      <c r="A107" s="2580" t="s">
        <v>48</v>
      </c>
      <c r="B107" s="2581"/>
      <c r="C107" s="2581"/>
      <c r="D107" s="2581"/>
      <c r="E107" s="2581"/>
      <c r="F107" s="2581"/>
      <c r="G107" s="2581"/>
      <c r="H107" s="2581"/>
      <c r="I107" s="2581"/>
      <c r="J107" s="2581"/>
      <c r="K107" s="2581"/>
      <c r="L107" s="2581"/>
      <c r="M107" s="2581"/>
      <c r="N107" s="2581"/>
      <c r="O107" s="2581"/>
      <c r="P107" s="2581"/>
      <c r="Q107" s="2581"/>
      <c r="R107" s="2581"/>
      <c r="S107" s="2582"/>
    </row>
    <row r="108" spans="1:21" ht="16.5" customHeight="1" thickBot="1">
      <c r="A108" s="2627" t="s">
        <v>134</v>
      </c>
      <c r="B108" s="2628"/>
      <c r="C108" s="2628"/>
      <c r="D108" s="2628"/>
      <c r="E108" s="2628"/>
      <c r="F108" s="2628"/>
      <c r="G108" s="2628"/>
      <c r="H108" s="2628"/>
      <c r="I108" s="2628"/>
      <c r="J108" s="2628"/>
      <c r="K108" s="2628"/>
      <c r="L108" s="2628"/>
      <c r="M108" s="2628"/>
      <c r="N108" s="2628"/>
      <c r="O108" s="2628"/>
      <c r="P108" s="2628"/>
      <c r="Q108" s="2628"/>
      <c r="R108" s="2628"/>
      <c r="S108" s="2629"/>
    </row>
    <row r="109" spans="1:21" ht="16.5" customHeight="1" thickBot="1">
      <c r="A109" s="259" t="s">
        <v>10</v>
      </c>
      <c r="B109" s="260">
        <f t="shared" ref="B109:B155" si="6">J109</f>
        <v>110</v>
      </c>
      <c r="C109" s="260" t="s">
        <v>3</v>
      </c>
      <c r="D109" s="260">
        <f t="shared" ref="D109:D155" si="7">K109</f>
        <v>300</v>
      </c>
      <c r="E109" s="260" t="s">
        <v>3</v>
      </c>
      <c r="F109" s="261">
        <f t="shared" ref="F109:F155" si="8">L109</f>
        <v>700</v>
      </c>
      <c r="G109" s="260" t="s">
        <v>3</v>
      </c>
      <c r="H109" s="260">
        <v>2</v>
      </c>
      <c r="I109" s="262" t="s">
        <v>581</v>
      </c>
      <c r="J109" s="344">
        <v>110</v>
      </c>
      <c r="K109" s="327">
        <v>300</v>
      </c>
      <c r="L109" s="327">
        <v>700</v>
      </c>
      <c r="M109" s="301">
        <v>8.3049088338275006</v>
      </c>
      <c r="N109" s="302">
        <v>1437.4105199999997</v>
      </c>
      <c r="O109" s="303">
        <v>26664.014920985777</v>
      </c>
      <c r="P109" s="303">
        <v>30974.190344666051</v>
      </c>
      <c r="Q109" s="304">
        <v>9394.7606208712132</v>
      </c>
      <c r="R109" s="303">
        <v>36058.775541856987</v>
      </c>
      <c r="S109" s="303">
        <v>40368.950965537268</v>
      </c>
      <c r="U109" s="7" t="s">
        <v>6732</v>
      </c>
    </row>
    <row r="110" spans="1:21" ht="16.5" customHeight="1" thickBot="1">
      <c r="A110" s="259" t="s">
        <v>10</v>
      </c>
      <c r="B110" s="263">
        <f t="shared" si="6"/>
        <v>110</v>
      </c>
      <c r="C110" s="263" t="s">
        <v>3</v>
      </c>
      <c r="D110" s="263">
        <f t="shared" si="7"/>
        <v>300</v>
      </c>
      <c r="E110" s="263" t="s">
        <v>3</v>
      </c>
      <c r="F110" s="261">
        <f t="shared" si="8"/>
        <v>750</v>
      </c>
      <c r="G110" s="263" t="s">
        <v>3</v>
      </c>
      <c r="H110" s="260">
        <v>2</v>
      </c>
      <c r="I110" s="262" t="s">
        <v>581</v>
      </c>
      <c r="J110" s="112">
        <v>110</v>
      </c>
      <c r="K110" s="75">
        <v>300</v>
      </c>
      <c r="L110" s="75">
        <v>750</v>
      </c>
      <c r="M110" s="202">
        <v>8.7731927725949994</v>
      </c>
      <c r="N110" s="87">
        <v>1642.75488</v>
      </c>
      <c r="O110" s="123">
        <v>28232.988812652497</v>
      </c>
      <c r="P110" s="123">
        <v>32759.992357299729</v>
      </c>
      <c r="Q110" s="120">
        <v>9875.165788735203</v>
      </c>
      <c r="R110" s="123">
        <v>38108.154601387701</v>
      </c>
      <c r="S110" s="123">
        <v>42635.158146034933</v>
      </c>
      <c r="U110" s="7" t="s">
        <v>6733</v>
      </c>
    </row>
    <row r="111" spans="1:21" ht="16.5" customHeight="1" thickBot="1">
      <c r="A111" s="259" t="s">
        <v>10</v>
      </c>
      <c r="B111" s="263">
        <f t="shared" si="6"/>
        <v>110</v>
      </c>
      <c r="C111" s="263" t="s">
        <v>3</v>
      </c>
      <c r="D111" s="263">
        <f t="shared" si="7"/>
        <v>300</v>
      </c>
      <c r="E111" s="263" t="s">
        <v>3</v>
      </c>
      <c r="F111" s="261">
        <f t="shared" si="8"/>
        <v>800</v>
      </c>
      <c r="G111" s="263" t="s">
        <v>3</v>
      </c>
      <c r="H111" s="260">
        <v>2</v>
      </c>
      <c r="I111" s="262" t="s">
        <v>581</v>
      </c>
      <c r="J111" s="112">
        <v>110</v>
      </c>
      <c r="K111" s="75">
        <v>300</v>
      </c>
      <c r="L111" s="75">
        <v>800</v>
      </c>
      <c r="M111" s="202">
        <v>9.2414767113625</v>
      </c>
      <c r="N111" s="87">
        <v>1848.0992399999998</v>
      </c>
      <c r="O111" s="123">
        <v>29802.567610180551</v>
      </c>
      <c r="P111" s="123">
        <v>34546.393919787959</v>
      </c>
      <c r="Q111" s="120">
        <v>10355.570956599189</v>
      </c>
      <c r="R111" s="123">
        <v>40158.138566779744</v>
      </c>
      <c r="S111" s="123">
        <v>44901.964876387152</v>
      </c>
      <c r="U111" s="7" t="s">
        <v>6734</v>
      </c>
    </row>
    <row r="112" spans="1:21" ht="16.5" customHeight="1" thickBot="1">
      <c r="A112" s="259" t="s">
        <v>10</v>
      </c>
      <c r="B112" s="263">
        <f t="shared" si="6"/>
        <v>110</v>
      </c>
      <c r="C112" s="263" t="s">
        <v>3</v>
      </c>
      <c r="D112" s="263">
        <f t="shared" si="7"/>
        <v>300</v>
      </c>
      <c r="E112" s="263" t="s">
        <v>3</v>
      </c>
      <c r="F112" s="261">
        <f t="shared" si="8"/>
        <v>850</v>
      </c>
      <c r="G112" s="263" t="s">
        <v>3</v>
      </c>
      <c r="H112" s="260">
        <v>2</v>
      </c>
      <c r="I112" s="262" t="s">
        <v>581</v>
      </c>
      <c r="J112" s="112">
        <v>110</v>
      </c>
      <c r="K112" s="75">
        <v>300</v>
      </c>
      <c r="L112" s="75">
        <v>850</v>
      </c>
      <c r="M112" s="202">
        <v>9.7268006501299986</v>
      </c>
      <c r="N112" s="87">
        <v>2053.4435999999996</v>
      </c>
      <c r="O112" s="123">
        <v>31372.146407708606</v>
      </c>
      <c r="P112" s="123">
        <v>36332.795482276189</v>
      </c>
      <c r="Q112" s="120">
        <v>11066.558042639816</v>
      </c>
      <c r="R112" s="123">
        <v>42438.704450348421</v>
      </c>
      <c r="S112" s="123">
        <v>47399.353524916005</v>
      </c>
      <c r="U112" s="7" t="s">
        <v>6735</v>
      </c>
    </row>
    <row r="113" spans="1:21" ht="16.5" customHeight="1" thickBot="1">
      <c r="A113" s="259" t="s">
        <v>10</v>
      </c>
      <c r="B113" s="263">
        <f t="shared" si="6"/>
        <v>110</v>
      </c>
      <c r="C113" s="263" t="s">
        <v>3</v>
      </c>
      <c r="D113" s="263">
        <f t="shared" si="7"/>
        <v>300</v>
      </c>
      <c r="E113" s="263" t="s">
        <v>3</v>
      </c>
      <c r="F113" s="261">
        <f t="shared" si="8"/>
        <v>900</v>
      </c>
      <c r="G113" s="263" t="s">
        <v>3</v>
      </c>
      <c r="H113" s="260">
        <v>2</v>
      </c>
      <c r="I113" s="262" t="s">
        <v>581</v>
      </c>
      <c r="J113" s="112">
        <v>110</v>
      </c>
      <c r="K113" s="75">
        <v>300</v>
      </c>
      <c r="L113" s="75">
        <v>900</v>
      </c>
      <c r="M113" s="202">
        <v>10.233084588897501</v>
      </c>
      <c r="N113" s="87">
        <v>2258.7879600000001</v>
      </c>
      <c r="O113" s="123">
        <v>32941.72520523666</v>
      </c>
      <c r="P113" s="123">
        <v>38119.197044764427</v>
      </c>
      <c r="Q113" s="120">
        <v>11546.963210503804</v>
      </c>
      <c r="R113" s="123">
        <v>44488.688415740464</v>
      </c>
      <c r="S113" s="123">
        <v>49666.160255268231</v>
      </c>
      <c r="U113" s="7" t="s">
        <v>6736</v>
      </c>
    </row>
    <row r="114" spans="1:21" ht="16.5" customHeight="1" thickBot="1">
      <c r="A114" s="259" t="s">
        <v>10</v>
      </c>
      <c r="B114" s="263">
        <f t="shared" si="6"/>
        <v>110</v>
      </c>
      <c r="C114" s="263" t="s">
        <v>3</v>
      </c>
      <c r="D114" s="263">
        <f t="shared" si="7"/>
        <v>300</v>
      </c>
      <c r="E114" s="263" t="s">
        <v>3</v>
      </c>
      <c r="F114" s="261">
        <f t="shared" si="8"/>
        <v>950</v>
      </c>
      <c r="G114" s="263" t="s">
        <v>3</v>
      </c>
      <c r="H114" s="260">
        <v>2</v>
      </c>
      <c r="I114" s="262" t="s">
        <v>581</v>
      </c>
      <c r="J114" s="112">
        <v>110</v>
      </c>
      <c r="K114" s="75">
        <v>300</v>
      </c>
      <c r="L114" s="75">
        <v>950</v>
      </c>
      <c r="M114" s="202">
        <v>10.787408527665001</v>
      </c>
      <c r="N114" s="87">
        <v>2464.1323199999997</v>
      </c>
      <c r="O114" s="123">
        <v>34511.303883430359</v>
      </c>
      <c r="P114" s="123">
        <v>39905.598733606683</v>
      </c>
      <c r="Q114" s="120">
        <v>12257.950156151066</v>
      </c>
      <c r="R114" s="123">
        <v>46769.254039581429</v>
      </c>
      <c r="S114" s="123">
        <v>52163.548889757745</v>
      </c>
      <c r="U114" s="7" t="s">
        <v>6737</v>
      </c>
    </row>
    <row r="115" spans="1:21" ht="16.5" customHeight="1" thickBot="1">
      <c r="A115" s="259" t="s">
        <v>10</v>
      </c>
      <c r="B115" s="263">
        <f t="shared" si="6"/>
        <v>110</v>
      </c>
      <c r="C115" s="263" t="s">
        <v>3</v>
      </c>
      <c r="D115" s="263">
        <f t="shared" si="7"/>
        <v>300</v>
      </c>
      <c r="E115" s="263" t="s">
        <v>3</v>
      </c>
      <c r="F115" s="261">
        <f t="shared" si="8"/>
        <v>1000</v>
      </c>
      <c r="G115" s="263" t="s">
        <v>3</v>
      </c>
      <c r="H115" s="260">
        <v>2</v>
      </c>
      <c r="I115" s="262" t="s">
        <v>581</v>
      </c>
      <c r="J115" s="112">
        <v>110</v>
      </c>
      <c r="K115" s="75">
        <v>300</v>
      </c>
      <c r="L115" s="75">
        <v>1000</v>
      </c>
      <c r="M115" s="202">
        <v>11.2556924664325</v>
      </c>
      <c r="N115" s="87">
        <v>2669.4766799999998</v>
      </c>
      <c r="O115" s="123">
        <v>35985.750643339103</v>
      </c>
      <c r="P115" s="123">
        <v>41597.689145485812</v>
      </c>
      <c r="Q115" s="120">
        <v>12738.355464408416</v>
      </c>
      <c r="R115" s="123">
        <v>48724.106107747517</v>
      </c>
      <c r="S115" s="123">
        <v>54336.044609894227</v>
      </c>
      <c r="U115" s="7" t="s">
        <v>6738</v>
      </c>
    </row>
    <row r="116" spans="1:21" ht="16.5" customHeight="1" thickBot="1">
      <c r="A116" s="259" t="s">
        <v>10</v>
      </c>
      <c r="B116" s="263">
        <f t="shared" si="6"/>
        <v>110</v>
      </c>
      <c r="C116" s="263" t="s">
        <v>3</v>
      </c>
      <c r="D116" s="263">
        <f t="shared" si="7"/>
        <v>300</v>
      </c>
      <c r="E116" s="263" t="s">
        <v>3</v>
      </c>
      <c r="F116" s="261">
        <f t="shared" si="8"/>
        <v>1050</v>
      </c>
      <c r="G116" s="263" t="s">
        <v>3</v>
      </c>
      <c r="H116" s="260">
        <v>2</v>
      </c>
      <c r="I116" s="262" t="s">
        <v>581</v>
      </c>
      <c r="J116" s="112">
        <v>110</v>
      </c>
      <c r="K116" s="75">
        <v>300</v>
      </c>
      <c r="L116" s="75">
        <v>1050</v>
      </c>
      <c r="M116" s="202">
        <v>11.7410164052</v>
      </c>
      <c r="N116" s="87">
        <v>2874.8210399999994</v>
      </c>
      <c r="O116" s="123">
        <v>37781.268164464171</v>
      </c>
      <c r="P116" s="123">
        <v>43608.079627493658</v>
      </c>
      <c r="Q116" s="120">
        <v>13449.342410055679</v>
      </c>
      <c r="R116" s="123">
        <v>51230.610574519851</v>
      </c>
      <c r="S116" s="123">
        <v>57057.422037549339</v>
      </c>
      <c r="U116" s="7" t="s">
        <v>6739</v>
      </c>
    </row>
    <row r="117" spans="1:21" ht="16.5" customHeight="1" thickBot="1">
      <c r="A117" s="259" t="s">
        <v>10</v>
      </c>
      <c r="B117" s="260">
        <f t="shared" si="6"/>
        <v>110</v>
      </c>
      <c r="C117" s="260" t="s">
        <v>3</v>
      </c>
      <c r="D117" s="260">
        <f t="shared" si="7"/>
        <v>300</v>
      </c>
      <c r="E117" s="260" t="s">
        <v>3</v>
      </c>
      <c r="F117" s="261">
        <f t="shared" si="8"/>
        <v>1100</v>
      </c>
      <c r="G117" s="260" t="s">
        <v>3</v>
      </c>
      <c r="H117" s="260">
        <v>2</v>
      </c>
      <c r="I117" s="262" t="s">
        <v>581</v>
      </c>
      <c r="J117" s="112">
        <v>110</v>
      </c>
      <c r="K117" s="75">
        <v>300</v>
      </c>
      <c r="L117" s="75">
        <v>1100</v>
      </c>
      <c r="M117" s="202">
        <v>12.209300343967499</v>
      </c>
      <c r="N117" s="87">
        <v>3080.1653999999999</v>
      </c>
      <c r="O117" s="123">
        <v>39350.846961992225</v>
      </c>
      <c r="P117" s="123">
        <v>45394.481316335914</v>
      </c>
      <c r="Q117" s="120">
        <v>13929.747718313029</v>
      </c>
      <c r="R117" s="123">
        <v>53280.59468030525</v>
      </c>
      <c r="S117" s="123">
        <v>59324.229034648946</v>
      </c>
      <c r="U117" s="7" t="s">
        <v>6740</v>
      </c>
    </row>
    <row r="118" spans="1:21" ht="16.5" customHeight="1" thickBot="1">
      <c r="A118" s="259" t="s">
        <v>10</v>
      </c>
      <c r="B118" s="263">
        <f t="shared" si="6"/>
        <v>110</v>
      </c>
      <c r="C118" s="263" t="s">
        <v>3</v>
      </c>
      <c r="D118" s="263">
        <f t="shared" si="7"/>
        <v>300</v>
      </c>
      <c r="E118" s="263" t="s">
        <v>3</v>
      </c>
      <c r="F118" s="261">
        <f t="shared" si="8"/>
        <v>1150</v>
      </c>
      <c r="G118" s="263" t="s">
        <v>3</v>
      </c>
      <c r="H118" s="260">
        <v>2</v>
      </c>
      <c r="I118" s="262" t="s">
        <v>581</v>
      </c>
      <c r="J118" s="112">
        <v>110</v>
      </c>
      <c r="K118" s="75">
        <v>300</v>
      </c>
      <c r="L118" s="75">
        <v>1150</v>
      </c>
      <c r="M118" s="202">
        <v>12.677584282735001</v>
      </c>
      <c r="N118" s="87">
        <v>3285.5097599999999</v>
      </c>
      <c r="O118" s="123">
        <v>40165.083187632823</v>
      </c>
      <c r="P118" s="123">
        <v>46432.058630364205</v>
      </c>
      <c r="Q118" s="120">
        <v>14410.152886177015</v>
      </c>
      <c r="R118" s="123">
        <v>54575.236073809836</v>
      </c>
      <c r="S118" s="123">
        <v>60842.211516541218</v>
      </c>
      <c r="U118" s="7" t="s">
        <v>6741</v>
      </c>
    </row>
    <row r="119" spans="1:21" ht="16.5" customHeight="1" thickBot="1">
      <c r="A119" s="259" t="s">
        <v>10</v>
      </c>
      <c r="B119" s="263">
        <f t="shared" si="6"/>
        <v>110</v>
      </c>
      <c r="C119" s="263" t="s">
        <v>3</v>
      </c>
      <c r="D119" s="263">
        <f t="shared" si="7"/>
        <v>300</v>
      </c>
      <c r="E119" s="263" t="s">
        <v>3</v>
      </c>
      <c r="F119" s="261">
        <f t="shared" si="8"/>
        <v>1200</v>
      </c>
      <c r="G119" s="263" t="s">
        <v>3</v>
      </c>
      <c r="H119" s="260">
        <v>2</v>
      </c>
      <c r="I119" s="262" t="s">
        <v>581</v>
      </c>
      <c r="J119" s="112">
        <v>110</v>
      </c>
      <c r="K119" s="75">
        <v>300</v>
      </c>
      <c r="L119" s="75">
        <v>1200</v>
      </c>
      <c r="M119" s="202">
        <v>13.378158221502503</v>
      </c>
      <c r="N119" s="87">
        <v>3490.8541199999995</v>
      </c>
      <c r="O119" s="123">
        <v>41014.458489032542</v>
      </c>
      <c r="P119" s="123">
        <v>47504.471749429613</v>
      </c>
      <c r="Q119" s="120">
        <v>15121.139831824277</v>
      </c>
      <c r="R119" s="123">
        <v>56135.598320856821</v>
      </c>
      <c r="S119" s="123">
        <v>62625.611581253892</v>
      </c>
      <c r="U119" s="7" t="s">
        <v>6742</v>
      </c>
    </row>
    <row r="120" spans="1:21" ht="16.5" customHeight="1" thickBot="1">
      <c r="A120" s="259" t="s">
        <v>10</v>
      </c>
      <c r="B120" s="263">
        <f t="shared" si="6"/>
        <v>110</v>
      </c>
      <c r="C120" s="263" t="s">
        <v>3</v>
      </c>
      <c r="D120" s="263">
        <f t="shared" si="7"/>
        <v>300</v>
      </c>
      <c r="E120" s="263" t="s">
        <v>3</v>
      </c>
      <c r="F120" s="261">
        <f t="shared" si="8"/>
        <v>1250</v>
      </c>
      <c r="G120" s="263" t="s">
        <v>3</v>
      </c>
      <c r="H120" s="260">
        <v>2</v>
      </c>
      <c r="I120" s="262" t="s">
        <v>581</v>
      </c>
      <c r="J120" s="112">
        <v>110</v>
      </c>
      <c r="K120" s="75">
        <v>300</v>
      </c>
      <c r="L120" s="75">
        <v>1250</v>
      </c>
      <c r="M120" s="202">
        <v>13.846442160269998</v>
      </c>
      <c r="N120" s="87">
        <v>3696.1984799999996</v>
      </c>
      <c r="O120" s="123">
        <v>41828.213797209894</v>
      </c>
      <c r="P120" s="123">
        <v>48541.572329716852</v>
      </c>
      <c r="Q120" s="120">
        <v>15601.545140081627</v>
      </c>
      <c r="R120" s="123">
        <v>57429.758937291524</v>
      </c>
      <c r="S120" s="123">
        <v>64143.117469798482</v>
      </c>
      <c r="U120" s="7" t="s">
        <v>6743</v>
      </c>
    </row>
    <row r="121" spans="1:21" ht="16.5" customHeight="1" thickBot="1">
      <c r="A121" s="259" t="s">
        <v>10</v>
      </c>
      <c r="B121" s="263">
        <f t="shared" si="6"/>
        <v>110</v>
      </c>
      <c r="C121" s="263" t="s">
        <v>3</v>
      </c>
      <c r="D121" s="263">
        <f t="shared" si="7"/>
        <v>300</v>
      </c>
      <c r="E121" s="263" t="s">
        <v>3</v>
      </c>
      <c r="F121" s="261">
        <f t="shared" si="8"/>
        <v>1300</v>
      </c>
      <c r="G121" s="263" t="s">
        <v>3</v>
      </c>
      <c r="H121" s="260">
        <v>2</v>
      </c>
      <c r="I121" s="262" t="s">
        <v>581</v>
      </c>
      <c r="J121" s="112">
        <v>110</v>
      </c>
      <c r="K121" s="75">
        <v>300</v>
      </c>
      <c r="L121" s="75">
        <v>1300</v>
      </c>
      <c r="M121" s="202">
        <v>14.393766099037501</v>
      </c>
      <c r="N121" s="87">
        <v>3901.5428399999992</v>
      </c>
      <c r="O121" s="123">
        <v>45094.352576725294</v>
      </c>
      <c r="P121" s="123">
        <v>52009.893310387197</v>
      </c>
      <c r="Q121" s="120">
        <v>16312.53208572889</v>
      </c>
      <c r="R121" s="123">
        <v>61406.884662454184</v>
      </c>
      <c r="S121" s="123">
        <v>68322.425396116087</v>
      </c>
      <c r="U121" s="7" t="s">
        <v>6744</v>
      </c>
    </row>
    <row r="122" spans="1:21" ht="16.5" customHeight="1" thickBot="1">
      <c r="A122" s="259" t="s">
        <v>10</v>
      </c>
      <c r="B122" s="263">
        <f t="shared" si="6"/>
        <v>110</v>
      </c>
      <c r="C122" s="263" t="s">
        <v>3</v>
      </c>
      <c r="D122" s="263">
        <f t="shared" si="7"/>
        <v>300</v>
      </c>
      <c r="E122" s="263" t="s">
        <v>3</v>
      </c>
      <c r="F122" s="261">
        <f t="shared" si="8"/>
        <v>1350</v>
      </c>
      <c r="G122" s="263" t="s">
        <v>3</v>
      </c>
      <c r="H122" s="260">
        <v>2</v>
      </c>
      <c r="I122" s="262" t="s">
        <v>581</v>
      </c>
      <c r="J122" s="112">
        <v>110</v>
      </c>
      <c r="K122" s="75">
        <v>300</v>
      </c>
      <c r="L122" s="75">
        <v>1350</v>
      </c>
      <c r="M122" s="202">
        <v>14.862050037805002</v>
      </c>
      <c r="N122" s="87">
        <v>4106.8871999999992</v>
      </c>
      <c r="O122" s="123">
        <v>46157.804169852614</v>
      </c>
      <c r="P122" s="123">
        <v>53294.535453395103</v>
      </c>
      <c r="Q122" s="120">
        <v>16792.937253592878</v>
      </c>
      <c r="R122" s="123">
        <v>62950.741423445492</v>
      </c>
      <c r="S122" s="123">
        <v>70087.472706987988</v>
      </c>
      <c r="U122" s="7" t="s">
        <v>6745</v>
      </c>
    </row>
    <row r="123" spans="1:21" ht="16.5" customHeight="1" thickBot="1">
      <c r="A123" s="259" t="s">
        <v>10</v>
      </c>
      <c r="B123" s="263">
        <f t="shared" si="6"/>
        <v>110</v>
      </c>
      <c r="C123" s="263" t="s">
        <v>3</v>
      </c>
      <c r="D123" s="263">
        <f t="shared" si="7"/>
        <v>300</v>
      </c>
      <c r="E123" s="263" t="s">
        <v>3</v>
      </c>
      <c r="F123" s="261">
        <f t="shared" si="8"/>
        <v>1400</v>
      </c>
      <c r="G123" s="263" t="s">
        <v>3</v>
      </c>
      <c r="H123" s="260">
        <v>2</v>
      </c>
      <c r="I123" s="262" t="s">
        <v>581</v>
      </c>
      <c r="J123" s="112">
        <v>110</v>
      </c>
      <c r="K123" s="75">
        <v>300</v>
      </c>
      <c r="L123" s="75">
        <v>1400</v>
      </c>
      <c r="M123" s="202">
        <v>15.347373976572502</v>
      </c>
      <c r="N123" s="87">
        <v>4312.2315600000002</v>
      </c>
      <c r="O123" s="123">
        <v>47548.272358589849</v>
      </c>
      <c r="P123" s="123">
        <v>54903.372081856294</v>
      </c>
      <c r="Q123" s="120">
        <v>17503.924339633504</v>
      </c>
      <c r="R123" s="123">
        <v>65052.196698223357</v>
      </c>
      <c r="S123" s="123">
        <v>72407.296421489795</v>
      </c>
      <c r="U123" s="7" t="s">
        <v>6746</v>
      </c>
    </row>
    <row r="124" spans="1:21" ht="16.5" customHeight="1" thickBot="1">
      <c r="A124" s="259" t="s">
        <v>10</v>
      </c>
      <c r="B124" s="263">
        <f t="shared" si="6"/>
        <v>110</v>
      </c>
      <c r="C124" s="263" t="s">
        <v>3</v>
      </c>
      <c r="D124" s="263">
        <f t="shared" si="7"/>
        <v>300</v>
      </c>
      <c r="E124" s="263" t="s">
        <v>3</v>
      </c>
      <c r="F124" s="261">
        <f t="shared" si="8"/>
        <v>1450</v>
      </c>
      <c r="G124" s="263" t="s">
        <v>3</v>
      </c>
      <c r="H124" s="260">
        <v>2</v>
      </c>
      <c r="I124" s="262" t="s">
        <v>581</v>
      </c>
      <c r="J124" s="112">
        <v>110</v>
      </c>
      <c r="K124" s="75">
        <v>300</v>
      </c>
      <c r="L124" s="75">
        <v>1450</v>
      </c>
      <c r="M124" s="202">
        <v>15.815657915340001</v>
      </c>
      <c r="N124" s="87">
        <v>4517.5759200000002</v>
      </c>
      <c r="O124" s="123">
        <v>48611.724071051525</v>
      </c>
      <c r="P124" s="123">
        <v>56188.014224864201</v>
      </c>
      <c r="Q124" s="120">
        <v>17984.32950749735</v>
      </c>
      <c r="R124" s="123">
        <v>66596.053578548876</v>
      </c>
      <c r="S124" s="123">
        <v>74172.343732361551</v>
      </c>
      <c r="U124" s="7" t="s">
        <v>6747</v>
      </c>
    </row>
    <row r="125" spans="1:21" ht="16.5" customHeight="1" thickBot="1">
      <c r="A125" s="259" t="s">
        <v>10</v>
      </c>
      <c r="B125" s="263">
        <f t="shared" si="6"/>
        <v>110</v>
      </c>
      <c r="C125" s="263" t="s">
        <v>3</v>
      </c>
      <c r="D125" s="263">
        <f t="shared" si="7"/>
        <v>300</v>
      </c>
      <c r="E125" s="263" t="s">
        <v>3</v>
      </c>
      <c r="F125" s="261">
        <f t="shared" si="8"/>
        <v>1500</v>
      </c>
      <c r="G125" s="263" t="s">
        <v>3</v>
      </c>
      <c r="H125" s="260">
        <v>2</v>
      </c>
      <c r="I125" s="262" t="s">
        <v>581</v>
      </c>
      <c r="J125" s="112">
        <v>110</v>
      </c>
      <c r="K125" s="75">
        <v>300</v>
      </c>
      <c r="L125" s="75">
        <v>1500</v>
      </c>
      <c r="M125" s="202">
        <v>16.911135011407502</v>
      </c>
      <c r="N125" s="87">
        <v>4722.9202799999994</v>
      </c>
      <c r="O125" s="123">
        <v>50225.176980684737</v>
      </c>
      <c r="P125" s="123">
        <v>58175.572534328669</v>
      </c>
      <c r="Q125" s="120">
        <v>18695.316593538118</v>
      </c>
      <c r="R125" s="123">
        <v>68920.493574222855</v>
      </c>
      <c r="S125" s="123">
        <v>76870.889127866787</v>
      </c>
      <c r="U125" s="7" t="s">
        <v>6748</v>
      </c>
    </row>
    <row r="126" spans="1:21" ht="16.5" customHeight="1" thickBot="1">
      <c r="A126" s="259" t="s">
        <v>10</v>
      </c>
      <c r="B126" s="263">
        <f t="shared" si="6"/>
        <v>110</v>
      </c>
      <c r="C126" s="263" t="s">
        <v>3</v>
      </c>
      <c r="D126" s="263">
        <f t="shared" si="7"/>
        <v>300</v>
      </c>
      <c r="E126" s="263" t="s">
        <v>3</v>
      </c>
      <c r="F126" s="261">
        <f t="shared" si="8"/>
        <v>1550</v>
      </c>
      <c r="G126" s="263" t="s">
        <v>3</v>
      </c>
      <c r="H126" s="260">
        <v>2</v>
      </c>
      <c r="I126" s="262" t="s">
        <v>581</v>
      </c>
      <c r="J126" s="112">
        <v>110</v>
      </c>
      <c r="K126" s="75">
        <v>300</v>
      </c>
      <c r="L126" s="75">
        <v>1550</v>
      </c>
      <c r="M126" s="202">
        <v>17.448418950175</v>
      </c>
      <c r="N126" s="87">
        <v>4928.2646399999994</v>
      </c>
      <c r="O126" s="123">
        <v>51288.62869314642</v>
      </c>
      <c r="P126" s="123">
        <v>59460.214677336582</v>
      </c>
      <c r="Q126" s="120">
        <v>19175.721761402103</v>
      </c>
      <c r="R126" s="123">
        <v>70464.350454548519</v>
      </c>
      <c r="S126" s="123">
        <v>78635.936438738689</v>
      </c>
      <c r="U126" s="7" t="s">
        <v>6749</v>
      </c>
    </row>
    <row r="127" spans="1:21" ht="16.5" customHeight="1" thickBot="1">
      <c r="A127" s="259" t="s">
        <v>10</v>
      </c>
      <c r="B127" s="260">
        <f t="shared" si="6"/>
        <v>110</v>
      </c>
      <c r="C127" s="260" t="s">
        <v>3</v>
      </c>
      <c r="D127" s="260">
        <f t="shared" si="7"/>
        <v>300</v>
      </c>
      <c r="E127" s="260" t="s">
        <v>3</v>
      </c>
      <c r="F127" s="261">
        <f t="shared" si="8"/>
        <v>1600</v>
      </c>
      <c r="G127" s="260" t="s">
        <v>3</v>
      </c>
      <c r="H127" s="260">
        <v>2</v>
      </c>
      <c r="I127" s="262" t="s">
        <v>581</v>
      </c>
      <c r="J127" s="112">
        <v>110</v>
      </c>
      <c r="K127" s="75">
        <v>300</v>
      </c>
      <c r="L127" s="75">
        <v>1600</v>
      </c>
      <c r="M127" s="202">
        <v>17.916702888942499</v>
      </c>
      <c r="N127" s="87">
        <v>5133.6089999999995</v>
      </c>
      <c r="O127" s="123">
        <v>54298.121751366445</v>
      </c>
      <c r="P127" s="123">
        <v>62674.104642004975</v>
      </c>
      <c r="Q127" s="120">
        <v>19656.126929266091</v>
      </c>
      <c r="R127" s="123">
        <v>73954.248680632532</v>
      </c>
      <c r="S127" s="123">
        <v>82330.23157127107</v>
      </c>
      <c r="U127" s="7" t="s">
        <v>6750</v>
      </c>
    </row>
    <row r="128" spans="1:21" ht="16.5" customHeight="1" thickBot="1">
      <c r="A128" s="259" t="s">
        <v>10</v>
      </c>
      <c r="B128" s="263">
        <f t="shared" si="6"/>
        <v>110</v>
      </c>
      <c r="C128" s="263" t="s">
        <v>3</v>
      </c>
      <c r="D128" s="263">
        <f t="shared" si="7"/>
        <v>300</v>
      </c>
      <c r="E128" s="263" t="s">
        <v>3</v>
      </c>
      <c r="F128" s="261">
        <f t="shared" si="8"/>
        <v>1650</v>
      </c>
      <c r="G128" s="263" t="s">
        <v>3</v>
      </c>
      <c r="H128" s="260">
        <v>2</v>
      </c>
      <c r="I128" s="262" t="s">
        <v>581</v>
      </c>
      <c r="J128" s="112">
        <v>110</v>
      </c>
      <c r="K128" s="75">
        <v>300</v>
      </c>
      <c r="L128" s="75">
        <v>1650</v>
      </c>
      <c r="M128" s="202">
        <v>18.44002682771</v>
      </c>
      <c r="N128" s="87">
        <v>5338.9533599999995</v>
      </c>
      <c r="O128" s="123">
        <v>57559.874873886387</v>
      </c>
      <c r="P128" s="123">
        <v>66138.077780632055</v>
      </c>
      <c r="Q128" s="120">
        <v>20367.114015306717</v>
      </c>
      <c r="R128" s="123">
        <v>77926.988889193104</v>
      </c>
      <c r="S128" s="123">
        <v>86505.191795938765</v>
      </c>
      <c r="U128" s="7" t="s">
        <v>6751</v>
      </c>
    </row>
    <row r="129" spans="1:21" ht="16.5" customHeight="1" thickBot="1">
      <c r="A129" s="259" t="s">
        <v>10</v>
      </c>
      <c r="B129" s="263">
        <f t="shared" si="6"/>
        <v>110</v>
      </c>
      <c r="C129" s="263" t="s">
        <v>3</v>
      </c>
      <c r="D129" s="263">
        <f t="shared" si="7"/>
        <v>300</v>
      </c>
      <c r="E129" s="263" t="s">
        <v>3</v>
      </c>
      <c r="F129" s="261">
        <f t="shared" si="8"/>
        <v>1700</v>
      </c>
      <c r="G129" s="263" t="s">
        <v>3</v>
      </c>
      <c r="H129" s="260">
        <v>2</v>
      </c>
      <c r="I129" s="262" t="s">
        <v>581</v>
      </c>
      <c r="J129" s="112">
        <v>110</v>
      </c>
      <c r="K129" s="75">
        <v>300</v>
      </c>
      <c r="L129" s="75">
        <v>1700</v>
      </c>
      <c r="M129" s="202">
        <v>18.908310766477502</v>
      </c>
      <c r="N129" s="87">
        <v>5544.2977199999996</v>
      </c>
      <c r="O129" s="123">
        <v>58418.179129964097</v>
      </c>
      <c r="P129" s="123">
        <v>67219.34288371446</v>
      </c>
      <c r="Q129" s="120">
        <v>20847.519183170705</v>
      </c>
      <c r="R129" s="123">
        <v>79265.69831313481</v>
      </c>
      <c r="S129" s="123">
        <v>88066.862066885165</v>
      </c>
      <c r="U129" s="7" t="s">
        <v>6752</v>
      </c>
    </row>
    <row r="130" spans="1:21" ht="16.5" customHeight="1" thickBot="1">
      <c r="A130" s="259" t="s">
        <v>10</v>
      </c>
      <c r="B130" s="263">
        <f t="shared" si="6"/>
        <v>110</v>
      </c>
      <c r="C130" s="263" t="s">
        <v>3</v>
      </c>
      <c r="D130" s="263">
        <f t="shared" si="7"/>
        <v>300</v>
      </c>
      <c r="E130" s="263" t="s">
        <v>3</v>
      </c>
      <c r="F130" s="261">
        <f t="shared" si="8"/>
        <v>1750</v>
      </c>
      <c r="G130" s="263" t="s">
        <v>3</v>
      </c>
      <c r="H130" s="260">
        <v>2</v>
      </c>
      <c r="I130" s="262" t="s">
        <v>581</v>
      </c>
      <c r="J130" s="112">
        <v>110</v>
      </c>
      <c r="K130" s="75">
        <v>300</v>
      </c>
      <c r="L130" s="75">
        <v>1750</v>
      </c>
      <c r="M130" s="202">
        <v>19.393634705244999</v>
      </c>
      <c r="N130" s="87">
        <v>5749.6420799999987</v>
      </c>
      <c r="O130" s="123">
        <v>59200.329688066915</v>
      </c>
      <c r="P130" s="123">
        <v>68225.111329758452</v>
      </c>
      <c r="Q130" s="120">
        <v>21558.506269211328</v>
      </c>
      <c r="R130" s="123">
        <v>80758.835957278236</v>
      </c>
      <c r="S130" s="123">
        <v>89783.61759896978</v>
      </c>
      <c r="U130" s="7" t="s">
        <v>6753</v>
      </c>
    </row>
    <row r="131" spans="1:21" ht="16.5" customHeight="1" thickBot="1">
      <c r="A131" s="259" t="s">
        <v>10</v>
      </c>
      <c r="B131" s="263">
        <f t="shared" si="6"/>
        <v>110</v>
      </c>
      <c r="C131" s="263" t="s">
        <v>3</v>
      </c>
      <c r="D131" s="263">
        <f t="shared" si="7"/>
        <v>300</v>
      </c>
      <c r="E131" s="263" t="s">
        <v>3</v>
      </c>
      <c r="F131" s="261">
        <f t="shared" si="8"/>
        <v>1800</v>
      </c>
      <c r="G131" s="263" t="s">
        <v>3</v>
      </c>
      <c r="H131" s="260">
        <v>2</v>
      </c>
      <c r="I131" s="262" t="s">
        <v>581</v>
      </c>
      <c r="J131" s="112">
        <v>110</v>
      </c>
      <c r="K131" s="75">
        <v>300</v>
      </c>
      <c r="L131" s="75">
        <v>1800</v>
      </c>
      <c r="M131" s="202">
        <v>19.9309186440125</v>
      </c>
      <c r="N131" s="87">
        <v>5954.9864399999988</v>
      </c>
      <c r="O131" s="123">
        <v>60059.330498792995</v>
      </c>
      <c r="P131" s="123">
        <v>69307.066957594332</v>
      </c>
      <c r="Q131" s="120">
        <v>22038.911437075316</v>
      </c>
      <c r="R131" s="123">
        <v>82098.241935868311</v>
      </c>
      <c r="S131" s="123">
        <v>91345.978394669655</v>
      </c>
      <c r="U131" s="7" t="s">
        <v>6754</v>
      </c>
    </row>
    <row r="132" spans="1:21" ht="16.5" customHeight="1" thickBot="1">
      <c r="A132" s="259" t="s">
        <v>10</v>
      </c>
      <c r="B132" s="263">
        <f t="shared" si="6"/>
        <v>110</v>
      </c>
      <c r="C132" s="263" t="s">
        <v>3</v>
      </c>
      <c r="D132" s="263">
        <f t="shared" si="7"/>
        <v>300</v>
      </c>
      <c r="E132" s="263" t="s">
        <v>3</v>
      </c>
      <c r="F132" s="261">
        <f t="shared" si="8"/>
        <v>1850</v>
      </c>
      <c r="G132" s="263" t="s">
        <v>3</v>
      </c>
      <c r="H132" s="260">
        <v>2</v>
      </c>
      <c r="I132" s="262" t="s">
        <v>581</v>
      </c>
      <c r="J132" s="112">
        <v>110</v>
      </c>
      <c r="K132" s="75">
        <v>300</v>
      </c>
      <c r="L132" s="75">
        <v>1850</v>
      </c>
      <c r="M132" s="202">
        <v>20.478242582780002</v>
      </c>
      <c r="N132" s="87">
        <v>6160.3307999999997</v>
      </c>
      <c r="O132" s="123">
        <v>60918.283217772761</v>
      </c>
      <c r="P132" s="123">
        <v>70388.974949962285</v>
      </c>
      <c r="Q132" s="120">
        <v>22749.898382722578</v>
      </c>
      <c r="R132" s="123">
        <v>83668.181600495343</v>
      </c>
      <c r="S132" s="123">
        <v>93138.87333268486</v>
      </c>
      <c r="U132" s="7" t="s">
        <v>6755</v>
      </c>
    </row>
    <row r="133" spans="1:21" ht="16.5" customHeight="1" thickBot="1">
      <c r="A133" s="259" t="s">
        <v>10</v>
      </c>
      <c r="B133" s="263">
        <f t="shared" si="6"/>
        <v>110</v>
      </c>
      <c r="C133" s="263" t="s">
        <v>3</v>
      </c>
      <c r="D133" s="263">
        <f t="shared" si="7"/>
        <v>300</v>
      </c>
      <c r="E133" s="263" t="s">
        <v>3</v>
      </c>
      <c r="F133" s="261">
        <f t="shared" si="8"/>
        <v>1900</v>
      </c>
      <c r="G133" s="263" t="s">
        <v>3</v>
      </c>
      <c r="H133" s="260">
        <v>2</v>
      </c>
      <c r="I133" s="262" t="s">
        <v>581</v>
      </c>
      <c r="J133" s="112">
        <v>110</v>
      </c>
      <c r="K133" s="75">
        <v>300</v>
      </c>
      <c r="L133" s="75">
        <v>1900</v>
      </c>
      <c r="M133" s="202">
        <v>20.946526521547504</v>
      </c>
      <c r="N133" s="87">
        <v>6365.6751599999998</v>
      </c>
      <c r="O133" s="123">
        <v>61952.290251376326</v>
      </c>
      <c r="P133" s="123">
        <v>71644.426659471894</v>
      </c>
      <c r="Q133" s="120">
        <v>23230.30369097993</v>
      </c>
      <c r="R133" s="123">
        <v>85182.593942356252</v>
      </c>
      <c r="S133" s="123">
        <v>94874.73035045182</v>
      </c>
      <c r="U133" s="7" t="s">
        <v>6756</v>
      </c>
    </row>
    <row r="134" spans="1:21" ht="16.5" customHeight="1" thickBot="1">
      <c r="A134" s="259" t="s">
        <v>10</v>
      </c>
      <c r="B134" s="263">
        <f t="shared" si="6"/>
        <v>110</v>
      </c>
      <c r="C134" s="263" t="s">
        <v>3</v>
      </c>
      <c r="D134" s="263">
        <f t="shared" si="7"/>
        <v>300</v>
      </c>
      <c r="E134" s="263" t="s">
        <v>3</v>
      </c>
      <c r="F134" s="261">
        <f t="shared" si="8"/>
        <v>1950</v>
      </c>
      <c r="G134" s="263" t="s">
        <v>3</v>
      </c>
      <c r="H134" s="260">
        <v>2</v>
      </c>
      <c r="I134" s="262" t="s">
        <v>581</v>
      </c>
      <c r="J134" s="112">
        <v>110</v>
      </c>
      <c r="K134" s="75">
        <v>300</v>
      </c>
      <c r="L134" s="75">
        <v>1950</v>
      </c>
      <c r="M134" s="202">
        <v>21.568060460315003</v>
      </c>
      <c r="N134" s="87">
        <v>6571.0195199999998</v>
      </c>
      <c r="O134" s="123">
        <v>63145.498626798559</v>
      </c>
      <c r="P134" s="123">
        <v>73057.705666922062</v>
      </c>
      <c r="Q134" s="120">
        <v>23710.708858843918</v>
      </c>
      <c r="R134" s="123">
        <v>86856.207485642473</v>
      </c>
      <c r="S134" s="123">
        <v>96768.414525765984</v>
      </c>
      <c r="U134" s="7" t="s">
        <v>6757</v>
      </c>
    </row>
    <row r="135" spans="1:21" ht="16.5" customHeight="1" thickBot="1">
      <c r="A135" s="259" t="s">
        <v>10</v>
      </c>
      <c r="B135" s="263">
        <f t="shared" si="6"/>
        <v>110</v>
      </c>
      <c r="C135" s="263" t="s">
        <v>3</v>
      </c>
      <c r="D135" s="263">
        <f t="shared" si="7"/>
        <v>300</v>
      </c>
      <c r="E135" s="263" t="s">
        <v>3</v>
      </c>
      <c r="F135" s="261">
        <f t="shared" si="8"/>
        <v>2000</v>
      </c>
      <c r="G135" s="263" t="s">
        <v>3</v>
      </c>
      <c r="H135" s="260">
        <v>2</v>
      </c>
      <c r="I135" s="262" t="s">
        <v>581</v>
      </c>
      <c r="J135" s="112">
        <v>110</v>
      </c>
      <c r="K135" s="75">
        <v>300</v>
      </c>
      <c r="L135" s="75">
        <v>2000</v>
      </c>
      <c r="M135" s="202">
        <v>22.144946799082501</v>
      </c>
      <c r="N135" s="87">
        <v>6776.363879999999</v>
      </c>
      <c r="O135" s="123">
        <v>64210.733313904988</v>
      </c>
      <c r="P135" s="123">
        <v>74545.564127534089</v>
      </c>
      <c r="Q135" s="120">
        <v>24421.695804491177</v>
      </c>
      <c r="R135" s="123">
        <v>88632.429118396161</v>
      </c>
      <c r="S135" s="123">
        <v>98967.259932025263</v>
      </c>
      <c r="U135" s="7" t="s">
        <v>6758</v>
      </c>
    </row>
    <row r="136" spans="1:21" ht="16.5" customHeight="1" thickBot="1">
      <c r="A136" s="259" t="s">
        <v>10</v>
      </c>
      <c r="B136" s="263">
        <f t="shared" si="6"/>
        <v>110</v>
      </c>
      <c r="C136" s="263" t="s">
        <v>3</v>
      </c>
      <c r="D136" s="263">
        <f t="shared" si="7"/>
        <v>300</v>
      </c>
      <c r="E136" s="263" t="s">
        <v>3</v>
      </c>
      <c r="F136" s="261">
        <f t="shared" si="8"/>
        <v>2050</v>
      </c>
      <c r="G136" s="263" t="s">
        <v>3</v>
      </c>
      <c r="H136" s="260">
        <v>2</v>
      </c>
      <c r="I136" s="262" t="s">
        <v>581</v>
      </c>
      <c r="J136" s="112">
        <v>110</v>
      </c>
      <c r="K136" s="75">
        <v>300</v>
      </c>
      <c r="L136" s="75">
        <v>2050</v>
      </c>
      <c r="M136" s="202">
        <v>22.613230737850003</v>
      </c>
      <c r="N136" s="87">
        <v>6981.708239999999</v>
      </c>
      <c r="O136" s="123">
        <v>67213.656299704075</v>
      </c>
      <c r="P136" s="123">
        <v>77752.940794857335</v>
      </c>
      <c r="Q136" s="120">
        <v>24902.101112748529</v>
      </c>
      <c r="R136" s="123">
        <v>92115.7574124526</v>
      </c>
      <c r="S136" s="123">
        <v>102655.04190760586</v>
      </c>
      <c r="U136" s="7" t="s">
        <v>6759</v>
      </c>
    </row>
    <row r="137" spans="1:21" ht="16.5" customHeight="1" thickBot="1">
      <c r="A137" s="259" t="s">
        <v>10</v>
      </c>
      <c r="B137" s="260">
        <f t="shared" si="6"/>
        <v>110</v>
      </c>
      <c r="C137" s="260" t="s">
        <v>3</v>
      </c>
      <c r="D137" s="260">
        <f t="shared" si="7"/>
        <v>300</v>
      </c>
      <c r="E137" s="260" t="s">
        <v>3</v>
      </c>
      <c r="F137" s="261">
        <f t="shared" si="8"/>
        <v>2100</v>
      </c>
      <c r="G137" s="260" t="s">
        <v>3</v>
      </c>
      <c r="H137" s="260">
        <v>2</v>
      </c>
      <c r="I137" s="262" t="s">
        <v>581</v>
      </c>
      <c r="J137" s="112">
        <v>110</v>
      </c>
      <c r="K137" s="75">
        <v>300</v>
      </c>
      <c r="L137" s="75">
        <v>2100</v>
      </c>
      <c r="M137" s="202">
        <v>23.0985546766175</v>
      </c>
      <c r="N137" s="87">
        <v>7187.0525999999991</v>
      </c>
      <c r="O137" s="123">
        <v>68134.538777176393</v>
      </c>
      <c r="P137" s="123">
        <v>78896.244082226156</v>
      </c>
      <c r="Q137" s="120">
        <v>25613.088058395791</v>
      </c>
      <c r="R137" s="123">
        <v>93747.626835572184</v>
      </c>
      <c r="S137" s="123">
        <v>104509.33214062195</v>
      </c>
      <c r="U137" s="7" t="s">
        <v>6760</v>
      </c>
    </row>
    <row r="138" spans="1:21" ht="16.5" customHeight="1" thickBot="1">
      <c r="A138" s="259" t="s">
        <v>10</v>
      </c>
      <c r="B138" s="263">
        <f t="shared" si="6"/>
        <v>110</v>
      </c>
      <c r="C138" s="263" t="s">
        <v>3</v>
      </c>
      <c r="D138" s="263">
        <f t="shared" si="7"/>
        <v>300</v>
      </c>
      <c r="E138" s="263" t="s">
        <v>3</v>
      </c>
      <c r="F138" s="261">
        <f t="shared" si="8"/>
        <v>2150</v>
      </c>
      <c r="G138" s="263" t="s">
        <v>3</v>
      </c>
      <c r="H138" s="260">
        <v>2</v>
      </c>
      <c r="I138" s="262" t="s">
        <v>581</v>
      </c>
      <c r="J138" s="112">
        <v>110</v>
      </c>
      <c r="K138" s="75">
        <v>300</v>
      </c>
      <c r="L138" s="75">
        <v>2150</v>
      </c>
      <c r="M138" s="202">
        <v>23.690838615385005</v>
      </c>
      <c r="N138" s="87">
        <v>7392.3969599999991</v>
      </c>
      <c r="O138" s="123">
        <v>69203.038810324186</v>
      </c>
      <c r="P138" s="123">
        <v>80185.890981859804</v>
      </c>
      <c r="Q138" s="120">
        <v>26093.493366653143</v>
      </c>
      <c r="R138" s="123">
        <v>95296.532176977329</v>
      </c>
      <c r="S138" s="123">
        <v>106279.38434851295</v>
      </c>
      <c r="U138" s="7" t="s">
        <v>6761</v>
      </c>
    </row>
    <row r="139" spans="1:21" ht="16.5" customHeight="1" thickBot="1">
      <c r="A139" s="259" t="s">
        <v>10</v>
      </c>
      <c r="B139" s="263">
        <f t="shared" si="6"/>
        <v>110</v>
      </c>
      <c r="C139" s="263" t="s">
        <v>3</v>
      </c>
      <c r="D139" s="263">
        <f t="shared" si="7"/>
        <v>300</v>
      </c>
      <c r="E139" s="263" t="s">
        <v>3</v>
      </c>
      <c r="F139" s="261">
        <f t="shared" si="8"/>
        <v>2200</v>
      </c>
      <c r="G139" s="263" t="s">
        <v>3</v>
      </c>
      <c r="H139" s="260">
        <v>2</v>
      </c>
      <c r="I139" s="262" t="s">
        <v>581</v>
      </c>
      <c r="J139" s="112">
        <v>110</v>
      </c>
      <c r="K139" s="75">
        <v>300</v>
      </c>
      <c r="L139" s="75">
        <v>2200</v>
      </c>
      <c r="M139" s="202">
        <v>24.176162554152498</v>
      </c>
      <c r="N139" s="87">
        <v>7597.7413200000001</v>
      </c>
      <c r="O139" s="123">
        <v>70271.490632391316</v>
      </c>
      <c r="P139" s="123">
        <v>81475.490119671405</v>
      </c>
      <c r="Q139" s="120">
        <v>26804.480312300402</v>
      </c>
      <c r="R139" s="123">
        <v>97075.970944691711</v>
      </c>
      <c r="S139" s="123">
        <v>108279.9704319718</v>
      </c>
      <c r="U139" s="7" t="s">
        <v>6762</v>
      </c>
    </row>
    <row r="140" spans="1:21" ht="16.5" customHeight="1" thickBot="1">
      <c r="A140" s="259" t="s">
        <v>10</v>
      </c>
      <c r="B140" s="263">
        <f t="shared" si="6"/>
        <v>110</v>
      </c>
      <c r="C140" s="263" t="s">
        <v>3</v>
      </c>
      <c r="D140" s="263">
        <f t="shared" si="7"/>
        <v>300</v>
      </c>
      <c r="E140" s="263" t="s">
        <v>3</v>
      </c>
      <c r="F140" s="261">
        <f t="shared" si="8"/>
        <v>2250</v>
      </c>
      <c r="G140" s="263" t="s">
        <v>3</v>
      </c>
      <c r="H140" s="260">
        <v>2</v>
      </c>
      <c r="I140" s="262" t="s">
        <v>581</v>
      </c>
      <c r="J140" s="112">
        <v>110</v>
      </c>
      <c r="K140" s="75">
        <v>300</v>
      </c>
      <c r="L140" s="75">
        <v>2250</v>
      </c>
      <c r="M140" s="202">
        <v>24.644446492920004</v>
      </c>
      <c r="N140" s="87">
        <v>7803.0856799999983</v>
      </c>
      <c r="O140" s="123">
        <v>71659.553517806169</v>
      </c>
      <c r="P140" s="123">
        <v>83081.942194949312</v>
      </c>
      <c r="Q140" s="120">
        <v>27284.885480164394</v>
      </c>
      <c r="R140" s="123">
        <v>98944.438997970559</v>
      </c>
      <c r="S140" s="123">
        <v>110366.8276751137</v>
      </c>
      <c r="U140" s="7" t="s">
        <v>6763</v>
      </c>
    </row>
    <row r="141" spans="1:21" ht="16.5" customHeight="1" thickBot="1">
      <c r="A141" s="259" t="s">
        <v>10</v>
      </c>
      <c r="B141" s="263">
        <f t="shared" si="6"/>
        <v>110</v>
      </c>
      <c r="C141" s="263" t="s">
        <v>3</v>
      </c>
      <c r="D141" s="263">
        <f t="shared" si="7"/>
        <v>300</v>
      </c>
      <c r="E141" s="263" t="s">
        <v>3</v>
      </c>
      <c r="F141" s="261">
        <f t="shared" si="8"/>
        <v>2300</v>
      </c>
      <c r="G141" s="263" t="s">
        <v>3</v>
      </c>
      <c r="H141" s="260">
        <v>2</v>
      </c>
      <c r="I141" s="262" t="s">
        <v>581</v>
      </c>
      <c r="J141" s="112">
        <v>110</v>
      </c>
      <c r="K141" s="75">
        <v>300</v>
      </c>
      <c r="L141" s="75">
        <v>2300</v>
      </c>
      <c r="M141" s="202">
        <v>25.112730431687503</v>
      </c>
      <c r="N141" s="87">
        <v>8008.4300399999993</v>
      </c>
      <c r="O141" s="123">
        <v>72485.09989590678</v>
      </c>
      <c r="P141" s="123">
        <v>84130.732165267036</v>
      </c>
      <c r="Q141" s="120">
        <v>27765.290788421746</v>
      </c>
      <c r="R141" s="123">
        <v>100250.39068432852</v>
      </c>
      <c r="S141" s="123">
        <v>111896.02295368878</v>
      </c>
      <c r="U141" s="7" t="s">
        <v>6764</v>
      </c>
    </row>
    <row r="142" spans="1:21" ht="16.5" customHeight="1" thickBot="1">
      <c r="A142" s="259" t="s">
        <v>10</v>
      </c>
      <c r="B142" s="263">
        <f t="shared" si="6"/>
        <v>110</v>
      </c>
      <c r="C142" s="263" t="s">
        <v>3</v>
      </c>
      <c r="D142" s="263">
        <f t="shared" si="7"/>
        <v>300</v>
      </c>
      <c r="E142" s="263" t="s">
        <v>3</v>
      </c>
      <c r="F142" s="261">
        <f t="shared" si="8"/>
        <v>2350</v>
      </c>
      <c r="G142" s="263" t="s">
        <v>3</v>
      </c>
      <c r="H142" s="260">
        <v>2</v>
      </c>
      <c r="I142" s="262" t="s">
        <v>581</v>
      </c>
      <c r="J142" s="112">
        <v>110</v>
      </c>
      <c r="K142" s="75">
        <v>300</v>
      </c>
      <c r="L142" s="75">
        <v>2350</v>
      </c>
      <c r="M142" s="202">
        <v>25.598054370455003</v>
      </c>
      <c r="N142" s="87">
        <v>8213.7743999999984</v>
      </c>
      <c r="O142" s="123">
        <v>73310.598182261063</v>
      </c>
      <c r="P142" s="123">
        <v>85179.474373762816</v>
      </c>
      <c r="Q142" s="120">
        <v>28476.277734069005</v>
      </c>
      <c r="R142" s="123">
        <v>101786.87591633007</v>
      </c>
      <c r="S142" s="123">
        <v>113655.75210783182</v>
      </c>
      <c r="U142" s="7" t="s">
        <v>6765</v>
      </c>
    </row>
    <row r="143" spans="1:21" ht="16.5" customHeight="1" thickBot="1">
      <c r="A143" s="259" t="s">
        <v>10</v>
      </c>
      <c r="B143" s="263">
        <f t="shared" si="6"/>
        <v>110</v>
      </c>
      <c r="C143" s="263" t="s">
        <v>3</v>
      </c>
      <c r="D143" s="263">
        <f t="shared" si="7"/>
        <v>300</v>
      </c>
      <c r="E143" s="263" t="s">
        <v>3</v>
      </c>
      <c r="F143" s="261">
        <f t="shared" si="8"/>
        <v>2400</v>
      </c>
      <c r="G143" s="263" t="s">
        <v>3</v>
      </c>
      <c r="H143" s="260">
        <v>2</v>
      </c>
      <c r="I143" s="262" t="s">
        <v>581</v>
      </c>
      <c r="J143" s="112">
        <v>110</v>
      </c>
      <c r="K143" s="75">
        <v>300</v>
      </c>
      <c r="L143" s="75">
        <v>2400</v>
      </c>
      <c r="M143" s="202">
        <v>26.066338309222502</v>
      </c>
      <c r="N143" s="87">
        <v>8419.1187599999976</v>
      </c>
      <c r="O143" s="123">
        <v>74136.048257534654</v>
      </c>
      <c r="P143" s="123">
        <v>86228.168820436695</v>
      </c>
      <c r="Q143" s="120">
        <v>28956.682901932996</v>
      </c>
      <c r="R143" s="123">
        <v>103092.73115946766</v>
      </c>
      <c r="S143" s="123">
        <v>115184.8517223697</v>
      </c>
      <c r="U143" s="7" t="s">
        <v>6766</v>
      </c>
    </row>
    <row r="144" spans="1:21" ht="16.5" customHeight="1" thickBot="1">
      <c r="A144" s="259" t="s">
        <v>10</v>
      </c>
      <c r="B144" s="263">
        <f t="shared" si="6"/>
        <v>110</v>
      </c>
      <c r="C144" s="263" t="s">
        <v>3</v>
      </c>
      <c r="D144" s="263">
        <f t="shared" si="7"/>
        <v>300</v>
      </c>
      <c r="E144" s="263" t="s">
        <v>3</v>
      </c>
      <c r="F144" s="261">
        <f t="shared" si="8"/>
        <v>2450</v>
      </c>
      <c r="G144" s="263" t="s">
        <v>3</v>
      </c>
      <c r="H144" s="260">
        <v>2</v>
      </c>
      <c r="I144" s="262" t="s">
        <v>581</v>
      </c>
      <c r="J144" s="112">
        <v>110</v>
      </c>
      <c r="K144" s="75">
        <v>300</v>
      </c>
      <c r="L144" s="75">
        <v>2450</v>
      </c>
      <c r="M144" s="202">
        <v>27.275815405289997</v>
      </c>
      <c r="N144" s="87">
        <v>8624.4631200000003</v>
      </c>
      <c r="O144" s="123">
        <v>75511.451676902187</v>
      </c>
      <c r="P144" s="123">
        <v>87979.731798099223</v>
      </c>
      <c r="Q144" s="120">
        <v>29667.669987973619</v>
      </c>
      <c r="R144" s="123">
        <v>105179.1216648758</v>
      </c>
      <c r="S144" s="123">
        <v>117647.40178607285</v>
      </c>
      <c r="U144" s="7" t="s">
        <v>6767</v>
      </c>
    </row>
    <row r="145" spans="1:21" ht="16.5" customHeight="1" thickBot="1">
      <c r="A145" s="259" t="s">
        <v>10</v>
      </c>
      <c r="B145" s="263">
        <f t="shared" si="6"/>
        <v>110</v>
      </c>
      <c r="C145" s="263" t="s">
        <v>3</v>
      </c>
      <c r="D145" s="263">
        <f t="shared" si="7"/>
        <v>300</v>
      </c>
      <c r="E145" s="263" t="s">
        <v>3</v>
      </c>
      <c r="F145" s="261">
        <f t="shared" si="8"/>
        <v>2500</v>
      </c>
      <c r="G145" s="263" t="s">
        <v>3</v>
      </c>
      <c r="H145" s="260">
        <v>2</v>
      </c>
      <c r="I145" s="262" t="s">
        <v>581</v>
      </c>
      <c r="J145" s="112">
        <v>110</v>
      </c>
      <c r="K145" s="75">
        <v>300</v>
      </c>
      <c r="L145" s="75">
        <v>2500</v>
      </c>
      <c r="M145" s="202">
        <v>27.761099344057502</v>
      </c>
      <c r="N145" s="87">
        <v>8829.8074799999995</v>
      </c>
      <c r="O145" s="123">
        <v>76336.805568683136</v>
      </c>
      <c r="P145" s="123">
        <v>89028.330973837277</v>
      </c>
      <c r="Q145" s="120">
        <v>30148.075155837607</v>
      </c>
      <c r="R145" s="123">
        <v>106484.88072452074</v>
      </c>
      <c r="S145" s="123">
        <v>119176.40612967488</v>
      </c>
      <c r="U145" s="7" t="s">
        <v>6768</v>
      </c>
    </row>
    <row r="146" spans="1:21" ht="16.5" customHeight="1" thickBot="1">
      <c r="A146" s="259" t="s">
        <v>10</v>
      </c>
      <c r="B146" s="263">
        <f t="shared" si="6"/>
        <v>110</v>
      </c>
      <c r="C146" s="263" t="s">
        <v>3</v>
      </c>
      <c r="D146" s="263">
        <f t="shared" si="7"/>
        <v>300</v>
      </c>
      <c r="E146" s="263" t="s">
        <v>3</v>
      </c>
      <c r="F146" s="261">
        <f t="shared" si="8"/>
        <v>2550</v>
      </c>
      <c r="G146" s="263" t="s">
        <v>3</v>
      </c>
      <c r="H146" s="260">
        <v>2</v>
      </c>
      <c r="I146" s="262" t="s">
        <v>581</v>
      </c>
      <c r="J146" s="112">
        <v>110</v>
      </c>
      <c r="K146" s="75">
        <v>300</v>
      </c>
      <c r="L146" s="75">
        <v>2550</v>
      </c>
      <c r="M146" s="202">
        <v>28.246423282825006</v>
      </c>
      <c r="N146" s="87">
        <v>9035.1518400000004</v>
      </c>
      <c r="O146" s="123">
        <v>80456.447305711452</v>
      </c>
      <c r="P146" s="123">
        <v>93342.789398886365</v>
      </c>
      <c r="Q146" s="120">
        <v>30859.06224187823</v>
      </c>
      <c r="R146" s="123">
        <v>111315.50954758968</v>
      </c>
      <c r="S146" s="123">
        <v>124201.85164076459</v>
      </c>
      <c r="U146" s="7" t="s">
        <v>6769</v>
      </c>
    </row>
    <row r="147" spans="1:21" ht="16.5" customHeight="1" thickBot="1">
      <c r="A147" s="259" t="s">
        <v>10</v>
      </c>
      <c r="B147" s="260">
        <f t="shared" si="6"/>
        <v>110</v>
      </c>
      <c r="C147" s="260" t="s">
        <v>3</v>
      </c>
      <c r="D147" s="260">
        <f t="shared" si="7"/>
        <v>300</v>
      </c>
      <c r="E147" s="260" t="s">
        <v>3</v>
      </c>
      <c r="F147" s="261">
        <f t="shared" si="8"/>
        <v>2600</v>
      </c>
      <c r="G147" s="260" t="s">
        <v>3</v>
      </c>
      <c r="H147" s="260">
        <v>2</v>
      </c>
      <c r="I147" s="262" t="s">
        <v>581</v>
      </c>
      <c r="J147" s="112">
        <v>110</v>
      </c>
      <c r="K147" s="75">
        <v>300</v>
      </c>
      <c r="L147" s="75">
        <v>2600</v>
      </c>
      <c r="M147" s="202">
        <v>28.714707221592505</v>
      </c>
      <c r="N147" s="87">
        <v>9240.4961999999996</v>
      </c>
      <c r="O147" s="123">
        <v>81552.308678493224</v>
      </c>
      <c r="P147" s="123">
        <v>94659.561601813271</v>
      </c>
      <c r="Q147" s="120">
        <v>31339.467409742221</v>
      </c>
      <c r="R147" s="123">
        <v>112891.77608823545</v>
      </c>
      <c r="S147" s="123">
        <v>125999.0290115555</v>
      </c>
      <c r="U147" s="7" t="s">
        <v>6770</v>
      </c>
    </row>
    <row r="148" spans="1:21" ht="16.5" customHeight="1" thickBot="1">
      <c r="A148" s="259" t="s">
        <v>10</v>
      </c>
      <c r="B148" s="263">
        <f t="shared" si="6"/>
        <v>110</v>
      </c>
      <c r="C148" s="263" t="s">
        <v>3</v>
      </c>
      <c r="D148" s="263">
        <f t="shared" si="7"/>
        <v>300</v>
      </c>
      <c r="E148" s="263" t="s">
        <v>3</v>
      </c>
      <c r="F148" s="261">
        <f t="shared" si="8"/>
        <v>2650</v>
      </c>
      <c r="G148" s="263" t="s">
        <v>3</v>
      </c>
      <c r="H148" s="260">
        <v>2</v>
      </c>
      <c r="I148" s="262" t="s">
        <v>581</v>
      </c>
      <c r="J148" s="112">
        <v>110</v>
      </c>
      <c r="K148" s="75">
        <v>300</v>
      </c>
      <c r="L148" s="75">
        <v>2650</v>
      </c>
      <c r="M148" s="202">
        <v>29.307031160360001</v>
      </c>
      <c r="N148" s="87">
        <v>9445.8405599999987</v>
      </c>
      <c r="O148" s="123">
        <v>82217.550110631215</v>
      </c>
      <c r="P148" s="123">
        <v>95549.429921969073</v>
      </c>
      <c r="Q148" s="120">
        <v>32050.45435538948</v>
      </c>
      <c r="R148" s="123">
        <v>114268.00446602069</v>
      </c>
      <c r="S148" s="123">
        <v>127599.88427735855</v>
      </c>
      <c r="U148" s="7" t="s">
        <v>6771</v>
      </c>
    </row>
    <row r="149" spans="1:21" ht="16.5" customHeight="1" thickBot="1">
      <c r="A149" s="259" t="s">
        <v>10</v>
      </c>
      <c r="B149" s="263">
        <f t="shared" si="6"/>
        <v>110</v>
      </c>
      <c r="C149" s="263" t="s">
        <v>3</v>
      </c>
      <c r="D149" s="263">
        <f t="shared" si="7"/>
        <v>300</v>
      </c>
      <c r="E149" s="263" t="s">
        <v>3</v>
      </c>
      <c r="F149" s="261">
        <f t="shared" si="8"/>
        <v>2700</v>
      </c>
      <c r="G149" s="263" t="s">
        <v>3</v>
      </c>
      <c r="H149" s="260">
        <v>2</v>
      </c>
      <c r="I149" s="262" t="s">
        <v>581</v>
      </c>
      <c r="J149" s="112">
        <v>110</v>
      </c>
      <c r="K149" s="75">
        <v>300</v>
      </c>
      <c r="L149" s="75">
        <v>2700</v>
      </c>
      <c r="M149" s="202">
        <v>29.814565099127499</v>
      </c>
      <c r="N149" s="87">
        <v>9651.1849199999997</v>
      </c>
      <c r="O149" s="123">
        <v>82918.122985513619</v>
      </c>
      <c r="P149" s="123">
        <v>96474.3247153876</v>
      </c>
      <c r="Q149" s="120">
        <v>32530.859663646832</v>
      </c>
      <c r="R149" s="123">
        <v>115448.98264916045</v>
      </c>
      <c r="S149" s="123">
        <v>129005.18437903443</v>
      </c>
      <c r="U149" s="7" t="s">
        <v>6772</v>
      </c>
    </row>
    <row r="150" spans="1:21" ht="16.5" customHeight="1" thickBot="1">
      <c r="A150" s="259" t="s">
        <v>10</v>
      </c>
      <c r="B150" s="263">
        <f t="shared" si="6"/>
        <v>110</v>
      </c>
      <c r="C150" s="263" t="s">
        <v>3</v>
      </c>
      <c r="D150" s="263">
        <f t="shared" si="7"/>
        <v>300</v>
      </c>
      <c r="E150" s="263" t="s">
        <v>3</v>
      </c>
      <c r="F150" s="261">
        <f t="shared" si="8"/>
        <v>2750</v>
      </c>
      <c r="G150" s="263" t="s">
        <v>3</v>
      </c>
      <c r="H150" s="260">
        <v>2</v>
      </c>
      <c r="I150" s="262" t="s">
        <v>581</v>
      </c>
      <c r="J150" s="112">
        <v>110</v>
      </c>
      <c r="K150" s="75">
        <v>300</v>
      </c>
      <c r="L150" s="75">
        <v>2750</v>
      </c>
      <c r="M150" s="202">
        <v>30.282849037895005</v>
      </c>
      <c r="N150" s="87">
        <v>9856.5292799999988</v>
      </c>
      <c r="O150" s="123">
        <v>83665.022412895021</v>
      </c>
      <c r="P150" s="123">
        <v>97445.146417559445</v>
      </c>
      <c r="Q150" s="120">
        <v>33011.264831510824</v>
      </c>
      <c r="R150" s="123">
        <v>116676.28724440584</v>
      </c>
      <c r="S150" s="123">
        <v>130456.41124907027</v>
      </c>
      <c r="U150" s="7" t="s">
        <v>6773</v>
      </c>
    </row>
    <row r="151" spans="1:21" ht="16.5" customHeight="1" thickBot="1">
      <c r="A151" s="259" t="s">
        <v>10</v>
      </c>
      <c r="B151" s="263">
        <f t="shared" si="6"/>
        <v>110</v>
      </c>
      <c r="C151" s="263" t="s">
        <v>3</v>
      </c>
      <c r="D151" s="263">
        <f t="shared" si="7"/>
        <v>300</v>
      </c>
      <c r="E151" s="263" t="s">
        <v>3</v>
      </c>
      <c r="F151" s="261">
        <f t="shared" si="8"/>
        <v>2800</v>
      </c>
      <c r="G151" s="263" t="s">
        <v>3</v>
      </c>
      <c r="H151" s="260">
        <v>2</v>
      </c>
      <c r="I151" s="262" t="s">
        <v>581</v>
      </c>
      <c r="J151" s="112">
        <v>110</v>
      </c>
      <c r="K151" s="75">
        <v>300</v>
      </c>
      <c r="L151" s="75">
        <v>2800</v>
      </c>
      <c r="M151" s="202">
        <v>30.768172976662502</v>
      </c>
      <c r="N151" s="87">
        <v>10061.87364</v>
      </c>
      <c r="O151" s="123">
        <v>84329.029569766921</v>
      </c>
      <c r="P151" s="123">
        <v>98333.790998971002</v>
      </c>
      <c r="Q151" s="120">
        <v>33722.251777158082</v>
      </c>
      <c r="R151" s="123">
        <v>118051.28134692501</v>
      </c>
      <c r="S151" s="123">
        <v>132056.04277612909</v>
      </c>
      <c r="U151" s="7" t="s">
        <v>6774</v>
      </c>
    </row>
    <row r="152" spans="1:21" ht="16.5" customHeight="1" thickBot="1">
      <c r="A152" s="259" t="s">
        <v>10</v>
      </c>
      <c r="B152" s="263">
        <f t="shared" si="6"/>
        <v>110</v>
      </c>
      <c r="C152" s="263" t="s">
        <v>3</v>
      </c>
      <c r="D152" s="263">
        <f t="shared" si="7"/>
        <v>300</v>
      </c>
      <c r="E152" s="263" t="s">
        <v>3</v>
      </c>
      <c r="F152" s="261">
        <f t="shared" si="8"/>
        <v>2850</v>
      </c>
      <c r="G152" s="263" t="s">
        <v>3</v>
      </c>
      <c r="H152" s="260">
        <v>2</v>
      </c>
      <c r="I152" s="262" t="s">
        <v>581</v>
      </c>
      <c r="J152" s="112">
        <v>110</v>
      </c>
      <c r="K152" s="75">
        <v>300</v>
      </c>
      <c r="L152" s="75">
        <v>2850</v>
      </c>
      <c r="M152" s="202">
        <v>31.236456915430004</v>
      </c>
      <c r="N152" s="87">
        <v>10267.217999999999</v>
      </c>
      <c r="O152" s="123">
        <v>84992.988634892492</v>
      </c>
      <c r="P152" s="123">
        <v>99222.387944914692</v>
      </c>
      <c r="Q152" s="120">
        <v>34202.657085415434</v>
      </c>
      <c r="R152" s="123">
        <v>119195.64572030792</v>
      </c>
      <c r="S152" s="123">
        <v>133425.04503033013</v>
      </c>
      <c r="U152" s="7" t="s">
        <v>6775</v>
      </c>
    </row>
    <row r="153" spans="1:21" ht="16.5" customHeight="1" thickBot="1">
      <c r="A153" s="259" t="s">
        <v>10</v>
      </c>
      <c r="B153" s="263">
        <f t="shared" si="6"/>
        <v>110</v>
      </c>
      <c r="C153" s="263" t="s">
        <v>3</v>
      </c>
      <c r="D153" s="263">
        <f t="shared" si="7"/>
        <v>300</v>
      </c>
      <c r="E153" s="263" t="s">
        <v>3</v>
      </c>
      <c r="F153" s="261">
        <f t="shared" si="8"/>
        <v>2900</v>
      </c>
      <c r="G153" s="263" t="s">
        <v>3</v>
      </c>
      <c r="H153" s="260">
        <v>2</v>
      </c>
      <c r="I153" s="262" t="s">
        <v>581</v>
      </c>
      <c r="J153" s="112">
        <v>110</v>
      </c>
      <c r="K153" s="75">
        <v>300</v>
      </c>
      <c r="L153" s="75">
        <v>2900</v>
      </c>
      <c r="M153" s="202">
        <v>31.897780854197507</v>
      </c>
      <c r="N153" s="87">
        <v>10472.56236</v>
      </c>
      <c r="O153" s="123">
        <v>85656.899488937372</v>
      </c>
      <c r="P153" s="123">
        <v>100110.93725539045</v>
      </c>
      <c r="Q153" s="120">
        <v>34913.644031062693</v>
      </c>
      <c r="R153" s="123">
        <v>120570.54352000006</v>
      </c>
      <c r="S153" s="123">
        <v>135024.58128645315</v>
      </c>
      <c r="U153" s="7" t="s">
        <v>6776</v>
      </c>
    </row>
    <row r="154" spans="1:21" ht="16.5" customHeight="1" thickBot="1">
      <c r="A154" s="259" t="s">
        <v>10</v>
      </c>
      <c r="B154" s="263">
        <f t="shared" si="6"/>
        <v>110</v>
      </c>
      <c r="C154" s="263" t="s">
        <v>3</v>
      </c>
      <c r="D154" s="263">
        <f t="shared" si="7"/>
        <v>300</v>
      </c>
      <c r="E154" s="263" t="s">
        <v>3</v>
      </c>
      <c r="F154" s="261">
        <f t="shared" si="8"/>
        <v>2950</v>
      </c>
      <c r="G154" s="263" t="s">
        <v>3</v>
      </c>
      <c r="H154" s="260">
        <v>2</v>
      </c>
      <c r="I154" s="262" t="s">
        <v>581</v>
      </c>
      <c r="J154" s="112">
        <v>110</v>
      </c>
      <c r="K154" s="75">
        <v>300</v>
      </c>
      <c r="L154" s="75">
        <v>2950</v>
      </c>
      <c r="M154" s="202">
        <v>32.366064792965005</v>
      </c>
      <c r="N154" s="87">
        <v>10677.906719999999</v>
      </c>
      <c r="O154" s="123">
        <v>86320.762370570301</v>
      </c>
      <c r="P154" s="123">
        <v>100999.43893039832</v>
      </c>
      <c r="Q154" s="120">
        <v>35394.049339320045</v>
      </c>
      <c r="R154" s="123">
        <v>121714.81170989035</v>
      </c>
      <c r="S154" s="123">
        <v>136393.48826971836</v>
      </c>
      <c r="U154" s="7" t="s">
        <v>6777</v>
      </c>
    </row>
    <row r="155" spans="1:21" ht="16.5" customHeight="1" thickBot="1">
      <c r="A155" s="264" t="s">
        <v>10</v>
      </c>
      <c r="B155" s="265">
        <f t="shared" si="6"/>
        <v>110</v>
      </c>
      <c r="C155" s="265" t="s">
        <v>3</v>
      </c>
      <c r="D155" s="265">
        <f t="shared" si="7"/>
        <v>300</v>
      </c>
      <c r="E155" s="265" t="s">
        <v>3</v>
      </c>
      <c r="F155" s="266">
        <f t="shared" si="8"/>
        <v>3000</v>
      </c>
      <c r="G155" s="265" t="s">
        <v>3</v>
      </c>
      <c r="H155" s="267">
        <v>2</v>
      </c>
      <c r="I155" s="262" t="s">
        <v>581</v>
      </c>
      <c r="J155" s="346">
        <v>110</v>
      </c>
      <c r="K155" s="322">
        <v>300</v>
      </c>
      <c r="L155" s="322">
        <v>3000</v>
      </c>
      <c r="M155" s="305">
        <v>32.851388731732499</v>
      </c>
      <c r="N155" s="306">
        <v>10883.25108</v>
      </c>
      <c r="O155" s="307">
        <v>88701.413959239406</v>
      </c>
      <c r="P155" s="307">
        <v>103589.91392380251</v>
      </c>
      <c r="Q155" s="308">
        <v>36105.036284967304</v>
      </c>
      <c r="R155" s="307">
        <v>124806.4502442067</v>
      </c>
      <c r="S155" s="307">
        <v>139694.95020876982</v>
      </c>
      <c r="U155" s="7" t="s">
        <v>6778</v>
      </c>
    </row>
    <row r="156" spans="1:21" ht="22.5" customHeight="1" thickBot="1">
      <c r="A156" s="2580" t="s">
        <v>49</v>
      </c>
      <c r="B156" s="2581"/>
      <c r="C156" s="2581"/>
      <c r="D156" s="2581"/>
      <c r="E156" s="2581"/>
      <c r="F156" s="2581"/>
      <c r="G156" s="2581"/>
      <c r="H156" s="2581"/>
      <c r="I156" s="2581"/>
      <c r="J156" s="2581"/>
      <c r="K156" s="2581"/>
      <c r="L156" s="2581"/>
      <c r="M156" s="2581"/>
      <c r="N156" s="2581"/>
      <c r="O156" s="2581"/>
      <c r="P156" s="2581"/>
      <c r="Q156" s="2581"/>
      <c r="R156" s="2581"/>
      <c r="S156" s="2582"/>
    </row>
    <row r="157" spans="1:21" ht="16.5" customHeight="1" thickBot="1">
      <c r="A157" s="2627" t="s">
        <v>135</v>
      </c>
      <c r="B157" s="2628"/>
      <c r="C157" s="2628"/>
      <c r="D157" s="2628"/>
      <c r="E157" s="2628"/>
      <c r="F157" s="2628"/>
      <c r="G157" s="2628"/>
      <c r="H157" s="2628"/>
      <c r="I157" s="2628"/>
      <c r="J157" s="2628"/>
      <c r="K157" s="2628"/>
      <c r="L157" s="2628"/>
      <c r="M157" s="2628"/>
      <c r="N157" s="2628"/>
      <c r="O157" s="2628"/>
      <c r="P157" s="2628"/>
      <c r="Q157" s="2628"/>
      <c r="R157" s="2628"/>
      <c r="S157" s="2629"/>
    </row>
    <row r="158" spans="1:21" ht="16.5" thickBot="1">
      <c r="A158" s="259" t="s">
        <v>10</v>
      </c>
      <c r="B158" s="260">
        <f t="shared" ref="B158:B204" si="9">J158</f>
        <v>110</v>
      </c>
      <c r="C158" s="260" t="s">
        <v>3</v>
      </c>
      <c r="D158" s="260">
        <f t="shared" ref="D158:D204" si="10">K158</f>
        <v>360</v>
      </c>
      <c r="E158" s="260" t="s">
        <v>3</v>
      </c>
      <c r="F158" s="261">
        <f t="shared" ref="F158:F204" si="11">L158</f>
        <v>700</v>
      </c>
      <c r="G158" s="260" t="s">
        <v>3</v>
      </c>
      <c r="H158" s="260">
        <v>4</v>
      </c>
      <c r="I158" s="262" t="s">
        <v>581</v>
      </c>
      <c r="J158" s="344">
        <v>110</v>
      </c>
      <c r="K158" s="327">
        <v>360</v>
      </c>
      <c r="L158" s="327">
        <v>700</v>
      </c>
      <c r="M158" s="301">
        <v>10.07966824482342</v>
      </c>
      <c r="N158" s="302">
        <v>1925.3469718233548</v>
      </c>
      <c r="O158" s="303">
        <v>29883.275942602006</v>
      </c>
      <c r="P158" s="303">
        <v>34849.562842565188</v>
      </c>
      <c r="Q158" s="304">
        <v>10542.143907826316</v>
      </c>
      <c r="R158" s="303">
        <v>40425.419850428319</v>
      </c>
      <c r="S158" s="303">
        <v>45391.706750391502</v>
      </c>
      <c r="U158" s="7" t="s">
        <v>6779</v>
      </c>
    </row>
    <row r="159" spans="1:21" ht="16.5" thickBot="1">
      <c r="A159" s="259" t="s">
        <v>10</v>
      </c>
      <c r="B159" s="263">
        <f t="shared" si="9"/>
        <v>110</v>
      </c>
      <c r="C159" s="263" t="s">
        <v>3</v>
      </c>
      <c r="D159" s="263">
        <f t="shared" si="10"/>
        <v>360</v>
      </c>
      <c r="E159" s="263" t="s">
        <v>3</v>
      </c>
      <c r="F159" s="261">
        <f t="shared" si="11"/>
        <v>750</v>
      </c>
      <c r="G159" s="263" t="s">
        <v>3</v>
      </c>
      <c r="H159" s="260">
        <v>4</v>
      </c>
      <c r="I159" s="262" t="s">
        <v>581</v>
      </c>
      <c r="J159" s="112">
        <v>110</v>
      </c>
      <c r="K159" s="75">
        <v>360</v>
      </c>
      <c r="L159" s="75">
        <v>750</v>
      </c>
      <c r="M159" s="202">
        <v>10.691458194200525</v>
      </c>
      <c r="N159" s="87">
        <v>2200.3965392266919</v>
      </c>
      <c r="O159" s="123">
        <v>31702.600668173018</v>
      </c>
      <c r="P159" s="123">
        <v>36916.419675363897</v>
      </c>
      <c r="Q159" s="120">
        <v>11095.741049329239</v>
      </c>
      <c r="R159" s="123">
        <v>42798.341717502255</v>
      </c>
      <c r="S159" s="123">
        <v>48012.160724693138</v>
      </c>
      <c r="U159" s="7" t="s">
        <v>6780</v>
      </c>
    </row>
    <row r="160" spans="1:21" ht="16.5" thickBot="1">
      <c r="A160" s="259" t="s">
        <v>10</v>
      </c>
      <c r="B160" s="263">
        <f t="shared" si="9"/>
        <v>110</v>
      </c>
      <c r="C160" s="263" t="s">
        <v>3</v>
      </c>
      <c r="D160" s="263">
        <f t="shared" si="10"/>
        <v>360</v>
      </c>
      <c r="E160" s="263" t="s">
        <v>3</v>
      </c>
      <c r="F160" s="261">
        <f t="shared" si="11"/>
        <v>800</v>
      </c>
      <c r="G160" s="263" t="s">
        <v>3</v>
      </c>
      <c r="H160" s="260">
        <v>4</v>
      </c>
      <c r="I160" s="262" t="s">
        <v>581</v>
      </c>
      <c r="J160" s="112">
        <v>110</v>
      </c>
      <c r="K160" s="75">
        <v>360</v>
      </c>
      <c r="L160" s="75">
        <v>800</v>
      </c>
      <c r="M160" s="202">
        <v>11.303248143577632</v>
      </c>
      <c r="N160" s="87">
        <v>2475.4461066300282</v>
      </c>
      <c r="O160" s="123">
        <v>33522.530180271002</v>
      </c>
      <c r="P160" s="123">
        <v>38983.876310725209</v>
      </c>
      <c r="Q160" s="120">
        <v>11649.338190832164</v>
      </c>
      <c r="R160" s="123">
        <v>45171.868371103163</v>
      </c>
      <c r="S160" s="123">
        <v>50633.214501557377</v>
      </c>
      <c r="U160" s="7" t="s">
        <v>6781</v>
      </c>
    </row>
    <row r="161" spans="1:21" ht="16.5" thickBot="1">
      <c r="A161" s="259" t="s">
        <v>10</v>
      </c>
      <c r="B161" s="263">
        <f t="shared" si="9"/>
        <v>110</v>
      </c>
      <c r="C161" s="263" t="s">
        <v>3</v>
      </c>
      <c r="D161" s="263">
        <f t="shared" si="10"/>
        <v>360</v>
      </c>
      <c r="E161" s="263" t="s">
        <v>3</v>
      </c>
      <c r="F161" s="261">
        <f t="shared" si="11"/>
        <v>850</v>
      </c>
      <c r="G161" s="263" t="s">
        <v>3</v>
      </c>
      <c r="H161" s="260">
        <v>4</v>
      </c>
      <c r="I161" s="262" t="s">
        <v>581</v>
      </c>
      <c r="J161" s="112">
        <v>110</v>
      </c>
      <c r="K161" s="75">
        <v>360</v>
      </c>
      <c r="L161" s="75">
        <v>850</v>
      </c>
      <c r="M161" s="202">
        <v>11.932078092954736</v>
      </c>
      <c r="N161" s="87">
        <v>2750.4956740333641</v>
      </c>
      <c r="O161" s="123">
        <v>35342.459692368982</v>
      </c>
      <c r="P161" s="123">
        <v>41051.332819732495</v>
      </c>
      <c r="Q161" s="120">
        <v>12433.517110118366</v>
      </c>
      <c r="R161" s="123">
        <v>47775.976802487348</v>
      </c>
      <c r="S161" s="123">
        <v>53484.849929850861</v>
      </c>
      <c r="U161" s="7" t="s">
        <v>6782</v>
      </c>
    </row>
    <row r="162" spans="1:21" ht="16.5" thickBot="1">
      <c r="A162" s="259" t="s">
        <v>10</v>
      </c>
      <c r="B162" s="263">
        <f t="shared" si="9"/>
        <v>110</v>
      </c>
      <c r="C162" s="263" t="s">
        <v>3</v>
      </c>
      <c r="D162" s="263">
        <f t="shared" si="10"/>
        <v>360</v>
      </c>
      <c r="E162" s="263" t="s">
        <v>3</v>
      </c>
      <c r="F162" s="261">
        <f t="shared" si="11"/>
        <v>900</v>
      </c>
      <c r="G162" s="263" t="s">
        <v>3</v>
      </c>
      <c r="H162" s="260">
        <v>4</v>
      </c>
      <c r="I162" s="262" t="s">
        <v>581</v>
      </c>
      <c r="J162" s="112">
        <v>110</v>
      </c>
      <c r="K162" s="75">
        <v>360</v>
      </c>
      <c r="L162" s="75">
        <v>900</v>
      </c>
      <c r="M162" s="202">
        <v>12.581868042331845</v>
      </c>
      <c r="N162" s="87">
        <v>3025.5452414367014</v>
      </c>
      <c r="O162" s="123">
        <v>37162.38920446697</v>
      </c>
      <c r="P162" s="123">
        <v>43118.789328739789</v>
      </c>
      <c r="Q162" s="120">
        <v>12987.114251621291</v>
      </c>
      <c r="R162" s="123">
        <v>50149.503456088263</v>
      </c>
      <c r="S162" s="123">
        <v>56105.903580361082</v>
      </c>
      <c r="U162" s="7" t="s">
        <v>6783</v>
      </c>
    </row>
    <row r="163" spans="1:21" ht="16.5" thickBot="1">
      <c r="A163" s="259" t="s">
        <v>10</v>
      </c>
      <c r="B163" s="263">
        <f t="shared" si="9"/>
        <v>110</v>
      </c>
      <c r="C163" s="263" t="s">
        <v>3</v>
      </c>
      <c r="D163" s="263">
        <f t="shared" si="10"/>
        <v>360</v>
      </c>
      <c r="E163" s="263" t="s">
        <v>3</v>
      </c>
      <c r="F163" s="261">
        <f t="shared" si="11"/>
        <v>950</v>
      </c>
      <c r="G163" s="263" t="s">
        <v>3</v>
      </c>
      <c r="H163" s="260">
        <v>4</v>
      </c>
      <c r="I163" s="262" t="s">
        <v>581</v>
      </c>
      <c r="J163" s="112">
        <v>110</v>
      </c>
      <c r="K163" s="75">
        <v>360</v>
      </c>
      <c r="L163" s="75">
        <v>950</v>
      </c>
      <c r="M163" s="202">
        <v>13.279697991708947</v>
      </c>
      <c r="N163" s="87">
        <v>3300.5948088400369</v>
      </c>
      <c r="O163" s="123">
        <v>38982.318716564958</v>
      </c>
      <c r="P163" s="123">
        <v>45186.245964101108</v>
      </c>
      <c r="Q163" s="120">
        <v>13771.293170907491</v>
      </c>
      <c r="R163" s="123">
        <v>52753.611887472449</v>
      </c>
      <c r="S163" s="123">
        <v>58957.539135008599</v>
      </c>
      <c r="U163" s="7" t="s">
        <v>6784</v>
      </c>
    </row>
    <row r="164" spans="1:21" ht="16.5" thickBot="1">
      <c r="A164" s="259" t="s">
        <v>10</v>
      </c>
      <c r="B164" s="263">
        <f t="shared" si="9"/>
        <v>110</v>
      </c>
      <c r="C164" s="263" t="s">
        <v>3</v>
      </c>
      <c r="D164" s="263">
        <f t="shared" si="10"/>
        <v>360</v>
      </c>
      <c r="E164" s="263" t="s">
        <v>3</v>
      </c>
      <c r="F164" s="261">
        <f t="shared" si="11"/>
        <v>1000</v>
      </c>
      <c r="G164" s="263" t="s">
        <v>3</v>
      </c>
      <c r="H164" s="260">
        <v>4</v>
      </c>
      <c r="I164" s="262" t="s">
        <v>581</v>
      </c>
      <c r="J164" s="112">
        <v>110</v>
      </c>
      <c r="K164" s="75">
        <v>360</v>
      </c>
      <c r="L164" s="75">
        <v>1000</v>
      </c>
      <c r="M164" s="202">
        <v>13.891487941086051</v>
      </c>
      <c r="N164" s="87">
        <v>3575.6443762433737</v>
      </c>
      <c r="O164" s="123">
        <v>40707.116191043635</v>
      </c>
      <c r="P164" s="123">
        <v>47159.391322499287</v>
      </c>
      <c r="Q164" s="120">
        <v>14324.890312410414</v>
      </c>
      <c r="R164" s="123">
        <v>55032.006503454046</v>
      </c>
      <c r="S164" s="123">
        <v>61484.281634909697</v>
      </c>
      <c r="U164" s="7" t="s">
        <v>6785</v>
      </c>
    </row>
    <row r="165" spans="1:21" ht="16.5" thickBot="1">
      <c r="A165" s="259" t="s">
        <v>10</v>
      </c>
      <c r="B165" s="263">
        <f t="shared" si="9"/>
        <v>110</v>
      </c>
      <c r="C165" s="263" t="s">
        <v>3</v>
      </c>
      <c r="D165" s="263">
        <f t="shared" si="10"/>
        <v>360</v>
      </c>
      <c r="E165" s="263" t="s">
        <v>3</v>
      </c>
      <c r="F165" s="261">
        <f t="shared" si="11"/>
        <v>1050</v>
      </c>
      <c r="G165" s="263" t="s">
        <v>3</v>
      </c>
      <c r="H165" s="260">
        <v>4</v>
      </c>
      <c r="I165" s="262" t="s">
        <v>581</v>
      </c>
      <c r="J165" s="112">
        <v>110</v>
      </c>
      <c r="K165" s="75">
        <v>360</v>
      </c>
      <c r="L165" s="75">
        <v>1050</v>
      </c>
      <c r="M165" s="202">
        <v>14.520317890463158</v>
      </c>
      <c r="N165" s="87">
        <v>3850.6939436467096</v>
      </c>
      <c r="O165" s="123">
        <v>42752.984426738636</v>
      </c>
      <c r="P165" s="123">
        <v>49450.836751026189</v>
      </c>
      <c r="Q165" s="120">
        <v>15109.069231696616</v>
      </c>
      <c r="R165" s="123">
        <v>57862.053658435252</v>
      </c>
      <c r="S165" s="123">
        <v>64559.905982722805</v>
      </c>
      <c r="U165" s="7" t="s">
        <v>6786</v>
      </c>
    </row>
    <row r="166" spans="1:21" ht="16.5" thickBot="1">
      <c r="A166" s="259" t="s">
        <v>10</v>
      </c>
      <c r="B166" s="260">
        <f t="shared" si="9"/>
        <v>110</v>
      </c>
      <c r="C166" s="260" t="s">
        <v>3</v>
      </c>
      <c r="D166" s="260">
        <f t="shared" si="10"/>
        <v>360</v>
      </c>
      <c r="E166" s="260" t="s">
        <v>3</v>
      </c>
      <c r="F166" s="261">
        <f t="shared" si="11"/>
        <v>1100</v>
      </c>
      <c r="G166" s="260" t="s">
        <v>3</v>
      </c>
      <c r="H166" s="260">
        <v>4</v>
      </c>
      <c r="I166" s="262" t="s">
        <v>581</v>
      </c>
      <c r="J166" s="112">
        <v>110</v>
      </c>
      <c r="K166" s="75">
        <v>360</v>
      </c>
      <c r="L166" s="75">
        <v>1100</v>
      </c>
      <c r="M166" s="202">
        <v>15.132107839840263</v>
      </c>
      <c r="N166" s="87">
        <v>4125.7435110500464</v>
      </c>
      <c r="O166" s="123">
        <v>44572.913938836617</v>
      </c>
      <c r="P166" s="123">
        <v>51518.293386387501</v>
      </c>
      <c r="Q166" s="120">
        <v>15662.66637319954</v>
      </c>
      <c r="R166" s="123">
        <v>60235.580312036152</v>
      </c>
      <c r="S166" s="123">
        <v>67180.959759587044</v>
      </c>
      <c r="U166" s="7" t="s">
        <v>6787</v>
      </c>
    </row>
    <row r="167" spans="1:21" ht="16.5" thickBot="1">
      <c r="A167" s="259" t="s">
        <v>10</v>
      </c>
      <c r="B167" s="263">
        <f t="shared" si="9"/>
        <v>110</v>
      </c>
      <c r="C167" s="263" t="s">
        <v>3</v>
      </c>
      <c r="D167" s="263">
        <f t="shared" si="10"/>
        <v>360</v>
      </c>
      <c r="E167" s="263" t="s">
        <v>3</v>
      </c>
      <c r="F167" s="261">
        <f t="shared" si="11"/>
        <v>1150</v>
      </c>
      <c r="G167" s="263" t="s">
        <v>3</v>
      </c>
      <c r="H167" s="260">
        <v>4</v>
      </c>
      <c r="I167" s="262" t="s">
        <v>581</v>
      </c>
      <c r="J167" s="112">
        <v>110</v>
      </c>
      <c r="K167" s="75">
        <v>360</v>
      </c>
      <c r="L167" s="75">
        <v>1150</v>
      </c>
      <c r="M167" s="202">
        <v>15.743897789217367</v>
      </c>
      <c r="N167" s="87">
        <v>4400.7930784533837</v>
      </c>
      <c r="O167" s="123">
        <v>45637.500998381496</v>
      </c>
      <c r="P167" s="123">
        <v>52836.925773288749</v>
      </c>
      <c r="Q167" s="120">
        <v>16216.263514702467</v>
      </c>
      <c r="R167" s="123">
        <v>61853.764513083966</v>
      </c>
      <c r="S167" s="123">
        <v>69053.189287991219</v>
      </c>
      <c r="U167" s="7" t="s">
        <v>6788</v>
      </c>
    </row>
    <row r="168" spans="1:21" ht="16.5" thickBot="1">
      <c r="A168" s="259" t="s">
        <v>10</v>
      </c>
      <c r="B168" s="263">
        <f t="shared" si="9"/>
        <v>110</v>
      </c>
      <c r="C168" s="263" t="s">
        <v>3</v>
      </c>
      <c r="D168" s="263">
        <f t="shared" si="10"/>
        <v>360</v>
      </c>
      <c r="E168" s="263" t="s">
        <v>3</v>
      </c>
      <c r="F168" s="261">
        <f t="shared" si="11"/>
        <v>1200</v>
      </c>
      <c r="G168" s="263" t="s">
        <v>3</v>
      </c>
      <c r="H168" s="260">
        <v>4</v>
      </c>
      <c r="I168" s="262" t="s">
        <v>581</v>
      </c>
      <c r="J168" s="112">
        <v>110</v>
      </c>
      <c r="K168" s="75">
        <v>360</v>
      </c>
      <c r="L168" s="75">
        <v>1200</v>
      </c>
      <c r="M168" s="202">
        <v>16.62722773859447</v>
      </c>
      <c r="N168" s="87">
        <v>4675.8426458567192</v>
      </c>
      <c r="O168" s="123">
        <v>46761.472056557053</v>
      </c>
      <c r="P168" s="123">
        <v>54214.429659870773</v>
      </c>
      <c r="Q168" s="120">
        <v>17000.442574382028</v>
      </c>
      <c r="R168" s="123">
        <v>63761.914630939078</v>
      </c>
      <c r="S168" s="123">
        <v>71214.872234252805</v>
      </c>
      <c r="U168" s="7" t="s">
        <v>6789</v>
      </c>
    </row>
    <row r="169" spans="1:21" ht="16.5" thickBot="1">
      <c r="A169" s="259" t="s">
        <v>10</v>
      </c>
      <c r="B169" s="263">
        <f t="shared" si="9"/>
        <v>110</v>
      </c>
      <c r="C169" s="263" t="s">
        <v>3</v>
      </c>
      <c r="D169" s="263">
        <f t="shared" si="10"/>
        <v>360</v>
      </c>
      <c r="E169" s="263" t="s">
        <v>3</v>
      </c>
      <c r="F169" s="261">
        <f t="shared" si="11"/>
        <v>1250</v>
      </c>
      <c r="G169" s="263" t="s">
        <v>3</v>
      </c>
      <c r="H169" s="260">
        <v>4</v>
      </c>
      <c r="I169" s="262" t="s">
        <v>581</v>
      </c>
      <c r="J169" s="112">
        <v>110</v>
      </c>
      <c r="K169" s="75">
        <v>360</v>
      </c>
      <c r="L169" s="75">
        <v>1250</v>
      </c>
      <c r="M169" s="202">
        <v>17.239017687971579</v>
      </c>
      <c r="N169" s="87">
        <v>4950.8922132600565</v>
      </c>
      <c r="O169" s="123">
        <v>47825.57807930433</v>
      </c>
      <c r="P169" s="123">
        <v>55532.585186676944</v>
      </c>
      <c r="Q169" s="120">
        <v>17554.039715884952</v>
      </c>
      <c r="R169" s="123">
        <v>65379.617795189282</v>
      </c>
      <c r="S169" s="123">
        <v>73086.624902561889</v>
      </c>
      <c r="U169" s="7" t="s">
        <v>6790</v>
      </c>
    </row>
    <row r="170" spans="1:21" ht="16.5" thickBot="1">
      <c r="A170" s="259" t="s">
        <v>10</v>
      </c>
      <c r="B170" s="263">
        <f t="shared" si="9"/>
        <v>110</v>
      </c>
      <c r="C170" s="263" t="s">
        <v>3</v>
      </c>
      <c r="D170" s="263">
        <f t="shared" si="10"/>
        <v>360</v>
      </c>
      <c r="E170" s="263" t="s">
        <v>3</v>
      </c>
      <c r="F170" s="261">
        <f t="shared" si="11"/>
        <v>1300</v>
      </c>
      <c r="G170" s="263" t="s">
        <v>3</v>
      </c>
      <c r="H170" s="260">
        <v>4</v>
      </c>
      <c r="I170" s="262" t="s">
        <v>581</v>
      </c>
      <c r="J170" s="112">
        <v>110</v>
      </c>
      <c r="K170" s="75">
        <v>360</v>
      </c>
      <c r="L170" s="75">
        <v>1300</v>
      </c>
      <c r="M170" s="202">
        <v>17.929847637348683</v>
      </c>
      <c r="N170" s="87">
        <v>5225.9417806633919</v>
      </c>
      <c r="O170" s="123">
        <v>51342.067573389664</v>
      </c>
      <c r="P170" s="123">
        <v>59281.961113866462</v>
      </c>
      <c r="Q170" s="120">
        <v>18338.218635171153</v>
      </c>
      <c r="R170" s="123">
        <v>69680.286208560821</v>
      </c>
      <c r="S170" s="123">
        <v>77620.179749037619</v>
      </c>
      <c r="U170" s="7" t="s">
        <v>6791</v>
      </c>
    </row>
    <row r="171" spans="1:21" ht="16.5" thickBot="1">
      <c r="A171" s="259" t="s">
        <v>10</v>
      </c>
      <c r="B171" s="263">
        <f t="shared" si="9"/>
        <v>110</v>
      </c>
      <c r="C171" s="263" t="s">
        <v>3</v>
      </c>
      <c r="D171" s="263">
        <f t="shared" si="10"/>
        <v>360</v>
      </c>
      <c r="E171" s="263" t="s">
        <v>3</v>
      </c>
      <c r="F171" s="261">
        <f t="shared" si="11"/>
        <v>1350</v>
      </c>
      <c r="G171" s="263" t="s">
        <v>3</v>
      </c>
      <c r="H171" s="260">
        <v>4</v>
      </c>
      <c r="I171" s="262" t="s">
        <v>581</v>
      </c>
      <c r="J171" s="112">
        <v>110</v>
      </c>
      <c r="K171" s="75">
        <v>360</v>
      </c>
      <c r="L171" s="75">
        <v>1350</v>
      </c>
      <c r="M171" s="202">
        <v>18.541637586725784</v>
      </c>
      <c r="N171" s="87">
        <v>5500.9913480667283</v>
      </c>
      <c r="O171" s="123">
        <v>52655.870000421273</v>
      </c>
      <c r="P171" s="123">
        <v>60847.658203393432</v>
      </c>
      <c r="Q171" s="120">
        <v>18891.815776674081</v>
      </c>
      <c r="R171" s="123">
        <v>71547.68577709535</v>
      </c>
      <c r="S171" s="123">
        <v>79739.473980067516</v>
      </c>
      <c r="U171" s="7" t="s">
        <v>6792</v>
      </c>
    </row>
    <row r="172" spans="1:21" ht="16.5" thickBot="1">
      <c r="A172" s="259" t="s">
        <v>10</v>
      </c>
      <c r="B172" s="263">
        <f t="shared" si="9"/>
        <v>110</v>
      </c>
      <c r="C172" s="263" t="s">
        <v>3</v>
      </c>
      <c r="D172" s="263">
        <f t="shared" si="10"/>
        <v>360</v>
      </c>
      <c r="E172" s="263" t="s">
        <v>3</v>
      </c>
      <c r="F172" s="261">
        <f t="shared" si="11"/>
        <v>1400</v>
      </c>
      <c r="G172" s="263" t="s">
        <v>3</v>
      </c>
      <c r="H172" s="260">
        <v>4</v>
      </c>
      <c r="I172" s="262" t="s">
        <v>581</v>
      </c>
      <c r="J172" s="112">
        <v>110</v>
      </c>
      <c r="K172" s="75">
        <v>360</v>
      </c>
      <c r="L172" s="75">
        <v>1400</v>
      </c>
      <c r="M172" s="202">
        <v>19.170467536102894</v>
      </c>
      <c r="N172" s="87">
        <v>5776.0409154700646</v>
      </c>
      <c r="O172" s="123">
        <v>54296.689023062791</v>
      </c>
      <c r="P172" s="123">
        <v>62737.549778373672</v>
      </c>
      <c r="Q172" s="120">
        <v>19675.994695960278</v>
      </c>
      <c r="R172" s="123">
        <v>73972.683719023073</v>
      </c>
      <c r="S172" s="123">
        <v>82413.544474333947</v>
      </c>
      <c r="U172" s="7" t="s">
        <v>6793</v>
      </c>
    </row>
    <row r="173" spans="1:21" ht="16.5" thickBot="1">
      <c r="A173" s="259" t="s">
        <v>10</v>
      </c>
      <c r="B173" s="263">
        <f t="shared" si="9"/>
        <v>110</v>
      </c>
      <c r="C173" s="263" t="s">
        <v>3</v>
      </c>
      <c r="D173" s="263">
        <f t="shared" si="10"/>
        <v>360</v>
      </c>
      <c r="E173" s="263" t="s">
        <v>3</v>
      </c>
      <c r="F173" s="261">
        <f t="shared" si="11"/>
        <v>1450</v>
      </c>
      <c r="G173" s="263" t="s">
        <v>3</v>
      </c>
      <c r="H173" s="260">
        <v>4</v>
      </c>
      <c r="I173" s="262" t="s">
        <v>581</v>
      </c>
      <c r="J173" s="112">
        <v>110</v>
      </c>
      <c r="K173" s="75">
        <v>360</v>
      </c>
      <c r="L173" s="75">
        <v>1450</v>
      </c>
      <c r="M173" s="202">
        <v>19.782257485480002</v>
      </c>
      <c r="N173" s="87">
        <v>6051.0904828734028</v>
      </c>
      <c r="O173" s="123">
        <v>55610.491450094407</v>
      </c>
      <c r="P173" s="123">
        <v>64303.246994254667</v>
      </c>
      <c r="Q173" s="120">
        <v>20229.591837463206</v>
      </c>
      <c r="R173" s="123">
        <v>75840.083287557616</v>
      </c>
      <c r="S173" s="123">
        <v>84532.838831717876</v>
      </c>
      <c r="U173" s="7" t="s">
        <v>6794</v>
      </c>
    </row>
    <row r="174" spans="1:21" ht="16.5" thickBot="1">
      <c r="A174" s="259" t="s">
        <v>10</v>
      </c>
      <c r="B174" s="263">
        <f t="shared" si="9"/>
        <v>110</v>
      </c>
      <c r="C174" s="263" t="s">
        <v>3</v>
      </c>
      <c r="D174" s="263">
        <f t="shared" si="10"/>
        <v>360</v>
      </c>
      <c r="E174" s="263" t="s">
        <v>3</v>
      </c>
      <c r="F174" s="261">
        <f t="shared" si="11"/>
        <v>1500</v>
      </c>
      <c r="G174" s="263" t="s">
        <v>3</v>
      </c>
      <c r="H174" s="260">
        <v>4</v>
      </c>
      <c r="I174" s="262" t="s">
        <v>581</v>
      </c>
      <c r="J174" s="112">
        <v>110</v>
      </c>
      <c r="K174" s="75">
        <v>360</v>
      </c>
      <c r="L174" s="75">
        <v>1500</v>
      </c>
      <c r="M174" s="202">
        <v>21.057316813157108</v>
      </c>
      <c r="N174" s="87">
        <v>6326.1400502767374</v>
      </c>
      <c r="O174" s="123">
        <v>57513.786154763024</v>
      </c>
      <c r="P174" s="123">
        <v>66652.929625250326</v>
      </c>
      <c r="Q174" s="120">
        <v>21013.770756749404</v>
      </c>
      <c r="R174" s="123">
        <v>78527.556911512424</v>
      </c>
      <c r="S174" s="123">
        <v>87666.700381999734</v>
      </c>
      <c r="U174" s="7" t="s">
        <v>6795</v>
      </c>
    </row>
    <row r="175" spans="1:21" ht="16.5" thickBot="1">
      <c r="A175" s="259" t="s">
        <v>10</v>
      </c>
      <c r="B175" s="263">
        <f t="shared" si="9"/>
        <v>110</v>
      </c>
      <c r="C175" s="263" t="s">
        <v>3</v>
      </c>
      <c r="D175" s="263">
        <f t="shared" si="10"/>
        <v>360</v>
      </c>
      <c r="E175" s="263" t="s">
        <v>3</v>
      </c>
      <c r="F175" s="261">
        <f t="shared" si="11"/>
        <v>1550</v>
      </c>
      <c r="G175" s="263" t="s">
        <v>3</v>
      </c>
      <c r="H175" s="260">
        <v>4</v>
      </c>
      <c r="I175" s="262" t="s">
        <v>581</v>
      </c>
      <c r="J175" s="112">
        <v>110</v>
      </c>
      <c r="K175" s="75">
        <v>360</v>
      </c>
      <c r="L175" s="75">
        <v>1550</v>
      </c>
      <c r="M175" s="202">
        <v>21.738106762534208</v>
      </c>
      <c r="N175" s="87">
        <v>6601.1896176800738</v>
      </c>
      <c r="O175" s="123">
        <v>58827.588581794756</v>
      </c>
      <c r="P175" s="123">
        <v>68218.626714777289</v>
      </c>
      <c r="Q175" s="120">
        <v>21567.367898252327</v>
      </c>
      <c r="R175" s="123">
        <v>80394.956480047083</v>
      </c>
      <c r="S175" s="123">
        <v>89785.994613029616</v>
      </c>
      <c r="U175" s="7" t="s">
        <v>6796</v>
      </c>
    </row>
    <row r="176" spans="1:21" ht="16.5" thickBot="1">
      <c r="A176" s="259" t="s">
        <v>10</v>
      </c>
      <c r="B176" s="260">
        <f t="shared" si="9"/>
        <v>110</v>
      </c>
      <c r="C176" s="260" t="s">
        <v>3</v>
      </c>
      <c r="D176" s="260">
        <f t="shared" si="10"/>
        <v>360</v>
      </c>
      <c r="E176" s="260" t="s">
        <v>3</v>
      </c>
      <c r="F176" s="261">
        <f t="shared" si="11"/>
        <v>1600</v>
      </c>
      <c r="G176" s="260" t="s">
        <v>3</v>
      </c>
      <c r="H176" s="260">
        <v>4</v>
      </c>
      <c r="I176" s="262" t="s">
        <v>581</v>
      </c>
      <c r="J176" s="112">
        <v>110</v>
      </c>
      <c r="K176" s="75">
        <v>360</v>
      </c>
      <c r="L176" s="75">
        <v>1600</v>
      </c>
      <c r="M176" s="202">
        <v>22.349896711911313</v>
      </c>
      <c r="N176" s="87">
        <v>6876.2391850834101</v>
      </c>
      <c r="O176" s="123">
        <v>62087.432354584707</v>
      </c>
      <c r="P176" s="123">
        <v>71713.571625964731</v>
      </c>
      <c r="Q176" s="120">
        <v>22120.965039755254</v>
      </c>
      <c r="R176" s="123">
        <v>84208.397394339961</v>
      </c>
      <c r="S176" s="123">
        <v>93834.536665719992</v>
      </c>
      <c r="U176" s="7" t="s">
        <v>6797</v>
      </c>
    </row>
    <row r="177" spans="1:21" ht="16.5" thickBot="1">
      <c r="A177" s="259" t="s">
        <v>10</v>
      </c>
      <c r="B177" s="263">
        <f t="shared" si="9"/>
        <v>110</v>
      </c>
      <c r="C177" s="263" t="s">
        <v>3</v>
      </c>
      <c r="D177" s="263">
        <f t="shared" si="10"/>
        <v>360</v>
      </c>
      <c r="E177" s="263" t="s">
        <v>3</v>
      </c>
      <c r="F177" s="261">
        <f t="shared" si="11"/>
        <v>1650</v>
      </c>
      <c r="G177" s="263" t="s">
        <v>3</v>
      </c>
      <c r="H177" s="260">
        <v>4</v>
      </c>
      <c r="I177" s="262" t="s">
        <v>581</v>
      </c>
      <c r="J177" s="112">
        <v>110</v>
      </c>
      <c r="K177" s="75">
        <v>360</v>
      </c>
      <c r="L177" s="75">
        <v>1650</v>
      </c>
      <c r="M177" s="202">
        <v>23.016726661288423</v>
      </c>
      <c r="N177" s="87">
        <v>7151.2887524867474</v>
      </c>
      <c r="O177" s="123">
        <v>65599.536311008938</v>
      </c>
      <c r="P177" s="123">
        <v>75458.599837464892</v>
      </c>
      <c r="Q177" s="120">
        <v>22905.143959041456</v>
      </c>
      <c r="R177" s="123">
        <v>88504.68027005039</v>
      </c>
      <c r="S177" s="123">
        <v>98363.743796506344</v>
      </c>
      <c r="U177" s="7" t="s">
        <v>6798</v>
      </c>
    </row>
    <row r="178" spans="1:21" ht="16.5" thickBot="1">
      <c r="A178" s="259" t="s">
        <v>10</v>
      </c>
      <c r="B178" s="263">
        <f t="shared" si="9"/>
        <v>110</v>
      </c>
      <c r="C178" s="263" t="s">
        <v>3</v>
      </c>
      <c r="D178" s="263">
        <f t="shared" si="10"/>
        <v>360</v>
      </c>
      <c r="E178" s="263" t="s">
        <v>3</v>
      </c>
      <c r="F178" s="261">
        <f t="shared" si="11"/>
        <v>1700</v>
      </c>
      <c r="G178" s="263" t="s">
        <v>3</v>
      </c>
      <c r="H178" s="260">
        <v>4</v>
      </c>
      <c r="I178" s="262" t="s">
        <v>581</v>
      </c>
      <c r="J178" s="112">
        <v>110</v>
      </c>
      <c r="K178" s="75">
        <v>360</v>
      </c>
      <c r="L178" s="75">
        <v>1700</v>
      </c>
      <c r="M178" s="202">
        <v>23.628516610665528</v>
      </c>
      <c r="N178" s="87">
        <v>7426.3383198900838</v>
      </c>
      <c r="O178" s="123">
        <v>66708.191281656473</v>
      </c>
      <c r="P178" s="123">
        <v>76820.919887066368</v>
      </c>
      <c r="Q178" s="120">
        <v>23458.741100544379</v>
      </c>
      <c r="R178" s="123">
        <v>90166.932382200845</v>
      </c>
      <c r="S178" s="123">
        <v>100279.66098761075</v>
      </c>
      <c r="U178" s="7" t="s">
        <v>6799</v>
      </c>
    </row>
    <row r="179" spans="1:21" ht="16.5" thickBot="1">
      <c r="A179" s="259" t="s">
        <v>10</v>
      </c>
      <c r="B179" s="263">
        <f t="shared" si="9"/>
        <v>110</v>
      </c>
      <c r="C179" s="263" t="s">
        <v>3</v>
      </c>
      <c r="D179" s="263">
        <f t="shared" si="10"/>
        <v>360</v>
      </c>
      <c r="E179" s="263" t="s">
        <v>3</v>
      </c>
      <c r="F179" s="261">
        <f t="shared" si="11"/>
        <v>1750</v>
      </c>
      <c r="G179" s="263" t="s">
        <v>3</v>
      </c>
      <c r="H179" s="260">
        <v>4</v>
      </c>
      <c r="I179" s="262" t="s">
        <v>581</v>
      </c>
      <c r="J179" s="112">
        <v>110</v>
      </c>
      <c r="K179" s="75">
        <v>360</v>
      </c>
      <c r="L179" s="75">
        <v>1750</v>
      </c>
      <c r="M179" s="202">
        <v>24.257346560042627</v>
      </c>
      <c r="N179" s="87">
        <v>7701.3878872934192</v>
      </c>
      <c r="O179" s="123">
        <v>67740.69243499497</v>
      </c>
      <c r="P179" s="123">
        <v>78107.743279629416</v>
      </c>
      <c r="Q179" s="120">
        <v>24242.920019830581</v>
      </c>
      <c r="R179" s="123">
        <v>91983.612454825547</v>
      </c>
      <c r="S179" s="123">
        <v>102350.66329945999</v>
      </c>
      <c r="U179" s="7" t="s">
        <v>6800</v>
      </c>
    </row>
    <row r="180" spans="1:21" ht="16.5" thickBot="1">
      <c r="A180" s="259" t="s">
        <v>10</v>
      </c>
      <c r="B180" s="263">
        <f t="shared" si="9"/>
        <v>110</v>
      </c>
      <c r="C180" s="263" t="s">
        <v>3</v>
      </c>
      <c r="D180" s="263">
        <f t="shared" si="10"/>
        <v>360</v>
      </c>
      <c r="E180" s="263" t="s">
        <v>3</v>
      </c>
      <c r="F180" s="261">
        <f t="shared" si="11"/>
        <v>1800</v>
      </c>
      <c r="G180" s="263" t="s">
        <v>3</v>
      </c>
      <c r="H180" s="260">
        <v>4</v>
      </c>
      <c r="I180" s="262" t="s">
        <v>581</v>
      </c>
      <c r="J180" s="112">
        <v>110</v>
      </c>
      <c r="K180" s="75">
        <v>360</v>
      </c>
      <c r="L180" s="75">
        <v>1800</v>
      </c>
      <c r="M180" s="202">
        <v>24.938136509419735</v>
      </c>
      <c r="N180" s="87">
        <v>7976.4374546967565</v>
      </c>
      <c r="O180" s="123">
        <v>68850.044079625339</v>
      </c>
      <c r="P180" s="123">
        <v>79470.753853984337</v>
      </c>
      <c r="Q180" s="120">
        <v>24796.517161333504</v>
      </c>
      <c r="R180" s="123">
        <v>93646.561240958836</v>
      </c>
      <c r="S180" s="123">
        <v>104267.27101531785</v>
      </c>
      <c r="U180" s="7" t="s">
        <v>6801</v>
      </c>
    </row>
    <row r="181" spans="1:21" ht="16.5" thickBot="1">
      <c r="A181" s="259" t="s">
        <v>10</v>
      </c>
      <c r="B181" s="263">
        <f t="shared" si="9"/>
        <v>110</v>
      </c>
      <c r="C181" s="263" t="s">
        <v>3</v>
      </c>
      <c r="D181" s="263">
        <f t="shared" si="10"/>
        <v>360</v>
      </c>
      <c r="E181" s="263" t="s">
        <v>3</v>
      </c>
      <c r="F181" s="261">
        <f t="shared" si="11"/>
        <v>1850</v>
      </c>
      <c r="G181" s="263" t="s">
        <v>3</v>
      </c>
      <c r="H181" s="260">
        <v>4</v>
      </c>
      <c r="I181" s="262" t="s">
        <v>581</v>
      </c>
      <c r="J181" s="112">
        <v>110</v>
      </c>
      <c r="K181" s="75">
        <v>360</v>
      </c>
      <c r="L181" s="75">
        <v>1850</v>
      </c>
      <c r="M181" s="202">
        <v>25.628966458796846</v>
      </c>
      <c r="N181" s="87">
        <v>8251.4870221000929</v>
      </c>
      <c r="O181" s="123">
        <v>69959.347513175031</v>
      </c>
      <c r="P181" s="123">
        <v>80833.716792871361</v>
      </c>
      <c r="Q181" s="120">
        <v>25580.69622101307</v>
      </c>
      <c r="R181" s="123">
        <v>95540.043734188104</v>
      </c>
      <c r="S181" s="123">
        <v>106414.41301388443</v>
      </c>
      <c r="U181" s="7" t="s">
        <v>6802</v>
      </c>
    </row>
    <row r="182" spans="1:21" ht="16.5" thickBot="1">
      <c r="A182" s="259" t="s">
        <v>10</v>
      </c>
      <c r="B182" s="263">
        <f t="shared" si="9"/>
        <v>110</v>
      </c>
      <c r="C182" s="263" t="s">
        <v>3</v>
      </c>
      <c r="D182" s="263">
        <f t="shared" si="10"/>
        <v>360</v>
      </c>
      <c r="E182" s="263" t="s">
        <v>3</v>
      </c>
      <c r="F182" s="261">
        <f t="shared" si="11"/>
        <v>1900</v>
      </c>
      <c r="G182" s="263" t="s">
        <v>3</v>
      </c>
      <c r="H182" s="260">
        <v>4</v>
      </c>
      <c r="I182" s="262" t="s">
        <v>581</v>
      </c>
      <c r="J182" s="112">
        <v>110</v>
      </c>
      <c r="K182" s="75">
        <v>360</v>
      </c>
      <c r="L182" s="75">
        <v>1900</v>
      </c>
      <c r="M182" s="202">
        <v>26.240756408173947</v>
      </c>
      <c r="N182" s="87">
        <v>8526.5365895034302</v>
      </c>
      <c r="O182" s="123">
        <v>71243.705380682877</v>
      </c>
      <c r="P182" s="123">
        <v>82370.223448900026</v>
      </c>
      <c r="Q182" s="120">
        <v>26134.293362515993</v>
      </c>
      <c r="R182" s="123">
        <v>97377.99874319887</v>
      </c>
      <c r="S182" s="123">
        <v>108504.51681141602</v>
      </c>
      <c r="U182" s="7" t="s">
        <v>6803</v>
      </c>
    </row>
    <row r="183" spans="1:21" ht="16.5" thickBot="1">
      <c r="A183" s="259" t="s">
        <v>10</v>
      </c>
      <c r="B183" s="263">
        <f t="shared" si="9"/>
        <v>110</v>
      </c>
      <c r="C183" s="263" t="s">
        <v>3</v>
      </c>
      <c r="D183" s="263">
        <f t="shared" si="10"/>
        <v>360</v>
      </c>
      <c r="E183" s="263" t="s">
        <v>3</v>
      </c>
      <c r="F183" s="261">
        <f t="shared" si="11"/>
        <v>1950</v>
      </c>
      <c r="G183" s="263" t="s">
        <v>3</v>
      </c>
      <c r="H183" s="260">
        <v>4</v>
      </c>
      <c r="I183" s="262" t="s">
        <v>581</v>
      </c>
      <c r="J183" s="112">
        <v>110</v>
      </c>
      <c r="K183" s="75">
        <v>360</v>
      </c>
      <c r="L183" s="75">
        <v>1950</v>
      </c>
      <c r="M183" s="202">
        <v>27.045046357551055</v>
      </c>
      <c r="N183" s="87">
        <v>8801.5861569067674</v>
      </c>
      <c r="O183" s="123">
        <v>72711.509512880948</v>
      </c>
      <c r="P183" s="123">
        <v>84088.593350220719</v>
      </c>
      <c r="Q183" s="120">
        <v>26687.890504018917</v>
      </c>
      <c r="R183" s="123">
        <v>99399.400016899861</v>
      </c>
      <c r="S183" s="123">
        <v>110776.48385423963</v>
      </c>
      <c r="U183" s="7" t="s">
        <v>6804</v>
      </c>
    </row>
    <row r="184" spans="1:21" ht="16.5" thickBot="1">
      <c r="A184" s="259" t="s">
        <v>10</v>
      </c>
      <c r="B184" s="263">
        <f t="shared" si="9"/>
        <v>110</v>
      </c>
      <c r="C184" s="263" t="s">
        <v>3</v>
      </c>
      <c r="D184" s="263">
        <f t="shared" si="10"/>
        <v>360</v>
      </c>
      <c r="E184" s="263" t="s">
        <v>3</v>
      </c>
      <c r="F184" s="261">
        <f t="shared" si="11"/>
        <v>2000</v>
      </c>
      <c r="G184" s="263" t="s">
        <v>3</v>
      </c>
      <c r="H184" s="260">
        <v>4</v>
      </c>
      <c r="I184" s="262" t="s">
        <v>581</v>
      </c>
      <c r="J184" s="112">
        <v>110</v>
      </c>
      <c r="K184" s="75">
        <v>360</v>
      </c>
      <c r="L184" s="75">
        <v>2000</v>
      </c>
      <c r="M184" s="202">
        <v>27.765438706928158</v>
      </c>
      <c r="N184" s="87">
        <v>9076.6357243101011</v>
      </c>
      <c r="O184" s="123">
        <v>74027.09491455731</v>
      </c>
      <c r="P184" s="123">
        <v>85857.506757351788</v>
      </c>
      <c r="Q184" s="120">
        <v>27472.069423305118</v>
      </c>
      <c r="R184" s="123">
        <v>101499.16433786243</v>
      </c>
      <c r="S184" s="123">
        <v>113329.57618065691</v>
      </c>
      <c r="U184" s="7" t="s">
        <v>6805</v>
      </c>
    </row>
    <row r="185" spans="1:21" ht="16.5" thickBot="1">
      <c r="A185" s="259" t="s">
        <v>10</v>
      </c>
      <c r="B185" s="263">
        <f t="shared" si="9"/>
        <v>110</v>
      </c>
      <c r="C185" s="263" t="s">
        <v>3</v>
      </c>
      <c r="D185" s="263">
        <f t="shared" si="10"/>
        <v>360</v>
      </c>
      <c r="E185" s="263" t="s">
        <v>3</v>
      </c>
      <c r="F185" s="261">
        <f t="shared" si="11"/>
        <v>2050</v>
      </c>
      <c r="G185" s="263" t="s">
        <v>3</v>
      </c>
      <c r="H185" s="260">
        <v>4</v>
      </c>
      <c r="I185" s="262" t="s">
        <v>581</v>
      </c>
      <c r="J185" s="112">
        <v>110</v>
      </c>
      <c r="K185" s="75">
        <v>360</v>
      </c>
      <c r="L185" s="75">
        <v>2050</v>
      </c>
      <c r="M185" s="202">
        <v>28.377228656305263</v>
      </c>
      <c r="N185" s="87">
        <v>9351.6852917134383</v>
      </c>
      <c r="O185" s="123">
        <v>77280.368614926338</v>
      </c>
      <c r="P185" s="123">
        <v>89345.938244840087</v>
      </c>
      <c r="Q185" s="120">
        <v>28025.666564808042</v>
      </c>
      <c r="R185" s="123">
        <v>105306.03517973438</v>
      </c>
      <c r="S185" s="123">
        <v>117371.60480964812</v>
      </c>
      <c r="U185" s="7" t="s">
        <v>6806</v>
      </c>
    </row>
    <row r="186" spans="1:21" ht="16.5" thickBot="1">
      <c r="A186" s="259" t="s">
        <v>10</v>
      </c>
      <c r="B186" s="260">
        <f t="shared" si="9"/>
        <v>110</v>
      </c>
      <c r="C186" s="260" t="s">
        <v>3</v>
      </c>
      <c r="D186" s="260">
        <f t="shared" si="10"/>
        <v>360</v>
      </c>
      <c r="E186" s="260" t="s">
        <v>3</v>
      </c>
      <c r="F186" s="261">
        <f t="shared" si="11"/>
        <v>2100</v>
      </c>
      <c r="G186" s="260" t="s">
        <v>3</v>
      </c>
      <c r="H186" s="260">
        <v>4</v>
      </c>
      <c r="I186" s="262" t="s">
        <v>581</v>
      </c>
      <c r="J186" s="112">
        <v>110</v>
      </c>
      <c r="K186" s="75">
        <v>360</v>
      </c>
      <c r="L186" s="75">
        <v>2100</v>
      </c>
      <c r="M186" s="202">
        <v>29.006058605682369</v>
      </c>
      <c r="N186" s="87">
        <v>9626.7348591167756</v>
      </c>
      <c r="O186" s="123">
        <v>78451.60192630293</v>
      </c>
      <c r="P186" s="123">
        <v>90770.296605081967</v>
      </c>
      <c r="Q186" s="120">
        <v>28809.845484094247</v>
      </c>
      <c r="R186" s="123">
        <v>107261.44741039717</v>
      </c>
      <c r="S186" s="123">
        <v>119580.14208917621</v>
      </c>
      <c r="U186" s="7" t="s">
        <v>6807</v>
      </c>
    </row>
    <row r="187" spans="1:21" ht="16.5" thickBot="1">
      <c r="A187" s="259" t="s">
        <v>10</v>
      </c>
      <c r="B187" s="263">
        <f t="shared" si="9"/>
        <v>110</v>
      </c>
      <c r="C187" s="263" t="s">
        <v>3</v>
      </c>
      <c r="D187" s="263">
        <f t="shared" si="10"/>
        <v>360</v>
      </c>
      <c r="E187" s="263" t="s">
        <v>3</v>
      </c>
      <c r="F187" s="261">
        <f t="shared" si="11"/>
        <v>2150</v>
      </c>
      <c r="G187" s="263" t="s">
        <v>3</v>
      </c>
      <c r="H187" s="260">
        <v>4</v>
      </c>
      <c r="I187" s="262" t="s">
        <v>581</v>
      </c>
      <c r="J187" s="112">
        <v>110</v>
      </c>
      <c r="K187" s="75">
        <v>360</v>
      </c>
      <c r="L187" s="75">
        <v>2150</v>
      </c>
      <c r="M187" s="202">
        <v>29.741848555059477</v>
      </c>
      <c r="N187" s="87">
        <v>9901.7844265201129</v>
      </c>
      <c r="O187" s="123">
        <v>79770.452674020664</v>
      </c>
      <c r="P187" s="123">
        <v>92340.998451234671</v>
      </c>
      <c r="Q187" s="120">
        <v>29363.442625597167</v>
      </c>
      <c r="R187" s="123">
        <v>109133.89529961783</v>
      </c>
      <c r="S187" s="123">
        <v>121704.44107683183</v>
      </c>
      <c r="U187" s="7" t="s">
        <v>6808</v>
      </c>
    </row>
    <row r="188" spans="1:21" ht="16.5" thickBot="1">
      <c r="A188" s="259" t="s">
        <v>10</v>
      </c>
      <c r="B188" s="263">
        <f t="shared" si="9"/>
        <v>110</v>
      </c>
      <c r="C188" s="263" t="s">
        <v>3</v>
      </c>
      <c r="D188" s="263">
        <f t="shared" si="10"/>
        <v>360</v>
      </c>
      <c r="E188" s="263" t="s">
        <v>3</v>
      </c>
      <c r="F188" s="261">
        <f t="shared" si="11"/>
        <v>2200</v>
      </c>
      <c r="G188" s="263" t="s">
        <v>3</v>
      </c>
      <c r="H188" s="260">
        <v>4</v>
      </c>
      <c r="I188" s="262" t="s">
        <v>581</v>
      </c>
      <c r="J188" s="112">
        <v>110</v>
      </c>
      <c r="K188" s="75">
        <v>360</v>
      </c>
      <c r="L188" s="75">
        <v>2200</v>
      </c>
      <c r="M188" s="202">
        <v>30.370678504436579</v>
      </c>
      <c r="N188" s="87">
        <v>10176.833993923448</v>
      </c>
      <c r="O188" s="123">
        <v>81089.255210657706</v>
      </c>
      <c r="P188" s="123">
        <v>93911.652535565445</v>
      </c>
      <c r="Q188" s="120">
        <v>30147.621544883372</v>
      </c>
      <c r="R188" s="123">
        <v>111236.87675554107</v>
      </c>
      <c r="S188" s="123">
        <v>124059.27408044881</v>
      </c>
      <c r="U188" s="7" t="s">
        <v>6809</v>
      </c>
    </row>
    <row r="189" spans="1:21" ht="16.5" thickBot="1">
      <c r="A189" s="259" t="s">
        <v>10</v>
      </c>
      <c r="B189" s="263">
        <f t="shared" si="9"/>
        <v>110</v>
      </c>
      <c r="C189" s="263" t="s">
        <v>3</v>
      </c>
      <c r="D189" s="263">
        <f t="shared" si="10"/>
        <v>360</v>
      </c>
      <c r="E189" s="263" t="s">
        <v>3</v>
      </c>
      <c r="F189" s="261">
        <f t="shared" si="11"/>
        <v>2250</v>
      </c>
      <c r="G189" s="263" t="s">
        <v>3</v>
      </c>
      <c r="H189" s="260">
        <v>4</v>
      </c>
      <c r="I189" s="262" t="s">
        <v>581</v>
      </c>
      <c r="J189" s="112">
        <v>110</v>
      </c>
      <c r="K189" s="75">
        <v>360</v>
      </c>
      <c r="L189" s="75">
        <v>2250</v>
      </c>
      <c r="M189" s="202">
        <v>30.982468453813688</v>
      </c>
      <c r="N189" s="87">
        <v>10451.883561326784</v>
      </c>
      <c r="O189" s="123">
        <v>82727.668810642499</v>
      </c>
      <c r="P189" s="123">
        <v>95799.159683716338</v>
      </c>
      <c r="Q189" s="120">
        <v>30701.218686386295</v>
      </c>
      <c r="R189" s="123">
        <v>113428.8874970288</v>
      </c>
      <c r="S189" s="123">
        <v>126500.37837010264</v>
      </c>
      <c r="U189" s="7" t="s">
        <v>6810</v>
      </c>
    </row>
    <row r="190" spans="1:21" ht="16.5" thickBot="1">
      <c r="A190" s="259" t="s">
        <v>10</v>
      </c>
      <c r="B190" s="263">
        <f t="shared" si="9"/>
        <v>110</v>
      </c>
      <c r="C190" s="263" t="s">
        <v>3</v>
      </c>
      <c r="D190" s="263">
        <f t="shared" si="10"/>
        <v>360</v>
      </c>
      <c r="E190" s="263" t="s">
        <v>3</v>
      </c>
      <c r="F190" s="261">
        <f t="shared" si="11"/>
        <v>2300</v>
      </c>
      <c r="G190" s="263" t="s">
        <v>3</v>
      </c>
      <c r="H190" s="260">
        <v>4</v>
      </c>
      <c r="I190" s="262" t="s">
        <v>581</v>
      </c>
      <c r="J190" s="112">
        <v>110</v>
      </c>
      <c r="K190" s="75">
        <v>360</v>
      </c>
      <c r="L190" s="75">
        <v>2300</v>
      </c>
      <c r="M190" s="202">
        <v>31.594258403190789</v>
      </c>
      <c r="N190" s="87">
        <v>10726.933128730121</v>
      </c>
      <c r="O190" s="123">
        <v>83803.565903313051</v>
      </c>
      <c r="P190" s="123">
        <v>97129.004474199057</v>
      </c>
      <c r="Q190" s="120">
        <v>31254.815827889219</v>
      </c>
      <c r="R190" s="123">
        <v>115058.38173120227</v>
      </c>
      <c r="S190" s="123">
        <v>128383.82030208828</v>
      </c>
      <c r="U190" s="7" t="s">
        <v>6811</v>
      </c>
    </row>
    <row r="191" spans="1:21" ht="16.5" thickBot="1">
      <c r="A191" s="259" t="s">
        <v>10</v>
      </c>
      <c r="B191" s="263">
        <f t="shared" si="9"/>
        <v>110</v>
      </c>
      <c r="C191" s="263" t="s">
        <v>3</v>
      </c>
      <c r="D191" s="263">
        <f t="shared" si="10"/>
        <v>360</v>
      </c>
      <c r="E191" s="263" t="s">
        <v>3</v>
      </c>
      <c r="F191" s="261">
        <f t="shared" si="11"/>
        <v>2350</v>
      </c>
      <c r="G191" s="263" t="s">
        <v>3</v>
      </c>
      <c r="H191" s="260">
        <v>4</v>
      </c>
      <c r="I191" s="262" t="s">
        <v>581</v>
      </c>
      <c r="J191" s="112">
        <v>110</v>
      </c>
      <c r="K191" s="75">
        <v>360</v>
      </c>
      <c r="L191" s="75">
        <v>2350</v>
      </c>
      <c r="M191" s="202">
        <v>32.223088352567892</v>
      </c>
      <c r="N191" s="87">
        <v>11001.982696133457</v>
      </c>
      <c r="O191" s="123">
        <v>84879.414904237245</v>
      </c>
      <c r="P191" s="123">
        <v>98458.801629213907</v>
      </c>
      <c r="Q191" s="120">
        <v>32038.99474717542</v>
      </c>
      <c r="R191" s="123">
        <v>116918.40965141266</v>
      </c>
      <c r="S191" s="123">
        <v>130497.79637638933</v>
      </c>
      <c r="U191" s="7" t="s">
        <v>6812</v>
      </c>
    </row>
    <row r="192" spans="1:21" ht="16.5" thickBot="1">
      <c r="A192" s="259" t="s">
        <v>10</v>
      </c>
      <c r="B192" s="263">
        <f t="shared" si="9"/>
        <v>110</v>
      </c>
      <c r="C192" s="263" t="s">
        <v>3</v>
      </c>
      <c r="D192" s="263">
        <f t="shared" si="10"/>
        <v>360</v>
      </c>
      <c r="E192" s="263" t="s">
        <v>3</v>
      </c>
      <c r="F192" s="261">
        <f t="shared" si="11"/>
        <v>2400</v>
      </c>
      <c r="G192" s="263" t="s">
        <v>3</v>
      </c>
      <c r="H192" s="260">
        <v>4</v>
      </c>
      <c r="I192" s="262" t="s">
        <v>581</v>
      </c>
      <c r="J192" s="112">
        <v>110</v>
      </c>
      <c r="K192" s="75">
        <v>360</v>
      </c>
      <c r="L192" s="75">
        <v>2400</v>
      </c>
      <c r="M192" s="202">
        <v>32.834878301944997</v>
      </c>
      <c r="N192" s="87">
        <v>11277.032263536794</v>
      </c>
      <c r="O192" s="123">
        <v>85955.215813415154</v>
      </c>
      <c r="P192" s="123">
        <v>99788.551022406842</v>
      </c>
      <c r="Q192" s="120">
        <v>32592.591888678344</v>
      </c>
      <c r="R192" s="123">
        <v>118547.8077020935</v>
      </c>
      <c r="S192" s="123">
        <v>132381.14291108519</v>
      </c>
      <c r="U192" s="7" t="s">
        <v>6813</v>
      </c>
    </row>
    <row r="193" spans="1:21" ht="16.5" thickBot="1">
      <c r="A193" s="259" t="s">
        <v>10</v>
      </c>
      <c r="B193" s="263">
        <f t="shared" si="9"/>
        <v>110</v>
      </c>
      <c r="C193" s="263" t="s">
        <v>3</v>
      </c>
      <c r="D193" s="263">
        <f t="shared" si="10"/>
        <v>360</v>
      </c>
      <c r="E193" s="263" t="s">
        <v>3</v>
      </c>
      <c r="F193" s="261">
        <f t="shared" si="11"/>
        <v>2450</v>
      </c>
      <c r="G193" s="263" t="s">
        <v>3</v>
      </c>
      <c r="H193" s="260">
        <v>4</v>
      </c>
      <c r="I193" s="262" t="s">
        <v>581</v>
      </c>
      <c r="J193" s="112">
        <v>110</v>
      </c>
      <c r="K193" s="75">
        <v>360</v>
      </c>
      <c r="L193" s="75">
        <v>2450</v>
      </c>
      <c r="M193" s="202">
        <v>34.2239376296221</v>
      </c>
      <c r="N193" s="87">
        <v>11552.081830940129</v>
      </c>
      <c r="O193" s="123">
        <v>87620.461027818194</v>
      </c>
      <c r="P193" s="123">
        <v>101902.23844795457</v>
      </c>
      <c r="Q193" s="120">
        <v>33376.770807964545</v>
      </c>
      <c r="R193" s="123">
        <v>120997.23183578273</v>
      </c>
      <c r="S193" s="123">
        <v>135279.00925591911</v>
      </c>
      <c r="U193" s="7" t="s">
        <v>6814</v>
      </c>
    </row>
    <row r="194" spans="1:21" ht="16.5" thickBot="1">
      <c r="A194" s="259" t="s">
        <v>10</v>
      </c>
      <c r="B194" s="263">
        <f t="shared" si="9"/>
        <v>110</v>
      </c>
      <c r="C194" s="263" t="s">
        <v>3</v>
      </c>
      <c r="D194" s="263">
        <f t="shared" si="10"/>
        <v>360</v>
      </c>
      <c r="E194" s="263" t="s">
        <v>3</v>
      </c>
      <c r="F194" s="261">
        <f t="shared" si="11"/>
        <v>2500</v>
      </c>
      <c r="G194" s="263" t="s">
        <v>3</v>
      </c>
      <c r="H194" s="260">
        <v>4</v>
      </c>
      <c r="I194" s="262" t="s">
        <v>581</v>
      </c>
      <c r="J194" s="112">
        <v>110</v>
      </c>
      <c r="K194" s="75">
        <v>360</v>
      </c>
      <c r="L194" s="75">
        <v>2500</v>
      </c>
      <c r="M194" s="202">
        <v>34.852727578999207</v>
      </c>
      <c r="N194" s="87">
        <v>11827.131398343467</v>
      </c>
      <c r="O194" s="123">
        <v>88696.165753503432</v>
      </c>
      <c r="P194" s="123">
        <v>103231.89257021171</v>
      </c>
      <c r="Q194" s="120">
        <v>33930.367949467472</v>
      </c>
      <c r="R194" s="123">
        <v>122626.5337029709</v>
      </c>
      <c r="S194" s="123">
        <v>137162.26051967917</v>
      </c>
      <c r="U194" s="7" t="s">
        <v>6815</v>
      </c>
    </row>
    <row r="195" spans="1:21" ht="16.5" thickBot="1">
      <c r="A195" s="259" t="s">
        <v>10</v>
      </c>
      <c r="B195" s="263">
        <f t="shared" si="9"/>
        <v>110</v>
      </c>
      <c r="C195" s="263" t="s">
        <v>3</v>
      </c>
      <c r="D195" s="263">
        <f t="shared" si="10"/>
        <v>360</v>
      </c>
      <c r="E195" s="263" t="s">
        <v>3</v>
      </c>
      <c r="F195" s="261">
        <f t="shared" si="11"/>
        <v>2550</v>
      </c>
      <c r="G195" s="263" t="s">
        <v>3</v>
      </c>
      <c r="H195" s="260">
        <v>4</v>
      </c>
      <c r="I195" s="262" t="s">
        <v>581</v>
      </c>
      <c r="J195" s="112">
        <v>110</v>
      </c>
      <c r="K195" s="75">
        <v>360</v>
      </c>
      <c r="L195" s="75">
        <v>2550</v>
      </c>
      <c r="M195" s="202">
        <v>35.481557528376314</v>
      </c>
      <c r="N195" s="87">
        <v>12102.180965746806</v>
      </c>
      <c r="O195" s="123">
        <v>93066.158205101674</v>
      </c>
      <c r="P195" s="123">
        <v>107827.40594177984</v>
      </c>
      <c r="Q195" s="120">
        <v>34714.547009147034</v>
      </c>
      <c r="R195" s="123">
        <v>127780.70521424871</v>
      </c>
      <c r="S195" s="123">
        <v>142541.95295092688</v>
      </c>
      <c r="U195" s="7" t="s">
        <v>6816</v>
      </c>
    </row>
    <row r="196" spans="1:21" ht="16.5" thickBot="1">
      <c r="A196" s="259" t="s">
        <v>10</v>
      </c>
      <c r="B196" s="260">
        <f t="shared" si="9"/>
        <v>110</v>
      </c>
      <c r="C196" s="260" t="s">
        <v>3</v>
      </c>
      <c r="D196" s="260">
        <f t="shared" si="10"/>
        <v>360</v>
      </c>
      <c r="E196" s="260" t="s">
        <v>3</v>
      </c>
      <c r="F196" s="261">
        <f t="shared" si="11"/>
        <v>2600</v>
      </c>
      <c r="G196" s="260" t="s">
        <v>3</v>
      </c>
      <c r="H196" s="260">
        <v>4</v>
      </c>
      <c r="I196" s="262" t="s">
        <v>581</v>
      </c>
      <c r="J196" s="112">
        <v>110</v>
      </c>
      <c r="K196" s="75">
        <v>360</v>
      </c>
      <c r="L196" s="75">
        <v>2600</v>
      </c>
      <c r="M196" s="202">
        <v>36.093347477753419</v>
      </c>
      <c r="N196" s="87">
        <v>12377.230533150139</v>
      </c>
      <c r="O196" s="123">
        <v>94412.370292453372</v>
      </c>
      <c r="P196" s="123">
        <v>109425.2330912258</v>
      </c>
      <c r="Q196" s="120">
        <v>35268.144150649961</v>
      </c>
      <c r="R196" s="123">
        <v>129680.51444310334</v>
      </c>
      <c r="S196" s="123">
        <v>144693.37724187577</v>
      </c>
      <c r="U196" s="7" t="s">
        <v>6817</v>
      </c>
    </row>
    <row r="197" spans="1:21" ht="16.5" thickBot="1">
      <c r="A197" s="259" t="s">
        <v>10</v>
      </c>
      <c r="B197" s="263">
        <f t="shared" si="9"/>
        <v>110</v>
      </c>
      <c r="C197" s="263" t="s">
        <v>3</v>
      </c>
      <c r="D197" s="263">
        <f t="shared" si="10"/>
        <v>360</v>
      </c>
      <c r="E197" s="263" t="s">
        <v>3</v>
      </c>
      <c r="F197" s="261">
        <f t="shared" si="11"/>
        <v>2650</v>
      </c>
      <c r="G197" s="263" t="s">
        <v>3</v>
      </c>
      <c r="H197" s="260">
        <v>4</v>
      </c>
      <c r="I197" s="262" t="s">
        <v>581</v>
      </c>
      <c r="J197" s="112">
        <v>110</v>
      </c>
      <c r="K197" s="75">
        <v>360</v>
      </c>
      <c r="L197" s="75">
        <v>2650</v>
      </c>
      <c r="M197" s="202">
        <v>36.829177427130531</v>
      </c>
      <c r="N197" s="87">
        <v>12652.280100553475</v>
      </c>
      <c r="O197" s="123">
        <v>95327.962439161289</v>
      </c>
      <c r="P197" s="123">
        <v>110596.15635790066</v>
      </c>
      <c r="Q197" s="120">
        <v>36052.323069936159</v>
      </c>
      <c r="R197" s="123">
        <v>131380.28550909745</v>
      </c>
      <c r="S197" s="123">
        <v>146648.47942783684</v>
      </c>
      <c r="U197" s="7" t="s">
        <v>6818</v>
      </c>
    </row>
    <row r="198" spans="1:21" ht="16.5" thickBot="1">
      <c r="A198" s="259" t="s">
        <v>10</v>
      </c>
      <c r="B198" s="263">
        <f t="shared" si="9"/>
        <v>110</v>
      </c>
      <c r="C198" s="263" t="s">
        <v>3</v>
      </c>
      <c r="D198" s="263">
        <f t="shared" si="10"/>
        <v>360</v>
      </c>
      <c r="E198" s="263" t="s">
        <v>3</v>
      </c>
      <c r="F198" s="261">
        <f t="shared" si="11"/>
        <v>2700</v>
      </c>
      <c r="G198" s="263" t="s">
        <v>3</v>
      </c>
      <c r="H198" s="260">
        <v>4</v>
      </c>
      <c r="I198" s="262" t="s">
        <v>581</v>
      </c>
      <c r="J198" s="112">
        <v>110</v>
      </c>
      <c r="K198" s="75">
        <v>360</v>
      </c>
      <c r="L198" s="75">
        <v>2700</v>
      </c>
      <c r="M198" s="202">
        <v>37.519467376507635</v>
      </c>
      <c r="N198" s="87">
        <v>12927.329667956814</v>
      </c>
      <c r="O198" s="123">
        <v>96303.131190153887</v>
      </c>
      <c r="P198" s="123">
        <v>111826.14204518971</v>
      </c>
      <c r="Q198" s="120">
        <v>36605.920211439086</v>
      </c>
      <c r="R198" s="123">
        <v>132909.05140159297</v>
      </c>
      <c r="S198" s="123">
        <v>148432.06225662879</v>
      </c>
      <c r="U198" s="7" t="s">
        <v>6819</v>
      </c>
    </row>
    <row r="199" spans="1:21" ht="16.5" thickBot="1">
      <c r="A199" s="259" t="s">
        <v>10</v>
      </c>
      <c r="B199" s="263">
        <f t="shared" si="9"/>
        <v>110</v>
      </c>
      <c r="C199" s="263" t="s">
        <v>3</v>
      </c>
      <c r="D199" s="263">
        <f t="shared" si="10"/>
        <v>360</v>
      </c>
      <c r="E199" s="263" t="s">
        <v>3</v>
      </c>
      <c r="F199" s="261">
        <f t="shared" si="11"/>
        <v>2750</v>
      </c>
      <c r="G199" s="263" t="s">
        <v>3</v>
      </c>
      <c r="H199" s="260">
        <v>4</v>
      </c>
      <c r="I199" s="262" t="s">
        <v>581</v>
      </c>
      <c r="J199" s="112">
        <v>110</v>
      </c>
      <c r="K199" s="75">
        <v>360</v>
      </c>
      <c r="L199" s="75">
        <v>2750</v>
      </c>
      <c r="M199" s="202">
        <v>38.131257325884746</v>
      </c>
      <c r="N199" s="87">
        <v>13202.379235360148</v>
      </c>
      <c r="O199" s="123">
        <v>97300.381332105215</v>
      </c>
      <c r="P199" s="123">
        <v>113078.0186938806</v>
      </c>
      <c r="Q199" s="120">
        <v>37159.517352942006</v>
      </c>
      <c r="R199" s="123">
        <v>134459.89868504723</v>
      </c>
      <c r="S199" s="123">
        <v>150237.53604682261</v>
      </c>
      <c r="U199" s="7" t="s">
        <v>6820</v>
      </c>
    </row>
    <row r="200" spans="1:21" ht="16.5" thickBot="1">
      <c r="A200" s="259" t="s">
        <v>10</v>
      </c>
      <c r="B200" s="263">
        <f t="shared" si="9"/>
        <v>110</v>
      </c>
      <c r="C200" s="263" t="s">
        <v>3</v>
      </c>
      <c r="D200" s="263">
        <f t="shared" si="10"/>
        <v>360</v>
      </c>
      <c r="E200" s="263" t="s">
        <v>3</v>
      </c>
      <c r="F200" s="261">
        <f t="shared" si="11"/>
        <v>2800</v>
      </c>
      <c r="G200" s="263" t="s">
        <v>3</v>
      </c>
      <c r="H200" s="260">
        <v>4</v>
      </c>
      <c r="I200" s="262" t="s">
        <v>581</v>
      </c>
      <c r="J200" s="112">
        <v>110</v>
      </c>
      <c r="K200" s="75">
        <v>360</v>
      </c>
      <c r="L200" s="75">
        <v>2800</v>
      </c>
      <c r="M200" s="202">
        <v>38.760087275261853</v>
      </c>
      <c r="N200" s="87">
        <v>13477.428802763487</v>
      </c>
      <c r="O200" s="123">
        <v>98214.73920354704</v>
      </c>
      <c r="P200" s="123">
        <v>114247.71822181121</v>
      </c>
      <c r="Q200" s="120">
        <v>37943.696272228204</v>
      </c>
      <c r="R200" s="123">
        <v>136158.43547577524</v>
      </c>
      <c r="S200" s="123">
        <v>152191.41449403943</v>
      </c>
      <c r="U200" s="7" t="s">
        <v>6821</v>
      </c>
    </row>
    <row r="201" spans="1:21" ht="16.5" thickBot="1">
      <c r="A201" s="259" t="s">
        <v>10</v>
      </c>
      <c r="B201" s="263">
        <f t="shared" si="9"/>
        <v>110</v>
      </c>
      <c r="C201" s="263" t="s">
        <v>3</v>
      </c>
      <c r="D201" s="263">
        <f t="shared" si="10"/>
        <v>360</v>
      </c>
      <c r="E201" s="263" t="s">
        <v>3</v>
      </c>
      <c r="F201" s="261">
        <f t="shared" si="11"/>
        <v>2850</v>
      </c>
      <c r="G201" s="263" t="s">
        <v>3</v>
      </c>
      <c r="H201" s="260">
        <v>4</v>
      </c>
      <c r="I201" s="262" t="s">
        <v>581</v>
      </c>
      <c r="J201" s="112">
        <v>110</v>
      </c>
      <c r="K201" s="75">
        <v>360</v>
      </c>
      <c r="L201" s="75">
        <v>2850</v>
      </c>
      <c r="M201" s="202">
        <v>39.371877224638943</v>
      </c>
      <c r="N201" s="87">
        <v>13752.47837016682</v>
      </c>
      <c r="O201" s="123">
        <v>99129.048983242566</v>
      </c>
      <c r="P201" s="123">
        <v>115417.37024062798</v>
      </c>
      <c r="Q201" s="120">
        <v>38497.293413731131</v>
      </c>
      <c r="R201" s="123">
        <v>137626.34239697369</v>
      </c>
      <c r="S201" s="123">
        <v>153914.66365435912</v>
      </c>
      <c r="U201" s="7" t="s">
        <v>6822</v>
      </c>
    </row>
    <row r="202" spans="1:21" ht="16.5" thickBot="1">
      <c r="A202" s="259" t="s">
        <v>10</v>
      </c>
      <c r="B202" s="263">
        <f t="shared" si="9"/>
        <v>110</v>
      </c>
      <c r="C202" s="263" t="s">
        <v>3</v>
      </c>
      <c r="D202" s="263">
        <f t="shared" si="10"/>
        <v>360</v>
      </c>
      <c r="E202" s="263" t="s">
        <v>3</v>
      </c>
      <c r="F202" s="261">
        <f t="shared" si="11"/>
        <v>2900</v>
      </c>
      <c r="G202" s="263" t="s">
        <v>3</v>
      </c>
      <c r="H202" s="260">
        <v>4</v>
      </c>
      <c r="I202" s="262" t="s">
        <v>581</v>
      </c>
      <c r="J202" s="112">
        <v>110</v>
      </c>
      <c r="K202" s="75">
        <v>360</v>
      </c>
      <c r="L202" s="75">
        <v>2900</v>
      </c>
      <c r="M202" s="202">
        <v>40.176707174016045</v>
      </c>
      <c r="N202" s="87">
        <v>14027.527937570158</v>
      </c>
      <c r="O202" s="123">
        <v>100043.31067119174</v>
      </c>
      <c r="P202" s="123">
        <v>116586.97449762281</v>
      </c>
      <c r="Q202" s="120">
        <v>39281.472333017329</v>
      </c>
      <c r="R202" s="123">
        <v>139324.78300420905</v>
      </c>
      <c r="S202" s="123">
        <v>155868.44683064014</v>
      </c>
      <c r="U202" s="7" t="s">
        <v>6823</v>
      </c>
    </row>
    <row r="203" spans="1:21" ht="16.5" thickBot="1">
      <c r="A203" s="259" t="s">
        <v>10</v>
      </c>
      <c r="B203" s="263">
        <f t="shared" si="9"/>
        <v>110</v>
      </c>
      <c r="C203" s="263" t="s">
        <v>3</v>
      </c>
      <c r="D203" s="263">
        <f t="shared" si="10"/>
        <v>360</v>
      </c>
      <c r="E203" s="263" t="s">
        <v>3</v>
      </c>
      <c r="F203" s="261">
        <f t="shared" si="11"/>
        <v>2950</v>
      </c>
      <c r="G203" s="263" t="s">
        <v>3</v>
      </c>
      <c r="H203" s="260">
        <v>4</v>
      </c>
      <c r="I203" s="262" t="s">
        <v>581</v>
      </c>
      <c r="J203" s="112">
        <v>110</v>
      </c>
      <c r="K203" s="75">
        <v>360</v>
      </c>
      <c r="L203" s="75">
        <v>2950</v>
      </c>
      <c r="M203" s="202">
        <v>40.788497123393149</v>
      </c>
      <c r="N203" s="87">
        <v>14302.577504973495</v>
      </c>
      <c r="O203" s="123">
        <v>100957.52426739458</v>
      </c>
      <c r="P203" s="123">
        <v>117756.53099279573</v>
      </c>
      <c r="Q203" s="120">
        <v>39835.069474520256</v>
      </c>
      <c r="R203" s="123">
        <v>140792.59374191484</v>
      </c>
      <c r="S203" s="123">
        <v>157591.60046731599</v>
      </c>
      <c r="U203" s="7" t="s">
        <v>6824</v>
      </c>
    </row>
    <row r="204" spans="1:21" ht="16.5" thickBot="1">
      <c r="A204" s="259" t="s">
        <v>10</v>
      </c>
      <c r="B204" s="263">
        <f t="shared" si="9"/>
        <v>110</v>
      </c>
      <c r="C204" s="263" t="s">
        <v>3</v>
      </c>
      <c r="D204" s="263">
        <f t="shared" si="10"/>
        <v>360</v>
      </c>
      <c r="E204" s="263" t="s">
        <v>3</v>
      </c>
      <c r="F204" s="261">
        <f t="shared" si="11"/>
        <v>3000</v>
      </c>
      <c r="G204" s="263" t="s">
        <v>3</v>
      </c>
      <c r="H204" s="260">
        <v>4</v>
      </c>
      <c r="I204" s="262" t="s">
        <v>581</v>
      </c>
      <c r="J204" s="146">
        <v>110</v>
      </c>
      <c r="K204" s="147">
        <v>360</v>
      </c>
      <c r="L204" s="147">
        <v>3000</v>
      </c>
      <c r="M204" s="192">
        <v>41.417327072770263</v>
      </c>
      <c r="N204" s="148">
        <v>14577.62707237683</v>
      </c>
      <c r="O204" s="149">
        <v>103588.52657063362</v>
      </c>
      <c r="P204" s="149">
        <v>120628.06105907299</v>
      </c>
      <c r="Q204" s="159">
        <v>40619.248393806454</v>
      </c>
      <c r="R204" s="149">
        <v>144207.77496444009</v>
      </c>
      <c r="S204" s="149">
        <v>161247.30945287945</v>
      </c>
      <c r="U204" s="7" t="s">
        <v>6825</v>
      </c>
    </row>
    <row r="205" spans="1:21" ht="19.5" thickBot="1">
      <c r="A205" s="2580" t="s">
        <v>67</v>
      </c>
      <c r="B205" s="2581"/>
      <c r="C205" s="2581"/>
      <c r="D205" s="2581"/>
      <c r="E205" s="2581"/>
      <c r="F205" s="2581"/>
      <c r="G205" s="2581"/>
      <c r="H205" s="2581"/>
      <c r="I205" s="2581"/>
      <c r="J205" s="2581"/>
      <c r="K205" s="2581"/>
      <c r="L205" s="2581"/>
      <c r="M205" s="2581"/>
      <c r="N205" s="2581"/>
      <c r="O205" s="2581"/>
      <c r="P205" s="2581"/>
      <c r="Q205" s="2581"/>
      <c r="R205" s="2581"/>
      <c r="S205" s="2582"/>
    </row>
    <row r="206" spans="1:21" ht="19.5" thickBot="1">
      <c r="A206" s="2627" t="s">
        <v>135</v>
      </c>
      <c r="B206" s="2628"/>
      <c r="C206" s="2628"/>
      <c r="D206" s="2628"/>
      <c r="E206" s="2628"/>
      <c r="F206" s="2628"/>
      <c r="G206" s="2628"/>
      <c r="H206" s="2628"/>
      <c r="I206" s="2628"/>
      <c r="J206" s="2628"/>
      <c r="K206" s="2628"/>
      <c r="L206" s="2628"/>
      <c r="M206" s="2628"/>
      <c r="N206" s="2628"/>
      <c r="O206" s="2628"/>
      <c r="P206" s="2628"/>
      <c r="Q206" s="2628"/>
      <c r="R206" s="2628"/>
      <c r="S206" s="2629"/>
    </row>
    <row r="207" spans="1:21" ht="16.5" thickBot="1">
      <c r="A207" s="1165" t="s">
        <v>10</v>
      </c>
      <c r="B207" s="263">
        <f t="shared" ref="B207:B253" si="12">J207</f>
        <v>110</v>
      </c>
      <c r="C207" s="263" t="s">
        <v>3</v>
      </c>
      <c r="D207" s="263">
        <f t="shared" ref="D207:D253" si="13">K207</f>
        <v>400</v>
      </c>
      <c r="E207" s="263" t="s">
        <v>3</v>
      </c>
      <c r="F207" s="1166">
        <f t="shared" ref="F207:F253" si="14">L207</f>
        <v>700</v>
      </c>
      <c r="G207" s="263" t="s">
        <v>3</v>
      </c>
      <c r="H207" s="263">
        <v>4</v>
      </c>
      <c r="I207" s="1288" t="s">
        <v>581</v>
      </c>
      <c r="J207" s="142">
        <v>110</v>
      </c>
      <c r="K207" s="143">
        <v>400</v>
      </c>
      <c r="L207" s="143">
        <v>700</v>
      </c>
      <c r="M207" s="201">
        <v>11.087635069305763</v>
      </c>
      <c r="N207" s="144">
        <v>2099.5883999999996</v>
      </c>
      <c r="O207" s="145">
        <v>28826.414463376135</v>
      </c>
      <c r="P207" s="145">
        <v>33617.062000445629</v>
      </c>
      <c r="Q207" s="169">
        <v>10567.351450777502</v>
      </c>
      <c r="R207" s="145">
        <v>39393.765914153635</v>
      </c>
      <c r="S207" s="145">
        <v>44184.413451223132</v>
      </c>
      <c r="U207" s="7" t="s">
        <v>6826</v>
      </c>
    </row>
    <row r="208" spans="1:21" ht="16.5" thickBot="1">
      <c r="A208" s="259" t="s">
        <v>10</v>
      </c>
      <c r="B208" s="263">
        <f t="shared" si="12"/>
        <v>110</v>
      </c>
      <c r="C208" s="263" t="s">
        <v>3</v>
      </c>
      <c r="D208" s="263">
        <f t="shared" si="13"/>
        <v>400</v>
      </c>
      <c r="E208" s="263" t="s">
        <v>3</v>
      </c>
      <c r="F208" s="261">
        <f t="shared" si="14"/>
        <v>750</v>
      </c>
      <c r="G208" s="263" t="s">
        <v>3</v>
      </c>
      <c r="H208" s="260">
        <v>4</v>
      </c>
      <c r="I208" s="262" t="s">
        <v>581</v>
      </c>
      <c r="J208" s="112">
        <v>110</v>
      </c>
      <c r="K208" s="75">
        <v>400</v>
      </c>
      <c r="L208" s="75">
        <v>750</v>
      </c>
      <c r="M208" s="301">
        <v>11.760604013620579</v>
      </c>
      <c r="N208" s="87">
        <v>2399.5295999999998</v>
      </c>
      <c r="O208" s="123">
        <v>30570.076913204823</v>
      </c>
      <c r="P208" s="123">
        <v>35597.64081462413</v>
      </c>
      <c r="Q208" s="120">
        <v>11130.334476378752</v>
      </c>
      <c r="R208" s="123">
        <v>41700.411389583576</v>
      </c>
      <c r="S208" s="123">
        <v>46727.975291002884</v>
      </c>
      <c r="U208" s="7" t="s">
        <v>6827</v>
      </c>
    </row>
    <row r="209" spans="1:21" ht="16.5" thickBot="1">
      <c r="A209" s="259" t="s">
        <v>10</v>
      </c>
      <c r="B209" s="263">
        <f t="shared" si="12"/>
        <v>110</v>
      </c>
      <c r="C209" s="263" t="s">
        <v>3</v>
      </c>
      <c r="D209" s="263">
        <f t="shared" si="13"/>
        <v>400</v>
      </c>
      <c r="E209" s="263" t="s">
        <v>3</v>
      </c>
      <c r="F209" s="261">
        <f t="shared" si="14"/>
        <v>800</v>
      </c>
      <c r="G209" s="263" t="s">
        <v>3</v>
      </c>
      <c r="H209" s="260">
        <v>4</v>
      </c>
      <c r="I209" s="262" t="s">
        <v>581</v>
      </c>
      <c r="J209" s="112">
        <v>110</v>
      </c>
      <c r="K209" s="75">
        <v>400</v>
      </c>
      <c r="L209" s="75">
        <v>800</v>
      </c>
      <c r="M209" s="301">
        <v>12.433572957935395</v>
      </c>
      <c r="N209" s="87">
        <v>2699.4707999999996</v>
      </c>
      <c r="O209" s="123">
        <v>32313.273401399634</v>
      </c>
      <c r="P209" s="123">
        <v>37577.612539037254</v>
      </c>
      <c r="Q209" s="120">
        <v>11693.317370771252</v>
      </c>
      <c r="R209" s="123">
        <v>44006.590772170886</v>
      </c>
      <c r="S209" s="123">
        <v>49270.929909808503</v>
      </c>
      <c r="U209" s="7" t="s">
        <v>6828</v>
      </c>
    </row>
    <row r="210" spans="1:21" ht="16.5" thickBot="1">
      <c r="A210" s="259" t="s">
        <v>10</v>
      </c>
      <c r="B210" s="263">
        <f t="shared" si="12"/>
        <v>110</v>
      </c>
      <c r="C210" s="263" t="s">
        <v>3</v>
      </c>
      <c r="D210" s="263">
        <f t="shared" si="13"/>
        <v>400</v>
      </c>
      <c r="E210" s="263" t="s">
        <v>3</v>
      </c>
      <c r="F210" s="261">
        <f t="shared" si="14"/>
        <v>850</v>
      </c>
      <c r="G210" s="263" t="s">
        <v>3</v>
      </c>
      <c r="H210" s="260">
        <v>4</v>
      </c>
      <c r="I210" s="262" t="s">
        <v>581</v>
      </c>
      <c r="J210" s="112">
        <v>110</v>
      </c>
      <c r="K210" s="75">
        <v>400</v>
      </c>
      <c r="L210" s="75">
        <v>850</v>
      </c>
      <c r="M210" s="301">
        <v>13.12528590225021</v>
      </c>
      <c r="N210" s="87">
        <v>2999.4119999999998</v>
      </c>
      <c r="O210" s="123">
        <v>34056.851313430692</v>
      </c>
      <c r="P210" s="123">
        <v>39558.059921410881</v>
      </c>
      <c r="Q210" s="120">
        <v>12471.797384955002</v>
      </c>
      <c r="R210" s="123">
        <v>46528.648698385696</v>
      </c>
      <c r="S210" s="123">
        <v>52029.857306365884</v>
      </c>
      <c r="U210" s="7" t="s">
        <v>6829</v>
      </c>
    </row>
    <row r="211" spans="1:21" ht="16.5" thickBot="1">
      <c r="A211" s="259" t="s">
        <v>10</v>
      </c>
      <c r="B211" s="263">
        <f t="shared" si="12"/>
        <v>110</v>
      </c>
      <c r="C211" s="263" t="s">
        <v>3</v>
      </c>
      <c r="D211" s="263">
        <f t="shared" si="13"/>
        <v>400</v>
      </c>
      <c r="E211" s="263" t="s">
        <v>3</v>
      </c>
      <c r="F211" s="261">
        <f t="shared" si="14"/>
        <v>900</v>
      </c>
      <c r="G211" s="263" t="s">
        <v>3</v>
      </c>
      <c r="H211" s="260">
        <v>4</v>
      </c>
      <c r="I211" s="262" t="s">
        <v>581</v>
      </c>
      <c r="J211" s="112">
        <v>110</v>
      </c>
      <c r="K211" s="75">
        <v>400</v>
      </c>
      <c r="L211" s="75">
        <v>900</v>
      </c>
      <c r="M211" s="301">
        <v>13.84005484656503</v>
      </c>
      <c r="N211" s="87">
        <v>3299.3532</v>
      </c>
      <c r="O211" s="123">
        <v>35800.151522142383</v>
      </c>
      <c r="P211" s="123">
        <v>41538.211729833383</v>
      </c>
      <c r="Q211" s="120">
        <v>13034.780279347504</v>
      </c>
      <c r="R211" s="123">
        <v>48834.931801489889</v>
      </c>
      <c r="S211" s="123">
        <v>54572.992009180889</v>
      </c>
      <c r="U211" s="7" t="s">
        <v>6830</v>
      </c>
    </row>
    <row r="212" spans="1:21" ht="16.5" thickBot="1">
      <c r="A212" s="259" t="s">
        <v>10</v>
      </c>
      <c r="B212" s="263">
        <f t="shared" si="12"/>
        <v>110</v>
      </c>
      <c r="C212" s="263" t="s">
        <v>3</v>
      </c>
      <c r="D212" s="263">
        <f t="shared" si="13"/>
        <v>400</v>
      </c>
      <c r="E212" s="263" t="s">
        <v>3</v>
      </c>
      <c r="F212" s="261">
        <f t="shared" si="14"/>
        <v>950</v>
      </c>
      <c r="G212" s="263" t="s">
        <v>3</v>
      </c>
      <c r="H212" s="260">
        <v>4</v>
      </c>
      <c r="I212" s="262" t="s">
        <v>581</v>
      </c>
      <c r="J212" s="112">
        <v>110</v>
      </c>
      <c r="K212" s="75">
        <v>400</v>
      </c>
      <c r="L212" s="75">
        <v>950</v>
      </c>
      <c r="M212" s="301">
        <v>14.607667790879843</v>
      </c>
      <c r="N212" s="87">
        <v>3599.2943999999993</v>
      </c>
      <c r="O212" s="123">
        <v>37543.203247723315</v>
      </c>
      <c r="P212" s="123">
        <v>43518.099257591632</v>
      </c>
      <c r="Q212" s="120">
        <v>13813.260293531253</v>
      </c>
      <c r="R212" s="123">
        <v>51356.463541254569</v>
      </c>
      <c r="S212" s="123">
        <v>57331.359551122885</v>
      </c>
      <c r="U212" s="7" t="s">
        <v>6831</v>
      </c>
    </row>
    <row r="213" spans="1:21" ht="16.5" thickBot="1">
      <c r="A213" s="259" t="s">
        <v>10</v>
      </c>
      <c r="B213" s="263">
        <f t="shared" si="12"/>
        <v>110</v>
      </c>
      <c r="C213" s="263" t="s">
        <v>3</v>
      </c>
      <c r="D213" s="263">
        <f t="shared" si="13"/>
        <v>400</v>
      </c>
      <c r="E213" s="263" t="s">
        <v>3</v>
      </c>
      <c r="F213" s="261">
        <f t="shared" si="14"/>
        <v>1000</v>
      </c>
      <c r="G213" s="263" t="s">
        <v>3</v>
      </c>
      <c r="H213" s="260">
        <v>4</v>
      </c>
      <c r="I213" s="262" t="s">
        <v>581</v>
      </c>
      <c r="J213" s="112">
        <v>110</v>
      </c>
      <c r="K213" s="75">
        <v>400</v>
      </c>
      <c r="L213" s="75">
        <v>1000</v>
      </c>
      <c r="M213" s="301">
        <v>15.280636735194658</v>
      </c>
      <c r="N213" s="87">
        <v>3899.2355999999995</v>
      </c>
      <c r="O213" s="123">
        <v>39204.867268151444</v>
      </c>
      <c r="P213" s="123">
        <v>45419.028626697756</v>
      </c>
      <c r="Q213" s="120">
        <v>14376.243319132504</v>
      </c>
      <c r="R213" s="123">
        <v>53581.110587283947</v>
      </c>
      <c r="S213" s="123">
        <v>59795.27194583026</v>
      </c>
      <c r="U213" s="7" t="s">
        <v>6832</v>
      </c>
    </row>
    <row r="214" spans="1:21" ht="16.5" thickBot="1">
      <c r="A214" s="259" t="s">
        <v>10</v>
      </c>
      <c r="B214" s="263">
        <f t="shared" si="12"/>
        <v>110</v>
      </c>
      <c r="C214" s="263" t="s">
        <v>3</v>
      </c>
      <c r="D214" s="263">
        <f t="shared" si="13"/>
        <v>400</v>
      </c>
      <c r="E214" s="263" t="s">
        <v>3</v>
      </c>
      <c r="F214" s="261">
        <f t="shared" si="14"/>
        <v>1050</v>
      </c>
      <c r="G214" s="263" t="s">
        <v>3</v>
      </c>
      <c r="H214" s="260">
        <v>4</v>
      </c>
      <c r="I214" s="262" t="s">
        <v>581</v>
      </c>
      <c r="J214" s="112">
        <v>110</v>
      </c>
      <c r="K214" s="75">
        <v>400</v>
      </c>
      <c r="L214" s="75">
        <v>1050</v>
      </c>
      <c r="M214" s="301">
        <v>15.972349679509476</v>
      </c>
      <c r="N214" s="87">
        <v>4199.1767999999993</v>
      </c>
      <c r="O214" s="123">
        <v>41165.205558137452</v>
      </c>
      <c r="P214" s="123">
        <v>47614.310209774136</v>
      </c>
      <c r="Q214" s="120">
        <v>15154.723202107505</v>
      </c>
      <c r="R214" s="123">
        <v>56319.928760244955</v>
      </c>
      <c r="S214" s="123">
        <v>62769.033411881639</v>
      </c>
      <c r="U214" s="7" t="s">
        <v>6833</v>
      </c>
    </row>
    <row r="215" spans="1:21" ht="16.5" thickBot="1">
      <c r="A215" s="259" t="s">
        <v>10</v>
      </c>
      <c r="B215" s="260">
        <f t="shared" si="12"/>
        <v>110</v>
      </c>
      <c r="C215" s="260" t="s">
        <v>3</v>
      </c>
      <c r="D215" s="260">
        <f t="shared" si="13"/>
        <v>400</v>
      </c>
      <c r="E215" s="260" t="s">
        <v>3</v>
      </c>
      <c r="F215" s="261">
        <f t="shared" si="14"/>
        <v>1100</v>
      </c>
      <c r="G215" s="260" t="s">
        <v>3</v>
      </c>
      <c r="H215" s="260">
        <v>4</v>
      </c>
      <c r="I215" s="262" t="s">
        <v>581</v>
      </c>
      <c r="J215" s="112">
        <v>110</v>
      </c>
      <c r="K215" s="75">
        <v>400</v>
      </c>
      <c r="L215" s="75">
        <v>1100</v>
      </c>
      <c r="M215" s="301">
        <v>16.645318623824291</v>
      </c>
      <c r="N215" s="87">
        <v>4499.1179999999995</v>
      </c>
      <c r="O215" s="123">
        <v>42907.755187194758</v>
      </c>
      <c r="P215" s="123">
        <v>49593.668467676638</v>
      </c>
      <c r="Q215" s="120">
        <v>15717.706227708752</v>
      </c>
      <c r="R215" s="123">
        <v>58625.461414903511</v>
      </c>
      <c r="S215" s="123">
        <v>65311.374695385392</v>
      </c>
      <c r="U215" s="7" t="s">
        <v>6834</v>
      </c>
    </row>
    <row r="216" spans="1:21" ht="16.5" thickBot="1">
      <c r="A216" s="259" t="s">
        <v>10</v>
      </c>
      <c r="B216" s="263">
        <f t="shared" si="12"/>
        <v>110</v>
      </c>
      <c r="C216" s="263" t="s">
        <v>3</v>
      </c>
      <c r="D216" s="263">
        <f t="shared" si="13"/>
        <v>400</v>
      </c>
      <c r="E216" s="263" t="s">
        <v>3</v>
      </c>
      <c r="F216" s="261">
        <f t="shared" si="14"/>
        <v>1150</v>
      </c>
      <c r="G216" s="263" t="s">
        <v>3</v>
      </c>
      <c r="H216" s="260">
        <v>4</v>
      </c>
      <c r="I216" s="262" t="s">
        <v>581</v>
      </c>
      <c r="J216" s="112">
        <v>110</v>
      </c>
      <c r="K216" s="75">
        <v>400</v>
      </c>
      <c r="L216" s="75">
        <v>1150</v>
      </c>
      <c r="M216" s="301">
        <v>17.318287568139105</v>
      </c>
      <c r="N216" s="87">
        <v>4799.0591999999997</v>
      </c>
      <c r="O216" s="123">
        <v>43923.165552581071</v>
      </c>
      <c r="P216" s="123">
        <v>50852.149727523647</v>
      </c>
      <c r="Q216" s="120">
        <v>16280.689122101254</v>
      </c>
      <c r="R216" s="123">
        <v>60203.854674682327</v>
      </c>
      <c r="S216" s="123">
        <v>67132.838849624895</v>
      </c>
      <c r="U216" s="7" t="s">
        <v>6835</v>
      </c>
    </row>
    <row r="217" spans="1:21" ht="16.5" thickBot="1">
      <c r="A217" s="259" t="s">
        <v>10</v>
      </c>
      <c r="B217" s="263">
        <f t="shared" si="12"/>
        <v>110</v>
      </c>
      <c r="C217" s="263" t="s">
        <v>3</v>
      </c>
      <c r="D217" s="263">
        <f t="shared" si="13"/>
        <v>400</v>
      </c>
      <c r="E217" s="263" t="s">
        <v>3</v>
      </c>
      <c r="F217" s="261">
        <f t="shared" si="14"/>
        <v>1200</v>
      </c>
      <c r="G217" s="263" t="s">
        <v>3</v>
      </c>
      <c r="H217" s="260">
        <v>4</v>
      </c>
      <c r="I217" s="262" t="s">
        <v>581</v>
      </c>
      <c r="J217" s="112">
        <v>110</v>
      </c>
      <c r="K217" s="75">
        <v>400</v>
      </c>
      <c r="L217" s="75">
        <v>1200</v>
      </c>
      <c r="M217" s="301">
        <v>18.28995051245392</v>
      </c>
      <c r="N217" s="87">
        <v>5099.0003999999999</v>
      </c>
      <c r="O217" s="123">
        <v>44995.855183065571</v>
      </c>
      <c r="P217" s="123">
        <v>52167.404449298258</v>
      </c>
      <c r="Q217" s="120">
        <v>17059.169136285003</v>
      </c>
      <c r="R217" s="123">
        <v>62055.024319350574</v>
      </c>
      <c r="S217" s="123">
        <v>69226.573585583261</v>
      </c>
      <c r="U217" s="7" t="s">
        <v>6836</v>
      </c>
    </row>
    <row r="218" spans="1:21" ht="16.5" thickBot="1">
      <c r="A218" s="259" t="s">
        <v>10</v>
      </c>
      <c r="B218" s="263">
        <f t="shared" si="12"/>
        <v>110</v>
      </c>
      <c r="C218" s="263" t="s">
        <v>3</v>
      </c>
      <c r="D218" s="263">
        <f t="shared" si="13"/>
        <v>400</v>
      </c>
      <c r="E218" s="263" t="s">
        <v>3</v>
      </c>
      <c r="F218" s="261">
        <f t="shared" si="14"/>
        <v>1250</v>
      </c>
      <c r="G218" s="263" t="s">
        <v>3</v>
      </c>
      <c r="H218" s="260">
        <v>4</v>
      </c>
      <c r="I218" s="262" t="s">
        <v>581</v>
      </c>
      <c r="J218" s="112">
        <v>110</v>
      </c>
      <c r="K218" s="75">
        <v>400</v>
      </c>
      <c r="L218" s="75">
        <v>1250</v>
      </c>
      <c r="M218" s="301">
        <v>18.962919456768738</v>
      </c>
      <c r="N218" s="87">
        <v>5398.9415999999992</v>
      </c>
      <c r="O218" s="123">
        <v>46011.054761595013</v>
      </c>
      <c r="P218" s="123">
        <v>53425.654611174003</v>
      </c>
      <c r="Q218" s="120">
        <v>17622.152030677506</v>
      </c>
      <c r="R218" s="123">
        <v>63633.206792272518</v>
      </c>
      <c r="S218" s="123">
        <v>71047.806641851508</v>
      </c>
      <c r="U218" s="7" t="s">
        <v>6837</v>
      </c>
    </row>
    <row r="219" spans="1:21" ht="16.5" thickBot="1">
      <c r="A219" s="259" t="s">
        <v>10</v>
      </c>
      <c r="B219" s="263">
        <f t="shared" si="12"/>
        <v>110</v>
      </c>
      <c r="C219" s="263" t="s">
        <v>3</v>
      </c>
      <c r="D219" s="263">
        <f t="shared" si="13"/>
        <v>400</v>
      </c>
      <c r="E219" s="263" t="s">
        <v>3</v>
      </c>
      <c r="F219" s="261">
        <f t="shared" si="14"/>
        <v>1300</v>
      </c>
      <c r="G219" s="263" t="s">
        <v>3</v>
      </c>
      <c r="H219" s="260">
        <v>4</v>
      </c>
      <c r="I219" s="262" t="s">
        <v>581</v>
      </c>
      <c r="J219" s="112">
        <v>110</v>
      </c>
      <c r="K219" s="75">
        <v>400</v>
      </c>
      <c r="L219" s="75">
        <v>1300</v>
      </c>
      <c r="M219" s="301">
        <v>19.722832401083554</v>
      </c>
      <c r="N219" s="87">
        <v>5698.8827999999985</v>
      </c>
      <c r="O219" s="123">
        <v>49382.290305448885</v>
      </c>
      <c r="P219" s="123">
        <v>57019.110214356013</v>
      </c>
      <c r="Q219" s="120">
        <v>18400.632044861253</v>
      </c>
      <c r="R219" s="123">
        <v>67782.922350310138</v>
      </c>
      <c r="S219" s="123">
        <v>75419.742259217266</v>
      </c>
      <c r="U219" s="7" t="s">
        <v>6838</v>
      </c>
    </row>
    <row r="220" spans="1:21" ht="16.5" thickBot="1">
      <c r="A220" s="259" t="s">
        <v>10</v>
      </c>
      <c r="B220" s="263">
        <f t="shared" si="12"/>
        <v>110</v>
      </c>
      <c r="C220" s="263" t="s">
        <v>3</v>
      </c>
      <c r="D220" s="263">
        <f t="shared" si="13"/>
        <v>400</v>
      </c>
      <c r="E220" s="263" t="s">
        <v>3</v>
      </c>
      <c r="F220" s="261">
        <f t="shared" si="14"/>
        <v>1350</v>
      </c>
      <c r="G220" s="263" t="s">
        <v>3</v>
      </c>
      <c r="H220" s="260">
        <v>4</v>
      </c>
      <c r="I220" s="262" t="s">
        <v>581</v>
      </c>
      <c r="J220" s="112">
        <v>110</v>
      </c>
      <c r="K220" s="75">
        <v>400</v>
      </c>
      <c r="L220" s="75">
        <v>1350</v>
      </c>
      <c r="M220" s="301">
        <v>20.395801345398365</v>
      </c>
      <c r="N220" s="87">
        <v>5998.8239999999996</v>
      </c>
      <c r="O220" s="123">
        <v>50637.477077594449</v>
      </c>
      <c r="P220" s="123">
        <v>58515.259500679509</v>
      </c>
      <c r="Q220" s="120">
        <v>18963.614939253752</v>
      </c>
      <c r="R220" s="123">
        <v>69601.092016848197</v>
      </c>
      <c r="S220" s="123">
        <v>77478.874439933265</v>
      </c>
      <c r="U220" s="7" t="s">
        <v>6839</v>
      </c>
    </row>
    <row r="221" spans="1:21" ht="16.5" thickBot="1">
      <c r="A221" s="259" t="s">
        <v>10</v>
      </c>
      <c r="B221" s="263">
        <f t="shared" si="12"/>
        <v>110</v>
      </c>
      <c r="C221" s="263" t="s">
        <v>3</v>
      </c>
      <c r="D221" s="263">
        <f t="shared" si="13"/>
        <v>400</v>
      </c>
      <c r="E221" s="263" t="s">
        <v>3</v>
      </c>
      <c r="F221" s="261">
        <f t="shared" si="14"/>
        <v>1400</v>
      </c>
      <c r="G221" s="263" t="s">
        <v>3</v>
      </c>
      <c r="H221" s="260">
        <v>4</v>
      </c>
      <c r="I221" s="262" t="s">
        <v>581</v>
      </c>
      <c r="J221" s="112">
        <v>110</v>
      </c>
      <c r="K221" s="75">
        <v>400</v>
      </c>
      <c r="L221" s="75">
        <v>1400</v>
      </c>
      <c r="M221" s="301">
        <v>21.087514289713184</v>
      </c>
      <c r="N221" s="87">
        <v>6298.7651999999998</v>
      </c>
      <c r="O221" s="123">
        <v>52207.136092347202</v>
      </c>
      <c r="P221" s="123">
        <v>60323.159005684887</v>
      </c>
      <c r="Q221" s="120">
        <v>19742.094953437507</v>
      </c>
      <c r="R221" s="123">
        <v>71949.231045784705</v>
      </c>
      <c r="S221" s="123">
        <v>80065.25395912239</v>
      </c>
      <c r="U221" s="7" t="s">
        <v>6840</v>
      </c>
    </row>
    <row r="222" spans="1:21" ht="16.5" thickBot="1">
      <c r="A222" s="259" t="s">
        <v>10</v>
      </c>
      <c r="B222" s="263">
        <f t="shared" si="12"/>
        <v>110</v>
      </c>
      <c r="C222" s="263" t="s">
        <v>3</v>
      </c>
      <c r="D222" s="263">
        <f t="shared" si="13"/>
        <v>400</v>
      </c>
      <c r="E222" s="263" t="s">
        <v>3</v>
      </c>
      <c r="F222" s="261">
        <f t="shared" si="14"/>
        <v>1450</v>
      </c>
      <c r="G222" s="263" t="s">
        <v>3</v>
      </c>
      <c r="H222" s="260">
        <v>4</v>
      </c>
      <c r="I222" s="262" t="s">
        <v>581</v>
      </c>
      <c r="J222" s="112">
        <v>110</v>
      </c>
      <c r="K222" s="75">
        <v>400</v>
      </c>
      <c r="L222" s="75">
        <v>1450</v>
      </c>
      <c r="M222" s="301">
        <v>21.760483234028005</v>
      </c>
      <c r="N222" s="87">
        <v>6598.7064</v>
      </c>
      <c r="O222" s="123">
        <v>53462.353646065509</v>
      </c>
      <c r="P222" s="123">
        <v>61819.322934904885</v>
      </c>
      <c r="Q222" s="120">
        <v>20305.077847830005</v>
      </c>
      <c r="R222" s="123">
        <v>73767.431493895507</v>
      </c>
      <c r="S222" s="123">
        <v>82124.400782734883</v>
      </c>
      <c r="U222" s="7" t="s">
        <v>6841</v>
      </c>
    </row>
    <row r="223" spans="1:21" ht="16.5" thickBot="1">
      <c r="A223" s="259" t="s">
        <v>10</v>
      </c>
      <c r="B223" s="263">
        <f t="shared" si="12"/>
        <v>110</v>
      </c>
      <c r="C223" s="263" t="s">
        <v>3</v>
      </c>
      <c r="D223" s="263">
        <f t="shared" si="13"/>
        <v>400</v>
      </c>
      <c r="E223" s="263" t="s">
        <v>3</v>
      </c>
      <c r="F223" s="261">
        <f t="shared" si="14"/>
        <v>1500</v>
      </c>
      <c r="G223" s="263" t="s">
        <v>3</v>
      </c>
      <c r="H223" s="260">
        <v>4</v>
      </c>
      <c r="I223" s="262" t="s">
        <v>581</v>
      </c>
      <c r="J223" s="112">
        <v>110</v>
      </c>
      <c r="K223" s="75">
        <v>400</v>
      </c>
      <c r="L223" s="75">
        <v>1500</v>
      </c>
      <c r="M223" s="301">
        <v>23.163048494472822</v>
      </c>
      <c r="N223" s="87">
        <v>6898.6475999999993</v>
      </c>
      <c r="O223" s="123">
        <v>55328.16462584964</v>
      </c>
      <c r="P223" s="123">
        <v>64120.005149779136</v>
      </c>
      <c r="Q223" s="120">
        <v>21083.557862013753</v>
      </c>
      <c r="R223" s="123">
        <v>76411.722487863386</v>
      </c>
      <c r="S223" s="123">
        <v>85203.563011792896</v>
      </c>
      <c r="U223" s="7" t="s">
        <v>6842</v>
      </c>
    </row>
    <row r="224" spans="1:21" ht="16.5" thickBot="1">
      <c r="A224" s="259" t="s">
        <v>10</v>
      </c>
      <c r="B224" s="263">
        <f t="shared" si="12"/>
        <v>110</v>
      </c>
      <c r="C224" s="263" t="s">
        <v>3</v>
      </c>
      <c r="D224" s="263">
        <f t="shared" si="13"/>
        <v>400</v>
      </c>
      <c r="E224" s="263" t="s">
        <v>3</v>
      </c>
      <c r="F224" s="261">
        <f t="shared" si="14"/>
        <v>1550</v>
      </c>
      <c r="G224" s="263" t="s">
        <v>3</v>
      </c>
      <c r="H224" s="260">
        <v>4</v>
      </c>
      <c r="I224" s="262" t="s">
        <v>581</v>
      </c>
      <c r="J224" s="112">
        <v>110</v>
      </c>
      <c r="K224" s="75">
        <v>400</v>
      </c>
      <c r="L224" s="75">
        <v>1550</v>
      </c>
      <c r="M224" s="301">
        <v>23.911917438787633</v>
      </c>
      <c r="N224" s="87">
        <v>7198.5887999999986</v>
      </c>
      <c r="O224" s="123">
        <v>56583.475193450831</v>
      </c>
      <c r="P224" s="123">
        <v>65616.270752659519</v>
      </c>
      <c r="Q224" s="120">
        <v>21646.540756406252</v>
      </c>
      <c r="R224" s="123">
        <v>78230.015949857087</v>
      </c>
      <c r="S224" s="123">
        <v>87262.811509065767</v>
      </c>
      <c r="U224" s="7" t="s">
        <v>6843</v>
      </c>
    </row>
    <row r="225" spans="1:21" ht="16.5" thickBot="1">
      <c r="A225" s="259" t="s">
        <v>10</v>
      </c>
      <c r="B225" s="260">
        <f t="shared" si="12"/>
        <v>110</v>
      </c>
      <c r="C225" s="260" t="s">
        <v>3</v>
      </c>
      <c r="D225" s="260">
        <f t="shared" si="13"/>
        <v>400</v>
      </c>
      <c r="E225" s="260" t="s">
        <v>3</v>
      </c>
      <c r="F225" s="261">
        <f t="shared" si="14"/>
        <v>1600</v>
      </c>
      <c r="G225" s="260" t="s">
        <v>3</v>
      </c>
      <c r="H225" s="260">
        <v>4</v>
      </c>
      <c r="I225" s="262" t="s">
        <v>581</v>
      </c>
      <c r="J225" s="112">
        <v>110</v>
      </c>
      <c r="K225" s="75">
        <v>400</v>
      </c>
      <c r="L225" s="75">
        <v>1600</v>
      </c>
      <c r="M225" s="301">
        <v>24.584886383102447</v>
      </c>
      <c r="N225" s="87">
        <v>7498.53</v>
      </c>
      <c r="O225" s="123">
        <v>59710.350998973954</v>
      </c>
      <c r="P225" s="123">
        <v>68967.943557360762</v>
      </c>
      <c r="Q225" s="120">
        <v>22209.523782007502</v>
      </c>
      <c r="R225" s="123">
        <v>81919.874780981452</v>
      </c>
      <c r="S225" s="123">
        <v>91177.467339368261</v>
      </c>
      <c r="U225" s="7" t="s">
        <v>6844</v>
      </c>
    </row>
    <row r="226" spans="1:21" ht="16.5" thickBot="1">
      <c r="A226" s="259" t="s">
        <v>10</v>
      </c>
      <c r="B226" s="263">
        <f t="shared" si="12"/>
        <v>110</v>
      </c>
      <c r="C226" s="263" t="s">
        <v>3</v>
      </c>
      <c r="D226" s="263">
        <f t="shared" si="13"/>
        <v>400</v>
      </c>
      <c r="E226" s="263" t="s">
        <v>3</v>
      </c>
      <c r="F226" s="261">
        <f t="shared" si="14"/>
        <v>1650</v>
      </c>
      <c r="G226" s="263" t="s">
        <v>3</v>
      </c>
      <c r="H226" s="260">
        <v>4</v>
      </c>
      <c r="I226" s="262" t="s">
        <v>581</v>
      </c>
      <c r="J226" s="112">
        <v>110</v>
      </c>
      <c r="K226" s="75">
        <v>400</v>
      </c>
      <c r="L226" s="75">
        <v>1650</v>
      </c>
      <c r="M226" s="301">
        <v>25.318399327417268</v>
      </c>
      <c r="N226" s="87">
        <v>7798.471199999999</v>
      </c>
      <c r="O226" s="123">
        <v>63079.308148807133</v>
      </c>
      <c r="P226" s="123">
        <v>72559.60245352464</v>
      </c>
      <c r="Q226" s="120">
        <v>22988.003796191253</v>
      </c>
      <c r="R226" s="123">
        <v>86067.311944998393</v>
      </c>
      <c r="S226" s="123">
        <v>95547.6062497159</v>
      </c>
      <c r="U226" s="7" t="s">
        <v>6845</v>
      </c>
    </row>
    <row r="227" spans="1:21" ht="16.5" thickBot="1">
      <c r="A227" s="259" t="s">
        <v>10</v>
      </c>
      <c r="B227" s="263">
        <f t="shared" si="12"/>
        <v>110</v>
      </c>
      <c r="C227" s="263" t="s">
        <v>3</v>
      </c>
      <c r="D227" s="263">
        <f t="shared" si="13"/>
        <v>400</v>
      </c>
      <c r="E227" s="263" t="s">
        <v>3</v>
      </c>
      <c r="F227" s="261">
        <f t="shared" si="14"/>
        <v>1700</v>
      </c>
      <c r="G227" s="263" t="s">
        <v>3</v>
      </c>
      <c r="H227" s="260">
        <v>4</v>
      </c>
      <c r="I227" s="262" t="s">
        <v>581</v>
      </c>
      <c r="J227" s="112">
        <v>110</v>
      </c>
      <c r="K227" s="75">
        <v>400</v>
      </c>
      <c r="L227" s="75">
        <v>1700</v>
      </c>
      <c r="M227" s="301">
        <v>25.991368271732082</v>
      </c>
      <c r="N227" s="87">
        <v>8098.4124000000002</v>
      </c>
      <c r="O227" s="123">
        <v>64136.938787043204</v>
      </c>
      <c r="P227" s="123">
        <v>73859.874421894885</v>
      </c>
      <c r="Q227" s="120">
        <v>23550.986690583755</v>
      </c>
      <c r="R227" s="123">
        <v>87687.925477626966</v>
      </c>
      <c r="S227" s="123">
        <v>97410.86111247864</v>
      </c>
      <c r="U227" s="7" t="s">
        <v>6846</v>
      </c>
    </row>
    <row r="228" spans="1:21" ht="16.5" thickBot="1">
      <c r="A228" s="259" t="s">
        <v>10</v>
      </c>
      <c r="B228" s="263">
        <f t="shared" si="12"/>
        <v>110</v>
      </c>
      <c r="C228" s="263" t="s">
        <v>3</v>
      </c>
      <c r="D228" s="263">
        <f t="shared" si="13"/>
        <v>400</v>
      </c>
      <c r="E228" s="263" t="s">
        <v>3</v>
      </c>
      <c r="F228" s="261">
        <f t="shared" si="14"/>
        <v>1750</v>
      </c>
      <c r="G228" s="263" t="s">
        <v>3</v>
      </c>
      <c r="H228" s="260">
        <v>4</v>
      </c>
      <c r="I228" s="262" t="s">
        <v>581</v>
      </c>
      <c r="J228" s="112">
        <v>110</v>
      </c>
      <c r="K228" s="75">
        <v>400</v>
      </c>
      <c r="L228" s="75">
        <v>1750</v>
      </c>
      <c r="M228" s="301">
        <v>26.683081216046894</v>
      </c>
      <c r="N228" s="87">
        <v>8398.3535999999986</v>
      </c>
      <c r="O228" s="123">
        <v>65121.457055988954</v>
      </c>
      <c r="P228" s="123">
        <v>75087.659447163023</v>
      </c>
      <c r="Q228" s="120">
        <v>24329.466704767507</v>
      </c>
      <c r="R228" s="123">
        <v>89450.923760756457</v>
      </c>
      <c r="S228" s="123">
        <v>99417.126151930526</v>
      </c>
      <c r="U228" s="7" t="s">
        <v>6847</v>
      </c>
    </row>
    <row r="229" spans="1:21" ht="16.5" thickBot="1">
      <c r="A229" s="259" t="s">
        <v>10</v>
      </c>
      <c r="B229" s="263">
        <f t="shared" si="12"/>
        <v>110</v>
      </c>
      <c r="C229" s="263" t="s">
        <v>3</v>
      </c>
      <c r="D229" s="263">
        <f t="shared" si="13"/>
        <v>400</v>
      </c>
      <c r="E229" s="263" t="s">
        <v>3</v>
      </c>
      <c r="F229" s="261">
        <f t="shared" si="14"/>
        <v>1800</v>
      </c>
      <c r="G229" s="263" t="s">
        <v>3</v>
      </c>
      <c r="H229" s="260">
        <v>4</v>
      </c>
      <c r="I229" s="262" t="s">
        <v>581</v>
      </c>
      <c r="J229" s="112">
        <v>110</v>
      </c>
      <c r="K229" s="75">
        <v>400</v>
      </c>
      <c r="L229" s="75">
        <v>1800</v>
      </c>
      <c r="M229" s="301">
        <v>27.431950160361712</v>
      </c>
      <c r="N229" s="87">
        <v>8698.2947999999997</v>
      </c>
      <c r="O229" s="123">
        <v>66179.953593249767</v>
      </c>
      <c r="P229" s="123">
        <v>76388.779050300014</v>
      </c>
      <c r="Q229" s="120">
        <v>24892.449599160005</v>
      </c>
      <c r="R229" s="123">
        <v>91072.40319240978</v>
      </c>
      <c r="S229" s="123">
        <v>101281.22864946001</v>
      </c>
      <c r="U229" s="7" t="s">
        <v>6848</v>
      </c>
    </row>
    <row r="230" spans="1:21" ht="16.5" thickBot="1">
      <c r="A230" s="259" t="s">
        <v>10</v>
      </c>
      <c r="B230" s="263">
        <f t="shared" si="12"/>
        <v>110</v>
      </c>
      <c r="C230" s="263" t="s">
        <v>3</v>
      </c>
      <c r="D230" s="263">
        <f t="shared" si="13"/>
        <v>400</v>
      </c>
      <c r="E230" s="263" t="s">
        <v>3</v>
      </c>
      <c r="F230" s="261">
        <f t="shared" si="14"/>
        <v>1850</v>
      </c>
      <c r="G230" s="263" t="s">
        <v>3</v>
      </c>
      <c r="H230" s="260">
        <v>4</v>
      </c>
      <c r="I230" s="262" t="s">
        <v>581</v>
      </c>
      <c r="J230" s="112">
        <v>110</v>
      </c>
      <c r="K230" s="75">
        <v>400</v>
      </c>
      <c r="L230" s="75">
        <v>1850</v>
      </c>
      <c r="M230" s="301">
        <v>28.191863104676532</v>
      </c>
      <c r="N230" s="87">
        <v>8998.235999999999</v>
      </c>
      <c r="O230" s="123">
        <v>67238.488384421638</v>
      </c>
      <c r="P230" s="123">
        <v>77689.931599954143</v>
      </c>
      <c r="Q230" s="120">
        <v>25670.929613343757</v>
      </c>
      <c r="R230" s="123">
        <v>92909.417997765398</v>
      </c>
      <c r="S230" s="123">
        <v>103360.8612132979</v>
      </c>
      <c r="U230" s="7" t="s">
        <v>6849</v>
      </c>
    </row>
    <row r="231" spans="1:21" ht="16.5" thickBot="1">
      <c r="A231" s="259" t="s">
        <v>10</v>
      </c>
      <c r="B231" s="263">
        <f t="shared" si="12"/>
        <v>110</v>
      </c>
      <c r="C231" s="263" t="s">
        <v>3</v>
      </c>
      <c r="D231" s="263">
        <f t="shared" si="13"/>
        <v>400</v>
      </c>
      <c r="E231" s="263" t="s">
        <v>3</v>
      </c>
      <c r="F231" s="261">
        <f t="shared" si="14"/>
        <v>1900</v>
      </c>
      <c r="G231" s="263" t="s">
        <v>3</v>
      </c>
      <c r="H231" s="260">
        <v>4</v>
      </c>
      <c r="I231" s="262" t="s">
        <v>581</v>
      </c>
      <c r="J231" s="112">
        <v>110</v>
      </c>
      <c r="K231" s="75">
        <v>400</v>
      </c>
      <c r="L231" s="75">
        <v>1900</v>
      </c>
      <c r="M231" s="301">
        <v>28.864832048991346</v>
      </c>
      <c r="N231" s="87">
        <v>9298.1772000000001</v>
      </c>
      <c r="O231" s="123">
        <v>68465.329789161944</v>
      </c>
      <c r="P231" s="123">
        <v>79157.933814656266</v>
      </c>
      <c r="Q231" s="120">
        <v>26233.912507736255</v>
      </c>
      <c r="R231" s="123">
        <v>94699.242296898199</v>
      </c>
      <c r="S231" s="123">
        <v>105391.84632239252</v>
      </c>
      <c r="U231" s="7" t="s">
        <v>6850</v>
      </c>
    </row>
    <row r="232" spans="1:21" ht="16.5" thickBot="1">
      <c r="A232" s="259" t="s">
        <v>10</v>
      </c>
      <c r="B232" s="263">
        <f t="shared" si="12"/>
        <v>110</v>
      </c>
      <c r="C232" s="263" t="s">
        <v>3</v>
      </c>
      <c r="D232" s="263">
        <f t="shared" si="13"/>
        <v>400</v>
      </c>
      <c r="E232" s="263" t="s">
        <v>3</v>
      </c>
      <c r="F232" s="261">
        <f t="shared" si="14"/>
        <v>1950</v>
      </c>
      <c r="G232" s="263" t="s">
        <v>3</v>
      </c>
      <c r="H232" s="260">
        <v>4</v>
      </c>
      <c r="I232" s="262" t="s">
        <v>581</v>
      </c>
      <c r="J232" s="112">
        <v>110</v>
      </c>
      <c r="K232" s="75">
        <v>400</v>
      </c>
      <c r="L232" s="75">
        <v>1950</v>
      </c>
      <c r="M232" s="301">
        <v>29.749550993306162</v>
      </c>
      <c r="N232" s="87">
        <v>9598.1183999999994</v>
      </c>
      <c r="O232" s="123">
        <v>69868.483693044196</v>
      </c>
      <c r="P232" s="123">
        <v>80800.722498573014</v>
      </c>
      <c r="Q232" s="120">
        <v>26796.895533337505</v>
      </c>
      <c r="R232" s="123">
        <v>96665.379226381701</v>
      </c>
      <c r="S232" s="123">
        <v>107597.61803191052</v>
      </c>
      <c r="U232" s="7" t="s">
        <v>6851</v>
      </c>
    </row>
    <row r="233" spans="1:21" ht="16.5" thickBot="1">
      <c r="A233" s="259" t="s">
        <v>10</v>
      </c>
      <c r="B233" s="263">
        <f t="shared" si="12"/>
        <v>110</v>
      </c>
      <c r="C233" s="263" t="s">
        <v>3</v>
      </c>
      <c r="D233" s="263">
        <f t="shared" si="13"/>
        <v>400</v>
      </c>
      <c r="E233" s="263" t="s">
        <v>3</v>
      </c>
      <c r="F233" s="261">
        <f t="shared" si="14"/>
        <v>2000</v>
      </c>
      <c r="G233" s="263" t="s">
        <v>3</v>
      </c>
      <c r="H233" s="260">
        <v>4</v>
      </c>
      <c r="I233" s="262" t="s">
        <v>581</v>
      </c>
      <c r="J233" s="112">
        <v>110</v>
      </c>
      <c r="K233" s="75">
        <v>400</v>
      </c>
      <c r="L233" s="75">
        <v>2000</v>
      </c>
      <c r="M233" s="301">
        <v>30.541982577620978</v>
      </c>
      <c r="N233" s="87">
        <v>9898.0595999999987</v>
      </c>
      <c r="O233" s="123">
        <v>71134.521081111583</v>
      </c>
      <c r="P233" s="123">
        <v>82502.66505980138</v>
      </c>
      <c r="Q233" s="120">
        <v>27575.375416312509</v>
      </c>
      <c r="R233" s="123">
        <v>98709.896497424095</v>
      </c>
      <c r="S233" s="123">
        <v>110078.04047611389</v>
      </c>
      <c r="U233" s="7" t="s">
        <v>6852</v>
      </c>
    </row>
    <row r="234" spans="1:21" ht="16.5" thickBot="1">
      <c r="A234" s="259" t="s">
        <v>10</v>
      </c>
      <c r="B234" s="263">
        <f t="shared" si="12"/>
        <v>110</v>
      </c>
      <c r="C234" s="263" t="s">
        <v>3</v>
      </c>
      <c r="D234" s="263">
        <f t="shared" si="13"/>
        <v>400</v>
      </c>
      <c r="E234" s="263" t="s">
        <v>3</v>
      </c>
      <c r="F234" s="261">
        <f t="shared" si="14"/>
        <v>2050</v>
      </c>
      <c r="G234" s="263" t="s">
        <v>3</v>
      </c>
      <c r="H234" s="260">
        <v>4</v>
      </c>
      <c r="I234" s="262" t="s">
        <v>581</v>
      </c>
      <c r="J234" s="112">
        <v>110</v>
      </c>
      <c r="K234" s="75">
        <v>400</v>
      </c>
      <c r="L234" s="75">
        <v>2050</v>
      </c>
      <c r="M234" s="301">
        <v>31.214951521935792</v>
      </c>
      <c r="N234" s="87">
        <v>10198.0008</v>
      </c>
      <c r="O234" s="123">
        <v>74252.830910270073</v>
      </c>
      <c r="P234" s="123">
        <v>85845.719575209398</v>
      </c>
      <c r="Q234" s="120">
        <v>28138.358441913759</v>
      </c>
      <c r="R234" s="123">
        <v>102391.18935218384</v>
      </c>
      <c r="S234" s="123">
        <v>113984.07801712316</v>
      </c>
      <c r="U234" s="7" t="s">
        <v>6853</v>
      </c>
    </row>
    <row r="235" spans="1:21" ht="16.5" thickBot="1">
      <c r="A235" s="259" t="s">
        <v>10</v>
      </c>
      <c r="B235" s="260">
        <f t="shared" si="12"/>
        <v>110</v>
      </c>
      <c r="C235" s="260" t="s">
        <v>3</v>
      </c>
      <c r="D235" s="260">
        <f t="shared" si="13"/>
        <v>400</v>
      </c>
      <c r="E235" s="260" t="s">
        <v>3</v>
      </c>
      <c r="F235" s="261">
        <f t="shared" si="14"/>
        <v>2100</v>
      </c>
      <c r="G235" s="260" t="s">
        <v>3</v>
      </c>
      <c r="H235" s="260">
        <v>4</v>
      </c>
      <c r="I235" s="262" t="s">
        <v>581</v>
      </c>
      <c r="J235" s="112">
        <v>110</v>
      </c>
      <c r="K235" s="75">
        <v>400</v>
      </c>
      <c r="L235" s="75">
        <v>2100</v>
      </c>
      <c r="M235" s="301">
        <v>31.906664466250611</v>
      </c>
      <c r="N235" s="87">
        <v>10497.941999999999</v>
      </c>
      <c r="O235" s="123">
        <v>75371.103477372395</v>
      </c>
      <c r="P235" s="123">
        <v>87206.089533451886</v>
      </c>
      <c r="Q235" s="120">
        <v>28916.838324888755</v>
      </c>
      <c r="R235" s="123">
        <v>104287.94180226115</v>
      </c>
      <c r="S235" s="123">
        <v>116122.92785834064</v>
      </c>
      <c r="U235" s="7" t="s">
        <v>6854</v>
      </c>
    </row>
    <row r="236" spans="1:21" ht="16.5" thickBot="1">
      <c r="A236" s="259" t="s">
        <v>10</v>
      </c>
      <c r="B236" s="263">
        <f t="shared" si="12"/>
        <v>110</v>
      </c>
      <c r="C236" s="263" t="s">
        <v>3</v>
      </c>
      <c r="D236" s="263">
        <f t="shared" si="13"/>
        <v>400</v>
      </c>
      <c r="E236" s="263" t="s">
        <v>3</v>
      </c>
      <c r="F236" s="261">
        <f t="shared" si="14"/>
        <v>2150</v>
      </c>
      <c r="G236" s="263" t="s">
        <v>3</v>
      </c>
      <c r="H236" s="260">
        <v>4</v>
      </c>
      <c r="I236" s="262" t="s">
        <v>581</v>
      </c>
      <c r="J236" s="112">
        <v>110</v>
      </c>
      <c r="K236" s="75">
        <v>400</v>
      </c>
      <c r="L236" s="75">
        <v>2150</v>
      </c>
      <c r="M236" s="301">
        <v>32.71603341056543</v>
      </c>
      <c r="N236" s="87">
        <v>10797.883199999998</v>
      </c>
      <c r="O236" s="123">
        <v>76631.234595404647</v>
      </c>
      <c r="P236" s="123">
        <v>88707.089869680378</v>
      </c>
      <c r="Q236" s="120">
        <v>29479.821350490005</v>
      </c>
      <c r="R236" s="123">
        <v>106111.05594589465</v>
      </c>
      <c r="S236" s="123">
        <v>118186.91122017038</v>
      </c>
      <c r="U236" s="7" t="s">
        <v>6855</v>
      </c>
    </row>
    <row r="237" spans="1:21" ht="16.5" thickBot="1">
      <c r="A237" s="259" t="s">
        <v>10</v>
      </c>
      <c r="B237" s="263">
        <f t="shared" si="12"/>
        <v>110</v>
      </c>
      <c r="C237" s="263" t="s">
        <v>3</v>
      </c>
      <c r="D237" s="263">
        <f t="shared" si="13"/>
        <v>400</v>
      </c>
      <c r="E237" s="263" t="s">
        <v>3</v>
      </c>
      <c r="F237" s="261">
        <f t="shared" si="14"/>
        <v>2200</v>
      </c>
      <c r="G237" s="263" t="s">
        <v>3</v>
      </c>
      <c r="H237" s="260">
        <v>4</v>
      </c>
      <c r="I237" s="262" t="s">
        <v>581</v>
      </c>
      <c r="J237" s="112">
        <v>110</v>
      </c>
      <c r="K237" s="75">
        <v>400</v>
      </c>
      <c r="L237" s="75">
        <v>2200</v>
      </c>
      <c r="M237" s="301">
        <v>33.407746354880238</v>
      </c>
      <c r="N237" s="87">
        <v>11097.8244</v>
      </c>
      <c r="O237" s="123">
        <v>77891.342404202456</v>
      </c>
      <c r="P237" s="123">
        <v>90208.063518049137</v>
      </c>
      <c r="Q237" s="120">
        <v>30258.301233465005</v>
      </c>
      <c r="R237" s="123">
        <v>108149.64363766747</v>
      </c>
      <c r="S237" s="123">
        <v>120466.36475151413</v>
      </c>
      <c r="U237" s="7" t="s">
        <v>6856</v>
      </c>
    </row>
    <row r="238" spans="1:21" ht="16.5" thickBot="1">
      <c r="A238" s="259" t="s">
        <v>10</v>
      </c>
      <c r="B238" s="263">
        <f t="shared" si="12"/>
        <v>110</v>
      </c>
      <c r="C238" s="263" t="s">
        <v>3</v>
      </c>
      <c r="D238" s="263">
        <f t="shared" si="13"/>
        <v>400</v>
      </c>
      <c r="E238" s="263" t="s">
        <v>3</v>
      </c>
      <c r="F238" s="261">
        <f t="shared" si="14"/>
        <v>2250</v>
      </c>
      <c r="G238" s="263" t="s">
        <v>3</v>
      </c>
      <c r="H238" s="260">
        <v>4</v>
      </c>
      <c r="I238" s="262" t="s">
        <v>581</v>
      </c>
      <c r="J238" s="112">
        <v>110</v>
      </c>
      <c r="K238" s="75">
        <v>400</v>
      </c>
      <c r="L238" s="75">
        <v>2250</v>
      </c>
      <c r="M238" s="301">
        <v>34.080715299195056</v>
      </c>
      <c r="N238" s="87">
        <v>11397.765599999997</v>
      </c>
      <c r="O238" s="123">
        <v>79458.45279395346</v>
      </c>
      <c r="P238" s="123">
        <v>92013.38693606139</v>
      </c>
      <c r="Q238" s="120">
        <v>30821.284259066128</v>
      </c>
      <c r="R238" s="123">
        <v>110279.73705301959</v>
      </c>
      <c r="S238" s="123">
        <v>122834.67119512752</v>
      </c>
      <c r="U238" s="7" t="s">
        <v>6857</v>
      </c>
    </row>
    <row r="239" spans="1:21" ht="16.5" thickBot="1">
      <c r="A239" s="259" t="s">
        <v>10</v>
      </c>
      <c r="B239" s="263">
        <f t="shared" si="12"/>
        <v>110</v>
      </c>
      <c r="C239" s="263" t="s">
        <v>3</v>
      </c>
      <c r="D239" s="263">
        <f t="shared" si="13"/>
        <v>400</v>
      </c>
      <c r="E239" s="263" t="s">
        <v>3</v>
      </c>
      <c r="F239" s="261">
        <f t="shared" si="14"/>
        <v>2300</v>
      </c>
      <c r="G239" s="263" t="s">
        <v>3</v>
      </c>
      <c r="H239" s="260">
        <v>4</v>
      </c>
      <c r="I239" s="262" t="s">
        <v>581</v>
      </c>
      <c r="J239" s="112">
        <v>110</v>
      </c>
      <c r="K239" s="75">
        <v>400</v>
      </c>
      <c r="L239" s="75">
        <v>2300</v>
      </c>
      <c r="M239" s="301">
        <v>34.753684243509873</v>
      </c>
      <c r="N239" s="87">
        <v>11697.706799999998</v>
      </c>
      <c r="O239" s="123">
        <v>80485.290595168335</v>
      </c>
      <c r="P239" s="123">
        <v>93283.096817678641</v>
      </c>
      <c r="Q239" s="120">
        <v>31384.267153458757</v>
      </c>
      <c r="R239" s="123">
        <v>111869.55774862709</v>
      </c>
      <c r="S239" s="123">
        <v>124667.3639711374</v>
      </c>
      <c r="U239" s="7" t="s">
        <v>6858</v>
      </c>
    </row>
    <row r="240" spans="1:21" ht="16.5" thickBot="1">
      <c r="A240" s="259" t="s">
        <v>10</v>
      </c>
      <c r="B240" s="263">
        <f t="shared" si="12"/>
        <v>110</v>
      </c>
      <c r="C240" s="263" t="s">
        <v>3</v>
      </c>
      <c r="D240" s="263">
        <f t="shared" si="13"/>
        <v>400</v>
      </c>
      <c r="E240" s="263" t="s">
        <v>3</v>
      </c>
      <c r="F240" s="261">
        <f t="shared" si="14"/>
        <v>2350</v>
      </c>
      <c r="G240" s="263" t="s">
        <v>3</v>
      </c>
      <c r="H240" s="260">
        <v>4</v>
      </c>
      <c r="I240" s="262" t="s">
        <v>581</v>
      </c>
      <c r="J240" s="112">
        <v>110</v>
      </c>
      <c r="K240" s="75">
        <v>400</v>
      </c>
      <c r="L240" s="75">
        <v>2350</v>
      </c>
      <c r="M240" s="301">
        <v>35.445397187824682</v>
      </c>
      <c r="N240" s="87">
        <v>11997.647999999999</v>
      </c>
      <c r="O240" s="123">
        <v>81509.328611592209</v>
      </c>
      <c r="P240" s="123">
        <v>94549.55385069114</v>
      </c>
      <c r="Q240" s="120">
        <v>32162.747167642508</v>
      </c>
      <c r="R240" s="123">
        <v>113672.07577923471</v>
      </c>
      <c r="S240" s="123">
        <v>126712.30101833364</v>
      </c>
      <c r="U240" s="7" t="s">
        <v>6859</v>
      </c>
    </row>
    <row r="241" spans="1:21" ht="16.5" thickBot="1">
      <c r="A241" s="259" t="s">
        <v>10</v>
      </c>
      <c r="B241" s="263">
        <f t="shared" si="12"/>
        <v>110</v>
      </c>
      <c r="C241" s="263" t="s">
        <v>3</v>
      </c>
      <c r="D241" s="263">
        <f t="shared" si="13"/>
        <v>400</v>
      </c>
      <c r="E241" s="263" t="s">
        <v>3</v>
      </c>
      <c r="F241" s="261">
        <f t="shared" si="14"/>
        <v>2400</v>
      </c>
      <c r="G241" s="263" t="s">
        <v>3</v>
      </c>
      <c r="H241" s="260">
        <v>4</v>
      </c>
      <c r="I241" s="262" t="s">
        <v>581</v>
      </c>
      <c r="J241" s="112">
        <v>110</v>
      </c>
      <c r="K241" s="75">
        <v>400</v>
      </c>
      <c r="L241" s="75">
        <v>2400</v>
      </c>
      <c r="M241" s="301">
        <v>36.118366132139499</v>
      </c>
      <c r="N241" s="87">
        <v>12297.589199999997</v>
      </c>
      <c r="O241" s="123">
        <v>82572.629639333085</v>
      </c>
      <c r="P241" s="123">
        <v>95861.583120247888</v>
      </c>
      <c r="Q241" s="120">
        <v>32725.730193243759</v>
      </c>
      <c r="R241" s="123">
        <v>115298.35983257684</v>
      </c>
      <c r="S241" s="123">
        <v>128587.31331349164</v>
      </c>
      <c r="U241" s="7" t="s">
        <v>6860</v>
      </c>
    </row>
    <row r="242" spans="1:21" ht="16.5" thickBot="1">
      <c r="A242" s="259" t="s">
        <v>10</v>
      </c>
      <c r="B242" s="263">
        <f t="shared" si="12"/>
        <v>110</v>
      </c>
      <c r="C242" s="263" t="s">
        <v>3</v>
      </c>
      <c r="D242" s="263">
        <f t="shared" si="13"/>
        <v>400</v>
      </c>
      <c r="E242" s="263" t="s">
        <v>3</v>
      </c>
      <c r="F242" s="261">
        <f t="shared" si="14"/>
        <v>2450</v>
      </c>
      <c r="G242" s="263" t="s">
        <v>3</v>
      </c>
      <c r="H242" s="260">
        <v>4</v>
      </c>
      <c r="I242" s="262" t="s">
        <v>581</v>
      </c>
      <c r="J242" s="112">
        <v>110</v>
      </c>
      <c r="K242" s="75">
        <v>400</v>
      </c>
      <c r="L242" s="75">
        <v>2450</v>
      </c>
      <c r="M242" s="301">
        <v>37.646331392584315</v>
      </c>
      <c r="N242" s="87">
        <v>12597.5304</v>
      </c>
      <c r="O242" s="123">
        <v>84165.697705579892</v>
      </c>
      <c r="P242" s="123">
        <v>97884.362762139397</v>
      </c>
      <c r="Q242" s="120">
        <v>33504.210076218755</v>
      </c>
      <c r="R242" s="123">
        <v>117669.90778179865</v>
      </c>
      <c r="S242" s="123">
        <v>131388.57283835814</v>
      </c>
      <c r="U242" s="7" t="s">
        <v>6861</v>
      </c>
    </row>
    <row r="243" spans="1:21" ht="16.5" thickBot="1">
      <c r="A243" s="259" t="s">
        <v>10</v>
      </c>
      <c r="B243" s="263">
        <f t="shared" si="12"/>
        <v>110</v>
      </c>
      <c r="C243" s="263" t="s">
        <v>3</v>
      </c>
      <c r="D243" s="263">
        <f t="shared" si="13"/>
        <v>400</v>
      </c>
      <c r="E243" s="263" t="s">
        <v>3</v>
      </c>
      <c r="F243" s="261">
        <f t="shared" si="14"/>
        <v>2500</v>
      </c>
      <c r="G243" s="263" t="s">
        <v>3</v>
      </c>
      <c r="H243" s="260">
        <v>4</v>
      </c>
      <c r="I243" s="262" t="s">
        <v>581</v>
      </c>
      <c r="J243" s="112">
        <v>110</v>
      </c>
      <c r="K243" s="75">
        <v>400</v>
      </c>
      <c r="L243" s="75">
        <v>2500</v>
      </c>
      <c r="M243" s="301">
        <v>38.338000336899128</v>
      </c>
      <c r="N243" s="87">
        <v>12897.471599999999</v>
      </c>
      <c r="O243" s="123">
        <v>85219.960215203464</v>
      </c>
      <c r="P243" s="123">
        <v>99185.998645465894</v>
      </c>
      <c r="Q243" s="120">
        <v>34067.193101820005</v>
      </c>
      <c r="R243" s="123">
        <v>119287.15331702348</v>
      </c>
      <c r="S243" s="123">
        <v>133253.19174728589</v>
      </c>
      <c r="U243" s="7" t="s">
        <v>6862</v>
      </c>
    </row>
    <row r="244" spans="1:21" ht="16.5" thickBot="1">
      <c r="A244" s="259" t="s">
        <v>10</v>
      </c>
      <c r="B244" s="263">
        <f t="shared" si="12"/>
        <v>110</v>
      </c>
      <c r="C244" s="263" t="s">
        <v>3</v>
      </c>
      <c r="D244" s="263">
        <f t="shared" si="13"/>
        <v>400</v>
      </c>
      <c r="E244" s="263" t="s">
        <v>3</v>
      </c>
      <c r="F244" s="261">
        <f t="shared" si="14"/>
        <v>2550</v>
      </c>
      <c r="G244" s="263" t="s">
        <v>3</v>
      </c>
      <c r="H244" s="260">
        <v>4</v>
      </c>
      <c r="I244" s="262" t="s">
        <v>581</v>
      </c>
      <c r="J244" s="112">
        <v>110</v>
      </c>
      <c r="K244" s="75">
        <v>400</v>
      </c>
      <c r="L244" s="75">
        <v>2550</v>
      </c>
      <c r="M244" s="301">
        <v>39.029713281213951</v>
      </c>
      <c r="N244" s="87">
        <v>13197.4128</v>
      </c>
      <c r="O244" s="123">
        <v>89411.039193909397</v>
      </c>
      <c r="P244" s="123">
        <v>103592.54760343315</v>
      </c>
      <c r="Q244" s="120">
        <v>34845.672984795005</v>
      </c>
      <c r="R244" s="123">
        <v>124256.7121787044</v>
      </c>
      <c r="S244" s="123">
        <v>138438.22058822814</v>
      </c>
      <c r="U244" s="7" t="s">
        <v>6863</v>
      </c>
    </row>
    <row r="245" spans="1:21" ht="16.5" thickBot="1">
      <c r="A245" s="259" t="s">
        <v>10</v>
      </c>
      <c r="B245" s="260">
        <f t="shared" si="12"/>
        <v>110</v>
      </c>
      <c r="C245" s="260" t="s">
        <v>3</v>
      </c>
      <c r="D245" s="260">
        <f t="shared" si="13"/>
        <v>400</v>
      </c>
      <c r="E245" s="260" t="s">
        <v>3</v>
      </c>
      <c r="F245" s="261">
        <f t="shared" si="14"/>
        <v>2600</v>
      </c>
      <c r="G245" s="260" t="s">
        <v>3</v>
      </c>
      <c r="H245" s="260">
        <v>4</v>
      </c>
      <c r="I245" s="262" t="s">
        <v>581</v>
      </c>
      <c r="J245" s="112">
        <v>110</v>
      </c>
      <c r="K245" s="75">
        <v>400</v>
      </c>
      <c r="L245" s="75">
        <v>2600</v>
      </c>
      <c r="M245" s="301">
        <v>39.702682225528761</v>
      </c>
      <c r="N245" s="87">
        <v>13497.353999999998</v>
      </c>
      <c r="O245" s="123">
        <v>90697.536401913589</v>
      </c>
      <c r="P245" s="123">
        <v>105119.68964298978</v>
      </c>
      <c r="Q245" s="120">
        <v>35408.656010396255</v>
      </c>
      <c r="R245" s="123">
        <v>126106.19241230984</v>
      </c>
      <c r="S245" s="123">
        <v>140528.34565338603</v>
      </c>
      <c r="U245" s="7" t="s">
        <v>6864</v>
      </c>
    </row>
    <row r="246" spans="1:21" ht="16.5" thickBot="1">
      <c r="A246" s="259" t="s">
        <v>10</v>
      </c>
      <c r="B246" s="263">
        <f t="shared" si="12"/>
        <v>110</v>
      </c>
      <c r="C246" s="263" t="s">
        <v>3</v>
      </c>
      <c r="D246" s="263">
        <f t="shared" si="13"/>
        <v>400</v>
      </c>
      <c r="E246" s="263" t="s">
        <v>3</v>
      </c>
      <c r="F246" s="261">
        <f t="shared" si="14"/>
        <v>2650</v>
      </c>
      <c r="G246" s="263" t="s">
        <v>3</v>
      </c>
      <c r="H246" s="260">
        <v>4</v>
      </c>
      <c r="I246" s="262" t="s">
        <v>581</v>
      </c>
      <c r="J246" s="112">
        <v>110</v>
      </c>
      <c r="K246" s="75">
        <v>400</v>
      </c>
      <c r="L246" s="75">
        <v>2650</v>
      </c>
      <c r="M246" s="301">
        <v>40.51209516984359</v>
      </c>
      <c r="N246" s="87">
        <v>13797.295199999999</v>
      </c>
      <c r="O246" s="123">
        <v>91570.400538190341</v>
      </c>
      <c r="P246" s="123">
        <v>106236.76480560002</v>
      </c>
      <c r="Q246" s="120">
        <v>36187.135893371262</v>
      </c>
      <c r="R246" s="123">
        <v>127757.5364315616</v>
      </c>
      <c r="S246" s="123">
        <v>142423.90069897129</v>
      </c>
      <c r="U246" s="7" t="s">
        <v>6865</v>
      </c>
    </row>
    <row r="247" spans="1:21" ht="16.5" thickBot="1">
      <c r="A247" s="259" t="s">
        <v>10</v>
      </c>
      <c r="B247" s="263">
        <f t="shared" si="12"/>
        <v>110</v>
      </c>
      <c r="C247" s="263" t="s">
        <v>3</v>
      </c>
      <c r="D247" s="263">
        <f t="shared" si="13"/>
        <v>400</v>
      </c>
      <c r="E247" s="263" t="s">
        <v>3</v>
      </c>
      <c r="F247" s="261">
        <f t="shared" si="14"/>
        <v>2700</v>
      </c>
      <c r="G247" s="263" t="s">
        <v>3</v>
      </c>
      <c r="H247" s="260">
        <v>4</v>
      </c>
      <c r="I247" s="262" t="s">
        <v>581</v>
      </c>
      <c r="J247" s="112">
        <v>110</v>
      </c>
      <c r="K247" s="75">
        <v>400</v>
      </c>
      <c r="L247" s="75">
        <v>2700</v>
      </c>
      <c r="M247" s="301">
        <v>41.271414114158404</v>
      </c>
      <c r="N247" s="87">
        <v>14097.2364</v>
      </c>
      <c r="O247" s="123">
        <v>92500.559776461392</v>
      </c>
      <c r="P247" s="123">
        <v>107410.63775623988</v>
      </c>
      <c r="Q247" s="120">
        <v>36750.118918972512</v>
      </c>
      <c r="R247" s="123">
        <v>129250.6786954339</v>
      </c>
      <c r="S247" s="123">
        <v>144160.75667521241</v>
      </c>
      <c r="U247" s="7" t="s">
        <v>6866</v>
      </c>
    </row>
    <row r="248" spans="1:21" ht="16.5" thickBot="1">
      <c r="A248" s="259" t="s">
        <v>10</v>
      </c>
      <c r="B248" s="263">
        <f t="shared" si="12"/>
        <v>110</v>
      </c>
      <c r="C248" s="263" t="s">
        <v>3</v>
      </c>
      <c r="D248" s="263">
        <f t="shared" si="13"/>
        <v>400</v>
      </c>
      <c r="E248" s="263" t="s">
        <v>3</v>
      </c>
      <c r="F248" s="261">
        <f t="shared" si="14"/>
        <v>2750</v>
      </c>
      <c r="G248" s="263" t="s">
        <v>3</v>
      </c>
      <c r="H248" s="260">
        <v>4</v>
      </c>
      <c r="I248" s="262" t="s">
        <v>581</v>
      </c>
      <c r="J248" s="112">
        <v>110</v>
      </c>
      <c r="K248" s="75">
        <v>400</v>
      </c>
      <c r="L248" s="75">
        <v>2750</v>
      </c>
      <c r="M248" s="301">
        <v>41.944383058473221</v>
      </c>
      <c r="N248" s="87">
        <v>14397.177599999997</v>
      </c>
      <c r="O248" s="123">
        <v>93451.987408591143</v>
      </c>
      <c r="P248" s="123">
        <v>108605.59258093989</v>
      </c>
      <c r="Q248" s="120">
        <v>37313.101813365007</v>
      </c>
      <c r="R248" s="123">
        <v>130765.08922195615</v>
      </c>
      <c r="S248" s="123">
        <v>145918.69439430488</v>
      </c>
      <c r="U248" s="7" t="s">
        <v>6867</v>
      </c>
    </row>
    <row r="249" spans="1:21" ht="16.5" thickBot="1">
      <c r="A249" s="259" t="s">
        <v>10</v>
      </c>
      <c r="B249" s="263">
        <f t="shared" si="12"/>
        <v>110</v>
      </c>
      <c r="C249" s="263" t="s">
        <v>3</v>
      </c>
      <c r="D249" s="263">
        <f t="shared" si="13"/>
        <v>400</v>
      </c>
      <c r="E249" s="263" t="s">
        <v>3</v>
      </c>
      <c r="F249" s="261">
        <f t="shared" si="14"/>
        <v>2800</v>
      </c>
      <c r="G249" s="263" t="s">
        <v>3</v>
      </c>
      <c r="H249" s="260">
        <v>4</v>
      </c>
      <c r="I249" s="262" t="s">
        <v>581</v>
      </c>
      <c r="J249" s="112">
        <v>110</v>
      </c>
      <c r="K249" s="75">
        <v>400</v>
      </c>
      <c r="L249" s="75">
        <v>2800</v>
      </c>
      <c r="M249" s="301">
        <v>42.636096002788044</v>
      </c>
      <c r="N249" s="87">
        <v>14697.1188</v>
      </c>
      <c r="O249" s="123">
        <v>94323.861181222906</v>
      </c>
      <c r="P249" s="123">
        <v>109721.67734054252</v>
      </c>
      <c r="Q249" s="120">
        <v>38091.581827548755</v>
      </c>
      <c r="R249" s="123">
        <v>132415.44300877166</v>
      </c>
      <c r="S249" s="123">
        <v>147813.25916809129</v>
      </c>
      <c r="U249" s="7" t="s">
        <v>6868</v>
      </c>
    </row>
    <row r="250" spans="1:21" ht="16.5" thickBot="1">
      <c r="A250" s="259" t="s">
        <v>10</v>
      </c>
      <c r="B250" s="263">
        <f t="shared" si="12"/>
        <v>110</v>
      </c>
      <c r="C250" s="263" t="s">
        <v>3</v>
      </c>
      <c r="D250" s="263">
        <f t="shared" si="13"/>
        <v>400</v>
      </c>
      <c r="E250" s="263" t="s">
        <v>3</v>
      </c>
      <c r="F250" s="261">
        <f t="shared" si="14"/>
        <v>2850</v>
      </c>
      <c r="G250" s="263" t="s">
        <v>3</v>
      </c>
      <c r="H250" s="260">
        <v>4</v>
      </c>
      <c r="I250" s="262" t="s">
        <v>581</v>
      </c>
      <c r="J250" s="112">
        <v>110</v>
      </c>
      <c r="K250" s="75">
        <v>400</v>
      </c>
      <c r="L250" s="75">
        <v>2850</v>
      </c>
      <c r="M250" s="301">
        <v>43.30906494710284</v>
      </c>
      <c r="N250" s="87">
        <v>14997.06</v>
      </c>
      <c r="O250" s="123">
        <v>95195.751682970265</v>
      </c>
      <c r="P250" s="123">
        <v>110837.77579833864</v>
      </c>
      <c r="Q250" s="120">
        <v>38654.564721941257</v>
      </c>
      <c r="R250" s="123">
        <v>133850.31640491151</v>
      </c>
      <c r="S250" s="123">
        <v>149492.34052027989</v>
      </c>
      <c r="U250" s="7" t="s">
        <v>6869</v>
      </c>
    </row>
    <row r="251" spans="1:21" ht="16.5" thickBot="1">
      <c r="A251" s="259" t="s">
        <v>10</v>
      </c>
      <c r="B251" s="263">
        <f t="shared" si="12"/>
        <v>110</v>
      </c>
      <c r="C251" s="263" t="s">
        <v>3</v>
      </c>
      <c r="D251" s="263">
        <f t="shared" si="13"/>
        <v>400</v>
      </c>
      <c r="E251" s="263" t="s">
        <v>3</v>
      </c>
      <c r="F251" s="261">
        <f t="shared" si="14"/>
        <v>2900</v>
      </c>
      <c r="G251" s="263" t="s">
        <v>3</v>
      </c>
      <c r="H251" s="260">
        <v>4</v>
      </c>
      <c r="I251" s="262" t="s">
        <v>581</v>
      </c>
      <c r="J251" s="112">
        <v>110</v>
      </c>
      <c r="K251" s="75">
        <v>400</v>
      </c>
      <c r="L251" s="75">
        <v>2900</v>
      </c>
      <c r="M251" s="301">
        <v>44.194377891417652</v>
      </c>
      <c r="N251" s="87">
        <v>15297.001199999997</v>
      </c>
      <c r="O251" s="123">
        <v>96067.656014119886</v>
      </c>
      <c r="P251" s="123">
        <v>111953.88559257076</v>
      </c>
      <c r="Q251" s="120">
        <v>39433.044736125004</v>
      </c>
      <c r="R251" s="123">
        <v>135500.7007502449</v>
      </c>
      <c r="S251" s="123">
        <v>151386.93032869577</v>
      </c>
      <c r="U251" s="7" t="s">
        <v>6870</v>
      </c>
    </row>
    <row r="252" spans="1:21" ht="16.5" thickBot="1">
      <c r="A252" s="259" t="s">
        <v>10</v>
      </c>
      <c r="B252" s="263">
        <f t="shared" si="12"/>
        <v>110</v>
      </c>
      <c r="C252" s="263" t="s">
        <v>3</v>
      </c>
      <c r="D252" s="263">
        <f t="shared" si="13"/>
        <v>400</v>
      </c>
      <c r="E252" s="263" t="s">
        <v>3</v>
      </c>
      <c r="F252" s="261">
        <f t="shared" si="14"/>
        <v>2950</v>
      </c>
      <c r="G252" s="263" t="s">
        <v>3</v>
      </c>
      <c r="H252" s="260">
        <v>4</v>
      </c>
      <c r="I252" s="262" t="s">
        <v>581</v>
      </c>
      <c r="J252" s="112">
        <v>110</v>
      </c>
      <c r="K252" s="75">
        <v>400</v>
      </c>
      <c r="L252" s="75">
        <v>2950</v>
      </c>
      <c r="M252" s="301">
        <v>44.867346835732469</v>
      </c>
      <c r="N252" s="87">
        <v>15596.942399999998</v>
      </c>
      <c r="O252" s="123">
        <v>96939.571832595582</v>
      </c>
      <c r="P252" s="123">
        <v>113070.00424339352</v>
      </c>
      <c r="Q252" s="120">
        <v>39996.027630517514</v>
      </c>
      <c r="R252" s="123">
        <v>136935.59946311309</v>
      </c>
      <c r="S252" s="123">
        <v>153066.03187391104</v>
      </c>
      <c r="U252" s="7" t="s">
        <v>6871</v>
      </c>
    </row>
    <row r="253" spans="1:21" ht="16.5" thickBot="1">
      <c r="A253" s="259" t="s">
        <v>10</v>
      </c>
      <c r="B253" s="263">
        <f t="shared" si="12"/>
        <v>110</v>
      </c>
      <c r="C253" s="263" t="s">
        <v>3</v>
      </c>
      <c r="D253" s="263">
        <f t="shared" si="13"/>
        <v>400</v>
      </c>
      <c r="E253" s="263" t="s">
        <v>3</v>
      </c>
      <c r="F253" s="261">
        <f t="shared" si="14"/>
        <v>3000</v>
      </c>
      <c r="G253" s="263" t="s">
        <v>3</v>
      </c>
      <c r="H253" s="260">
        <v>4</v>
      </c>
      <c r="I253" s="262" t="s">
        <v>581</v>
      </c>
      <c r="J253" s="146">
        <v>110</v>
      </c>
      <c r="K253" s="147">
        <v>400</v>
      </c>
      <c r="L253" s="147">
        <v>3000</v>
      </c>
      <c r="M253" s="1293">
        <v>45.559059780047292</v>
      </c>
      <c r="N253" s="148">
        <v>15896.883599999999</v>
      </c>
      <c r="O253" s="149">
        <v>99480.758511901513</v>
      </c>
      <c r="P253" s="149">
        <v>115844.59600969052</v>
      </c>
      <c r="Q253" s="159">
        <v>40774.507644701262</v>
      </c>
      <c r="R253" s="149">
        <v>140255.26615660277</v>
      </c>
      <c r="S253" s="149">
        <v>156619.10365439177</v>
      </c>
      <c r="U253" s="7" t="s">
        <v>6872</v>
      </c>
    </row>
  </sheetData>
  <mergeCells count="21">
    <mergeCell ref="A205:S205"/>
    <mergeCell ref="A206:S206"/>
    <mergeCell ref="A59:S59"/>
    <mergeCell ref="A107:S107"/>
    <mergeCell ref="A108:S108"/>
    <mergeCell ref="A156:S156"/>
    <mergeCell ref="A157:S157"/>
    <mergeCell ref="A58:S58"/>
    <mergeCell ref="A10:S10"/>
    <mergeCell ref="A7:S7"/>
    <mergeCell ref="A8:S8"/>
    <mergeCell ref="A9:S9"/>
    <mergeCell ref="Q4:Q5"/>
    <mergeCell ref="R4:R5"/>
    <mergeCell ref="S4:S5"/>
    <mergeCell ref="O6:S6"/>
    <mergeCell ref="A4:I6"/>
    <mergeCell ref="J4:M5"/>
    <mergeCell ref="N4:N6"/>
    <mergeCell ref="O4:O5"/>
    <mergeCell ref="P4:P5"/>
  </mergeCells>
  <hyperlinks>
    <hyperlink ref="A1:I1" location="Главная!A1" display="Вернуться на главную страницу" xr:uid="{00000000-0004-0000-0C00-000000000000}"/>
    <hyperlink ref="A2" location="'Калькулятор теплоотдач ВКВ'!R1C1" display="Вернуться Калькулятор теплоотдач ВКВ" xr:uid="{00000000-0004-0000-0C00-000001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3366FF"/>
  </sheetPr>
  <dimension ref="A1:U399"/>
  <sheetViews>
    <sheetView zoomScale="70" zoomScaleNormal="70" workbookViewId="0">
      <pane ySplit="6" topLeftCell="A379" activePane="bottomLeft" state="frozen"/>
      <selection pane="bottomLeft" activeCell="V398" sqref="V398"/>
    </sheetView>
  </sheetViews>
  <sheetFormatPr defaultRowHeight="15.75"/>
  <cols>
    <col min="1" max="1" width="5.5703125" style="7" customWidth="1"/>
    <col min="2" max="2" width="6" style="7" customWidth="1"/>
    <col min="3" max="3" width="3" style="7" customWidth="1"/>
    <col min="4" max="4" width="6" style="7" customWidth="1"/>
    <col min="5" max="5" width="3" style="7" customWidth="1"/>
    <col min="6" max="6" width="7.7109375" style="96" customWidth="1"/>
    <col min="7" max="7" width="3" style="7" customWidth="1"/>
    <col min="8" max="8" width="6" style="7" customWidth="1"/>
    <col min="9" max="9" width="8.140625" style="7" customWidth="1"/>
    <col min="10" max="10" width="11.28515625" style="7" customWidth="1"/>
    <col min="11" max="12" width="11.28515625" style="96" customWidth="1"/>
    <col min="13" max="13" width="15.5703125" style="1" customWidth="1"/>
    <col min="14" max="14" width="19.140625" style="7" customWidth="1"/>
    <col min="15" max="16" width="27.7109375" style="122" customWidth="1"/>
    <col min="17" max="17" width="26.28515625" style="117" customWidth="1"/>
    <col min="18" max="19" width="27.7109375" style="122" customWidth="1"/>
    <col min="20" max="20" width="9.140625" style="74"/>
    <col min="21" max="21" width="29.7109375" style="74" customWidth="1"/>
    <col min="22" max="16384" width="9.140625" style="74"/>
  </cols>
  <sheetData>
    <row r="1" spans="1:21" ht="16.5" customHeight="1">
      <c r="A1" s="1217" t="s">
        <v>9</v>
      </c>
      <c r="B1" s="1217"/>
      <c r="C1" s="1217"/>
      <c r="D1" s="1217"/>
      <c r="E1" s="1217"/>
      <c r="F1" s="97"/>
      <c r="G1" s="1217"/>
      <c r="H1" s="1217"/>
      <c r="I1" s="1217"/>
      <c r="M1" s="175"/>
      <c r="O1" s="117"/>
      <c r="P1" s="117"/>
      <c r="R1" s="117"/>
      <c r="S1" s="117"/>
    </row>
    <row r="2" spans="1:21" ht="16.5" customHeight="1">
      <c r="A2" s="956" t="s">
        <v>377</v>
      </c>
      <c r="B2" s="1217"/>
      <c r="C2" s="1217"/>
      <c r="D2" s="1217"/>
      <c r="E2" s="1217"/>
      <c r="F2" s="97"/>
      <c r="G2" s="1217"/>
      <c r="H2" s="1217"/>
      <c r="I2" s="1217"/>
      <c r="M2" s="175"/>
      <c r="O2" s="117"/>
      <c r="P2" s="117"/>
      <c r="R2" s="117"/>
      <c r="S2" s="117"/>
    </row>
    <row r="3" spans="1:21" ht="13.5" customHeight="1" thickBot="1">
      <c r="A3" s="16"/>
      <c r="B3" s="16"/>
      <c r="C3" s="16"/>
      <c r="D3" s="16"/>
      <c r="E3" s="16"/>
      <c r="F3" s="109"/>
      <c r="G3" s="16"/>
      <c r="H3" s="16"/>
      <c r="I3" s="1251"/>
      <c r="J3" s="16"/>
      <c r="K3" s="108"/>
      <c r="L3" s="108"/>
      <c r="M3" s="175"/>
      <c r="O3" s="116"/>
      <c r="P3" s="116"/>
      <c r="R3" s="117"/>
      <c r="S3" s="117"/>
    </row>
    <row r="4" spans="1:21" ht="69" customHeight="1">
      <c r="A4" s="2598" t="s">
        <v>8</v>
      </c>
      <c r="B4" s="2599"/>
      <c r="C4" s="2599"/>
      <c r="D4" s="2599"/>
      <c r="E4" s="2599"/>
      <c r="F4" s="2599"/>
      <c r="G4" s="2599"/>
      <c r="H4" s="2599"/>
      <c r="I4" s="2600"/>
      <c r="J4" s="2607" t="s">
        <v>97</v>
      </c>
      <c r="K4" s="2608"/>
      <c r="L4" s="2608"/>
      <c r="M4" s="2609"/>
      <c r="N4" s="2613" t="s">
        <v>96</v>
      </c>
      <c r="O4" s="2586" t="s">
        <v>173</v>
      </c>
      <c r="P4" s="2619" t="s">
        <v>174</v>
      </c>
      <c r="Q4" s="2586" t="s">
        <v>71</v>
      </c>
      <c r="R4" s="2588" t="s">
        <v>5817</v>
      </c>
      <c r="S4" s="2590" t="s">
        <v>5818</v>
      </c>
    </row>
    <row r="5" spans="1:21" ht="72" customHeight="1" thickBot="1">
      <c r="A5" s="2601"/>
      <c r="B5" s="2602"/>
      <c r="C5" s="2602"/>
      <c r="D5" s="2602"/>
      <c r="E5" s="2602"/>
      <c r="F5" s="2602"/>
      <c r="G5" s="2602"/>
      <c r="H5" s="2602"/>
      <c r="I5" s="2603"/>
      <c r="J5" s="2610"/>
      <c r="K5" s="2611"/>
      <c r="L5" s="2611"/>
      <c r="M5" s="2612"/>
      <c r="N5" s="2614"/>
      <c r="O5" s="2616"/>
      <c r="P5" s="2620"/>
      <c r="Q5" s="2587"/>
      <c r="R5" s="2589"/>
      <c r="S5" s="2591"/>
    </row>
    <row r="6" spans="1:21" ht="61.5" customHeight="1" thickBot="1">
      <c r="A6" s="2604"/>
      <c r="B6" s="2605"/>
      <c r="C6" s="2605"/>
      <c r="D6" s="2605"/>
      <c r="E6" s="2605"/>
      <c r="F6" s="2605"/>
      <c r="G6" s="2605"/>
      <c r="H6" s="2605"/>
      <c r="I6" s="2606"/>
      <c r="J6" s="287" t="s">
        <v>0</v>
      </c>
      <c r="K6" s="295" t="s">
        <v>1</v>
      </c>
      <c r="L6" s="295" t="s">
        <v>2</v>
      </c>
      <c r="M6" s="258" t="s">
        <v>94</v>
      </c>
      <c r="N6" s="2615"/>
      <c r="O6" s="2592" t="s">
        <v>169</v>
      </c>
      <c r="P6" s="2593"/>
      <c r="Q6" s="2593"/>
      <c r="R6" s="2593"/>
      <c r="S6" s="2594"/>
    </row>
    <row r="7" spans="1:21" ht="30" customHeight="1" thickBot="1">
      <c r="A7" s="2595" t="s">
        <v>159</v>
      </c>
      <c r="B7" s="2596"/>
      <c r="C7" s="2596"/>
      <c r="D7" s="2596"/>
      <c r="E7" s="2596"/>
      <c r="F7" s="2596"/>
      <c r="G7" s="2596"/>
      <c r="H7" s="2596"/>
      <c r="I7" s="2596"/>
      <c r="J7" s="2596"/>
      <c r="K7" s="2596"/>
      <c r="L7" s="2596"/>
      <c r="M7" s="2596"/>
      <c r="N7" s="2596"/>
      <c r="O7" s="2596"/>
      <c r="P7" s="2596"/>
      <c r="Q7" s="2596"/>
      <c r="R7" s="2596"/>
      <c r="S7" s="2597"/>
    </row>
    <row r="8" spans="1:21" ht="22.5" customHeight="1" thickBot="1">
      <c r="A8" s="2580" t="s">
        <v>164</v>
      </c>
      <c r="B8" s="2581"/>
      <c r="C8" s="2581"/>
      <c r="D8" s="2581"/>
      <c r="E8" s="2581"/>
      <c r="F8" s="2581"/>
      <c r="G8" s="2581"/>
      <c r="H8" s="2581"/>
      <c r="I8" s="2581"/>
      <c r="J8" s="2581"/>
      <c r="K8" s="2581"/>
      <c r="L8" s="2581"/>
      <c r="M8" s="2581"/>
      <c r="N8" s="2581"/>
      <c r="O8" s="2581"/>
      <c r="P8" s="2581"/>
      <c r="Q8" s="2581"/>
      <c r="R8" s="2581"/>
      <c r="S8" s="2582"/>
    </row>
    <row r="9" spans="1:21" ht="16.5" customHeight="1" thickBot="1">
      <c r="A9" s="2627" t="s">
        <v>134</v>
      </c>
      <c r="B9" s="2628"/>
      <c r="C9" s="2628"/>
      <c r="D9" s="2628"/>
      <c r="E9" s="2628"/>
      <c r="F9" s="2628"/>
      <c r="G9" s="2628"/>
      <c r="H9" s="2628"/>
      <c r="I9" s="2628"/>
      <c r="J9" s="2628"/>
      <c r="K9" s="2628"/>
      <c r="L9" s="2628"/>
      <c r="M9" s="2628"/>
      <c r="N9" s="2628"/>
      <c r="O9" s="2628"/>
      <c r="P9" s="2628"/>
      <c r="Q9" s="2628"/>
      <c r="R9" s="2628"/>
      <c r="S9" s="2629"/>
    </row>
    <row r="10" spans="1:21" ht="16.5" customHeight="1" thickBot="1">
      <c r="A10" s="259" t="s">
        <v>10</v>
      </c>
      <c r="B10" s="263">
        <f t="shared" ref="B10:B56" si="0">J10</f>
        <v>140</v>
      </c>
      <c r="C10" s="263" t="s">
        <v>3</v>
      </c>
      <c r="D10" s="263">
        <f t="shared" ref="D10:D56" si="1">K10</f>
        <v>160</v>
      </c>
      <c r="E10" s="263" t="s">
        <v>3</v>
      </c>
      <c r="F10" s="261">
        <f t="shared" ref="F10:F56" si="2">L10</f>
        <v>700</v>
      </c>
      <c r="G10" s="263" t="s">
        <v>3</v>
      </c>
      <c r="H10" s="260">
        <v>2</v>
      </c>
      <c r="I10" s="262" t="s">
        <v>581</v>
      </c>
      <c r="J10" s="112">
        <v>140</v>
      </c>
      <c r="K10" s="75">
        <v>160</v>
      </c>
      <c r="L10" s="75">
        <v>700</v>
      </c>
      <c r="M10" s="202">
        <v>6.7823233512341234</v>
      </c>
      <c r="N10" s="87">
        <v>748.10476649999998</v>
      </c>
      <c r="O10" s="123">
        <v>25817.172730005976</v>
      </c>
      <c r="P10" s="123">
        <v>30304.391147309525</v>
      </c>
      <c r="Q10" s="120">
        <v>6717.5327641181639</v>
      </c>
      <c r="R10" s="123">
        <v>32534.70549412414</v>
      </c>
      <c r="S10" s="123">
        <v>37021.923911427686</v>
      </c>
      <c r="U10" s="7" t="s">
        <v>6873</v>
      </c>
    </row>
    <row r="11" spans="1:21" ht="16.5" customHeight="1" thickBot="1">
      <c r="A11" s="259" t="s">
        <v>10</v>
      </c>
      <c r="B11" s="263">
        <f t="shared" si="0"/>
        <v>140</v>
      </c>
      <c r="C11" s="263" t="s">
        <v>3</v>
      </c>
      <c r="D11" s="263">
        <f t="shared" si="1"/>
        <v>160</v>
      </c>
      <c r="E11" s="263" t="s">
        <v>3</v>
      </c>
      <c r="F11" s="261">
        <f t="shared" si="2"/>
        <v>750</v>
      </c>
      <c r="G11" s="263" t="s">
        <v>3</v>
      </c>
      <c r="H11" s="260">
        <v>2</v>
      </c>
      <c r="I11" s="262" t="s">
        <v>581</v>
      </c>
      <c r="J11" s="112">
        <v>140</v>
      </c>
      <c r="K11" s="75">
        <v>160</v>
      </c>
      <c r="L11" s="75">
        <v>750</v>
      </c>
      <c r="M11" s="202">
        <v>7.1839578856632489</v>
      </c>
      <c r="N11" s="87">
        <v>854.97687600000017</v>
      </c>
      <c r="O11" s="123">
        <v>27362.982390748333</v>
      </c>
      <c r="P11" s="123">
        <v>32096.144034458492</v>
      </c>
      <c r="Q11" s="120">
        <v>7027.1568473491143</v>
      </c>
      <c r="R11" s="123">
        <v>34390.13923809745</v>
      </c>
      <c r="S11" s="123">
        <v>39123.300881807605</v>
      </c>
      <c r="U11" s="7" t="s">
        <v>6874</v>
      </c>
    </row>
    <row r="12" spans="1:21" ht="16.5" customHeight="1" thickBot="1">
      <c r="A12" s="259" t="s">
        <v>10</v>
      </c>
      <c r="B12" s="263">
        <f t="shared" si="0"/>
        <v>140</v>
      </c>
      <c r="C12" s="263" t="s">
        <v>3</v>
      </c>
      <c r="D12" s="263">
        <f t="shared" si="1"/>
        <v>160</v>
      </c>
      <c r="E12" s="263" t="s">
        <v>3</v>
      </c>
      <c r="F12" s="261">
        <f t="shared" si="2"/>
        <v>800</v>
      </c>
      <c r="G12" s="263" t="s">
        <v>3</v>
      </c>
      <c r="H12" s="260">
        <v>2</v>
      </c>
      <c r="I12" s="262" t="s">
        <v>581</v>
      </c>
      <c r="J12" s="112">
        <v>140</v>
      </c>
      <c r="K12" s="75">
        <v>160</v>
      </c>
      <c r="L12" s="75">
        <v>800</v>
      </c>
      <c r="M12" s="202">
        <v>7.5855924200923734</v>
      </c>
      <c r="N12" s="87">
        <v>961.84898550000003</v>
      </c>
      <c r="O12" s="123">
        <v>28908.792051490691</v>
      </c>
      <c r="P12" s="123">
        <v>33887.896921607462</v>
      </c>
      <c r="Q12" s="120">
        <v>7336.7809305800638</v>
      </c>
      <c r="R12" s="123">
        <v>36245.572982070757</v>
      </c>
      <c r="S12" s="123">
        <v>41224.677852187524</v>
      </c>
      <c r="U12" s="7" t="s">
        <v>6875</v>
      </c>
    </row>
    <row r="13" spans="1:21" ht="16.5" customHeight="1" thickBot="1">
      <c r="A13" s="259" t="s">
        <v>10</v>
      </c>
      <c r="B13" s="263">
        <f t="shared" si="0"/>
        <v>140</v>
      </c>
      <c r="C13" s="263" t="s">
        <v>3</v>
      </c>
      <c r="D13" s="263">
        <f t="shared" si="1"/>
        <v>160</v>
      </c>
      <c r="E13" s="263" t="s">
        <v>3</v>
      </c>
      <c r="F13" s="261">
        <f t="shared" si="2"/>
        <v>850</v>
      </c>
      <c r="G13" s="263" t="s">
        <v>3</v>
      </c>
      <c r="H13" s="260">
        <v>2</v>
      </c>
      <c r="I13" s="262" t="s">
        <v>581</v>
      </c>
      <c r="J13" s="112">
        <v>140</v>
      </c>
      <c r="K13" s="75">
        <v>160</v>
      </c>
      <c r="L13" s="75">
        <v>850</v>
      </c>
      <c r="M13" s="202">
        <v>8.0034149545214976</v>
      </c>
      <c r="N13" s="87">
        <v>1068.7210950000001</v>
      </c>
      <c r="O13" s="123">
        <v>30454.601712233049</v>
      </c>
      <c r="P13" s="123">
        <v>35679.649808756432</v>
      </c>
      <c r="Q13" s="120">
        <v>7876.9867915942896</v>
      </c>
      <c r="R13" s="123">
        <v>38331.588503827341</v>
      </c>
      <c r="S13" s="123">
        <v>43556.636600350721</v>
      </c>
      <c r="U13" s="7" t="s">
        <v>6876</v>
      </c>
    </row>
    <row r="14" spans="1:21" ht="16.5" customHeight="1" thickBot="1">
      <c r="A14" s="259" t="s">
        <v>10</v>
      </c>
      <c r="B14" s="263">
        <f t="shared" si="0"/>
        <v>140</v>
      </c>
      <c r="C14" s="263" t="s">
        <v>3</v>
      </c>
      <c r="D14" s="263">
        <f t="shared" si="1"/>
        <v>160</v>
      </c>
      <c r="E14" s="263" t="s">
        <v>3</v>
      </c>
      <c r="F14" s="261">
        <f t="shared" si="2"/>
        <v>900</v>
      </c>
      <c r="G14" s="263" t="s">
        <v>3</v>
      </c>
      <c r="H14" s="260">
        <v>2</v>
      </c>
      <c r="I14" s="262" t="s">
        <v>581</v>
      </c>
      <c r="J14" s="112">
        <v>140</v>
      </c>
      <c r="K14" s="75">
        <v>160</v>
      </c>
      <c r="L14" s="75">
        <v>900</v>
      </c>
      <c r="M14" s="202">
        <v>8.5560994889506254</v>
      </c>
      <c r="N14" s="87">
        <v>1175.5932045000002</v>
      </c>
      <c r="O14" s="123">
        <v>32000.41137297541</v>
      </c>
      <c r="P14" s="123">
        <v>37471.402826471225</v>
      </c>
      <c r="Q14" s="120">
        <v>8186.6107344318762</v>
      </c>
      <c r="R14" s="123">
        <v>40187.022107407283</v>
      </c>
      <c r="S14" s="123">
        <v>45658.013560903099</v>
      </c>
      <c r="U14" s="7" t="s">
        <v>6877</v>
      </c>
    </row>
    <row r="15" spans="1:21" ht="16.5" customHeight="1" thickBot="1">
      <c r="A15" s="259" t="s">
        <v>10</v>
      </c>
      <c r="B15" s="263">
        <f t="shared" si="0"/>
        <v>140</v>
      </c>
      <c r="C15" s="263" t="s">
        <v>3</v>
      </c>
      <c r="D15" s="263">
        <f t="shared" si="1"/>
        <v>160</v>
      </c>
      <c r="E15" s="263" t="s">
        <v>3</v>
      </c>
      <c r="F15" s="261">
        <f t="shared" si="2"/>
        <v>950</v>
      </c>
      <c r="G15" s="263" t="s">
        <v>3</v>
      </c>
      <c r="H15" s="260">
        <v>2</v>
      </c>
      <c r="I15" s="262" t="s">
        <v>581</v>
      </c>
      <c r="J15" s="112">
        <v>140</v>
      </c>
      <c r="K15" s="75">
        <v>160</v>
      </c>
      <c r="L15" s="75">
        <v>950</v>
      </c>
      <c r="M15" s="202">
        <v>8.9739220233797479</v>
      </c>
      <c r="N15" s="87">
        <v>1282.465314</v>
      </c>
      <c r="O15" s="123">
        <v>33546.221033717768</v>
      </c>
      <c r="P15" s="123">
        <v>39263.155713620195</v>
      </c>
      <c r="Q15" s="120">
        <v>8726.8165954461019</v>
      </c>
      <c r="R15" s="123">
        <v>42273.037629163868</v>
      </c>
      <c r="S15" s="123">
        <v>47989.972309066296</v>
      </c>
      <c r="U15" s="7" t="s">
        <v>6878</v>
      </c>
    </row>
    <row r="16" spans="1:21" s="7" customFormat="1" ht="16.5" customHeight="1" thickBot="1">
      <c r="A16" s="259" t="s">
        <v>10</v>
      </c>
      <c r="B16" s="263">
        <f t="shared" si="0"/>
        <v>140</v>
      </c>
      <c r="C16" s="263" t="s">
        <v>3</v>
      </c>
      <c r="D16" s="263">
        <f t="shared" si="1"/>
        <v>160</v>
      </c>
      <c r="E16" s="263" t="s">
        <v>3</v>
      </c>
      <c r="F16" s="261">
        <f t="shared" si="2"/>
        <v>1000</v>
      </c>
      <c r="G16" s="263" t="s">
        <v>3</v>
      </c>
      <c r="H16" s="260">
        <v>2</v>
      </c>
      <c r="I16" s="262" t="s">
        <v>581</v>
      </c>
      <c r="J16" s="112">
        <v>140</v>
      </c>
      <c r="K16" s="75">
        <v>160</v>
      </c>
      <c r="L16" s="75">
        <v>1000</v>
      </c>
      <c r="M16" s="202">
        <v>9.3755565578088724</v>
      </c>
      <c r="N16" s="87">
        <v>1389.3374235000001</v>
      </c>
      <c r="O16" s="123">
        <v>34996.898537506459</v>
      </c>
      <c r="P16" s="123">
        <v>40957.453745139755</v>
      </c>
      <c r="Q16" s="120">
        <v>9036.4406786770523</v>
      </c>
      <c r="R16" s="123">
        <v>44033.339216183507</v>
      </c>
      <c r="S16" s="123">
        <v>49993.894423816804</v>
      </c>
      <c r="U16" s="7" t="s">
        <v>6879</v>
      </c>
    </row>
    <row r="17" spans="1:21" s="7" customFormat="1" ht="16.5" customHeight="1" thickBot="1">
      <c r="A17" s="259" t="s">
        <v>10</v>
      </c>
      <c r="B17" s="263">
        <f t="shared" si="0"/>
        <v>140</v>
      </c>
      <c r="C17" s="263" t="s">
        <v>3</v>
      </c>
      <c r="D17" s="263">
        <f t="shared" si="1"/>
        <v>160</v>
      </c>
      <c r="E17" s="263" t="s">
        <v>3</v>
      </c>
      <c r="F17" s="261">
        <f t="shared" si="2"/>
        <v>1050</v>
      </c>
      <c r="G17" s="263" t="s">
        <v>3</v>
      </c>
      <c r="H17" s="260">
        <v>2</v>
      </c>
      <c r="I17" s="262" t="s">
        <v>581</v>
      </c>
      <c r="J17" s="112">
        <v>140</v>
      </c>
      <c r="K17" s="75">
        <v>160</v>
      </c>
      <c r="L17" s="75">
        <v>1050</v>
      </c>
      <c r="M17" s="202">
        <v>9.7933790922380002</v>
      </c>
      <c r="N17" s="87">
        <v>1496.209533</v>
      </c>
      <c r="O17" s="123">
        <v>36768.64692184583</v>
      </c>
      <c r="P17" s="123">
        <v>42980.661979691482</v>
      </c>
      <c r="Q17" s="120">
        <v>9576.6465396912772</v>
      </c>
      <c r="R17" s="123">
        <v>46345.293461537105</v>
      </c>
      <c r="S17" s="123">
        <v>52557.308519382757</v>
      </c>
      <c r="U17" s="7" t="s">
        <v>6880</v>
      </c>
    </row>
    <row r="18" spans="1:21" s="7" customFormat="1" ht="16.5" customHeight="1" thickBot="1">
      <c r="A18" s="259" t="s">
        <v>10</v>
      </c>
      <c r="B18" s="260">
        <f t="shared" si="0"/>
        <v>140</v>
      </c>
      <c r="C18" s="260" t="s">
        <v>3</v>
      </c>
      <c r="D18" s="260">
        <f t="shared" si="1"/>
        <v>160</v>
      </c>
      <c r="E18" s="260" t="s">
        <v>3</v>
      </c>
      <c r="F18" s="261">
        <f t="shared" si="2"/>
        <v>1100</v>
      </c>
      <c r="G18" s="260" t="s">
        <v>3</v>
      </c>
      <c r="H18" s="260">
        <v>2</v>
      </c>
      <c r="I18" s="262" t="s">
        <v>581</v>
      </c>
      <c r="J18" s="112">
        <v>140</v>
      </c>
      <c r="K18" s="75">
        <v>160</v>
      </c>
      <c r="L18" s="75">
        <v>1100</v>
      </c>
      <c r="M18" s="202">
        <v>10.195013626667125</v>
      </c>
      <c r="N18" s="87">
        <v>1603.0816425</v>
      </c>
      <c r="O18" s="123">
        <v>38314.456582588187</v>
      </c>
      <c r="P18" s="123">
        <v>44772.414866840452</v>
      </c>
      <c r="Q18" s="120">
        <v>9886.2704825288656</v>
      </c>
      <c r="R18" s="123">
        <v>48200.727065117055</v>
      </c>
      <c r="S18" s="123">
        <v>54658.68534936932</v>
      </c>
      <c r="U18" s="7" t="s">
        <v>6881</v>
      </c>
    </row>
    <row r="19" spans="1:21" s="7" customFormat="1" ht="16.5" customHeight="1" thickBot="1">
      <c r="A19" s="259" t="s">
        <v>10</v>
      </c>
      <c r="B19" s="263">
        <f t="shared" si="0"/>
        <v>140</v>
      </c>
      <c r="C19" s="263" t="s">
        <v>3</v>
      </c>
      <c r="D19" s="263">
        <f t="shared" si="1"/>
        <v>160</v>
      </c>
      <c r="E19" s="263" t="s">
        <v>3</v>
      </c>
      <c r="F19" s="261">
        <f t="shared" si="2"/>
        <v>1150</v>
      </c>
      <c r="G19" s="263" t="s">
        <v>3</v>
      </c>
      <c r="H19" s="260">
        <v>2</v>
      </c>
      <c r="I19" s="262" t="s">
        <v>581</v>
      </c>
      <c r="J19" s="112">
        <v>140</v>
      </c>
      <c r="K19" s="75">
        <v>160</v>
      </c>
      <c r="L19" s="75">
        <v>1150</v>
      </c>
      <c r="M19" s="202">
        <v>10.596648161096248</v>
      </c>
      <c r="N19" s="87">
        <v>1709.9537520000003</v>
      </c>
      <c r="O19" s="123">
        <v>39104.923671443088</v>
      </c>
      <c r="P19" s="123">
        <v>45790.382827813301</v>
      </c>
      <c r="Q19" s="120">
        <v>10195.894565759814</v>
      </c>
      <c r="R19" s="123">
        <v>49300.818237202904</v>
      </c>
      <c r="S19" s="123">
        <v>55986.277393573117</v>
      </c>
      <c r="U19" s="7" t="s">
        <v>6882</v>
      </c>
    </row>
    <row r="20" spans="1:21" s="7" customFormat="1" ht="16.5" customHeight="1" thickBot="1">
      <c r="A20" s="259" t="s">
        <v>10</v>
      </c>
      <c r="B20" s="263">
        <f t="shared" si="0"/>
        <v>140</v>
      </c>
      <c r="C20" s="263" t="s">
        <v>3</v>
      </c>
      <c r="D20" s="263">
        <f t="shared" si="1"/>
        <v>160</v>
      </c>
      <c r="E20" s="263" t="s">
        <v>3</v>
      </c>
      <c r="F20" s="261">
        <f t="shared" si="2"/>
        <v>1200</v>
      </c>
      <c r="G20" s="263" t="s">
        <v>3</v>
      </c>
      <c r="H20" s="260">
        <v>2</v>
      </c>
      <c r="I20" s="262" t="s">
        <v>581</v>
      </c>
      <c r="J20" s="112">
        <v>140</v>
      </c>
      <c r="K20" s="75">
        <v>160</v>
      </c>
      <c r="L20" s="75">
        <v>1200</v>
      </c>
      <c r="M20" s="202">
        <v>11.051758195525373</v>
      </c>
      <c r="N20" s="87">
        <v>1816.8258615</v>
      </c>
      <c r="O20" s="123">
        <v>39930.529836057111</v>
      </c>
      <c r="P20" s="123">
        <v>46844.347656758684</v>
      </c>
      <c r="Q20" s="120">
        <v>10736.100426774039</v>
      </c>
      <c r="R20" s="123">
        <v>50666.630262831153</v>
      </c>
      <c r="S20" s="123">
        <v>57580.448083532727</v>
      </c>
      <c r="U20" s="7" t="s">
        <v>6883</v>
      </c>
    </row>
    <row r="21" spans="1:21" s="7" customFormat="1" ht="16.5" customHeight="1" thickBot="1">
      <c r="A21" s="259" t="s">
        <v>10</v>
      </c>
      <c r="B21" s="263">
        <f t="shared" si="0"/>
        <v>140</v>
      </c>
      <c r="C21" s="263" t="s">
        <v>3</v>
      </c>
      <c r="D21" s="263">
        <f t="shared" si="1"/>
        <v>160</v>
      </c>
      <c r="E21" s="263" t="s">
        <v>3</v>
      </c>
      <c r="F21" s="261">
        <f t="shared" si="2"/>
        <v>1250</v>
      </c>
      <c r="G21" s="263" t="s">
        <v>3</v>
      </c>
      <c r="H21" s="260">
        <v>2</v>
      </c>
      <c r="I21" s="262" t="s">
        <v>581</v>
      </c>
      <c r="J21" s="112">
        <v>140</v>
      </c>
      <c r="K21" s="75">
        <v>160</v>
      </c>
      <c r="L21" s="75">
        <v>1250</v>
      </c>
      <c r="M21" s="202">
        <v>12.272292729954499</v>
      </c>
      <c r="N21" s="87">
        <v>1923.6979710000001</v>
      </c>
      <c r="O21" s="123">
        <v>40720.516007448772</v>
      </c>
      <c r="P21" s="123">
        <v>47861.822731734144</v>
      </c>
      <c r="Q21" s="120">
        <v>11045.724510004989</v>
      </c>
      <c r="R21" s="123">
        <v>51766.240517453763</v>
      </c>
      <c r="S21" s="123">
        <v>58907.547241739136</v>
      </c>
      <c r="U21" s="7" t="s">
        <v>6884</v>
      </c>
    </row>
    <row r="22" spans="1:21" s="7" customFormat="1" ht="16.5" customHeight="1" thickBot="1">
      <c r="A22" s="259" t="s">
        <v>10</v>
      </c>
      <c r="B22" s="263">
        <f t="shared" si="0"/>
        <v>140</v>
      </c>
      <c r="C22" s="263" t="s">
        <v>3</v>
      </c>
      <c r="D22" s="263">
        <f t="shared" si="1"/>
        <v>160</v>
      </c>
      <c r="E22" s="263" t="s">
        <v>3</v>
      </c>
      <c r="F22" s="261">
        <f t="shared" si="2"/>
        <v>1300</v>
      </c>
      <c r="G22" s="263" t="s">
        <v>3</v>
      </c>
      <c r="H22" s="260">
        <v>2</v>
      </c>
      <c r="I22" s="262" t="s">
        <v>581</v>
      </c>
      <c r="J22" s="112">
        <v>140</v>
      </c>
      <c r="K22" s="75">
        <v>160</v>
      </c>
      <c r="L22" s="75">
        <v>1300</v>
      </c>
      <c r="M22" s="202">
        <v>12.690115264383625</v>
      </c>
      <c r="N22" s="87">
        <v>2030.5700804999999</v>
      </c>
      <c r="O22" s="123">
        <v>43962.885650178483</v>
      </c>
      <c r="P22" s="123">
        <v>51391.559017671287</v>
      </c>
      <c r="Q22" s="120">
        <v>11585.930230625852</v>
      </c>
      <c r="R22" s="123">
        <v>55548.815880804337</v>
      </c>
      <c r="S22" s="123">
        <v>62977.489248297141</v>
      </c>
      <c r="U22" s="7" t="s">
        <v>6885</v>
      </c>
    </row>
    <row r="23" spans="1:21" s="7" customFormat="1" ht="16.5" customHeight="1" thickBot="1">
      <c r="A23" s="259" t="s">
        <v>10</v>
      </c>
      <c r="B23" s="263">
        <f t="shared" si="0"/>
        <v>140</v>
      </c>
      <c r="C23" s="263" t="s">
        <v>3</v>
      </c>
      <c r="D23" s="263">
        <f t="shared" si="1"/>
        <v>160</v>
      </c>
      <c r="E23" s="263" t="s">
        <v>3</v>
      </c>
      <c r="F23" s="261">
        <f t="shared" si="2"/>
        <v>1350</v>
      </c>
      <c r="G23" s="263" t="s">
        <v>3</v>
      </c>
      <c r="H23" s="260">
        <v>2</v>
      </c>
      <c r="I23" s="262" t="s">
        <v>581</v>
      </c>
      <c r="J23" s="112">
        <v>140</v>
      </c>
      <c r="K23" s="75">
        <v>160</v>
      </c>
      <c r="L23" s="75">
        <v>1350</v>
      </c>
      <c r="M23" s="202">
        <v>13.091749798812749</v>
      </c>
      <c r="N23" s="87">
        <v>2137.4421900000002</v>
      </c>
      <c r="O23" s="123">
        <v>45002.568106520106</v>
      </c>
      <c r="P23" s="123">
        <v>52664.827171357247</v>
      </c>
      <c r="Q23" s="120">
        <v>11895.554313856801</v>
      </c>
      <c r="R23" s="123">
        <v>56898.122420376909</v>
      </c>
      <c r="S23" s="123">
        <v>64560.381485214049</v>
      </c>
      <c r="U23" s="7" t="s">
        <v>6886</v>
      </c>
    </row>
    <row r="24" spans="1:21" s="7" customFormat="1" ht="16.5" customHeight="1" thickBot="1">
      <c r="A24" s="259" t="s">
        <v>10</v>
      </c>
      <c r="B24" s="263">
        <f t="shared" si="0"/>
        <v>140</v>
      </c>
      <c r="C24" s="263" t="s">
        <v>3</v>
      </c>
      <c r="D24" s="263">
        <f t="shared" si="1"/>
        <v>160</v>
      </c>
      <c r="E24" s="263" t="s">
        <v>3</v>
      </c>
      <c r="F24" s="261">
        <f t="shared" si="2"/>
        <v>1400</v>
      </c>
      <c r="G24" s="263" t="s">
        <v>3</v>
      </c>
      <c r="H24" s="260">
        <v>2</v>
      </c>
      <c r="I24" s="262" t="s">
        <v>581</v>
      </c>
      <c r="J24" s="112">
        <v>140</v>
      </c>
      <c r="K24" s="75">
        <v>160</v>
      </c>
      <c r="L24" s="75">
        <v>1400</v>
      </c>
      <c r="M24" s="202">
        <v>13.509572333241872</v>
      </c>
      <c r="N24" s="87">
        <v>2244.3142995000003</v>
      </c>
      <c r="O24" s="123">
        <v>46369.267277805993</v>
      </c>
      <c r="P24" s="123">
        <v>54273.096293344941</v>
      </c>
      <c r="Q24" s="120">
        <v>12435.760174871028</v>
      </c>
      <c r="R24" s="123">
        <v>58805.027452677023</v>
      </c>
      <c r="S24" s="123">
        <v>66708.856468215963</v>
      </c>
      <c r="U24" s="7" t="s">
        <v>6887</v>
      </c>
    </row>
    <row r="25" spans="1:21" s="7" customFormat="1" ht="16.5" customHeight="1" thickBot="1">
      <c r="A25" s="259" t="s">
        <v>10</v>
      </c>
      <c r="B25" s="263">
        <f t="shared" si="0"/>
        <v>140</v>
      </c>
      <c r="C25" s="263" t="s">
        <v>3</v>
      </c>
      <c r="D25" s="263">
        <f t="shared" si="1"/>
        <v>160</v>
      </c>
      <c r="E25" s="263" t="s">
        <v>3</v>
      </c>
      <c r="F25" s="261">
        <f t="shared" si="2"/>
        <v>1450</v>
      </c>
      <c r="G25" s="263" t="s">
        <v>3</v>
      </c>
      <c r="H25" s="260">
        <v>2</v>
      </c>
      <c r="I25" s="262" t="s">
        <v>581</v>
      </c>
      <c r="J25" s="112">
        <v>140</v>
      </c>
      <c r="K25" s="75">
        <v>160</v>
      </c>
      <c r="L25" s="75">
        <v>1450</v>
      </c>
      <c r="M25" s="202">
        <v>13.911206867671</v>
      </c>
      <c r="N25" s="87">
        <v>2351.1864090000004</v>
      </c>
      <c r="O25" s="123">
        <v>47408.949734147616</v>
      </c>
      <c r="P25" s="123">
        <v>55546.364447030901</v>
      </c>
      <c r="Q25" s="120">
        <v>12745.384258101978</v>
      </c>
      <c r="R25" s="123">
        <v>60154.333992249594</v>
      </c>
      <c r="S25" s="123">
        <v>68291.748705132879</v>
      </c>
      <c r="U25" s="7" t="s">
        <v>6888</v>
      </c>
    </row>
    <row r="26" spans="1:21" s="7" customFormat="1" ht="16.5" customHeight="1" thickBot="1">
      <c r="A26" s="259" t="s">
        <v>10</v>
      </c>
      <c r="B26" s="263">
        <f t="shared" si="0"/>
        <v>140</v>
      </c>
      <c r="C26" s="263" t="s">
        <v>3</v>
      </c>
      <c r="D26" s="263">
        <f t="shared" si="1"/>
        <v>160</v>
      </c>
      <c r="E26" s="263" t="s">
        <v>3</v>
      </c>
      <c r="F26" s="261">
        <f t="shared" si="2"/>
        <v>1500</v>
      </c>
      <c r="G26" s="263" t="s">
        <v>3</v>
      </c>
      <c r="H26" s="260">
        <v>2</v>
      </c>
      <c r="I26" s="262" t="s">
        <v>581</v>
      </c>
      <c r="J26" s="112">
        <v>140</v>
      </c>
      <c r="K26" s="75">
        <v>160</v>
      </c>
      <c r="L26" s="75">
        <v>1500</v>
      </c>
      <c r="M26" s="202">
        <v>14.167121253562124</v>
      </c>
      <c r="N26" s="87">
        <v>2458.0585184999995</v>
      </c>
      <c r="O26" s="123">
        <v>48852.67159620428</v>
      </c>
      <c r="P26" s="123">
        <v>57303.651350530374</v>
      </c>
      <c r="Q26" s="120">
        <v>13285.589978722841</v>
      </c>
      <c r="R26" s="123">
        <v>62138.261574927121</v>
      </c>
      <c r="S26" s="123">
        <v>70589.241329253215</v>
      </c>
      <c r="U26" s="7" t="s">
        <v>6889</v>
      </c>
    </row>
    <row r="27" spans="1:21" s="7" customFormat="1" ht="16.5" customHeight="1" thickBot="1">
      <c r="A27" s="259" t="s">
        <v>10</v>
      </c>
      <c r="B27" s="263">
        <f t="shared" si="0"/>
        <v>140</v>
      </c>
      <c r="C27" s="263" t="s">
        <v>3</v>
      </c>
      <c r="D27" s="263">
        <f t="shared" si="1"/>
        <v>160</v>
      </c>
      <c r="E27" s="263" t="s">
        <v>3</v>
      </c>
      <c r="F27" s="261">
        <f t="shared" si="2"/>
        <v>1550</v>
      </c>
      <c r="G27" s="263" t="s">
        <v>3</v>
      </c>
      <c r="H27" s="260">
        <v>2</v>
      </c>
      <c r="I27" s="262" t="s">
        <v>581</v>
      </c>
      <c r="J27" s="112">
        <v>140</v>
      </c>
      <c r="K27" s="75">
        <v>160</v>
      </c>
      <c r="L27" s="75">
        <v>1550</v>
      </c>
      <c r="M27" s="202">
        <v>14.568755787991247</v>
      </c>
      <c r="N27" s="87">
        <v>2564.9306280000001</v>
      </c>
      <c r="O27" s="123">
        <v>49892.354171880273</v>
      </c>
      <c r="P27" s="123">
        <v>58576.919504216341</v>
      </c>
      <c r="Q27" s="120">
        <v>13595.214061953789</v>
      </c>
      <c r="R27" s="123">
        <v>63487.568233834063</v>
      </c>
      <c r="S27" s="123">
        <v>72172.133566170131</v>
      </c>
      <c r="U27" s="7" t="s">
        <v>6890</v>
      </c>
    </row>
    <row r="28" spans="1:21" s="7" customFormat="1" ht="16.5" customHeight="1" thickBot="1">
      <c r="A28" s="259" t="s">
        <v>10</v>
      </c>
      <c r="B28" s="260">
        <f t="shared" si="0"/>
        <v>140</v>
      </c>
      <c r="C28" s="260" t="s">
        <v>3</v>
      </c>
      <c r="D28" s="260">
        <f t="shared" si="1"/>
        <v>160</v>
      </c>
      <c r="E28" s="260" t="s">
        <v>3</v>
      </c>
      <c r="F28" s="261">
        <f t="shared" si="2"/>
        <v>1600</v>
      </c>
      <c r="G28" s="260" t="s">
        <v>3</v>
      </c>
      <c r="H28" s="260">
        <v>2</v>
      </c>
      <c r="I28" s="262" t="s">
        <v>581</v>
      </c>
      <c r="J28" s="112">
        <v>140</v>
      </c>
      <c r="K28" s="75">
        <v>160</v>
      </c>
      <c r="L28" s="75">
        <v>1600</v>
      </c>
      <c r="M28" s="202">
        <v>14.970390322420373</v>
      </c>
      <c r="N28" s="87">
        <v>2671.8027375000001</v>
      </c>
      <c r="O28" s="123">
        <v>52878.078093314587</v>
      </c>
      <c r="P28" s="123">
        <v>61843.743740284815</v>
      </c>
      <c r="Q28" s="120">
        <v>13904.83814518474</v>
      </c>
      <c r="R28" s="123">
        <v>66782.916238499325</v>
      </c>
      <c r="S28" s="123">
        <v>75748.581885469554</v>
      </c>
      <c r="U28" s="7" t="s">
        <v>6891</v>
      </c>
    </row>
    <row r="29" spans="1:21" s="7" customFormat="1" ht="16.5" customHeight="1" thickBot="1">
      <c r="A29" s="259" t="s">
        <v>10</v>
      </c>
      <c r="B29" s="263">
        <f t="shared" si="0"/>
        <v>140</v>
      </c>
      <c r="C29" s="263" t="s">
        <v>3</v>
      </c>
      <c r="D29" s="263">
        <f t="shared" si="1"/>
        <v>160</v>
      </c>
      <c r="E29" s="263" t="s">
        <v>3</v>
      </c>
      <c r="F29" s="261">
        <f t="shared" si="2"/>
        <v>1650</v>
      </c>
      <c r="G29" s="263" t="s">
        <v>3</v>
      </c>
      <c r="H29" s="260">
        <v>2</v>
      </c>
      <c r="I29" s="262" t="s">
        <v>581</v>
      </c>
      <c r="J29" s="112">
        <v>140</v>
      </c>
      <c r="K29" s="75">
        <v>160</v>
      </c>
      <c r="L29" s="75">
        <v>1650</v>
      </c>
      <c r="M29" s="202">
        <v>15.388212856849503</v>
      </c>
      <c r="N29" s="87">
        <v>2778.6748470000002</v>
      </c>
      <c r="O29" s="123">
        <v>56116.062079048846</v>
      </c>
      <c r="P29" s="123">
        <v>65368.987256110588</v>
      </c>
      <c r="Q29" s="120">
        <v>14445.044006198967</v>
      </c>
      <c r="R29" s="123">
        <v>70561.106085247811</v>
      </c>
      <c r="S29" s="123">
        <v>79814.031262309552</v>
      </c>
      <c r="U29" s="7" t="s">
        <v>6892</v>
      </c>
    </row>
    <row r="30" spans="1:21" s="7" customFormat="1" ht="16.5" customHeight="1" thickBot="1">
      <c r="A30" s="259" t="s">
        <v>10</v>
      </c>
      <c r="B30" s="263">
        <f t="shared" si="0"/>
        <v>140</v>
      </c>
      <c r="C30" s="263" t="s">
        <v>3</v>
      </c>
      <c r="D30" s="263">
        <f t="shared" si="1"/>
        <v>160</v>
      </c>
      <c r="E30" s="263" t="s">
        <v>3</v>
      </c>
      <c r="F30" s="261">
        <f t="shared" si="2"/>
        <v>1700</v>
      </c>
      <c r="G30" s="263" t="s">
        <v>3</v>
      </c>
      <c r="H30" s="260">
        <v>2</v>
      </c>
      <c r="I30" s="262" t="s">
        <v>581</v>
      </c>
      <c r="J30" s="112">
        <v>140</v>
      </c>
      <c r="K30" s="75">
        <v>160</v>
      </c>
      <c r="L30" s="75">
        <v>1700</v>
      </c>
      <c r="M30" s="202">
        <v>16.608747391278627</v>
      </c>
      <c r="N30" s="87">
        <v>2885.5469565000003</v>
      </c>
      <c r="O30" s="123">
        <v>56950.59719834086</v>
      </c>
      <c r="P30" s="123">
        <v>66432.099135206867</v>
      </c>
      <c r="Q30" s="120">
        <v>14754.667949036411</v>
      </c>
      <c r="R30" s="123">
        <v>71705.265147377271</v>
      </c>
      <c r="S30" s="123">
        <v>81186.767084243271</v>
      </c>
      <c r="U30" s="7" t="s">
        <v>6893</v>
      </c>
    </row>
    <row r="31" spans="1:21" s="7" customFormat="1" ht="16.5" customHeight="1" thickBot="1">
      <c r="A31" s="259" t="s">
        <v>10</v>
      </c>
      <c r="B31" s="263">
        <f t="shared" si="0"/>
        <v>140</v>
      </c>
      <c r="C31" s="263" t="s">
        <v>3</v>
      </c>
      <c r="D31" s="263">
        <f t="shared" si="1"/>
        <v>160</v>
      </c>
      <c r="E31" s="263" t="s">
        <v>3</v>
      </c>
      <c r="F31" s="261">
        <f t="shared" si="2"/>
        <v>1750</v>
      </c>
      <c r="G31" s="263" t="s">
        <v>3</v>
      </c>
      <c r="H31" s="260">
        <v>2</v>
      </c>
      <c r="I31" s="262" t="s">
        <v>581</v>
      </c>
      <c r="J31" s="112">
        <v>140</v>
      </c>
      <c r="K31" s="75">
        <v>160</v>
      </c>
      <c r="L31" s="75">
        <v>1750</v>
      </c>
      <c r="M31" s="202">
        <v>17.026569925707747</v>
      </c>
      <c r="N31" s="87">
        <v>2992.4190659999999</v>
      </c>
      <c r="O31" s="123">
        <v>57708.978619657966</v>
      </c>
      <c r="P31" s="123">
        <v>67417.197802030132</v>
      </c>
      <c r="Q31" s="120">
        <v>15294.87381005078</v>
      </c>
      <c r="R31" s="123">
        <v>73003.852429708742</v>
      </c>
      <c r="S31" s="123">
        <v>82712.071612080908</v>
      </c>
      <c r="U31" s="7" t="s">
        <v>6894</v>
      </c>
    </row>
    <row r="32" spans="1:21" s="7" customFormat="1" ht="16.5" customHeight="1" thickBot="1">
      <c r="A32" s="259" t="s">
        <v>10</v>
      </c>
      <c r="B32" s="263">
        <f t="shared" si="0"/>
        <v>140</v>
      </c>
      <c r="C32" s="263" t="s">
        <v>3</v>
      </c>
      <c r="D32" s="263">
        <f t="shared" si="1"/>
        <v>160</v>
      </c>
      <c r="E32" s="263" t="s">
        <v>3</v>
      </c>
      <c r="F32" s="261">
        <f t="shared" si="2"/>
        <v>1800</v>
      </c>
      <c r="G32" s="263" t="s">
        <v>3</v>
      </c>
      <c r="H32" s="260">
        <v>2</v>
      </c>
      <c r="I32" s="262" t="s">
        <v>581</v>
      </c>
      <c r="J32" s="112">
        <v>140</v>
      </c>
      <c r="K32" s="75">
        <v>160</v>
      </c>
      <c r="L32" s="75">
        <v>1800</v>
      </c>
      <c r="M32" s="202">
        <v>17.428204460136872</v>
      </c>
      <c r="N32" s="87">
        <v>3099.2911755</v>
      </c>
      <c r="O32" s="123">
        <v>58544.210293598364</v>
      </c>
      <c r="P32" s="123">
        <v>68481.023223371652</v>
      </c>
      <c r="Q32" s="120">
        <v>15604.497893281728</v>
      </c>
      <c r="R32" s="123">
        <v>74148.708186880089</v>
      </c>
      <c r="S32" s="123">
        <v>84085.521116653385</v>
      </c>
      <c r="U32" s="7" t="s">
        <v>6895</v>
      </c>
    </row>
    <row r="33" spans="1:21" s="7" customFormat="1" ht="16.5" customHeight="1" thickBot="1">
      <c r="A33" s="259" t="s">
        <v>10</v>
      </c>
      <c r="B33" s="263">
        <f t="shared" si="0"/>
        <v>140</v>
      </c>
      <c r="C33" s="263" t="s">
        <v>3</v>
      </c>
      <c r="D33" s="263">
        <f t="shared" si="1"/>
        <v>160</v>
      </c>
      <c r="E33" s="263" t="s">
        <v>3</v>
      </c>
      <c r="F33" s="261">
        <f t="shared" si="2"/>
        <v>1850</v>
      </c>
      <c r="G33" s="263" t="s">
        <v>3</v>
      </c>
      <c r="H33" s="260">
        <v>2</v>
      </c>
      <c r="I33" s="262" t="s">
        <v>581</v>
      </c>
      <c r="J33" s="112">
        <v>140</v>
      </c>
      <c r="K33" s="75">
        <v>160</v>
      </c>
      <c r="L33" s="75">
        <v>1850</v>
      </c>
      <c r="M33" s="202">
        <v>17.846026994565996</v>
      </c>
      <c r="N33" s="87">
        <v>3206.1632850000001</v>
      </c>
      <c r="O33" s="123">
        <v>59379.393875792426</v>
      </c>
      <c r="P33" s="123">
        <v>69544.799421396354</v>
      </c>
      <c r="Q33" s="120">
        <v>16144.703754295953</v>
      </c>
      <c r="R33" s="123">
        <v>75524.097630088378</v>
      </c>
      <c r="S33" s="123">
        <v>85689.503175692313</v>
      </c>
      <c r="U33" s="7" t="s">
        <v>6896</v>
      </c>
    </row>
    <row r="34" spans="1:21" s="7" customFormat="1" ht="16.5" customHeight="1" thickBot="1">
      <c r="A34" s="259" t="s">
        <v>10</v>
      </c>
      <c r="B34" s="263">
        <f t="shared" si="0"/>
        <v>140</v>
      </c>
      <c r="C34" s="263" t="s">
        <v>3</v>
      </c>
      <c r="D34" s="263">
        <f t="shared" si="1"/>
        <v>160</v>
      </c>
      <c r="E34" s="263" t="s">
        <v>3</v>
      </c>
      <c r="F34" s="261">
        <f t="shared" si="2"/>
        <v>1900</v>
      </c>
      <c r="G34" s="263" t="s">
        <v>3</v>
      </c>
      <c r="H34" s="260">
        <v>2</v>
      </c>
      <c r="I34" s="262" t="s">
        <v>581</v>
      </c>
      <c r="J34" s="112">
        <v>140</v>
      </c>
      <c r="K34" s="75">
        <v>160</v>
      </c>
      <c r="L34" s="75">
        <v>1900</v>
      </c>
      <c r="M34" s="202">
        <v>18.247661528995124</v>
      </c>
      <c r="N34" s="87">
        <v>3313.0353945000002</v>
      </c>
      <c r="O34" s="123">
        <v>60389.631772610293</v>
      </c>
      <c r="P34" s="123">
        <v>70787.904127134068</v>
      </c>
      <c r="Q34" s="120">
        <v>16454.32769713354</v>
      </c>
      <c r="R34" s="123">
        <v>76843.95946974383</v>
      </c>
      <c r="S34" s="123">
        <v>87242.231824267612</v>
      </c>
      <c r="U34" s="7" t="s">
        <v>6897</v>
      </c>
    </row>
    <row r="35" spans="1:21" s="7" customFormat="1" ht="16.5" customHeight="1" thickBot="1">
      <c r="A35" s="259" t="s">
        <v>10</v>
      </c>
      <c r="B35" s="263">
        <f t="shared" si="0"/>
        <v>140</v>
      </c>
      <c r="C35" s="263" t="s">
        <v>3</v>
      </c>
      <c r="D35" s="263">
        <f t="shared" si="1"/>
        <v>160</v>
      </c>
      <c r="E35" s="263" t="s">
        <v>3</v>
      </c>
      <c r="F35" s="261">
        <f t="shared" si="2"/>
        <v>1950</v>
      </c>
      <c r="G35" s="263" t="s">
        <v>3</v>
      </c>
      <c r="H35" s="260">
        <v>2</v>
      </c>
      <c r="I35" s="262" t="s">
        <v>581</v>
      </c>
      <c r="J35" s="112">
        <v>140</v>
      </c>
      <c r="K35" s="75">
        <v>160</v>
      </c>
      <c r="L35" s="75">
        <v>1950</v>
      </c>
      <c r="M35" s="202">
        <v>18.686583563424247</v>
      </c>
      <c r="N35" s="87">
        <v>3419.9075040000007</v>
      </c>
      <c r="O35" s="123">
        <v>61559.071011246837</v>
      </c>
      <c r="P35" s="123">
        <v>72194.097040743698</v>
      </c>
      <c r="Q35" s="120">
        <v>16763.951780364492</v>
      </c>
      <c r="R35" s="123">
        <v>78323.022791611322</v>
      </c>
      <c r="S35" s="123">
        <v>88958.048821108183</v>
      </c>
      <c r="U35" s="7" t="s">
        <v>6898</v>
      </c>
    </row>
    <row r="36" spans="1:21" s="7" customFormat="1" ht="16.5" customHeight="1" thickBot="1">
      <c r="A36" s="259" t="s">
        <v>10</v>
      </c>
      <c r="B36" s="263">
        <f t="shared" si="0"/>
        <v>140</v>
      </c>
      <c r="C36" s="263" t="s">
        <v>3</v>
      </c>
      <c r="D36" s="263">
        <f t="shared" si="1"/>
        <v>160</v>
      </c>
      <c r="E36" s="263" t="s">
        <v>3</v>
      </c>
      <c r="F36" s="261">
        <f t="shared" si="2"/>
        <v>2000</v>
      </c>
      <c r="G36" s="263" t="s">
        <v>3</v>
      </c>
      <c r="H36" s="260">
        <v>2</v>
      </c>
      <c r="I36" s="262" t="s">
        <v>581</v>
      </c>
      <c r="J36" s="112">
        <v>140</v>
      </c>
      <c r="K36" s="75">
        <v>160</v>
      </c>
      <c r="L36" s="75">
        <v>2000</v>
      </c>
      <c r="M36" s="202">
        <v>19.191390377853374</v>
      </c>
      <c r="N36" s="87">
        <v>3526.7796134999999</v>
      </c>
      <c r="O36" s="123">
        <v>62600.536561567569</v>
      </c>
      <c r="P36" s="123">
        <v>73677.355389287244</v>
      </c>
      <c r="Q36" s="120">
        <v>17304.157641378715</v>
      </c>
      <c r="R36" s="123">
        <v>79904.694202946281</v>
      </c>
      <c r="S36" s="123">
        <v>90981.513030665956</v>
      </c>
      <c r="U36" s="7" t="s">
        <v>6899</v>
      </c>
    </row>
    <row r="37" spans="1:21" s="7" customFormat="1" ht="16.5" customHeight="1" thickBot="1">
      <c r="A37" s="259" t="s">
        <v>10</v>
      </c>
      <c r="B37" s="263">
        <f t="shared" si="0"/>
        <v>140</v>
      </c>
      <c r="C37" s="263" t="s">
        <v>3</v>
      </c>
      <c r="D37" s="263">
        <f t="shared" si="1"/>
        <v>160</v>
      </c>
      <c r="E37" s="263" t="s">
        <v>3</v>
      </c>
      <c r="F37" s="261">
        <f t="shared" si="2"/>
        <v>2050</v>
      </c>
      <c r="G37" s="263" t="s">
        <v>3</v>
      </c>
      <c r="H37" s="260">
        <v>2</v>
      </c>
      <c r="I37" s="262" t="s">
        <v>581</v>
      </c>
      <c r="J37" s="112">
        <v>140</v>
      </c>
      <c r="K37" s="75">
        <v>160</v>
      </c>
      <c r="L37" s="75">
        <v>2050</v>
      </c>
      <c r="M37" s="202">
        <v>20.411924912282498</v>
      </c>
      <c r="N37" s="87">
        <v>3633.6517229999999</v>
      </c>
      <c r="O37" s="123">
        <v>65579.690410580966</v>
      </c>
      <c r="P37" s="123">
        <v>76937.449218099078</v>
      </c>
      <c r="Q37" s="120">
        <v>17613.781724609664</v>
      </c>
      <c r="R37" s="123">
        <v>83193.472135190634</v>
      </c>
      <c r="S37" s="123">
        <v>94551.230942708746</v>
      </c>
      <c r="U37" s="7" t="s">
        <v>6900</v>
      </c>
    </row>
    <row r="38" spans="1:21" s="7" customFormat="1" ht="16.5" customHeight="1" thickBot="1">
      <c r="A38" s="259" t="s">
        <v>10</v>
      </c>
      <c r="B38" s="260">
        <f t="shared" si="0"/>
        <v>140</v>
      </c>
      <c r="C38" s="260" t="s">
        <v>3</v>
      </c>
      <c r="D38" s="260">
        <f t="shared" si="1"/>
        <v>160</v>
      </c>
      <c r="E38" s="260" t="s">
        <v>3</v>
      </c>
      <c r="F38" s="261">
        <f t="shared" si="2"/>
        <v>2100</v>
      </c>
      <c r="G38" s="260" t="s">
        <v>3</v>
      </c>
      <c r="H38" s="260">
        <v>2</v>
      </c>
      <c r="I38" s="262" t="s">
        <v>581</v>
      </c>
      <c r="J38" s="112">
        <v>140</v>
      </c>
      <c r="K38" s="75">
        <v>160</v>
      </c>
      <c r="L38" s="75">
        <v>2100</v>
      </c>
      <c r="M38" s="202">
        <v>20.829747446711622</v>
      </c>
      <c r="N38" s="87">
        <v>3740.5238325</v>
      </c>
      <c r="O38" s="123">
        <v>66476.80375126758</v>
      </c>
      <c r="P38" s="123">
        <v>78064.667220957985</v>
      </c>
      <c r="Q38" s="120">
        <v>18153.98758562389</v>
      </c>
      <c r="R38" s="123">
        <v>84630.791336891474</v>
      </c>
      <c r="S38" s="123">
        <v>96218.654806581879</v>
      </c>
      <c r="U38" s="7" t="s">
        <v>6901</v>
      </c>
    </row>
    <row r="39" spans="1:21" s="7" customFormat="1" ht="16.5" customHeight="1" thickBot="1">
      <c r="A39" s="259" t="s">
        <v>10</v>
      </c>
      <c r="B39" s="263">
        <f t="shared" si="0"/>
        <v>140</v>
      </c>
      <c r="C39" s="263" t="s">
        <v>3</v>
      </c>
      <c r="D39" s="263">
        <f t="shared" si="1"/>
        <v>160</v>
      </c>
      <c r="E39" s="263" t="s">
        <v>3</v>
      </c>
      <c r="F39" s="261">
        <f t="shared" si="2"/>
        <v>2150</v>
      </c>
      <c r="G39" s="263" t="s">
        <v>3</v>
      </c>
      <c r="H39" s="260">
        <v>2</v>
      </c>
      <c r="I39" s="262" t="s">
        <v>581</v>
      </c>
      <c r="J39" s="112">
        <v>140</v>
      </c>
      <c r="K39" s="75">
        <v>160</v>
      </c>
      <c r="L39" s="75">
        <v>2150</v>
      </c>
      <c r="M39" s="202">
        <v>21.23138198114075</v>
      </c>
      <c r="N39" s="87">
        <v>3847.3959420000001</v>
      </c>
      <c r="O39" s="123">
        <v>67521.534647629684</v>
      </c>
      <c r="P39" s="123">
        <v>79343.106956490548</v>
      </c>
      <c r="Q39" s="120">
        <v>18463.611528461479</v>
      </c>
      <c r="R39" s="123">
        <v>85985.146176091162</v>
      </c>
      <c r="S39" s="123">
        <v>97806.718484952027</v>
      </c>
      <c r="U39" s="7" t="s">
        <v>6902</v>
      </c>
    </row>
    <row r="40" spans="1:21" s="7" customFormat="1" ht="16.5" customHeight="1" thickBot="1">
      <c r="A40" s="259" t="s">
        <v>10</v>
      </c>
      <c r="B40" s="263">
        <f t="shared" si="0"/>
        <v>140</v>
      </c>
      <c r="C40" s="263" t="s">
        <v>3</v>
      </c>
      <c r="D40" s="263">
        <f t="shared" si="1"/>
        <v>160</v>
      </c>
      <c r="E40" s="263" t="s">
        <v>3</v>
      </c>
      <c r="F40" s="261">
        <f t="shared" si="2"/>
        <v>2200</v>
      </c>
      <c r="G40" s="263" t="s">
        <v>3</v>
      </c>
      <c r="H40" s="260">
        <v>2</v>
      </c>
      <c r="I40" s="262" t="s">
        <v>581</v>
      </c>
      <c r="J40" s="112">
        <v>140</v>
      </c>
      <c r="K40" s="75">
        <v>160</v>
      </c>
      <c r="L40" s="75">
        <v>2200</v>
      </c>
      <c r="M40" s="202">
        <v>21.649204515569874</v>
      </c>
      <c r="N40" s="87">
        <v>3954.2680515000006</v>
      </c>
      <c r="O40" s="123">
        <v>68566.21733291111</v>
      </c>
      <c r="P40" s="123">
        <v>80621.497338140456</v>
      </c>
      <c r="Q40" s="120">
        <v>19003.817389475706</v>
      </c>
      <c r="R40" s="123">
        <v>87570.034722386816</v>
      </c>
      <c r="S40" s="123">
        <v>99625.314727616162</v>
      </c>
      <c r="U40" s="7" t="s">
        <v>6903</v>
      </c>
    </row>
    <row r="41" spans="1:21" s="7" customFormat="1" ht="16.5" customHeight="1" thickBot="1">
      <c r="A41" s="259" t="s">
        <v>10</v>
      </c>
      <c r="B41" s="263">
        <f t="shared" si="0"/>
        <v>140</v>
      </c>
      <c r="C41" s="263" t="s">
        <v>3</v>
      </c>
      <c r="D41" s="263">
        <f t="shared" si="1"/>
        <v>160</v>
      </c>
      <c r="E41" s="263" t="s">
        <v>3</v>
      </c>
      <c r="F41" s="261">
        <f t="shared" si="2"/>
        <v>2250</v>
      </c>
      <c r="G41" s="263" t="s">
        <v>3</v>
      </c>
      <c r="H41" s="260">
        <v>2</v>
      </c>
      <c r="I41" s="262" t="s">
        <v>581</v>
      </c>
      <c r="J41" s="112">
        <v>140</v>
      </c>
      <c r="K41" s="75">
        <v>160</v>
      </c>
      <c r="L41" s="75">
        <v>2250</v>
      </c>
      <c r="M41" s="202">
        <v>22.050839049999002</v>
      </c>
      <c r="N41" s="87">
        <v>4061.1401609999998</v>
      </c>
      <c r="O41" s="123">
        <v>69930.511081540273</v>
      </c>
      <c r="P41" s="123">
        <v>82227.302421838642</v>
      </c>
      <c r="Q41" s="120">
        <v>19313.441472706654</v>
      </c>
      <c r="R41" s="123">
        <v>89243.952554246935</v>
      </c>
      <c r="S41" s="123">
        <v>101540.7438945453</v>
      </c>
      <c r="U41" s="7" t="s">
        <v>6904</v>
      </c>
    </row>
    <row r="42" spans="1:21" s="7" customFormat="1" ht="16.5" customHeight="1" thickBot="1">
      <c r="A42" s="259" t="s">
        <v>10</v>
      </c>
      <c r="B42" s="263">
        <f t="shared" si="0"/>
        <v>140</v>
      </c>
      <c r="C42" s="263" t="s">
        <v>3</v>
      </c>
      <c r="D42" s="263">
        <f t="shared" si="1"/>
        <v>160</v>
      </c>
      <c r="E42" s="263" t="s">
        <v>3</v>
      </c>
      <c r="F42" s="261">
        <f t="shared" si="2"/>
        <v>2300</v>
      </c>
      <c r="G42" s="263" t="s">
        <v>3</v>
      </c>
      <c r="H42" s="260">
        <v>2</v>
      </c>
      <c r="I42" s="262" t="s">
        <v>581</v>
      </c>
      <c r="J42" s="112">
        <v>140</v>
      </c>
      <c r="K42" s="75">
        <v>160</v>
      </c>
      <c r="L42" s="75">
        <v>2300</v>
      </c>
      <c r="M42" s="202">
        <v>22.452473584428127</v>
      </c>
      <c r="N42" s="87">
        <v>4168.0122705000003</v>
      </c>
      <c r="O42" s="123">
        <v>70732.28832285518</v>
      </c>
      <c r="P42" s="123">
        <v>83256.856663744722</v>
      </c>
      <c r="Q42" s="120">
        <v>19623.065415544243</v>
      </c>
      <c r="R42" s="123">
        <v>90355.353738399426</v>
      </c>
      <c r="S42" s="123">
        <v>102879.92207928897</v>
      </c>
      <c r="U42" s="7" t="s">
        <v>6905</v>
      </c>
    </row>
    <row r="43" spans="1:21" s="7" customFormat="1" ht="16.5" customHeight="1" thickBot="1">
      <c r="A43" s="259" t="s">
        <v>10</v>
      </c>
      <c r="B43" s="263">
        <f t="shared" si="0"/>
        <v>140</v>
      </c>
      <c r="C43" s="263" t="s">
        <v>3</v>
      </c>
      <c r="D43" s="263">
        <f t="shared" si="1"/>
        <v>160</v>
      </c>
      <c r="E43" s="263" t="s">
        <v>3</v>
      </c>
      <c r="F43" s="261">
        <f t="shared" si="2"/>
        <v>2350</v>
      </c>
      <c r="G43" s="263" t="s">
        <v>3</v>
      </c>
      <c r="H43" s="260">
        <v>2</v>
      </c>
      <c r="I43" s="262" t="s">
        <v>581</v>
      </c>
      <c r="J43" s="112">
        <v>140</v>
      </c>
      <c r="K43" s="75">
        <v>160</v>
      </c>
      <c r="L43" s="75">
        <v>2350</v>
      </c>
      <c r="M43" s="202">
        <v>22.870296118857251</v>
      </c>
      <c r="N43" s="87">
        <v>4274.8843800000004</v>
      </c>
      <c r="O43" s="123">
        <v>71534.017472423773</v>
      </c>
      <c r="P43" s="123">
        <v>84286.361551768176</v>
      </c>
      <c r="Q43" s="120">
        <v>20163.271276558466</v>
      </c>
      <c r="R43" s="123">
        <v>91697.288748982246</v>
      </c>
      <c r="S43" s="123">
        <v>104449.63282832663</v>
      </c>
      <c r="U43" s="7" t="s">
        <v>6906</v>
      </c>
    </row>
    <row r="44" spans="1:21" s="7" customFormat="1" ht="16.5" customHeight="1" thickBot="1">
      <c r="A44" s="259" t="s">
        <v>10</v>
      </c>
      <c r="B44" s="263">
        <f t="shared" si="0"/>
        <v>140</v>
      </c>
      <c r="C44" s="263" t="s">
        <v>3</v>
      </c>
      <c r="D44" s="263">
        <f t="shared" si="1"/>
        <v>160</v>
      </c>
      <c r="E44" s="263" t="s">
        <v>3</v>
      </c>
      <c r="F44" s="261">
        <f t="shared" si="2"/>
        <v>2400</v>
      </c>
      <c r="G44" s="263" t="s">
        <v>3</v>
      </c>
      <c r="H44" s="260">
        <v>2</v>
      </c>
      <c r="I44" s="262" t="s">
        <v>581</v>
      </c>
      <c r="J44" s="112">
        <v>140</v>
      </c>
      <c r="K44" s="75">
        <v>160</v>
      </c>
      <c r="L44" s="75">
        <v>2400</v>
      </c>
      <c r="M44" s="202">
        <v>23.271930653286375</v>
      </c>
      <c r="N44" s="87">
        <v>4381.7564894999996</v>
      </c>
      <c r="O44" s="123">
        <v>72335.698410911675</v>
      </c>
      <c r="P44" s="123">
        <v>85315.817085908959</v>
      </c>
      <c r="Q44" s="120">
        <v>20472.895359789418</v>
      </c>
      <c r="R44" s="123">
        <v>92808.593770701089</v>
      </c>
      <c r="S44" s="123">
        <v>105788.71244569837</v>
      </c>
      <c r="U44" s="7" t="s">
        <v>6907</v>
      </c>
    </row>
    <row r="45" spans="1:21" s="7" customFormat="1" ht="16.5" customHeight="1" thickBot="1">
      <c r="A45" s="259" t="s">
        <v>10</v>
      </c>
      <c r="B45" s="263">
        <f t="shared" si="0"/>
        <v>140</v>
      </c>
      <c r="C45" s="263" t="s">
        <v>3</v>
      </c>
      <c r="D45" s="263">
        <f t="shared" si="1"/>
        <v>160</v>
      </c>
      <c r="E45" s="263" t="s">
        <v>3</v>
      </c>
      <c r="F45" s="261">
        <f t="shared" si="2"/>
        <v>2450</v>
      </c>
      <c r="G45" s="263" t="s">
        <v>3</v>
      </c>
      <c r="H45" s="260">
        <v>2</v>
      </c>
      <c r="I45" s="262" t="s">
        <v>581</v>
      </c>
      <c r="J45" s="112">
        <v>140</v>
      </c>
      <c r="K45" s="75">
        <v>160</v>
      </c>
      <c r="L45" s="75">
        <v>2450</v>
      </c>
      <c r="M45" s="202">
        <v>24.346745039177499</v>
      </c>
      <c r="N45" s="87">
        <v>4488.6285990000006</v>
      </c>
      <c r="O45" s="123">
        <v>73541.370782702637</v>
      </c>
      <c r="P45" s="123">
        <v>86829.242146546443</v>
      </c>
      <c r="Q45" s="120">
        <v>21013.101220803645</v>
      </c>
      <c r="R45" s="123">
        <v>94554.472003506278</v>
      </c>
      <c r="S45" s="123">
        <v>107842.34336735008</v>
      </c>
      <c r="U45" s="7" t="s">
        <v>6908</v>
      </c>
    </row>
    <row r="46" spans="1:21" s="7" customFormat="1" ht="16.5" customHeight="1" thickBot="1">
      <c r="A46" s="259" t="s">
        <v>10</v>
      </c>
      <c r="B46" s="263">
        <f t="shared" si="0"/>
        <v>140</v>
      </c>
      <c r="C46" s="263" t="s">
        <v>3</v>
      </c>
      <c r="D46" s="263">
        <f t="shared" si="1"/>
        <v>160</v>
      </c>
      <c r="E46" s="263" t="s">
        <v>3</v>
      </c>
      <c r="F46" s="261">
        <f t="shared" si="2"/>
        <v>2500</v>
      </c>
      <c r="G46" s="263" t="s">
        <v>3</v>
      </c>
      <c r="H46" s="260">
        <v>2</v>
      </c>
      <c r="I46" s="262" t="s">
        <v>581</v>
      </c>
      <c r="J46" s="112">
        <v>140</v>
      </c>
      <c r="K46" s="75">
        <v>160</v>
      </c>
      <c r="L46" s="75">
        <v>2500</v>
      </c>
      <c r="M46" s="202">
        <v>24.748379573606627</v>
      </c>
      <c r="N46" s="87">
        <v>4595.5007085000007</v>
      </c>
      <c r="O46" s="123">
        <v>74342.955537697897</v>
      </c>
      <c r="P46" s="123">
        <v>87858.599103487737</v>
      </c>
      <c r="Q46" s="120">
        <v>21322.725304034593</v>
      </c>
      <c r="R46" s="123">
        <v>95665.680841732494</v>
      </c>
      <c r="S46" s="123">
        <v>109181.32440752233</v>
      </c>
      <c r="U46" s="7" t="s">
        <v>6909</v>
      </c>
    </row>
    <row r="47" spans="1:21" s="7" customFormat="1" ht="16.5" customHeight="1" thickBot="1">
      <c r="A47" s="259" t="s">
        <v>10</v>
      </c>
      <c r="B47" s="263">
        <f t="shared" si="0"/>
        <v>140</v>
      </c>
      <c r="C47" s="263" t="s">
        <v>3</v>
      </c>
      <c r="D47" s="263">
        <f t="shared" si="1"/>
        <v>160</v>
      </c>
      <c r="E47" s="263" t="s">
        <v>3</v>
      </c>
      <c r="F47" s="261">
        <f t="shared" si="2"/>
        <v>2550</v>
      </c>
      <c r="G47" s="263" t="s">
        <v>3</v>
      </c>
      <c r="H47" s="260">
        <v>2</v>
      </c>
      <c r="I47" s="262" t="s">
        <v>581</v>
      </c>
      <c r="J47" s="112">
        <v>140</v>
      </c>
      <c r="K47" s="75">
        <v>160</v>
      </c>
      <c r="L47" s="75">
        <v>2550</v>
      </c>
      <c r="M47" s="202">
        <v>25.166202108035751</v>
      </c>
      <c r="N47" s="87">
        <v>4702.3728180000007</v>
      </c>
      <c r="O47" s="123">
        <v>78438.828137940509</v>
      </c>
      <c r="P47" s="123">
        <v>92262.677545848725</v>
      </c>
      <c r="Q47" s="120">
        <v>21862.931024655456</v>
      </c>
      <c r="R47" s="123">
        <v>100301.75916259596</v>
      </c>
      <c r="S47" s="123">
        <v>114125.60857050418</v>
      </c>
      <c r="U47" s="7" t="s">
        <v>6910</v>
      </c>
    </row>
    <row r="48" spans="1:21" ht="16.5" customHeight="1" thickBot="1">
      <c r="A48" s="259" t="s">
        <v>10</v>
      </c>
      <c r="B48" s="260">
        <f t="shared" si="0"/>
        <v>140</v>
      </c>
      <c r="C48" s="260" t="s">
        <v>3</v>
      </c>
      <c r="D48" s="260">
        <f t="shared" si="1"/>
        <v>160</v>
      </c>
      <c r="E48" s="260" t="s">
        <v>3</v>
      </c>
      <c r="F48" s="261">
        <f t="shared" si="2"/>
        <v>2600</v>
      </c>
      <c r="G48" s="260" t="s">
        <v>3</v>
      </c>
      <c r="H48" s="260">
        <v>2</v>
      </c>
      <c r="I48" s="262" t="s">
        <v>581</v>
      </c>
      <c r="J48" s="112">
        <v>140</v>
      </c>
      <c r="K48" s="75">
        <v>160</v>
      </c>
      <c r="L48" s="75">
        <v>2600</v>
      </c>
      <c r="M48" s="202">
        <v>25.567836642464876</v>
      </c>
      <c r="N48" s="87">
        <v>4809.2449274999999</v>
      </c>
      <c r="O48" s="123">
        <v>79510.920373936606</v>
      </c>
      <c r="P48" s="123">
        <v>93569.146630885167</v>
      </c>
      <c r="Q48" s="120">
        <v>22172.555107886405</v>
      </c>
      <c r="R48" s="123">
        <v>101683.47548182301</v>
      </c>
      <c r="S48" s="123">
        <v>115741.70173877158</v>
      </c>
      <c r="U48" s="7" t="s">
        <v>6911</v>
      </c>
    </row>
    <row r="49" spans="1:21" ht="16.5" customHeight="1" thickBot="1">
      <c r="A49" s="259" t="s">
        <v>10</v>
      </c>
      <c r="B49" s="263">
        <f t="shared" si="0"/>
        <v>140</v>
      </c>
      <c r="C49" s="263" t="s">
        <v>3</v>
      </c>
      <c r="D49" s="263">
        <f t="shared" si="1"/>
        <v>160</v>
      </c>
      <c r="E49" s="263" t="s">
        <v>3</v>
      </c>
      <c r="F49" s="261">
        <f t="shared" si="2"/>
        <v>2650</v>
      </c>
      <c r="G49" s="263" t="s">
        <v>3</v>
      </c>
      <c r="H49" s="260">
        <v>2</v>
      </c>
      <c r="I49" s="262" t="s">
        <v>581</v>
      </c>
      <c r="J49" s="112">
        <v>140</v>
      </c>
      <c r="K49" s="75">
        <v>160</v>
      </c>
      <c r="L49" s="75">
        <v>2650</v>
      </c>
      <c r="M49" s="202">
        <v>25.985659176894</v>
      </c>
      <c r="N49" s="87">
        <v>4916.1170369999991</v>
      </c>
      <c r="O49" s="123">
        <v>80152.392669288878</v>
      </c>
      <c r="P49" s="123">
        <v>94434.481964856459</v>
      </c>
      <c r="Q49" s="120">
        <v>22712.760968900628</v>
      </c>
      <c r="R49" s="123">
        <v>102865.15363818951</v>
      </c>
      <c r="S49" s="123">
        <v>117147.24293375708</v>
      </c>
      <c r="U49" s="7" t="s">
        <v>6912</v>
      </c>
    </row>
    <row r="50" spans="1:21" ht="16.5" customHeight="1" thickBot="1">
      <c r="A50" s="259" t="s">
        <v>10</v>
      </c>
      <c r="B50" s="263">
        <f t="shared" si="0"/>
        <v>140</v>
      </c>
      <c r="C50" s="263" t="s">
        <v>3</v>
      </c>
      <c r="D50" s="263">
        <f t="shared" si="1"/>
        <v>160</v>
      </c>
      <c r="E50" s="263" t="s">
        <v>3</v>
      </c>
      <c r="F50" s="261">
        <f t="shared" si="2"/>
        <v>2700</v>
      </c>
      <c r="G50" s="263" t="s">
        <v>3</v>
      </c>
      <c r="H50" s="260">
        <v>2</v>
      </c>
      <c r="I50" s="262" t="s">
        <v>581</v>
      </c>
      <c r="J50" s="112">
        <v>140</v>
      </c>
      <c r="K50" s="75">
        <v>160</v>
      </c>
      <c r="L50" s="75">
        <v>2700</v>
      </c>
      <c r="M50" s="202">
        <v>26.424581211323122</v>
      </c>
      <c r="N50" s="87">
        <v>5022.9891465000001</v>
      </c>
      <c r="O50" s="123">
        <v>80829.196407385607</v>
      </c>
      <c r="P50" s="123">
        <v>95336.011190633406</v>
      </c>
      <c r="Q50" s="120">
        <v>23022.385052131584</v>
      </c>
      <c r="R50" s="123">
        <v>103851.58145951718</v>
      </c>
      <c r="S50" s="123">
        <v>118358.39624276498</v>
      </c>
      <c r="U50" s="7" t="s">
        <v>6913</v>
      </c>
    </row>
    <row r="51" spans="1:21" ht="16.5" customHeight="1" thickBot="1">
      <c r="A51" s="259" t="s">
        <v>10</v>
      </c>
      <c r="B51" s="263">
        <f t="shared" si="0"/>
        <v>140</v>
      </c>
      <c r="C51" s="263" t="s">
        <v>3</v>
      </c>
      <c r="D51" s="263">
        <f t="shared" si="1"/>
        <v>160</v>
      </c>
      <c r="E51" s="263" t="s">
        <v>3</v>
      </c>
      <c r="F51" s="261">
        <f t="shared" si="2"/>
        <v>2750</v>
      </c>
      <c r="G51" s="263" t="s">
        <v>3</v>
      </c>
      <c r="H51" s="260">
        <v>2</v>
      </c>
      <c r="I51" s="262" t="s">
        <v>581</v>
      </c>
      <c r="J51" s="112">
        <v>140</v>
      </c>
      <c r="K51" s="75">
        <v>160</v>
      </c>
      <c r="L51" s="75">
        <v>2750</v>
      </c>
      <c r="M51" s="202">
        <v>26.826215745752251</v>
      </c>
      <c r="N51" s="87">
        <v>5129.8612560000001</v>
      </c>
      <c r="O51" s="123">
        <v>81552.326697981305</v>
      </c>
      <c r="P51" s="123">
        <v>96284.998091556277</v>
      </c>
      <c r="Q51" s="120">
        <v>23332.008994969165</v>
      </c>
      <c r="R51" s="123">
        <v>104884.33569295047</v>
      </c>
      <c r="S51" s="123">
        <v>119617.00708652544</v>
      </c>
      <c r="U51" s="7" t="s">
        <v>6914</v>
      </c>
    </row>
    <row r="52" spans="1:21" ht="16.5" customHeight="1" thickBot="1">
      <c r="A52" s="259" t="s">
        <v>10</v>
      </c>
      <c r="B52" s="263">
        <f t="shared" si="0"/>
        <v>140</v>
      </c>
      <c r="C52" s="263" t="s">
        <v>3</v>
      </c>
      <c r="D52" s="263">
        <f t="shared" si="1"/>
        <v>160</v>
      </c>
      <c r="E52" s="263" t="s">
        <v>3</v>
      </c>
      <c r="F52" s="261">
        <f t="shared" si="2"/>
        <v>2800</v>
      </c>
      <c r="G52" s="263" t="s">
        <v>3</v>
      </c>
      <c r="H52" s="260">
        <v>2</v>
      </c>
      <c r="I52" s="262" t="s">
        <v>581</v>
      </c>
      <c r="J52" s="112">
        <v>140</v>
      </c>
      <c r="K52" s="75">
        <v>160</v>
      </c>
      <c r="L52" s="75">
        <v>2800</v>
      </c>
      <c r="M52" s="202">
        <v>27.244038280181375</v>
      </c>
      <c r="N52" s="87">
        <v>5236.7333655000002</v>
      </c>
      <c r="O52" s="123">
        <v>82192.564718067501</v>
      </c>
      <c r="P52" s="123">
        <v>97149.068895491844</v>
      </c>
      <c r="Q52" s="120">
        <v>23872.214855983391</v>
      </c>
      <c r="R52" s="123">
        <v>106064.77957405089</v>
      </c>
      <c r="S52" s="123">
        <v>121021.28375147523</v>
      </c>
      <c r="U52" s="7" t="s">
        <v>6915</v>
      </c>
    </row>
    <row r="53" spans="1:21" ht="16.5" customHeight="1" thickBot="1">
      <c r="A53" s="259" t="s">
        <v>10</v>
      </c>
      <c r="B53" s="263">
        <f t="shared" si="0"/>
        <v>140</v>
      </c>
      <c r="C53" s="263" t="s">
        <v>3</v>
      </c>
      <c r="D53" s="263">
        <f t="shared" si="1"/>
        <v>160</v>
      </c>
      <c r="E53" s="263" t="s">
        <v>3</v>
      </c>
      <c r="F53" s="261">
        <f t="shared" si="2"/>
        <v>2850</v>
      </c>
      <c r="G53" s="263" t="s">
        <v>3</v>
      </c>
      <c r="H53" s="260">
        <v>2</v>
      </c>
      <c r="I53" s="262" t="s">
        <v>581</v>
      </c>
      <c r="J53" s="112">
        <v>140</v>
      </c>
      <c r="K53" s="75">
        <v>160</v>
      </c>
      <c r="L53" s="75">
        <v>2850</v>
      </c>
      <c r="M53" s="202">
        <v>28.464572814610502</v>
      </c>
      <c r="N53" s="87">
        <v>5343.6054750000003</v>
      </c>
      <c r="O53" s="123">
        <v>82832.754646407368</v>
      </c>
      <c r="P53" s="123">
        <v>98013.09034554477</v>
      </c>
      <c r="Q53" s="120">
        <v>24181.838939214344</v>
      </c>
      <c r="R53" s="123">
        <v>107014.59358562171</v>
      </c>
      <c r="S53" s="123">
        <v>122194.92928475911</v>
      </c>
      <c r="U53" s="7" t="s">
        <v>6916</v>
      </c>
    </row>
    <row r="54" spans="1:21" ht="16.5" customHeight="1" thickBot="1">
      <c r="A54" s="259" t="s">
        <v>10</v>
      </c>
      <c r="B54" s="263">
        <f t="shared" si="0"/>
        <v>140</v>
      </c>
      <c r="C54" s="263" t="s">
        <v>3</v>
      </c>
      <c r="D54" s="263">
        <f t="shared" si="1"/>
        <v>160</v>
      </c>
      <c r="E54" s="263" t="s">
        <v>3</v>
      </c>
      <c r="F54" s="261">
        <f t="shared" si="2"/>
        <v>2900</v>
      </c>
      <c r="G54" s="263" t="s">
        <v>3</v>
      </c>
      <c r="H54" s="260">
        <v>2</v>
      </c>
      <c r="I54" s="262" t="s">
        <v>581</v>
      </c>
      <c r="J54" s="112">
        <v>140</v>
      </c>
      <c r="K54" s="75">
        <v>160</v>
      </c>
      <c r="L54" s="75">
        <v>2900</v>
      </c>
      <c r="M54" s="202">
        <v>28.882395349039626</v>
      </c>
      <c r="N54" s="87">
        <v>5450.4775845000004</v>
      </c>
      <c r="O54" s="123">
        <v>83472.896363666587</v>
      </c>
      <c r="P54" s="123">
        <v>98877.062572280862</v>
      </c>
      <c r="Q54" s="120">
        <v>24722.044800228567</v>
      </c>
      <c r="R54" s="123">
        <v>108194.94116389516</v>
      </c>
      <c r="S54" s="123">
        <v>123599.10737250943</v>
      </c>
      <c r="U54" s="7" t="s">
        <v>6917</v>
      </c>
    </row>
    <row r="55" spans="1:21" ht="16.5" customHeight="1" thickBot="1">
      <c r="A55" s="259" t="s">
        <v>10</v>
      </c>
      <c r="B55" s="263">
        <f t="shared" si="0"/>
        <v>140</v>
      </c>
      <c r="C55" s="263" t="s">
        <v>3</v>
      </c>
      <c r="D55" s="263">
        <f t="shared" si="1"/>
        <v>160</v>
      </c>
      <c r="E55" s="263" t="s">
        <v>3</v>
      </c>
      <c r="F55" s="261">
        <f t="shared" si="2"/>
        <v>2950</v>
      </c>
      <c r="G55" s="263" t="s">
        <v>3</v>
      </c>
      <c r="H55" s="260">
        <v>2</v>
      </c>
      <c r="I55" s="262" t="s">
        <v>581</v>
      </c>
      <c r="J55" s="112">
        <v>140</v>
      </c>
      <c r="K55" s="75">
        <v>160</v>
      </c>
      <c r="L55" s="75">
        <v>2950</v>
      </c>
      <c r="M55" s="202">
        <v>29.284029883468747</v>
      </c>
      <c r="N55" s="87">
        <v>5557.3496940000005</v>
      </c>
      <c r="O55" s="123">
        <v>84112.990108513797</v>
      </c>
      <c r="P55" s="123">
        <v>99740.985445134298</v>
      </c>
      <c r="Q55" s="120">
        <v>25031.668743066155</v>
      </c>
      <c r="R55" s="123">
        <v>109144.65885157995</v>
      </c>
      <c r="S55" s="123">
        <v>124772.65418820045</v>
      </c>
      <c r="U55" s="7" t="s">
        <v>6918</v>
      </c>
    </row>
    <row r="56" spans="1:21" ht="16.5" customHeight="1" thickBot="1">
      <c r="A56" s="264" t="s">
        <v>10</v>
      </c>
      <c r="B56" s="265">
        <f t="shared" si="0"/>
        <v>140</v>
      </c>
      <c r="C56" s="265" t="s">
        <v>3</v>
      </c>
      <c r="D56" s="265">
        <f t="shared" si="1"/>
        <v>160</v>
      </c>
      <c r="E56" s="265" t="s">
        <v>3</v>
      </c>
      <c r="F56" s="266">
        <f t="shared" si="2"/>
        <v>3000</v>
      </c>
      <c r="G56" s="265" t="s">
        <v>3</v>
      </c>
      <c r="H56" s="267">
        <v>2</v>
      </c>
      <c r="I56" s="262" t="s">
        <v>581</v>
      </c>
      <c r="J56" s="112">
        <v>140</v>
      </c>
      <c r="K56" s="322">
        <v>160</v>
      </c>
      <c r="L56" s="322">
        <v>3000</v>
      </c>
      <c r="M56" s="305">
        <v>29.701852417897872</v>
      </c>
      <c r="N56" s="306">
        <v>5664.2218035000005</v>
      </c>
      <c r="O56" s="307">
        <v>86469.872441062849</v>
      </c>
      <c r="P56" s="307">
        <v>102363.61434146223</v>
      </c>
      <c r="Q56" s="308">
        <v>25571.874604080382</v>
      </c>
      <c r="R56" s="307">
        <v>112041.74704514323</v>
      </c>
      <c r="S56" s="307">
        <v>127935.48894554262</v>
      </c>
      <c r="U56" s="7" t="s">
        <v>6919</v>
      </c>
    </row>
    <row r="57" spans="1:21" ht="22.5" customHeight="1" thickBot="1">
      <c r="A57" s="2580" t="s">
        <v>51</v>
      </c>
      <c r="B57" s="2581"/>
      <c r="C57" s="2581"/>
      <c r="D57" s="2581"/>
      <c r="E57" s="2581"/>
      <c r="F57" s="2581"/>
      <c r="G57" s="2581"/>
      <c r="H57" s="2581"/>
      <c r="I57" s="2581"/>
      <c r="J57" s="2581"/>
      <c r="K57" s="2581"/>
      <c r="L57" s="2581"/>
      <c r="M57" s="2581"/>
      <c r="N57" s="2581"/>
      <c r="O57" s="2581"/>
      <c r="P57" s="2581"/>
      <c r="Q57" s="2581"/>
      <c r="R57" s="2581"/>
      <c r="S57" s="2582"/>
      <c r="U57" s="7"/>
    </row>
    <row r="58" spans="1:21" ht="16.5" customHeight="1" thickBot="1">
      <c r="A58" s="2627" t="s">
        <v>134</v>
      </c>
      <c r="B58" s="2628"/>
      <c r="C58" s="2628"/>
      <c r="D58" s="2628"/>
      <c r="E58" s="2628"/>
      <c r="F58" s="2628"/>
      <c r="G58" s="2628"/>
      <c r="H58" s="2628"/>
      <c r="I58" s="2628"/>
      <c r="J58" s="2628"/>
      <c r="K58" s="2628"/>
      <c r="L58" s="2628"/>
      <c r="M58" s="2628"/>
      <c r="N58" s="2628"/>
      <c r="O58" s="2628"/>
      <c r="P58" s="2628"/>
      <c r="Q58" s="2628"/>
      <c r="R58" s="2628"/>
      <c r="S58" s="2629"/>
      <c r="U58" s="7"/>
    </row>
    <row r="59" spans="1:21" ht="16.5" thickBot="1">
      <c r="A59" s="259" t="s">
        <v>10</v>
      </c>
      <c r="B59" s="260">
        <f t="shared" ref="B59:B105" si="3">J59</f>
        <v>140</v>
      </c>
      <c r="C59" s="260" t="s">
        <v>3</v>
      </c>
      <c r="D59" s="260">
        <f t="shared" ref="D59:D105" si="4">K59</f>
        <v>200</v>
      </c>
      <c r="E59" s="260" t="s">
        <v>3</v>
      </c>
      <c r="F59" s="261">
        <f t="shared" ref="F59:F105" si="5">L59</f>
        <v>700</v>
      </c>
      <c r="G59" s="260" t="s">
        <v>3</v>
      </c>
      <c r="H59" s="260">
        <v>2</v>
      </c>
      <c r="I59" s="262" t="s">
        <v>581</v>
      </c>
      <c r="J59" s="112">
        <v>140</v>
      </c>
      <c r="K59" s="327">
        <v>200</v>
      </c>
      <c r="L59" s="327">
        <v>700</v>
      </c>
      <c r="M59" s="301">
        <v>7.3360379902741233</v>
      </c>
      <c r="N59" s="302">
        <v>885.14358659999982</v>
      </c>
      <c r="O59" s="303">
        <v>26212.065634508159</v>
      </c>
      <c r="P59" s="303">
        <v>30767.919418477341</v>
      </c>
      <c r="Q59" s="304">
        <v>7482.4550490171396</v>
      </c>
      <c r="R59" s="303">
        <v>33694.520683525297</v>
      </c>
      <c r="S59" s="303">
        <v>38250.374467494483</v>
      </c>
      <c r="U59" s="7" t="s">
        <v>6920</v>
      </c>
    </row>
    <row r="60" spans="1:21" ht="16.5" thickBot="1">
      <c r="A60" s="259" t="s">
        <v>10</v>
      </c>
      <c r="B60" s="263">
        <f t="shared" si="3"/>
        <v>140</v>
      </c>
      <c r="C60" s="263" t="s">
        <v>3</v>
      </c>
      <c r="D60" s="263">
        <f t="shared" si="4"/>
        <v>200</v>
      </c>
      <c r="E60" s="263" t="s">
        <v>3</v>
      </c>
      <c r="F60" s="261">
        <f t="shared" si="5"/>
        <v>750</v>
      </c>
      <c r="G60" s="263" t="s">
        <v>3</v>
      </c>
      <c r="H60" s="260">
        <v>2</v>
      </c>
      <c r="I60" s="262" t="s">
        <v>581</v>
      </c>
      <c r="J60" s="112">
        <v>140</v>
      </c>
      <c r="K60" s="75">
        <v>200</v>
      </c>
      <c r="L60" s="75">
        <v>750</v>
      </c>
      <c r="M60" s="202">
        <v>7.7639360517032481</v>
      </c>
      <c r="N60" s="87">
        <v>1011.5926704</v>
      </c>
      <c r="O60" s="123">
        <v>27772.793641362794</v>
      </c>
      <c r="P60" s="123">
        <v>32576.843148117347</v>
      </c>
      <c r="Q60" s="120">
        <v>7840.8736877451383</v>
      </c>
      <c r="R60" s="123">
        <v>35613.667329107935</v>
      </c>
      <c r="S60" s="123">
        <v>40417.716835862484</v>
      </c>
      <c r="U60" s="7" t="s">
        <v>6921</v>
      </c>
    </row>
    <row r="61" spans="1:21" ht="16.5" thickBot="1">
      <c r="A61" s="259" t="s">
        <v>10</v>
      </c>
      <c r="B61" s="263">
        <f t="shared" si="3"/>
        <v>140</v>
      </c>
      <c r="C61" s="263" t="s">
        <v>3</v>
      </c>
      <c r="D61" s="263">
        <f t="shared" si="4"/>
        <v>200</v>
      </c>
      <c r="E61" s="263" t="s">
        <v>3</v>
      </c>
      <c r="F61" s="261">
        <f t="shared" si="5"/>
        <v>800</v>
      </c>
      <c r="G61" s="263" t="s">
        <v>3</v>
      </c>
      <c r="H61" s="260">
        <v>2</v>
      </c>
      <c r="I61" s="262" t="s">
        <v>581</v>
      </c>
      <c r="J61" s="112">
        <v>140</v>
      </c>
      <c r="K61" s="75">
        <v>200</v>
      </c>
      <c r="L61" s="75">
        <v>800</v>
      </c>
      <c r="M61" s="202">
        <v>8.1918341131323729</v>
      </c>
      <c r="N61" s="87">
        <v>1138.0417542</v>
      </c>
      <c r="O61" s="123">
        <v>29334.126434744412</v>
      </c>
      <c r="P61" s="123">
        <v>34386.488906781356</v>
      </c>
      <c r="Q61" s="120">
        <v>8199.2923264731398</v>
      </c>
      <c r="R61" s="123">
        <v>37533.418761217552</v>
      </c>
      <c r="S61" s="123">
        <v>42585.7812332545</v>
      </c>
      <c r="U61" s="7" t="s">
        <v>6922</v>
      </c>
    </row>
    <row r="62" spans="1:21" s="7" customFormat="1" ht="16.5" thickBot="1">
      <c r="A62" s="259" t="s">
        <v>10</v>
      </c>
      <c r="B62" s="263">
        <f t="shared" si="3"/>
        <v>140</v>
      </c>
      <c r="C62" s="263" t="s">
        <v>3</v>
      </c>
      <c r="D62" s="263">
        <f t="shared" si="4"/>
        <v>200</v>
      </c>
      <c r="E62" s="263" t="s">
        <v>3</v>
      </c>
      <c r="F62" s="261">
        <f t="shared" si="5"/>
        <v>850</v>
      </c>
      <c r="G62" s="263" t="s">
        <v>3</v>
      </c>
      <c r="H62" s="260">
        <v>2</v>
      </c>
      <c r="I62" s="262" t="s">
        <v>581</v>
      </c>
      <c r="J62" s="112">
        <v>140</v>
      </c>
      <c r="K62" s="75">
        <v>200</v>
      </c>
      <c r="L62" s="75">
        <v>850</v>
      </c>
      <c r="M62" s="202">
        <v>8.6359201745614982</v>
      </c>
      <c r="N62" s="87">
        <v>1264.4908379999999</v>
      </c>
      <c r="O62" s="123">
        <v>30895.459347460386</v>
      </c>
      <c r="P62" s="123">
        <v>36196.144719014046</v>
      </c>
      <c r="Q62" s="120">
        <v>8788.2927429844149</v>
      </c>
      <c r="R62" s="123">
        <v>39683.752090444803</v>
      </c>
      <c r="S62" s="123">
        <v>44984.437461998459</v>
      </c>
      <c r="U62" s="7" t="s">
        <v>6923</v>
      </c>
    </row>
    <row r="63" spans="1:21" s="7" customFormat="1" ht="16.5" thickBot="1">
      <c r="A63" s="259" t="s">
        <v>10</v>
      </c>
      <c r="B63" s="263">
        <f t="shared" si="3"/>
        <v>140</v>
      </c>
      <c r="C63" s="263" t="s">
        <v>3</v>
      </c>
      <c r="D63" s="263">
        <f t="shared" si="4"/>
        <v>200</v>
      </c>
      <c r="E63" s="263" t="s">
        <v>3</v>
      </c>
      <c r="F63" s="261">
        <f t="shared" si="5"/>
        <v>900</v>
      </c>
      <c r="G63" s="263" t="s">
        <v>3</v>
      </c>
      <c r="H63" s="260">
        <v>2</v>
      </c>
      <c r="I63" s="262" t="s">
        <v>581</v>
      </c>
      <c r="J63" s="112">
        <v>140</v>
      </c>
      <c r="K63" s="75">
        <v>200</v>
      </c>
      <c r="L63" s="75">
        <v>900</v>
      </c>
      <c r="M63" s="202">
        <v>9.2148682359906235</v>
      </c>
      <c r="N63" s="87">
        <v>1390.9399218000001</v>
      </c>
      <c r="O63" s="123">
        <v>32456.792140842001</v>
      </c>
      <c r="P63" s="123">
        <v>38005.809409722984</v>
      </c>
      <c r="Q63" s="120">
        <v>9146.7115221057775</v>
      </c>
      <c r="R63" s="123">
        <v>41603.503662947776</v>
      </c>
      <c r="S63" s="123">
        <v>47152.52093182876</v>
      </c>
      <c r="U63" s="7" t="s">
        <v>6924</v>
      </c>
    </row>
    <row r="64" spans="1:21" s="7" customFormat="1" ht="16.5" thickBot="1">
      <c r="A64" s="259" t="s">
        <v>10</v>
      </c>
      <c r="B64" s="263">
        <f t="shared" si="3"/>
        <v>140</v>
      </c>
      <c r="C64" s="263" t="s">
        <v>3</v>
      </c>
      <c r="D64" s="263">
        <f t="shared" si="4"/>
        <v>200</v>
      </c>
      <c r="E64" s="263" t="s">
        <v>3</v>
      </c>
      <c r="F64" s="261">
        <f t="shared" si="5"/>
        <v>950</v>
      </c>
      <c r="G64" s="263" t="s">
        <v>3</v>
      </c>
      <c r="H64" s="260">
        <v>2</v>
      </c>
      <c r="I64" s="262" t="s">
        <v>581</v>
      </c>
      <c r="J64" s="112">
        <v>140</v>
      </c>
      <c r="K64" s="75">
        <v>200</v>
      </c>
      <c r="L64" s="75">
        <v>950</v>
      </c>
      <c r="M64" s="202">
        <v>9.6589542974197506</v>
      </c>
      <c r="N64" s="87">
        <v>1517.3890055999998</v>
      </c>
      <c r="O64" s="123">
        <v>34018.125053557982</v>
      </c>
      <c r="P64" s="123">
        <v>39815.481412118243</v>
      </c>
      <c r="Q64" s="120">
        <v>9735.7119386170507</v>
      </c>
      <c r="R64" s="123">
        <v>43753.836992175035</v>
      </c>
      <c r="S64" s="123">
        <v>49551.193350735295</v>
      </c>
      <c r="U64" s="7" t="s">
        <v>6925</v>
      </c>
    </row>
    <row r="65" spans="1:21" s="7" customFormat="1" ht="16.5" thickBot="1">
      <c r="A65" s="259" t="s">
        <v>10</v>
      </c>
      <c r="B65" s="263">
        <f t="shared" si="3"/>
        <v>140</v>
      </c>
      <c r="C65" s="263" t="s">
        <v>3</v>
      </c>
      <c r="D65" s="263">
        <f t="shared" si="4"/>
        <v>200</v>
      </c>
      <c r="E65" s="263" t="s">
        <v>3</v>
      </c>
      <c r="F65" s="261">
        <f t="shared" si="5"/>
        <v>1000</v>
      </c>
      <c r="G65" s="263" t="s">
        <v>3</v>
      </c>
      <c r="H65" s="260">
        <v>2</v>
      </c>
      <c r="I65" s="262" t="s">
        <v>581</v>
      </c>
      <c r="J65" s="112">
        <v>140</v>
      </c>
      <c r="K65" s="75">
        <v>200</v>
      </c>
      <c r="L65" s="75">
        <v>1000</v>
      </c>
      <c r="M65" s="202">
        <v>10.086852358848876</v>
      </c>
      <c r="N65" s="87">
        <v>1643.8380893999999</v>
      </c>
      <c r="O65" s="123">
        <v>35484.325809320282</v>
      </c>
      <c r="P65" s="123">
        <v>41527.897932902109</v>
      </c>
      <c r="Q65" s="120">
        <v>10094.130577345051</v>
      </c>
      <c r="R65" s="123">
        <v>45578.456386665333</v>
      </c>
      <c r="S65" s="123">
        <v>51622.028510247161</v>
      </c>
      <c r="U65" s="7" t="s">
        <v>6926</v>
      </c>
    </row>
    <row r="66" spans="1:21" s="7" customFormat="1" ht="16.5" thickBot="1">
      <c r="A66" s="259" t="s">
        <v>10</v>
      </c>
      <c r="B66" s="263">
        <f t="shared" si="3"/>
        <v>140</v>
      </c>
      <c r="C66" s="263" t="s">
        <v>3</v>
      </c>
      <c r="D66" s="263">
        <f t="shared" si="4"/>
        <v>200</v>
      </c>
      <c r="E66" s="263" t="s">
        <v>3</v>
      </c>
      <c r="F66" s="261">
        <f t="shared" si="5"/>
        <v>1050</v>
      </c>
      <c r="G66" s="263" t="s">
        <v>3</v>
      </c>
      <c r="H66" s="260">
        <v>2</v>
      </c>
      <c r="I66" s="262" t="s">
        <v>581</v>
      </c>
      <c r="J66" s="112">
        <v>140</v>
      </c>
      <c r="K66" s="75">
        <v>200</v>
      </c>
      <c r="L66" s="75">
        <v>1050</v>
      </c>
      <c r="M66" s="202">
        <v>10.530938420278</v>
      </c>
      <c r="N66" s="87">
        <v>1770.2871731999996</v>
      </c>
      <c r="O66" s="123">
        <v>37271.597326298914</v>
      </c>
      <c r="P66" s="123">
        <v>43568.585145296893</v>
      </c>
      <c r="Q66" s="120">
        <v>10683.130993856326</v>
      </c>
      <c r="R66" s="123">
        <v>47954.728320155242</v>
      </c>
      <c r="S66" s="123">
        <v>54251.716139153221</v>
      </c>
      <c r="U66" s="7" t="s">
        <v>6927</v>
      </c>
    </row>
    <row r="67" spans="1:21" s="7" customFormat="1" ht="16.5" thickBot="1">
      <c r="A67" s="259" t="s">
        <v>10</v>
      </c>
      <c r="B67" s="260">
        <f t="shared" si="3"/>
        <v>140</v>
      </c>
      <c r="C67" s="260" t="s">
        <v>3</v>
      </c>
      <c r="D67" s="260">
        <f t="shared" si="4"/>
        <v>200</v>
      </c>
      <c r="E67" s="260" t="s">
        <v>3</v>
      </c>
      <c r="F67" s="261">
        <f t="shared" si="5"/>
        <v>1100</v>
      </c>
      <c r="G67" s="260" t="s">
        <v>3</v>
      </c>
      <c r="H67" s="260">
        <v>2</v>
      </c>
      <c r="I67" s="262" t="s">
        <v>581</v>
      </c>
      <c r="J67" s="112">
        <v>140</v>
      </c>
      <c r="K67" s="75">
        <v>200</v>
      </c>
      <c r="L67" s="75">
        <v>1100</v>
      </c>
      <c r="M67" s="202">
        <v>10.958836481707124</v>
      </c>
      <c r="N67" s="87">
        <v>1896.7362569999998</v>
      </c>
      <c r="O67" s="123">
        <v>38832.930119680532</v>
      </c>
      <c r="P67" s="123">
        <v>45378.277907658667</v>
      </c>
      <c r="Q67" s="120">
        <v>11041.549772977691</v>
      </c>
      <c r="R67" s="123">
        <v>49874.479892658223</v>
      </c>
      <c r="S67" s="123">
        <v>56419.827680636357</v>
      </c>
      <c r="U67" s="7" t="s">
        <v>6928</v>
      </c>
    </row>
    <row r="68" spans="1:21" s="7" customFormat="1" ht="16.5" thickBot="1">
      <c r="A68" s="259" t="s">
        <v>10</v>
      </c>
      <c r="B68" s="263">
        <f t="shared" si="3"/>
        <v>140</v>
      </c>
      <c r="C68" s="263" t="s">
        <v>3</v>
      </c>
      <c r="D68" s="263">
        <f t="shared" si="4"/>
        <v>200</v>
      </c>
      <c r="E68" s="263" t="s">
        <v>3</v>
      </c>
      <c r="F68" s="261">
        <f t="shared" si="5"/>
        <v>1150</v>
      </c>
      <c r="G68" s="263" t="s">
        <v>3</v>
      </c>
      <c r="H68" s="260">
        <v>2</v>
      </c>
      <c r="I68" s="262" t="s">
        <v>581</v>
      </c>
      <c r="J68" s="112">
        <v>140</v>
      </c>
      <c r="K68" s="75">
        <v>200</v>
      </c>
      <c r="L68" s="75">
        <v>1150</v>
      </c>
      <c r="M68" s="202">
        <v>11.386734543136249</v>
      </c>
      <c r="N68" s="87">
        <v>2023.1853407999999</v>
      </c>
      <c r="O68" s="123">
        <v>39638.920460509049</v>
      </c>
      <c r="P68" s="123">
        <v>46415.672758049441</v>
      </c>
      <c r="Q68" s="120">
        <v>11399.96841170569</v>
      </c>
      <c r="R68" s="123">
        <v>51038.888872214739</v>
      </c>
      <c r="S68" s="123">
        <v>57815.64116975513</v>
      </c>
      <c r="U68" s="7" t="s">
        <v>6929</v>
      </c>
    </row>
    <row r="69" spans="1:21" s="7" customFormat="1" ht="16.5" thickBot="1">
      <c r="A69" s="259" t="s">
        <v>10</v>
      </c>
      <c r="B69" s="263">
        <f t="shared" si="3"/>
        <v>140</v>
      </c>
      <c r="C69" s="263" t="s">
        <v>3</v>
      </c>
      <c r="D69" s="263">
        <f t="shared" si="4"/>
        <v>200</v>
      </c>
      <c r="E69" s="263" t="s">
        <v>3</v>
      </c>
      <c r="F69" s="261">
        <f t="shared" si="5"/>
        <v>1200</v>
      </c>
      <c r="G69" s="263" t="s">
        <v>3</v>
      </c>
      <c r="H69" s="260">
        <v>2</v>
      </c>
      <c r="I69" s="262" t="s">
        <v>581</v>
      </c>
      <c r="J69" s="112">
        <v>140</v>
      </c>
      <c r="K69" s="75">
        <v>200</v>
      </c>
      <c r="L69" s="75">
        <v>1200</v>
      </c>
      <c r="M69" s="202">
        <v>11.868108104565373</v>
      </c>
      <c r="N69" s="87">
        <v>2149.6344245999999</v>
      </c>
      <c r="O69" s="123">
        <v>40480.049877096695</v>
      </c>
      <c r="P69" s="123">
        <v>47489.014861398449</v>
      </c>
      <c r="Q69" s="120">
        <v>11988.968828216965</v>
      </c>
      <c r="R69" s="123">
        <v>52469.018705313661</v>
      </c>
      <c r="S69" s="123">
        <v>59477.983689615416</v>
      </c>
      <c r="U69" s="7" t="s">
        <v>6930</v>
      </c>
    </row>
    <row r="70" spans="1:21" s="7" customFormat="1" ht="16.5" thickBot="1">
      <c r="A70" s="259" t="s">
        <v>10</v>
      </c>
      <c r="B70" s="263">
        <f t="shared" si="3"/>
        <v>140</v>
      </c>
      <c r="C70" s="263" t="s">
        <v>3</v>
      </c>
      <c r="D70" s="263">
        <f t="shared" si="4"/>
        <v>200</v>
      </c>
      <c r="E70" s="263" t="s">
        <v>3</v>
      </c>
      <c r="F70" s="261">
        <f t="shared" si="5"/>
        <v>1250</v>
      </c>
      <c r="G70" s="263" t="s">
        <v>3</v>
      </c>
      <c r="H70" s="260">
        <v>2</v>
      </c>
      <c r="I70" s="262" t="s">
        <v>581</v>
      </c>
      <c r="J70" s="112">
        <v>140</v>
      </c>
      <c r="K70" s="75">
        <v>200</v>
      </c>
      <c r="L70" s="75">
        <v>1250</v>
      </c>
      <c r="M70" s="202">
        <v>13.114906165994498</v>
      </c>
      <c r="N70" s="87">
        <v>2276.0835084</v>
      </c>
      <c r="O70" s="123">
        <v>41285.55918112761</v>
      </c>
      <c r="P70" s="123">
        <v>48525.95965138312</v>
      </c>
      <c r="Q70" s="120">
        <v>12347.387466944965</v>
      </c>
      <c r="R70" s="123">
        <v>53632.946648072575</v>
      </c>
      <c r="S70" s="123">
        <v>60873.347118328085</v>
      </c>
      <c r="U70" s="7" t="s">
        <v>6931</v>
      </c>
    </row>
    <row r="71" spans="1:21" s="7" customFormat="1" ht="16.5" thickBot="1">
      <c r="A71" s="259" t="s">
        <v>10</v>
      </c>
      <c r="B71" s="263">
        <f t="shared" si="3"/>
        <v>140</v>
      </c>
      <c r="C71" s="263" t="s">
        <v>3</v>
      </c>
      <c r="D71" s="263">
        <f t="shared" si="4"/>
        <v>200</v>
      </c>
      <c r="E71" s="263" t="s">
        <v>3</v>
      </c>
      <c r="F71" s="261">
        <f t="shared" si="5"/>
        <v>1300</v>
      </c>
      <c r="G71" s="263" t="s">
        <v>3</v>
      </c>
      <c r="H71" s="260">
        <v>2</v>
      </c>
      <c r="I71" s="262" t="s">
        <v>581</v>
      </c>
      <c r="J71" s="112">
        <v>140</v>
      </c>
      <c r="K71" s="75">
        <v>200</v>
      </c>
      <c r="L71" s="75">
        <v>1300</v>
      </c>
      <c r="M71" s="202">
        <v>13.558992227423625</v>
      </c>
      <c r="N71" s="87">
        <v>2402.5325921999997</v>
      </c>
      <c r="O71" s="123">
        <v>44543.451956496567</v>
      </c>
      <c r="P71" s="123">
        <v>52070.227261050146</v>
      </c>
      <c r="Q71" s="120">
        <v>12936.38788345624</v>
      </c>
      <c r="R71" s="123">
        <v>57479.839839952809</v>
      </c>
      <c r="S71" s="123">
        <v>65006.615144506388</v>
      </c>
      <c r="U71" s="7" t="s">
        <v>6932</v>
      </c>
    </row>
    <row r="72" spans="1:21" s="7" customFormat="1" ht="16.5" thickBot="1">
      <c r="A72" s="259" t="s">
        <v>10</v>
      </c>
      <c r="B72" s="263">
        <f t="shared" si="3"/>
        <v>140</v>
      </c>
      <c r="C72" s="263" t="s">
        <v>3</v>
      </c>
      <c r="D72" s="263">
        <f t="shared" si="4"/>
        <v>200</v>
      </c>
      <c r="E72" s="263" t="s">
        <v>3</v>
      </c>
      <c r="F72" s="261">
        <f t="shared" si="5"/>
        <v>1350</v>
      </c>
      <c r="G72" s="263" t="s">
        <v>3</v>
      </c>
      <c r="H72" s="260">
        <v>2</v>
      </c>
      <c r="I72" s="262" t="s">
        <v>581</v>
      </c>
      <c r="J72" s="112">
        <v>140</v>
      </c>
      <c r="K72" s="75">
        <v>200</v>
      </c>
      <c r="L72" s="75">
        <v>1350</v>
      </c>
      <c r="M72" s="202">
        <v>13.986890288852749</v>
      </c>
      <c r="N72" s="87">
        <v>2528.9816759999999</v>
      </c>
      <c r="O72" s="123">
        <v>45598.657784146169</v>
      </c>
      <c r="P72" s="123">
        <v>53362.408658190128</v>
      </c>
      <c r="Q72" s="120">
        <v>13294.806662577603</v>
      </c>
      <c r="R72" s="123">
        <v>58893.464446723774</v>
      </c>
      <c r="S72" s="123">
        <v>66657.215320767733</v>
      </c>
      <c r="U72" s="7" t="s">
        <v>6933</v>
      </c>
    </row>
    <row r="73" spans="1:21" s="7" customFormat="1" ht="16.5" thickBot="1">
      <c r="A73" s="259" t="s">
        <v>10</v>
      </c>
      <c r="B73" s="263">
        <f t="shared" si="3"/>
        <v>140</v>
      </c>
      <c r="C73" s="263" t="s">
        <v>3</v>
      </c>
      <c r="D73" s="263">
        <f t="shared" si="4"/>
        <v>200</v>
      </c>
      <c r="E73" s="263" t="s">
        <v>3</v>
      </c>
      <c r="F73" s="261">
        <f t="shared" si="5"/>
        <v>1400</v>
      </c>
      <c r="G73" s="263" t="s">
        <v>3</v>
      </c>
      <c r="H73" s="260">
        <v>2</v>
      </c>
      <c r="I73" s="262" t="s">
        <v>581</v>
      </c>
      <c r="J73" s="112">
        <v>140</v>
      </c>
      <c r="K73" s="75">
        <v>200</v>
      </c>
      <c r="L73" s="75">
        <v>1400</v>
      </c>
      <c r="M73" s="202">
        <v>14.430976350281874</v>
      </c>
      <c r="N73" s="87">
        <v>2655.4307598</v>
      </c>
      <c r="O73" s="123">
        <v>46980.879968736961</v>
      </c>
      <c r="P73" s="123">
        <v>54988.961043515963</v>
      </c>
      <c r="Q73" s="120">
        <v>13883.807079088876</v>
      </c>
      <c r="R73" s="123">
        <v>60864.687047825835</v>
      </c>
      <c r="S73" s="123">
        <v>68872.768122604844</v>
      </c>
      <c r="U73" s="7" t="s">
        <v>6934</v>
      </c>
    </row>
    <row r="74" spans="1:21" s="7" customFormat="1" ht="16.5" thickBot="1">
      <c r="A74" s="259" t="s">
        <v>10</v>
      </c>
      <c r="B74" s="263">
        <f t="shared" si="3"/>
        <v>140</v>
      </c>
      <c r="C74" s="263" t="s">
        <v>3</v>
      </c>
      <c r="D74" s="263">
        <f t="shared" si="4"/>
        <v>200</v>
      </c>
      <c r="E74" s="263" t="s">
        <v>3</v>
      </c>
      <c r="F74" s="261">
        <f t="shared" si="5"/>
        <v>1450</v>
      </c>
      <c r="G74" s="263" t="s">
        <v>3</v>
      </c>
      <c r="H74" s="260">
        <v>2</v>
      </c>
      <c r="I74" s="262" t="s">
        <v>581</v>
      </c>
      <c r="J74" s="112">
        <v>140</v>
      </c>
      <c r="K74" s="75">
        <v>200</v>
      </c>
      <c r="L74" s="75">
        <v>1450</v>
      </c>
      <c r="M74" s="202">
        <v>14.858874411711</v>
      </c>
      <c r="N74" s="87">
        <v>2781.8798436000002</v>
      </c>
      <c r="O74" s="123">
        <v>48036.085677052208</v>
      </c>
      <c r="P74" s="123">
        <v>56281.144007445873</v>
      </c>
      <c r="Q74" s="120">
        <v>14242.225717816877</v>
      </c>
      <c r="R74" s="123">
        <v>62278.311394869088</v>
      </c>
      <c r="S74" s="123">
        <v>70523.369725262746</v>
      </c>
      <c r="U74" s="7" t="s">
        <v>6935</v>
      </c>
    </row>
    <row r="75" spans="1:21" s="7" customFormat="1" ht="16.5" thickBot="1">
      <c r="A75" s="259" t="s">
        <v>10</v>
      </c>
      <c r="B75" s="263">
        <f t="shared" si="3"/>
        <v>140</v>
      </c>
      <c r="C75" s="263" t="s">
        <v>3</v>
      </c>
      <c r="D75" s="263">
        <f t="shared" si="4"/>
        <v>200</v>
      </c>
      <c r="E75" s="263" t="s">
        <v>3</v>
      </c>
      <c r="F75" s="261">
        <f t="shared" si="5"/>
        <v>1500</v>
      </c>
      <c r="G75" s="263" t="s">
        <v>3</v>
      </c>
      <c r="H75" s="260">
        <v>2</v>
      </c>
      <c r="I75" s="262" t="s">
        <v>581</v>
      </c>
      <c r="J75" s="112">
        <v>140</v>
      </c>
      <c r="K75" s="75">
        <v>200</v>
      </c>
      <c r="L75" s="75">
        <v>1500</v>
      </c>
      <c r="M75" s="202">
        <v>15.164340830562125</v>
      </c>
      <c r="N75" s="87">
        <v>2908.3289273999994</v>
      </c>
      <c r="O75" s="123">
        <v>49523.5138671065</v>
      </c>
      <c r="P75" s="123">
        <v>58090.541952169995</v>
      </c>
      <c r="Q75" s="120">
        <v>14831.226134328155</v>
      </c>
      <c r="R75" s="123">
        <v>64354.740001434657</v>
      </c>
      <c r="S75" s="123">
        <v>72921.768086498152</v>
      </c>
      <c r="U75" s="7" t="s">
        <v>6936</v>
      </c>
    </row>
    <row r="76" spans="1:21" s="7" customFormat="1" ht="16.5" thickBot="1">
      <c r="A76" s="259" t="s">
        <v>10</v>
      </c>
      <c r="B76" s="263">
        <f t="shared" si="3"/>
        <v>140</v>
      </c>
      <c r="C76" s="263" t="s">
        <v>3</v>
      </c>
      <c r="D76" s="263">
        <f t="shared" si="4"/>
        <v>200</v>
      </c>
      <c r="E76" s="263" t="s">
        <v>3</v>
      </c>
      <c r="F76" s="261">
        <f t="shared" si="5"/>
        <v>1550</v>
      </c>
      <c r="G76" s="263" t="s">
        <v>3</v>
      </c>
      <c r="H76" s="260">
        <v>2</v>
      </c>
      <c r="I76" s="262" t="s">
        <v>581</v>
      </c>
      <c r="J76" s="112">
        <v>140</v>
      </c>
      <c r="K76" s="75">
        <v>200</v>
      </c>
      <c r="L76" s="75">
        <v>1550</v>
      </c>
      <c r="M76" s="202">
        <v>15.592238891991249</v>
      </c>
      <c r="N76" s="87">
        <v>3034.7780111999996</v>
      </c>
      <c r="O76" s="123">
        <v>50578.719575421746</v>
      </c>
      <c r="P76" s="123">
        <v>59382.75781868834</v>
      </c>
      <c r="Q76" s="120">
        <v>15189.644913449516</v>
      </c>
      <c r="R76" s="123">
        <v>65768.364488871259</v>
      </c>
      <c r="S76" s="123">
        <v>74572.402732137853</v>
      </c>
      <c r="U76" s="7" t="s">
        <v>6937</v>
      </c>
    </row>
    <row r="77" spans="1:21" s="7" customFormat="1" ht="16.5" thickBot="1">
      <c r="A77" s="259" t="s">
        <v>10</v>
      </c>
      <c r="B77" s="260">
        <f t="shared" si="3"/>
        <v>140</v>
      </c>
      <c r="C77" s="260" t="s">
        <v>3</v>
      </c>
      <c r="D77" s="260">
        <f t="shared" si="4"/>
        <v>200</v>
      </c>
      <c r="E77" s="260" t="s">
        <v>3</v>
      </c>
      <c r="F77" s="261">
        <f t="shared" si="5"/>
        <v>1600</v>
      </c>
      <c r="G77" s="260" t="s">
        <v>3</v>
      </c>
      <c r="H77" s="260">
        <v>2</v>
      </c>
      <c r="I77" s="262" t="s">
        <v>581</v>
      </c>
      <c r="J77" s="112">
        <v>140</v>
      </c>
      <c r="K77" s="75">
        <v>200</v>
      </c>
      <c r="L77" s="75">
        <v>1600</v>
      </c>
      <c r="M77" s="202">
        <v>16.020136953420369</v>
      </c>
      <c r="N77" s="87">
        <v>3161.2270949999997</v>
      </c>
      <c r="O77" s="123">
        <v>53579.966748829684</v>
      </c>
      <c r="P77" s="123">
        <v>62664.640081033307</v>
      </c>
      <c r="Q77" s="120">
        <v>15548.063552177517</v>
      </c>
      <c r="R77" s="123">
        <v>69128.030301007195</v>
      </c>
      <c r="S77" s="123">
        <v>78212.703633210826</v>
      </c>
      <c r="U77" s="7" t="s">
        <v>6938</v>
      </c>
    </row>
    <row r="78" spans="1:21" s="7" customFormat="1" ht="16.5" thickBot="1">
      <c r="A78" s="259" t="s">
        <v>10</v>
      </c>
      <c r="B78" s="263">
        <f t="shared" si="3"/>
        <v>140</v>
      </c>
      <c r="C78" s="263" t="s">
        <v>3</v>
      </c>
      <c r="D78" s="263">
        <f t="shared" si="4"/>
        <v>200</v>
      </c>
      <c r="E78" s="263" t="s">
        <v>3</v>
      </c>
      <c r="F78" s="261">
        <f t="shared" si="5"/>
        <v>1650</v>
      </c>
      <c r="G78" s="263" t="s">
        <v>3</v>
      </c>
      <c r="H78" s="260">
        <v>2</v>
      </c>
      <c r="I78" s="262" t="s">
        <v>581</v>
      </c>
      <c r="J78" s="112">
        <v>140</v>
      </c>
      <c r="K78" s="75">
        <v>200</v>
      </c>
      <c r="L78" s="75">
        <v>1650</v>
      </c>
      <c r="M78" s="202">
        <v>16.464223014849498</v>
      </c>
      <c r="N78" s="87">
        <v>3287.6761787999999</v>
      </c>
      <c r="O78" s="123">
        <v>56833.473986537552</v>
      </c>
      <c r="P78" s="123">
        <v>66204.69250353743</v>
      </c>
      <c r="Q78" s="120">
        <v>16137.063968688792</v>
      </c>
      <c r="R78" s="123">
        <v>72970.537955226348</v>
      </c>
      <c r="S78" s="123">
        <v>82341.756472226218</v>
      </c>
      <c r="U78" s="7" t="s">
        <v>6939</v>
      </c>
    </row>
    <row r="79" spans="1:21" s="7" customFormat="1" ht="16.5" thickBot="1">
      <c r="A79" s="259" t="s">
        <v>10</v>
      </c>
      <c r="B79" s="263">
        <f t="shared" si="3"/>
        <v>140</v>
      </c>
      <c r="C79" s="263" t="s">
        <v>3</v>
      </c>
      <c r="D79" s="263">
        <f t="shared" si="4"/>
        <v>200</v>
      </c>
      <c r="E79" s="263" t="s">
        <v>3</v>
      </c>
      <c r="F79" s="261">
        <f t="shared" si="5"/>
        <v>1700</v>
      </c>
      <c r="G79" s="263" t="s">
        <v>3</v>
      </c>
      <c r="H79" s="260">
        <v>2</v>
      </c>
      <c r="I79" s="262" t="s">
        <v>581</v>
      </c>
      <c r="J79" s="112">
        <v>140</v>
      </c>
      <c r="K79" s="75">
        <v>200</v>
      </c>
      <c r="L79" s="75">
        <v>1700</v>
      </c>
      <c r="M79" s="202">
        <v>17.711021076278627</v>
      </c>
      <c r="N79" s="87">
        <v>3414.1252626</v>
      </c>
      <c r="O79" s="123">
        <v>57683.532238468826</v>
      </c>
      <c r="P79" s="123">
        <v>67287.05788063322</v>
      </c>
      <c r="Q79" s="120">
        <v>16495.48260741679</v>
      </c>
      <c r="R79" s="123">
        <v>74179.014845885613</v>
      </c>
      <c r="S79" s="123">
        <v>83782.540488050014</v>
      </c>
      <c r="U79" s="7" t="s">
        <v>6940</v>
      </c>
    </row>
    <row r="80" spans="1:21" s="7" customFormat="1" ht="16.5" thickBot="1">
      <c r="A80" s="259" t="s">
        <v>10</v>
      </c>
      <c r="B80" s="263">
        <f t="shared" si="3"/>
        <v>140</v>
      </c>
      <c r="C80" s="263" t="s">
        <v>3</v>
      </c>
      <c r="D80" s="263">
        <f t="shared" si="4"/>
        <v>200</v>
      </c>
      <c r="E80" s="263" t="s">
        <v>3</v>
      </c>
      <c r="F80" s="261">
        <f t="shared" si="5"/>
        <v>1750</v>
      </c>
      <c r="G80" s="263" t="s">
        <v>3</v>
      </c>
      <c r="H80" s="260">
        <v>2</v>
      </c>
      <c r="I80" s="262" t="s">
        <v>581</v>
      </c>
      <c r="J80" s="112">
        <v>140</v>
      </c>
      <c r="K80" s="75">
        <v>200</v>
      </c>
      <c r="L80" s="75">
        <v>1750</v>
      </c>
      <c r="M80" s="202">
        <v>18.155107137707752</v>
      </c>
      <c r="N80" s="87">
        <v>3540.5743463999993</v>
      </c>
      <c r="O80" s="123">
        <v>58457.436792425193</v>
      </c>
      <c r="P80" s="123">
        <v>68291.56711614602</v>
      </c>
      <c r="Q80" s="120">
        <v>17084.483023928067</v>
      </c>
      <c r="R80" s="123">
        <v>75541.919816353256</v>
      </c>
      <c r="S80" s="123">
        <v>85376.05014007409</v>
      </c>
      <c r="U80" s="7" t="s">
        <v>6941</v>
      </c>
    </row>
    <row r="81" spans="1:21" s="7" customFormat="1" ht="16.5" thickBot="1">
      <c r="A81" s="259" t="s">
        <v>10</v>
      </c>
      <c r="B81" s="263">
        <f t="shared" si="3"/>
        <v>140</v>
      </c>
      <c r="C81" s="263" t="s">
        <v>3</v>
      </c>
      <c r="D81" s="263">
        <f t="shared" si="4"/>
        <v>200</v>
      </c>
      <c r="E81" s="263" t="s">
        <v>3</v>
      </c>
      <c r="F81" s="261">
        <f t="shared" si="5"/>
        <v>1800</v>
      </c>
      <c r="G81" s="263" t="s">
        <v>3</v>
      </c>
      <c r="H81" s="260">
        <v>2</v>
      </c>
      <c r="I81" s="262" t="s">
        <v>581</v>
      </c>
      <c r="J81" s="112">
        <v>140</v>
      </c>
      <c r="K81" s="75">
        <v>200</v>
      </c>
      <c r="L81" s="75">
        <v>1800</v>
      </c>
      <c r="M81" s="202">
        <v>18.583005199136871</v>
      </c>
      <c r="N81" s="87">
        <v>3667.0234301999994</v>
      </c>
      <c r="O81" s="123">
        <v>59308.1917183392</v>
      </c>
      <c r="P81" s="123">
        <v>69374.676587890601</v>
      </c>
      <c r="Q81" s="120">
        <v>17442.90180304943</v>
      </c>
      <c r="R81" s="123">
        <v>76751.093521388626</v>
      </c>
      <c r="S81" s="123">
        <v>86817.578390940034</v>
      </c>
      <c r="U81" s="7" t="s">
        <v>6942</v>
      </c>
    </row>
    <row r="82" spans="1:21" s="7" customFormat="1" ht="16.5" thickBot="1">
      <c r="A82" s="259" t="s">
        <v>10</v>
      </c>
      <c r="B82" s="263">
        <f t="shared" si="3"/>
        <v>140</v>
      </c>
      <c r="C82" s="263" t="s">
        <v>3</v>
      </c>
      <c r="D82" s="263">
        <f t="shared" si="4"/>
        <v>200</v>
      </c>
      <c r="E82" s="263" t="s">
        <v>3</v>
      </c>
      <c r="F82" s="261">
        <f t="shared" si="5"/>
        <v>1850</v>
      </c>
      <c r="G82" s="263" t="s">
        <v>3</v>
      </c>
      <c r="H82" s="260">
        <v>2</v>
      </c>
      <c r="I82" s="262" t="s">
        <v>581</v>
      </c>
      <c r="J82" s="112">
        <v>140</v>
      </c>
      <c r="K82" s="75">
        <v>200</v>
      </c>
      <c r="L82" s="75">
        <v>1850</v>
      </c>
      <c r="M82" s="202">
        <v>19.027091260565996</v>
      </c>
      <c r="N82" s="87">
        <v>3793.4725139999996</v>
      </c>
      <c r="O82" s="123">
        <v>60158.89843317253</v>
      </c>
      <c r="P82" s="123">
        <v>70457.750676296011</v>
      </c>
      <c r="Q82" s="120">
        <v>18031.902219560703</v>
      </c>
      <c r="R82" s="123">
        <v>78190.800652733233</v>
      </c>
      <c r="S82" s="123">
        <v>88489.652895856707</v>
      </c>
      <c r="U82" s="7" t="s">
        <v>6943</v>
      </c>
    </row>
    <row r="83" spans="1:21" s="7" customFormat="1" ht="16.5" thickBot="1">
      <c r="A83" s="259" t="s">
        <v>10</v>
      </c>
      <c r="B83" s="263">
        <f t="shared" si="3"/>
        <v>140</v>
      </c>
      <c r="C83" s="263" t="s">
        <v>3</v>
      </c>
      <c r="D83" s="263">
        <f t="shared" si="4"/>
        <v>200</v>
      </c>
      <c r="E83" s="263" t="s">
        <v>3</v>
      </c>
      <c r="F83" s="261">
        <f t="shared" si="5"/>
        <v>1900</v>
      </c>
      <c r="G83" s="263" t="s">
        <v>3</v>
      </c>
      <c r="H83" s="260">
        <v>2</v>
      </c>
      <c r="I83" s="262" t="s">
        <v>581</v>
      </c>
      <c r="J83" s="112">
        <v>140</v>
      </c>
      <c r="K83" s="75">
        <v>200</v>
      </c>
      <c r="L83" s="75">
        <v>1900</v>
      </c>
      <c r="M83" s="202">
        <v>19.454989321995122</v>
      </c>
      <c r="N83" s="87">
        <v>3919.9215977999993</v>
      </c>
      <c r="O83" s="123">
        <v>61184.659581964006</v>
      </c>
      <c r="P83" s="123">
        <v>71719.824899359257</v>
      </c>
      <c r="Q83" s="120">
        <v>18390.320858288702</v>
      </c>
      <c r="R83" s="123">
        <v>79574.980440252708</v>
      </c>
      <c r="S83" s="123">
        <v>90110.145757647959</v>
      </c>
      <c r="U83" s="7" t="s">
        <v>6944</v>
      </c>
    </row>
    <row r="84" spans="1:21" s="7" customFormat="1" ht="16.5" thickBot="1">
      <c r="A84" s="259" t="s">
        <v>10</v>
      </c>
      <c r="B84" s="263">
        <f t="shared" si="3"/>
        <v>140</v>
      </c>
      <c r="C84" s="263" t="s">
        <v>3</v>
      </c>
      <c r="D84" s="263">
        <f t="shared" si="4"/>
        <v>200</v>
      </c>
      <c r="E84" s="263" t="s">
        <v>3</v>
      </c>
      <c r="F84" s="261">
        <f t="shared" si="5"/>
        <v>1950</v>
      </c>
      <c r="G84" s="263" t="s">
        <v>3</v>
      </c>
      <c r="H84" s="260">
        <v>2</v>
      </c>
      <c r="I84" s="262" t="s">
        <v>581</v>
      </c>
      <c r="J84" s="112">
        <v>140</v>
      </c>
      <c r="K84" s="75">
        <v>200</v>
      </c>
      <c r="L84" s="75">
        <v>1950</v>
      </c>
      <c r="M84" s="202">
        <v>19.920174883424252</v>
      </c>
      <c r="N84" s="87">
        <v>4046.3706815999999</v>
      </c>
      <c r="O84" s="123">
        <v>62369.622072574173</v>
      </c>
      <c r="P84" s="123">
        <v>73144.679978337343</v>
      </c>
      <c r="Q84" s="120">
        <v>18748.739497016704</v>
      </c>
      <c r="R84" s="123">
        <v>81118.361569590881</v>
      </c>
      <c r="S84" s="123">
        <v>91893.419475354051</v>
      </c>
      <c r="U84" s="7" t="s">
        <v>6945</v>
      </c>
    </row>
    <row r="85" spans="1:21" s="7" customFormat="1" ht="16.5" thickBot="1">
      <c r="A85" s="259" t="s">
        <v>10</v>
      </c>
      <c r="B85" s="263">
        <f t="shared" si="3"/>
        <v>140</v>
      </c>
      <c r="C85" s="263" t="s">
        <v>3</v>
      </c>
      <c r="D85" s="263">
        <f t="shared" si="4"/>
        <v>200</v>
      </c>
      <c r="E85" s="263" t="s">
        <v>3</v>
      </c>
      <c r="F85" s="261">
        <f t="shared" si="5"/>
        <v>2000</v>
      </c>
      <c r="G85" s="263" t="s">
        <v>3</v>
      </c>
      <c r="H85" s="260">
        <v>2</v>
      </c>
      <c r="I85" s="262" t="s">
        <v>581</v>
      </c>
      <c r="J85" s="112">
        <v>140</v>
      </c>
      <c r="K85" s="75">
        <v>200</v>
      </c>
      <c r="L85" s="75">
        <v>2000</v>
      </c>
      <c r="M85" s="202">
        <v>20.451245224853373</v>
      </c>
      <c r="N85" s="87">
        <v>4172.8197653999996</v>
      </c>
      <c r="O85" s="123">
        <v>63426.610755534166</v>
      </c>
      <c r="P85" s="123">
        <v>74649.598936469265</v>
      </c>
      <c r="Q85" s="120">
        <v>19337.740053921341</v>
      </c>
      <c r="R85" s="123">
        <v>82764.3508094555</v>
      </c>
      <c r="S85" s="123">
        <v>93987.338990390606</v>
      </c>
      <c r="U85" s="7" t="s">
        <v>6946</v>
      </c>
    </row>
    <row r="86" spans="1:21" s="7" customFormat="1" ht="16.5" thickBot="1">
      <c r="A86" s="259" t="s">
        <v>10</v>
      </c>
      <c r="B86" s="263">
        <f t="shared" si="3"/>
        <v>140</v>
      </c>
      <c r="C86" s="263" t="s">
        <v>3</v>
      </c>
      <c r="D86" s="263">
        <f t="shared" si="4"/>
        <v>200</v>
      </c>
      <c r="E86" s="263" t="s">
        <v>3</v>
      </c>
      <c r="F86" s="261">
        <f t="shared" si="5"/>
        <v>2050</v>
      </c>
      <c r="G86" s="263" t="s">
        <v>3</v>
      </c>
      <c r="H86" s="260">
        <v>2</v>
      </c>
      <c r="I86" s="262" t="s">
        <v>581</v>
      </c>
      <c r="J86" s="112">
        <v>140</v>
      </c>
      <c r="K86" s="75">
        <v>200</v>
      </c>
      <c r="L86" s="75">
        <v>2050</v>
      </c>
      <c r="M86" s="202">
        <v>21.698043286282502</v>
      </c>
      <c r="N86" s="87">
        <v>4299.2688491999997</v>
      </c>
      <c r="O86" s="123">
        <v>66421.287737186824</v>
      </c>
      <c r="P86" s="123">
        <v>77924.803017888451</v>
      </c>
      <c r="Q86" s="120">
        <v>19696.15869264934</v>
      </c>
      <c r="R86" s="123">
        <v>86117.446429836156</v>
      </c>
      <c r="S86" s="123">
        <v>97620.961710537784</v>
      </c>
      <c r="U86" s="7" t="s">
        <v>6947</v>
      </c>
    </row>
    <row r="87" spans="1:21" s="7" customFormat="1" ht="16.5" thickBot="1">
      <c r="A87" s="259" t="s">
        <v>10</v>
      </c>
      <c r="B87" s="260">
        <f t="shared" si="3"/>
        <v>140</v>
      </c>
      <c r="C87" s="260" t="s">
        <v>3</v>
      </c>
      <c r="D87" s="260">
        <f t="shared" si="4"/>
        <v>200</v>
      </c>
      <c r="E87" s="260" t="s">
        <v>3</v>
      </c>
      <c r="F87" s="261">
        <f t="shared" si="5"/>
        <v>2100</v>
      </c>
      <c r="G87" s="260" t="s">
        <v>3</v>
      </c>
      <c r="H87" s="260">
        <v>2</v>
      </c>
      <c r="I87" s="262" t="s">
        <v>581</v>
      </c>
      <c r="J87" s="112">
        <v>140</v>
      </c>
      <c r="K87" s="75">
        <v>200</v>
      </c>
      <c r="L87" s="75">
        <v>2100</v>
      </c>
      <c r="M87" s="202">
        <v>22.14212934771162</v>
      </c>
      <c r="N87" s="87">
        <v>4425.717932999999</v>
      </c>
      <c r="O87" s="123">
        <v>67333.924449181402</v>
      </c>
      <c r="P87" s="123">
        <v>79071.196309816412</v>
      </c>
      <c r="Q87" s="120">
        <v>20285.159109160617</v>
      </c>
      <c r="R87" s="123">
        <v>87619.083558342012</v>
      </c>
      <c r="S87" s="123">
        <v>99356.355418977037</v>
      </c>
      <c r="U87" s="7" t="s">
        <v>6948</v>
      </c>
    </row>
    <row r="88" spans="1:21" s="7" customFormat="1" ht="16.5" thickBot="1">
      <c r="A88" s="259" t="s">
        <v>10</v>
      </c>
      <c r="B88" s="263">
        <f t="shared" si="3"/>
        <v>140</v>
      </c>
      <c r="C88" s="263" t="s">
        <v>3</v>
      </c>
      <c r="D88" s="263">
        <f t="shared" si="4"/>
        <v>200</v>
      </c>
      <c r="E88" s="263" t="s">
        <v>3</v>
      </c>
      <c r="F88" s="261">
        <f t="shared" si="5"/>
        <v>2150</v>
      </c>
      <c r="G88" s="263" t="s">
        <v>3</v>
      </c>
      <c r="H88" s="260">
        <v>2</v>
      </c>
      <c r="I88" s="262" t="s">
        <v>581</v>
      </c>
      <c r="J88" s="112">
        <v>140</v>
      </c>
      <c r="K88" s="75">
        <v>200</v>
      </c>
      <c r="L88" s="75">
        <v>2150</v>
      </c>
      <c r="M88" s="202">
        <v>22.570027409140753</v>
      </c>
      <c r="N88" s="87">
        <v>4552.1670168000001</v>
      </c>
      <c r="O88" s="123">
        <v>68394.17835884841</v>
      </c>
      <c r="P88" s="123">
        <v>80368.531923547984</v>
      </c>
      <c r="Q88" s="120">
        <v>20643.577747888616</v>
      </c>
      <c r="R88" s="123">
        <v>89037.756106737026</v>
      </c>
      <c r="S88" s="123">
        <v>101012.1096714366</v>
      </c>
      <c r="U88" s="7" t="s">
        <v>6949</v>
      </c>
    </row>
    <row r="89" spans="1:21" s="7" customFormat="1" ht="16.5" thickBot="1">
      <c r="A89" s="259" t="s">
        <v>10</v>
      </c>
      <c r="B89" s="263">
        <f t="shared" si="3"/>
        <v>140</v>
      </c>
      <c r="C89" s="263" t="s">
        <v>3</v>
      </c>
      <c r="D89" s="263">
        <f t="shared" si="4"/>
        <v>200</v>
      </c>
      <c r="E89" s="263" t="s">
        <v>3</v>
      </c>
      <c r="F89" s="261">
        <f t="shared" si="5"/>
        <v>2200</v>
      </c>
      <c r="G89" s="263" t="s">
        <v>3</v>
      </c>
      <c r="H89" s="260">
        <v>2</v>
      </c>
      <c r="I89" s="262" t="s">
        <v>581</v>
      </c>
      <c r="J89" s="112">
        <v>140</v>
      </c>
      <c r="K89" s="75">
        <v>200</v>
      </c>
      <c r="L89" s="75">
        <v>2200</v>
      </c>
      <c r="M89" s="202">
        <v>23.014113470569878</v>
      </c>
      <c r="N89" s="87">
        <v>4678.6161005999993</v>
      </c>
      <c r="O89" s="123">
        <v>69454.384296103453</v>
      </c>
      <c r="P89" s="123">
        <v>81665.821447542578</v>
      </c>
      <c r="Q89" s="120">
        <v>21232.578164399893</v>
      </c>
      <c r="R89" s="123">
        <v>90686.962460503346</v>
      </c>
      <c r="S89" s="123">
        <v>102898.39961194247</v>
      </c>
      <c r="U89" s="7" t="s">
        <v>6950</v>
      </c>
    </row>
    <row r="90" spans="1:21" s="7" customFormat="1" ht="16.5" thickBot="1">
      <c r="A90" s="259" t="s">
        <v>10</v>
      </c>
      <c r="B90" s="263">
        <f t="shared" si="3"/>
        <v>140</v>
      </c>
      <c r="C90" s="263" t="s">
        <v>3</v>
      </c>
      <c r="D90" s="263">
        <f t="shared" si="4"/>
        <v>200</v>
      </c>
      <c r="E90" s="263" t="s">
        <v>3</v>
      </c>
      <c r="F90" s="261">
        <f t="shared" si="5"/>
        <v>2250</v>
      </c>
      <c r="G90" s="263" t="s">
        <v>3</v>
      </c>
      <c r="H90" s="260">
        <v>2</v>
      </c>
      <c r="I90" s="262" t="s">
        <v>581</v>
      </c>
      <c r="J90" s="112">
        <v>140</v>
      </c>
      <c r="K90" s="75">
        <v>200</v>
      </c>
      <c r="L90" s="75">
        <v>2250</v>
      </c>
      <c r="M90" s="202">
        <v>23.442011531999</v>
      </c>
      <c r="N90" s="87">
        <v>4805.0651843999995</v>
      </c>
      <c r="O90" s="123">
        <v>70834.201296706233</v>
      </c>
      <c r="P90" s="123">
        <v>83289.900263273521</v>
      </c>
      <c r="Q90" s="120">
        <v>21590.996943521255</v>
      </c>
      <c r="R90" s="123">
        <v>92425.198240227488</v>
      </c>
      <c r="S90" s="123">
        <v>104880.89720679478</v>
      </c>
      <c r="U90" s="7" t="s">
        <v>6951</v>
      </c>
    </row>
    <row r="91" spans="1:21" s="7" customFormat="1" ht="16.5" thickBot="1">
      <c r="A91" s="259" t="s">
        <v>10</v>
      </c>
      <c r="B91" s="263">
        <f t="shared" si="3"/>
        <v>140</v>
      </c>
      <c r="C91" s="263" t="s">
        <v>3</v>
      </c>
      <c r="D91" s="263">
        <f t="shared" si="4"/>
        <v>200</v>
      </c>
      <c r="E91" s="263" t="s">
        <v>3</v>
      </c>
      <c r="F91" s="261">
        <f t="shared" si="5"/>
        <v>2300</v>
      </c>
      <c r="G91" s="263" t="s">
        <v>3</v>
      </c>
      <c r="H91" s="260">
        <v>2</v>
      </c>
      <c r="I91" s="262" t="s">
        <v>581</v>
      </c>
      <c r="J91" s="112">
        <v>140</v>
      </c>
      <c r="K91" s="75">
        <v>200</v>
      </c>
      <c r="L91" s="75">
        <v>2300</v>
      </c>
      <c r="M91" s="202">
        <v>23.869909593428126</v>
      </c>
      <c r="N91" s="87">
        <v>4931.5142681999996</v>
      </c>
      <c r="O91" s="123">
        <v>71651.501670660407</v>
      </c>
      <c r="P91" s="123">
        <v>84338.835174294742</v>
      </c>
      <c r="Q91" s="120">
        <v>21949.415582249254</v>
      </c>
      <c r="R91" s="123">
        <v>93600.917252909654</v>
      </c>
      <c r="S91" s="123">
        <v>106288.250756544</v>
      </c>
      <c r="U91" s="7" t="s">
        <v>6952</v>
      </c>
    </row>
    <row r="92" spans="1:21" s="7" customFormat="1" ht="16.5" thickBot="1">
      <c r="A92" s="259" t="s">
        <v>10</v>
      </c>
      <c r="B92" s="263">
        <f t="shared" si="3"/>
        <v>140</v>
      </c>
      <c r="C92" s="263" t="s">
        <v>3</v>
      </c>
      <c r="D92" s="263">
        <f t="shared" si="4"/>
        <v>200</v>
      </c>
      <c r="E92" s="263" t="s">
        <v>3</v>
      </c>
      <c r="F92" s="261">
        <f t="shared" si="5"/>
        <v>2350</v>
      </c>
      <c r="G92" s="263" t="s">
        <v>3</v>
      </c>
      <c r="H92" s="260">
        <v>2</v>
      </c>
      <c r="I92" s="262" t="s">
        <v>581</v>
      </c>
      <c r="J92" s="112">
        <v>140</v>
      </c>
      <c r="K92" s="75">
        <v>200</v>
      </c>
      <c r="L92" s="75">
        <v>2350</v>
      </c>
      <c r="M92" s="202">
        <v>24.313995654857251</v>
      </c>
      <c r="N92" s="87">
        <v>5057.9633519999998</v>
      </c>
      <c r="O92" s="123">
        <v>72468.753952868254</v>
      </c>
      <c r="P92" s="123">
        <v>85387.733265752715</v>
      </c>
      <c r="Q92" s="120">
        <v>22538.415998760531</v>
      </c>
      <c r="R92" s="123">
        <v>95007.169951628777</v>
      </c>
      <c r="S92" s="123">
        <v>107926.14926451325</v>
      </c>
      <c r="U92" s="7" t="s">
        <v>6953</v>
      </c>
    </row>
    <row r="93" spans="1:21" s="7" customFormat="1" ht="16.5" thickBot="1">
      <c r="A93" s="259" t="s">
        <v>10</v>
      </c>
      <c r="B93" s="263">
        <f t="shared" si="3"/>
        <v>140</v>
      </c>
      <c r="C93" s="263" t="s">
        <v>3</v>
      </c>
      <c r="D93" s="263">
        <f t="shared" si="4"/>
        <v>200</v>
      </c>
      <c r="E93" s="263" t="s">
        <v>3</v>
      </c>
      <c r="F93" s="261">
        <f t="shared" si="5"/>
        <v>2400</v>
      </c>
      <c r="G93" s="263" t="s">
        <v>3</v>
      </c>
      <c r="H93" s="260">
        <v>2</v>
      </c>
      <c r="I93" s="262" t="s">
        <v>581</v>
      </c>
      <c r="J93" s="112">
        <v>140</v>
      </c>
      <c r="K93" s="75">
        <v>200</v>
      </c>
      <c r="L93" s="75">
        <v>2400</v>
      </c>
      <c r="M93" s="202">
        <v>24.741893716286373</v>
      </c>
      <c r="N93" s="87">
        <v>5184.412435799999</v>
      </c>
      <c r="O93" s="123">
        <v>73285.958262664135</v>
      </c>
      <c r="P93" s="123">
        <v>86436.594145949959</v>
      </c>
      <c r="Q93" s="120">
        <v>22896.83463748853</v>
      </c>
      <c r="R93" s="123">
        <v>96182.792900152665</v>
      </c>
      <c r="S93" s="123">
        <v>109333.42878343849</v>
      </c>
      <c r="U93" s="7" t="s">
        <v>6954</v>
      </c>
    </row>
    <row r="94" spans="1:21" ht="16.5" thickBot="1">
      <c r="A94" s="259" t="s">
        <v>10</v>
      </c>
      <c r="B94" s="263">
        <f t="shared" si="3"/>
        <v>140</v>
      </c>
      <c r="C94" s="263" t="s">
        <v>3</v>
      </c>
      <c r="D94" s="263">
        <f t="shared" si="4"/>
        <v>200</v>
      </c>
      <c r="E94" s="263" t="s">
        <v>3</v>
      </c>
      <c r="F94" s="261">
        <f t="shared" si="5"/>
        <v>2450</v>
      </c>
      <c r="G94" s="263" t="s">
        <v>3</v>
      </c>
      <c r="H94" s="260">
        <v>2</v>
      </c>
      <c r="I94" s="262" t="s">
        <v>581</v>
      </c>
      <c r="J94" s="112">
        <v>140</v>
      </c>
      <c r="K94" s="75">
        <v>200</v>
      </c>
      <c r="L94" s="75">
        <v>2450</v>
      </c>
      <c r="M94" s="202">
        <v>25.866260135137502</v>
      </c>
      <c r="N94" s="87">
        <v>5310.8615196000001</v>
      </c>
      <c r="O94" s="123">
        <v>74535.336843118377</v>
      </c>
      <c r="P94" s="123">
        <v>88002.803575782571</v>
      </c>
      <c r="Q94" s="120">
        <v>23485.83519439317</v>
      </c>
      <c r="R94" s="123">
        <v>98021.17203751154</v>
      </c>
      <c r="S94" s="123">
        <v>111488.63877017575</v>
      </c>
      <c r="U94" s="7" t="s">
        <v>6955</v>
      </c>
    </row>
    <row r="95" spans="1:21" ht="16.5" thickBot="1">
      <c r="A95" s="259" t="s">
        <v>10</v>
      </c>
      <c r="B95" s="263">
        <f t="shared" si="3"/>
        <v>140</v>
      </c>
      <c r="C95" s="263" t="s">
        <v>3</v>
      </c>
      <c r="D95" s="263">
        <f t="shared" si="4"/>
        <v>200</v>
      </c>
      <c r="E95" s="263" t="s">
        <v>3</v>
      </c>
      <c r="F95" s="261">
        <f t="shared" si="5"/>
        <v>2500</v>
      </c>
      <c r="G95" s="263" t="s">
        <v>3</v>
      </c>
      <c r="H95" s="260">
        <v>2</v>
      </c>
      <c r="I95" s="262" t="s">
        <v>581</v>
      </c>
      <c r="J95" s="112">
        <v>140</v>
      </c>
      <c r="K95" s="75">
        <v>200</v>
      </c>
      <c r="L95" s="75">
        <v>2500</v>
      </c>
      <c r="M95" s="202">
        <v>26.294158196566624</v>
      </c>
      <c r="N95" s="87">
        <v>5437.3106033999993</v>
      </c>
      <c r="O95" s="123">
        <v>75352.444850087253</v>
      </c>
      <c r="P95" s="123">
        <v>89051.6148409655</v>
      </c>
      <c r="Q95" s="120">
        <v>23844.253833121165</v>
      </c>
      <c r="R95" s="123">
        <v>99196.698683208422</v>
      </c>
      <c r="S95" s="123">
        <v>112895.86867408667</v>
      </c>
      <c r="U95" s="7" t="s">
        <v>6956</v>
      </c>
    </row>
    <row r="96" spans="1:21" ht="16.5" thickBot="1">
      <c r="A96" s="259" t="s">
        <v>10</v>
      </c>
      <c r="B96" s="263">
        <f t="shared" si="3"/>
        <v>140</v>
      </c>
      <c r="C96" s="263" t="s">
        <v>3</v>
      </c>
      <c r="D96" s="263">
        <f t="shared" si="4"/>
        <v>200</v>
      </c>
      <c r="E96" s="263" t="s">
        <v>3</v>
      </c>
      <c r="F96" s="261">
        <f t="shared" si="5"/>
        <v>2550</v>
      </c>
      <c r="G96" s="263" t="s">
        <v>3</v>
      </c>
      <c r="H96" s="260">
        <v>2</v>
      </c>
      <c r="I96" s="262" t="s">
        <v>581</v>
      </c>
      <c r="J96" s="112">
        <v>140</v>
      </c>
      <c r="K96" s="75">
        <v>200</v>
      </c>
      <c r="L96" s="75">
        <v>2550</v>
      </c>
      <c r="M96" s="202">
        <v>26.738244257995753</v>
      </c>
      <c r="N96" s="87">
        <v>5563.7596872000004</v>
      </c>
      <c r="O96" s="123">
        <v>79463.840582969118</v>
      </c>
      <c r="P96" s="123">
        <v>93468.335450103696</v>
      </c>
      <c r="Q96" s="120">
        <v>24433.254249632446</v>
      </c>
      <c r="R96" s="123">
        <v>103897.09483260156</v>
      </c>
      <c r="S96" s="123">
        <v>117901.58969973614</v>
      </c>
      <c r="U96" s="7" t="s">
        <v>6957</v>
      </c>
    </row>
    <row r="97" spans="1:21" ht="16.5" thickBot="1">
      <c r="A97" s="259" t="s">
        <v>10</v>
      </c>
      <c r="B97" s="260">
        <f t="shared" si="3"/>
        <v>140</v>
      </c>
      <c r="C97" s="260" t="s">
        <v>3</v>
      </c>
      <c r="D97" s="260">
        <f t="shared" si="4"/>
        <v>200</v>
      </c>
      <c r="E97" s="260" t="s">
        <v>3</v>
      </c>
      <c r="F97" s="261">
        <f t="shared" si="5"/>
        <v>2600</v>
      </c>
      <c r="G97" s="260" t="s">
        <v>3</v>
      </c>
      <c r="H97" s="260">
        <v>2</v>
      </c>
      <c r="I97" s="262" t="s">
        <v>581</v>
      </c>
      <c r="J97" s="112">
        <v>140</v>
      </c>
      <c r="K97" s="75">
        <v>200</v>
      </c>
      <c r="L97" s="75">
        <v>2600</v>
      </c>
      <c r="M97" s="202">
        <v>27.166142319424882</v>
      </c>
      <c r="N97" s="87">
        <v>5690.2087709999996</v>
      </c>
      <c r="O97" s="123">
        <v>80551.455951604468</v>
      </c>
      <c r="P97" s="123">
        <v>94793.658110011151</v>
      </c>
      <c r="Q97" s="120">
        <v>24791.672888360441</v>
      </c>
      <c r="R97" s="123">
        <v>105343.12883996491</v>
      </c>
      <c r="S97" s="123">
        <v>119585.33099837159</v>
      </c>
      <c r="U97" s="7" t="s">
        <v>6958</v>
      </c>
    </row>
    <row r="98" spans="1:21" ht="16.5" thickBot="1">
      <c r="A98" s="259" t="s">
        <v>10</v>
      </c>
      <c r="B98" s="263">
        <f t="shared" si="3"/>
        <v>140</v>
      </c>
      <c r="C98" s="263" t="s">
        <v>3</v>
      </c>
      <c r="D98" s="263">
        <f t="shared" si="4"/>
        <v>200</v>
      </c>
      <c r="E98" s="263" t="s">
        <v>3</v>
      </c>
      <c r="F98" s="261">
        <f t="shared" si="5"/>
        <v>2650</v>
      </c>
      <c r="G98" s="263" t="s">
        <v>3</v>
      </c>
      <c r="H98" s="260">
        <v>2</v>
      </c>
      <c r="I98" s="262" t="s">
        <v>581</v>
      </c>
      <c r="J98" s="112">
        <v>140</v>
      </c>
      <c r="K98" s="75">
        <v>200</v>
      </c>
      <c r="L98" s="75">
        <v>2650</v>
      </c>
      <c r="M98" s="202">
        <v>27.610228380854004</v>
      </c>
      <c r="N98" s="87">
        <v>5816.6578547999989</v>
      </c>
      <c r="O98" s="123">
        <v>81208.451498930372</v>
      </c>
      <c r="P98" s="123">
        <v>95678.716326130452</v>
      </c>
      <c r="Q98" s="120">
        <v>25380.673304871718</v>
      </c>
      <c r="R98" s="123">
        <v>106589.12480380209</v>
      </c>
      <c r="S98" s="123">
        <v>121059.38963100217</v>
      </c>
      <c r="U98" s="7" t="s">
        <v>6959</v>
      </c>
    </row>
    <row r="99" spans="1:21" ht="16.5" thickBot="1">
      <c r="A99" s="259" t="s">
        <v>10</v>
      </c>
      <c r="B99" s="263">
        <f t="shared" si="3"/>
        <v>140</v>
      </c>
      <c r="C99" s="263" t="s">
        <v>3</v>
      </c>
      <c r="D99" s="263">
        <f t="shared" si="4"/>
        <v>200</v>
      </c>
      <c r="E99" s="263" t="s">
        <v>3</v>
      </c>
      <c r="F99" s="261">
        <f t="shared" si="5"/>
        <v>2700</v>
      </c>
      <c r="G99" s="263" t="s">
        <v>3</v>
      </c>
      <c r="H99" s="260">
        <v>2</v>
      </c>
      <c r="I99" s="262" t="s">
        <v>581</v>
      </c>
      <c r="J99" s="112">
        <v>140</v>
      </c>
      <c r="K99" s="75">
        <v>200</v>
      </c>
      <c r="L99" s="75">
        <v>2700</v>
      </c>
      <c r="M99" s="202">
        <v>28.075413942283127</v>
      </c>
      <c r="N99" s="87">
        <v>5943.106938599999</v>
      </c>
      <c r="O99" s="123">
        <v>81900.778489000688</v>
      </c>
      <c r="P99" s="123">
        <v>96599.915293763799</v>
      </c>
      <c r="Q99" s="120">
        <v>25739.09208399308</v>
      </c>
      <c r="R99" s="123">
        <v>107639.87057299376</v>
      </c>
      <c r="S99" s="123">
        <v>122339.00737775688</v>
      </c>
      <c r="U99" s="7" t="s">
        <v>6960</v>
      </c>
    </row>
    <row r="100" spans="1:21" ht="16.5" thickBot="1">
      <c r="A100" s="259" t="s">
        <v>10</v>
      </c>
      <c r="B100" s="263">
        <f t="shared" si="3"/>
        <v>140</v>
      </c>
      <c r="C100" s="263" t="s">
        <v>3</v>
      </c>
      <c r="D100" s="263">
        <f t="shared" si="4"/>
        <v>200</v>
      </c>
      <c r="E100" s="263" t="s">
        <v>3</v>
      </c>
      <c r="F100" s="261">
        <f t="shared" si="5"/>
        <v>2750</v>
      </c>
      <c r="G100" s="263" t="s">
        <v>3</v>
      </c>
      <c r="H100" s="260">
        <v>2</v>
      </c>
      <c r="I100" s="262" t="s">
        <v>581</v>
      </c>
      <c r="J100" s="112">
        <v>140</v>
      </c>
      <c r="K100" s="75">
        <v>200</v>
      </c>
      <c r="L100" s="75">
        <v>2750</v>
      </c>
      <c r="M100" s="202">
        <v>28.503312003712253</v>
      </c>
      <c r="N100" s="87">
        <v>6069.5560223999992</v>
      </c>
      <c r="O100" s="123">
        <v>82639.431912235654</v>
      </c>
      <c r="P100" s="123">
        <v>97568.492160822672</v>
      </c>
      <c r="Q100" s="120">
        <v>26097.510722721079</v>
      </c>
      <c r="R100" s="123">
        <v>108736.94263495674</v>
      </c>
      <c r="S100" s="123">
        <v>123666.00288354376</v>
      </c>
      <c r="U100" s="7" t="s">
        <v>6961</v>
      </c>
    </row>
    <row r="101" spans="1:21" ht="16.5" thickBot="1">
      <c r="A101" s="259" t="s">
        <v>10</v>
      </c>
      <c r="B101" s="263">
        <f t="shared" si="3"/>
        <v>140</v>
      </c>
      <c r="C101" s="263" t="s">
        <v>3</v>
      </c>
      <c r="D101" s="263">
        <f t="shared" si="4"/>
        <v>200</v>
      </c>
      <c r="E101" s="263" t="s">
        <v>3</v>
      </c>
      <c r="F101" s="261">
        <f t="shared" si="5"/>
        <v>2800</v>
      </c>
      <c r="G101" s="263" t="s">
        <v>3</v>
      </c>
      <c r="H101" s="260">
        <v>2</v>
      </c>
      <c r="I101" s="262" t="s">
        <v>581</v>
      </c>
      <c r="J101" s="112">
        <v>140</v>
      </c>
      <c r="K101" s="75">
        <v>200</v>
      </c>
      <c r="L101" s="75">
        <v>2800</v>
      </c>
      <c r="M101" s="202">
        <v>28.947398065141378</v>
      </c>
      <c r="N101" s="87">
        <v>6196.0051061999993</v>
      </c>
      <c r="O101" s="123">
        <v>83295.193064961117</v>
      </c>
      <c r="P101" s="123">
        <v>98452.341598514438</v>
      </c>
      <c r="Q101" s="120">
        <v>26686.511139232356</v>
      </c>
      <c r="R101" s="123">
        <v>109981.70420419348</v>
      </c>
      <c r="S101" s="123">
        <v>125138.8527377468</v>
      </c>
      <c r="U101" s="7" t="s">
        <v>6962</v>
      </c>
    </row>
    <row r="102" spans="1:21" ht="16.5" thickBot="1">
      <c r="A102" s="259" t="s">
        <v>10</v>
      </c>
      <c r="B102" s="263">
        <f t="shared" si="3"/>
        <v>140</v>
      </c>
      <c r="C102" s="263" t="s">
        <v>3</v>
      </c>
      <c r="D102" s="263">
        <f t="shared" si="4"/>
        <v>200</v>
      </c>
      <c r="E102" s="263" t="s">
        <v>3</v>
      </c>
      <c r="F102" s="261">
        <f t="shared" si="5"/>
        <v>2850</v>
      </c>
      <c r="G102" s="263" t="s">
        <v>3</v>
      </c>
      <c r="H102" s="260">
        <v>2</v>
      </c>
      <c r="I102" s="262" t="s">
        <v>581</v>
      </c>
      <c r="J102" s="112">
        <v>140</v>
      </c>
      <c r="K102" s="75">
        <v>200</v>
      </c>
      <c r="L102" s="75">
        <v>2850</v>
      </c>
      <c r="M102" s="202">
        <v>30.194196126570503</v>
      </c>
      <c r="N102" s="87">
        <v>6322.4541899999995</v>
      </c>
      <c r="O102" s="123">
        <v>83950.9062452746</v>
      </c>
      <c r="P102" s="123">
        <v>99336.15996153935</v>
      </c>
      <c r="Q102" s="120">
        <v>27044.929777960355</v>
      </c>
      <c r="R102" s="123">
        <v>110995.83602323495</v>
      </c>
      <c r="S102" s="123">
        <v>126381.0897394997</v>
      </c>
      <c r="U102" s="7" t="s">
        <v>6963</v>
      </c>
    </row>
    <row r="103" spans="1:21" ht="16.5" thickBot="1">
      <c r="A103" s="259" t="s">
        <v>10</v>
      </c>
      <c r="B103" s="263">
        <f t="shared" si="3"/>
        <v>140</v>
      </c>
      <c r="C103" s="263" t="s">
        <v>3</v>
      </c>
      <c r="D103" s="263">
        <f t="shared" si="4"/>
        <v>200</v>
      </c>
      <c r="E103" s="263" t="s">
        <v>3</v>
      </c>
      <c r="F103" s="261">
        <f t="shared" si="5"/>
        <v>2900</v>
      </c>
      <c r="G103" s="263" t="s">
        <v>3</v>
      </c>
      <c r="H103" s="260">
        <v>2</v>
      </c>
      <c r="I103" s="262" t="s">
        <v>581</v>
      </c>
      <c r="J103" s="112">
        <v>140</v>
      </c>
      <c r="K103" s="75">
        <v>200</v>
      </c>
      <c r="L103" s="75">
        <v>2900</v>
      </c>
      <c r="M103" s="202">
        <v>30.638282187999625</v>
      </c>
      <c r="N103" s="87">
        <v>6448.9032737999996</v>
      </c>
      <c r="O103" s="123">
        <v>84606.571214507421</v>
      </c>
      <c r="P103" s="123">
        <v>100219.94672763412</v>
      </c>
      <c r="Q103" s="120">
        <v>27633.930194471632</v>
      </c>
      <c r="R103" s="123">
        <v>112240.50140897905</v>
      </c>
      <c r="S103" s="123">
        <v>127853.87692210574</v>
      </c>
      <c r="U103" s="7" t="s">
        <v>6964</v>
      </c>
    </row>
    <row r="104" spans="1:21" ht="16.5" thickBot="1">
      <c r="A104" s="259" t="s">
        <v>10</v>
      </c>
      <c r="B104" s="263">
        <f t="shared" si="3"/>
        <v>140</v>
      </c>
      <c r="C104" s="263" t="s">
        <v>3</v>
      </c>
      <c r="D104" s="263">
        <f t="shared" si="4"/>
        <v>200</v>
      </c>
      <c r="E104" s="263" t="s">
        <v>3</v>
      </c>
      <c r="F104" s="261">
        <f t="shared" si="5"/>
        <v>2950</v>
      </c>
      <c r="G104" s="263" t="s">
        <v>3</v>
      </c>
      <c r="H104" s="260">
        <v>2</v>
      </c>
      <c r="I104" s="262" t="s">
        <v>581</v>
      </c>
      <c r="J104" s="112">
        <v>140</v>
      </c>
      <c r="K104" s="75">
        <v>200</v>
      </c>
      <c r="L104" s="75">
        <v>2950</v>
      </c>
      <c r="M104" s="202">
        <v>31.066180249428751</v>
      </c>
      <c r="N104" s="87">
        <v>6575.3523575999998</v>
      </c>
      <c r="O104" s="123">
        <v>85262.188091993899</v>
      </c>
      <c r="P104" s="123">
        <v>101103.70176623289</v>
      </c>
      <c r="Q104" s="120">
        <v>27992.348973592994</v>
      </c>
      <c r="R104" s="123">
        <v>113254.53706558689</v>
      </c>
      <c r="S104" s="123">
        <v>129096.05073982588</v>
      </c>
      <c r="U104" s="7" t="s">
        <v>6965</v>
      </c>
    </row>
    <row r="105" spans="1:21" ht="16.5" thickBot="1">
      <c r="A105" s="264" t="s">
        <v>10</v>
      </c>
      <c r="B105" s="265">
        <f t="shared" si="3"/>
        <v>140</v>
      </c>
      <c r="C105" s="265" t="s">
        <v>3</v>
      </c>
      <c r="D105" s="265">
        <f t="shared" si="4"/>
        <v>200</v>
      </c>
      <c r="E105" s="265" t="s">
        <v>3</v>
      </c>
      <c r="F105" s="266">
        <f t="shared" si="5"/>
        <v>3000</v>
      </c>
      <c r="G105" s="265" t="s">
        <v>3</v>
      </c>
      <c r="H105" s="267">
        <v>2</v>
      </c>
      <c r="I105" s="262" t="s">
        <v>581</v>
      </c>
      <c r="J105" s="112">
        <v>140</v>
      </c>
      <c r="K105" s="322">
        <v>200</v>
      </c>
      <c r="L105" s="322">
        <v>3000</v>
      </c>
      <c r="M105" s="305">
        <v>31.510266310857876</v>
      </c>
      <c r="N105" s="306">
        <v>6701.8014413999999</v>
      </c>
      <c r="O105" s="307">
        <v>87634.593676516568</v>
      </c>
      <c r="P105" s="307">
        <v>103742.41911434499</v>
      </c>
      <c r="Q105" s="308">
        <v>28581.349390104271</v>
      </c>
      <c r="R105" s="307">
        <v>116215.94306662084</v>
      </c>
      <c r="S105" s="307">
        <v>132323.76850444925</v>
      </c>
      <c r="U105" s="7" t="s">
        <v>6966</v>
      </c>
    </row>
    <row r="106" spans="1:21" ht="22.5" customHeight="1" thickBot="1">
      <c r="A106" s="2580" t="s">
        <v>50</v>
      </c>
      <c r="B106" s="2581"/>
      <c r="C106" s="2581"/>
      <c r="D106" s="2581"/>
      <c r="E106" s="2581"/>
      <c r="F106" s="2581"/>
      <c r="G106" s="2581"/>
      <c r="H106" s="2581"/>
      <c r="I106" s="2581"/>
      <c r="J106" s="2581"/>
      <c r="K106" s="2581"/>
      <c r="L106" s="2581"/>
      <c r="M106" s="2581"/>
      <c r="N106" s="2581"/>
      <c r="O106" s="2581"/>
      <c r="P106" s="2581"/>
      <c r="Q106" s="2581"/>
      <c r="R106" s="2581"/>
      <c r="S106" s="2582"/>
      <c r="U106" s="7"/>
    </row>
    <row r="107" spans="1:21" ht="19.5" thickBot="1">
      <c r="A107" s="2627" t="s">
        <v>139</v>
      </c>
      <c r="B107" s="2628"/>
      <c r="C107" s="2628"/>
      <c r="D107" s="2628"/>
      <c r="E107" s="2628"/>
      <c r="F107" s="2628"/>
      <c r="G107" s="2628"/>
      <c r="H107" s="2628"/>
      <c r="I107" s="2628"/>
      <c r="J107" s="2628"/>
      <c r="K107" s="2628"/>
      <c r="L107" s="2628"/>
      <c r="M107" s="2628"/>
      <c r="N107" s="2628"/>
      <c r="O107" s="2628"/>
      <c r="P107" s="2628"/>
      <c r="Q107" s="2628"/>
      <c r="R107" s="2628"/>
      <c r="S107" s="2629"/>
      <c r="U107" s="7"/>
    </row>
    <row r="108" spans="1:21" ht="16.5" thickBot="1">
      <c r="A108" s="259" t="s">
        <v>10</v>
      </c>
      <c r="B108" s="260">
        <f t="shared" ref="B108:B154" si="6">J108</f>
        <v>140</v>
      </c>
      <c r="C108" s="260" t="s">
        <v>3</v>
      </c>
      <c r="D108" s="260">
        <f t="shared" ref="D108:D154" si="7">K108</f>
        <v>260</v>
      </c>
      <c r="E108" s="260" t="s">
        <v>3</v>
      </c>
      <c r="F108" s="261">
        <f t="shared" ref="F108:F154" si="8">L108</f>
        <v>700</v>
      </c>
      <c r="G108" s="260" t="s">
        <v>3</v>
      </c>
      <c r="H108" s="260">
        <v>4</v>
      </c>
      <c r="I108" s="262" t="s">
        <v>582</v>
      </c>
      <c r="J108" s="112">
        <v>140</v>
      </c>
      <c r="K108" s="327">
        <v>260</v>
      </c>
      <c r="L108" s="327">
        <v>700</v>
      </c>
      <c r="M108" s="301">
        <v>9.1107708114802488</v>
      </c>
      <c r="N108" s="302">
        <v>1981.9441550999995</v>
      </c>
      <c r="O108" s="303">
        <v>29473.56839354476</v>
      </c>
      <c r="P108" s="303">
        <v>35267.354784757503</v>
      </c>
      <c r="Q108" s="304">
        <v>8629.8383359722393</v>
      </c>
      <c r="R108" s="303">
        <v>38103.406729516995</v>
      </c>
      <c r="S108" s="303">
        <v>43897.193120729746</v>
      </c>
      <c r="U108" s="7" t="s">
        <v>6967</v>
      </c>
    </row>
    <row r="109" spans="1:21" ht="16.5" thickBot="1">
      <c r="A109" s="259" t="s">
        <v>10</v>
      </c>
      <c r="B109" s="263">
        <f t="shared" si="6"/>
        <v>140</v>
      </c>
      <c r="C109" s="263" t="s">
        <v>3</v>
      </c>
      <c r="D109" s="263">
        <f t="shared" si="7"/>
        <v>260</v>
      </c>
      <c r="E109" s="263" t="s">
        <v>3</v>
      </c>
      <c r="F109" s="261">
        <f t="shared" si="8"/>
        <v>750</v>
      </c>
      <c r="G109" s="263" t="s">
        <v>3</v>
      </c>
      <c r="H109" s="260">
        <v>4</v>
      </c>
      <c r="I109" s="262" t="s">
        <v>582</v>
      </c>
      <c r="J109" s="112">
        <v>140</v>
      </c>
      <c r="K109" s="75">
        <v>260</v>
      </c>
      <c r="L109" s="75">
        <v>750</v>
      </c>
      <c r="M109" s="202">
        <v>9.6751754897384981</v>
      </c>
      <c r="N109" s="87">
        <v>2265.0790343999997</v>
      </c>
      <c r="O109" s="123">
        <v>31284.647114969324</v>
      </c>
      <c r="P109" s="123">
        <v>37384.711034235035</v>
      </c>
      <c r="Q109" s="120">
        <v>9061.4489483391772</v>
      </c>
      <c r="R109" s="123">
        <v>40346.096063308505</v>
      </c>
      <c r="S109" s="123">
        <v>46446.159982574216</v>
      </c>
      <c r="U109" s="7" t="s">
        <v>6968</v>
      </c>
    </row>
    <row r="110" spans="1:21" ht="16.5" thickBot="1">
      <c r="A110" s="259" t="s">
        <v>10</v>
      </c>
      <c r="B110" s="263">
        <f t="shared" si="6"/>
        <v>140</v>
      </c>
      <c r="C110" s="263" t="s">
        <v>3</v>
      </c>
      <c r="D110" s="263">
        <f t="shared" si="7"/>
        <v>260</v>
      </c>
      <c r="E110" s="263" t="s">
        <v>3</v>
      </c>
      <c r="F110" s="261">
        <f t="shared" si="8"/>
        <v>800</v>
      </c>
      <c r="G110" s="263" t="s">
        <v>3</v>
      </c>
      <c r="H110" s="260">
        <v>4</v>
      </c>
      <c r="I110" s="262" t="s">
        <v>582</v>
      </c>
      <c r="J110" s="112">
        <v>140</v>
      </c>
      <c r="K110" s="75">
        <v>260</v>
      </c>
      <c r="L110" s="75">
        <v>800</v>
      </c>
      <c r="M110" s="202">
        <v>10.239580167996749</v>
      </c>
      <c r="N110" s="87">
        <v>2548.2139136999995</v>
      </c>
      <c r="O110" s="123">
        <v>33096.330742255232</v>
      </c>
      <c r="P110" s="123">
        <v>39502.686818562288</v>
      </c>
      <c r="Q110" s="120">
        <v>9493.059560706115</v>
      </c>
      <c r="R110" s="123">
        <v>42589.390302961343</v>
      </c>
      <c r="S110" s="123">
        <v>48995.746379268399</v>
      </c>
      <c r="U110" s="7" t="s">
        <v>6969</v>
      </c>
    </row>
    <row r="111" spans="1:21" ht="16.5" thickBot="1">
      <c r="A111" s="259" t="s">
        <v>10</v>
      </c>
      <c r="B111" s="263">
        <f t="shared" si="6"/>
        <v>140</v>
      </c>
      <c r="C111" s="263" t="s">
        <v>3</v>
      </c>
      <c r="D111" s="263">
        <f t="shared" si="7"/>
        <v>260</v>
      </c>
      <c r="E111" s="263" t="s">
        <v>3</v>
      </c>
      <c r="F111" s="261">
        <f t="shared" si="8"/>
        <v>850</v>
      </c>
      <c r="G111" s="263" t="s">
        <v>3</v>
      </c>
      <c r="H111" s="260">
        <v>4</v>
      </c>
      <c r="I111" s="262" t="s">
        <v>582</v>
      </c>
      <c r="J111" s="112">
        <v>140</v>
      </c>
      <c r="K111" s="75">
        <v>260</v>
      </c>
      <c r="L111" s="75">
        <v>850</v>
      </c>
      <c r="M111" s="202">
        <v>10.820172846255</v>
      </c>
      <c r="N111" s="87">
        <v>2831.3487929999997</v>
      </c>
      <c r="O111" s="123">
        <v>34908.014250206783</v>
      </c>
      <c r="P111" s="123">
        <v>41620.662733455363</v>
      </c>
      <c r="Q111" s="120">
        <v>10155.251950856327</v>
      </c>
      <c r="R111" s="123">
        <v>45063.26620106311</v>
      </c>
      <c r="S111" s="123">
        <v>51775.914684311691</v>
      </c>
      <c r="U111" s="7" t="s">
        <v>6970</v>
      </c>
    </row>
    <row r="112" spans="1:21" ht="16.5" thickBot="1">
      <c r="A112" s="259" t="s">
        <v>10</v>
      </c>
      <c r="B112" s="263">
        <f t="shared" si="6"/>
        <v>140</v>
      </c>
      <c r="C112" s="263" t="s">
        <v>3</v>
      </c>
      <c r="D112" s="263">
        <f t="shared" si="7"/>
        <v>260</v>
      </c>
      <c r="E112" s="263" t="s">
        <v>3</v>
      </c>
      <c r="F112" s="261">
        <f t="shared" si="8"/>
        <v>900</v>
      </c>
      <c r="G112" s="263" t="s">
        <v>3</v>
      </c>
      <c r="H112" s="260">
        <v>4</v>
      </c>
      <c r="I112" s="262" t="s">
        <v>582</v>
      </c>
      <c r="J112" s="112">
        <v>140</v>
      </c>
      <c r="K112" s="75">
        <v>260</v>
      </c>
      <c r="L112" s="75">
        <v>900</v>
      </c>
      <c r="M112" s="202">
        <v>11.535627524513249</v>
      </c>
      <c r="N112" s="87">
        <v>3114.4836722999994</v>
      </c>
      <c r="O112" s="123">
        <v>36719.69787749269</v>
      </c>
      <c r="P112" s="123">
        <v>43738.638517782616</v>
      </c>
      <c r="Q112" s="120">
        <v>10586.862563223265</v>
      </c>
      <c r="R112" s="123">
        <v>47306.560440715955</v>
      </c>
      <c r="S112" s="123">
        <v>54325.501081005881</v>
      </c>
      <c r="U112" s="7" t="s">
        <v>6971</v>
      </c>
    </row>
    <row r="113" spans="1:21" ht="16.5" thickBot="1">
      <c r="A113" s="259" t="s">
        <v>10</v>
      </c>
      <c r="B113" s="263">
        <f t="shared" si="6"/>
        <v>140</v>
      </c>
      <c r="C113" s="263" t="s">
        <v>3</v>
      </c>
      <c r="D113" s="263">
        <f t="shared" si="7"/>
        <v>260</v>
      </c>
      <c r="E113" s="263" t="s">
        <v>3</v>
      </c>
      <c r="F113" s="261">
        <f t="shared" si="8"/>
        <v>950</v>
      </c>
      <c r="G113" s="263" t="s">
        <v>3</v>
      </c>
      <c r="H113" s="260">
        <v>4</v>
      </c>
      <c r="I113" s="262" t="s">
        <v>582</v>
      </c>
      <c r="J113" s="112">
        <v>140</v>
      </c>
      <c r="K113" s="75">
        <v>260</v>
      </c>
      <c r="L113" s="75">
        <v>950</v>
      </c>
      <c r="M113" s="202">
        <v>12.116220202771499</v>
      </c>
      <c r="N113" s="87">
        <v>3397.6185515999991</v>
      </c>
      <c r="O113" s="123">
        <v>38531.38150477859</v>
      </c>
      <c r="P113" s="123">
        <v>45856.614432675691</v>
      </c>
      <c r="Q113" s="120">
        <v>11249.054953373477</v>
      </c>
      <c r="R113" s="123">
        <v>49780.436458152064</v>
      </c>
      <c r="S113" s="123">
        <v>57105.669386049165</v>
      </c>
      <c r="U113" s="7" t="s">
        <v>6972</v>
      </c>
    </row>
    <row r="114" spans="1:21" ht="16.5" thickBot="1">
      <c r="A114" s="259" t="s">
        <v>10</v>
      </c>
      <c r="B114" s="263">
        <f t="shared" si="6"/>
        <v>140</v>
      </c>
      <c r="C114" s="263" t="s">
        <v>3</v>
      </c>
      <c r="D114" s="263">
        <f t="shared" si="7"/>
        <v>260</v>
      </c>
      <c r="E114" s="263" t="s">
        <v>3</v>
      </c>
      <c r="F114" s="261">
        <f t="shared" si="8"/>
        <v>1000</v>
      </c>
      <c r="G114" s="263" t="s">
        <v>3</v>
      </c>
      <c r="H114" s="260">
        <v>4</v>
      </c>
      <c r="I114" s="262" t="s">
        <v>582</v>
      </c>
      <c r="J114" s="112">
        <v>140</v>
      </c>
      <c r="K114" s="75">
        <v>260</v>
      </c>
      <c r="L114" s="75">
        <v>1000</v>
      </c>
      <c r="M114" s="202">
        <v>12.68062488102975</v>
      </c>
      <c r="N114" s="87">
        <v>3680.7534308999998</v>
      </c>
      <c r="O114" s="123">
        <v>40247.932975110831</v>
      </c>
      <c r="P114" s="123">
        <v>47877.135491939356</v>
      </c>
      <c r="Q114" s="120">
        <v>11680.665565740415</v>
      </c>
      <c r="R114" s="123">
        <v>51928.59854085125</v>
      </c>
      <c r="S114" s="123">
        <v>59557.801057679768</v>
      </c>
      <c r="U114" s="7" t="s">
        <v>6973</v>
      </c>
    </row>
    <row r="115" spans="1:21" ht="16.5" thickBot="1">
      <c r="A115" s="259" t="s">
        <v>10</v>
      </c>
      <c r="B115" s="263">
        <f t="shared" si="6"/>
        <v>140</v>
      </c>
      <c r="C115" s="263" t="s">
        <v>3</v>
      </c>
      <c r="D115" s="263">
        <f t="shared" si="7"/>
        <v>260</v>
      </c>
      <c r="E115" s="263" t="s">
        <v>3</v>
      </c>
      <c r="F115" s="261">
        <f t="shared" si="8"/>
        <v>1050</v>
      </c>
      <c r="G115" s="263" t="s">
        <v>3</v>
      </c>
      <c r="H115" s="260">
        <v>4</v>
      </c>
      <c r="I115" s="262" t="s">
        <v>582</v>
      </c>
      <c r="J115" s="112">
        <v>140</v>
      </c>
      <c r="K115" s="75">
        <v>260</v>
      </c>
      <c r="L115" s="75">
        <v>1050</v>
      </c>
      <c r="M115" s="202">
        <v>13.261217559287999</v>
      </c>
      <c r="N115" s="87">
        <v>3963.8883101999991</v>
      </c>
      <c r="O115" s="123">
        <v>42285.555206659388</v>
      </c>
      <c r="P115" s="123">
        <v>50226.566493103543</v>
      </c>
      <c r="Q115" s="120">
        <v>12342.857815497266</v>
      </c>
      <c r="R115" s="123">
        <v>54628.413022156652</v>
      </c>
      <c r="S115" s="123">
        <v>62569.424308600806</v>
      </c>
      <c r="U115" s="7" t="s">
        <v>6974</v>
      </c>
    </row>
    <row r="116" spans="1:21" ht="16.5" thickBot="1">
      <c r="A116" s="259" t="s">
        <v>10</v>
      </c>
      <c r="B116" s="260">
        <f t="shared" si="6"/>
        <v>140</v>
      </c>
      <c r="C116" s="260" t="s">
        <v>3</v>
      </c>
      <c r="D116" s="260">
        <f t="shared" si="7"/>
        <v>260</v>
      </c>
      <c r="E116" s="260" t="s">
        <v>3</v>
      </c>
      <c r="F116" s="261">
        <f t="shared" si="8"/>
        <v>1100</v>
      </c>
      <c r="G116" s="260" t="s">
        <v>3</v>
      </c>
      <c r="H116" s="260">
        <v>4</v>
      </c>
      <c r="I116" s="262" t="s">
        <v>582</v>
      </c>
      <c r="J116" s="112">
        <v>140</v>
      </c>
      <c r="K116" s="75">
        <v>260</v>
      </c>
      <c r="L116" s="75">
        <v>1100</v>
      </c>
      <c r="M116" s="202">
        <v>13.825622237546249</v>
      </c>
      <c r="N116" s="87">
        <v>4247.0231894999988</v>
      </c>
      <c r="O116" s="123">
        <v>44097.238833945295</v>
      </c>
      <c r="P116" s="123">
        <v>52344.542407996618</v>
      </c>
      <c r="Q116" s="120">
        <v>12774.468427864203</v>
      </c>
      <c r="R116" s="123">
        <v>56871.707261809497</v>
      </c>
      <c r="S116" s="123">
        <v>65119.010835860819</v>
      </c>
      <c r="U116" s="7" t="s">
        <v>6975</v>
      </c>
    </row>
    <row r="117" spans="1:21" ht="16.5" thickBot="1">
      <c r="A117" s="259" t="s">
        <v>10</v>
      </c>
      <c r="B117" s="263">
        <f t="shared" si="6"/>
        <v>140</v>
      </c>
      <c r="C117" s="263" t="s">
        <v>3</v>
      </c>
      <c r="D117" s="263">
        <f t="shared" si="7"/>
        <v>260</v>
      </c>
      <c r="E117" s="263" t="s">
        <v>3</v>
      </c>
      <c r="F117" s="261">
        <f t="shared" si="8"/>
        <v>1150</v>
      </c>
      <c r="G117" s="263" t="s">
        <v>3</v>
      </c>
      <c r="H117" s="260">
        <v>4</v>
      </c>
      <c r="I117" s="262" t="s">
        <v>582</v>
      </c>
      <c r="J117" s="112">
        <v>140</v>
      </c>
      <c r="K117" s="75">
        <v>260</v>
      </c>
      <c r="L117" s="75">
        <v>1150</v>
      </c>
      <c r="M117" s="202">
        <v>14.3900269158045</v>
      </c>
      <c r="N117" s="87">
        <v>4530.1580687999995</v>
      </c>
      <c r="O117" s="123">
        <v>45153.579889343739</v>
      </c>
      <c r="P117" s="123">
        <v>53688.733266147741</v>
      </c>
      <c r="Q117" s="120">
        <v>13206.07904023114</v>
      </c>
      <c r="R117" s="123">
        <v>58359.658929574878</v>
      </c>
      <c r="S117" s="123">
        <v>66894.812306378881</v>
      </c>
      <c r="U117" s="7" t="s">
        <v>6976</v>
      </c>
    </row>
    <row r="118" spans="1:21" ht="16.5" thickBot="1">
      <c r="A118" s="259" t="s">
        <v>10</v>
      </c>
      <c r="B118" s="263">
        <f t="shared" si="6"/>
        <v>140</v>
      </c>
      <c r="C118" s="263" t="s">
        <v>3</v>
      </c>
      <c r="D118" s="263">
        <f t="shared" si="7"/>
        <v>260</v>
      </c>
      <c r="E118" s="263" t="s">
        <v>3</v>
      </c>
      <c r="F118" s="261">
        <f t="shared" si="8"/>
        <v>1200</v>
      </c>
      <c r="G118" s="263" t="s">
        <v>3</v>
      </c>
      <c r="H118" s="260">
        <v>4</v>
      </c>
      <c r="I118" s="262" t="s">
        <v>582</v>
      </c>
      <c r="J118" s="112">
        <v>140</v>
      </c>
      <c r="K118" s="75">
        <v>260</v>
      </c>
      <c r="L118" s="75">
        <v>1200</v>
      </c>
      <c r="M118" s="202">
        <v>15.045194594062748</v>
      </c>
      <c r="N118" s="87">
        <v>4813.2929480999983</v>
      </c>
      <c r="O118" s="123">
        <v>46269.305062707215</v>
      </c>
      <c r="P118" s="123">
        <v>55093.758137867917</v>
      </c>
      <c r="Q118" s="120">
        <v>13868.271430381354</v>
      </c>
      <c r="R118" s="123">
        <v>60137.576493088571</v>
      </c>
      <c r="S118" s="123">
        <v>68962.029568249272</v>
      </c>
      <c r="U118" s="7" t="s">
        <v>6977</v>
      </c>
    </row>
    <row r="119" spans="1:21" ht="16.5" thickBot="1">
      <c r="A119" s="259" t="s">
        <v>10</v>
      </c>
      <c r="B119" s="263">
        <f t="shared" si="6"/>
        <v>140</v>
      </c>
      <c r="C119" s="263" t="s">
        <v>3</v>
      </c>
      <c r="D119" s="263">
        <f t="shared" si="7"/>
        <v>260</v>
      </c>
      <c r="E119" s="263" t="s">
        <v>3</v>
      </c>
      <c r="F119" s="261">
        <f t="shared" si="8"/>
        <v>1250</v>
      </c>
      <c r="G119" s="263" t="s">
        <v>3</v>
      </c>
      <c r="H119" s="260">
        <v>4</v>
      </c>
      <c r="I119" s="262" t="s">
        <v>582</v>
      </c>
      <c r="J119" s="112">
        <v>140</v>
      </c>
      <c r="K119" s="75">
        <v>260</v>
      </c>
      <c r="L119" s="75">
        <v>1250</v>
      </c>
      <c r="M119" s="202">
        <v>16.428499272320998</v>
      </c>
      <c r="N119" s="87">
        <v>5096.4278273999989</v>
      </c>
      <c r="O119" s="123">
        <v>47325.165200642419</v>
      </c>
      <c r="P119" s="123">
        <v>56437.456240587482</v>
      </c>
      <c r="Q119" s="120">
        <v>14299.882042748291</v>
      </c>
      <c r="R119" s="123">
        <v>61625.047243390713</v>
      </c>
      <c r="S119" s="123">
        <v>70737.338283335775</v>
      </c>
      <c r="U119" s="7" t="s">
        <v>6978</v>
      </c>
    </row>
    <row r="120" spans="1:21" ht="16.5" thickBot="1">
      <c r="A120" s="259" t="s">
        <v>10</v>
      </c>
      <c r="B120" s="263">
        <f t="shared" si="6"/>
        <v>140</v>
      </c>
      <c r="C120" s="263" t="s">
        <v>3</v>
      </c>
      <c r="D120" s="263">
        <f t="shared" si="7"/>
        <v>260</v>
      </c>
      <c r="E120" s="263" t="s">
        <v>3</v>
      </c>
      <c r="F120" s="261">
        <f t="shared" si="8"/>
        <v>1300</v>
      </c>
      <c r="G120" s="263" t="s">
        <v>3</v>
      </c>
      <c r="H120" s="260">
        <v>4</v>
      </c>
      <c r="I120" s="262" t="s">
        <v>582</v>
      </c>
      <c r="J120" s="112">
        <v>140</v>
      </c>
      <c r="K120" s="75">
        <v>260</v>
      </c>
      <c r="L120" s="75">
        <v>1300</v>
      </c>
      <c r="M120" s="202">
        <v>17.009091950579251</v>
      </c>
      <c r="N120" s="87">
        <v>5379.5627066999987</v>
      </c>
      <c r="O120" s="123">
        <v>50833.408690581309</v>
      </c>
      <c r="P120" s="123">
        <v>60293.4154237029</v>
      </c>
      <c r="Q120" s="120">
        <v>14962.074432898504</v>
      </c>
      <c r="R120" s="123">
        <v>65795.483123479818</v>
      </c>
      <c r="S120" s="123">
        <v>75255.489856601402</v>
      </c>
      <c r="U120" s="7" t="s">
        <v>6979</v>
      </c>
    </row>
    <row r="121" spans="1:21" ht="16.5" thickBot="1">
      <c r="A121" s="259" t="s">
        <v>10</v>
      </c>
      <c r="B121" s="263">
        <f t="shared" si="6"/>
        <v>140</v>
      </c>
      <c r="C121" s="263" t="s">
        <v>3</v>
      </c>
      <c r="D121" s="263">
        <f t="shared" si="7"/>
        <v>260</v>
      </c>
      <c r="E121" s="263" t="s">
        <v>3</v>
      </c>
      <c r="F121" s="261">
        <f t="shared" si="8"/>
        <v>1350</v>
      </c>
      <c r="G121" s="263" t="s">
        <v>3</v>
      </c>
      <c r="H121" s="260">
        <v>4</v>
      </c>
      <c r="I121" s="262" t="s">
        <v>582</v>
      </c>
      <c r="J121" s="112">
        <v>140</v>
      </c>
      <c r="K121" s="75">
        <v>260</v>
      </c>
      <c r="L121" s="75">
        <v>1350</v>
      </c>
      <c r="M121" s="202">
        <v>17.5734966288375</v>
      </c>
      <c r="N121" s="87">
        <v>5662.6975859999993</v>
      </c>
      <c r="O121" s="123">
        <v>52138.965232800845</v>
      </c>
      <c r="P121" s="123">
        <v>61892.906474567149</v>
      </c>
      <c r="Q121" s="120">
        <v>15393.685045265442</v>
      </c>
      <c r="R121" s="123">
        <v>67532.650278066285</v>
      </c>
      <c r="S121" s="123">
        <v>77286.591519832597</v>
      </c>
      <c r="U121" s="7" t="s">
        <v>6980</v>
      </c>
    </row>
    <row r="122" spans="1:21" ht="16.5" thickBot="1">
      <c r="A122" s="259" t="s">
        <v>10</v>
      </c>
      <c r="B122" s="263">
        <f t="shared" si="6"/>
        <v>140</v>
      </c>
      <c r="C122" s="263" t="s">
        <v>3</v>
      </c>
      <c r="D122" s="263">
        <f t="shared" si="7"/>
        <v>260</v>
      </c>
      <c r="E122" s="263" t="s">
        <v>3</v>
      </c>
      <c r="F122" s="261">
        <f t="shared" si="8"/>
        <v>1400</v>
      </c>
      <c r="G122" s="263" t="s">
        <v>3</v>
      </c>
      <c r="H122" s="260">
        <v>4</v>
      </c>
      <c r="I122" s="262" t="s">
        <v>582</v>
      </c>
      <c r="J122" s="112">
        <v>140</v>
      </c>
      <c r="K122" s="75">
        <v>260</v>
      </c>
      <c r="L122" s="75">
        <v>1400</v>
      </c>
      <c r="M122" s="202">
        <v>18.154089307095749</v>
      </c>
      <c r="N122" s="87">
        <v>5945.8324652999991</v>
      </c>
      <c r="O122" s="123">
        <v>53771.538251295926</v>
      </c>
      <c r="P122" s="123">
        <v>63827.398624298949</v>
      </c>
      <c r="Q122" s="120">
        <v>16055.877435415654</v>
      </c>
      <c r="R122" s="123">
        <v>69827.415686711582</v>
      </c>
      <c r="S122" s="123">
        <v>79883.276059714597</v>
      </c>
      <c r="U122" s="7" t="s">
        <v>6981</v>
      </c>
    </row>
    <row r="123" spans="1:21" ht="16.5" thickBot="1">
      <c r="A123" s="259" t="s">
        <v>10</v>
      </c>
      <c r="B123" s="263">
        <f t="shared" si="6"/>
        <v>140</v>
      </c>
      <c r="C123" s="263" t="s">
        <v>3</v>
      </c>
      <c r="D123" s="263">
        <f t="shared" si="7"/>
        <v>260</v>
      </c>
      <c r="E123" s="263" t="s">
        <v>3</v>
      </c>
      <c r="F123" s="261">
        <f t="shared" si="8"/>
        <v>1450</v>
      </c>
      <c r="G123" s="263" t="s">
        <v>3</v>
      </c>
      <c r="H123" s="260">
        <v>4</v>
      </c>
      <c r="I123" s="262" t="s">
        <v>582</v>
      </c>
      <c r="J123" s="112">
        <v>140</v>
      </c>
      <c r="K123" s="75">
        <v>260</v>
      </c>
      <c r="L123" s="75">
        <v>1450</v>
      </c>
      <c r="M123" s="202">
        <v>18.718493985353998</v>
      </c>
      <c r="N123" s="87">
        <v>6228.9673445999988</v>
      </c>
      <c r="O123" s="123">
        <v>55077.094674181099</v>
      </c>
      <c r="P123" s="123">
        <v>65426.889675163198</v>
      </c>
      <c r="Q123" s="120">
        <v>16487.48804778259</v>
      </c>
      <c r="R123" s="123">
        <v>71564.582721963685</v>
      </c>
      <c r="S123" s="123">
        <v>81914.377722945792</v>
      </c>
      <c r="U123" s="7" t="s">
        <v>6982</v>
      </c>
    </row>
    <row r="124" spans="1:21" ht="16.5" thickBot="1">
      <c r="A124" s="259" t="s">
        <v>10</v>
      </c>
      <c r="B124" s="263">
        <f t="shared" si="6"/>
        <v>140</v>
      </c>
      <c r="C124" s="263" t="s">
        <v>3</v>
      </c>
      <c r="D124" s="263">
        <f t="shared" si="7"/>
        <v>260</v>
      </c>
      <c r="E124" s="263" t="s">
        <v>3</v>
      </c>
      <c r="F124" s="261">
        <f t="shared" si="8"/>
        <v>1500</v>
      </c>
      <c r="G124" s="263" t="s">
        <v>3</v>
      </c>
      <c r="H124" s="260">
        <v>4</v>
      </c>
      <c r="I124" s="262" t="s">
        <v>582</v>
      </c>
      <c r="J124" s="112">
        <v>140</v>
      </c>
      <c r="K124" s="75">
        <v>260</v>
      </c>
      <c r="L124" s="75">
        <v>1500</v>
      </c>
      <c r="M124" s="202">
        <v>19.200201972974249</v>
      </c>
      <c r="N124" s="87">
        <v>6512.1022238999976</v>
      </c>
      <c r="O124" s="123">
        <v>56859.931845746039</v>
      </c>
      <c r="P124" s="123">
        <v>67656.482529256449</v>
      </c>
      <c r="Q124" s="120">
        <v>17149.680437932802</v>
      </c>
      <c r="R124" s="123">
        <v>74009.612283678842</v>
      </c>
      <c r="S124" s="123">
        <v>84806.162967189244</v>
      </c>
      <c r="U124" s="7" t="s">
        <v>6983</v>
      </c>
    </row>
    <row r="125" spans="1:21" ht="16.5" thickBot="1">
      <c r="A125" s="259" t="s">
        <v>10</v>
      </c>
      <c r="B125" s="263">
        <f t="shared" si="6"/>
        <v>140</v>
      </c>
      <c r="C125" s="263" t="s">
        <v>3</v>
      </c>
      <c r="D125" s="263">
        <f t="shared" si="7"/>
        <v>260</v>
      </c>
      <c r="E125" s="263" t="s">
        <v>3</v>
      </c>
      <c r="F125" s="261">
        <f t="shared" si="8"/>
        <v>1550</v>
      </c>
      <c r="G125" s="263" t="s">
        <v>3</v>
      </c>
      <c r="H125" s="260">
        <v>4</v>
      </c>
      <c r="I125" s="262" t="s">
        <v>582</v>
      </c>
      <c r="J125" s="112">
        <v>140</v>
      </c>
      <c r="K125" s="75">
        <v>260</v>
      </c>
      <c r="L125" s="75">
        <v>1550</v>
      </c>
      <c r="M125" s="202">
        <v>19.764606651232498</v>
      </c>
      <c r="N125" s="87">
        <v>6795.2371031999983</v>
      </c>
      <c r="O125" s="123">
        <v>58165.488268631336</v>
      </c>
      <c r="P125" s="123">
        <v>69255.973710686521</v>
      </c>
      <c r="Q125" s="120">
        <v>17581.29105029974</v>
      </c>
      <c r="R125" s="123">
        <v>75746.779318931076</v>
      </c>
      <c r="S125" s="123">
        <v>86837.264760986262</v>
      </c>
      <c r="U125" s="7" t="s">
        <v>6984</v>
      </c>
    </row>
    <row r="126" spans="1:21" ht="16.5" thickBot="1">
      <c r="A126" s="259" t="s">
        <v>10</v>
      </c>
      <c r="B126" s="260">
        <f t="shared" si="6"/>
        <v>140</v>
      </c>
      <c r="C126" s="260" t="s">
        <v>3</v>
      </c>
      <c r="D126" s="260">
        <f t="shared" si="7"/>
        <v>260</v>
      </c>
      <c r="E126" s="260" t="s">
        <v>3</v>
      </c>
      <c r="F126" s="261">
        <f t="shared" si="8"/>
        <v>1600</v>
      </c>
      <c r="G126" s="260" t="s">
        <v>3</v>
      </c>
      <c r="H126" s="260">
        <v>4</v>
      </c>
      <c r="I126" s="262" t="s">
        <v>582</v>
      </c>
      <c r="J126" s="112">
        <v>140</v>
      </c>
      <c r="K126" s="75">
        <v>260</v>
      </c>
      <c r="L126" s="75">
        <v>1600</v>
      </c>
      <c r="M126" s="202">
        <v>20.329011329490747</v>
      </c>
      <c r="N126" s="87">
        <v>7078.371982499998</v>
      </c>
      <c r="O126" s="123">
        <v>61417.086156609206</v>
      </c>
      <c r="P126" s="123">
        <v>72849.020843933264</v>
      </c>
      <c r="Q126" s="120">
        <v>18012.901662666678</v>
      </c>
      <c r="R126" s="123">
        <v>79429.987819275877</v>
      </c>
      <c r="S126" s="123">
        <v>90861.922506599949</v>
      </c>
      <c r="U126" s="7" t="s">
        <v>6985</v>
      </c>
    </row>
    <row r="127" spans="1:21" ht="16.5" thickBot="1">
      <c r="A127" s="259" t="s">
        <v>10</v>
      </c>
      <c r="B127" s="263">
        <f t="shared" si="6"/>
        <v>140</v>
      </c>
      <c r="C127" s="263" t="s">
        <v>3</v>
      </c>
      <c r="D127" s="263">
        <f t="shared" si="7"/>
        <v>260</v>
      </c>
      <c r="E127" s="263" t="s">
        <v>3</v>
      </c>
      <c r="F127" s="261">
        <f t="shared" si="8"/>
        <v>1650</v>
      </c>
      <c r="G127" s="263" t="s">
        <v>3</v>
      </c>
      <c r="H127" s="260">
        <v>4</v>
      </c>
      <c r="I127" s="262" t="s">
        <v>582</v>
      </c>
      <c r="J127" s="112">
        <v>140</v>
      </c>
      <c r="K127" s="75">
        <v>260</v>
      </c>
      <c r="L127" s="75">
        <v>1650</v>
      </c>
      <c r="M127" s="202">
        <v>20.909604007748996</v>
      </c>
      <c r="N127" s="87">
        <v>7361.5068617999996</v>
      </c>
      <c r="O127" s="123">
        <v>64920.944108887001</v>
      </c>
      <c r="P127" s="123">
        <v>76700.487387503148</v>
      </c>
      <c r="Q127" s="120">
        <v>18675.09391242353</v>
      </c>
      <c r="R127" s="123">
        <v>83596.038021310524</v>
      </c>
      <c r="S127" s="123">
        <v>95375.581299926678</v>
      </c>
      <c r="U127" s="7" t="s">
        <v>6986</v>
      </c>
    </row>
    <row r="128" spans="1:21" ht="16.5" thickBot="1">
      <c r="A128" s="259" t="s">
        <v>10</v>
      </c>
      <c r="B128" s="263">
        <f t="shared" si="6"/>
        <v>140</v>
      </c>
      <c r="C128" s="263" t="s">
        <v>3</v>
      </c>
      <c r="D128" s="263">
        <f t="shared" si="7"/>
        <v>260</v>
      </c>
      <c r="E128" s="263" t="s">
        <v>3</v>
      </c>
      <c r="F128" s="261">
        <f t="shared" si="8"/>
        <v>1700</v>
      </c>
      <c r="G128" s="263" t="s">
        <v>3</v>
      </c>
      <c r="H128" s="260">
        <v>4</v>
      </c>
      <c r="I128" s="262" t="s">
        <v>582</v>
      </c>
      <c r="J128" s="112">
        <v>140</v>
      </c>
      <c r="K128" s="75">
        <v>260</v>
      </c>
      <c r="L128" s="75">
        <v>1700</v>
      </c>
      <c r="M128" s="202">
        <v>22.292908686007248</v>
      </c>
      <c r="N128" s="87">
        <v>7644.6417410999993</v>
      </c>
      <c r="O128" s="123">
        <v>66021.353194722571</v>
      </c>
      <c r="P128" s="123">
        <v>78089.822163777717</v>
      </c>
      <c r="Q128" s="120">
        <v>19106.704524790468</v>
      </c>
      <c r="R128" s="123">
        <v>85128.057719513046</v>
      </c>
      <c r="S128" s="123">
        <v>97196.526688568178</v>
      </c>
      <c r="U128" s="7" t="s">
        <v>6987</v>
      </c>
    </row>
    <row r="129" spans="1:21" ht="16.5" thickBot="1">
      <c r="A129" s="259" t="s">
        <v>10</v>
      </c>
      <c r="B129" s="263">
        <f t="shared" si="6"/>
        <v>140</v>
      </c>
      <c r="C129" s="263" t="s">
        <v>3</v>
      </c>
      <c r="D129" s="263">
        <f t="shared" si="7"/>
        <v>260</v>
      </c>
      <c r="E129" s="263" t="s">
        <v>3</v>
      </c>
      <c r="F129" s="261">
        <f t="shared" si="8"/>
        <v>1750</v>
      </c>
      <c r="G129" s="263" t="s">
        <v>3</v>
      </c>
      <c r="H129" s="260">
        <v>4</v>
      </c>
      <c r="I129" s="262" t="s">
        <v>582</v>
      </c>
      <c r="J129" s="112">
        <v>140</v>
      </c>
      <c r="K129" s="75">
        <v>260</v>
      </c>
      <c r="L129" s="75">
        <v>1750</v>
      </c>
      <c r="M129" s="202">
        <v>22.873501364265493</v>
      </c>
      <c r="N129" s="87">
        <v>7927.7766203999981</v>
      </c>
      <c r="O129" s="123">
        <v>67045.608463248864</v>
      </c>
      <c r="P129" s="123">
        <v>79401.143727779257</v>
      </c>
      <c r="Q129" s="120">
        <v>19768.89691494068</v>
      </c>
      <c r="R129" s="123">
        <v>86814.50537818954</v>
      </c>
      <c r="S129" s="123">
        <v>99170.040642719934</v>
      </c>
      <c r="U129" s="7" t="s">
        <v>6988</v>
      </c>
    </row>
    <row r="130" spans="1:21" ht="16.5" thickBot="1">
      <c r="A130" s="259" t="s">
        <v>10</v>
      </c>
      <c r="B130" s="263">
        <f t="shared" si="6"/>
        <v>140</v>
      </c>
      <c r="C130" s="263" t="s">
        <v>3</v>
      </c>
      <c r="D130" s="263">
        <f t="shared" si="7"/>
        <v>260</v>
      </c>
      <c r="E130" s="263" t="s">
        <v>3</v>
      </c>
      <c r="F130" s="261">
        <f t="shared" si="8"/>
        <v>1800</v>
      </c>
      <c r="G130" s="263" t="s">
        <v>3</v>
      </c>
      <c r="H130" s="260">
        <v>4</v>
      </c>
      <c r="I130" s="262" t="s">
        <v>582</v>
      </c>
      <c r="J130" s="112">
        <v>140</v>
      </c>
      <c r="K130" s="75">
        <v>260</v>
      </c>
      <c r="L130" s="75">
        <v>1800</v>
      </c>
      <c r="M130" s="202">
        <v>23.43790604252375</v>
      </c>
      <c r="N130" s="87">
        <v>8210.9114996999979</v>
      </c>
      <c r="O130" s="123">
        <v>68146.714103732811</v>
      </c>
      <c r="P130" s="123">
        <v>80791.19217686489</v>
      </c>
      <c r="Q130" s="120">
        <v>20200.507527307618</v>
      </c>
      <c r="R130" s="123">
        <v>88347.221631040433</v>
      </c>
      <c r="S130" s="123">
        <v>100991.69970417251</v>
      </c>
      <c r="U130" s="7" t="s">
        <v>6989</v>
      </c>
    </row>
    <row r="131" spans="1:21" ht="16.5" thickBot="1">
      <c r="A131" s="259" t="s">
        <v>10</v>
      </c>
      <c r="B131" s="263">
        <f t="shared" si="6"/>
        <v>140</v>
      </c>
      <c r="C131" s="263" t="s">
        <v>3</v>
      </c>
      <c r="D131" s="263">
        <f t="shared" si="7"/>
        <v>260</v>
      </c>
      <c r="E131" s="263" t="s">
        <v>3</v>
      </c>
      <c r="F131" s="261">
        <f t="shared" si="8"/>
        <v>1850</v>
      </c>
      <c r="G131" s="263" t="s">
        <v>3</v>
      </c>
      <c r="H131" s="260">
        <v>4</v>
      </c>
      <c r="I131" s="262" t="s">
        <v>582</v>
      </c>
      <c r="J131" s="112">
        <v>140</v>
      </c>
      <c r="K131" s="75">
        <v>260</v>
      </c>
      <c r="L131" s="75">
        <v>1850</v>
      </c>
      <c r="M131" s="202">
        <v>24.018498720781999</v>
      </c>
      <c r="N131" s="87">
        <v>8494.0463789999976</v>
      </c>
      <c r="O131" s="123">
        <v>69247.771652470416</v>
      </c>
      <c r="P131" s="123">
        <v>82181.191272067852</v>
      </c>
      <c r="Q131" s="120">
        <v>20862.69991745783</v>
      </c>
      <c r="R131" s="123">
        <v>90110.471569928253</v>
      </c>
      <c r="S131" s="123">
        <v>103043.89118952569</v>
      </c>
      <c r="U131" s="7" t="s">
        <v>6990</v>
      </c>
    </row>
    <row r="132" spans="1:21" ht="16.5" thickBot="1">
      <c r="A132" s="259" t="s">
        <v>10</v>
      </c>
      <c r="B132" s="263">
        <f t="shared" si="6"/>
        <v>140</v>
      </c>
      <c r="C132" s="263" t="s">
        <v>3</v>
      </c>
      <c r="D132" s="263">
        <f t="shared" si="7"/>
        <v>260</v>
      </c>
      <c r="E132" s="263" t="s">
        <v>3</v>
      </c>
      <c r="F132" s="261">
        <f t="shared" si="8"/>
        <v>1900</v>
      </c>
      <c r="G132" s="263" t="s">
        <v>3</v>
      </c>
      <c r="H132" s="260">
        <v>4</v>
      </c>
      <c r="I132" s="262" t="s">
        <v>582</v>
      </c>
      <c r="J132" s="112">
        <v>140</v>
      </c>
      <c r="K132" s="75">
        <v>260</v>
      </c>
      <c r="L132" s="75">
        <v>1900</v>
      </c>
      <c r="M132" s="202">
        <v>24.582903399040248</v>
      </c>
      <c r="N132" s="87">
        <v>8777.1812582999992</v>
      </c>
      <c r="O132" s="123">
        <v>70523.88351583184</v>
      </c>
      <c r="P132" s="123">
        <v>83750.518874983856</v>
      </c>
      <c r="Q132" s="120">
        <v>21294.310529824768</v>
      </c>
      <c r="R132" s="123">
        <v>91818.194045656608</v>
      </c>
      <c r="S132" s="123">
        <v>105044.82940480862</v>
      </c>
      <c r="U132" s="7" t="s">
        <v>6991</v>
      </c>
    </row>
    <row r="133" spans="1:21" ht="16.5" thickBot="1">
      <c r="A133" s="259" t="s">
        <v>10</v>
      </c>
      <c r="B133" s="263">
        <f t="shared" si="6"/>
        <v>140</v>
      </c>
      <c r="C133" s="263" t="s">
        <v>3</v>
      </c>
      <c r="D133" s="263">
        <f t="shared" si="7"/>
        <v>260</v>
      </c>
      <c r="E133" s="263" t="s">
        <v>3</v>
      </c>
      <c r="F133" s="261">
        <f t="shared" si="8"/>
        <v>1950</v>
      </c>
      <c r="G133" s="263" t="s">
        <v>3</v>
      </c>
      <c r="H133" s="260">
        <v>4</v>
      </c>
      <c r="I133" s="262" t="s">
        <v>582</v>
      </c>
      <c r="J133" s="112">
        <v>140</v>
      </c>
      <c r="K133" s="75">
        <v>260</v>
      </c>
      <c r="L133" s="75">
        <v>1950</v>
      </c>
      <c r="M133" s="202">
        <v>25.2218830772985</v>
      </c>
      <c r="N133" s="87">
        <v>9060.3161375999989</v>
      </c>
      <c r="O133" s="123">
        <v>71983.441763217823</v>
      </c>
      <c r="P133" s="123">
        <v>85507.771831368285</v>
      </c>
      <c r="Q133" s="120">
        <v>21725.921142191706</v>
      </c>
      <c r="R133" s="123">
        <v>93709.362905409536</v>
      </c>
      <c r="S133" s="123">
        <v>107233.69297355998</v>
      </c>
      <c r="U133" s="7" t="s">
        <v>6992</v>
      </c>
    </row>
    <row r="134" spans="1:21" ht="16.5" thickBot="1">
      <c r="A134" s="259" t="s">
        <v>10</v>
      </c>
      <c r="B134" s="263">
        <f t="shared" si="6"/>
        <v>140</v>
      </c>
      <c r="C134" s="263" t="s">
        <v>3</v>
      </c>
      <c r="D134" s="263">
        <f t="shared" si="7"/>
        <v>260</v>
      </c>
      <c r="E134" s="263" t="s">
        <v>3</v>
      </c>
      <c r="F134" s="261">
        <f t="shared" si="8"/>
        <v>2000</v>
      </c>
      <c r="G134" s="263" t="s">
        <v>3</v>
      </c>
      <c r="H134" s="260">
        <v>4</v>
      </c>
      <c r="I134" s="262" t="s">
        <v>582</v>
      </c>
      <c r="J134" s="112">
        <v>140</v>
      </c>
      <c r="K134" s="75">
        <v>260</v>
      </c>
      <c r="L134" s="75">
        <v>2000</v>
      </c>
      <c r="M134" s="202">
        <v>25.889460035556752</v>
      </c>
      <c r="N134" s="87">
        <v>9343.4510168999968</v>
      </c>
      <c r="O134" s="123">
        <v>73290.781160747749</v>
      </c>
      <c r="P134" s="123">
        <v>87317.253077090121</v>
      </c>
      <c r="Q134" s="120">
        <v>22388.113532341918</v>
      </c>
      <c r="R134" s="123">
        <v>95678.894693089664</v>
      </c>
      <c r="S134" s="123">
        <v>109705.36660943204</v>
      </c>
      <c r="U134" s="7" t="s">
        <v>6993</v>
      </c>
    </row>
    <row r="135" spans="1:21" ht="16.5" thickBot="1">
      <c r="A135" s="259" t="s">
        <v>10</v>
      </c>
      <c r="B135" s="263">
        <f t="shared" si="6"/>
        <v>140</v>
      </c>
      <c r="C135" s="263" t="s">
        <v>3</v>
      </c>
      <c r="D135" s="263">
        <f t="shared" si="7"/>
        <v>260</v>
      </c>
      <c r="E135" s="263" t="s">
        <v>3</v>
      </c>
      <c r="F135" s="261">
        <f t="shared" si="8"/>
        <v>2050</v>
      </c>
      <c r="G135" s="263" t="s">
        <v>3</v>
      </c>
      <c r="H135" s="260">
        <v>4</v>
      </c>
      <c r="I135" s="262" t="s">
        <v>582</v>
      </c>
      <c r="J135" s="112">
        <v>140</v>
      </c>
      <c r="K135" s="75">
        <v>260</v>
      </c>
      <c r="L135" s="75">
        <v>2050</v>
      </c>
      <c r="M135" s="202">
        <v>27.272764713815</v>
      </c>
      <c r="N135" s="87">
        <v>9626.5858961999966</v>
      </c>
      <c r="O135" s="123">
        <v>76535.808976304688</v>
      </c>
      <c r="P135" s="123">
        <v>90903.569803080216</v>
      </c>
      <c r="Q135" s="120">
        <v>22819.724144708856</v>
      </c>
      <c r="R135" s="123">
        <v>99355.533121013548</v>
      </c>
      <c r="S135" s="123">
        <v>113723.29394778908</v>
      </c>
      <c r="U135" s="7" t="s">
        <v>6994</v>
      </c>
    </row>
    <row r="136" spans="1:21" ht="16.5" thickBot="1">
      <c r="A136" s="259" t="s">
        <v>10</v>
      </c>
      <c r="B136" s="260">
        <f t="shared" si="6"/>
        <v>140</v>
      </c>
      <c r="C136" s="260" t="s">
        <v>3</v>
      </c>
      <c r="D136" s="260">
        <f t="shared" si="7"/>
        <v>260</v>
      </c>
      <c r="E136" s="260" t="s">
        <v>3</v>
      </c>
      <c r="F136" s="261">
        <f t="shared" si="8"/>
        <v>2100</v>
      </c>
      <c r="G136" s="260" t="s">
        <v>3</v>
      </c>
      <c r="H136" s="260">
        <v>4</v>
      </c>
      <c r="I136" s="262" t="s">
        <v>582</v>
      </c>
      <c r="J136" s="112">
        <v>140</v>
      </c>
      <c r="K136" s="75">
        <v>260</v>
      </c>
      <c r="L136" s="75">
        <v>2100</v>
      </c>
      <c r="M136" s="202">
        <v>27.853357392073242</v>
      </c>
      <c r="N136" s="87">
        <v>9909.7207754999981</v>
      </c>
      <c r="O136" s="123">
        <v>77698.796283534844</v>
      </c>
      <c r="P136" s="123">
        <v>92357.010833683249</v>
      </c>
      <c r="Q136" s="120">
        <v>23481.916534859069</v>
      </c>
      <c r="R136" s="123">
        <v>101180.71281839392</v>
      </c>
      <c r="S136" s="123">
        <v>115838.92736854232</v>
      </c>
      <c r="U136" s="7" t="s">
        <v>6995</v>
      </c>
    </row>
    <row r="137" spans="1:21" ht="16.5" thickBot="1">
      <c r="A137" s="259" t="s">
        <v>10</v>
      </c>
      <c r="B137" s="263">
        <f t="shared" si="6"/>
        <v>140</v>
      </c>
      <c r="C137" s="263" t="s">
        <v>3</v>
      </c>
      <c r="D137" s="263">
        <f t="shared" si="7"/>
        <v>260</v>
      </c>
      <c r="E137" s="263" t="s">
        <v>3</v>
      </c>
      <c r="F137" s="261">
        <f t="shared" si="8"/>
        <v>2150</v>
      </c>
      <c r="G137" s="263" t="s">
        <v>3</v>
      </c>
      <c r="H137" s="260">
        <v>4</v>
      </c>
      <c r="I137" s="262" t="s">
        <v>582</v>
      </c>
      <c r="J137" s="112">
        <v>140</v>
      </c>
      <c r="K137" s="75">
        <v>260</v>
      </c>
      <c r="L137" s="75">
        <v>2150</v>
      </c>
      <c r="M137" s="202">
        <v>28.417762070331499</v>
      </c>
      <c r="N137" s="87">
        <v>10192.855654799998</v>
      </c>
      <c r="O137" s="123">
        <v>79009.401027106142</v>
      </c>
      <c r="P137" s="123">
        <v>93961.673466394073</v>
      </c>
      <c r="Q137" s="120">
        <v>23913.527147226006</v>
      </c>
      <c r="R137" s="123">
        <v>102922.92817433215</v>
      </c>
      <c r="S137" s="123">
        <v>117875.20061362008</v>
      </c>
      <c r="U137" s="7" t="s">
        <v>6996</v>
      </c>
    </row>
    <row r="138" spans="1:21" ht="16.5" thickBot="1">
      <c r="A138" s="259" t="s">
        <v>10</v>
      </c>
      <c r="B138" s="263">
        <f t="shared" si="6"/>
        <v>140</v>
      </c>
      <c r="C138" s="263" t="s">
        <v>3</v>
      </c>
      <c r="D138" s="263">
        <f t="shared" si="7"/>
        <v>260</v>
      </c>
      <c r="E138" s="263" t="s">
        <v>3</v>
      </c>
      <c r="F138" s="261">
        <f t="shared" si="8"/>
        <v>2200</v>
      </c>
      <c r="G138" s="263" t="s">
        <v>3</v>
      </c>
      <c r="H138" s="260">
        <v>4</v>
      </c>
      <c r="I138" s="262" t="s">
        <v>582</v>
      </c>
      <c r="J138" s="112">
        <v>140</v>
      </c>
      <c r="K138" s="75">
        <v>260</v>
      </c>
      <c r="L138" s="75">
        <v>2200</v>
      </c>
      <c r="M138" s="202">
        <v>28.998354748589747</v>
      </c>
      <c r="N138" s="87">
        <v>10475.990534099999</v>
      </c>
      <c r="O138" s="123">
        <v>80319.95767893111</v>
      </c>
      <c r="P138" s="123">
        <v>95566.286875788093</v>
      </c>
      <c r="Q138" s="120">
        <v>24575.719537376219</v>
      </c>
      <c r="R138" s="123">
        <v>104895.67721630733</v>
      </c>
      <c r="S138" s="123">
        <v>120142.00641316432</v>
      </c>
      <c r="U138" s="7" t="s">
        <v>6997</v>
      </c>
    </row>
    <row r="139" spans="1:21" ht="16.5" thickBot="1">
      <c r="A139" s="259" t="s">
        <v>10</v>
      </c>
      <c r="B139" s="263">
        <f t="shared" si="6"/>
        <v>140</v>
      </c>
      <c r="C139" s="263" t="s">
        <v>3</v>
      </c>
      <c r="D139" s="263">
        <f t="shared" si="7"/>
        <v>260</v>
      </c>
      <c r="E139" s="263" t="s">
        <v>3</v>
      </c>
      <c r="F139" s="261">
        <f t="shared" si="8"/>
        <v>2250</v>
      </c>
      <c r="G139" s="263" t="s">
        <v>3</v>
      </c>
      <c r="H139" s="260">
        <v>4</v>
      </c>
      <c r="I139" s="262" t="s">
        <v>582</v>
      </c>
      <c r="J139" s="112">
        <v>140</v>
      </c>
      <c r="K139" s="75">
        <v>260</v>
      </c>
      <c r="L139" s="75">
        <v>2250</v>
      </c>
      <c r="M139" s="202">
        <v>29.562759426847997</v>
      </c>
      <c r="N139" s="87">
        <v>10759.125413399997</v>
      </c>
      <c r="O139" s="123">
        <v>81950.12539410383</v>
      </c>
      <c r="P139" s="123">
        <v>97498.314856664554</v>
      </c>
      <c r="Q139" s="120">
        <v>25007.330009349789</v>
      </c>
      <c r="R139" s="123">
        <v>106957.45540345361</v>
      </c>
      <c r="S139" s="123">
        <v>122505.64486601434</v>
      </c>
      <c r="U139" s="7" t="s">
        <v>6998</v>
      </c>
    </row>
    <row r="140" spans="1:21" ht="16.5" thickBot="1">
      <c r="A140" s="259" t="s">
        <v>10</v>
      </c>
      <c r="B140" s="263">
        <f t="shared" si="6"/>
        <v>140</v>
      </c>
      <c r="C140" s="263" t="s">
        <v>3</v>
      </c>
      <c r="D140" s="263">
        <f t="shared" si="7"/>
        <v>260</v>
      </c>
      <c r="E140" s="263" t="s">
        <v>3</v>
      </c>
      <c r="F140" s="261">
        <f t="shared" si="8"/>
        <v>2300</v>
      </c>
      <c r="G140" s="263" t="s">
        <v>3</v>
      </c>
      <c r="H140" s="260">
        <v>4</v>
      </c>
      <c r="I140" s="262" t="s">
        <v>582</v>
      </c>
      <c r="J140" s="112">
        <v>140</v>
      </c>
      <c r="K140" s="75">
        <v>260</v>
      </c>
      <c r="L140" s="75">
        <v>2300</v>
      </c>
      <c r="M140" s="202">
        <v>30.127164105106253</v>
      </c>
      <c r="N140" s="87">
        <v>11042.260292699997</v>
      </c>
      <c r="O140" s="123">
        <v>83017.77660196228</v>
      </c>
      <c r="P140" s="123">
        <v>98854.091995748939</v>
      </c>
      <c r="Q140" s="120">
        <v>25438.940621716731</v>
      </c>
      <c r="R140" s="123">
        <v>108456.71722367901</v>
      </c>
      <c r="S140" s="123">
        <v>124293.03261746567</v>
      </c>
      <c r="U140" s="7" t="s">
        <v>6999</v>
      </c>
    </row>
    <row r="141" spans="1:21" ht="16.5" thickBot="1">
      <c r="A141" s="259" t="s">
        <v>10</v>
      </c>
      <c r="B141" s="263">
        <f t="shared" si="6"/>
        <v>140</v>
      </c>
      <c r="C141" s="263" t="s">
        <v>3</v>
      </c>
      <c r="D141" s="263">
        <f t="shared" si="7"/>
        <v>260</v>
      </c>
      <c r="E141" s="263" t="s">
        <v>3</v>
      </c>
      <c r="F141" s="261">
        <f t="shared" si="8"/>
        <v>2350</v>
      </c>
      <c r="G141" s="263" t="s">
        <v>3</v>
      </c>
      <c r="H141" s="260">
        <v>4</v>
      </c>
      <c r="I141" s="262" t="s">
        <v>582</v>
      </c>
      <c r="J141" s="112">
        <v>140</v>
      </c>
      <c r="K141" s="75">
        <v>260</v>
      </c>
      <c r="L141" s="75">
        <v>2350</v>
      </c>
      <c r="M141" s="202">
        <v>30.707756783364495</v>
      </c>
      <c r="N141" s="87">
        <v>11325.395171999999</v>
      </c>
      <c r="O141" s="123">
        <v>84085.379598740066</v>
      </c>
      <c r="P141" s="123">
        <v>100209.81978095064</v>
      </c>
      <c r="Q141" s="120">
        <v>26101.133011866939</v>
      </c>
      <c r="R141" s="123">
        <v>110186.51261060701</v>
      </c>
      <c r="S141" s="123">
        <v>126310.95279281758</v>
      </c>
      <c r="U141" s="7" t="s">
        <v>7000</v>
      </c>
    </row>
    <row r="142" spans="1:21" ht="16.5" thickBot="1">
      <c r="A142" s="259" t="s">
        <v>10</v>
      </c>
      <c r="B142" s="263">
        <f t="shared" si="6"/>
        <v>140</v>
      </c>
      <c r="C142" s="263" t="s">
        <v>3</v>
      </c>
      <c r="D142" s="263">
        <f t="shared" si="7"/>
        <v>260</v>
      </c>
      <c r="E142" s="263" t="s">
        <v>3</v>
      </c>
      <c r="F142" s="261">
        <f t="shared" si="8"/>
        <v>2400</v>
      </c>
      <c r="G142" s="263" t="s">
        <v>3</v>
      </c>
      <c r="H142" s="260">
        <v>4</v>
      </c>
      <c r="I142" s="262" t="s">
        <v>582</v>
      </c>
      <c r="J142" s="112">
        <v>140</v>
      </c>
      <c r="K142" s="75">
        <v>260</v>
      </c>
      <c r="L142" s="75">
        <v>2400</v>
      </c>
      <c r="M142" s="202">
        <v>31.272161461622748</v>
      </c>
      <c r="N142" s="87">
        <v>11608.530051299997</v>
      </c>
      <c r="O142" s="123">
        <v>85152.934623105873</v>
      </c>
      <c r="P142" s="123">
        <v>101565.49834283555</v>
      </c>
      <c r="Q142" s="120">
        <v>26532.743624233881</v>
      </c>
      <c r="R142" s="123">
        <v>111685.67824733976</v>
      </c>
      <c r="S142" s="123">
        <v>128098.24196706942</v>
      </c>
      <c r="U142" s="7" t="s">
        <v>7001</v>
      </c>
    </row>
    <row r="143" spans="1:21" ht="16.5" thickBot="1">
      <c r="A143" s="259" t="s">
        <v>10</v>
      </c>
      <c r="B143" s="263">
        <f t="shared" si="6"/>
        <v>140</v>
      </c>
      <c r="C143" s="263" t="s">
        <v>3</v>
      </c>
      <c r="D143" s="263">
        <f t="shared" si="7"/>
        <v>260</v>
      </c>
      <c r="E143" s="263" t="s">
        <v>3</v>
      </c>
      <c r="F143" s="261">
        <f t="shared" si="8"/>
        <v>2450</v>
      </c>
      <c r="G143" s="263" t="s">
        <v>3</v>
      </c>
      <c r="H143" s="260">
        <v>4</v>
      </c>
      <c r="I143" s="262" t="s">
        <v>582</v>
      </c>
      <c r="J143" s="112">
        <v>140</v>
      </c>
      <c r="K143" s="75">
        <v>260</v>
      </c>
      <c r="L143" s="75">
        <v>2450</v>
      </c>
      <c r="M143" s="202">
        <v>32.572769449242998</v>
      </c>
      <c r="N143" s="87">
        <v>11891.664930599998</v>
      </c>
      <c r="O143" s="123">
        <v>86697.722185070888</v>
      </c>
      <c r="P143" s="123">
        <v>103551.22935406679</v>
      </c>
      <c r="Q143" s="120">
        <v>27194.936014384097</v>
      </c>
      <c r="R143" s="123">
        <v>113892.65819945498</v>
      </c>
      <c r="S143" s="123">
        <v>130746.16536845089</v>
      </c>
      <c r="U143" s="7" t="s">
        <v>7002</v>
      </c>
    </row>
    <row r="144" spans="1:21" ht="16.5" thickBot="1">
      <c r="A144" s="259" t="s">
        <v>10</v>
      </c>
      <c r="B144" s="263">
        <f t="shared" si="6"/>
        <v>140</v>
      </c>
      <c r="C144" s="263" t="s">
        <v>3</v>
      </c>
      <c r="D144" s="263">
        <f t="shared" si="7"/>
        <v>260</v>
      </c>
      <c r="E144" s="263" t="s">
        <v>3</v>
      </c>
      <c r="F144" s="261">
        <f t="shared" si="8"/>
        <v>2500</v>
      </c>
      <c r="G144" s="263" t="s">
        <v>3</v>
      </c>
      <c r="H144" s="260">
        <v>4</v>
      </c>
      <c r="I144" s="262" t="s">
        <v>582</v>
      </c>
      <c r="J144" s="112">
        <v>140</v>
      </c>
      <c r="K144" s="75">
        <v>260</v>
      </c>
      <c r="L144" s="75">
        <v>2500</v>
      </c>
      <c r="M144" s="202">
        <v>33.137174127501247</v>
      </c>
      <c r="N144" s="87">
        <v>12174.799809899996</v>
      </c>
      <c r="O144" s="123">
        <v>87765.18090660969</v>
      </c>
      <c r="P144" s="123">
        <v>104906.80933875222</v>
      </c>
      <c r="Q144" s="120">
        <v>27626.546626751031</v>
      </c>
      <c r="R144" s="123">
        <v>115391.72753336072</v>
      </c>
      <c r="S144" s="123">
        <v>132533.35596550326</v>
      </c>
      <c r="U144" s="7" t="s">
        <v>7003</v>
      </c>
    </row>
    <row r="145" spans="1:21" ht="16.5" thickBot="1">
      <c r="A145" s="259" t="s">
        <v>10</v>
      </c>
      <c r="B145" s="263">
        <f t="shared" si="6"/>
        <v>140</v>
      </c>
      <c r="C145" s="263" t="s">
        <v>3</v>
      </c>
      <c r="D145" s="263">
        <f t="shared" si="7"/>
        <v>260</v>
      </c>
      <c r="E145" s="263" t="s">
        <v>3</v>
      </c>
      <c r="F145" s="261">
        <f t="shared" si="8"/>
        <v>2550</v>
      </c>
      <c r="G145" s="263" t="s">
        <v>3</v>
      </c>
      <c r="H145" s="260">
        <v>4</v>
      </c>
      <c r="I145" s="262" t="s">
        <v>582</v>
      </c>
      <c r="J145" s="112">
        <v>140</v>
      </c>
      <c r="K145" s="75">
        <v>260</v>
      </c>
      <c r="L145" s="75">
        <v>2550</v>
      </c>
      <c r="M145" s="202">
        <v>33.717766805759503</v>
      </c>
      <c r="N145" s="87">
        <v>12457.934689199998</v>
      </c>
      <c r="O145" s="123">
        <v>92126.927473395859</v>
      </c>
      <c r="P145" s="123">
        <v>109637.11067829149</v>
      </c>
      <c r="Q145" s="120">
        <v>28288.739016901247</v>
      </c>
      <c r="R145" s="123">
        <v>120415.66649029711</v>
      </c>
      <c r="S145" s="123">
        <v>137925.84969519274</v>
      </c>
      <c r="U145" s="7" t="s">
        <v>7004</v>
      </c>
    </row>
    <row r="146" spans="1:21" ht="16.5" thickBot="1">
      <c r="A146" s="259" t="s">
        <v>10</v>
      </c>
      <c r="B146" s="260">
        <f t="shared" si="6"/>
        <v>140</v>
      </c>
      <c r="C146" s="260" t="s">
        <v>3</v>
      </c>
      <c r="D146" s="260">
        <f t="shared" si="7"/>
        <v>260</v>
      </c>
      <c r="E146" s="260" t="s">
        <v>3</v>
      </c>
      <c r="F146" s="261">
        <f t="shared" si="8"/>
        <v>2600</v>
      </c>
      <c r="G146" s="260" t="s">
        <v>3</v>
      </c>
      <c r="H146" s="260">
        <v>4</v>
      </c>
      <c r="I146" s="262" t="s">
        <v>582</v>
      </c>
      <c r="J146" s="112">
        <v>140</v>
      </c>
      <c r="K146" s="75">
        <v>260</v>
      </c>
      <c r="L146" s="75">
        <v>2600</v>
      </c>
      <c r="M146" s="202">
        <v>34.282171484017752</v>
      </c>
      <c r="N146" s="87">
        <v>12741.069568499997</v>
      </c>
      <c r="O146" s="123">
        <v>93464.893556601121</v>
      </c>
      <c r="P146" s="123">
        <v>111269.80279107204</v>
      </c>
      <c r="Q146" s="120">
        <v>28720.349629268181</v>
      </c>
      <c r="R146" s="123">
        <v>122185.2431858693</v>
      </c>
      <c r="S146" s="123">
        <v>139990.15242034022</v>
      </c>
      <c r="U146" s="7" t="s">
        <v>7005</v>
      </c>
    </row>
    <row r="147" spans="1:21" ht="16.5" thickBot="1">
      <c r="A147" s="259" t="s">
        <v>10</v>
      </c>
      <c r="B147" s="263">
        <f t="shared" si="6"/>
        <v>140</v>
      </c>
      <c r="C147" s="263" t="s">
        <v>3</v>
      </c>
      <c r="D147" s="263">
        <f t="shared" si="7"/>
        <v>260</v>
      </c>
      <c r="E147" s="263" t="s">
        <v>3</v>
      </c>
      <c r="F147" s="261">
        <f t="shared" si="8"/>
        <v>2650</v>
      </c>
      <c r="G147" s="263" t="s">
        <v>3</v>
      </c>
      <c r="H147" s="260">
        <v>4</v>
      </c>
      <c r="I147" s="262" t="s">
        <v>582</v>
      </c>
      <c r="J147" s="112">
        <v>140</v>
      </c>
      <c r="K147" s="75">
        <v>260</v>
      </c>
      <c r="L147" s="75">
        <v>2650</v>
      </c>
      <c r="M147" s="202">
        <v>34.862764162276001</v>
      </c>
      <c r="N147" s="87">
        <v>13024.204447799995</v>
      </c>
      <c r="O147" s="123">
        <v>94372.23981849695</v>
      </c>
      <c r="P147" s="123">
        <v>112461.36102222159</v>
      </c>
      <c r="Q147" s="120">
        <v>29382.542019418397</v>
      </c>
      <c r="R147" s="123">
        <v>123754.78183791535</v>
      </c>
      <c r="S147" s="123">
        <v>141843.90304164001</v>
      </c>
      <c r="U147" s="7" t="s">
        <v>7006</v>
      </c>
    </row>
    <row r="148" spans="1:21" ht="16.5" thickBot="1">
      <c r="A148" s="259" t="s">
        <v>10</v>
      </c>
      <c r="B148" s="263">
        <f t="shared" si="6"/>
        <v>140</v>
      </c>
      <c r="C148" s="263" t="s">
        <v>3</v>
      </c>
      <c r="D148" s="263">
        <f t="shared" si="7"/>
        <v>260</v>
      </c>
      <c r="E148" s="263" t="s">
        <v>3</v>
      </c>
      <c r="F148" s="261">
        <f t="shared" si="8"/>
        <v>2700</v>
      </c>
      <c r="G148" s="263" t="s">
        <v>3</v>
      </c>
      <c r="H148" s="260">
        <v>4</v>
      </c>
      <c r="I148" s="262" t="s">
        <v>582</v>
      </c>
      <c r="J148" s="112">
        <v>140</v>
      </c>
      <c r="K148" s="75">
        <v>260</v>
      </c>
      <c r="L148" s="75">
        <v>2700</v>
      </c>
      <c r="M148" s="202">
        <v>35.501743840534253</v>
      </c>
      <c r="N148" s="87">
        <v>13307.339327099997</v>
      </c>
      <c r="O148" s="123">
        <v>95339.162684677474</v>
      </c>
      <c r="P148" s="123">
        <v>113713.95029077334</v>
      </c>
      <c r="Q148" s="120">
        <v>29814.152631785331</v>
      </c>
      <c r="R148" s="123">
        <v>125153.3153164628</v>
      </c>
      <c r="S148" s="123">
        <v>143528.10292255867</v>
      </c>
      <c r="U148" s="7" t="s">
        <v>7007</v>
      </c>
    </row>
    <row r="149" spans="1:21" ht="16.5" thickBot="1">
      <c r="A149" s="259" t="s">
        <v>10</v>
      </c>
      <c r="B149" s="263">
        <f t="shared" si="6"/>
        <v>140</v>
      </c>
      <c r="C149" s="263" t="s">
        <v>3</v>
      </c>
      <c r="D149" s="263">
        <f t="shared" si="7"/>
        <v>260</v>
      </c>
      <c r="E149" s="263" t="s">
        <v>3</v>
      </c>
      <c r="F149" s="261">
        <f t="shared" si="8"/>
        <v>2750</v>
      </c>
      <c r="G149" s="263" t="s">
        <v>3</v>
      </c>
      <c r="H149" s="260">
        <v>4</v>
      </c>
      <c r="I149" s="262" t="s">
        <v>582</v>
      </c>
      <c r="J149" s="112">
        <v>140</v>
      </c>
      <c r="K149" s="75">
        <v>260</v>
      </c>
      <c r="L149" s="75">
        <v>2750</v>
      </c>
      <c r="M149" s="202">
        <v>36.066148518792502</v>
      </c>
      <c r="N149" s="87">
        <v>13590.474206399997</v>
      </c>
      <c r="O149" s="123">
        <v>96328.166822482366</v>
      </c>
      <c r="P149" s="123">
        <v>114989.16008887449</v>
      </c>
      <c r="Q149" s="120">
        <v>30245.763244152273</v>
      </c>
      <c r="R149" s="123">
        <v>126573.93006663464</v>
      </c>
      <c r="S149" s="123">
        <v>145234.92333302676</v>
      </c>
      <c r="U149" s="7" t="s">
        <v>7008</v>
      </c>
    </row>
    <row r="150" spans="1:21" ht="16.5" thickBot="1">
      <c r="A150" s="259" t="s">
        <v>10</v>
      </c>
      <c r="B150" s="263">
        <f t="shared" si="6"/>
        <v>140</v>
      </c>
      <c r="C150" s="263" t="s">
        <v>3</v>
      </c>
      <c r="D150" s="263">
        <f t="shared" si="7"/>
        <v>260</v>
      </c>
      <c r="E150" s="263" t="s">
        <v>3</v>
      </c>
      <c r="F150" s="261">
        <f t="shared" si="8"/>
        <v>2800</v>
      </c>
      <c r="G150" s="263" t="s">
        <v>3</v>
      </c>
      <c r="H150" s="260">
        <v>4</v>
      </c>
      <c r="I150" s="262" t="s">
        <v>582</v>
      </c>
      <c r="J150" s="112">
        <v>140</v>
      </c>
      <c r="K150" s="75">
        <v>260</v>
      </c>
      <c r="L150" s="75">
        <v>2800</v>
      </c>
      <c r="M150" s="202">
        <v>36.646741197050751</v>
      </c>
      <c r="N150" s="87">
        <v>13873.609085699996</v>
      </c>
      <c r="O150" s="123">
        <v>97234.278809112118</v>
      </c>
      <c r="P150" s="123">
        <v>116179.45378998833</v>
      </c>
      <c r="Q150" s="120">
        <v>30907.955493909118</v>
      </c>
      <c r="R150" s="123">
        <v>128142.23430302124</v>
      </c>
      <c r="S150" s="123">
        <v>147087.40928389743</v>
      </c>
      <c r="U150" s="7" t="s">
        <v>7009</v>
      </c>
    </row>
    <row r="151" spans="1:21" ht="16.5" thickBot="1">
      <c r="A151" s="259" t="s">
        <v>10</v>
      </c>
      <c r="B151" s="263">
        <f t="shared" si="6"/>
        <v>140</v>
      </c>
      <c r="C151" s="263" t="s">
        <v>3</v>
      </c>
      <c r="D151" s="263">
        <f t="shared" si="7"/>
        <v>260</v>
      </c>
      <c r="E151" s="263" t="s">
        <v>3</v>
      </c>
      <c r="F151" s="261">
        <f t="shared" si="8"/>
        <v>2850</v>
      </c>
      <c r="G151" s="263" t="s">
        <v>3</v>
      </c>
      <c r="H151" s="260">
        <v>4</v>
      </c>
      <c r="I151" s="262" t="s">
        <v>582</v>
      </c>
      <c r="J151" s="112">
        <v>140</v>
      </c>
      <c r="K151" s="75">
        <v>260</v>
      </c>
      <c r="L151" s="75">
        <v>2850</v>
      </c>
      <c r="M151" s="202">
        <v>38.030045875309</v>
      </c>
      <c r="N151" s="87">
        <v>14156.743964999996</v>
      </c>
      <c r="O151" s="123">
        <v>98140.342584661179</v>
      </c>
      <c r="P151" s="123">
        <v>117369.69826778537</v>
      </c>
      <c r="Q151" s="120">
        <v>31339.566106276056</v>
      </c>
      <c r="R151" s="123">
        <v>129479.90869093724</v>
      </c>
      <c r="S151" s="123">
        <v>148709.26437406143</v>
      </c>
      <c r="U151" s="7" t="s">
        <v>7010</v>
      </c>
    </row>
    <row r="152" spans="1:21" ht="16.5" thickBot="1">
      <c r="A152" s="259" t="s">
        <v>10</v>
      </c>
      <c r="B152" s="263">
        <f t="shared" si="6"/>
        <v>140</v>
      </c>
      <c r="C152" s="263" t="s">
        <v>3</v>
      </c>
      <c r="D152" s="263">
        <f t="shared" si="7"/>
        <v>260</v>
      </c>
      <c r="E152" s="263" t="s">
        <v>3</v>
      </c>
      <c r="F152" s="261">
        <f t="shared" si="8"/>
        <v>2900</v>
      </c>
      <c r="G152" s="263" t="s">
        <v>3</v>
      </c>
      <c r="H152" s="260">
        <v>4</v>
      </c>
      <c r="I152" s="262" t="s">
        <v>582</v>
      </c>
      <c r="J152" s="112">
        <v>140</v>
      </c>
      <c r="K152" s="75">
        <v>260</v>
      </c>
      <c r="L152" s="75">
        <v>2900</v>
      </c>
      <c r="M152" s="202">
        <v>38.610638553567249</v>
      </c>
      <c r="N152" s="87">
        <v>14439.878844299998</v>
      </c>
      <c r="O152" s="123">
        <v>99046.358387798289</v>
      </c>
      <c r="P152" s="123">
        <v>118559.89339169975</v>
      </c>
      <c r="Q152" s="120">
        <v>32001.758496426271</v>
      </c>
      <c r="R152" s="123">
        <v>131048.11688422455</v>
      </c>
      <c r="S152" s="123">
        <v>150561.65188812601</v>
      </c>
      <c r="U152" s="7" t="s">
        <v>7011</v>
      </c>
    </row>
    <row r="153" spans="1:21" ht="16.5" thickBot="1">
      <c r="A153" s="259" t="s">
        <v>10</v>
      </c>
      <c r="B153" s="263">
        <f t="shared" si="6"/>
        <v>140</v>
      </c>
      <c r="C153" s="263" t="s">
        <v>3</v>
      </c>
      <c r="D153" s="263">
        <f t="shared" si="7"/>
        <v>260</v>
      </c>
      <c r="E153" s="263" t="s">
        <v>3</v>
      </c>
      <c r="F153" s="261">
        <f t="shared" si="8"/>
        <v>2950</v>
      </c>
      <c r="G153" s="263" t="s">
        <v>3</v>
      </c>
      <c r="H153" s="260">
        <v>4</v>
      </c>
      <c r="I153" s="262" t="s">
        <v>582</v>
      </c>
      <c r="J153" s="112">
        <v>140</v>
      </c>
      <c r="K153" s="75">
        <v>260</v>
      </c>
      <c r="L153" s="75">
        <v>2950</v>
      </c>
      <c r="M153" s="202">
        <v>39.175043231825498</v>
      </c>
      <c r="N153" s="87">
        <v>14723.013723599999</v>
      </c>
      <c r="O153" s="123">
        <v>99952.325979854693</v>
      </c>
      <c r="P153" s="123">
        <v>119750.0392922973</v>
      </c>
      <c r="Q153" s="120">
        <v>32433.369108793206</v>
      </c>
      <c r="R153" s="123">
        <v>132385.69508864789</v>
      </c>
      <c r="S153" s="123">
        <v>152183.40840109051</v>
      </c>
      <c r="U153" s="7" t="s">
        <v>7012</v>
      </c>
    </row>
    <row r="154" spans="1:21" ht="16.5" thickBot="1">
      <c r="A154" s="264" t="s">
        <v>10</v>
      </c>
      <c r="B154" s="265">
        <f t="shared" si="6"/>
        <v>140</v>
      </c>
      <c r="C154" s="265" t="s">
        <v>3</v>
      </c>
      <c r="D154" s="265">
        <f t="shared" si="7"/>
        <v>260</v>
      </c>
      <c r="E154" s="265" t="s">
        <v>3</v>
      </c>
      <c r="F154" s="266">
        <f t="shared" si="8"/>
        <v>3000</v>
      </c>
      <c r="G154" s="265" t="s">
        <v>3</v>
      </c>
      <c r="H154" s="267">
        <v>4</v>
      </c>
      <c r="I154" s="262" t="s">
        <v>582</v>
      </c>
      <c r="J154" s="112">
        <v>140</v>
      </c>
      <c r="K154" s="322">
        <v>260</v>
      </c>
      <c r="L154" s="322">
        <v>3000</v>
      </c>
      <c r="M154" s="305">
        <v>39.75563591008374</v>
      </c>
      <c r="N154" s="306">
        <v>15006.148602899997</v>
      </c>
      <c r="O154" s="307">
        <v>102575.0822789473</v>
      </c>
      <c r="P154" s="307">
        <v>122698.89108580349</v>
      </c>
      <c r="Q154" s="308">
        <v>33095.561498943418</v>
      </c>
      <c r="R154" s="307">
        <v>135670.64377789071</v>
      </c>
      <c r="S154" s="307">
        <v>155794.4525847469</v>
      </c>
      <c r="U154" s="7" t="s">
        <v>7013</v>
      </c>
    </row>
    <row r="155" spans="1:21" ht="22.5" customHeight="1" thickBot="1">
      <c r="A155" s="2580" t="s">
        <v>48</v>
      </c>
      <c r="B155" s="2581"/>
      <c r="C155" s="2581"/>
      <c r="D155" s="2581"/>
      <c r="E155" s="2581"/>
      <c r="F155" s="2581"/>
      <c r="G155" s="2581"/>
      <c r="H155" s="2581"/>
      <c r="I155" s="2581"/>
      <c r="J155" s="2581"/>
      <c r="K155" s="2581"/>
      <c r="L155" s="2581"/>
      <c r="M155" s="2581"/>
      <c r="N155" s="2581"/>
      <c r="O155" s="2581"/>
      <c r="P155" s="2581"/>
      <c r="Q155" s="2581"/>
      <c r="R155" s="2581"/>
      <c r="S155" s="2582"/>
      <c r="U155" s="7"/>
    </row>
    <row r="156" spans="1:21" ht="19.5" thickBot="1">
      <c r="A156" s="2627" t="s">
        <v>139</v>
      </c>
      <c r="B156" s="2628"/>
      <c r="C156" s="2628"/>
      <c r="D156" s="2628"/>
      <c r="E156" s="2628"/>
      <c r="F156" s="2628"/>
      <c r="G156" s="2628"/>
      <c r="H156" s="2628"/>
      <c r="I156" s="2628"/>
      <c r="J156" s="2628"/>
      <c r="K156" s="2628"/>
      <c r="L156" s="2628"/>
      <c r="M156" s="2628"/>
      <c r="N156" s="2628"/>
      <c r="O156" s="2628"/>
      <c r="P156" s="2628"/>
      <c r="Q156" s="2628"/>
      <c r="R156" s="2628"/>
      <c r="S156" s="2629"/>
      <c r="U156" s="7"/>
    </row>
    <row r="157" spans="1:21" ht="16.5" thickBot="1">
      <c r="A157" s="259" t="s">
        <v>10</v>
      </c>
      <c r="B157" s="260">
        <f t="shared" ref="B157:B203" si="9">J157</f>
        <v>140</v>
      </c>
      <c r="C157" s="260" t="s">
        <v>3</v>
      </c>
      <c r="D157" s="260">
        <f t="shared" ref="D157:D203" si="10">K157</f>
        <v>300</v>
      </c>
      <c r="E157" s="260" t="s">
        <v>3</v>
      </c>
      <c r="F157" s="261">
        <f t="shared" ref="F157:F203" si="11">L157</f>
        <v>700</v>
      </c>
      <c r="G157" s="260" t="s">
        <v>3</v>
      </c>
      <c r="H157" s="260">
        <v>4</v>
      </c>
      <c r="I157" s="262" t="s">
        <v>582</v>
      </c>
      <c r="J157" s="112">
        <v>140</v>
      </c>
      <c r="K157" s="327">
        <v>300</v>
      </c>
      <c r="L157" s="327">
        <v>700</v>
      </c>
      <c r="M157" s="301">
        <v>10.979732624982249</v>
      </c>
      <c r="N157" s="302">
        <v>2122.6095590700002</v>
      </c>
      <c r="O157" s="303">
        <v>29956.931495123921</v>
      </c>
      <c r="P157" s="303">
        <v>36212.538694833689</v>
      </c>
      <c r="Q157" s="304">
        <v>9394.7606208712132</v>
      </c>
      <c r="R157" s="303">
        <v>39351.692115995131</v>
      </c>
      <c r="S157" s="303">
        <v>45607.299315704906</v>
      </c>
      <c r="U157" s="7" t="s">
        <v>7014</v>
      </c>
    </row>
    <row r="158" spans="1:21" ht="16.5" thickBot="1">
      <c r="A158" s="259" t="s">
        <v>10</v>
      </c>
      <c r="B158" s="263">
        <f t="shared" si="9"/>
        <v>140</v>
      </c>
      <c r="C158" s="263" t="s">
        <v>3</v>
      </c>
      <c r="D158" s="263">
        <f t="shared" si="10"/>
        <v>300</v>
      </c>
      <c r="E158" s="263" t="s">
        <v>3</v>
      </c>
      <c r="F158" s="261">
        <f t="shared" si="11"/>
        <v>750</v>
      </c>
      <c r="G158" s="263" t="s">
        <v>3</v>
      </c>
      <c r="H158" s="260">
        <v>4</v>
      </c>
      <c r="I158" s="262" t="s">
        <v>582</v>
      </c>
      <c r="J158" s="112">
        <v>140</v>
      </c>
      <c r="K158" s="75">
        <v>300</v>
      </c>
      <c r="L158" s="75">
        <v>750</v>
      </c>
      <c r="M158" s="202">
        <v>11.604967988140498</v>
      </c>
      <c r="N158" s="87">
        <v>2425.8394960800001</v>
      </c>
      <c r="O158" s="123">
        <v>31783.53334918775</v>
      </c>
      <c r="P158" s="123">
        <v>38365.694396753155</v>
      </c>
      <c r="Q158" s="120">
        <v>9875.165788735203</v>
      </c>
      <c r="R158" s="123">
        <v>41658.699137922951</v>
      </c>
      <c r="S158" s="123">
        <v>48240.86018548836</v>
      </c>
      <c r="U158" s="7" t="s">
        <v>7015</v>
      </c>
    </row>
    <row r="159" spans="1:21" ht="16.5" thickBot="1">
      <c r="A159" s="259" t="s">
        <v>10</v>
      </c>
      <c r="B159" s="263">
        <f t="shared" si="9"/>
        <v>140</v>
      </c>
      <c r="C159" s="263" t="s">
        <v>3</v>
      </c>
      <c r="D159" s="263">
        <f t="shared" si="10"/>
        <v>300</v>
      </c>
      <c r="E159" s="263" t="s">
        <v>3</v>
      </c>
      <c r="F159" s="261">
        <f t="shared" si="11"/>
        <v>800</v>
      </c>
      <c r="G159" s="263" t="s">
        <v>3</v>
      </c>
      <c r="H159" s="260">
        <v>4</v>
      </c>
      <c r="I159" s="262" t="s">
        <v>582</v>
      </c>
      <c r="J159" s="112">
        <v>140</v>
      </c>
      <c r="K159" s="75">
        <v>300</v>
      </c>
      <c r="L159" s="75">
        <v>800</v>
      </c>
      <c r="M159" s="202">
        <v>12.230203351298748</v>
      </c>
      <c r="N159" s="87">
        <v>2729.0694330900001</v>
      </c>
      <c r="O159" s="123">
        <v>33610.740109112914</v>
      </c>
      <c r="P159" s="123">
        <v>40519.46963352232</v>
      </c>
      <c r="Q159" s="120">
        <v>10355.570956599189</v>
      </c>
      <c r="R159" s="123">
        <v>43966.3110657121</v>
      </c>
      <c r="S159" s="123">
        <v>50875.040590121513</v>
      </c>
      <c r="U159" s="7" t="s">
        <v>7016</v>
      </c>
    </row>
    <row r="160" spans="1:21" ht="16.5" thickBot="1">
      <c r="A160" s="259" t="s">
        <v>10</v>
      </c>
      <c r="B160" s="263">
        <f t="shared" si="9"/>
        <v>140</v>
      </c>
      <c r="C160" s="263" t="s">
        <v>3</v>
      </c>
      <c r="D160" s="263">
        <f t="shared" si="10"/>
        <v>300</v>
      </c>
      <c r="E160" s="263" t="s">
        <v>3</v>
      </c>
      <c r="F160" s="261">
        <f t="shared" si="11"/>
        <v>850</v>
      </c>
      <c r="G160" s="263" t="s">
        <v>3</v>
      </c>
      <c r="H160" s="260">
        <v>4</v>
      </c>
      <c r="I160" s="262" t="s">
        <v>582</v>
      </c>
      <c r="J160" s="112">
        <v>140</v>
      </c>
      <c r="K160" s="75">
        <v>300</v>
      </c>
      <c r="L160" s="75">
        <v>850</v>
      </c>
      <c r="M160" s="202">
        <v>12.871626714456999</v>
      </c>
      <c r="N160" s="87">
        <v>3032.2993701000005</v>
      </c>
      <c r="O160" s="123">
        <v>35437.946869038075</v>
      </c>
      <c r="P160" s="123">
        <v>42673.245000857321</v>
      </c>
      <c r="Q160" s="120">
        <v>11066.558042639816</v>
      </c>
      <c r="R160" s="123">
        <v>46504.50491167789</v>
      </c>
      <c r="S160" s="123">
        <v>53739.803043497137</v>
      </c>
      <c r="U160" s="7" t="s">
        <v>7017</v>
      </c>
    </row>
    <row r="161" spans="1:21" ht="16.5" thickBot="1">
      <c r="A161" s="259" t="s">
        <v>10</v>
      </c>
      <c r="B161" s="263">
        <f t="shared" si="9"/>
        <v>140</v>
      </c>
      <c r="C161" s="263" t="s">
        <v>3</v>
      </c>
      <c r="D161" s="263">
        <f t="shared" si="10"/>
        <v>300</v>
      </c>
      <c r="E161" s="263" t="s">
        <v>3</v>
      </c>
      <c r="F161" s="261">
        <f t="shared" si="11"/>
        <v>900</v>
      </c>
      <c r="G161" s="263" t="s">
        <v>3</v>
      </c>
      <c r="H161" s="260">
        <v>4</v>
      </c>
      <c r="I161" s="262" t="s">
        <v>582</v>
      </c>
      <c r="J161" s="112">
        <v>140</v>
      </c>
      <c r="K161" s="75">
        <v>300</v>
      </c>
      <c r="L161" s="75">
        <v>900</v>
      </c>
      <c r="M161" s="202">
        <v>13.647912077615247</v>
      </c>
      <c r="N161" s="87">
        <v>3335.5293071100004</v>
      </c>
      <c r="O161" s="123">
        <v>37265.153628963242</v>
      </c>
      <c r="P161" s="123">
        <v>44827.020368192316</v>
      </c>
      <c r="Q161" s="120">
        <v>11546.963210503804</v>
      </c>
      <c r="R161" s="123">
        <v>48812.116839467046</v>
      </c>
      <c r="S161" s="123">
        <v>56373.983578696119</v>
      </c>
      <c r="U161" s="7" t="s">
        <v>7018</v>
      </c>
    </row>
    <row r="162" spans="1:21" ht="16.5" thickBot="1">
      <c r="A162" s="259" t="s">
        <v>10</v>
      </c>
      <c r="B162" s="263">
        <f t="shared" si="9"/>
        <v>140</v>
      </c>
      <c r="C162" s="263" t="s">
        <v>3</v>
      </c>
      <c r="D162" s="263">
        <f t="shared" si="10"/>
        <v>300</v>
      </c>
      <c r="E162" s="263" t="s">
        <v>3</v>
      </c>
      <c r="F162" s="261">
        <f t="shared" si="11"/>
        <v>950</v>
      </c>
      <c r="G162" s="263" t="s">
        <v>3</v>
      </c>
      <c r="H162" s="260">
        <v>4</v>
      </c>
      <c r="I162" s="262" t="s">
        <v>582</v>
      </c>
      <c r="J162" s="112">
        <v>140</v>
      </c>
      <c r="K162" s="75">
        <v>300</v>
      </c>
      <c r="L162" s="75">
        <v>950</v>
      </c>
      <c r="M162" s="202">
        <v>14.289335440773497</v>
      </c>
      <c r="N162" s="87">
        <v>3638.7592441200004</v>
      </c>
      <c r="O162" s="123">
        <v>39092.360508222766</v>
      </c>
      <c r="P162" s="123">
        <v>46980.795735527317</v>
      </c>
      <c r="Q162" s="120">
        <v>12257.950156151066</v>
      </c>
      <c r="R162" s="123">
        <v>51350.310664373828</v>
      </c>
      <c r="S162" s="123">
        <v>59238.74589167838</v>
      </c>
      <c r="U162" s="7" t="s">
        <v>7019</v>
      </c>
    </row>
    <row r="163" spans="1:21" ht="16.5" thickBot="1">
      <c r="A163" s="259" t="s">
        <v>10</v>
      </c>
      <c r="B163" s="263">
        <f t="shared" si="9"/>
        <v>140</v>
      </c>
      <c r="C163" s="263" t="s">
        <v>3</v>
      </c>
      <c r="D163" s="263">
        <f t="shared" si="10"/>
        <v>300</v>
      </c>
      <c r="E163" s="263" t="s">
        <v>3</v>
      </c>
      <c r="F163" s="261">
        <f t="shared" si="11"/>
        <v>1000</v>
      </c>
      <c r="G163" s="263" t="s">
        <v>3</v>
      </c>
      <c r="H163" s="260">
        <v>4</v>
      </c>
      <c r="I163" s="262" t="s">
        <v>582</v>
      </c>
      <c r="J163" s="112">
        <v>140</v>
      </c>
      <c r="K163" s="75">
        <v>300</v>
      </c>
      <c r="L163" s="75">
        <v>1000</v>
      </c>
      <c r="M163" s="202">
        <v>14.914570803931747</v>
      </c>
      <c r="N163" s="87">
        <v>3941.9891811300008</v>
      </c>
      <c r="O163" s="123">
        <v>40824.43511119426</v>
      </c>
      <c r="P163" s="123">
        <v>49037.116247232909</v>
      </c>
      <c r="Q163" s="120">
        <v>12738.355464408416</v>
      </c>
      <c r="R163" s="123">
        <v>53562.790575602674</v>
      </c>
      <c r="S163" s="123">
        <v>61775.471711641323</v>
      </c>
      <c r="U163" s="7" t="s">
        <v>7020</v>
      </c>
    </row>
    <row r="164" spans="1:21" ht="16.5" thickBot="1">
      <c r="A164" s="259" t="s">
        <v>10</v>
      </c>
      <c r="B164" s="263">
        <f t="shared" si="9"/>
        <v>140</v>
      </c>
      <c r="C164" s="263" t="s">
        <v>3</v>
      </c>
      <c r="D164" s="263">
        <f t="shared" si="10"/>
        <v>300</v>
      </c>
      <c r="E164" s="263" t="s">
        <v>3</v>
      </c>
      <c r="F164" s="261">
        <f t="shared" si="11"/>
        <v>1050</v>
      </c>
      <c r="G164" s="263" t="s">
        <v>3</v>
      </c>
      <c r="H164" s="260">
        <v>4</v>
      </c>
      <c r="I164" s="262" t="s">
        <v>582</v>
      </c>
      <c r="J164" s="112">
        <v>140</v>
      </c>
      <c r="K164" s="75">
        <v>300</v>
      </c>
      <c r="L164" s="75">
        <v>1050</v>
      </c>
      <c r="M164" s="202">
        <v>15.555994167089997</v>
      </c>
      <c r="N164" s="87">
        <v>4245.2191181400003</v>
      </c>
      <c r="O164" s="123">
        <v>42677.161881607528</v>
      </c>
      <c r="P164" s="123">
        <v>51217.034679567325</v>
      </c>
      <c r="Q164" s="120">
        <v>13449.342410055679</v>
      </c>
      <c r="R164" s="123">
        <v>56126.504291663208</v>
      </c>
      <c r="S164" s="123">
        <v>64666.377089623005</v>
      </c>
      <c r="U164" s="7" t="s">
        <v>7021</v>
      </c>
    </row>
    <row r="165" spans="1:21" ht="16.5" thickBot="1">
      <c r="A165" s="259" t="s">
        <v>10</v>
      </c>
      <c r="B165" s="260">
        <f t="shared" si="9"/>
        <v>140</v>
      </c>
      <c r="C165" s="260" t="s">
        <v>3</v>
      </c>
      <c r="D165" s="260">
        <f t="shared" si="10"/>
        <v>300</v>
      </c>
      <c r="E165" s="260" t="s">
        <v>3</v>
      </c>
      <c r="F165" s="261">
        <f t="shared" si="11"/>
        <v>1100</v>
      </c>
      <c r="G165" s="260" t="s">
        <v>3</v>
      </c>
      <c r="H165" s="260">
        <v>4</v>
      </c>
      <c r="I165" s="262" t="s">
        <v>582</v>
      </c>
      <c r="J165" s="112">
        <v>140</v>
      </c>
      <c r="K165" s="75">
        <v>300</v>
      </c>
      <c r="L165" s="75">
        <v>1100</v>
      </c>
      <c r="M165" s="202">
        <v>16.181229530248245</v>
      </c>
      <c r="N165" s="87">
        <v>4548.4490551500012</v>
      </c>
      <c r="O165" s="123">
        <v>44504.368760867052</v>
      </c>
      <c r="P165" s="123">
        <v>53370.80991633649</v>
      </c>
      <c r="Q165" s="120">
        <v>13929.747718313029</v>
      </c>
      <c r="R165" s="123">
        <v>58434.116479180084</v>
      </c>
      <c r="S165" s="123">
        <v>67300.557634649522</v>
      </c>
      <c r="U165" s="7" t="s">
        <v>7022</v>
      </c>
    </row>
    <row r="166" spans="1:21" ht="16.5" thickBot="1">
      <c r="A166" s="259" t="s">
        <v>10</v>
      </c>
      <c r="B166" s="263">
        <f t="shared" si="9"/>
        <v>140</v>
      </c>
      <c r="C166" s="263" t="s">
        <v>3</v>
      </c>
      <c r="D166" s="263">
        <f t="shared" si="10"/>
        <v>300</v>
      </c>
      <c r="E166" s="263" t="s">
        <v>3</v>
      </c>
      <c r="F166" s="261">
        <f t="shared" si="11"/>
        <v>1150</v>
      </c>
      <c r="G166" s="263" t="s">
        <v>3</v>
      </c>
      <c r="H166" s="260">
        <v>4</v>
      </c>
      <c r="I166" s="262" t="s">
        <v>582</v>
      </c>
      <c r="J166" s="112">
        <v>140</v>
      </c>
      <c r="K166" s="75">
        <v>300</v>
      </c>
      <c r="L166" s="75">
        <v>1150</v>
      </c>
      <c r="M166" s="202">
        <v>16.806464893406496</v>
      </c>
      <c r="N166" s="87">
        <v>4851.6789921600002</v>
      </c>
      <c r="O166" s="123">
        <v>45576.232948904755</v>
      </c>
      <c r="P166" s="123">
        <v>54750.800357495376</v>
      </c>
      <c r="Q166" s="120">
        <v>14410.152886177015</v>
      </c>
      <c r="R166" s="123">
        <v>59986.385835081768</v>
      </c>
      <c r="S166" s="123">
        <v>69160.953243672397</v>
      </c>
      <c r="U166" s="7" t="s">
        <v>7023</v>
      </c>
    </row>
    <row r="167" spans="1:21" ht="16.5" thickBot="1">
      <c r="A167" s="259" t="s">
        <v>10</v>
      </c>
      <c r="B167" s="263">
        <f t="shared" si="9"/>
        <v>140</v>
      </c>
      <c r="C167" s="263" t="s">
        <v>3</v>
      </c>
      <c r="D167" s="263">
        <f t="shared" si="10"/>
        <v>300</v>
      </c>
      <c r="E167" s="263" t="s">
        <v>3</v>
      </c>
      <c r="F167" s="261">
        <f t="shared" si="11"/>
        <v>1200</v>
      </c>
      <c r="G167" s="263" t="s">
        <v>3</v>
      </c>
      <c r="H167" s="260">
        <v>4</v>
      </c>
      <c r="I167" s="262" t="s">
        <v>582</v>
      </c>
      <c r="J167" s="112">
        <v>140</v>
      </c>
      <c r="K167" s="75">
        <v>300</v>
      </c>
      <c r="L167" s="75">
        <v>1200</v>
      </c>
      <c r="M167" s="202">
        <v>17.597038256564744</v>
      </c>
      <c r="N167" s="87">
        <v>5154.9089291700011</v>
      </c>
      <c r="O167" s="123">
        <v>46707.481374241848</v>
      </c>
      <c r="P167" s="123">
        <v>56191.624681657471</v>
      </c>
      <c r="Q167" s="120">
        <v>15121.139831824277</v>
      </c>
      <c r="R167" s="123">
        <v>61828.621206066127</v>
      </c>
      <c r="S167" s="123">
        <v>71312.764513481743</v>
      </c>
      <c r="U167" s="7" t="s">
        <v>7024</v>
      </c>
    </row>
    <row r="168" spans="1:21" ht="16.5" thickBot="1">
      <c r="A168" s="259" t="s">
        <v>10</v>
      </c>
      <c r="B168" s="263">
        <f t="shared" si="9"/>
        <v>140</v>
      </c>
      <c r="C168" s="263" t="s">
        <v>3</v>
      </c>
      <c r="D168" s="263">
        <f t="shared" si="10"/>
        <v>300</v>
      </c>
      <c r="E168" s="263" t="s">
        <v>3</v>
      </c>
      <c r="F168" s="261">
        <f t="shared" si="11"/>
        <v>1250</v>
      </c>
      <c r="G168" s="263" t="s">
        <v>3</v>
      </c>
      <c r="H168" s="260">
        <v>4</v>
      </c>
      <c r="I168" s="262" t="s">
        <v>582</v>
      </c>
      <c r="J168" s="112">
        <v>140</v>
      </c>
      <c r="K168" s="75">
        <v>300</v>
      </c>
      <c r="L168" s="75">
        <v>1250</v>
      </c>
      <c r="M168" s="202">
        <v>19.041173619722997</v>
      </c>
      <c r="N168" s="87">
        <v>5458.1388661800002</v>
      </c>
      <c r="O168" s="123">
        <v>47778.864644816298</v>
      </c>
      <c r="P168" s="123">
        <v>57571.122236818956</v>
      </c>
      <c r="Q168" s="120">
        <v>15601.545140081627</v>
      </c>
      <c r="R168" s="123">
        <v>63380.409784897929</v>
      </c>
      <c r="S168" s="123">
        <v>73172.667376900587</v>
      </c>
      <c r="U168" s="7" t="s">
        <v>7025</v>
      </c>
    </row>
    <row r="169" spans="1:21" ht="16.5" thickBot="1">
      <c r="A169" s="259" t="s">
        <v>10</v>
      </c>
      <c r="B169" s="263">
        <f t="shared" si="9"/>
        <v>140</v>
      </c>
      <c r="C169" s="263" t="s">
        <v>3</v>
      </c>
      <c r="D169" s="263">
        <f t="shared" si="10"/>
        <v>300</v>
      </c>
      <c r="E169" s="263" t="s">
        <v>3</v>
      </c>
      <c r="F169" s="261">
        <f t="shared" si="11"/>
        <v>1300</v>
      </c>
      <c r="G169" s="263" t="s">
        <v>3</v>
      </c>
      <c r="H169" s="260">
        <v>4</v>
      </c>
      <c r="I169" s="262" t="s">
        <v>582</v>
      </c>
      <c r="J169" s="112">
        <v>140</v>
      </c>
      <c r="K169" s="75">
        <v>300</v>
      </c>
      <c r="L169" s="75">
        <v>1300</v>
      </c>
      <c r="M169" s="202">
        <v>19.68259698288125</v>
      </c>
      <c r="N169" s="87">
        <v>5761.3688031900001</v>
      </c>
      <c r="O169" s="123">
        <v>51302.631386728812</v>
      </c>
      <c r="P169" s="123">
        <v>61462.8808723763</v>
      </c>
      <c r="Q169" s="120">
        <v>16312.53208572889</v>
      </c>
      <c r="R169" s="123">
        <v>67615.163472457702</v>
      </c>
      <c r="S169" s="123">
        <v>77775.412958105182</v>
      </c>
      <c r="U169" s="7" t="s">
        <v>7026</v>
      </c>
    </row>
    <row r="170" spans="1:21" ht="16.5" thickBot="1">
      <c r="A170" s="259" t="s">
        <v>10</v>
      </c>
      <c r="B170" s="263">
        <f t="shared" si="9"/>
        <v>140</v>
      </c>
      <c r="C170" s="263" t="s">
        <v>3</v>
      </c>
      <c r="D170" s="263">
        <f t="shared" si="10"/>
        <v>300</v>
      </c>
      <c r="E170" s="263" t="s">
        <v>3</v>
      </c>
      <c r="F170" s="261">
        <f t="shared" si="11"/>
        <v>1350</v>
      </c>
      <c r="G170" s="263" t="s">
        <v>3</v>
      </c>
      <c r="H170" s="260">
        <v>4</v>
      </c>
      <c r="I170" s="262" t="s">
        <v>582</v>
      </c>
      <c r="J170" s="112">
        <v>140</v>
      </c>
      <c r="K170" s="75">
        <v>300</v>
      </c>
      <c r="L170" s="75">
        <v>1350</v>
      </c>
      <c r="M170" s="202">
        <v>20.307832346039497</v>
      </c>
      <c r="N170" s="87">
        <v>6064.598740200001</v>
      </c>
      <c r="O170" s="123">
        <v>52623.711061587608</v>
      </c>
      <c r="P170" s="123">
        <v>63098.171506248298</v>
      </c>
      <c r="Q170" s="120">
        <v>16792.937253592878</v>
      </c>
      <c r="R170" s="123">
        <v>69416.648315180486</v>
      </c>
      <c r="S170" s="123">
        <v>79891.108759841183</v>
      </c>
      <c r="U170" s="7" t="s">
        <v>7027</v>
      </c>
    </row>
    <row r="171" spans="1:21" ht="16.5" thickBot="1">
      <c r="A171" s="259" t="s">
        <v>10</v>
      </c>
      <c r="B171" s="263">
        <f t="shared" si="9"/>
        <v>140</v>
      </c>
      <c r="C171" s="263" t="s">
        <v>3</v>
      </c>
      <c r="D171" s="263">
        <f t="shared" si="10"/>
        <v>300</v>
      </c>
      <c r="E171" s="263" t="s">
        <v>3</v>
      </c>
      <c r="F171" s="261">
        <f t="shared" si="11"/>
        <v>1400</v>
      </c>
      <c r="G171" s="263" t="s">
        <v>3</v>
      </c>
      <c r="H171" s="260">
        <v>4</v>
      </c>
      <c r="I171" s="262" t="s">
        <v>582</v>
      </c>
      <c r="J171" s="112">
        <v>140</v>
      </c>
      <c r="K171" s="75">
        <v>300</v>
      </c>
      <c r="L171" s="75">
        <v>1400</v>
      </c>
      <c r="M171" s="202">
        <v>20.94925570919775</v>
      </c>
      <c r="N171" s="87">
        <v>6367.8286772100009</v>
      </c>
      <c r="O171" s="123">
        <v>54271.807212721935</v>
      </c>
      <c r="P171" s="123">
        <v>65068.463108422009</v>
      </c>
      <c r="Q171" s="120">
        <v>17503.924339633504</v>
      </c>
      <c r="R171" s="123">
        <v>71775.731552355443</v>
      </c>
      <c r="S171" s="123">
        <v>82572.38744805551</v>
      </c>
      <c r="U171" s="7" t="s">
        <v>7028</v>
      </c>
    </row>
    <row r="172" spans="1:21" ht="16.5" thickBot="1">
      <c r="A172" s="259" t="s">
        <v>10</v>
      </c>
      <c r="B172" s="263">
        <f t="shared" si="9"/>
        <v>140</v>
      </c>
      <c r="C172" s="263" t="s">
        <v>3</v>
      </c>
      <c r="D172" s="263">
        <f t="shared" si="10"/>
        <v>300</v>
      </c>
      <c r="E172" s="263" t="s">
        <v>3</v>
      </c>
      <c r="F172" s="261">
        <f t="shared" si="11"/>
        <v>1450</v>
      </c>
      <c r="G172" s="263" t="s">
        <v>3</v>
      </c>
      <c r="H172" s="260">
        <v>4</v>
      </c>
      <c r="I172" s="262" t="s">
        <v>582</v>
      </c>
      <c r="J172" s="112">
        <v>140</v>
      </c>
      <c r="K172" s="75">
        <v>300</v>
      </c>
      <c r="L172" s="75">
        <v>1450</v>
      </c>
      <c r="M172" s="202">
        <v>21.574491072355997</v>
      </c>
      <c r="N172" s="87">
        <v>6671.0586142200009</v>
      </c>
      <c r="O172" s="123">
        <v>55592.886887580731</v>
      </c>
      <c r="P172" s="123">
        <v>66703.753611728185</v>
      </c>
      <c r="Q172" s="120">
        <v>17984.32950749735</v>
      </c>
      <c r="R172" s="123">
        <v>73577.216395078081</v>
      </c>
      <c r="S172" s="123">
        <v>84688.083119225543</v>
      </c>
      <c r="U172" s="7" t="s">
        <v>7029</v>
      </c>
    </row>
    <row r="173" spans="1:21" ht="16.5" thickBot="1">
      <c r="A173" s="259" t="s">
        <v>10</v>
      </c>
      <c r="B173" s="263">
        <f t="shared" si="9"/>
        <v>140</v>
      </c>
      <c r="C173" s="263" t="s">
        <v>3</v>
      </c>
      <c r="D173" s="263">
        <f t="shared" si="10"/>
        <v>300</v>
      </c>
      <c r="E173" s="263" t="s">
        <v>3</v>
      </c>
      <c r="F173" s="261">
        <f t="shared" si="11"/>
        <v>1500</v>
      </c>
      <c r="G173" s="263" t="s">
        <v>3</v>
      </c>
      <c r="H173" s="260">
        <v>4</v>
      </c>
      <c r="I173" s="262" t="s">
        <v>582</v>
      </c>
      <c r="J173" s="112">
        <v>140</v>
      </c>
      <c r="K173" s="75">
        <v>300</v>
      </c>
      <c r="L173" s="75">
        <v>1500</v>
      </c>
      <c r="M173" s="202">
        <v>22.148893072949249</v>
      </c>
      <c r="N173" s="87">
        <v>6974.2885512300008</v>
      </c>
      <c r="O173" s="123">
        <v>57463.967878945412</v>
      </c>
      <c r="P173" s="123">
        <v>69065.390950938629</v>
      </c>
      <c r="Q173" s="120">
        <v>18695.316593538118</v>
      </c>
      <c r="R173" s="123">
        <v>76159.28447248353</v>
      </c>
      <c r="S173" s="123">
        <v>87760.707544476754</v>
      </c>
      <c r="U173" s="7" t="s">
        <v>7030</v>
      </c>
    </row>
    <row r="174" spans="1:21" ht="16.5" thickBot="1">
      <c r="A174" s="259" t="s">
        <v>10</v>
      </c>
      <c r="B174" s="263">
        <f t="shared" si="9"/>
        <v>140</v>
      </c>
      <c r="C174" s="263" t="s">
        <v>3</v>
      </c>
      <c r="D174" s="263">
        <f t="shared" si="10"/>
        <v>300</v>
      </c>
      <c r="E174" s="263" t="s">
        <v>3</v>
      </c>
      <c r="F174" s="261">
        <f t="shared" si="11"/>
        <v>1550</v>
      </c>
      <c r="G174" s="263" t="s">
        <v>3</v>
      </c>
      <c r="H174" s="260">
        <v>4</v>
      </c>
      <c r="I174" s="262" t="s">
        <v>582</v>
      </c>
      <c r="J174" s="112">
        <v>140</v>
      </c>
      <c r="K174" s="75">
        <v>300</v>
      </c>
      <c r="L174" s="75">
        <v>1550</v>
      </c>
      <c r="M174" s="202">
        <v>22.7741284361075</v>
      </c>
      <c r="N174" s="87">
        <v>7277.5184882400008</v>
      </c>
      <c r="O174" s="123">
        <v>58785.047553804208</v>
      </c>
      <c r="P174" s="123">
        <v>70700.681454244797</v>
      </c>
      <c r="Q174" s="120">
        <v>19175.721761402103</v>
      </c>
      <c r="R174" s="123">
        <v>77960.769315206315</v>
      </c>
      <c r="S174" s="123">
        <v>89876.403215646904</v>
      </c>
      <c r="U174" s="7" t="s">
        <v>7031</v>
      </c>
    </row>
    <row r="175" spans="1:21" ht="16.5" thickBot="1">
      <c r="A175" s="259" t="s">
        <v>10</v>
      </c>
      <c r="B175" s="260">
        <f t="shared" si="9"/>
        <v>140</v>
      </c>
      <c r="C175" s="260" t="s">
        <v>3</v>
      </c>
      <c r="D175" s="260">
        <f t="shared" si="10"/>
        <v>300</v>
      </c>
      <c r="E175" s="260" t="s">
        <v>3</v>
      </c>
      <c r="F175" s="261">
        <f t="shared" si="11"/>
        <v>1600</v>
      </c>
      <c r="G175" s="260" t="s">
        <v>3</v>
      </c>
      <c r="H175" s="260">
        <v>4</v>
      </c>
      <c r="I175" s="262" t="s">
        <v>582</v>
      </c>
      <c r="J175" s="112">
        <v>140</v>
      </c>
      <c r="K175" s="75">
        <v>300</v>
      </c>
      <c r="L175" s="75">
        <v>1600</v>
      </c>
      <c r="M175" s="202">
        <v>23.399363799265746</v>
      </c>
      <c r="N175" s="87">
        <v>7580.7484252500008</v>
      </c>
      <c r="O175" s="123">
        <v>62052.168574421339</v>
      </c>
      <c r="P175" s="123">
        <v>74329.528170499296</v>
      </c>
      <c r="Q175" s="120">
        <v>19656.126929266091</v>
      </c>
      <c r="R175" s="123">
        <v>81708.295503687434</v>
      </c>
      <c r="S175" s="123">
        <v>93985.655099765383</v>
      </c>
      <c r="U175" s="7" t="s">
        <v>7032</v>
      </c>
    </row>
    <row r="176" spans="1:21" ht="16.5" thickBot="1">
      <c r="A176" s="259" t="s">
        <v>10</v>
      </c>
      <c r="B176" s="263">
        <f t="shared" si="9"/>
        <v>140</v>
      </c>
      <c r="C176" s="263" t="s">
        <v>3</v>
      </c>
      <c r="D176" s="263">
        <f t="shared" si="10"/>
        <v>300</v>
      </c>
      <c r="E176" s="263" t="s">
        <v>3</v>
      </c>
      <c r="F176" s="261">
        <f t="shared" si="11"/>
        <v>1650</v>
      </c>
      <c r="G176" s="263" t="s">
        <v>3</v>
      </c>
      <c r="H176" s="260">
        <v>4</v>
      </c>
      <c r="I176" s="262" t="s">
        <v>582</v>
      </c>
      <c r="J176" s="112">
        <v>140</v>
      </c>
      <c r="K176" s="75">
        <v>300</v>
      </c>
      <c r="L176" s="75">
        <v>1650</v>
      </c>
      <c r="M176" s="202">
        <v>24.040787162423999</v>
      </c>
      <c r="N176" s="87">
        <v>7883.9783622600016</v>
      </c>
      <c r="O176" s="123">
        <v>65571.54977867275</v>
      </c>
      <c r="P176" s="123">
        <v>78216.794166511099</v>
      </c>
      <c r="Q176" s="120">
        <v>20367.114015306717</v>
      </c>
      <c r="R176" s="123">
        <v>85938.663793979475</v>
      </c>
      <c r="S176" s="123">
        <v>98583.908181817824</v>
      </c>
      <c r="U176" s="7" t="s">
        <v>7033</v>
      </c>
    </row>
    <row r="177" spans="1:21" ht="16.5" thickBot="1">
      <c r="A177" s="259" t="s">
        <v>10</v>
      </c>
      <c r="B177" s="263">
        <f t="shared" si="9"/>
        <v>140</v>
      </c>
      <c r="C177" s="263" t="s">
        <v>3</v>
      </c>
      <c r="D177" s="263">
        <f t="shared" si="10"/>
        <v>300</v>
      </c>
      <c r="E177" s="263" t="s">
        <v>3</v>
      </c>
      <c r="F177" s="261">
        <f t="shared" si="11"/>
        <v>1700</v>
      </c>
      <c r="G177" s="263" t="s">
        <v>3</v>
      </c>
      <c r="H177" s="260">
        <v>4</v>
      </c>
      <c r="I177" s="262" t="s">
        <v>582</v>
      </c>
      <c r="J177" s="112">
        <v>140</v>
      </c>
      <c r="K177" s="75">
        <v>300</v>
      </c>
      <c r="L177" s="75">
        <v>1700</v>
      </c>
      <c r="M177" s="202">
        <v>25.484922525582249</v>
      </c>
      <c r="N177" s="87">
        <v>8187.2082992700016</v>
      </c>
      <c r="O177" s="123">
        <v>66687.481997147566</v>
      </c>
      <c r="P177" s="123">
        <v>79641.928395227587</v>
      </c>
      <c r="Q177" s="120">
        <v>20847.519183170705</v>
      </c>
      <c r="R177" s="123">
        <v>87535.001180318272</v>
      </c>
      <c r="S177" s="123">
        <v>100489.44757839829</v>
      </c>
      <c r="U177" s="7" t="s">
        <v>7034</v>
      </c>
    </row>
    <row r="178" spans="1:21" ht="16.5" thickBot="1">
      <c r="A178" s="259" t="s">
        <v>10</v>
      </c>
      <c r="B178" s="263">
        <f t="shared" si="9"/>
        <v>140</v>
      </c>
      <c r="C178" s="263" t="s">
        <v>3</v>
      </c>
      <c r="D178" s="263">
        <f t="shared" si="10"/>
        <v>300</v>
      </c>
      <c r="E178" s="263" t="s">
        <v>3</v>
      </c>
      <c r="F178" s="261">
        <f t="shared" si="11"/>
        <v>1750</v>
      </c>
      <c r="G178" s="263" t="s">
        <v>3</v>
      </c>
      <c r="H178" s="260">
        <v>4</v>
      </c>
      <c r="I178" s="262" t="s">
        <v>582</v>
      </c>
      <c r="J178" s="112">
        <v>140</v>
      </c>
      <c r="K178" s="75">
        <v>300</v>
      </c>
      <c r="L178" s="75">
        <v>1750</v>
      </c>
      <c r="M178" s="202">
        <v>26.126345888740499</v>
      </c>
      <c r="N178" s="87">
        <v>8490.4382362800006</v>
      </c>
      <c r="O178" s="123">
        <v>67727.26051764749</v>
      </c>
      <c r="P178" s="123">
        <v>80989.049542236884</v>
      </c>
      <c r="Q178" s="120">
        <v>21558.506269211328</v>
      </c>
      <c r="R178" s="123">
        <v>89285.766786858818</v>
      </c>
      <c r="S178" s="123">
        <v>102547.55581144821</v>
      </c>
      <c r="U178" s="7" t="s">
        <v>7035</v>
      </c>
    </row>
    <row r="179" spans="1:21" ht="16.5" thickBot="1">
      <c r="A179" s="259" t="s">
        <v>10</v>
      </c>
      <c r="B179" s="263">
        <f t="shared" si="9"/>
        <v>140</v>
      </c>
      <c r="C179" s="263" t="s">
        <v>3</v>
      </c>
      <c r="D179" s="263">
        <f t="shared" si="10"/>
        <v>300</v>
      </c>
      <c r="E179" s="263" t="s">
        <v>3</v>
      </c>
      <c r="F179" s="261">
        <f t="shared" si="11"/>
        <v>1800</v>
      </c>
      <c r="G179" s="263" t="s">
        <v>3</v>
      </c>
      <c r="H179" s="260">
        <v>4</v>
      </c>
      <c r="I179" s="262" t="s">
        <v>582</v>
      </c>
      <c r="J179" s="112">
        <v>140</v>
      </c>
      <c r="K179" s="75">
        <v>300</v>
      </c>
      <c r="L179" s="75">
        <v>1800</v>
      </c>
      <c r="M179" s="202">
        <v>26.751581251898752</v>
      </c>
      <c r="N179" s="87">
        <v>8793.6681732900015</v>
      </c>
      <c r="O179" s="123">
        <v>68843.889290770676</v>
      </c>
      <c r="P179" s="123">
        <v>82414.897313198599</v>
      </c>
      <c r="Q179" s="120">
        <v>22038.911437075316</v>
      </c>
      <c r="R179" s="123">
        <v>90882.800727845985</v>
      </c>
      <c r="S179" s="123">
        <v>104453.80875027392</v>
      </c>
      <c r="U179" s="7" t="s">
        <v>7036</v>
      </c>
    </row>
    <row r="180" spans="1:21" ht="16.5" thickBot="1">
      <c r="A180" s="259" t="s">
        <v>10</v>
      </c>
      <c r="B180" s="263">
        <f t="shared" si="9"/>
        <v>140</v>
      </c>
      <c r="C180" s="263" t="s">
        <v>3</v>
      </c>
      <c r="D180" s="263">
        <f t="shared" si="10"/>
        <v>300</v>
      </c>
      <c r="E180" s="263" t="s">
        <v>3</v>
      </c>
      <c r="F180" s="261">
        <f t="shared" si="11"/>
        <v>1850</v>
      </c>
      <c r="G180" s="263" t="s">
        <v>3</v>
      </c>
      <c r="H180" s="260">
        <v>4</v>
      </c>
      <c r="I180" s="262" t="s">
        <v>582</v>
      </c>
      <c r="J180" s="112">
        <v>140</v>
      </c>
      <c r="K180" s="75">
        <v>300</v>
      </c>
      <c r="L180" s="75">
        <v>1850</v>
      </c>
      <c r="M180" s="202">
        <v>27.393004615057006</v>
      </c>
      <c r="N180" s="87">
        <v>9096.8981103000024</v>
      </c>
      <c r="O180" s="123">
        <v>69960.469972147548</v>
      </c>
      <c r="P180" s="123">
        <v>83840.695991409331</v>
      </c>
      <c r="Q180" s="120">
        <v>22749.898382722578</v>
      </c>
      <c r="R180" s="123">
        <v>92710.368354870123</v>
      </c>
      <c r="S180" s="123">
        <v>106590.59437413191</v>
      </c>
      <c r="U180" s="7" t="s">
        <v>7037</v>
      </c>
    </row>
    <row r="181" spans="1:21" ht="16.5" thickBot="1">
      <c r="A181" s="259" t="s">
        <v>10</v>
      </c>
      <c r="B181" s="263">
        <f t="shared" si="9"/>
        <v>140</v>
      </c>
      <c r="C181" s="263" t="s">
        <v>3</v>
      </c>
      <c r="D181" s="263">
        <f t="shared" si="10"/>
        <v>300</v>
      </c>
      <c r="E181" s="263" t="s">
        <v>3</v>
      </c>
      <c r="F181" s="261">
        <f t="shared" si="11"/>
        <v>1900</v>
      </c>
      <c r="G181" s="263" t="s">
        <v>3</v>
      </c>
      <c r="H181" s="260">
        <v>4</v>
      </c>
      <c r="I181" s="262" t="s">
        <v>582</v>
      </c>
      <c r="J181" s="112">
        <v>140</v>
      </c>
      <c r="K181" s="75">
        <v>300</v>
      </c>
      <c r="L181" s="75">
        <v>1900</v>
      </c>
      <c r="M181" s="202">
        <v>28.018239978215252</v>
      </c>
      <c r="N181" s="87">
        <v>9400.1280473100014</v>
      </c>
      <c r="O181" s="123">
        <v>71252.105087482574</v>
      </c>
      <c r="P181" s="123">
        <v>85445.823046767255</v>
      </c>
      <c r="Q181" s="120">
        <v>23230.30369097993</v>
      </c>
      <c r="R181" s="123">
        <v>94482.408778462501</v>
      </c>
      <c r="S181" s="123">
        <v>108676.12673774718</v>
      </c>
      <c r="U181" s="7" t="s">
        <v>7038</v>
      </c>
    </row>
    <row r="182" spans="1:21" ht="16.5" thickBot="1">
      <c r="A182" s="259" t="s">
        <v>10</v>
      </c>
      <c r="B182" s="263">
        <f t="shared" si="9"/>
        <v>140</v>
      </c>
      <c r="C182" s="263" t="s">
        <v>3</v>
      </c>
      <c r="D182" s="263">
        <f t="shared" si="10"/>
        <v>300</v>
      </c>
      <c r="E182" s="263" t="s">
        <v>3</v>
      </c>
      <c r="F182" s="261">
        <f t="shared" si="11"/>
        <v>1950</v>
      </c>
      <c r="G182" s="263" t="s">
        <v>3</v>
      </c>
      <c r="H182" s="260">
        <v>4</v>
      </c>
      <c r="I182" s="262" t="s">
        <v>582</v>
      </c>
      <c r="J182" s="112">
        <v>140</v>
      </c>
      <c r="K182" s="75">
        <v>300</v>
      </c>
      <c r="L182" s="75">
        <v>1950</v>
      </c>
      <c r="M182" s="202">
        <v>28.792625341373501</v>
      </c>
      <c r="N182" s="87">
        <v>9703.3579843200005</v>
      </c>
      <c r="O182" s="123">
        <v>72727.186586842188</v>
      </c>
      <c r="P182" s="123">
        <v>87238.875586159425</v>
      </c>
      <c r="Q182" s="120">
        <v>23710.708858843918</v>
      </c>
      <c r="R182" s="123">
        <v>96437.89544568611</v>
      </c>
      <c r="S182" s="123">
        <v>110949.58444500335</v>
      </c>
      <c r="U182" s="7" t="s">
        <v>7039</v>
      </c>
    </row>
    <row r="183" spans="1:21" ht="16.5" thickBot="1">
      <c r="A183" s="259" t="s">
        <v>10</v>
      </c>
      <c r="B183" s="263">
        <f t="shared" si="9"/>
        <v>140</v>
      </c>
      <c r="C183" s="263" t="s">
        <v>3</v>
      </c>
      <c r="D183" s="263">
        <f t="shared" si="10"/>
        <v>300</v>
      </c>
      <c r="E183" s="263" t="s">
        <v>3</v>
      </c>
      <c r="F183" s="261">
        <f t="shared" si="11"/>
        <v>2000</v>
      </c>
      <c r="G183" s="263" t="s">
        <v>3</v>
      </c>
      <c r="H183" s="260">
        <v>4</v>
      </c>
      <c r="I183" s="262" t="s">
        <v>582</v>
      </c>
      <c r="J183" s="112">
        <v>140</v>
      </c>
      <c r="K183" s="75">
        <v>300</v>
      </c>
      <c r="L183" s="75">
        <v>2000</v>
      </c>
      <c r="M183" s="202">
        <v>29.521032984531754</v>
      </c>
      <c r="N183" s="87">
        <v>10006.587921330001</v>
      </c>
      <c r="O183" s="123">
        <v>74050.049117011367</v>
      </c>
      <c r="P183" s="123">
        <v>89084.156284323166</v>
      </c>
      <c r="Q183" s="120">
        <v>24421.695804491177</v>
      </c>
      <c r="R183" s="123">
        <v>98471.744921502541</v>
      </c>
      <c r="S183" s="123">
        <v>113505.85208881434</v>
      </c>
      <c r="U183" s="7" t="s">
        <v>7040</v>
      </c>
    </row>
    <row r="184" spans="1:21" ht="16.5" thickBot="1">
      <c r="A184" s="259" t="s">
        <v>10</v>
      </c>
      <c r="B184" s="263">
        <f t="shared" si="9"/>
        <v>140</v>
      </c>
      <c r="C184" s="263" t="s">
        <v>3</v>
      </c>
      <c r="D184" s="263">
        <f t="shared" si="10"/>
        <v>300</v>
      </c>
      <c r="E184" s="263" t="s">
        <v>3</v>
      </c>
      <c r="F184" s="261">
        <f t="shared" si="11"/>
        <v>2050</v>
      </c>
      <c r="G184" s="263" t="s">
        <v>3</v>
      </c>
      <c r="H184" s="260">
        <v>4</v>
      </c>
      <c r="I184" s="262" t="s">
        <v>582</v>
      </c>
      <c r="J184" s="112">
        <v>140</v>
      </c>
      <c r="K184" s="75">
        <v>300</v>
      </c>
      <c r="L184" s="75">
        <v>2050</v>
      </c>
      <c r="M184" s="202">
        <v>30.965168347690003</v>
      </c>
      <c r="N184" s="87">
        <v>10309.817858340002</v>
      </c>
      <c r="O184" s="123">
        <v>77310.600065207575</v>
      </c>
      <c r="P184" s="123">
        <v>92706.272462755194</v>
      </c>
      <c r="Q184" s="120">
        <v>24902.101112748529</v>
      </c>
      <c r="R184" s="123">
        <v>102212.7011779561</v>
      </c>
      <c r="S184" s="123">
        <v>117608.37357550372</v>
      </c>
      <c r="U184" s="7" t="s">
        <v>7041</v>
      </c>
    </row>
    <row r="185" spans="1:21" ht="16.5" thickBot="1">
      <c r="A185" s="259" t="s">
        <v>10</v>
      </c>
      <c r="B185" s="260">
        <f t="shared" si="9"/>
        <v>140</v>
      </c>
      <c r="C185" s="260" t="s">
        <v>3</v>
      </c>
      <c r="D185" s="260">
        <f t="shared" si="10"/>
        <v>300</v>
      </c>
      <c r="E185" s="260" t="s">
        <v>3</v>
      </c>
      <c r="F185" s="261">
        <f t="shared" si="11"/>
        <v>2100</v>
      </c>
      <c r="G185" s="260" t="s">
        <v>3</v>
      </c>
      <c r="H185" s="260">
        <v>4</v>
      </c>
      <c r="I185" s="262" t="s">
        <v>582</v>
      </c>
      <c r="J185" s="112">
        <v>140</v>
      </c>
      <c r="K185" s="75">
        <v>300</v>
      </c>
      <c r="L185" s="75">
        <v>2100</v>
      </c>
      <c r="M185" s="202">
        <v>31.606591710848249</v>
      </c>
      <c r="N185" s="87">
        <v>10613.047795350001</v>
      </c>
      <c r="O185" s="123">
        <v>78489.11074374571</v>
      </c>
      <c r="P185" s="123">
        <v>94195.512945800132</v>
      </c>
      <c r="Q185" s="120">
        <v>25613.088058395791</v>
      </c>
      <c r="R185" s="123">
        <v>104102.1988021415</v>
      </c>
      <c r="S185" s="123">
        <v>119808.60100419592</v>
      </c>
      <c r="U185" s="7" t="s">
        <v>7042</v>
      </c>
    </row>
    <row r="186" spans="1:21" ht="16.5" thickBot="1">
      <c r="A186" s="259" t="s">
        <v>10</v>
      </c>
      <c r="B186" s="263">
        <f t="shared" si="9"/>
        <v>140</v>
      </c>
      <c r="C186" s="263" t="s">
        <v>3</v>
      </c>
      <c r="D186" s="263">
        <f t="shared" si="10"/>
        <v>300</v>
      </c>
      <c r="E186" s="263" t="s">
        <v>3</v>
      </c>
      <c r="F186" s="261">
        <f t="shared" si="11"/>
        <v>2150</v>
      </c>
      <c r="G186" s="263" t="s">
        <v>3</v>
      </c>
      <c r="H186" s="260">
        <v>4</v>
      </c>
      <c r="I186" s="262" t="s">
        <v>582</v>
      </c>
      <c r="J186" s="112">
        <v>140</v>
      </c>
      <c r="K186" s="75">
        <v>300</v>
      </c>
      <c r="L186" s="75">
        <v>2150</v>
      </c>
      <c r="M186" s="202">
        <v>32.23182707400651</v>
      </c>
      <c r="N186" s="87">
        <v>10916.27773236</v>
      </c>
      <c r="O186" s="123">
        <v>79815.238619956261</v>
      </c>
      <c r="P186" s="123">
        <v>95835.97503095289</v>
      </c>
      <c r="Q186" s="120">
        <v>26093.493366653143</v>
      </c>
      <c r="R186" s="123">
        <v>105908.7319866094</v>
      </c>
      <c r="S186" s="123">
        <v>121929.46839760603</v>
      </c>
      <c r="U186" s="7" t="s">
        <v>7043</v>
      </c>
    </row>
    <row r="187" spans="1:21" ht="16.5" thickBot="1">
      <c r="A187" s="259" t="s">
        <v>10</v>
      </c>
      <c r="B187" s="263">
        <f t="shared" si="9"/>
        <v>140</v>
      </c>
      <c r="C187" s="263" t="s">
        <v>3</v>
      </c>
      <c r="D187" s="263">
        <f t="shared" si="10"/>
        <v>300</v>
      </c>
      <c r="E187" s="263" t="s">
        <v>3</v>
      </c>
      <c r="F187" s="261">
        <f t="shared" si="11"/>
        <v>2200</v>
      </c>
      <c r="G187" s="263" t="s">
        <v>3</v>
      </c>
      <c r="H187" s="260">
        <v>4</v>
      </c>
      <c r="I187" s="262" t="s">
        <v>582</v>
      </c>
      <c r="J187" s="112">
        <v>140</v>
      </c>
      <c r="K187" s="75">
        <v>300</v>
      </c>
      <c r="L187" s="75">
        <v>2200</v>
      </c>
      <c r="M187" s="202">
        <v>32.873250437164749</v>
      </c>
      <c r="N187" s="87">
        <v>11219.507669370001</v>
      </c>
      <c r="O187" s="123">
        <v>81141.318404420483</v>
      </c>
      <c r="P187" s="123">
        <v>97476.387892788829</v>
      </c>
      <c r="Q187" s="120">
        <v>26804.480312300402</v>
      </c>
      <c r="R187" s="123">
        <v>107945.79871672089</v>
      </c>
      <c r="S187" s="123">
        <v>124280.86820508924</v>
      </c>
      <c r="U187" s="7" t="s">
        <v>7044</v>
      </c>
    </row>
    <row r="188" spans="1:21" ht="16.5" thickBot="1">
      <c r="A188" s="259" t="s">
        <v>10</v>
      </c>
      <c r="B188" s="263">
        <f t="shared" si="9"/>
        <v>140</v>
      </c>
      <c r="C188" s="263" t="s">
        <v>3</v>
      </c>
      <c r="D188" s="263">
        <f t="shared" si="10"/>
        <v>300</v>
      </c>
      <c r="E188" s="263" t="s">
        <v>3</v>
      </c>
      <c r="F188" s="261">
        <f t="shared" si="11"/>
        <v>2250</v>
      </c>
      <c r="G188" s="263" t="s">
        <v>3</v>
      </c>
      <c r="H188" s="260">
        <v>4</v>
      </c>
      <c r="I188" s="262" t="s">
        <v>582</v>
      </c>
      <c r="J188" s="112">
        <v>140</v>
      </c>
      <c r="K188" s="75">
        <v>300</v>
      </c>
      <c r="L188" s="75">
        <v>2250</v>
      </c>
      <c r="M188" s="202">
        <v>33.498485800323003</v>
      </c>
      <c r="N188" s="87">
        <v>11522.73760638</v>
      </c>
      <c r="O188" s="123">
        <v>82787.009371566819</v>
      </c>
      <c r="P188" s="123">
        <v>99444.215456673061</v>
      </c>
      <c r="Q188" s="120">
        <v>27284.885480164394</v>
      </c>
      <c r="R188" s="123">
        <v>110071.89485173121</v>
      </c>
      <c r="S188" s="123">
        <v>126729.10093683745</v>
      </c>
      <c r="U188" s="7" t="s">
        <v>7045</v>
      </c>
    </row>
    <row r="189" spans="1:21" ht="16.5" thickBot="1">
      <c r="A189" s="259" t="s">
        <v>10</v>
      </c>
      <c r="B189" s="263">
        <f t="shared" si="9"/>
        <v>140</v>
      </c>
      <c r="C189" s="263" t="s">
        <v>3</v>
      </c>
      <c r="D189" s="263">
        <f t="shared" si="10"/>
        <v>300</v>
      </c>
      <c r="E189" s="263" t="s">
        <v>3</v>
      </c>
      <c r="F189" s="261">
        <f t="shared" si="11"/>
        <v>2300</v>
      </c>
      <c r="G189" s="263" t="s">
        <v>3</v>
      </c>
      <c r="H189" s="260">
        <v>4</v>
      </c>
      <c r="I189" s="262" t="s">
        <v>582</v>
      </c>
      <c r="J189" s="112">
        <v>140</v>
      </c>
      <c r="K189" s="75">
        <v>300</v>
      </c>
      <c r="L189" s="75">
        <v>2300</v>
      </c>
      <c r="M189" s="202">
        <v>34.12372116348125</v>
      </c>
      <c r="N189" s="87">
        <v>11825.967543390001</v>
      </c>
      <c r="O189" s="123">
        <v>83870.183712064521</v>
      </c>
      <c r="P189" s="123">
        <v>100835.79204819935</v>
      </c>
      <c r="Q189" s="120">
        <v>27765.290788421746</v>
      </c>
      <c r="R189" s="123">
        <v>111635.47450048626</v>
      </c>
      <c r="S189" s="123">
        <v>128601.08283662109</v>
      </c>
      <c r="U189" s="7" t="s">
        <v>7046</v>
      </c>
    </row>
    <row r="190" spans="1:21" ht="16.5" thickBot="1">
      <c r="A190" s="259" t="s">
        <v>10</v>
      </c>
      <c r="B190" s="263">
        <f t="shared" si="9"/>
        <v>140</v>
      </c>
      <c r="C190" s="263" t="s">
        <v>3</v>
      </c>
      <c r="D190" s="263">
        <f t="shared" si="10"/>
        <v>300</v>
      </c>
      <c r="E190" s="263" t="s">
        <v>3</v>
      </c>
      <c r="F190" s="261">
        <f t="shared" si="11"/>
        <v>2350</v>
      </c>
      <c r="G190" s="263" t="s">
        <v>3</v>
      </c>
      <c r="H190" s="260">
        <v>4</v>
      </c>
      <c r="I190" s="262" t="s">
        <v>582</v>
      </c>
      <c r="J190" s="112">
        <v>140</v>
      </c>
      <c r="K190" s="75">
        <v>300</v>
      </c>
      <c r="L190" s="75">
        <v>2350</v>
      </c>
      <c r="M190" s="202">
        <v>34.765144526639496</v>
      </c>
      <c r="N190" s="87">
        <v>12129.197480400002</v>
      </c>
      <c r="O190" s="123">
        <v>84953.309960815925</v>
      </c>
      <c r="P190" s="123">
        <v>102227.319285843</v>
      </c>
      <c r="Q190" s="120">
        <v>28476.277734069005</v>
      </c>
      <c r="R190" s="123">
        <v>113429.58769488493</v>
      </c>
      <c r="S190" s="123">
        <v>130703.59701991201</v>
      </c>
      <c r="U190" s="7" t="s">
        <v>7047</v>
      </c>
    </row>
    <row r="191" spans="1:21" ht="16.5" thickBot="1">
      <c r="A191" s="259" t="s">
        <v>10</v>
      </c>
      <c r="B191" s="263">
        <f t="shared" si="9"/>
        <v>140</v>
      </c>
      <c r="C191" s="263" t="s">
        <v>3</v>
      </c>
      <c r="D191" s="263">
        <f t="shared" si="10"/>
        <v>300</v>
      </c>
      <c r="E191" s="263" t="s">
        <v>3</v>
      </c>
      <c r="F191" s="261">
        <f t="shared" si="11"/>
        <v>2400</v>
      </c>
      <c r="G191" s="263" t="s">
        <v>3</v>
      </c>
      <c r="H191" s="260">
        <v>4</v>
      </c>
      <c r="I191" s="262" t="s">
        <v>582</v>
      </c>
      <c r="J191" s="112">
        <v>140</v>
      </c>
      <c r="K191" s="75">
        <v>300</v>
      </c>
      <c r="L191" s="75">
        <v>2400</v>
      </c>
      <c r="M191" s="202">
        <v>35.39037988979775</v>
      </c>
      <c r="N191" s="87">
        <v>12432.427417409999</v>
      </c>
      <c r="O191" s="123">
        <v>86036.388117820999</v>
      </c>
      <c r="P191" s="123">
        <v>103618.79730016981</v>
      </c>
      <c r="Q191" s="120">
        <v>28956.682901932996</v>
      </c>
      <c r="R191" s="123">
        <v>114993.07101975399</v>
      </c>
      <c r="S191" s="123">
        <v>132575.4802021028</v>
      </c>
      <c r="U191" s="7" t="s">
        <v>7048</v>
      </c>
    </row>
    <row r="192" spans="1:21" ht="16.5" thickBot="1">
      <c r="A192" s="259" t="s">
        <v>10</v>
      </c>
      <c r="B192" s="263">
        <f t="shared" si="9"/>
        <v>140</v>
      </c>
      <c r="C192" s="263" t="s">
        <v>3</v>
      </c>
      <c r="D192" s="263">
        <f t="shared" si="10"/>
        <v>300</v>
      </c>
      <c r="E192" s="263" t="s">
        <v>3</v>
      </c>
      <c r="F192" s="261">
        <f t="shared" si="11"/>
        <v>2450</v>
      </c>
      <c r="G192" s="263" t="s">
        <v>3</v>
      </c>
      <c r="H192" s="260">
        <v>4</v>
      </c>
      <c r="I192" s="262" t="s">
        <v>582</v>
      </c>
      <c r="J192" s="112">
        <v>140</v>
      </c>
      <c r="K192" s="75">
        <v>300</v>
      </c>
      <c r="L192" s="75">
        <v>2450</v>
      </c>
      <c r="M192" s="202">
        <v>36.783681890390994</v>
      </c>
      <c r="N192" s="87">
        <v>12735.657354420002</v>
      </c>
      <c r="O192" s="123">
        <v>87669.419499585638</v>
      </c>
      <c r="P192" s="123">
        <v>105736.57279651826</v>
      </c>
      <c r="Q192" s="120">
        <v>29667.669987973619</v>
      </c>
      <c r="R192" s="123">
        <v>117337.08948755925</v>
      </c>
      <c r="S192" s="123">
        <v>135404.24278449189</v>
      </c>
      <c r="U192" s="7" t="s">
        <v>7049</v>
      </c>
    </row>
    <row r="193" spans="1:21" ht="16.5" thickBot="1">
      <c r="A193" s="259" t="s">
        <v>10</v>
      </c>
      <c r="B193" s="263">
        <f t="shared" si="9"/>
        <v>140</v>
      </c>
      <c r="C193" s="263" t="s">
        <v>3</v>
      </c>
      <c r="D193" s="263">
        <f t="shared" si="10"/>
        <v>300</v>
      </c>
      <c r="E193" s="263" t="s">
        <v>3</v>
      </c>
      <c r="F193" s="261">
        <f t="shared" si="11"/>
        <v>2500</v>
      </c>
      <c r="G193" s="263" t="s">
        <v>3</v>
      </c>
      <c r="H193" s="260">
        <v>4</v>
      </c>
      <c r="I193" s="262" t="s">
        <v>582</v>
      </c>
      <c r="J193" s="112">
        <v>140</v>
      </c>
      <c r="K193" s="75">
        <v>300</v>
      </c>
      <c r="L193" s="75">
        <v>2500</v>
      </c>
      <c r="M193" s="202">
        <v>37.408917253549241</v>
      </c>
      <c r="N193" s="87">
        <v>13038.887291430001</v>
      </c>
      <c r="O193" s="123">
        <v>88752.401473098056</v>
      </c>
      <c r="P193" s="123">
        <v>107127.95223364558</v>
      </c>
      <c r="Q193" s="120">
        <v>30148.075155837607</v>
      </c>
      <c r="R193" s="123">
        <v>118900.47662893566</v>
      </c>
      <c r="S193" s="123">
        <v>137276.02738948318</v>
      </c>
      <c r="U193" s="7" t="s">
        <v>7050</v>
      </c>
    </row>
    <row r="194" spans="1:21" ht="16.5" thickBot="1">
      <c r="A194" s="259" t="s">
        <v>10</v>
      </c>
      <c r="B194" s="263">
        <f t="shared" si="9"/>
        <v>140</v>
      </c>
      <c r="C194" s="263" t="s">
        <v>3</v>
      </c>
      <c r="D194" s="263">
        <f t="shared" si="10"/>
        <v>300</v>
      </c>
      <c r="E194" s="263" t="s">
        <v>3</v>
      </c>
      <c r="F194" s="261">
        <f t="shared" si="11"/>
        <v>2550</v>
      </c>
      <c r="G194" s="263" t="s">
        <v>3</v>
      </c>
      <c r="H194" s="260">
        <v>4</v>
      </c>
      <c r="I194" s="262" t="s">
        <v>582</v>
      </c>
      <c r="J194" s="112">
        <v>140</v>
      </c>
      <c r="K194" s="75">
        <v>300</v>
      </c>
      <c r="L194" s="75">
        <v>2550</v>
      </c>
      <c r="M194" s="202">
        <v>38.050340616707501</v>
      </c>
      <c r="N194" s="87">
        <v>13342.117228440002</v>
      </c>
      <c r="O194" s="123">
        <v>93129.671172523464</v>
      </c>
      <c r="P194" s="123">
        <v>111894.05302562678</v>
      </c>
      <c r="Q194" s="120">
        <v>30859.06224187823</v>
      </c>
      <c r="R194" s="123">
        <v>123988.73341440169</v>
      </c>
      <c r="S194" s="123">
        <v>142753.115267505</v>
      </c>
      <c r="U194" s="7" t="s">
        <v>7051</v>
      </c>
    </row>
    <row r="195" spans="1:21" ht="16.5" thickBot="1">
      <c r="A195" s="259" t="s">
        <v>10</v>
      </c>
      <c r="B195" s="260">
        <f t="shared" si="9"/>
        <v>140</v>
      </c>
      <c r="C195" s="260" t="s">
        <v>3</v>
      </c>
      <c r="D195" s="260">
        <f t="shared" si="10"/>
        <v>300</v>
      </c>
      <c r="E195" s="260" t="s">
        <v>3</v>
      </c>
      <c r="F195" s="261">
        <f t="shared" si="11"/>
        <v>2600</v>
      </c>
      <c r="G195" s="260" t="s">
        <v>3</v>
      </c>
      <c r="H195" s="260">
        <v>4</v>
      </c>
      <c r="I195" s="262" t="s">
        <v>582</v>
      </c>
      <c r="J195" s="112">
        <v>140</v>
      </c>
      <c r="K195" s="75">
        <v>300</v>
      </c>
      <c r="L195" s="75">
        <v>2600</v>
      </c>
      <c r="M195" s="202">
        <v>38.675575979865755</v>
      </c>
      <c r="N195" s="87">
        <v>13645.347165450003</v>
      </c>
      <c r="O195" s="123">
        <v>94483.160507702356</v>
      </c>
      <c r="P195" s="123">
        <v>113562.54459084925</v>
      </c>
      <c r="Q195" s="120">
        <v>31339.467409742221</v>
      </c>
      <c r="R195" s="123">
        <v>125822.62791744458</v>
      </c>
      <c r="S195" s="123">
        <v>144902.01200059147</v>
      </c>
      <c r="U195" s="7" t="s">
        <v>7052</v>
      </c>
    </row>
    <row r="196" spans="1:21" ht="16.5" thickBot="1">
      <c r="A196" s="259" t="s">
        <v>10</v>
      </c>
      <c r="B196" s="263">
        <f t="shared" si="9"/>
        <v>140</v>
      </c>
      <c r="C196" s="263" t="s">
        <v>3</v>
      </c>
      <c r="D196" s="263">
        <f t="shared" si="10"/>
        <v>300</v>
      </c>
      <c r="E196" s="263" t="s">
        <v>3</v>
      </c>
      <c r="F196" s="261">
        <f t="shared" si="11"/>
        <v>2650</v>
      </c>
      <c r="G196" s="263" t="s">
        <v>3</v>
      </c>
      <c r="H196" s="260">
        <v>4</v>
      </c>
      <c r="I196" s="262" t="s">
        <v>582</v>
      </c>
      <c r="J196" s="112">
        <v>140</v>
      </c>
      <c r="K196" s="75">
        <v>300</v>
      </c>
      <c r="L196" s="75">
        <v>2650</v>
      </c>
      <c r="M196" s="202">
        <v>39.316999343024001</v>
      </c>
      <c r="N196" s="87">
        <v>13948.577102460002</v>
      </c>
      <c r="O196" s="123">
        <v>95406.029902237438</v>
      </c>
      <c r="P196" s="123">
        <v>114789.90227444074</v>
      </c>
      <c r="Q196" s="120">
        <v>32050.45435538948</v>
      </c>
      <c r="R196" s="123">
        <v>127456.48425762691</v>
      </c>
      <c r="S196" s="123">
        <v>146840.35662983023</v>
      </c>
      <c r="U196" s="7" t="s">
        <v>7053</v>
      </c>
    </row>
    <row r="197" spans="1:21" ht="16.5" thickBot="1">
      <c r="A197" s="259" t="s">
        <v>10</v>
      </c>
      <c r="B197" s="263">
        <f t="shared" si="9"/>
        <v>140</v>
      </c>
      <c r="C197" s="263" t="s">
        <v>3</v>
      </c>
      <c r="D197" s="263">
        <f t="shared" si="10"/>
        <v>300</v>
      </c>
      <c r="E197" s="263" t="s">
        <v>3</v>
      </c>
      <c r="F197" s="261">
        <f t="shared" si="11"/>
        <v>2700</v>
      </c>
      <c r="G197" s="263" t="s">
        <v>3</v>
      </c>
      <c r="H197" s="260">
        <v>4</v>
      </c>
      <c r="I197" s="262" t="s">
        <v>582</v>
      </c>
      <c r="J197" s="112">
        <v>140</v>
      </c>
      <c r="K197" s="75">
        <v>300</v>
      </c>
      <c r="L197" s="75">
        <v>2700</v>
      </c>
      <c r="M197" s="202">
        <v>40.091384706182254</v>
      </c>
      <c r="N197" s="87">
        <v>14251.807039470001</v>
      </c>
      <c r="O197" s="123">
        <v>96388.475901057231</v>
      </c>
      <c r="P197" s="123">
        <v>116078.29099543441</v>
      </c>
      <c r="Q197" s="120">
        <v>32530.859663646832</v>
      </c>
      <c r="R197" s="123">
        <v>128919.33556470406</v>
      </c>
      <c r="S197" s="123">
        <v>148609.15065908124</v>
      </c>
      <c r="U197" s="7" t="s">
        <v>7054</v>
      </c>
    </row>
    <row r="198" spans="1:21" ht="16.5" thickBot="1">
      <c r="A198" s="259" t="s">
        <v>10</v>
      </c>
      <c r="B198" s="263">
        <f t="shared" si="9"/>
        <v>140</v>
      </c>
      <c r="C198" s="263" t="s">
        <v>3</v>
      </c>
      <c r="D198" s="263">
        <f t="shared" si="10"/>
        <v>300</v>
      </c>
      <c r="E198" s="263" t="s">
        <v>3</v>
      </c>
      <c r="F198" s="261">
        <f t="shared" si="11"/>
        <v>2750</v>
      </c>
      <c r="G198" s="263" t="s">
        <v>3</v>
      </c>
      <c r="H198" s="260">
        <v>4</v>
      </c>
      <c r="I198" s="262" t="s">
        <v>582</v>
      </c>
      <c r="J198" s="112">
        <v>140</v>
      </c>
      <c r="K198" s="75">
        <v>300</v>
      </c>
      <c r="L198" s="75">
        <v>2750</v>
      </c>
      <c r="M198" s="202">
        <v>40.7166200693405</v>
      </c>
      <c r="N198" s="87">
        <v>14555.036976480002</v>
      </c>
      <c r="O198" s="123">
        <v>97393.003290835724</v>
      </c>
      <c r="P198" s="123">
        <v>117389.30037654329</v>
      </c>
      <c r="Q198" s="120">
        <v>33011.264831510824</v>
      </c>
      <c r="R198" s="123">
        <v>130404.26812234655</v>
      </c>
      <c r="S198" s="123">
        <v>150400.56520805412</v>
      </c>
      <c r="U198" s="7" t="s">
        <v>7055</v>
      </c>
    </row>
    <row r="199" spans="1:21" ht="16.5" thickBot="1">
      <c r="A199" s="259" t="s">
        <v>10</v>
      </c>
      <c r="B199" s="263">
        <f t="shared" si="9"/>
        <v>140</v>
      </c>
      <c r="C199" s="263" t="s">
        <v>3</v>
      </c>
      <c r="D199" s="263">
        <f t="shared" si="10"/>
        <v>300</v>
      </c>
      <c r="E199" s="263" t="s">
        <v>3</v>
      </c>
      <c r="F199" s="261">
        <f t="shared" si="11"/>
        <v>2800</v>
      </c>
      <c r="G199" s="263" t="s">
        <v>3</v>
      </c>
      <c r="H199" s="260">
        <v>4</v>
      </c>
      <c r="I199" s="262" t="s">
        <v>582</v>
      </c>
      <c r="J199" s="112">
        <v>140</v>
      </c>
      <c r="K199" s="75">
        <v>300</v>
      </c>
      <c r="L199" s="75">
        <v>2800</v>
      </c>
      <c r="M199" s="202">
        <v>41.358043432498746</v>
      </c>
      <c r="N199" s="87">
        <v>14858.266913490002</v>
      </c>
      <c r="O199" s="123">
        <v>98314.638410104744</v>
      </c>
      <c r="P199" s="123">
        <v>118615.39353009909</v>
      </c>
      <c r="Q199" s="120">
        <v>33722.251777158082</v>
      </c>
      <c r="R199" s="123">
        <v>132036.89018726282</v>
      </c>
      <c r="S199" s="123">
        <v>152337.64530725716</v>
      </c>
      <c r="U199" s="7" t="s">
        <v>7056</v>
      </c>
    </row>
    <row r="200" spans="1:21" ht="16.5" thickBot="1">
      <c r="A200" s="259" t="s">
        <v>10</v>
      </c>
      <c r="B200" s="263">
        <f t="shared" si="9"/>
        <v>140</v>
      </c>
      <c r="C200" s="263" t="s">
        <v>3</v>
      </c>
      <c r="D200" s="263">
        <f t="shared" si="10"/>
        <v>300</v>
      </c>
      <c r="E200" s="263" t="s">
        <v>3</v>
      </c>
      <c r="F200" s="261">
        <f t="shared" si="11"/>
        <v>2850</v>
      </c>
      <c r="G200" s="263" t="s">
        <v>3</v>
      </c>
      <c r="H200" s="260">
        <v>4</v>
      </c>
      <c r="I200" s="262" t="s">
        <v>582</v>
      </c>
      <c r="J200" s="112">
        <v>140</v>
      </c>
      <c r="K200" s="75">
        <v>300</v>
      </c>
      <c r="L200" s="75">
        <v>2850</v>
      </c>
      <c r="M200" s="202">
        <v>42.802178795656999</v>
      </c>
      <c r="N200" s="87">
        <v>15161.496850500002</v>
      </c>
      <c r="O200" s="123">
        <v>99236.225437627421</v>
      </c>
      <c r="P200" s="123">
        <v>119841.43746033803</v>
      </c>
      <c r="Q200" s="120">
        <v>34202.657085415434</v>
      </c>
      <c r="R200" s="123">
        <v>133438.88252304285</v>
      </c>
      <c r="S200" s="123">
        <v>154044.09454575347</v>
      </c>
      <c r="U200" s="7" t="s">
        <v>7057</v>
      </c>
    </row>
    <row r="201" spans="1:21" ht="16.5" thickBot="1">
      <c r="A201" s="259" t="s">
        <v>10</v>
      </c>
      <c r="B201" s="263">
        <f t="shared" si="9"/>
        <v>140</v>
      </c>
      <c r="C201" s="263" t="s">
        <v>3</v>
      </c>
      <c r="D201" s="263">
        <f t="shared" si="10"/>
        <v>300</v>
      </c>
      <c r="E201" s="263" t="s">
        <v>3</v>
      </c>
      <c r="F201" s="261">
        <f t="shared" si="11"/>
        <v>2900</v>
      </c>
      <c r="G201" s="263" t="s">
        <v>3</v>
      </c>
      <c r="H201" s="260">
        <v>4</v>
      </c>
      <c r="I201" s="262" t="s">
        <v>582</v>
      </c>
      <c r="J201" s="112">
        <v>140</v>
      </c>
      <c r="K201" s="75">
        <v>300</v>
      </c>
      <c r="L201" s="75">
        <v>2900</v>
      </c>
      <c r="M201" s="202">
        <v>43.443602158815246</v>
      </c>
      <c r="N201" s="87">
        <v>15464.726787510001</v>
      </c>
      <c r="O201" s="123">
        <v>100157.76437340377</v>
      </c>
      <c r="P201" s="123">
        <v>121067.43203669433</v>
      </c>
      <c r="Q201" s="120">
        <v>34913.644031062693</v>
      </c>
      <c r="R201" s="123">
        <v>135071.40840446646</v>
      </c>
      <c r="S201" s="123">
        <v>155981.07606775704</v>
      </c>
      <c r="U201" s="7" t="s">
        <v>7058</v>
      </c>
    </row>
    <row r="202" spans="1:21" ht="16.5" thickBot="1">
      <c r="A202" s="259" t="s">
        <v>10</v>
      </c>
      <c r="B202" s="263">
        <f t="shared" si="9"/>
        <v>140</v>
      </c>
      <c r="C202" s="263" t="s">
        <v>3</v>
      </c>
      <c r="D202" s="263">
        <f t="shared" si="10"/>
        <v>300</v>
      </c>
      <c r="E202" s="263" t="s">
        <v>3</v>
      </c>
      <c r="F202" s="261">
        <f t="shared" si="11"/>
        <v>2950</v>
      </c>
      <c r="G202" s="263" t="s">
        <v>3</v>
      </c>
      <c r="H202" s="260">
        <v>4</v>
      </c>
      <c r="I202" s="262" t="s">
        <v>582</v>
      </c>
      <c r="J202" s="112">
        <v>140</v>
      </c>
      <c r="K202" s="75">
        <v>300</v>
      </c>
      <c r="L202" s="75">
        <v>2950</v>
      </c>
      <c r="M202" s="202">
        <v>44.068837521973499</v>
      </c>
      <c r="N202" s="87">
        <v>15767.956724520003</v>
      </c>
      <c r="O202" s="123">
        <v>101079.25521743381</v>
      </c>
      <c r="P202" s="123">
        <v>122293.37738973378</v>
      </c>
      <c r="Q202" s="120">
        <v>35394.049339320045</v>
      </c>
      <c r="R202" s="123">
        <v>136473.30455675384</v>
      </c>
      <c r="S202" s="123">
        <v>157687.42672905384</v>
      </c>
      <c r="U202" s="7" t="s">
        <v>7059</v>
      </c>
    </row>
    <row r="203" spans="1:21" ht="16.5" thickBot="1">
      <c r="A203" s="264" t="s">
        <v>10</v>
      </c>
      <c r="B203" s="265">
        <f t="shared" si="9"/>
        <v>140</v>
      </c>
      <c r="C203" s="265" t="s">
        <v>3</v>
      </c>
      <c r="D203" s="265">
        <f t="shared" si="10"/>
        <v>300</v>
      </c>
      <c r="E203" s="265" t="s">
        <v>3</v>
      </c>
      <c r="F203" s="266">
        <f t="shared" si="11"/>
        <v>3000</v>
      </c>
      <c r="G203" s="265" t="s">
        <v>3</v>
      </c>
      <c r="H203" s="267">
        <v>4</v>
      </c>
      <c r="I203" s="262" t="s">
        <v>582</v>
      </c>
      <c r="J203" s="112">
        <v>140</v>
      </c>
      <c r="K203" s="322">
        <v>300</v>
      </c>
      <c r="L203" s="322">
        <v>3000</v>
      </c>
      <c r="M203" s="337">
        <v>44.710260885131746</v>
      </c>
      <c r="N203" s="306">
        <v>16071.18666153</v>
      </c>
      <c r="O203" s="307">
        <v>103717.53476850005</v>
      </c>
      <c r="P203" s="307">
        <v>125278.02876624776</v>
      </c>
      <c r="Q203" s="308">
        <v>36105.036284967304</v>
      </c>
      <c r="R203" s="307">
        <v>139822.57105346734</v>
      </c>
      <c r="S203" s="307">
        <v>161383.06505121506</v>
      </c>
      <c r="U203" s="7" t="s">
        <v>7060</v>
      </c>
    </row>
    <row r="204" spans="1:21" ht="22.5" customHeight="1" thickBot="1">
      <c r="A204" s="2580" t="s">
        <v>49</v>
      </c>
      <c r="B204" s="2581"/>
      <c r="C204" s="2581"/>
      <c r="D204" s="2581"/>
      <c r="E204" s="2581"/>
      <c r="F204" s="2581"/>
      <c r="G204" s="2581"/>
      <c r="H204" s="2581"/>
      <c r="I204" s="2581"/>
      <c r="J204" s="2581"/>
      <c r="K204" s="2581"/>
      <c r="L204" s="2581"/>
      <c r="M204" s="2581"/>
      <c r="N204" s="2581"/>
      <c r="O204" s="2581"/>
      <c r="P204" s="2581"/>
      <c r="Q204" s="2581"/>
      <c r="R204" s="2581"/>
      <c r="S204" s="2582"/>
      <c r="U204" s="7"/>
    </row>
    <row r="205" spans="1:21" ht="19.5" thickBot="1">
      <c r="A205" s="2627" t="s">
        <v>180</v>
      </c>
      <c r="B205" s="2628"/>
      <c r="C205" s="2628"/>
      <c r="D205" s="2628"/>
      <c r="E205" s="2628"/>
      <c r="F205" s="2628"/>
      <c r="G205" s="2628"/>
      <c r="H205" s="2628"/>
      <c r="I205" s="2628"/>
      <c r="J205" s="2628"/>
      <c r="K205" s="2628"/>
      <c r="L205" s="2628"/>
      <c r="M205" s="2628"/>
      <c r="N205" s="2628"/>
      <c r="O205" s="2628"/>
      <c r="P205" s="2628"/>
      <c r="Q205" s="2628"/>
      <c r="R205" s="2628"/>
      <c r="S205" s="2629"/>
      <c r="U205" s="7"/>
    </row>
    <row r="206" spans="1:21" ht="16.5" thickBot="1">
      <c r="A206" s="259" t="s">
        <v>10</v>
      </c>
      <c r="B206" s="260">
        <f t="shared" ref="B206:B252" si="12">J206</f>
        <v>140</v>
      </c>
      <c r="C206" s="260" t="s">
        <v>3</v>
      </c>
      <c r="D206" s="260">
        <f t="shared" ref="D206:D252" si="13">K206</f>
        <v>360</v>
      </c>
      <c r="E206" s="260" t="s">
        <v>3</v>
      </c>
      <c r="F206" s="261">
        <f t="shared" ref="F206:F252" si="14">L206</f>
        <v>700</v>
      </c>
      <c r="G206" s="260" t="s">
        <v>3</v>
      </c>
      <c r="H206" s="260">
        <v>6</v>
      </c>
      <c r="I206" s="262" t="s">
        <v>583</v>
      </c>
      <c r="J206" s="344">
        <v>140</v>
      </c>
      <c r="K206" s="327">
        <v>360</v>
      </c>
      <c r="L206" s="327">
        <v>700</v>
      </c>
      <c r="M206" s="338">
        <f>M255*0.9</f>
        <v>13.634438256335248</v>
      </c>
      <c r="N206" s="302">
        <v>2373.9171210300001</v>
      </c>
      <c r="O206" s="303">
        <v>32788.981164870478</v>
      </c>
      <c r="P206" s="303">
        <v>39633.361668152938</v>
      </c>
      <c r="Q206" s="304">
        <v>10542.143907826316</v>
      </c>
      <c r="R206" s="303">
        <v>43331.125072696792</v>
      </c>
      <c r="S206" s="303">
        <v>50175.505575979252</v>
      </c>
      <c r="U206" s="7" t="s">
        <v>7061</v>
      </c>
    </row>
    <row r="207" spans="1:21" ht="16.5" thickBot="1">
      <c r="A207" s="259" t="s">
        <v>10</v>
      </c>
      <c r="B207" s="263">
        <f t="shared" si="12"/>
        <v>140</v>
      </c>
      <c r="C207" s="263" t="s">
        <v>3</v>
      </c>
      <c r="D207" s="263">
        <f t="shared" si="13"/>
        <v>360</v>
      </c>
      <c r="E207" s="263" t="s">
        <v>3</v>
      </c>
      <c r="F207" s="261">
        <f t="shared" si="14"/>
        <v>750</v>
      </c>
      <c r="G207" s="263" t="s">
        <v>3</v>
      </c>
      <c r="H207" s="260">
        <v>6</v>
      </c>
      <c r="I207" s="262" t="s">
        <v>583</v>
      </c>
      <c r="J207" s="112">
        <v>140</v>
      </c>
      <c r="K207" s="75">
        <v>360</v>
      </c>
      <c r="L207" s="75">
        <v>750</v>
      </c>
      <c r="M207" s="191">
        <v>15.991332938788995</v>
      </c>
      <c r="N207" s="87">
        <v>2713.0481383200004</v>
      </c>
      <c r="O207" s="123">
        <v>34909.820972388792</v>
      </c>
      <c r="P207" s="123">
        <v>42106.153612969705</v>
      </c>
      <c r="Q207" s="120">
        <v>11095.741049329239</v>
      </c>
      <c r="R207" s="123">
        <v>46005.562021718033</v>
      </c>
      <c r="S207" s="123">
        <v>53201.894662298946</v>
      </c>
      <c r="U207" s="7" t="s">
        <v>7062</v>
      </c>
    </row>
    <row r="208" spans="1:21" ht="16.5" thickBot="1">
      <c r="A208" s="259" t="s">
        <v>10</v>
      </c>
      <c r="B208" s="263">
        <f t="shared" si="12"/>
        <v>140</v>
      </c>
      <c r="C208" s="263" t="s">
        <v>3</v>
      </c>
      <c r="D208" s="263">
        <f t="shared" si="13"/>
        <v>360</v>
      </c>
      <c r="E208" s="263" t="s">
        <v>3</v>
      </c>
      <c r="F208" s="261">
        <f t="shared" si="14"/>
        <v>800</v>
      </c>
      <c r="G208" s="263" t="s">
        <v>3</v>
      </c>
      <c r="H208" s="260">
        <v>6</v>
      </c>
      <c r="I208" s="262" t="s">
        <v>583</v>
      </c>
      <c r="J208" s="112">
        <v>140</v>
      </c>
      <c r="K208" s="75">
        <v>360</v>
      </c>
      <c r="L208" s="75">
        <v>800</v>
      </c>
      <c r="M208" s="191">
        <v>15.991332938788995</v>
      </c>
      <c r="N208" s="87">
        <v>3052.1791556100002</v>
      </c>
      <c r="O208" s="123">
        <v>37019.623903127205</v>
      </c>
      <c r="P208" s="123">
        <v>44567.757241494306</v>
      </c>
      <c r="Q208" s="120">
        <v>11649.338190832164</v>
      </c>
      <c r="R208" s="123">
        <v>48668.962093959373</v>
      </c>
      <c r="S208" s="123">
        <v>56217.095432326474</v>
      </c>
      <c r="U208" s="7" t="s">
        <v>7063</v>
      </c>
    </row>
    <row r="209" spans="1:21" ht="16.5" thickBot="1">
      <c r="A209" s="259" t="s">
        <v>10</v>
      </c>
      <c r="B209" s="263">
        <f t="shared" si="12"/>
        <v>140</v>
      </c>
      <c r="C209" s="263" t="s">
        <v>3</v>
      </c>
      <c r="D209" s="263">
        <f t="shared" si="13"/>
        <v>360</v>
      </c>
      <c r="E209" s="263" t="s">
        <v>3</v>
      </c>
      <c r="F209" s="261">
        <f t="shared" si="14"/>
        <v>850</v>
      </c>
      <c r="G209" s="263" t="s">
        <v>3</v>
      </c>
      <c r="H209" s="260">
        <v>6</v>
      </c>
      <c r="I209" s="262" t="s">
        <v>583</v>
      </c>
      <c r="J209" s="112">
        <v>140</v>
      </c>
      <c r="K209" s="75">
        <v>360</v>
      </c>
      <c r="L209" s="75">
        <v>850</v>
      </c>
      <c r="M209" s="191">
        <v>15.991332938788995</v>
      </c>
      <c r="N209" s="87">
        <v>3391.3101729</v>
      </c>
      <c r="O209" s="123">
        <v>39128.541850265763</v>
      </c>
      <c r="P209" s="123">
        <v>47028.548358876717</v>
      </c>
      <c r="Q209" s="120">
        <v>12433.517110118366</v>
      </c>
      <c r="R209" s="123">
        <v>51562.058960384129</v>
      </c>
      <c r="S209" s="123">
        <v>59462.065468995082</v>
      </c>
      <c r="U209" s="7" t="s">
        <v>7064</v>
      </c>
    </row>
    <row r="210" spans="1:21" ht="16.5" thickBot="1">
      <c r="A210" s="259" t="s">
        <v>10</v>
      </c>
      <c r="B210" s="263">
        <f t="shared" si="12"/>
        <v>140</v>
      </c>
      <c r="C210" s="263" t="s">
        <v>3</v>
      </c>
      <c r="D210" s="263">
        <f t="shared" si="13"/>
        <v>360</v>
      </c>
      <c r="E210" s="263" t="s">
        <v>3</v>
      </c>
      <c r="F210" s="261">
        <f t="shared" si="14"/>
        <v>900</v>
      </c>
      <c r="G210" s="263" t="s">
        <v>3</v>
      </c>
      <c r="H210" s="260">
        <v>6</v>
      </c>
      <c r="I210" s="262" t="s">
        <v>583</v>
      </c>
      <c r="J210" s="112">
        <v>140</v>
      </c>
      <c r="K210" s="75">
        <v>360</v>
      </c>
      <c r="L210" s="75">
        <v>900</v>
      </c>
      <c r="M210" s="191">
        <v>15.991332938788995</v>
      </c>
      <c r="N210" s="87">
        <v>3730.4411901900003</v>
      </c>
      <c r="O210" s="123">
        <v>41237.577341747063</v>
      </c>
      <c r="P210" s="123">
        <v>49489.565485705862</v>
      </c>
      <c r="Q210" s="120">
        <v>12987.114251621291</v>
      </c>
      <c r="R210" s="123">
        <v>54224.691593368356</v>
      </c>
      <c r="S210" s="123">
        <v>62476.679737327155</v>
      </c>
      <c r="U210" s="7" t="s">
        <v>7065</v>
      </c>
    </row>
    <row r="211" spans="1:21" ht="16.5" thickBot="1">
      <c r="A211" s="259" t="s">
        <v>10</v>
      </c>
      <c r="B211" s="263">
        <f t="shared" si="12"/>
        <v>140</v>
      </c>
      <c r="C211" s="263" t="s">
        <v>3</v>
      </c>
      <c r="D211" s="263">
        <f t="shared" si="13"/>
        <v>360</v>
      </c>
      <c r="E211" s="263" t="s">
        <v>3</v>
      </c>
      <c r="F211" s="261">
        <f t="shared" si="14"/>
        <v>950</v>
      </c>
      <c r="G211" s="263" t="s">
        <v>3</v>
      </c>
      <c r="H211" s="260">
        <v>6</v>
      </c>
      <c r="I211" s="262" t="s">
        <v>583</v>
      </c>
      <c r="J211" s="112">
        <v>140</v>
      </c>
      <c r="K211" s="75">
        <v>360</v>
      </c>
      <c r="L211" s="75">
        <v>950</v>
      </c>
      <c r="M211" s="191">
        <v>15.991332938788995</v>
      </c>
      <c r="N211" s="87">
        <v>4069.5722074800001</v>
      </c>
      <c r="O211" s="123">
        <v>43346.710926070744</v>
      </c>
      <c r="P211" s="123">
        <v>51950.771802418523</v>
      </c>
      <c r="Q211" s="120">
        <v>13771.293170907491</v>
      </c>
      <c r="R211" s="123">
        <v>57118.004096978235</v>
      </c>
      <c r="S211" s="123">
        <v>65722.064973326022</v>
      </c>
      <c r="U211" s="7" t="s">
        <v>7066</v>
      </c>
    </row>
    <row r="212" spans="1:21" ht="16.5" thickBot="1">
      <c r="A212" s="259" t="s">
        <v>10</v>
      </c>
      <c r="B212" s="263">
        <f t="shared" si="12"/>
        <v>140</v>
      </c>
      <c r="C212" s="263" t="s">
        <v>3</v>
      </c>
      <c r="D212" s="263">
        <f t="shared" si="13"/>
        <v>360</v>
      </c>
      <c r="E212" s="263" t="s">
        <v>3</v>
      </c>
      <c r="F212" s="261">
        <f t="shared" si="14"/>
        <v>1000</v>
      </c>
      <c r="G212" s="263" t="s">
        <v>3</v>
      </c>
      <c r="H212" s="260">
        <v>6</v>
      </c>
      <c r="I212" s="262" t="s">
        <v>583</v>
      </c>
      <c r="J212" s="112">
        <v>140</v>
      </c>
      <c r="K212" s="75">
        <v>360</v>
      </c>
      <c r="L212" s="75">
        <v>1000</v>
      </c>
      <c r="M212" s="191">
        <v>15.991332938788995</v>
      </c>
      <c r="N212" s="87">
        <v>4408.7032247700008</v>
      </c>
      <c r="O212" s="123">
        <v>45382.230963566581</v>
      </c>
      <c r="P212" s="123">
        <v>54336.732641261566</v>
      </c>
      <c r="Q212" s="120">
        <v>14324.890312410414</v>
      </c>
      <c r="R212" s="123">
        <v>59707.121275976999</v>
      </c>
      <c r="S212" s="123">
        <v>68661.622953671977</v>
      </c>
      <c r="U212" s="7" t="s">
        <v>7067</v>
      </c>
    </row>
    <row r="213" spans="1:21" ht="16.5" thickBot="1">
      <c r="A213" s="259" t="s">
        <v>10</v>
      </c>
      <c r="B213" s="263">
        <f t="shared" si="12"/>
        <v>140</v>
      </c>
      <c r="C213" s="263" t="s">
        <v>3</v>
      </c>
      <c r="D213" s="263">
        <f t="shared" si="13"/>
        <v>360</v>
      </c>
      <c r="E213" s="263" t="s">
        <v>3</v>
      </c>
      <c r="F213" s="261">
        <f t="shared" si="14"/>
        <v>1050</v>
      </c>
      <c r="G213" s="263" t="s">
        <v>3</v>
      </c>
      <c r="H213" s="260">
        <v>6</v>
      </c>
      <c r="I213" s="262" t="s">
        <v>583</v>
      </c>
      <c r="J213" s="112">
        <v>140</v>
      </c>
      <c r="K213" s="75">
        <v>360</v>
      </c>
      <c r="L213" s="75">
        <v>1050</v>
      </c>
      <c r="M213" s="191">
        <v>15.991332938788995</v>
      </c>
      <c r="N213" s="87">
        <v>4747.8342420600002</v>
      </c>
      <c r="O213" s="123">
        <v>47706.616879717192</v>
      </c>
      <c r="P213" s="123">
        <v>57019.94107836148</v>
      </c>
      <c r="Q213" s="120">
        <v>15109.069231696616</v>
      </c>
      <c r="R213" s="123">
        <v>62815.686111413808</v>
      </c>
      <c r="S213" s="123">
        <v>72129.010310058104</v>
      </c>
      <c r="U213" s="7" t="s">
        <v>7068</v>
      </c>
    </row>
    <row r="214" spans="1:21" ht="16.5" thickBot="1">
      <c r="A214" s="259" t="s">
        <v>10</v>
      </c>
      <c r="B214" s="260">
        <f t="shared" si="12"/>
        <v>140</v>
      </c>
      <c r="C214" s="260" t="s">
        <v>3</v>
      </c>
      <c r="D214" s="260">
        <f t="shared" si="13"/>
        <v>360</v>
      </c>
      <c r="E214" s="260" t="s">
        <v>3</v>
      </c>
      <c r="F214" s="261">
        <f t="shared" si="14"/>
        <v>1100</v>
      </c>
      <c r="G214" s="260" t="s">
        <v>3</v>
      </c>
      <c r="H214" s="260">
        <v>6</v>
      </c>
      <c r="I214" s="262" t="s">
        <v>583</v>
      </c>
      <c r="J214" s="112">
        <v>140</v>
      </c>
      <c r="K214" s="75">
        <v>360</v>
      </c>
      <c r="L214" s="75">
        <v>1100</v>
      </c>
      <c r="M214" s="191">
        <v>15.991332938788995</v>
      </c>
      <c r="N214" s="87">
        <v>5086.9652593500005</v>
      </c>
      <c r="O214" s="123">
        <v>49823.566148491918</v>
      </c>
      <c r="P214" s="123">
        <v>59489.66890434728</v>
      </c>
      <c r="Q214" s="120">
        <v>15662.66637319954</v>
      </c>
      <c r="R214" s="123">
        <v>65486.232521691461</v>
      </c>
      <c r="S214" s="123">
        <v>75152.335277546823</v>
      </c>
      <c r="U214" s="7" t="s">
        <v>7069</v>
      </c>
    </row>
    <row r="215" spans="1:21" ht="16.5" thickBot="1">
      <c r="A215" s="259" t="s">
        <v>10</v>
      </c>
      <c r="B215" s="263">
        <f t="shared" si="12"/>
        <v>140</v>
      </c>
      <c r="C215" s="263" t="s">
        <v>3</v>
      </c>
      <c r="D215" s="263">
        <f t="shared" si="13"/>
        <v>360</v>
      </c>
      <c r="E215" s="263" t="s">
        <v>3</v>
      </c>
      <c r="F215" s="261">
        <f t="shared" si="14"/>
        <v>1150</v>
      </c>
      <c r="G215" s="263" t="s">
        <v>3</v>
      </c>
      <c r="H215" s="260">
        <v>6</v>
      </c>
      <c r="I215" s="262" t="s">
        <v>583</v>
      </c>
      <c r="J215" s="112">
        <v>140</v>
      </c>
      <c r="K215" s="75">
        <v>360</v>
      </c>
      <c r="L215" s="75">
        <v>1150</v>
      </c>
      <c r="M215" s="191">
        <v>15.991332938788995</v>
      </c>
      <c r="N215" s="87">
        <v>5426.0962766400007</v>
      </c>
      <c r="O215" s="123">
        <v>51247.019905161549</v>
      </c>
      <c r="P215" s="123">
        <v>61245.704726091237</v>
      </c>
      <c r="Q215" s="120">
        <v>16216.263514702467</v>
      </c>
      <c r="R215" s="123">
        <v>67463.283419864019</v>
      </c>
      <c r="S215" s="123">
        <v>77461.968240793707</v>
      </c>
      <c r="U215" s="7" t="s">
        <v>7070</v>
      </c>
    </row>
    <row r="216" spans="1:21" ht="16.5" thickBot="1">
      <c r="A216" s="259" t="s">
        <v>10</v>
      </c>
      <c r="B216" s="263">
        <f t="shared" si="12"/>
        <v>140</v>
      </c>
      <c r="C216" s="263" t="s">
        <v>3</v>
      </c>
      <c r="D216" s="263">
        <f t="shared" si="13"/>
        <v>360</v>
      </c>
      <c r="E216" s="263" t="s">
        <v>3</v>
      </c>
      <c r="F216" s="261">
        <f t="shared" si="14"/>
        <v>1200</v>
      </c>
      <c r="G216" s="263" t="s">
        <v>3</v>
      </c>
      <c r="H216" s="260">
        <v>6</v>
      </c>
      <c r="I216" s="262" t="s">
        <v>583</v>
      </c>
      <c r="J216" s="112">
        <v>140</v>
      </c>
      <c r="K216" s="75">
        <v>360</v>
      </c>
      <c r="L216" s="75">
        <v>1200</v>
      </c>
      <c r="M216" s="191">
        <v>15.991332938788995</v>
      </c>
      <c r="N216" s="87">
        <v>5765.227293930001</v>
      </c>
      <c r="O216" s="123">
        <v>52779.698490473267</v>
      </c>
      <c r="P216" s="123">
        <v>63114.292468923421</v>
      </c>
      <c r="Q216" s="120">
        <v>17000.442574382028</v>
      </c>
      <c r="R216" s="123">
        <v>69780.141064855299</v>
      </c>
      <c r="S216" s="123">
        <v>80114.735043305453</v>
      </c>
      <c r="U216" s="7" t="s">
        <v>7071</v>
      </c>
    </row>
    <row r="217" spans="1:21" ht="16.5" thickBot="1">
      <c r="A217" s="259" t="s">
        <v>10</v>
      </c>
      <c r="B217" s="263">
        <f t="shared" si="12"/>
        <v>140</v>
      </c>
      <c r="C217" s="263" t="s">
        <v>3</v>
      </c>
      <c r="D217" s="263">
        <f t="shared" si="13"/>
        <v>360</v>
      </c>
      <c r="E217" s="263" t="s">
        <v>3</v>
      </c>
      <c r="F217" s="261">
        <f t="shared" si="14"/>
        <v>1250</v>
      </c>
      <c r="G217" s="263" t="s">
        <v>3</v>
      </c>
      <c r="H217" s="260">
        <v>6</v>
      </c>
      <c r="I217" s="262" t="s">
        <v>583</v>
      </c>
      <c r="J217" s="112">
        <v>140</v>
      </c>
      <c r="K217" s="75">
        <v>360</v>
      </c>
      <c r="L217" s="75">
        <v>1250</v>
      </c>
      <c r="M217" s="191">
        <v>15.991332938788995</v>
      </c>
      <c r="N217" s="87">
        <v>6104.3583112200004</v>
      </c>
      <c r="O217" s="123">
        <v>54202.638990068597</v>
      </c>
      <c r="P217" s="123">
        <v>64870.06467826241</v>
      </c>
      <c r="Q217" s="120">
        <v>17554.039715884952</v>
      </c>
      <c r="R217" s="123">
        <v>71756.678705953556</v>
      </c>
      <c r="S217" s="123">
        <v>82424.104394147362</v>
      </c>
      <c r="U217" s="7" t="s">
        <v>7072</v>
      </c>
    </row>
    <row r="218" spans="1:21" ht="16.5" thickBot="1">
      <c r="A218" s="259" t="s">
        <v>10</v>
      </c>
      <c r="B218" s="263">
        <f t="shared" si="12"/>
        <v>140</v>
      </c>
      <c r="C218" s="263" t="s">
        <v>3</v>
      </c>
      <c r="D218" s="263">
        <f t="shared" si="13"/>
        <v>360</v>
      </c>
      <c r="E218" s="263" t="s">
        <v>3</v>
      </c>
      <c r="F218" s="261">
        <f t="shared" si="14"/>
        <v>1300</v>
      </c>
      <c r="G218" s="263" t="s">
        <v>3</v>
      </c>
      <c r="H218" s="260">
        <v>6</v>
      </c>
      <c r="I218" s="262" t="s">
        <v>583</v>
      </c>
      <c r="J218" s="112">
        <v>140</v>
      </c>
      <c r="K218" s="75">
        <v>360</v>
      </c>
      <c r="L218" s="75">
        <v>1300</v>
      </c>
      <c r="M218" s="191">
        <v>15.991332938788995</v>
      </c>
      <c r="N218" s="87">
        <v>6443.4893285099997</v>
      </c>
      <c r="O218" s="123">
        <v>57817.186838903188</v>
      </c>
      <c r="P218" s="123">
        <v>68877.340776539466</v>
      </c>
      <c r="Q218" s="120">
        <v>18338.218635171153</v>
      </c>
      <c r="R218" s="123">
        <v>76155.405474074345</v>
      </c>
      <c r="S218" s="123">
        <v>87215.559411710623</v>
      </c>
      <c r="U218" s="7" t="s">
        <v>7073</v>
      </c>
    </row>
    <row r="219" spans="1:21" ht="16.5" thickBot="1">
      <c r="A219" s="259" t="s">
        <v>10</v>
      </c>
      <c r="B219" s="263">
        <f t="shared" si="12"/>
        <v>140</v>
      </c>
      <c r="C219" s="263" t="s">
        <v>3</v>
      </c>
      <c r="D219" s="263">
        <f t="shared" si="13"/>
        <v>360</v>
      </c>
      <c r="E219" s="263" t="s">
        <v>3</v>
      </c>
      <c r="F219" s="261">
        <f t="shared" si="14"/>
        <v>1350</v>
      </c>
      <c r="G219" s="263" t="s">
        <v>3</v>
      </c>
      <c r="H219" s="260">
        <v>6</v>
      </c>
      <c r="I219" s="262" t="s">
        <v>583</v>
      </c>
      <c r="J219" s="112">
        <v>140</v>
      </c>
      <c r="K219" s="75">
        <v>360</v>
      </c>
      <c r="L219" s="75">
        <v>1350</v>
      </c>
      <c r="M219" s="191">
        <v>15.991332938788995</v>
      </c>
      <c r="N219" s="87">
        <v>6782.6203458</v>
      </c>
      <c r="O219" s="123">
        <v>59426.424501004352</v>
      </c>
      <c r="P219" s="123">
        <v>70823.062370798973</v>
      </c>
      <c r="Q219" s="120">
        <v>18891.815776674081</v>
      </c>
      <c r="R219" s="123">
        <v>78318.240277678429</v>
      </c>
      <c r="S219" s="123">
        <v>89714.878147473049</v>
      </c>
      <c r="U219" s="7" t="s">
        <v>7074</v>
      </c>
    </row>
    <row r="220" spans="1:21" ht="16.5" thickBot="1">
      <c r="A220" s="259" t="s">
        <v>10</v>
      </c>
      <c r="B220" s="263">
        <f t="shared" si="12"/>
        <v>140</v>
      </c>
      <c r="C220" s="263" t="s">
        <v>3</v>
      </c>
      <c r="D220" s="263">
        <f t="shared" si="13"/>
        <v>360</v>
      </c>
      <c r="E220" s="263" t="s">
        <v>3</v>
      </c>
      <c r="F220" s="261">
        <f t="shared" si="14"/>
        <v>1400</v>
      </c>
      <c r="G220" s="263" t="s">
        <v>3</v>
      </c>
      <c r="H220" s="260">
        <v>6</v>
      </c>
      <c r="I220" s="262" t="s">
        <v>583</v>
      </c>
      <c r="J220" s="112">
        <v>140</v>
      </c>
      <c r="K220" s="75">
        <v>360</v>
      </c>
      <c r="L220" s="75">
        <v>1400</v>
      </c>
      <c r="M220" s="191">
        <v>15.991332938788995</v>
      </c>
      <c r="N220" s="87">
        <v>7121.7513630900012</v>
      </c>
      <c r="O220" s="123">
        <v>61335.521719502562</v>
      </c>
      <c r="P220" s="123">
        <v>73077.369769177065</v>
      </c>
      <c r="Q220" s="120">
        <v>19675.994695960278</v>
      </c>
      <c r="R220" s="123">
        <v>81011.516415462844</v>
      </c>
      <c r="S220" s="123">
        <v>92753.364465137347</v>
      </c>
      <c r="U220" s="7" t="s">
        <v>7075</v>
      </c>
    </row>
    <row r="221" spans="1:21" ht="16.5" thickBot="1">
      <c r="A221" s="259" t="s">
        <v>10</v>
      </c>
      <c r="B221" s="263">
        <f t="shared" si="12"/>
        <v>140</v>
      </c>
      <c r="C221" s="263" t="s">
        <v>3</v>
      </c>
      <c r="D221" s="263">
        <f t="shared" si="13"/>
        <v>360</v>
      </c>
      <c r="E221" s="263" t="s">
        <v>3</v>
      </c>
      <c r="F221" s="261">
        <f t="shared" si="14"/>
        <v>1450</v>
      </c>
      <c r="G221" s="263" t="s">
        <v>3</v>
      </c>
      <c r="H221" s="260">
        <v>6</v>
      </c>
      <c r="I221" s="262" t="s">
        <v>583</v>
      </c>
      <c r="J221" s="112">
        <v>140</v>
      </c>
      <c r="K221" s="75">
        <v>360</v>
      </c>
      <c r="L221" s="75">
        <v>1450</v>
      </c>
      <c r="M221" s="191">
        <v>15.991332938788995</v>
      </c>
      <c r="N221" s="87">
        <v>7460.8823803800005</v>
      </c>
      <c r="O221" s="123">
        <v>62945.181467228416</v>
      </c>
      <c r="P221" s="123">
        <v>75023.507998990928</v>
      </c>
      <c r="Q221" s="120">
        <v>20229.591837463206</v>
      </c>
      <c r="R221" s="123">
        <v>83174.773304691626</v>
      </c>
      <c r="S221" s="123">
        <v>95253.09983645413</v>
      </c>
      <c r="U221" s="7" t="s">
        <v>7076</v>
      </c>
    </row>
    <row r="222" spans="1:21" ht="16.5" thickBot="1">
      <c r="A222" s="259" t="s">
        <v>10</v>
      </c>
      <c r="B222" s="263">
        <f t="shared" si="12"/>
        <v>140</v>
      </c>
      <c r="C222" s="263" t="s">
        <v>3</v>
      </c>
      <c r="D222" s="263">
        <f t="shared" si="13"/>
        <v>360</v>
      </c>
      <c r="E222" s="263" t="s">
        <v>3</v>
      </c>
      <c r="F222" s="261">
        <f t="shared" si="14"/>
        <v>1500</v>
      </c>
      <c r="G222" s="263" t="s">
        <v>3</v>
      </c>
      <c r="H222" s="260">
        <v>6</v>
      </c>
      <c r="I222" s="262" t="s">
        <v>583</v>
      </c>
      <c r="J222" s="112">
        <v>140</v>
      </c>
      <c r="K222" s="75">
        <v>360</v>
      </c>
      <c r="L222" s="75">
        <v>1500</v>
      </c>
      <c r="M222" s="191">
        <v>15.991332938788995</v>
      </c>
      <c r="N222" s="87">
        <v>7800.0133976699999</v>
      </c>
      <c r="O222" s="123">
        <v>65154.203160014484</v>
      </c>
      <c r="P222" s="123">
        <v>77790.73920168895</v>
      </c>
      <c r="Q222" s="120">
        <v>21013.770756749404</v>
      </c>
      <c r="R222" s="123">
        <v>86167.973916763891</v>
      </c>
      <c r="S222" s="123">
        <v>98804.509958438357</v>
      </c>
      <c r="U222" s="7" t="s">
        <v>7077</v>
      </c>
    </row>
    <row r="223" spans="1:21" ht="16.5" thickBot="1">
      <c r="A223" s="259" t="s">
        <v>10</v>
      </c>
      <c r="B223" s="263">
        <f t="shared" si="12"/>
        <v>140</v>
      </c>
      <c r="C223" s="263" t="s">
        <v>3</v>
      </c>
      <c r="D223" s="263">
        <f t="shared" si="13"/>
        <v>360</v>
      </c>
      <c r="E223" s="263" t="s">
        <v>3</v>
      </c>
      <c r="F223" s="261">
        <f t="shared" si="14"/>
        <v>1550</v>
      </c>
      <c r="G223" s="263" t="s">
        <v>3</v>
      </c>
      <c r="H223" s="260">
        <v>6</v>
      </c>
      <c r="I223" s="262" t="s">
        <v>583</v>
      </c>
      <c r="J223" s="112">
        <v>140</v>
      </c>
      <c r="K223" s="75">
        <v>360</v>
      </c>
      <c r="L223" s="75">
        <v>1550</v>
      </c>
      <c r="M223" s="191">
        <v>15.991332938788995</v>
      </c>
      <c r="N223" s="87">
        <v>8139.1444149600002</v>
      </c>
      <c r="O223" s="123">
        <v>66764.238452965365</v>
      </c>
      <c r="P223" s="123">
        <v>79737.239751673085</v>
      </c>
      <c r="Q223" s="120">
        <v>21567.367898252327</v>
      </c>
      <c r="R223" s="123">
        <v>88331.606351217692</v>
      </c>
      <c r="S223" s="123">
        <v>101304.60764992541</v>
      </c>
      <c r="U223" s="7" t="s">
        <v>7078</v>
      </c>
    </row>
    <row r="224" spans="1:21" ht="16.5" thickBot="1">
      <c r="A224" s="259" t="s">
        <v>10</v>
      </c>
      <c r="B224" s="260">
        <f t="shared" si="12"/>
        <v>140</v>
      </c>
      <c r="C224" s="260" t="s">
        <v>3</v>
      </c>
      <c r="D224" s="260">
        <f t="shared" si="13"/>
        <v>360</v>
      </c>
      <c r="E224" s="260" t="s">
        <v>3</v>
      </c>
      <c r="F224" s="261">
        <f t="shared" si="14"/>
        <v>1600</v>
      </c>
      <c r="G224" s="260" t="s">
        <v>3</v>
      </c>
      <c r="H224" s="260">
        <v>6</v>
      </c>
      <c r="I224" s="262" t="s">
        <v>583</v>
      </c>
      <c r="J224" s="112">
        <v>140</v>
      </c>
      <c r="K224" s="75">
        <v>360</v>
      </c>
      <c r="L224" s="75">
        <v>1600</v>
      </c>
      <c r="M224" s="191">
        <v>15.991332938788995</v>
      </c>
      <c r="N224" s="87">
        <v>8478.2754322500004</v>
      </c>
      <c r="O224" s="123">
        <v>70154.707404174304</v>
      </c>
      <c r="P224" s="123">
        <v>83516.267982656529</v>
      </c>
      <c r="Q224" s="120">
        <v>22120.965039755254</v>
      </c>
      <c r="R224" s="123">
        <v>92275.672443929565</v>
      </c>
      <c r="S224" s="123">
        <v>105637.23302241179</v>
      </c>
      <c r="U224" s="7" t="s">
        <v>7079</v>
      </c>
    </row>
    <row r="225" spans="1:21" ht="16.5" thickBot="1">
      <c r="A225" s="259" t="s">
        <v>10</v>
      </c>
      <c r="B225" s="263">
        <f t="shared" si="12"/>
        <v>140</v>
      </c>
      <c r="C225" s="263" t="s">
        <v>3</v>
      </c>
      <c r="D225" s="263">
        <f t="shared" si="13"/>
        <v>360</v>
      </c>
      <c r="E225" s="263" t="s">
        <v>3</v>
      </c>
      <c r="F225" s="261">
        <f t="shared" si="14"/>
        <v>1650</v>
      </c>
      <c r="G225" s="263" t="s">
        <v>3</v>
      </c>
      <c r="H225" s="260">
        <v>6</v>
      </c>
      <c r="I225" s="262" t="s">
        <v>583</v>
      </c>
      <c r="J225" s="112">
        <v>140</v>
      </c>
      <c r="K225" s="75">
        <v>360</v>
      </c>
      <c r="L225" s="75">
        <v>1650</v>
      </c>
      <c r="M225" s="191">
        <v>15.991332938788995</v>
      </c>
      <c r="N225" s="87">
        <v>8817.4064495400016</v>
      </c>
      <c r="O225" s="123">
        <v>73774.273620771128</v>
      </c>
      <c r="P225" s="123">
        <v>87531.134655859336</v>
      </c>
      <c r="Q225" s="120">
        <v>22905.143959041456</v>
      </c>
      <c r="R225" s="123">
        <v>96679.41757981258</v>
      </c>
      <c r="S225" s="123">
        <v>110436.27861490079</v>
      </c>
      <c r="U225" s="7" t="s">
        <v>7080</v>
      </c>
    </row>
    <row r="226" spans="1:21" ht="16.5" thickBot="1">
      <c r="A226" s="259" t="s">
        <v>10</v>
      </c>
      <c r="B226" s="263">
        <f t="shared" si="12"/>
        <v>140</v>
      </c>
      <c r="C226" s="263" t="s">
        <v>3</v>
      </c>
      <c r="D226" s="263">
        <f t="shared" si="13"/>
        <v>360</v>
      </c>
      <c r="E226" s="263" t="s">
        <v>3</v>
      </c>
      <c r="F226" s="261">
        <f t="shared" si="14"/>
        <v>1700</v>
      </c>
      <c r="G226" s="263" t="s">
        <v>3</v>
      </c>
      <c r="H226" s="260">
        <v>6</v>
      </c>
      <c r="I226" s="262" t="s">
        <v>583</v>
      </c>
      <c r="J226" s="112">
        <v>140</v>
      </c>
      <c r="K226" s="75">
        <v>360</v>
      </c>
      <c r="L226" s="75">
        <v>1700</v>
      </c>
      <c r="M226" s="191">
        <v>15.991332938788995</v>
      </c>
      <c r="N226" s="87">
        <v>9156.537466830001</v>
      </c>
      <c r="O226" s="123">
        <v>75229.794309484321</v>
      </c>
      <c r="P226" s="123">
        <v>89319.857501858205</v>
      </c>
      <c r="Q226" s="120">
        <v>23458.741100544379</v>
      </c>
      <c r="R226" s="123">
        <v>98688.535410028708</v>
      </c>
      <c r="S226" s="123">
        <v>112778.59860240258</v>
      </c>
      <c r="U226" s="7" t="s">
        <v>7081</v>
      </c>
    </row>
    <row r="227" spans="1:21" ht="16.5" thickBot="1">
      <c r="A227" s="259" t="s">
        <v>10</v>
      </c>
      <c r="B227" s="263">
        <f t="shared" si="12"/>
        <v>140</v>
      </c>
      <c r="C227" s="263" t="s">
        <v>3</v>
      </c>
      <c r="D227" s="263">
        <f t="shared" si="13"/>
        <v>360</v>
      </c>
      <c r="E227" s="263" t="s">
        <v>3</v>
      </c>
      <c r="F227" s="261">
        <f t="shared" si="14"/>
        <v>1750</v>
      </c>
      <c r="G227" s="263" t="s">
        <v>3</v>
      </c>
      <c r="H227" s="260">
        <v>6</v>
      </c>
      <c r="I227" s="262" t="s">
        <v>583</v>
      </c>
      <c r="J227" s="112">
        <v>140</v>
      </c>
      <c r="K227" s="75">
        <v>360</v>
      </c>
      <c r="L227" s="75">
        <v>1750</v>
      </c>
      <c r="M227" s="191">
        <v>15.991332938788995</v>
      </c>
      <c r="N227" s="87">
        <v>9495.6684841200004</v>
      </c>
      <c r="O227" s="123">
        <v>76615.716455848771</v>
      </c>
      <c r="P227" s="123">
        <v>91037.012387074254</v>
      </c>
      <c r="Q227" s="120">
        <v>24242.920019830581</v>
      </c>
      <c r="R227" s="123">
        <v>100858.63647567935</v>
      </c>
      <c r="S227" s="123">
        <v>115279.93240690483</v>
      </c>
      <c r="U227" s="7" t="s">
        <v>7082</v>
      </c>
    </row>
    <row r="228" spans="1:21" ht="16.5" thickBot="1">
      <c r="A228" s="259" t="s">
        <v>10</v>
      </c>
      <c r="B228" s="263">
        <f t="shared" si="12"/>
        <v>140</v>
      </c>
      <c r="C228" s="263" t="s">
        <v>3</v>
      </c>
      <c r="D228" s="263">
        <f t="shared" si="13"/>
        <v>360</v>
      </c>
      <c r="E228" s="263" t="s">
        <v>3</v>
      </c>
      <c r="F228" s="261">
        <f t="shared" si="14"/>
        <v>1800</v>
      </c>
      <c r="G228" s="263" t="s">
        <v>3</v>
      </c>
      <c r="H228" s="260">
        <v>6</v>
      </c>
      <c r="I228" s="262" t="s">
        <v>583</v>
      </c>
      <c r="J228" s="112">
        <v>140</v>
      </c>
      <c r="K228" s="75">
        <v>360</v>
      </c>
      <c r="L228" s="75">
        <v>1800</v>
      </c>
      <c r="M228" s="191">
        <v>15.991332938788995</v>
      </c>
      <c r="N228" s="87">
        <v>9834.7995014099997</v>
      </c>
      <c r="O228" s="123">
        <v>78071.929522507795</v>
      </c>
      <c r="P228" s="123">
        <v>92826.57072380092</v>
      </c>
      <c r="Q228" s="120">
        <v>24796.517161333504</v>
      </c>
      <c r="R228" s="123">
        <v>102868.44668384129</v>
      </c>
      <c r="S228" s="123">
        <v>117623.08788513442</v>
      </c>
      <c r="U228" s="7" t="s">
        <v>7083</v>
      </c>
    </row>
    <row r="229" spans="1:21" ht="16.5" thickBot="1">
      <c r="A229" s="259" t="s">
        <v>10</v>
      </c>
      <c r="B229" s="263">
        <f t="shared" si="12"/>
        <v>140</v>
      </c>
      <c r="C229" s="263" t="s">
        <v>3</v>
      </c>
      <c r="D229" s="263">
        <f t="shared" si="13"/>
        <v>360</v>
      </c>
      <c r="E229" s="263" t="s">
        <v>3</v>
      </c>
      <c r="F229" s="261">
        <f t="shared" si="14"/>
        <v>1850</v>
      </c>
      <c r="G229" s="263" t="s">
        <v>3</v>
      </c>
      <c r="H229" s="260">
        <v>6</v>
      </c>
      <c r="I229" s="262" t="s">
        <v>583</v>
      </c>
      <c r="J229" s="112">
        <v>140</v>
      </c>
      <c r="K229" s="75">
        <v>360</v>
      </c>
      <c r="L229" s="75">
        <v>1850</v>
      </c>
      <c r="M229" s="191">
        <v>15.991332938788995</v>
      </c>
      <c r="N229" s="87">
        <v>10173.930518700001</v>
      </c>
      <c r="O229" s="123">
        <v>79528.122182991603</v>
      </c>
      <c r="P229" s="123">
        <v>94616.161049155213</v>
      </c>
      <c r="Q229" s="120">
        <v>25580.69622101307</v>
      </c>
      <c r="R229" s="123">
        <v>105108.81840400468</v>
      </c>
      <c r="S229" s="123">
        <v>120196.85727016829</v>
      </c>
      <c r="U229" s="7" t="s">
        <v>7084</v>
      </c>
    </row>
    <row r="230" spans="1:21" ht="16.5" thickBot="1">
      <c r="A230" s="259" t="s">
        <v>10</v>
      </c>
      <c r="B230" s="263">
        <f t="shared" si="12"/>
        <v>140</v>
      </c>
      <c r="C230" s="263" t="s">
        <v>3</v>
      </c>
      <c r="D230" s="263">
        <f t="shared" si="13"/>
        <v>360</v>
      </c>
      <c r="E230" s="263" t="s">
        <v>3</v>
      </c>
      <c r="F230" s="261">
        <f t="shared" si="14"/>
        <v>1900</v>
      </c>
      <c r="G230" s="263" t="s">
        <v>3</v>
      </c>
      <c r="H230" s="260">
        <v>6</v>
      </c>
      <c r="I230" s="262" t="s">
        <v>583</v>
      </c>
      <c r="J230" s="112">
        <v>140</v>
      </c>
      <c r="K230" s="75">
        <v>360</v>
      </c>
      <c r="L230" s="75">
        <v>1900</v>
      </c>
      <c r="M230" s="191">
        <v>15.991332938788995</v>
      </c>
      <c r="N230" s="87">
        <v>10513.06153599</v>
      </c>
      <c r="O230" s="123">
        <v>81144.380882053054</v>
      </c>
      <c r="P230" s="123">
        <v>96570.525578907094</v>
      </c>
      <c r="Q230" s="120">
        <v>26134.293362515993</v>
      </c>
      <c r="R230" s="123">
        <v>107278.67424456905</v>
      </c>
      <c r="S230" s="123">
        <v>122704.81894142309</v>
      </c>
      <c r="U230" s="7" t="s">
        <v>7085</v>
      </c>
    </row>
    <row r="231" spans="1:21" ht="16.5" thickBot="1">
      <c r="A231" s="259" t="s">
        <v>10</v>
      </c>
      <c r="B231" s="263">
        <f t="shared" si="12"/>
        <v>140</v>
      </c>
      <c r="C231" s="263" t="s">
        <v>3</v>
      </c>
      <c r="D231" s="263">
        <f t="shared" si="13"/>
        <v>360</v>
      </c>
      <c r="E231" s="263" t="s">
        <v>3</v>
      </c>
      <c r="F231" s="261">
        <f t="shared" si="14"/>
        <v>1950</v>
      </c>
      <c r="G231" s="263" t="s">
        <v>3</v>
      </c>
      <c r="H231" s="260">
        <v>6</v>
      </c>
      <c r="I231" s="262" t="s">
        <v>583</v>
      </c>
      <c r="J231" s="112">
        <v>140</v>
      </c>
      <c r="K231" s="75">
        <v>360</v>
      </c>
      <c r="L231" s="75">
        <v>1950</v>
      </c>
      <c r="M231" s="191">
        <v>15.991332938788995</v>
      </c>
      <c r="N231" s="87">
        <v>10852.192553280001</v>
      </c>
      <c r="O231" s="123">
        <v>82982.88120696244</v>
      </c>
      <c r="P231" s="123">
        <v>98753.630992515798</v>
      </c>
      <c r="Q231" s="120">
        <v>26687.890504018917</v>
      </c>
      <c r="R231" s="123">
        <v>109670.77171098135</v>
      </c>
      <c r="S231" s="123">
        <v>125441.52149653471</v>
      </c>
      <c r="U231" s="7" t="s">
        <v>7086</v>
      </c>
    </row>
    <row r="232" spans="1:21" ht="16.5" thickBot="1">
      <c r="A232" s="259" t="s">
        <v>10</v>
      </c>
      <c r="B232" s="263">
        <f t="shared" si="12"/>
        <v>140</v>
      </c>
      <c r="C232" s="263" t="s">
        <v>3</v>
      </c>
      <c r="D232" s="263">
        <f t="shared" si="13"/>
        <v>360</v>
      </c>
      <c r="E232" s="263" t="s">
        <v>3</v>
      </c>
      <c r="F232" s="261">
        <f t="shared" si="14"/>
        <v>2000</v>
      </c>
      <c r="G232" s="263" t="s">
        <v>3</v>
      </c>
      <c r="H232" s="260">
        <v>6</v>
      </c>
      <c r="I232" s="262" t="s">
        <v>583</v>
      </c>
      <c r="J232" s="112">
        <v>140</v>
      </c>
      <c r="K232" s="75">
        <v>360</v>
      </c>
      <c r="L232" s="75">
        <v>2000</v>
      </c>
      <c r="M232" s="191">
        <v>15.991332938788995</v>
      </c>
      <c r="N232" s="87">
        <v>11191.323570569999</v>
      </c>
      <c r="O232" s="123">
        <v>84636.522348381419</v>
      </c>
      <c r="P232" s="123">
        <v>100940.2550245997</v>
      </c>
      <c r="Q232" s="120">
        <v>27472.069423305118</v>
      </c>
      <c r="R232" s="123">
        <v>112108.59177168654</v>
      </c>
      <c r="S232" s="123">
        <v>128412.32444790482</v>
      </c>
      <c r="U232" s="7" t="s">
        <v>7087</v>
      </c>
    </row>
    <row r="233" spans="1:21" ht="16.5" thickBot="1">
      <c r="A233" s="259" t="s">
        <v>10</v>
      </c>
      <c r="B233" s="263">
        <f t="shared" si="12"/>
        <v>140</v>
      </c>
      <c r="C233" s="263" t="s">
        <v>3</v>
      </c>
      <c r="D233" s="263">
        <f t="shared" si="13"/>
        <v>360</v>
      </c>
      <c r="E233" s="263" t="s">
        <v>3</v>
      </c>
      <c r="F233" s="261">
        <f t="shared" si="14"/>
        <v>2050</v>
      </c>
      <c r="G233" s="263" t="s">
        <v>3</v>
      </c>
      <c r="H233" s="260">
        <v>6</v>
      </c>
      <c r="I233" s="262" t="s">
        <v>583</v>
      </c>
      <c r="J233" s="112">
        <v>140</v>
      </c>
      <c r="K233" s="75">
        <v>360</v>
      </c>
      <c r="L233" s="75">
        <v>2050</v>
      </c>
      <c r="M233" s="191">
        <v>15.991332938788995</v>
      </c>
      <c r="N233" s="87">
        <v>11530.454587860002</v>
      </c>
      <c r="O233" s="123">
        <v>88122.45162602888</v>
      </c>
      <c r="P233" s="123">
        <v>104812.43831739368</v>
      </c>
      <c r="Q233" s="120">
        <v>28025.666564808042</v>
      </c>
      <c r="R233" s="123">
        <v>116148.11819083692</v>
      </c>
      <c r="S233" s="123">
        <v>132838.10488220173</v>
      </c>
      <c r="U233" s="7" t="s">
        <v>7088</v>
      </c>
    </row>
    <row r="234" spans="1:21" ht="16.5" thickBot="1">
      <c r="A234" s="259" t="s">
        <v>10</v>
      </c>
      <c r="B234" s="260">
        <f t="shared" si="12"/>
        <v>140</v>
      </c>
      <c r="C234" s="260" t="s">
        <v>3</v>
      </c>
      <c r="D234" s="260">
        <f t="shared" si="13"/>
        <v>360</v>
      </c>
      <c r="E234" s="260" t="s">
        <v>3</v>
      </c>
      <c r="F234" s="261">
        <f t="shared" si="14"/>
        <v>2100</v>
      </c>
      <c r="G234" s="260" t="s">
        <v>3</v>
      </c>
      <c r="H234" s="260">
        <v>6</v>
      </c>
      <c r="I234" s="262" t="s">
        <v>583</v>
      </c>
      <c r="J234" s="112">
        <v>140</v>
      </c>
      <c r="K234" s="75">
        <v>360</v>
      </c>
      <c r="L234" s="75">
        <v>2100</v>
      </c>
      <c r="M234" s="191">
        <v>15.991332938788995</v>
      </c>
      <c r="N234" s="87">
        <v>11869.585605150001</v>
      </c>
      <c r="O234" s="123">
        <v>89634.747067632343</v>
      </c>
      <c r="P234" s="123">
        <v>106659.99830320154</v>
      </c>
      <c r="Q234" s="120">
        <v>28809.845484094247</v>
      </c>
      <c r="R234" s="123">
        <v>118444.59255172659</v>
      </c>
      <c r="S234" s="123">
        <v>135469.8437872958</v>
      </c>
      <c r="U234" s="7" t="s">
        <v>7089</v>
      </c>
    </row>
    <row r="235" spans="1:21" ht="16.5" thickBot="1">
      <c r="A235" s="259" t="s">
        <v>10</v>
      </c>
      <c r="B235" s="263">
        <f t="shared" si="12"/>
        <v>140</v>
      </c>
      <c r="C235" s="263" t="s">
        <v>3</v>
      </c>
      <c r="D235" s="263">
        <f t="shared" si="13"/>
        <v>360</v>
      </c>
      <c r="E235" s="263" t="s">
        <v>3</v>
      </c>
      <c r="F235" s="261">
        <f t="shared" si="14"/>
        <v>2150</v>
      </c>
      <c r="G235" s="263" t="s">
        <v>3</v>
      </c>
      <c r="H235" s="260">
        <v>6</v>
      </c>
      <c r="I235" s="262" t="s">
        <v>583</v>
      </c>
      <c r="J235" s="112">
        <v>140</v>
      </c>
      <c r="K235" s="75">
        <v>360</v>
      </c>
      <c r="L235" s="75">
        <v>2150</v>
      </c>
      <c r="M235" s="191">
        <v>15.991332938788995</v>
      </c>
      <c r="N235" s="87">
        <v>12208.716622440001</v>
      </c>
      <c r="O235" s="123">
        <v>91282.150840820832</v>
      </c>
      <c r="P235" s="123">
        <v>108646.59091832599</v>
      </c>
      <c r="Q235" s="120">
        <v>29363.442625597167</v>
      </c>
      <c r="R235" s="123">
        <v>120645.59346641799</v>
      </c>
      <c r="S235" s="123">
        <v>138010.03354392317</v>
      </c>
      <c r="U235" s="7" t="s">
        <v>7090</v>
      </c>
    </row>
    <row r="236" spans="1:21" ht="16.5" thickBot="1">
      <c r="A236" s="259" t="s">
        <v>10</v>
      </c>
      <c r="B236" s="263">
        <f t="shared" si="12"/>
        <v>140</v>
      </c>
      <c r="C236" s="263" t="s">
        <v>3</v>
      </c>
      <c r="D236" s="263">
        <f t="shared" si="13"/>
        <v>360</v>
      </c>
      <c r="E236" s="263" t="s">
        <v>3</v>
      </c>
      <c r="F236" s="261">
        <f t="shared" si="14"/>
        <v>2200</v>
      </c>
      <c r="G236" s="263" t="s">
        <v>3</v>
      </c>
      <c r="H236" s="260">
        <v>6</v>
      </c>
      <c r="I236" s="262" t="s">
        <v>583</v>
      </c>
      <c r="J236" s="112">
        <v>140</v>
      </c>
      <c r="K236" s="75">
        <v>360</v>
      </c>
      <c r="L236" s="75">
        <v>2200</v>
      </c>
      <c r="M236" s="191">
        <v>15.991332938788995</v>
      </c>
      <c r="N236" s="87">
        <v>12547.847639730002</v>
      </c>
      <c r="O236" s="123">
        <v>92929.541725898656</v>
      </c>
      <c r="P236" s="123">
        <v>110633.19202022921</v>
      </c>
      <c r="Q236" s="120">
        <v>30147.621544883372</v>
      </c>
      <c r="R236" s="123">
        <v>123077.16327078202</v>
      </c>
      <c r="S236" s="123">
        <v>140780.81356511259</v>
      </c>
      <c r="U236" s="7" t="s">
        <v>7091</v>
      </c>
    </row>
    <row r="237" spans="1:21" ht="16.5" thickBot="1">
      <c r="A237" s="259" t="s">
        <v>10</v>
      </c>
      <c r="B237" s="263">
        <f t="shared" si="12"/>
        <v>140</v>
      </c>
      <c r="C237" s="263" t="s">
        <v>3</v>
      </c>
      <c r="D237" s="263">
        <f t="shared" si="13"/>
        <v>360</v>
      </c>
      <c r="E237" s="263" t="s">
        <v>3</v>
      </c>
      <c r="F237" s="261">
        <f t="shared" si="14"/>
        <v>2250</v>
      </c>
      <c r="G237" s="263" t="s">
        <v>3</v>
      </c>
      <c r="H237" s="260">
        <v>6</v>
      </c>
      <c r="I237" s="262" t="s">
        <v>583</v>
      </c>
      <c r="J237" s="112">
        <v>140</v>
      </c>
      <c r="K237" s="75">
        <v>360</v>
      </c>
      <c r="L237" s="75">
        <v>2250</v>
      </c>
      <c r="M237" s="191">
        <v>15.991332938788995</v>
      </c>
      <c r="N237" s="87">
        <v>12886.978657019999</v>
      </c>
      <c r="O237" s="123">
        <v>94796.721915764952</v>
      </c>
      <c r="P237" s="123">
        <v>112842.33904918964</v>
      </c>
      <c r="Q237" s="120">
        <v>30701.218686386295</v>
      </c>
      <c r="R237" s="123">
        <v>125497.94060215124</v>
      </c>
      <c r="S237" s="123">
        <v>143543.55773557595</v>
      </c>
      <c r="U237" s="7" t="s">
        <v>7092</v>
      </c>
    </row>
    <row r="238" spans="1:21" ht="16.5" thickBot="1">
      <c r="A238" s="259" t="s">
        <v>10</v>
      </c>
      <c r="B238" s="263">
        <f t="shared" si="12"/>
        <v>140</v>
      </c>
      <c r="C238" s="263" t="s">
        <v>3</v>
      </c>
      <c r="D238" s="263">
        <f t="shared" si="13"/>
        <v>360</v>
      </c>
      <c r="E238" s="263" t="s">
        <v>3</v>
      </c>
      <c r="F238" s="261">
        <f t="shared" si="14"/>
        <v>2300</v>
      </c>
      <c r="G238" s="263" t="s">
        <v>3</v>
      </c>
      <c r="H238" s="260">
        <v>6</v>
      </c>
      <c r="I238" s="262" t="s">
        <v>583</v>
      </c>
      <c r="J238" s="112">
        <v>140</v>
      </c>
      <c r="K238" s="75">
        <v>360</v>
      </c>
      <c r="L238" s="75">
        <v>2300</v>
      </c>
      <c r="M238" s="191">
        <v>15.991332938788995</v>
      </c>
      <c r="N238" s="87">
        <v>13226.109674310001</v>
      </c>
      <c r="O238" s="123">
        <v>96149.155857880571</v>
      </c>
      <c r="P238" s="123">
        <v>114521.83718307293</v>
      </c>
      <c r="Q238" s="120">
        <v>31254.815827889219</v>
      </c>
      <c r="R238" s="123">
        <v>127403.97168576979</v>
      </c>
      <c r="S238" s="123">
        <v>145776.65301096215</v>
      </c>
      <c r="U238" s="7" t="s">
        <v>7093</v>
      </c>
    </row>
    <row r="239" spans="1:21" ht="16.5" thickBot="1">
      <c r="A239" s="259" t="s">
        <v>10</v>
      </c>
      <c r="B239" s="263">
        <f t="shared" si="12"/>
        <v>140</v>
      </c>
      <c r="C239" s="263" t="s">
        <v>3</v>
      </c>
      <c r="D239" s="263">
        <f t="shared" si="13"/>
        <v>360</v>
      </c>
      <c r="E239" s="263" t="s">
        <v>3</v>
      </c>
      <c r="F239" s="261">
        <f t="shared" si="14"/>
        <v>2350</v>
      </c>
      <c r="G239" s="263" t="s">
        <v>3</v>
      </c>
      <c r="H239" s="260">
        <v>6</v>
      </c>
      <c r="I239" s="262" t="s">
        <v>583</v>
      </c>
      <c r="J239" s="112">
        <v>140</v>
      </c>
      <c r="K239" s="75">
        <v>360</v>
      </c>
      <c r="L239" s="75">
        <v>2350</v>
      </c>
      <c r="M239" s="191">
        <v>15.991332938788995</v>
      </c>
      <c r="N239" s="87">
        <v>13565.2406916</v>
      </c>
      <c r="O239" s="123">
        <v>97485.973467223259</v>
      </c>
      <c r="P239" s="123">
        <v>116183.17726624629</v>
      </c>
      <c r="Q239" s="120">
        <v>32038.99474717542</v>
      </c>
      <c r="R239" s="123">
        <v>129524.96821439869</v>
      </c>
      <c r="S239" s="123">
        <v>148222.17201342172</v>
      </c>
      <c r="U239" s="7" t="s">
        <v>7094</v>
      </c>
    </row>
    <row r="240" spans="1:21" ht="16.5" thickBot="1">
      <c r="A240" s="259" t="s">
        <v>10</v>
      </c>
      <c r="B240" s="263">
        <f t="shared" si="12"/>
        <v>140</v>
      </c>
      <c r="C240" s="263" t="s">
        <v>3</v>
      </c>
      <c r="D240" s="263">
        <f t="shared" si="13"/>
        <v>360</v>
      </c>
      <c r="E240" s="263" t="s">
        <v>3</v>
      </c>
      <c r="F240" s="261">
        <f t="shared" si="14"/>
        <v>2400</v>
      </c>
      <c r="G240" s="263" t="s">
        <v>3</v>
      </c>
      <c r="H240" s="260">
        <v>6</v>
      </c>
      <c r="I240" s="262" t="s">
        <v>583</v>
      </c>
      <c r="J240" s="112">
        <v>140</v>
      </c>
      <c r="K240" s="75">
        <v>360</v>
      </c>
      <c r="L240" s="75">
        <v>2400</v>
      </c>
      <c r="M240" s="191">
        <v>15.991332938788995</v>
      </c>
      <c r="N240" s="87">
        <v>13904.371708890001</v>
      </c>
      <c r="O240" s="123">
        <v>98888.74097091498</v>
      </c>
      <c r="P240" s="123">
        <v>117929.41738681018</v>
      </c>
      <c r="Q240" s="120">
        <v>32592.591888678344</v>
      </c>
      <c r="R240" s="123">
        <v>131481.33285959333</v>
      </c>
      <c r="S240" s="123">
        <v>150522.00927548853</v>
      </c>
      <c r="U240" s="7" t="s">
        <v>7095</v>
      </c>
    </row>
    <row r="241" spans="1:21" ht="16.5" thickBot="1">
      <c r="A241" s="259" t="s">
        <v>10</v>
      </c>
      <c r="B241" s="263">
        <f t="shared" si="12"/>
        <v>140</v>
      </c>
      <c r="C241" s="263" t="s">
        <v>3</v>
      </c>
      <c r="D241" s="263">
        <f t="shared" si="13"/>
        <v>360</v>
      </c>
      <c r="E241" s="263" t="s">
        <v>3</v>
      </c>
      <c r="F241" s="261">
        <f t="shared" si="14"/>
        <v>2450</v>
      </c>
      <c r="G241" s="263" t="s">
        <v>3</v>
      </c>
      <c r="H241" s="260">
        <v>6</v>
      </c>
      <c r="I241" s="262" t="s">
        <v>583</v>
      </c>
      <c r="J241" s="112">
        <v>140</v>
      </c>
      <c r="K241" s="75">
        <v>360</v>
      </c>
      <c r="L241" s="75">
        <v>2450</v>
      </c>
      <c r="M241" s="191">
        <v>15.991332938788995</v>
      </c>
      <c r="N241" s="87">
        <v>14243.502726180002</v>
      </c>
      <c r="O241" s="123">
        <v>100778.81712806858</v>
      </c>
      <c r="P241" s="123">
        <v>120351.08667371364</v>
      </c>
      <c r="Q241" s="120">
        <v>33376.770807964545</v>
      </c>
      <c r="R241" s="123">
        <v>134155.58793603312</v>
      </c>
      <c r="S241" s="123">
        <v>153727.85748167819</v>
      </c>
      <c r="U241" s="7" t="s">
        <v>7096</v>
      </c>
    </row>
    <row r="242" spans="1:21" ht="16.5" thickBot="1">
      <c r="A242" s="259" t="s">
        <v>10</v>
      </c>
      <c r="B242" s="263">
        <f t="shared" si="12"/>
        <v>140</v>
      </c>
      <c r="C242" s="263" t="s">
        <v>3</v>
      </c>
      <c r="D242" s="263">
        <f t="shared" si="13"/>
        <v>360</v>
      </c>
      <c r="E242" s="263" t="s">
        <v>3</v>
      </c>
      <c r="F242" s="261">
        <f t="shared" si="14"/>
        <v>2500</v>
      </c>
      <c r="G242" s="263" t="s">
        <v>3</v>
      </c>
      <c r="H242" s="260">
        <v>6</v>
      </c>
      <c r="I242" s="262" t="s">
        <v>583</v>
      </c>
      <c r="J242" s="112">
        <v>140</v>
      </c>
      <c r="K242" s="75">
        <v>360</v>
      </c>
      <c r="L242" s="75">
        <v>2500</v>
      </c>
      <c r="M242" s="191">
        <v>15.991332938788995</v>
      </c>
      <c r="N242" s="87">
        <v>14582.63374347</v>
      </c>
      <c r="O242" s="123">
        <v>102182.23715203055</v>
      </c>
      <c r="P242" s="123">
        <v>122078.01676127491</v>
      </c>
      <c r="Q242" s="120">
        <v>33930.367949467472</v>
      </c>
      <c r="R242" s="123">
        <v>136112.60510149802</v>
      </c>
      <c r="S242" s="123">
        <v>156008.38471074239</v>
      </c>
      <c r="U242" s="7" t="s">
        <v>7097</v>
      </c>
    </row>
    <row r="243" spans="1:21" ht="16.5" thickBot="1">
      <c r="A243" s="259" t="s">
        <v>10</v>
      </c>
      <c r="B243" s="263">
        <f t="shared" si="12"/>
        <v>140</v>
      </c>
      <c r="C243" s="263" t="s">
        <v>3</v>
      </c>
      <c r="D243" s="263">
        <f t="shared" si="13"/>
        <v>360</v>
      </c>
      <c r="E243" s="263" t="s">
        <v>3</v>
      </c>
      <c r="F243" s="261">
        <f t="shared" si="14"/>
        <v>2550</v>
      </c>
      <c r="G243" s="263" t="s">
        <v>3</v>
      </c>
      <c r="H243" s="260">
        <v>6</v>
      </c>
      <c r="I243" s="262" t="s">
        <v>583</v>
      </c>
      <c r="J243" s="112">
        <v>140</v>
      </c>
      <c r="K243" s="75">
        <v>360</v>
      </c>
      <c r="L243" s="75">
        <v>2550</v>
      </c>
      <c r="M243" s="191">
        <v>15.991332938788995</v>
      </c>
      <c r="N243" s="87">
        <v>14921.764760760001</v>
      </c>
      <c r="O243" s="123">
        <v>106536.90110532763</v>
      </c>
      <c r="P243" s="123">
        <v>126846.97211393453</v>
      </c>
      <c r="Q243" s="120">
        <v>34714.547009147034</v>
      </c>
      <c r="R243" s="123">
        <v>141251.44811447465</v>
      </c>
      <c r="S243" s="123">
        <v>161561.51912308158</v>
      </c>
      <c r="U243" s="7" t="s">
        <v>7098</v>
      </c>
    </row>
    <row r="244" spans="1:21" ht="16.5" thickBot="1">
      <c r="A244" s="259" t="s">
        <v>10</v>
      </c>
      <c r="B244" s="260">
        <f t="shared" si="12"/>
        <v>140</v>
      </c>
      <c r="C244" s="260" t="s">
        <v>3</v>
      </c>
      <c r="D244" s="260">
        <f t="shared" si="13"/>
        <v>360</v>
      </c>
      <c r="E244" s="260" t="s">
        <v>3</v>
      </c>
      <c r="F244" s="261">
        <f t="shared" si="14"/>
        <v>2600</v>
      </c>
      <c r="G244" s="260" t="s">
        <v>3</v>
      </c>
      <c r="H244" s="260">
        <v>6</v>
      </c>
      <c r="I244" s="262" t="s">
        <v>583</v>
      </c>
      <c r="J244" s="112">
        <v>140</v>
      </c>
      <c r="K244" s="75">
        <v>360</v>
      </c>
      <c r="L244" s="75">
        <v>2600</v>
      </c>
      <c r="M244" s="191">
        <v>15.991332938788995</v>
      </c>
      <c r="N244" s="87">
        <v>15260.89577805</v>
      </c>
      <c r="O244" s="123">
        <v>108128.93540702714</v>
      </c>
      <c r="P244" s="123">
        <v>128772.63827488433</v>
      </c>
      <c r="Q244" s="120">
        <v>35268.144150649961</v>
      </c>
      <c r="R244" s="123">
        <v>143397.07955767709</v>
      </c>
      <c r="S244" s="123">
        <v>164040.7824255343</v>
      </c>
      <c r="U244" s="7" t="s">
        <v>7099</v>
      </c>
    </row>
    <row r="245" spans="1:21" ht="16.5" thickBot="1">
      <c r="A245" s="259" t="s">
        <v>10</v>
      </c>
      <c r="B245" s="263">
        <f t="shared" si="12"/>
        <v>140</v>
      </c>
      <c r="C245" s="263" t="s">
        <v>3</v>
      </c>
      <c r="D245" s="263">
        <f t="shared" si="13"/>
        <v>360</v>
      </c>
      <c r="E245" s="263" t="s">
        <v>3</v>
      </c>
      <c r="F245" s="261">
        <f t="shared" si="14"/>
        <v>2650</v>
      </c>
      <c r="G245" s="263" t="s">
        <v>3</v>
      </c>
      <c r="H245" s="260">
        <v>6</v>
      </c>
      <c r="I245" s="262" t="s">
        <v>583</v>
      </c>
      <c r="J245" s="112">
        <v>140</v>
      </c>
      <c r="K245" s="75">
        <v>360</v>
      </c>
      <c r="L245" s="75">
        <v>2650</v>
      </c>
      <c r="M245" s="191">
        <v>15.991332938788995</v>
      </c>
      <c r="N245" s="87">
        <v>15600.02679534</v>
      </c>
      <c r="O245" s="123">
        <v>109328.77901142984</v>
      </c>
      <c r="P245" s="123">
        <v>130294.61069682872</v>
      </c>
      <c r="Q245" s="120">
        <v>36052.323069936159</v>
      </c>
      <c r="R245" s="123">
        <v>145381.102081366</v>
      </c>
      <c r="S245" s="123">
        <v>166346.93376676488</v>
      </c>
      <c r="U245" s="7" t="s">
        <v>7100</v>
      </c>
    </row>
    <row r="246" spans="1:21" ht="16.5" thickBot="1">
      <c r="A246" s="259" t="s">
        <v>10</v>
      </c>
      <c r="B246" s="263">
        <f t="shared" si="12"/>
        <v>140</v>
      </c>
      <c r="C246" s="263" t="s">
        <v>3</v>
      </c>
      <c r="D246" s="263">
        <f t="shared" si="13"/>
        <v>360</v>
      </c>
      <c r="E246" s="263" t="s">
        <v>3</v>
      </c>
      <c r="F246" s="261">
        <f t="shared" si="14"/>
        <v>2700</v>
      </c>
      <c r="G246" s="263" t="s">
        <v>3</v>
      </c>
      <c r="H246" s="260">
        <v>6</v>
      </c>
      <c r="I246" s="262" t="s">
        <v>583</v>
      </c>
      <c r="J246" s="112">
        <v>140</v>
      </c>
      <c r="K246" s="75">
        <v>360</v>
      </c>
      <c r="L246" s="75">
        <v>2700</v>
      </c>
      <c r="M246" s="191">
        <v>15.991332938788995</v>
      </c>
      <c r="N246" s="87">
        <v>15939.157812630003</v>
      </c>
      <c r="O246" s="123">
        <v>110637.12153357416</v>
      </c>
      <c r="P246" s="123">
        <v>131928.1880459172</v>
      </c>
      <c r="Q246" s="120">
        <v>36605.920211439086</v>
      </c>
      <c r="R246" s="123">
        <v>147243.04174501324</v>
      </c>
      <c r="S246" s="123">
        <v>168534.10825735627</v>
      </c>
      <c r="U246" s="7" t="s">
        <v>7101</v>
      </c>
    </row>
    <row r="247" spans="1:21" ht="16.5" thickBot="1">
      <c r="A247" s="259" t="s">
        <v>10</v>
      </c>
      <c r="B247" s="263">
        <f t="shared" si="12"/>
        <v>140</v>
      </c>
      <c r="C247" s="263" t="s">
        <v>3</v>
      </c>
      <c r="D247" s="263">
        <f t="shared" si="13"/>
        <v>360</v>
      </c>
      <c r="E247" s="263" t="s">
        <v>3</v>
      </c>
      <c r="F247" s="261">
        <f t="shared" si="14"/>
        <v>2750</v>
      </c>
      <c r="G247" s="263" t="s">
        <v>3</v>
      </c>
      <c r="H247" s="260">
        <v>6</v>
      </c>
      <c r="I247" s="262" t="s">
        <v>583</v>
      </c>
      <c r="J247" s="112">
        <v>140</v>
      </c>
      <c r="K247" s="75">
        <v>360</v>
      </c>
      <c r="L247" s="75">
        <v>2750</v>
      </c>
      <c r="M247" s="191">
        <v>15.991332938788995</v>
      </c>
      <c r="N247" s="87">
        <v>16278.28882992</v>
      </c>
      <c r="O247" s="123">
        <v>111911.3302525922</v>
      </c>
      <c r="P247" s="123">
        <v>133526.57072347496</v>
      </c>
      <c r="Q247" s="120">
        <v>37159.517352942006</v>
      </c>
      <c r="R247" s="123">
        <v>149070.84760553422</v>
      </c>
      <c r="S247" s="123">
        <v>170686.08807641696</v>
      </c>
      <c r="U247" s="7" t="s">
        <v>7102</v>
      </c>
    </row>
    <row r="248" spans="1:21" ht="16.5" thickBot="1">
      <c r="A248" s="259" t="s">
        <v>10</v>
      </c>
      <c r="B248" s="263">
        <f t="shared" si="12"/>
        <v>140</v>
      </c>
      <c r="C248" s="263" t="s">
        <v>3</v>
      </c>
      <c r="D248" s="263">
        <f t="shared" si="13"/>
        <v>360</v>
      </c>
      <c r="E248" s="263" t="s">
        <v>3</v>
      </c>
      <c r="F248" s="261">
        <f t="shared" si="14"/>
        <v>2800</v>
      </c>
      <c r="G248" s="263" t="s">
        <v>3</v>
      </c>
      <c r="H248" s="260">
        <v>6</v>
      </c>
      <c r="I248" s="262" t="s">
        <v>583</v>
      </c>
      <c r="J248" s="112">
        <v>140</v>
      </c>
      <c r="K248" s="75">
        <v>360</v>
      </c>
      <c r="L248" s="75">
        <v>2800</v>
      </c>
      <c r="M248" s="191">
        <v>15.991332938788995</v>
      </c>
      <c r="N248" s="87">
        <v>16617.41984721</v>
      </c>
      <c r="O248" s="123">
        <v>113110.29352743502</v>
      </c>
      <c r="P248" s="123">
        <v>135047.43620833696</v>
      </c>
      <c r="Q248" s="120">
        <v>37943.696272228204</v>
      </c>
      <c r="R248" s="123">
        <v>151053.98979966322</v>
      </c>
      <c r="S248" s="123">
        <v>172991.13248056517</v>
      </c>
      <c r="U248" s="7" t="s">
        <v>7103</v>
      </c>
    </row>
    <row r="249" spans="1:21" ht="16.5" thickBot="1">
      <c r="A249" s="259" t="s">
        <v>10</v>
      </c>
      <c r="B249" s="263">
        <f t="shared" si="12"/>
        <v>140</v>
      </c>
      <c r="C249" s="263" t="s">
        <v>3</v>
      </c>
      <c r="D249" s="263">
        <f t="shared" si="13"/>
        <v>360</v>
      </c>
      <c r="E249" s="263" t="s">
        <v>3</v>
      </c>
      <c r="F249" s="261">
        <f t="shared" si="14"/>
        <v>2850</v>
      </c>
      <c r="G249" s="263" t="s">
        <v>3</v>
      </c>
      <c r="H249" s="260">
        <v>6</v>
      </c>
      <c r="I249" s="262" t="s">
        <v>583</v>
      </c>
      <c r="J249" s="112">
        <v>140</v>
      </c>
      <c r="K249" s="75">
        <v>360</v>
      </c>
      <c r="L249" s="75">
        <v>2850</v>
      </c>
      <c r="M249" s="191">
        <v>15.991332938788995</v>
      </c>
      <c r="N249" s="87">
        <v>16956.550864500001</v>
      </c>
      <c r="O249" s="123">
        <v>114309.32780622093</v>
      </c>
      <c r="P249" s="123">
        <v>136568.30952714861</v>
      </c>
      <c r="Q249" s="120">
        <v>38497.293413731131</v>
      </c>
      <c r="R249" s="123">
        <v>152806.62121995207</v>
      </c>
      <c r="S249" s="123">
        <v>175065.60294087973</v>
      </c>
      <c r="U249" s="7" t="s">
        <v>7104</v>
      </c>
    </row>
    <row r="250" spans="1:21" ht="16.5" thickBot="1">
      <c r="A250" s="259" t="s">
        <v>10</v>
      </c>
      <c r="B250" s="263">
        <f t="shared" si="12"/>
        <v>140</v>
      </c>
      <c r="C250" s="263" t="s">
        <v>3</v>
      </c>
      <c r="D250" s="263">
        <f t="shared" si="13"/>
        <v>360</v>
      </c>
      <c r="E250" s="263" t="s">
        <v>3</v>
      </c>
      <c r="F250" s="261">
        <f t="shared" si="14"/>
        <v>2900</v>
      </c>
      <c r="G250" s="263" t="s">
        <v>3</v>
      </c>
      <c r="H250" s="260">
        <v>6</v>
      </c>
      <c r="I250" s="262" t="s">
        <v>583</v>
      </c>
      <c r="J250" s="112">
        <v>140</v>
      </c>
      <c r="K250" s="75">
        <v>360</v>
      </c>
      <c r="L250" s="75">
        <v>2900</v>
      </c>
      <c r="M250" s="191">
        <v>15.991332938788995</v>
      </c>
      <c r="N250" s="87">
        <v>17295.681881790002</v>
      </c>
      <c r="O250" s="123">
        <v>115508.42927025048</v>
      </c>
      <c r="P250" s="123">
        <v>138089.18885198829</v>
      </c>
      <c r="Q250" s="120">
        <v>39281.472333017329</v>
      </c>
      <c r="R250" s="123">
        <v>154789.90160326782</v>
      </c>
      <c r="S250" s="123">
        <v>177370.66118500562</v>
      </c>
      <c r="U250" s="7" t="s">
        <v>7105</v>
      </c>
    </row>
    <row r="251" spans="1:21" ht="16.5" thickBot="1">
      <c r="A251" s="259" t="s">
        <v>10</v>
      </c>
      <c r="B251" s="263">
        <f t="shared" si="12"/>
        <v>140</v>
      </c>
      <c r="C251" s="263" t="s">
        <v>3</v>
      </c>
      <c r="D251" s="263">
        <f t="shared" si="13"/>
        <v>360</v>
      </c>
      <c r="E251" s="263" t="s">
        <v>3</v>
      </c>
      <c r="F251" s="261">
        <f t="shared" si="14"/>
        <v>2950</v>
      </c>
      <c r="G251" s="263" t="s">
        <v>3</v>
      </c>
      <c r="H251" s="260">
        <v>6</v>
      </c>
      <c r="I251" s="262" t="s">
        <v>583</v>
      </c>
      <c r="J251" s="112">
        <v>140</v>
      </c>
      <c r="K251" s="75">
        <v>360</v>
      </c>
      <c r="L251" s="75">
        <v>2950</v>
      </c>
      <c r="M251" s="191">
        <v>15.991332938788995</v>
      </c>
      <c r="N251" s="87">
        <v>17634.812899080003</v>
      </c>
      <c r="O251" s="123">
        <v>116707.59386215544</v>
      </c>
      <c r="P251" s="123">
        <v>139610.07261606611</v>
      </c>
      <c r="Q251" s="120">
        <v>39835.069474520256</v>
      </c>
      <c r="R251" s="123">
        <v>156542.6633366757</v>
      </c>
      <c r="S251" s="123">
        <v>179445.14209058636</v>
      </c>
      <c r="U251" s="7" t="s">
        <v>7106</v>
      </c>
    </row>
    <row r="252" spans="1:21" ht="16.5" thickBot="1">
      <c r="A252" s="259" t="s">
        <v>10</v>
      </c>
      <c r="B252" s="263">
        <f t="shared" si="12"/>
        <v>140</v>
      </c>
      <c r="C252" s="263" t="s">
        <v>3</v>
      </c>
      <c r="D252" s="263">
        <f t="shared" si="13"/>
        <v>360</v>
      </c>
      <c r="E252" s="263" t="s">
        <v>3</v>
      </c>
      <c r="F252" s="261">
        <f t="shared" si="14"/>
        <v>3000</v>
      </c>
      <c r="G252" s="263" t="s">
        <v>3</v>
      </c>
      <c r="H252" s="260">
        <v>6</v>
      </c>
      <c r="I252" s="262" t="s">
        <v>583</v>
      </c>
      <c r="J252" s="146">
        <v>140</v>
      </c>
      <c r="K252" s="147">
        <v>360</v>
      </c>
      <c r="L252" s="147">
        <v>3000</v>
      </c>
      <c r="M252" s="191">
        <v>15.991332938788995</v>
      </c>
      <c r="N252" s="148">
        <v>17973.943916370001</v>
      </c>
      <c r="O252" s="149">
        <v>119473.93349961276</v>
      </c>
      <c r="P252" s="149">
        <v>142744.98959170171</v>
      </c>
      <c r="Q252" s="159">
        <v>40619.248393806454</v>
      </c>
      <c r="R252" s="149">
        <v>160093.18189341921</v>
      </c>
      <c r="S252" s="149">
        <v>183364.23798550817</v>
      </c>
      <c r="U252" s="7" t="s">
        <v>7107</v>
      </c>
    </row>
    <row r="253" spans="1:21" ht="22.5" customHeight="1" thickBot="1">
      <c r="A253" s="2580" t="s">
        <v>49</v>
      </c>
      <c r="B253" s="2581"/>
      <c r="C253" s="2581"/>
      <c r="D253" s="2581"/>
      <c r="E253" s="2581"/>
      <c r="F253" s="2581"/>
      <c r="G253" s="2581"/>
      <c r="H253" s="2581"/>
      <c r="I253" s="2581"/>
      <c r="J253" s="2581"/>
      <c r="K253" s="2581"/>
      <c r="L253" s="2581"/>
      <c r="M253" s="2581"/>
      <c r="N253" s="2581"/>
      <c r="O253" s="2581"/>
      <c r="P253" s="2581"/>
      <c r="Q253" s="2581"/>
      <c r="R253" s="2581"/>
      <c r="S253" s="2582"/>
      <c r="U253" s="7"/>
    </row>
    <row r="254" spans="1:21" ht="19.5" thickBot="1">
      <c r="A254" s="2627" t="s">
        <v>140</v>
      </c>
      <c r="B254" s="2628"/>
      <c r="C254" s="2628"/>
      <c r="D254" s="2628"/>
      <c r="E254" s="2628"/>
      <c r="F254" s="2628"/>
      <c r="G254" s="2628"/>
      <c r="H254" s="2628"/>
      <c r="I254" s="2628"/>
      <c r="J254" s="2628"/>
      <c r="K254" s="2628"/>
      <c r="L254" s="2628"/>
      <c r="M254" s="2628"/>
      <c r="N254" s="2628"/>
      <c r="O254" s="2628"/>
      <c r="P254" s="2628"/>
      <c r="Q254" s="2628"/>
      <c r="R254" s="2628"/>
      <c r="S254" s="2629"/>
      <c r="U254" s="7"/>
    </row>
    <row r="255" spans="1:21" ht="16.5" thickBot="1">
      <c r="A255" s="259" t="s">
        <v>10</v>
      </c>
      <c r="B255" s="260">
        <f t="shared" ref="B255:B301" si="15">J255</f>
        <v>140</v>
      </c>
      <c r="C255" s="260" t="s">
        <v>3</v>
      </c>
      <c r="D255" s="260">
        <f t="shared" ref="D255:D301" si="16">K255</f>
        <v>360</v>
      </c>
      <c r="E255" s="260" t="s">
        <v>3</v>
      </c>
      <c r="F255" s="261">
        <f t="shared" ref="F255:F301" si="17">L255</f>
        <v>700</v>
      </c>
      <c r="G255" s="260" t="s">
        <v>3</v>
      </c>
      <c r="H255" s="260">
        <v>8</v>
      </c>
      <c r="I255" s="262" t="s">
        <v>583</v>
      </c>
      <c r="J255" s="344">
        <v>140</v>
      </c>
      <c r="K255" s="327">
        <v>360</v>
      </c>
      <c r="L255" s="327">
        <v>700</v>
      </c>
      <c r="M255" s="338">
        <v>15.149375840372496</v>
      </c>
      <c r="N255" s="302">
        <v>2498.8601274000002</v>
      </c>
      <c r="O255" s="303">
        <v>35688.086123125409</v>
      </c>
      <c r="P255" s="303">
        <v>42896.522488243936</v>
      </c>
      <c r="Q255" s="304">
        <v>10542.143907826316</v>
      </c>
      <c r="R255" s="303">
        <v>46230.230030951723</v>
      </c>
      <c r="S255" s="303">
        <v>53438.66639607025</v>
      </c>
      <c r="U255" s="7" t="s">
        <v>7108</v>
      </c>
    </row>
    <row r="256" spans="1:21" ht="16.5" thickBot="1">
      <c r="A256" s="259" t="s">
        <v>10</v>
      </c>
      <c r="B256" s="263">
        <f t="shared" si="15"/>
        <v>140</v>
      </c>
      <c r="C256" s="263" t="s">
        <v>3</v>
      </c>
      <c r="D256" s="263">
        <f t="shared" si="16"/>
        <v>360</v>
      </c>
      <c r="E256" s="263" t="s">
        <v>3</v>
      </c>
      <c r="F256" s="261">
        <f t="shared" si="17"/>
        <v>750</v>
      </c>
      <c r="G256" s="263" t="s">
        <v>3</v>
      </c>
      <c r="H256" s="260">
        <v>8</v>
      </c>
      <c r="I256" s="262" t="s">
        <v>583</v>
      </c>
      <c r="J256" s="112">
        <v>140</v>
      </c>
      <c r="K256" s="75">
        <v>360</v>
      </c>
      <c r="L256" s="75">
        <v>750</v>
      </c>
      <c r="M256" s="191">
        <v>15.991332938788995</v>
      </c>
      <c r="N256" s="87">
        <v>2855.8401456000006</v>
      </c>
      <c r="O256" s="123">
        <v>38006.022733225509</v>
      </c>
      <c r="P256" s="123">
        <v>45591.083624012361</v>
      </c>
      <c r="Q256" s="120">
        <v>11095.741049329239</v>
      </c>
      <c r="R256" s="123">
        <v>49101.76378255475</v>
      </c>
      <c r="S256" s="123">
        <v>56686.824673341602</v>
      </c>
      <c r="U256" s="7" t="s">
        <v>7109</v>
      </c>
    </row>
    <row r="257" spans="1:21" ht="16.5" thickBot="1">
      <c r="A257" s="259" t="s">
        <v>10</v>
      </c>
      <c r="B257" s="263">
        <f t="shared" si="15"/>
        <v>140</v>
      </c>
      <c r="C257" s="263" t="s">
        <v>3</v>
      </c>
      <c r="D257" s="263">
        <f t="shared" si="16"/>
        <v>360</v>
      </c>
      <c r="E257" s="263" t="s">
        <v>3</v>
      </c>
      <c r="F257" s="261">
        <f t="shared" si="17"/>
        <v>800</v>
      </c>
      <c r="G257" s="263" t="s">
        <v>3</v>
      </c>
      <c r="H257" s="260">
        <v>8</v>
      </c>
      <c r="I257" s="262" t="s">
        <v>583</v>
      </c>
      <c r="J257" s="112">
        <v>140</v>
      </c>
      <c r="K257" s="75">
        <v>360</v>
      </c>
      <c r="L257" s="75">
        <v>800</v>
      </c>
      <c r="M257" s="191">
        <v>16.833290037205497</v>
      </c>
      <c r="N257" s="87">
        <v>3212.8201638000005</v>
      </c>
      <c r="O257" s="123">
        <v>40310.646163664467</v>
      </c>
      <c r="P257" s="123">
        <v>48272.006636874292</v>
      </c>
      <c r="Q257" s="120">
        <v>11649.338190832164</v>
      </c>
      <c r="R257" s="123">
        <v>51959.984354496628</v>
      </c>
      <c r="S257" s="123">
        <v>59921.34482770646</v>
      </c>
      <c r="U257" s="7" t="s">
        <v>7110</v>
      </c>
    </row>
    <row r="258" spans="1:21" ht="16.5" thickBot="1">
      <c r="A258" s="259" t="s">
        <v>10</v>
      </c>
      <c r="B258" s="263">
        <f t="shared" si="15"/>
        <v>140</v>
      </c>
      <c r="C258" s="263" t="s">
        <v>3</v>
      </c>
      <c r="D258" s="263">
        <f t="shared" si="16"/>
        <v>360</v>
      </c>
      <c r="E258" s="263" t="s">
        <v>3</v>
      </c>
      <c r="F258" s="261">
        <f t="shared" si="17"/>
        <v>850</v>
      </c>
      <c r="G258" s="263" t="s">
        <v>3</v>
      </c>
      <c r="H258" s="260">
        <v>8</v>
      </c>
      <c r="I258" s="262" t="s">
        <v>583</v>
      </c>
      <c r="J258" s="112">
        <v>140</v>
      </c>
      <c r="K258" s="75">
        <v>360</v>
      </c>
      <c r="L258" s="75">
        <v>850</v>
      </c>
      <c r="M258" s="191">
        <v>17.691435135621994</v>
      </c>
      <c r="N258" s="87">
        <v>3569.8001820000004</v>
      </c>
      <c r="O258" s="123">
        <v>42615.269594103425</v>
      </c>
      <c r="P258" s="123">
        <v>50952.929649736201</v>
      </c>
      <c r="Q258" s="120">
        <v>12433.517110118366</v>
      </c>
      <c r="R258" s="123">
        <v>55048.786704221791</v>
      </c>
      <c r="S258" s="123">
        <v>63386.446759854567</v>
      </c>
      <c r="U258" s="7" t="s">
        <v>7111</v>
      </c>
    </row>
    <row r="259" spans="1:21" ht="16.5" thickBot="1">
      <c r="A259" s="259" t="s">
        <v>10</v>
      </c>
      <c r="B259" s="263">
        <f t="shared" si="15"/>
        <v>140</v>
      </c>
      <c r="C259" s="263" t="s">
        <v>3</v>
      </c>
      <c r="D259" s="263">
        <f t="shared" si="16"/>
        <v>360</v>
      </c>
      <c r="E259" s="263" t="s">
        <v>3</v>
      </c>
      <c r="F259" s="261">
        <f t="shared" si="17"/>
        <v>900</v>
      </c>
      <c r="G259" s="263" t="s">
        <v>3</v>
      </c>
      <c r="H259" s="260">
        <v>8</v>
      </c>
      <c r="I259" s="262" t="s">
        <v>583</v>
      </c>
      <c r="J259" s="112">
        <v>140</v>
      </c>
      <c r="K259" s="75">
        <v>360</v>
      </c>
      <c r="L259" s="75">
        <v>900</v>
      </c>
      <c r="M259" s="191">
        <v>18.684442234038499</v>
      </c>
      <c r="N259" s="87">
        <v>3926.7802002000008</v>
      </c>
      <c r="O259" s="123">
        <v>44919.893143876739</v>
      </c>
      <c r="P259" s="123">
        <v>53633.852662598118</v>
      </c>
      <c r="Q259" s="120">
        <v>12987.114251621291</v>
      </c>
      <c r="R259" s="123">
        <v>57907.007395498033</v>
      </c>
      <c r="S259" s="123">
        <v>66620.966914219403</v>
      </c>
      <c r="U259" s="7" t="s">
        <v>7112</v>
      </c>
    </row>
    <row r="260" spans="1:21" ht="16.5" thickBot="1">
      <c r="A260" s="259" t="s">
        <v>10</v>
      </c>
      <c r="B260" s="263">
        <f t="shared" si="15"/>
        <v>140</v>
      </c>
      <c r="C260" s="263" t="s">
        <v>3</v>
      </c>
      <c r="D260" s="263">
        <f t="shared" si="16"/>
        <v>360</v>
      </c>
      <c r="E260" s="263" t="s">
        <v>3</v>
      </c>
      <c r="F260" s="261">
        <f t="shared" si="17"/>
        <v>950</v>
      </c>
      <c r="G260" s="263" t="s">
        <v>3</v>
      </c>
      <c r="H260" s="260">
        <v>8</v>
      </c>
      <c r="I260" s="262" t="s">
        <v>583</v>
      </c>
      <c r="J260" s="112">
        <v>140</v>
      </c>
      <c r="K260" s="75">
        <v>360</v>
      </c>
      <c r="L260" s="75">
        <v>950</v>
      </c>
      <c r="M260" s="191">
        <v>19.542587332455</v>
      </c>
      <c r="N260" s="87">
        <v>4283.7602184000007</v>
      </c>
      <c r="O260" s="123">
        <v>47224.516574315705</v>
      </c>
      <c r="P260" s="123">
        <v>56314.775806025871</v>
      </c>
      <c r="Q260" s="120">
        <v>13771.293170907491</v>
      </c>
      <c r="R260" s="123">
        <v>60995.809745223196</v>
      </c>
      <c r="S260" s="123">
        <v>70086.068976933369</v>
      </c>
      <c r="U260" s="7" t="s">
        <v>7113</v>
      </c>
    </row>
    <row r="261" spans="1:21" ht="16.5" thickBot="1">
      <c r="A261" s="259" t="s">
        <v>10</v>
      </c>
      <c r="B261" s="263">
        <f t="shared" si="15"/>
        <v>140</v>
      </c>
      <c r="C261" s="263" t="s">
        <v>3</v>
      </c>
      <c r="D261" s="263">
        <f t="shared" si="16"/>
        <v>360</v>
      </c>
      <c r="E261" s="263" t="s">
        <v>3</v>
      </c>
      <c r="F261" s="261">
        <f t="shared" si="17"/>
        <v>1000</v>
      </c>
      <c r="G261" s="263" t="s">
        <v>3</v>
      </c>
      <c r="H261" s="260">
        <v>8</v>
      </c>
      <c r="I261" s="262" t="s">
        <v>583</v>
      </c>
      <c r="J261" s="112">
        <v>140</v>
      </c>
      <c r="K261" s="75">
        <v>360</v>
      </c>
      <c r="L261" s="75">
        <v>1000</v>
      </c>
      <c r="M261" s="191">
        <v>20.3845444308715</v>
      </c>
      <c r="N261" s="87">
        <v>4640.7402366000006</v>
      </c>
      <c r="O261" s="123">
        <v>49434.007967135352</v>
      </c>
      <c r="P261" s="123">
        <v>58898.24396325837</v>
      </c>
      <c r="Q261" s="120">
        <v>14324.890312410414</v>
      </c>
      <c r="R261" s="123">
        <v>63758.89827954577</v>
      </c>
      <c r="S261" s="123">
        <v>73223.134275668781</v>
      </c>
      <c r="U261" s="7" t="s">
        <v>7114</v>
      </c>
    </row>
    <row r="262" spans="1:21" ht="16.5" thickBot="1">
      <c r="A262" s="259" t="s">
        <v>10</v>
      </c>
      <c r="B262" s="263">
        <f t="shared" si="15"/>
        <v>140</v>
      </c>
      <c r="C262" s="263" t="s">
        <v>3</v>
      </c>
      <c r="D262" s="263">
        <f t="shared" si="16"/>
        <v>360</v>
      </c>
      <c r="E262" s="263" t="s">
        <v>3</v>
      </c>
      <c r="F262" s="261">
        <f t="shared" si="17"/>
        <v>1050</v>
      </c>
      <c r="G262" s="263" t="s">
        <v>3</v>
      </c>
      <c r="H262" s="260">
        <v>8</v>
      </c>
      <c r="I262" s="262" t="s">
        <v>583</v>
      </c>
      <c r="J262" s="112">
        <v>140</v>
      </c>
      <c r="K262" s="75">
        <v>360</v>
      </c>
      <c r="L262" s="75">
        <v>1050</v>
      </c>
      <c r="M262" s="191">
        <v>21.242689529288</v>
      </c>
      <c r="N262" s="87">
        <v>4997.7202548000005</v>
      </c>
      <c r="O262" s="123">
        <v>51964.570121171324</v>
      </c>
      <c r="P262" s="123">
        <v>61810.62219295722</v>
      </c>
      <c r="Q262" s="120">
        <v>15109.069231696616</v>
      </c>
      <c r="R262" s="123">
        <v>67073.639352867933</v>
      </c>
      <c r="S262" s="123">
        <v>76919.691424653836</v>
      </c>
      <c r="U262" s="7" t="s">
        <v>7115</v>
      </c>
    </row>
    <row r="263" spans="1:21" ht="16.5" thickBot="1">
      <c r="A263" s="259" t="s">
        <v>10</v>
      </c>
      <c r="B263" s="260">
        <f t="shared" si="15"/>
        <v>140</v>
      </c>
      <c r="C263" s="260" t="s">
        <v>3</v>
      </c>
      <c r="D263" s="260">
        <f t="shared" si="16"/>
        <v>360</v>
      </c>
      <c r="E263" s="260" t="s">
        <v>3</v>
      </c>
      <c r="F263" s="261">
        <f t="shared" si="17"/>
        <v>1100</v>
      </c>
      <c r="G263" s="260" t="s">
        <v>3</v>
      </c>
      <c r="H263" s="260">
        <v>8</v>
      </c>
      <c r="I263" s="262" t="s">
        <v>583</v>
      </c>
      <c r="J263" s="112">
        <v>140</v>
      </c>
      <c r="K263" s="75">
        <v>360</v>
      </c>
      <c r="L263" s="75">
        <v>1100</v>
      </c>
      <c r="M263" s="191">
        <v>22.084646627704501</v>
      </c>
      <c r="N263" s="87">
        <v>5354.7002730000004</v>
      </c>
      <c r="O263" s="123">
        <v>54269.193551610282</v>
      </c>
      <c r="P263" s="123">
        <v>64491.545205819137</v>
      </c>
      <c r="Q263" s="120">
        <v>15662.66637319954</v>
      </c>
      <c r="R263" s="123">
        <v>69931.859924809818</v>
      </c>
      <c r="S263" s="123">
        <v>80154.21157901868</v>
      </c>
      <c r="U263" s="7" t="s">
        <v>7116</v>
      </c>
    </row>
    <row r="264" spans="1:21" ht="16.5" thickBot="1">
      <c r="A264" s="259" t="s">
        <v>10</v>
      </c>
      <c r="B264" s="263">
        <f t="shared" si="15"/>
        <v>140</v>
      </c>
      <c r="C264" s="263" t="s">
        <v>3</v>
      </c>
      <c r="D264" s="263">
        <f t="shared" si="16"/>
        <v>360</v>
      </c>
      <c r="E264" s="263" t="s">
        <v>3</v>
      </c>
      <c r="F264" s="261">
        <f t="shared" si="17"/>
        <v>1150</v>
      </c>
      <c r="G264" s="263" t="s">
        <v>3</v>
      </c>
      <c r="H264" s="260">
        <v>8</v>
      </c>
      <c r="I264" s="262" t="s">
        <v>583</v>
      </c>
      <c r="J264" s="112">
        <v>140</v>
      </c>
      <c r="K264" s="75">
        <v>360</v>
      </c>
      <c r="L264" s="75">
        <v>1150</v>
      </c>
      <c r="M264" s="191">
        <v>22.926603726120998</v>
      </c>
      <c r="N264" s="87">
        <v>5711.6802912000012</v>
      </c>
      <c r="O264" s="123">
        <v>55818.474529496139</v>
      </c>
      <c r="P264" s="123">
        <v>66398.683292504938</v>
      </c>
      <c r="Q264" s="120">
        <v>16216.263514702467</v>
      </c>
      <c r="R264" s="123">
        <v>72034.738044198602</v>
      </c>
      <c r="S264" s="123">
        <v>82614.946807207409</v>
      </c>
      <c r="U264" s="7" t="s">
        <v>7117</v>
      </c>
    </row>
    <row r="265" spans="1:21" ht="16.5" thickBot="1">
      <c r="A265" s="259" t="s">
        <v>10</v>
      </c>
      <c r="B265" s="263">
        <f t="shared" si="15"/>
        <v>140</v>
      </c>
      <c r="C265" s="263" t="s">
        <v>3</v>
      </c>
      <c r="D265" s="263">
        <f t="shared" si="16"/>
        <v>360</v>
      </c>
      <c r="E265" s="263" t="s">
        <v>3</v>
      </c>
      <c r="F265" s="261">
        <f t="shared" si="17"/>
        <v>1200</v>
      </c>
      <c r="G265" s="263" t="s">
        <v>3</v>
      </c>
      <c r="H265" s="260">
        <v>8</v>
      </c>
      <c r="I265" s="262" t="s">
        <v>583</v>
      </c>
      <c r="J265" s="112">
        <v>140</v>
      </c>
      <c r="K265" s="75">
        <v>360</v>
      </c>
      <c r="L265" s="75">
        <v>1200</v>
      </c>
      <c r="M265" s="191">
        <v>23.933898824537497</v>
      </c>
      <c r="N265" s="87">
        <v>6068.6603094000002</v>
      </c>
      <c r="O265" s="123">
        <v>57486.764202043683</v>
      </c>
      <c r="P265" s="123">
        <v>68427.735653478783</v>
      </c>
      <c r="Q265" s="120">
        <v>17000.442574382028</v>
      </c>
      <c r="R265" s="123">
        <v>74487.206776425708</v>
      </c>
      <c r="S265" s="123">
        <v>85428.178227860815</v>
      </c>
      <c r="U265" s="7" t="s">
        <v>7118</v>
      </c>
    </row>
    <row r="266" spans="1:21" ht="16.5" thickBot="1">
      <c r="A266" s="259" t="s">
        <v>10</v>
      </c>
      <c r="B266" s="263">
        <f t="shared" si="15"/>
        <v>140</v>
      </c>
      <c r="C266" s="263" t="s">
        <v>3</v>
      </c>
      <c r="D266" s="263">
        <f t="shared" si="16"/>
        <v>360</v>
      </c>
      <c r="E266" s="263" t="s">
        <v>3</v>
      </c>
      <c r="F266" s="261">
        <f t="shared" si="17"/>
        <v>1250</v>
      </c>
      <c r="G266" s="263" t="s">
        <v>3</v>
      </c>
      <c r="H266" s="260">
        <v>8</v>
      </c>
      <c r="I266" s="262" t="s">
        <v>583</v>
      </c>
      <c r="J266" s="112">
        <v>140</v>
      </c>
      <c r="K266" s="75">
        <v>360</v>
      </c>
      <c r="L266" s="75">
        <v>1250</v>
      </c>
      <c r="M266" s="191">
        <v>25.594755922953997</v>
      </c>
      <c r="N266" s="87">
        <v>6425.640327600001</v>
      </c>
      <c r="O266" s="123">
        <v>59035.564143131931</v>
      </c>
      <c r="P266" s="123">
        <v>70334.380984733012</v>
      </c>
      <c r="Q266" s="120">
        <v>17554.039715884952</v>
      </c>
      <c r="R266" s="123">
        <v>76589.603859016876</v>
      </c>
      <c r="S266" s="123">
        <v>87888.420700617964</v>
      </c>
      <c r="U266" s="7" t="s">
        <v>7119</v>
      </c>
    </row>
    <row r="267" spans="1:21" ht="16.5" thickBot="1">
      <c r="A267" s="259" t="s">
        <v>10</v>
      </c>
      <c r="B267" s="263">
        <f t="shared" si="15"/>
        <v>140</v>
      </c>
      <c r="C267" s="263" t="s">
        <v>3</v>
      </c>
      <c r="D267" s="263">
        <f t="shared" si="16"/>
        <v>360</v>
      </c>
      <c r="E267" s="263" t="s">
        <v>3</v>
      </c>
      <c r="F267" s="261">
        <f t="shared" si="17"/>
        <v>1300</v>
      </c>
      <c r="G267" s="263" t="s">
        <v>3</v>
      </c>
      <c r="H267" s="260">
        <v>8</v>
      </c>
      <c r="I267" s="262" t="s">
        <v>583</v>
      </c>
      <c r="J267" s="112">
        <v>140</v>
      </c>
      <c r="K267" s="75">
        <v>360</v>
      </c>
      <c r="L267" s="75">
        <v>1300</v>
      </c>
      <c r="M267" s="191">
        <v>26.452901021370497</v>
      </c>
      <c r="N267" s="87">
        <v>6782.6203458</v>
      </c>
      <c r="O267" s="123">
        <v>63036.747674892591</v>
      </c>
      <c r="P267" s="123">
        <v>74753.287396383108</v>
      </c>
      <c r="Q267" s="120">
        <v>18338.218635171153</v>
      </c>
      <c r="R267" s="123">
        <v>81374.966310063741</v>
      </c>
      <c r="S267" s="123">
        <v>93091.506031554265</v>
      </c>
      <c r="U267" s="7" t="s">
        <v>7120</v>
      </c>
    </row>
    <row r="268" spans="1:21" ht="16.5" thickBot="1">
      <c r="A268" s="259" t="s">
        <v>10</v>
      </c>
      <c r="B268" s="263">
        <f t="shared" si="15"/>
        <v>140</v>
      </c>
      <c r="C268" s="263" t="s">
        <v>3</v>
      </c>
      <c r="D268" s="263">
        <f t="shared" si="16"/>
        <v>360</v>
      </c>
      <c r="E268" s="263" t="s">
        <v>3</v>
      </c>
      <c r="F268" s="261">
        <f t="shared" si="17"/>
        <v>1350</v>
      </c>
      <c r="G268" s="263" t="s">
        <v>3</v>
      </c>
      <c r="H268" s="260">
        <v>8</v>
      </c>
      <c r="I268" s="262" t="s">
        <v>583</v>
      </c>
      <c r="J268" s="112">
        <v>140</v>
      </c>
      <c r="K268" s="75">
        <v>360</v>
      </c>
      <c r="L268" s="75">
        <v>1350</v>
      </c>
      <c r="M268" s="191">
        <v>27.294858119786998</v>
      </c>
      <c r="N268" s="87">
        <v>7139.6003640000008</v>
      </c>
      <c r="O268" s="123">
        <v>64835.244020265178</v>
      </c>
      <c r="P268" s="123">
        <v>76915.725675782014</v>
      </c>
      <c r="Q268" s="120">
        <v>18891.815776674081</v>
      </c>
      <c r="R268" s="123">
        <v>83727.059796939255</v>
      </c>
      <c r="S268" s="123">
        <v>95807.541452456091</v>
      </c>
      <c r="U268" s="7" t="s">
        <v>7121</v>
      </c>
    </row>
    <row r="269" spans="1:21" ht="16.5" thickBot="1">
      <c r="A269" s="259" t="s">
        <v>10</v>
      </c>
      <c r="B269" s="263">
        <f t="shared" si="15"/>
        <v>140</v>
      </c>
      <c r="C269" s="263" t="s">
        <v>3</v>
      </c>
      <c r="D269" s="263">
        <f t="shared" si="16"/>
        <v>360</v>
      </c>
      <c r="E269" s="263" t="s">
        <v>3</v>
      </c>
      <c r="F269" s="261">
        <f t="shared" si="17"/>
        <v>1400</v>
      </c>
      <c r="G269" s="263" t="s">
        <v>3</v>
      </c>
      <c r="H269" s="260">
        <v>8</v>
      </c>
      <c r="I269" s="262" t="s">
        <v>583</v>
      </c>
      <c r="J269" s="112">
        <v>140</v>
      </c>
      <c r="K269" s="75">
        <v>360</v>
      </c>
      <c r="L269" s="75">
        <v>1400</v>
      </c>
      <c r="M269" s="191">
        <v>28.153003218203501</v>
      </c>
      <c r="N269" s="87">
        <v>7496.5803822000007</v>
      </c>
      <c r="O269" s="123">
        <v>66960.756841913317</v>
      </c>
      <c r="P269" s="123">
        <v>79413.164923482662</v>
      </c>
      <c r="Q269" s="120">
        <v>19675.994695960278</v>
      </c>
      <c r="R269" s="123">
        <v>86636.751537873599</v>
      </c>
      <c r="S269" s="123">
        <v>99089.159619442944</v>
      </c>
      <c r="U269" s="7" t="s">
        <v>7122</v>
      </c>
    </row>
    <row r="270" spans="1:21" ht="16.5" thickBot="1">
      <c r="A270" s="259" t="s">
        <v>10</v>
      </c>
      <c r="B270" s="263">
        <f t="shared" si="15"/>
        <v>140</v>
      </c>
      <c r="C270" s="263" t="s">
        <v>3</v>
      </c>
      <c r="D270" s="263">
        <f t="shared" si="16"/>
        <v>360</v>
      </c>
      <c r="E270" s="263" t="s">
        <v>3</v>
      </c>
      <c r="F270" s="261">
        <f t="shared" si="17"/>
        <v>1450</v>
      </c>
      <c r="G270" s="263" t="s">
        <v>3</v>
      </c>
      <c r="H270" s="260">
        <v>8</v>
      </c>
      <c r="I270" s="262" t="s">
        <v>583</v>
      </c>
      <c r="J270" s="112">
        <v>140</v>
      </c>
      <c r="K270" s="75">
        <v>360</v>
      </c>
      <c r="L270" s="75">
        <v>1450</v>
      </c>
      <c r="M270" s="191">
        <v>28.994960316620002</v>
      </c>
      <c r="N270" s="87">
        <v>7853.5604004000015</v>
      </c>
      <c r="O270" s="123">
        <v>68759.253187285896</v>
      </c>
      <c r="P270" s="123">
        <v>81575.603202881568</v>
      </c>
      <c r="Q270" s="120">
        <v>20229.591837463206</v>
      </c>
      <c r="R270" s="123">
        <v>88988.845024749098</v>
      </c>
      <c r="S270" s="123">
        <v>101805.19504034477</v>
      </c>
      <c r="U270" s="7" t="s">
        <v>7123</v>
      </c>
    </row>
    <row r="271" spans="1:21" ht="16.5" thickBot="1">
      <c r="A271" s="259" t="s">
        <v>10</v>
      </c>
      <c r="B271" s="263">
        <f t="shared" si="15"/>
        <v>140</v>
      </c>
      <c r="C271" s="263" t="s">
        <v>3</v>
      </c>
      <c r="D271" s="263">
        <f t="shared" si="16"/>
        <v>360</v>
      </c>
      <c r="E271" s="263" t="s">
        <v>3</v>
      </c>
      <c r="F271" s="261">
        <f t="shared" si="17"/>
        <v>1500</v>
      </c>
      <c r="G271" s="263" t="s">
        <v>3</v>
      </c>
      <c r="H271" s="260">
        <v>8</v>
      </c>
      <c r="I271" s="262" t="s">
        <v>583</v>
      </c>
      <c r="J271" s="112">
        <v>140</v>
      </c>
      <c r="K271" s="75">
        <v>360</v>
      </c>
      <c r="L271" s="75">
        <v>1500</v>
      </c>
      <c r="M271" s="191">
        <v>29.820445644298502</v>
      </c>
      <c r="N271" s="87">
        <v>8210.5404185999996</v>
      </c>
      <c r="O271" s="123">
        <v>71147.241929629963</v>
      </c>
      <c r="P271" s="123">
        <v>84548.159875131474</v>
      </c>
      <c r="Q271" s="120">
        <v>21013.770756749404</v>
      </c>
      <c r="R271" s="123">
        <v>92161.01268637937</v>
      </c>
      <c r="S271" s="123">
        <v>105561.93063188088</v>
      </c>
      <c r="U271" s="7" t="s">
        <v>7124</v>
      </c>
    </row>
    <row r="272" spans="1:21" ht="16.5" thickBot="1">
      <c r="A272" s="259" t="s">
        <v>10</v>
      </c>
      <c r="B272" s="263">
        <f t="shared" si="15"/>
        <v>140</v>
      </c>
      <c r="C272" s="263" t="s">
        <v>3</v>
      </c>
      <c r="D272" s="263">
        <f t="shared" si="16"/>
        <v>360</v>
      </c>
      <c r="E272" s="263" t="s">
        <v>3</v>
      </c>
      <c r="F272" s="261">
        <f t="shared" si="17"/>
        <v>1550</v>
      </c>
      <c r="G272" s="263" t="s">
        <v>3</v>
      </c>
      <c r="H272" s="260">
        <v>8</v>
      </c>
      <c r="I272" s="262" t="s">
        <v>583</v>
      </c>
      <c r="J272" s="112">
        <v>140</v>
      </c>
      <c r="K272" s="75">
        <v>360</v>
      </c>
      <c r="L272" s="75">
        <v>1550</v>
      </c>
      <c r="M272" s="191">
        <v>30.662402742714999</v>
      </c>
      <c r="N272" s="87">
        <v>8567.5204368000013</v>
      </c>
      <c r="O272" s="123">
        <v>72945.738275002557</v>
      </c>
      <c r="P272" s="123">
        <v>86710.59815453038</v>
      </c>
      <c r="Q272" s="120">
        <v>21567.367898252327</v>
      </c>
      <c r="R272" s="123">
        <v>94513.106173254884</v>
      </c>
      <c r="S272" s="123">
        <v>108277.96605278271</v>
      </c>
      <c r="U272" s="7" t="s">
        <v>7125</v>
      </c>
    </row>
    <row r="273" spans="1:21" ht="16.5" thickBot="1">
      <c r="A273" s="259" t="s">
        <v>10</v>
      </c>
      <c r="B273" s="260">
        <f t="shared" si="15"/>
        <v>140</v>
      </c>
      <c r="C273" s="260" t="s">
        <v>3</v>
      </c>
      <c r="D273" s="260">
        <f t="shared" si="16"/>
        <v>360</v>
      </c>
      <c r="E273" s="260" t="s">
        <v>3</v>
      </c>
      <c r="F273" s="261">
        <f t="shared" si="17"/>
        <v>1600</v>
      </c>
      <c r="G273" s="260" t="s">
        <v>3</v>
      </c>
      <c r="H273" s="260">
        <v>8</v>
      </c>
      <c r="I273" s="262" t="s">
        <v>583</v>
      </c>
      <c r="J273" s="112">
        <v>140</v>
      </c>
      <c r="K273" s="75">
        <v>360</v>
      </c>
      <c r="L273" s="75">
        <v>1600</v>
      </c>
      <c r="M273" s="191">
        <v>31.504359841131492</v>
      </c>
      <c r="N273" s="87">
        <v>8924.5004550000012</v>
      </c>
      <c r="O273" s="123">
        <v>76690.275966133486</v>
      </c>
      <c r="P273" s="123">
        <v>90866.592516311808</v>
      </c>
      <c r="Q273" s="120">
        <v>22120.965039755254</v>
      </c>
      <c r="R273" s="123">
        <v>98811.241005888733</v>
      </c>
      <c r="S273" s="123">
        <v>112987.55755606707</v>
      </c>
      <c r="U273" s="7" t="s">
        <v>7126</v>
      </c>
    </row>
    <row r="274" spans="1:21" ht="16.5" thickBot="1">
      <c r="A274" s="259" t="s">
        <v>10</v>
      </c>
      <c r="B274" s="263">
        <f t="shared" si="15"/>
        <v>140</v>
      </c>
      <c r="C274" s="263" t="s">
        <v>3</v>
      </c>
      <c r="D274" s="263">
        <f t="shared" si="16"/>
        <v>360</v>
      </c>
      <c r="E274" s="263" t="s">
        <v>3</v>
      </c>
      <c r="F274" s="261">
        <f t="shared" si="17"/>
        <v>1650</v>
      </c>
      <c r="G274" s="263" t="s">
        <v>3</v>
      </c>
      <c r="H274" s="260">
        <v>8</v>
      </c>
      <c r="I274" s="262" t="s">
        <v>583</v>
      </c>
      <c r="J274" s="112">
        <v>140</v>
      </c>
      <c r="K274" s="75">
        <v>360</v>
      </c>
      <c r="L274" s="75">
        <v>1650</v>
      </c>
      <c r="M274" s="191">
        <v>32.362504939548003</v>
      </c>
      <c r="N274" s="87">
        <v>9281.4804732000011</v>
      </c>
      <c r="O274" s="123">
        <v>80687.07384089868</v>
      </c>
      <c r="P274" s="123">
        <v>95281.006157850541</v>
      </c>
      <c r="Q274" s="120">
        <v>22905.143959041456</v>
      </c>
      <c r="R274" s="123">
        <v>103592.21779994013</v>
      </c>
      <c r="S274" s="123">
        <v>118186.15011689199</v>
      </c>
      <c r="U274" s="7" t="s">
        <v>7127</v>
      </c>
    </row>
    <row r="275" spans="1:21" ht="16.5" thickBot="1">
      <c r="A275" s="259" t="s">
        <v>10</v>
      </c>
      <c r="B275" s="263">
        <f t="shared" si="15"/>
        <v>140</v>
      </c>
      <c r="C275" s="263" t="s">
        <v>3</v>
      </c>
      <c r="D275" s="263">
        <f t="shared" si="16"/>
        <v>360</v>
      </c>
      <c r="E275" s="263" t="s">
        <v>3</v>
      </c>
      <c r="F275" s="261">
        <f t="shared" si="17"/>
        <v>1700</v>
      </c>
      <c r="G275" s="263" t="s">
        <v>3</v>
      </c>
      <c r="H275" s="260">
        <v>8</v>
      </c>
      <c r="I275" s="262" t="s">
        <v>583</v>
      </c>
      <c r="J275" s="112">
        <v>140</v>
      </c>
      <c r="K275" s="75">
        <v>360</v>
      </c>
      <c r="L275" s="75">
        <v>1700</v>
      </c>
      <c r="M275" s="191">
        <v>34.023362037964496</v>
      </c>
      <c r="N275" s="87">
        <v>9638.460491400001</v>
      </c>
      <c r="O275" s="123">
        <v>82280.422849221664</v>
      </c>
      <c r="P275" s="123">
        <v>97233.288162659752</v>
      </c>
      <c r="Q275" s="120">
        <v>23458.741100544379</v>
      </c>
      <c r="R275" s="123">
        <v>105739.16394976605</v>
      </c>
      <c r="S275" s="123">
        <v>120692.02926320414</v>
      </c>
      <c r="U275" s="7" t="s">
        <v>7128</v>
      </c>
    </row>
    <row r="276" spans="1:21" ht="16.5" thickBot="1">
      <c r="A276" s="259" t="s">
        <v>10</v>
      </c>
      <c r="B276" s="263">
        <f t="shared" si="15"/>
        <v>140</v>
      </c>
      <c r="C276" s="263" t="s">
        <v>3</v>
      </c>
      <c r="D276" s="263">
        <f t="shared" si="16"/>
        <v>360</v>
      </c>
      <c r="E276" s="263" t="s">
        <v>3</v>
      </c>
      <c r="F276" s="261">
        <f t="shared" si="17"/>
        <v>1750</v>
      </c>
      <c r="G276" s="263" t="s">
        <v>3</v>
      </c>
      <c r="H276" s="260">
        <v>8</v>
      </c>
      <c r="I276" s="262" t="s">
        <v>583</v>
      </c>
      <c r="J276" s="112">
        <v>140</v>
      </c>
      <c r="K276" s="75">
        <v>360</v>
      </c>
      <c r="L276" s="75">
        <v>1750</v>
      </c>
      <c r="M276" s="191">
        <v>34.881507136380996</v>
      </c>
      <c r="N276" s="87">
        <v>9995.440509600001</v>
      </c>
      <c r="O276" s="123">
        <v>83797.617920901015</v>
      </c>
      <c r="P276" s="123">
        <v>99107.556955195963</v>
      </c>
      <c r="Q276" s="120">
        <v>24242.920019830581</v>
      </c>
      <c r="R276" s="123">
        <v>108040.53794073159</v>
      </c>
      <c r="S276" s="123">
        <v>123350.47697502654</v>
      </c>
      <c r="U276" s="7" t="s">
        <v>7129</v>
      </c>
    </row>
    <row r="277" spans="1:21" ht="16.5" thickBot="1">
      <c r="A277" s="259" t="s">
        <v>10</v>
      </c>
      <c r="B277" s="263">
        <f t="shared" si="15"/>
        <v>140</v>
      </c>
      <c r="C277" s="263" t="s">
        <v>3</v>
      </c>
      <c r="D277" s="263">
        <f t="shared" si="16"/>
        <v>360</v>
      </c>
      <c r="E277" s="263" t="s">
        <v>3</v>
      </c>
      <c r="F277" s="261">
        <f t="shared" si="17"/>
        <v>1800</v>
      </c>
      <c r="G277" s="263" t="s">
        <v>3</v>
      </c>
      <c r="H277" s="260">
        <v>8</v>
      </c>
      <c r="I277" s="262" t="s">
        <v>583</v>
      </c>
      <c r="J277" s="112">
        <v>140</v>
      </c>
      <c r="K277" s="75">
        <v>360</v>
      </c>
      <c r="L277" s="75">
        <v>1800</v>
      </c>
      <c r="M277" s="191">
        <v>35.723464234797497</v>
      </c>
      <c r="N277" s="87">
        <v>10352.420527800001</v>
      </c>
      <c r="O277" s="123">
        <v>85391.663483872355</v>
      </c>
      <c r="P277" s="123">
        <v>101060.55250225046</v>
      </c>
      <c r="Q277" s="120">
        <v>24796.517161333504</v>
      </c>
      <c r="R277" s="123">
        <v>110188.18064520587</v>
      </c>
      <c r="S277" s="123">
        <v>125857.06966358397</v>
      </c>
      <c r="U277" s="7" t="s">
        <v>7130</v>
      </c>
    </row>
    <row r="278" spans="1:21" ht="16.5" thickBot="1">
      <c r="A278" s="259" t="s">
        <v>10</v>
      </c>
      <c r="B278" s="263">
        <f t="shared" si="15"/>
        <v>140</v>
      </c>
      <c r="C278" s="263" t="s">
        <v>3</v>
      </c>
      <c r="D278" s="263">
        <f t="shared" si="16"/>
        <v>360</v>
      </c>
      <c r="E278" s="263" t="s">
        <v>3</v>
      </c>
      <c r="F278" s="261">
        <f t="shared" si="17"/>
        <v>1850</v>
      </c>
      <c r="G278" s="263" t="s">
        <v>3</v>
      </c>
      <c r="H278" s="260">
        <v>8</v>
      </c>
      <c r="I278" s="262" t="s">
        <v>583</v>
      </c>
      <c r="J278" s="112">
        <v>140</v>
      </c>
      <c r="K278" s="75">
        <v>360</v>
      </c>
      <c r="L278" s="75">
        <v>1850</v>
      </c>
      <c r="M278" s="191">
        <v>36.581609333214004</v>
      </c>
      <c r="N278" s="87">
        <v>10709.400546000001</v>
      </c>
      <c r="O278" s="123">
        <v>86985.660835763032</v>
      </c>
      <c r="P278" s="123">
        <v>103013.49882598809</v>
      </c>
      <c r="Q278" s="120">
        <v>25580.69622101307</v>
      </c>
      <c r="R278" s="123">
        <v>112566.35705677611</v>
      </c>
      <c r="S278" s="123">
        <v>128594.19504700117</v>
      </c>
      <c r="U278" s="7" t="s">
        <v>7131</v>
      </c>
    </row>
    <row r="279" spans="1:21" ht="16.5" thickBot="1">
      <c r="A279" s="259" t="s">
        <v>10</v>
      </c>
      <c r="B279" s="263">
        <f t="shared" si="15"/>
        <v>140</v>
      </c>
      <c r="C279" s="263" t="s">
        <v>3</v>
      </c>
      <c r="D279" s="263">
        <f t="shared" si="16"/>
        <v>360</v>
      </c>
      <c r="E279" s="263" t="s">
        <v>3</v>
      </c>
      <c r="F279" s="261">
        <f t="shared" si="17"/>
        <v>1900</v>
      </c>
      <c r="G279" s="263" t="s">
        <v>3</v>
      </c>
      <c r="H279" s="260">
        <v>8</v>
      </c>
      <c r="I279" s="262" t="s">
        <v>583</v>
      </c>
      <c r="J279" s="112">
        <v>140</v>
      </c>
      <c r="K279" s="75">
        <v>360</v>
      </c>
      <c r="L279" s="75">
        <v>1900</v>
      </c>
      <c r="M279" s="191">
        <v>37.423566431630498</v>
      </c>
      <c r="N279" s="87">
        <v>11066.380564200001</v>
      </c>
      <c r="O279" s="123">
        <v>88754.712621611849</v>
      </c>
      <c r="P279" s="123">
        <v>105145.77352687293</v>
      </c>
      <c r="Q279" s="120">
        <v>26134.293362515993</v>
      </c>
      <c r="R279" s="123">
        <v>114889.00598412784</v>
      </c>
      <c r="S279" s="123">
        <v>131280.06688938892</v>
      </c>
      <c r="U279" s="7" t="s">
        <v>7132</v>
      </c>
    </row>
    <row r="280" spans="1:21" ht="16.5" thickBot="1">
      <c r="A280" s="259" t="s">
        <v>10</v>
      </c>
      <c r="B280" s="263">
        <f t="shared" si="15"/>
        <v>140</v>
      </c>
      <c r="C280" s="263" t="s">
        <v>3</v>
      </c>
      <c r="D280" s="263">
        <f t="shared" si="16"/>
        <v>360</v>
      </c>
      <c r="E280" s="263" t="s">
        <v>3</v>
      </c>
      <c r="F280" s="261">
        <f t="shared" si="17"/>
        <v>1950</v>
      </c>
      <c r="G280" s="263" t="s">
        <v>3</v>
      </c>
      <c r="H280" s="260">
        <v>8</v>
      </c>
      <c r="I280" s="262" t="s">
        <v>583</v>
      </c>
      <c r="J280" s="112">
        <v>140</v>
      </c>
      <c r="K280" s="75">
        <v>360</v>
      </c>
      <c r="L280" s="75">
        <v>1950</v>
      </c>
      <c r="M280" s="191">
        <v>38.414673530046997</v>
      </c>
      <c r="N280" s="87">
        <v>11423.360582400002</v>
      </c>
      <c r="O280" s="123">
        <v>90766.835368181914</v>
      </c>
      <c r="P280" s="123">
        <v>107527.05410307685</v>
      </c>
      <c r="Q280" s="120">
        <v>26687.890504018917</v>
      </c>
      <c r="R280" s="123">
        <v>117454.72587220083</v>
      </c>
      <c r="S280" s="123">
        <v>134214.94460709576</v>
      </c>
      <c r="U280" s="7" t="s">
        <v>7133</v>
      </c>
    </row>
    <row r="281" spans="1:21" ht="16.5" thickBot="1">
      <c r="A281" s="259" t="s">
        <v>10</v>
      </c>
      <c r="B281" s="263">
        <f t="shared" si="15"/>
        <v>140</v>
      </c>
      <c r="C281" s="263" t="s">
        <v>3</v>
      </c>
      <c r="D281" s="263">
        <f t="shared" si="16"/>
        <v>360</v>
      </c>
      <c r="E281" s="263" t="s">
        <v>3</v>
      </c>
      <c r="F281" s="261">
        <f t="shared" si="17"/>
        <v>2000</v>
      </c>
      <c r="G281" s="263" t="s">
        <v>3</v>
      </c>
      <c r="H281" s="260">
        <v>8</v>
      </c>
      <c r="I281" s="262" t="s">
        <v>583</v>
      </c>
      <c r="J281" s="112">
        <v>140</v>
      </c>
      <c r="K281" s="75">
        <v>360</v>
      </c>
      <c r="L281" s="75">
        <v>2000</v>
      </c>
      <c r="M281" s="191">
        <v>39.3598029084635</v>
      </c>
      <c r="N281" s="87">
        <v>11780.340600599999</v>
      </c>
      <c r="O281" s="123">
        <v>92567.114688199246</v>
      </c>
      <c r="P281" s="123">
        <v>109899.48257733336</v>
      </c>
      <c r="Q281" s="120">
        <v>27472.069423305118</v>
      </c>
      <c r="R281" s="123">
        <v>120039.18411150436</v>
      </c>
      <c r="S281" s="123">
        <v>137371.55200063848</v>
      </c>
      <c r="U281" s="7" t="s">
        <v>7134</v>
      </c>
    </row>
    <row r="282" spans="1:21" ht="16.5" thickBot="1">
      <c r="A282" s="259" t="s">
        <v>10</v>
      </c>
      <c r="B282" s="263">
        <f t="shared" si="15"/>
        <v>140</v>
      </c>
      <c r="C282" s="263" t="s">
        <v>3</v>
      </c>
      <c r="D282" s="263">
        <f t="shared" si="16"/>
        <v>360</v>
      </c>
      <c r="E282" s="263" t="s">
        <v>3</v>
      </c>
      <c r="F282" s="261">
        <f t="shared" si="17"/>
        <v>2050</v>
      </c>
      <c r="G282" s="263" t="s">
        <v>3</v>
      </c>
      <c r="H282" s="260">
        <v>8</v>
      </c>
      <c r="I282" s="262" t="s">
        <v>583</v>
      </c>
      <c r="J282" s="112">
        <v>140</v>
      </c>
      <c r="K282" s="75">
        <v>360</v>
      </c>
      <c r="L282" s="75">
        <v>2050</v>
      </c>
      <c r="M282" s="191">
        <v>41.020660006879993</v>
      </c>
      <c r="N282" s="87">
        <v>12137.3206188</v>
      </c>
      <c r="O282" s="123">
        <v>96305.082306909229</v>
      </c>
      <c r="P282" s="123">
        <v>114048.7464012923</v>
      </c>
      <c r="Q282" s="120">
        <v>28025.666564808042</v>
      </c>
      <c r="R282" s="123">
        <v>124330.74887171727</v>
      </c>
      <c r="S282" s="123">
        <v>142074.41296610035</v>
      </c>
      <c r="U282" s="7" t="s">
        <v>7135</v>
      </c>
    </row>
    <row r="283" spans="1:21" ht="16.5" thickBot="1">
      <c r="A283" s="259" t="s">
        <v>10</v>
      </c>
      <c r="B283" s="260">
        <f t="shared" si="15"/>
        <v>140</v>
      </c>
      <c r="C283" s="260" t="s">
        <v>3</v>
      </c>
      <c r="D283" s="260">
        <f t="shared" si="16"/>
        <v>360</v>
      </c>
      <c r="E283" s="260" t="s">
        <v>3</v>
      </c>
      <c r="F283" s="261">
        <f t="shared" si="17"/>
        <v>2100</v>
      </c>
      <c r="G283" s="260" t="s">
        <v>3</v>
      </c>
      <c r="H283" s="260">
        <v>8</v>
      </c>
      <c r="I283" s="262" t="s">
        <v>583</v>
      </c>
      <c r="J283" s="112">
        <v>140</v>
      </c>
      <c r="K283" s="75">
        <v>360</v>
      </c>
      <c r="L283" s="75">
        <v>2100</v>
      </c>
      <c r="M283" s="191">
        <v>41.878805105296493</v>
      </c>
      <c r="N283" s="87">
        <v>12494.300637</v>
      </c>
      <c r="O283" s="123">
        <v>97961.00965596117</v>
      </c>
      <c r="P283" s="123">
        <v>116065.13466042998</v>
      </c>
      <c r="Q283" s="120">
        <v>28809.845484094247</v>
      </c>
      <c r="R283" s="123">
        <v>126770.85514005541</v>
      </c>
      <c r="S283" s="123">
        <v>144874.98014452422</v>
      </c>
      <c r="U283" s="7" t="s">
        <v>7136</v>
      </c>
    </row>
    <row r="284" spans="1:21" ht="16.5" thickBot="1">
      <c r="A284" s="259" t="s">
        <v>10</v>
      </c>
      <c r="B284" s="263">
        <f t="shared" si="15"/>
        <v>140</v>
      </c>
      <c r="C284" s="263" t="s">
        <v>3</v>
      </c>
      <c r="D284" s="263">
        <f t="shared" si="16"/>
        <v>360</v>
      </c>
      <c r="E284" s="263" t="s">
        <v>3</v>
      </c>
      <c r="F284" s="261">
        <f t="shared" si="17"/>
        <v>2150</v>
      </c>
      <c r="G284" s="263" t="s">
        <v>3</v>
      </c>
      <c r="H284" s="260">
        <v>8</v>
      </c>
      <c r="I284" s="262" t="s">
        <v>583</v>
      </c>
      <c r="J284" s="112">
        <v>140</v>
      </c>
      <c r="K284" s="75">
        <v>360</v>
      </c>
      <c r="L284" s="75">
        <v>2150</v>
      </c>
      <c r="M284" s="191">
        <v>42.720762203713001</v>
      </c>
      <c r="N284" s="87">
        <v>12851.280655200002</v>
      </c>
      <c r="O284" s="123">
        <v>99764.554202685526</v>
      </c>
      <c r="P284" s="123">
        <v>118232.74439110966</v>
      </c>
      <c r="Q284" s="120">
        <v>29363.442625597167</v>
      </c>
      <c r="R284" s="123">
        <v>129127.99682828269</v>
      </c>
      <c r="S284" s="123">
        <v>147596.18701670683</v>
      </c>
      <c r="U284" s="7" t="s">
        <v>7137</v>
      </c>
    </row>
    <row r="285" spans="1:21" ht="16.5" thickBot="1">
      <c r="A285" s="259" t="s">
        <v>10</v>
      </c>
      <c r="B285" s="263">
        <f t="shared" si="15"/>
        <v>140</v>
      </c>
      <c r="C285" s="263" t="s">
        <v>3</v>
      </c>
      <c r="D285" s="263">
        <f t="shared" si="16"/>
        <v>360</v>
      </c>
      <c r="E285" s="263" t="s">
        <v>3</v>
      </c>
      <c r="F285" s="261">
        <f t="shared" si="17"/>
        <v>2200</v>
      </c>
      <c r="G285" s="263" t="s">
        <v>3</v>
      </c>
      <c r="H285" s="260">
        <v>8</v>
      </c>
      <c r="I285" s="262" t="s">
        <v>583</v>
      </c>
      <c r="J285" s="112">
        <v>140</v>
      </c>
      <c r="K285" s="75">
        <v>360</v>
      </c>
      <c r="L285" s="75">
        <v>2200</v>
      </c>
      <c r="M285" s="191">
        <v>43.578907302129494</v>
      </c>
      <c r="N285" s="87">
        <v>13208.260673400002</v>
      </c>
      <c r="O285" s="123">
        <v>101568.0507769979</v>
      </c>
      <c r="P285" s="123">
        <v>120400.30502903834</v>
      </c>
      <c r="Q285" s="120">
        <v>30147.621544883372</v>
      </c>
      <c r="R285" s="123">
        <v>131715.67232188128</v>
      </c>
      <c r="S285" s="123">
        <v>150547.92657392172</v>
      </c>
      <c r="U285" s="7" t="s">
        <v>7138</v>
      </c>
    </row>
    <row r="286" spans="1:21" ht="16.5" thickBot="1">
      <c r="A286" s="259" t="s">
        <v>10</v>
      </c>
      <c r="B286" s="263">
        <f t="shared" si="15"/>
        <v>140</v>
      </c>
      <c r="C286" s="263" t="s">
        <v>3</v>
      </c>
      <c r="D286" s="263">
        <f t="shared" si="16"/>
        <v>360</v>
      </c>
      <c r="E286" s="263" t="s">
        <v>3</v>
      </c>
      <c r="F286" s="261">
        <f t="shared" si="17"/>
        <v>2250</v>
      </c>
      <c r="G286" s="263" t="s">
        <v>3</v>
      </c>
      <c r="H286" s="260">
        <v>8</v>
      </c>
      <c r="I286" s="262" t="s">
        <v>583</v>
      </c>
      <c r="J286" s="112">
        <v>140</v>
      </c>
      <c r="K286" s="75">
        <v>360</v>
      </c>
      <c r="L286" s="75">
        <v>2250</v>
      </c>
      <c r="M286" s="191">
        <v>44.420864400545994</v>
      </c>
      <c r="N286" s="87">
        <v>13565.2406916</v>
      </c>
      <c r="O286" s="123">
        <v>103691.15829532366</v>
      </c>
      <c r="P286" s="123">
        <v>122895.28023844947</v>
      </c>
      <c r="Q286" s="120">
        <v>30701.218686386295</v>
      </c>
      <c r="R286" s="123">
        <v>134392.37698170997</v>
      </c>
      <c r="S286" s="123">
        <v>153596.49892483576</v>
      </c>
      <c r="U286" s="7" t="s">
        <v>7139</v>
      </c>
    </row>
    <row r="287" spans="1:21" ht="16.5" thickBot="1">
      <c r="A287" s="259" t="s">
        <v>10</v>
      </c>
      <c r="B287" s="263">
        <f t="shared" si="15"/>
        <v>140</v>
      </c>
      <c r="C287" s="263" t="s">
        <v>3</v>
      </c>
      <c r="D287" s="263">
        <f t="shared" si="16"/>
        <v>360</v>
      </c>
      <c r="E287" s="263" t="s">
        <v>3</v>
      </c>
      <c r="F287" s="261">
        <f t="shared" si="17"/>
        <v>2300</v>
      </c>
      <c r="G287" s="263" t="s">
        <v>3</v>
      </c>
      <c r="H287" s="260">
        <v>8</v>
      </c>
      <c r="I287" s="262" t="s">
        <v>583</v>
      </c>
      <c r="J287" s="112">
        <v>140</v>
      </c>
      <c r="K287" s="75">
        <v>360</v>
      </c>
      <c r="L287" s="75">
        <v>2300</v>
      </c>
      <c r="M287" s="191">
        <v>45.262821498962488</v>
      </c>
      <c r="N287" s="87">
        <v>13922.220709800002</v>
      </c>
      <c r="O287" s="123">
        <v>105251.74942566954</v>
      </c>
      <c r="P287" s="123">
        <v>124814.00447550269</v>
      </c>
      <c r="Q287" s="120">
        <v>31254.815827889219</v>
      </c>
      <c r="R287" s="123">
        <v>136506.56525355874</v>
      </c>
      <c r="S287" s="123">
        <v>156068.8203033919</v>
      </c>
      <c r="U287" s="7" t="s">
        <v>7140</v>
      </c>
    </row>
    <row r="288" spans="1:21" ht="16.5" thickBot="1">
      <c r="A288" s="259" t="s">
        <v>10</v>
      </c>
      <c r="B288" s="263">
        <f t="shared" si="15"/>
        <v>140</v>
      </c>
      <c r="C288" s="263" t="s">
        <v>3</v>
      </c>
      <c r="D288" s="263">
        <f t="shared" si="16"/>
        <v>360</v>
      </c>
      <c r="E288" s="263" t="s">
        <v>3</v>
      </c>
      <c r="F288" s="261">
        <f t="shared" si="17"/>
        <v>2350</v>
      </c>
      <c r="G288" s="263" t="s">
        <v>3</v>
      </c>
      <c r="H288" s="260">
        <v>8</v>
      </c>
      <c r="I288" s="262" t="s">
        <v>583</v>
      </c>
      <c r="J288" s="112">
        <v>140</v>
      </c>
      <c r="K288" s="75">
        <v>360</v>
      </c>
      <c r="L288" s="75">
        <v>2350</v>
      </c>
      <c r="M288" s="191">
        <v>46.120966597378988</v>
      </c>
      <c r="N288" s="87">
        <v>14279.200728000002</v>
      </c>
      <c r="O288" s="123">
        <v>106812.29234493471</v>
      </c>
      <c r="P288" s="123">
        <v>126732.67948923908</v>
      </c>
      <c r="Q288" s="120">
        <v>32038.99474717542</v>
      </c>
      <c r="R288" s="123">
        <v>138851.28709211014</v>
      </c>
      <c r="S288" s="123">
        <v>158771.67423641449</v>
      </c>
      <c r="U288" s="7" t="s">
        <v>7141</v>
      </c>
    </row>
    <row r="289" spans="1:21" ht="16.5" thickBot="1">
      <c r="A289" s="259" t="s">
        <v>10</v>
      </c>
      <c r="B289" s="263">
        <f t="shared" si="15"/>
        <v>140</v>
      </c>
      <c r="C289" s="263" t="s">
        <v>3</v>
      </c>
      <c r="D289" s="263">
        <f t="shared" si="16"/>
        <v>360</v>
      </c>
      <c r="E289" s="263" t="s">
        <v>3</v>
      </c>
      <c r="F289" s="261">
        <f t="shared" si="17"/>
        <v>2400</v>
      </c>
      <c r="G289" s="263" t="s">
        <v>3</v>
      </c>
      <c r="H289" s="260">
        <v>8</v>
      </c>
      <c r="I289" s="262" t="s">
        <v>583</v>
      </c>
      <c r="J289" s="112">
        <v>140</v>
      </c>
      <c r="K289" s="75">
        <v>360</v>
      </c>
      <c r="L289" s="75">
        <v>2400</v>
      </c>
      <c r="M289" s="191">
        <v>46.962923695795496</v>
      </c>
      <c r="N289" s="87">
        <v>14636.1807462</v>
      </c>
      <c r="O289" s="123">
        <v>108372.78717245358</v>
      </c>
      <c r="P289" s="123">
        <v>128651.30514909282</v>
      </c>
      <c r="Q289" s="120">
        <v>32592.591888678344</v>
      </c>
      <c r="R289" s="123">
        <v>140965.37906113191</v>
      </c>
      <c r="S289" s="123">
        <v>161243.89703777115</v>
      </c>
      <c r="U289" s="7" t="s">
        <v>7142</v>
      </c>
    </row>
    <row r="290" spans="1:21" ht="16.5" thickBot="1">
      <c r="A290" s="259" t="s">
        <v>10</v>
      </c>
      <c r="B290" s="263">
        <f t="shared" si="15"/>
        <v>140</v>
      </c>
      <c r="C290" s="263" t="s">
        <v>3</v>
      </c>
      <c r="D290" s="263">
        <f t="shared" si="16"/>
        <v>360</v>
      </c>
      <c r="E290" s="263" t="s">
        <v>3</v>
      </c>
      <c r="F290" s="261">
        <f t="shared" si="17"/>
        <v>2450</v>
      </c>
      <c r="G290" s="263" t="s">
        <v>3</v>
      </c>
      <c r="H290" s="260">
        <v>8</v>
      </c>
      <c r="I290" s="262" t="s">
        <v>583</v>
      </c>
      <c r="J290" s="112">
        <v>140</v>
      </c>
      <c r="K290" s="75">
        <v>360</v>
      </c>
      <c r="L290" s="75">
        <v>2450</v>
      </c>
      <c r="M290" s="191">
        <v>48.607309023473988</v>
      </c>
      <c r="N290" s="87">
        <v>14993.160764400001</v>
      </c>
      <c r="O290" s="123">
        <v>110522.7263051976</v>
      </c>
      <c r="P290" s="123">
        <v>131380.00010904652</v>
      </c>
      <c r="Q290" s="120">
        <v>33376.770807964545</v>
      </c>
      <c r="R290" s="123">
        <v>143899.49711316216</v>
      </c>
      <c r="S290" s="123">
        <v>164756.77091701108</v>
      </c>
      <c r="U290" s="7" t="s">
        <v>7143</v>
      </c>
    </row>
    <row r="291" spans="1:21" ht="16.5" thickBot="1">
      <c r="A291" s="259" t="s">
        <v>10</v>
      </c>
      <c r="B291" s="263">
        <f t="shared" si="15"/>
        <v>140</v>
      </c>
      <c r="C291" s="263" t="s">
        <v>3</v>
      </c>
      <c r="D291" s="263">
        <f t="shared" si="16"/>
        <v>360</v>
      </c>
      <c r="E291" s="263" t="s">
        <v>3</v>
      </c>
      <c r="F291" s="261">
        <f t="shared" si="17"/>
        <v>2500</v>
      </c>
      <c r="G291" s="263" t="s">
        <v>3</v>
      </c>
      <c r="H291" s="260">
        <v>8</v>
      </c>
      <c r="I291" s="262" t="s">
        <v>583</v>
      </c>
      <c r="J291" s="112">
        <v>140</v>
      </c>
      <c r="K291" s="75">
        <v>360</v>
      </c>
      <c r="L291" s="75">
        <v>2500</v>
      </c>
      <c r="M291" s="191">
        <v>49.449266121890489</v>
      </c>
      <c r="N291" s="87">
        <v>15350.1407826</v>
      </c>
      <c r="O291" s="123">
        <v>112083.12494922381</v>
      </c>
      <c r="P291" s="123">
        <v>133298.52719170082</v>
      </c>
      <c r="Q291" s="120">
        <v>33930.367949467472</v>
      </c>
      <c r="R291" s="123">
        <v>146013.49289869127</v>
      </c>
      <c r="S291" s="123">
        <v>167228.89514116829</v>
      </c>
      <c r="U291" s="7" t="s">
        <v>7144</v>
      </c>
    </row>
    <row r="292" spans="1:21" ht="16.5" thickBot="1">
      <c r="A292" s="259" t="s">
        <v>10</v>
      </c>
      <c r="B292" s="263">
        <f t="shared" si="15"/>
        <v>140</v>
      </c>
      <c r="C292" s="263" t="s">
        <v>3</v>
      </c>
      <c r="D292" s="263">
        <f t="shared" si="16"/>
        <v>360</v>
      </c>
      <c r="E292" s="263" t="s">
        <v>3</v>
      </c>
      <c r="F292" s="261">
        <f t="shared" si="17"/>
        <v>2550</v>
      </c>
      <c r="G292" s="263" t="s">
        <v>3</v>
      </c>
      <c r="H292" s="260">
        <v>8</v>
      </c>
      <c r="I292" s="262" t="s">
        <v>583</v>
      </c>
      <c r="J292" s="112">
        <v>140</v>
      </c>
      <c r="K292" s="75">
        <v>360</v>
      </c>
      <c r="L292" s="75">
        <v>2550</v>
      </c>
      <c r="M292" s="191">
        <v>50.307411220306996</v>
      </c>
      <c r="N292" s="87">
        <v>15707.120800800003</v>
      </c>
      <c r="O292" s="123">
        <v>116937.81131916304</v>
      </c>
      <c r="P292" s="123">
        <v>138591.77575977475</v>
      </c>
      <c r="Q292" s="120">
        <v>34714.547009147034</v>
      </c>
      <c r="R292" s="123">
        <v>151652.35832831007</v>
      </c>
      <c r="S292" s="123">
        <v>173306.32276892179</v>
      </c>
      <c r="U292" s="7" t="s">
        <v>7145</v>
      </c>
    </row>
    <row r="293" spans="1:21" ht="16.5" thickBot="1">
      <c r="A293" s="259" t="s">
        <v>10</v>
      </c>
      <c r="B293" s="260">
        <f t="shared" si="15"/>
        <v>140</v>
      </c>
      <c r="C293" s="260" t="s">
        <v>3</v>
      </c>
      <c r="D293" s="260">
        <f t="shared" si="16"/>
        <v>360</v>
      </c>
      <c r="E293" s="260" t="s">
        <v>3</v>
      </c>
      <c r="F293" s="261">
        <f t="shared" si="17"/>
        <v>2600</v>
      </c>
      <c r="G293" s="260" t="s">
        <v>3</v>
      </c>
      <c r="H293" s="260">
        <v>8</v>
      </c>
      <c r="I293" s="262" t="s">
        <v>583</v>
      </c>
      <c r="J293" s="112">
        <v>140</v>
      </c>
      <c r="K293" s="75">
        <v>360</v>
      </c>
      <c r="L293" s="75">
        <v>2600</v>
      </c>
      <c r="M293" s="191">
        <v>51.149368318723496</v>
      </c>
      <c r="N293" s="87">
        <v>16064.100819000003</v>
      </c>
      <c r="O293" s="123">
        <v>118768.71732485572</v>
      </c>
      <c r="P293" s="123">
        <v>140787.41497052414</v>
      </c>
      <c r="Q293" s="120">
        <v>35268.144150649961</v>
      </c>
      <c r="R293" s="123">
        <v>154036.86147550569</v>
      </c>
      <c r="S293" s="123">
        <v>176055.5591211741</v>
      </c>
      <c r="U293" s="7" t="s">
        <v>7146</v>
      </c>
    </row>
    <row r="294" spans="1:21" ht="16.5" thickBot="1">
      <c r="A294" s="259" t="s">
        <v>10</v>
      </c>
      <c r="B294" s="263">
        <f t="shared" si="15"/>
        <v>140</v>
      </c>
      <c r="C294" s="263" t="s">
        <v>3</v>
      </c>
      <c r="D294" s="263">
        <f t="shared" si="16"/>
        <v>360</v>
      </c>
      <c r="E294" s="263" t="s">
        <v>3</v>
      </c>
      <c r="F294" s="261">
        <f t="shared" si="17"/>
        <v>2650</v>
      </c>
      <c r="G294" s="263" t="s">
        <v>3</v>
      </c>
      <c r="H294" s="260">
        <v>8</v>
      </c>
      <c r="I294" s="262" t="s">
        <v>583</v>
      </c>
      <c r="J294" s="112">
        <v>140</v>
      </c>
      <c r="K294" s="75">
        <v>360</v>
      </c>
      <c r="L294" s="75">
        <v>2650</v>
      </c>
      <c r="M294" s="191">
        <v>52.007513417140004</v>
      </c>
      <c r="N294" s="87">
        <v>16421.080837199999</v>
      </c>
      <c r="O294" s="123">
        <v>120169.00350923896</v>
      </c>
      <c r="P294" s="123">
        <v>142541.92029964254</v>
      </c>
      <c r="Q294" s="120">
        <v>36052.323069936159</v>
      </c>
      <c r="R294" s="123">
        <v>156221.32657917513</v>
      </c>
      <c r="S294" s="123">
        <v>178594.2433695787</v>
      </c>
      <c r="U294" s="7" t="s">
        <v>7147</v>
      </c>
    </row>
    <row r="295" spans="1:21" ht="16.5" thickBot="1">
      <c r="A295" s="259" t="s">
        <v>10</v>
      </c>
      <c r="B295" s="263">
        <f t="shared" si="15"/>
        <v>140</v>
      </c>
      <c r="C295" s="263" t="s">
        <v>3</v>
      </c>
      <c r="D295" s="263">
        <f t="shared" si="16"/>
        <v>360</v>
      </c>
      <c r="E295" s="263" t="s">
        <v>3</v>
      </c>
      <c r="F295" s="261">
        <f t="shared" si="17"/>
        <v>2700</v>
      </c>
      <c r="G295" s="263" t="s">
        <v>3</v>
      </c>
      <c r="H295" s="260">
        <v>8</v>
      </c>
      <c r="I295" s="262" t="s">
        <v>583</v>
      </c>
      <c r="J295" s="112">
        <v>140</v>
      </c>
      <c r="K295" s="75">
        <v>360</v>
      </c>
      <c r="L295" s="75">
        <v>2700</v>
      </c>
      <c r="M295" s="191">
        <v>52.998620515556496</v>
      </c>
      <c r="N295" s="87">
        <v>16778.060855400003</v>
      </c>
      <c r="O295" s="123">
        <v>121688.49075526917</v>
      </c>
      <c r="P295" s="123">
        <v>144418.53718801375</v>
      </c>
      <c r="Q295" s="120">
        <v>36605.920211439086</v>
      </c>
      <c r="R295" s="123">
        <v>158294.41096670827</v>
      </c>
      <c r="S295" s="123">
        <v>181024.45739945283</v>
      </c>
      <c r="U295" s="7" t="s">
        <v>7148</v>
      </c>
    </row>
    <row r="296" spans="1:21" ht="16.5" thickBot="1">
      <c r="A296" s="259" t="s">
        <v>10</v>
      </c>
      <c r="B296" s="263">
        <f t="shared" si="15"/>
        <v>140</v>
      </c>
      <c r="C296" s="263" t="s">
        <v>3</v>
      </c>
      <c r="D296" s="263">
        <f t="shared" si="16"/>
        <v>360</v>
      </c>
      <c r="E296" s="263" t="s">
        <v>3</v>
      </c>
      <c r="F296" s="261">
        <f t="shared" si="17"/>
        <v>2750</v>
      </c>
      <c r="G296" s="263" t="s">
        <v>3</v>
      </c>
      <c r="H296" s="260">
        <v>8</v>
      </c>
      <c r="I296" s="262" t="s">
        <v>583</v>
      </c>
      <c r="J296" s="112">
        <v>140</v>
      </c>
      <c r="K296" s="75">
        <v>360</v>
      </c>
      <c r="L296" s="75">
        <v>2750</v>
      </c>
      <c r="M296" s="191">
        <v>53.840577613972997</v>
      </c>
      <c r="N296" s="87">
        <v>17135.040873600003</v>
      </c>
      <c r="O296" s="123">
        <v>123170.43481556149</v>
      </c>
      <c r="P296" s="123">
        <v>146256.69421464959</v>
      </c>
      <c r="Q296" s="120">
        <v>37159.517352942006</v>
      </c>
      <c r="R296" s="123">
        <v>160329.95216850349</v>
      </c>
      <c r="S296" s="123">
        <v>183416.21156759158</v>
      </c>
      <c r="U296" s="7" t="s">
        <v>7149</v>
      </c>
    </row>
    <row r="297" spans="1:21" ht="16.5" thickBot="1">
      <c r="A297" s="259" t="s">
        <v>10</v>
      </c>
      <c r="B297" s="263">
        <f t="shared" si="15"/>
        <v>140</v>
      </c>
      <c r="C297" s="263" t="s">
        <v>3</v>
      </c>
      <c r="D297" s="263">
        <f t="shared" si="16"/>
        <v>360</v>
      </c>
      <c r="E297" s="263" t="s">
        <v>3</v>
      </c>
      <c r="F297" s="261">
        <f t="shared" si="17"/>
        <v>2800</v>
      </c>
      <c r="G297" s="263" t="s">
        <v>3</v>
      </c>
      <c r="H297" s="260">
        <v>8</v>
      </c>
      <c r="I297" s="262" t="s">
        <v>583</v>
      </c>
      <c r="J297" s="112">
        <v>140</v>
      </c>
      <c r="K297" s="75">
        <v>360</v>
      </c>
      <c r="L297" s="75">
        <v>2800</v>
      </c>
      <c r="M297" s="191">
        <v>54.698722712389497</v>
      </c>
      <c r="N297" s="87">
        <v>17492.020891800003</v>
      </c>
      <c r="O297" s="123">
        <v>124569.48660534428</v>
      </c>
      <c r="P297" s="123">
        <v>148009.9351442981</v>
      </c>
      <c r="Q297" s="120">
        <v>37943.696272228204</v>
      </c>
      <c r="R297" s="123">
        <v>162513.18287757249</v>
      </c>
      <c r="S297" s="123">
        <v>185953.6314165263</v>
      </c>
      <c r="U297" s="7" t="s">
        <v>7150</v>
      </c>
    </row>
    <row r="298" spans="1:21" ht="16.5" thickBot="1">
      <c r="A298" s="259" t="s">
        <v>10</v>
      </c>
      <c r="B298" s="263">
        <f t="shared" si="15"/>
        <v>140</v>
      </c>
      <c r="C298" s="263" t="s">
        <v>3</v>
      </c>
      <c r="D298" s="263">
        <f t="shared" si="16"/>
        <v>360</v>
      </c>
      <c r="E298" s="263" t="s">
        <v>3</v>
      </c>
      <c r="F298" s="261">
        <f t="shared" si="17"/>
        <v>2850</v>
      </c>
      <c r="G298" s="263" t="s">
        <v>3</v>
      </c>
      <c r="H298" s="260">
        <v>8</v>
      </c>
      <c r="I298" s="262" t="s">
        <v>583</v>
      </c>
      <c r="J298" s="112">
        <v>140</v>
      </c>
      <c r="K298" s="75">
        <v>360</v>
      </c>
      <c r="L298" s="75">
        <v>2850</v>
      </c>
      <c r="M298" s="191">
        <v>56.359579810805982</v>
      </c>
      <c r="N298" s="87">
        <v>17849.000910000002</v>
      </c>
      <c r="O298" s="123">
        <v>125968.49042271513</v>
      </c>
      <c r="P298" s="123">
        <v>149763.12672006397</v>
      </c>
      <c r="Q298" s="120">
        <v>38497.293413731131</v>
      </c>
      <c r="R298" s="123">
        <v>164465.78383644627</v>
      </c>
      <c r="S298" s="123">
        <v>188260.42013379509</v>
      </c>
      <c r="U298" s="7" t="s">
        <v>7151</v>
      </c>
    </row>
    <row r="299" spans="1:21" ht="16.5" thickBot="1">
      <c r="A299" s="259" t="s">
        <v>10</v>
      </c>
      <c r="B299" s="263">
        <f t="shared" si="15"/>
        <v>140</v>
      </c>
      <c r="C299" s="263" t="s">
        <v>3</v>
      </c>
      <c r="D299" s="263">
        <f t="shared" si="16"/>
        <v>360</v>
      </c>
      <c r="E299" s="263" t="s">
        <v>3</v>
      </c>
      <c r="F299" s="261">
        <f t="shared" si="17"/>
        <v>2900</v>
      </c>
      <c r="G299" s="263" t="s">
        <v>3</v>
      </c>
      <c r="H299" s="260">
        <v>8</v>
      </c>
      <c r="I299" s="262" t="s">
        <v>583</v>
      </c>
      <c r="J299" s="112">
        <v>140</v>
      </c>
      <c r="K299" s="75">
        <v>360</v>
      </c>
      <c r="L299" s="75">
        <v>2900</v>
      </c>
      <c r="M299" s="191">
        <v>57.21772490922249</v>
      </c>
      <c r="N299" s="87">
        <v>18205.980928199999</v>
      </c>
      <c r="O299" s="123">
        <v>127367.44602900528</v>
      </c>
      <c r="P299" s="123">
        <v>151516.26907251304</v>
      </c>
      <c r="Q299" s="120">
        <v>39281.472333017329</v>
      </c>
      <c r="R299" s="123">
        <v>166648.91836202261</v>
      </c>
      <c r="S299" s="123">
        <v>190797.74140553037</v>
      </c>
      <c r="U299" s="7" t="s">
        <v>7152</v>
      </c>
    </row>
    <row r="300" spans="1:21" ht="16.5" thickBot="1">
      <c r="A300" s="259" t="s">
        <v>10</v>
      </c>
      <c r="B300" s="263">
        <f t="shared" si="15"/>
        <v>140</v>
      </c>
      <c r="C300" s="263" t="s">
        <v>3</v>
      </c>
      <c r="D300" s="263">
        <f t="shared" si="16"/>
        <v>360</v>
      </c>
      <c r="E300" s="263" t="s">
        <v>3</v>
      </c>
      <c r="F300" s="261">
        <f t="shared" si="17"/>
        <v>2950</v>
      </c>
      <c r="G300" s="263" t="s">
        <v>3</v>
      </c>
      <c r="H300" s="260">
        <v>8</v>
      </c>
      <c r="I300" s="262" t="s">
        <v>583</v>
      </c>
      <c r="J300" s="112">
        <v>140</v>
      </c>
      <c r="K300" s="75">
        <v>360</v>
      </c>
      <c r="L300" s="75">
        <v>2950</v>
      </c>
      <c r="M300" s="191">
        <v>58.05968200763899</v>
      </c>
      <c r="N300" s="87">
        <v>18562.960946400002</v>
      </c>
      <c r="O300" s="123">
        <v>128766.35354354911</v>
      </c>
      <c r="P300" s="123">
        <v>153269.36207107941</v>
      </c>
      <c r="Q300" s="120">
        <v>39835.069474520256</v>
      </c>
      <c r="R300" s="123">
        <v>168601.42301806936</v>
      </c>
      <c r="S300" s="123">
        <v>193104.43154559965</v>
      </c>
      <c r="U300" s="7" t="s">
        <v>7153</v>
      </c>
    </row>
    <row r="301" spans="1:21" ht="16.5" thickBot="1">
      <c r="A301" s="259" t="s">
        <v>10</v>
      </c>
      <c r="B301" s="263">
        <f t="shared" si="15"/>
        <v>140</v>
      </c>
      <c r="C301" s="263" t="s">
        <v>3</v>
      </c>
      <c r="D301" s="263">
        <f t="shared" si="16"/>
        <v>360</v>
      </c>
      <c r="E301" s="263" t="s">
        <v>3</v>
      </c>
      <c r="F301" s="261">
        <f t="shared" si="17"/>
        <v>3000</v>
      </c>
      <c r="G301" s="263" t="s">
        <v>3</v>
      </c>
      <c r="H301" s="260">
        <v>8</v>
      </c>
      <c r="I301" s="262" t="s">
        <v>583</v>
      </c>
      <c r="J301" s="146">
        <v>140</v>
      </c>
      <c r="K301" s="147">
        <v>360</v>
      </c>
      <c r="L301" s="147">
        <v>3000</v>
      </c>
      <c r="M301" s="192">
        <v>58.917827106055483</v>
      </c>
      <c r="N301" s="148">
        <v>18919.940964599999</v>
      </c>
      <c r="O301" s="149">
        <v>131882.04976512914</v>
      </c>
      <c r="P301" s="149">
        <v>156781.16109312029</v>
      </c>
      <c r="Q301" s="159">
        <v>40619.248393806454</v>
      </c>
      <c r="R301" s="149">
        <v>172501.29815893559</v>
      </c>
      <c r="S301" s="149">
        <v>197400.40948692674</v>
      </c>
      <c r="U301" s="7" t="s">
        <v>7154</v>
      </c>
    </row>
    <row r="302" spans="1:21" ht="19.5" thickBot="1">
      <c r="A302" s="2580" t="s">
        <v>67</v>
      </c>
      <c r="B302" s="2581"/>
      <c r="C302" s="2581"/>
      <c r="D302" s="2581"/>
      <c r="E302" s="2581"/>
      <c r="F302" s="2581"/>
      <c r="G302" s="2581"/>
      <c r="H302" s="2581"/>
      <c r="I302" s="2581"/>
      <c r="J302" s="2581"/>
      <c r="K302" s="2581"/>
      <c r="L302" s="2581"/>
      <c r="M302" s="2581"/>
      <c r="N302" s="2581"/>
      <c r="O302" s="2581"/>
      <c r="P302" s="2581"/>
      <c r="Q302" s="2581"/>
      <c r="R302" s="2581"/>
      <c r="S302" s="2582"/>
      <c r="U302" s="7"/>
    </row>
    <row r="303" spans="1:21" ht="19.5" thickBot="1">
      <c r="A303" s="2627" t="s">
        <v>180</v>
      </c>
      <c r="B303" s="2628"/>
      <c r="C303" s="2628"/>
      <c r="D303" s="2628"/>
      <c r="E303" s="2628"/>
      <c r="F303" s="2628"/>
      <c r="G303" s="2628"/>
      <c r="H303" s="2628"/>
      <c r="I303" s="2628"/>
      <c r="J303" s="2628"/>
      <c r="K303" s="2628"/>
      <c r="L303" s="2628"/>
      <c r="M303" s="2628"/>
      <c r="N303" s="2628"/>
      <c r="O303" s="2628"/>
      <c r="P303" s="2628"/>
      <c r="Q303" s="2628"/>
      <c r="R303" s="2628"/>
      <c r="S303" s="2629"/>
      <c r="U303" s="7"/>
    </row>
    <row r="304" spans="1:21" ht="16.5" thickBot="1">
      <c r="A304" s="259" t="s">
        <v>10</v>
      </c>
      <c r="B304" s="260">
        <f t="shared" ref="B304:B350" si="18">J304</f>
        <v>140</v>
      </c>
      <c r="C304" s="260" t="s">
        <v>3</v>
      </c>
      <c r="D304" s="260">
        <f t="shared" ref="D304:D350" si="19">K304</f>
        <v>400</v>
      </c>
      <c r="E304" s="260" t="s">
        <v>3</v>
      </c>
      <c r="F304" s="261">
        <f t="shared" ref="F304:F350" si="20">L304</f>
        <v>700</v>
      </c>
      <c r="G304" s="260" t="s">
        <v>3</v>
      </c>
      <c r="H304" s="260">
        <v>6</v>
      </c>
      <c r="I304" s="262" t="s">
        <v>583</v>
      </c>
      <c r="J304" s="344">
        <v>140</v>
      </c>
      <c r="K304" s="327">
        <v>400</v>
      </c>
      <c r="L304" s="327">
        <v>700</v>
      </c>
      <c r="M304" s="338">
        <v>14.997882081968774</v>
      </c>
      <c r="N304" s="302">
        <v>2457.5847766469997</v>
      </c>
      <c r="O304" s="303">
        <v>33362.360320801774</v>
      </c>
      <c r="P304" s="303">
        <v>40336.272199219929</v>
      </c>
      <c r="Q304" s="169">
        <v>11307.066052331927</v>
      </c>
      <c r="R304" s="303">
        <v>44669.426373133698</v>
      </c>
      <c r="S304" s="303">
        <v>51643.338251551861</v>
      </c>
      <c r="U304" s="7" t="s">
        <v>7155</v>
      </c>
    </row>
    <row r="305" spans="1:21" ht="16.5" thickBot="1">
      <c r="A305" s="259" t="s">
        <v>10</v>
      </c>
      <c r="B305" s="263">
        <f t="shared" si="18"/>
        <v>140</v>
      </c>
      <c r="C305" s="263" t="s">
        <v>3</v>
      </c>
      <c r="D305" s="263">
        <f t="shared" si="19"/>
        <v>400</v>
      </c>
      <c r="E305" s="263" t="s">
        <v>3</v>
      </c>
      <c r="F305" s="261">
        <f t="shared" si="20"/>
        <v>750</v>
      </c>
      <c r="G305" s="263" t="s">
        <v>3</v>
      </c>
      <c r="H305" s="260">
        <v>6</v>
      </c>
      <c r="I305" s="262" t="s">
        <v>583</v>
      </c>
      <c r="J305" s="112">
        <v>140</v>
      </c>
      <c r="K305" s="75">
        <v>400</v>
      </c>
      <c r="L305" s="75">
        <v>750</v>
      </c>
      <c r="M305" s="338">
        <v>15.831419609401108</v>
      </c>
      <c r="N305" s="87">
        <v>2808.6683161680003</v>
      </c>
      <c r="O305" s="123">
        <v>35491.571552876921</v>
      </c>
      <c r="P305" s="123">
        <v>42818.202446277181</v>
      </c>
      <c r="Q305" s="120">
        <v>11909.457889725263</v>
      </c>
      <c r="R305" s="123">
        <v>47401.029442602186</v>
      </c>
      <c r="S305" s="123">
        <v>54727.660336002446</v>
      </c>
      <c r="U305" s="7" t="s">
        <v>7156</v>
      </c>
    </row>
    <row r="306" spans="1:21" ht="16.5" thickBot="1">
      <c r="A306" s="259" t="s">
        <v>10</v>
      </c>
      <c r="B306" s="263">
        <f t="shared" si="18"/>
        <v>140</v>
      </c>
      <c r="C306" s="263" t="s">
        <v>3</v>
      </c>
      <c r="D306" s="263">
        <f t="shared" si="19"/>
        <v>400</v>
      </c>
      <c r="E306" s="263" t="s">
        <v>3</v>
      </c>
      <c r="F306" s="261">
        <f t="shared" si="20"/>
        <v>800</v>
      </c>
      <c r="G306" s="263" t="s">
        <v>3</v>
      </c>
      <c r="H306" s="260">
        <v>6</v>
      </c>
      <c r="I306" s="262" t="s">
        <v>583</v>
      </c>
      <c r="J306" s="112">
        <v>140</v>
      </c>
      <c r="K306" s="75">
        <v>400</v>
      </c>
      <c r="L306" s="75">
        <v>800</v>
      </c>
      <c r="M306" s="338">
        <v>16.664957136833443</v>
      </c>
      <c r="N306" s="87">
        <v>3159.751855689</v>
      </c>
      <c r="O306" s="123">
        <v>37615.075619274729</v>
      </c>
      <c r="P306" s="123">
        <v>45295.502829104567</v>
      </c>
      <c r="Q306" s="120">
        <v>12511.84958672524</v>
      </c>
      <c r="R306" s="123">
        <v>50126.925205999971</v>
      </c>
      <c r="S306" s="123">
        <v>57807.35241582981</v>
      </c>
      <c r="U306" s="7" t="s">
        <v>7157</v>
      </c>
    </row>
    <row r="307" spans="1:21" ht="16.5" thickBot="1">
      <c r="A307" s="259" t="s">
        <v>10</v>
      </c>
      <c r="B307" s="263">
        <f t="shared" si="18"/>
        <v>140</v>
      </c>
      <c r="C307" s="263" t="s">
        <v>3</v>
      </c>
      <c r="D307" s="263">
        <f t="shared" si="19"/>
        <v>400</v>
      </c>
      <c r="E307" s="263" t="s">
        <v>3</v>
      </c>
      <c r="F307" s="261">
        <f t="shared" si="20"/>
        <v>850</v>
      </c>
      <c r="G307" s="263" t="s">
        <v>3</v>
      </c>
      <c r="H307" s="260">
        <v>6</v>
      </c>
      <c r="I307" s="262" t="s">
        <v>583</v>
      </c>
      <c r="J307" s="112">
        <v>140</v>
      </c>
      <c r="K307" s="75">
        <v>400</v>
      </c>
      <c r="L307" s="75">
        <v>850</v>
      </c>
      <c r="M307" s="338">
        <v>17.514520784265777</v>
      </c>
      <c r="N307" s="87">
        <v>3510.8353952100001</v>
      </c>
      <c r="O307" s="123">
        <v>39738.028360938013</v>
      </c>
      <c r="P307" s="123">
        <v>47772.470921901935</v>
      </c>
      <c r="Q307" s="120">
        <v>13344.823201901852</v>
      </c>
      <c r="R307" s="123">
        <v>53082.851562839867</v>
      </c>
      <c r="S307" s="123">
        <v>61117.294123803789</v>
      </c>
      <c r="U307" s="7" t="s">
        <v>7158</v>
      </c>
    </row>
    <row r="308" spans="1:21" ht="16.5" thickBot="1">
      <c r="A308" s="259" t="s">
        <v>10</v>
      </c>
      <c r="B308" s="263">
        <f t="shared" si="18"/>
        <v>140</v>
      </c>
      <c r="C308" s="263" t="s">
        <v>3</v>
      </c>
      <c r="D308" s="263">
        <f t="shared" si="19"/>
        <v>400</v>
      </c>
      <c r="E308" s="263" t="s">
        <v>3</v>
      </c>
      <c r="F308" s="261">
        <f t="shared" si="20"/>
        <v>900</v>
      </c>
      <c r="G308" s="263" t="s">
        <v>3</v>
      </c>
      <c r="H308" s="260">
        <v>6</v>
      </c>
      <c r="I308" s="262" t="s">
        <v>583</v>
      </c>
      <c r="J308" s="112">
        <v>140</v>
      </c>
      <c r="K308" s="75">
        <v>400</v>
      </c>
      <c r="L308" s="75">
        <v>900</v>
      </c>
      <c r="M308" s="338">
        <v>18.497597811698117</v>
      </c>
      <c r="N308" s="87">
        <v>3861.9189347310007</v>
      </c>
      <c r="O308" s="123">
        <v>41861.217026627302</v>
      </c>
      <c r="P308" s="123">
        <v>50249.867531743927</v>
      </c>
      <c r="Q308" s="120">
        <v>13947.21489890183</v>
      </c>
      <c r="R308" s="123">
        <v>55808.431925529134</v>
      </c>
      <c r="S308" s="123">
        <v>64197.082430645758</v>
      </c>
      <c r="U308" s="7" t="s">
        <v>7159</v>
      </c>
    </row>
    <row r="309" spans="1:21" ht="16.5" thickBot="1">
      <c r="A309" s="259" t="s">
        <v>10</v>
      </c>
      <c r="B309" s="263">
        <f t="shared" si="18"/>
        <v>140</v>
      </c>
      <c r="C309" s="263" t="s">
        <v>3</v>
      </c>
      <c r="D309" s="263">
        <f t="shared" si="19"/>
        <v>400</v>
      </c>
      <c r="E309" s="263" t="s">
        <v>3</v>
      </c>
      <c r="F309" s="261">
        <f t="shared" si="20"/>
        <v>950</v>
      </c>
      <c r="G309" s="263" t="s">
        <v>3</v>
      </c>
      <c r="H309" s="260">
        <v>6</v>
      </c>
      <c r="I309" s="262" t="s">
        <v>583</v>
      </c>
      <c r="J309" s="112">
        <v>140</v>
      </c>
      <c r="K309" s="75">
        <v>400</v>
      </c>
      <c r="L309" s="75">
        <v>950</v>
      </c>
      <c r="M309" s="338">
        <v>19.347161459130454</v>
      </c>
      <c r="N309" s="87">
        <v>4213.002474252</v>
      </c>
      <c r="O309" s="123">
        <v>43984.603668016724</v>
      </c>
      <c r="P309" s="123">
        <v>52727.624764400425</v>
      </c>
      <c r="Q309" s="120">
        <v>14780.188514078442</v>
      </c>
      <c r="R309" s="123">
        <v>58764.792182095167</v>
      </c>
      <c r="S309" s="123">
        <v>67507.813278478861</v>
      </c>
      <c r="U309" s="7" t="s">
        <v>7160</v>
      </c>
    </row>
    <row r="310" spans="1:21" ht="16.5" thickBot="1">
      <c r="A310" s="259" t="s">
        <v>10</v>
      </c>
      <c r="B310" s="263">
        <f t="shared" si="18"/>
        <v>140</v>
      </c>
      <c r="C310" s="263" t="s">
        <v>3</v>
      </c>
      <c r="D310" s="263">
        <f t="shared" si="19"/>
        <v>400</v>
      </c>
      <c r="E310" s="263" t="s">
        <v>3</v>
      </c>
      <c r="F310" s="261">
        <f t="shared" si="20"/>
        <v>1000</v>
      </c>
      <c r="G310" s="263" t="s">
        <v>3</v>
      </c>
      <c r="H310" s="260">
        <v>6</v>
      </c>
      <c r="I310" s="262" t="s">
        <v>583</v>
      </c>
      <c r="J310" s="112">
        <v>140</v>
      </c>
      <c r="K310" s="75">
        <v>400</v>
      </c>
      <c r="L310" s="75">
        <v>1000</v>
      </c>
      <c r="M310" s="338">
        <v>20.180698986562785</v>
      </c>
      <c r="N310" s="87">
        <v>4564.0860137730006</v>
      </c>
      <c r="O310" s="123">
        <v>46039.90802941173</v>
      </c>
      <c r="P310" s="123">
        <v>55136.826712169197</v>
      </c>
      <c r="Q310" s="120">
        <v>15382.580351471779</v>
      </c>
      <c r="R310" s="123">
        <v>61422.488380883507</v>
      </c>
      <c r="S310" s="123">
        <v>70519.407063640974</v>
      </c>
      <c r="U310" s="7" t="s">
        <v>7161</v>
      </c>
    </row>
    <row r="311" spans="1:21" ht="16.5" thickBot="1">
      <c r="A311" s="259" t="s">
        <v>10</v>
      </c>
      <c r="B311" s="263">
        <f t="shared" si="18"/>
        <v>140</v>
      </c>
      <c r="C311" s="263" t="s">
        <v>3</v>
      </c>
      <c r="D311" s="263">
        <f t="shared" si="19"/>
        <v>400</v>
      </c>
      <c r="E311" s="263" t="s">
        <v>3</v>
      </c>
      <c r="F311" s="261">
        <f t="shared" si="20"/>
        <v>1050</v>
      </c>
      <c r="G311" s="263" t="s">
        <v>3</v>
      </c>
      <c r="H311" s="260">
        <v>6</v>
      </c>
      <c r="I311" s="262" t="s">
        <v>583</v>
      </c>
      <c r="J311" s="112">
        <v>140</v>
      </c>
      <c r="K311" s="75">
        <v>400</v>
      </c>
      <c r="L311" s="75">
        <v>1050</v>
      </c>
      <c r="M311" s="338">
        <v>21.030262633995122</v>
      </c>
      <c r="N311" s="87">
        <v>4915.1695532939993</v>
      </c>
      <c r="O311" s="123">
        <v>48381.593131453577</v>
      </c>
      <c r="P311" s="123">
        <v>57839.816394341855</v>
      </c>
      <c r="Q311" s="120">
        <v>16215.553826255029</v>
      </c>
      <c r="R311" s="123">
        <v>64597.14695770861</v>
      </c>
      <c r="S311" s="123">
        <v>74055.370220596888</v>
      </c>
      <c r="U311" s="7" t="s">
        <v>7162</v>
      </c>
    </row>
    <row r="312" spans="1:21" ht="16.5" thickBot="1">
      <c r="A312" s="259" t="s">
        <v>10</v>
      </c>
      <c r="B312" s="260">
        <f t="shared" si="18"/>
        <v>140</v>
      </c>
      <c r="C312" s="260" t="s">
        <v>3</v>
      </c>
      <c r="D312" s="260">
        <f t="shared" si="19"/>
        <v>400</v>
      </c>
      <c r="E312" s="260" t="s">
        <v>3</v>
      </c>
      <c r="F312" s="261">
        <f t="shared" si="20"/>
        <v>1100</v>
      </c>
      <c r="G312" s="260" t="s">
        <v>3</v>
      </c>
      <c r="H312" s="260">
        <v>6</v>
      </c>
      <c r="I312" s="262" t="s">
        <v>583</v>
      </c>
      <c r="J312" s="112">
        <v>140</v>
      </c>
      <c r="K312" s="75">
        <v>400</v>
      </c>
      <c r="L312" s="75">
        <v>1100</v>
      </c>
      <c r="M312" s="338">
        <v>21.863800161427459</v>
      </c>
      <c r="N312" s="87">
        <v>5266.2530928149999</v>
      </c>
      <c r="O312" s="123">
        <v>50512.907512256315</v>
      </c>
      <c r="P312" s="123">
        <v>60326.30234423915</v>
      </c>
      <c r="Q312" s="120">
        <v>16817.945663648366</v>
      </c>
      <c r="R312" s="123">
        <v>67330.853175904689</v>
      </c>
      <c r="S312" s="123">
        <v>77144.248007887509</v>
      </c>
      <c r="U312" s="7" t="s">
        <v>7163</v>
      </c>
    </row>
    <row r="313" spans="1:21" ht="16.5" thickBot="1">
      <c r="A313" s="259" t="s">
        <v>10</v>
      </c>
      <c r="B313" s="263">
        <f t="shared" si="18"/>
        <v>140</v>
      </c>
      <c r="C313" s="263" t="s">
        <v>3</v>
      </c>
      <c r="D313" s="263">
        <f t="shared" si="19"/>
        <v>400</v>
      </c>
      <c r="E313" s="263" t="s">
        <v>3</v>
      </c>
      <c r="F313" s="261">
        <f t="shared" si="20"/>
        <v>1150</v>
      </c>
      <c r="G313" s="263" t="s">
        <v>3</v>
      </c>
      <c r="H313" s="260">
        <v>6</v>
      </c>
      <c r="I313" s="262" t="s">
        <v>583</v>
      </c>
      <c r="J313" s="112">
        <v>140</v>
      </c>
      <c r="K313" s="75">
        <v>400</v>
      </c>
      <c r="L313" s="75">
        <v>1150</v>
      </c>
      <c r="M313" s="338">
        <v>22.69733768885979</v>
      </c>
      <c r="N313" s="87">
        <v>5617.3366323360005</v>
      </c>
      <c r="O313" s="123">
        <v>51934.088665409814</v>
      </c>
      <c r="P313" s="123">
        <v>62080.638590611423</v>
      </c>
      <c r="Q313" s="120">
        <v>17420.33736064834</v>
      </c>
      <c r="R313" s="123">
        <v>69354.42602605815</v>
      </c>
      <c r="S313" s="123">
        <v>79500.975951259767</v>
      </c>
      <c r="U313" s="7" t="s">
        <v>7164</v>
      </c>
    </row>
    <row r="314" spans="1:21" ht="16.5" thickBot="1">
      <c r="A314" s="259" t="s">
        <v>10</v>
      </c>
      <c r="B314" s="263">
        <f t="shared" si="18"/>
        <v>140</v>
      </c>
      <c r="C314" s="263" t="s">
        <v>3</v>
      </c>
      <c r="D314" s="263">
        <f t="shared" si="19"/>
        <v>400</v>
      </c>
      <c r="E314" s="263" t="s">
        <v>3</v>
      </c>
      <c r="F314" s="261">
        <f t="shared" si="20"/>
        <v>1200</v>
      </c>
      <c r="G314" s="263" t="s">
        <v>3</v>
      </c>
      <c r="H314" s="260">
        <v>6</v>
      </c>
      <c r="I314" s="262" t="s">
        <v>583</v>
      </c>
      <c r="J314" s="112">
        <v>140</v>
      </c>
      <c r="K314" s="75">
        <v>400</v>
      </c>
      <c r="L314" s="75">
        <v>1200</v>
      </c>
      <c r="M314" s="338">
        <v>23.694559836292122</v>
      </c>
      <c r="N314" s="87">
        <v>5968.4201718570002</v>
      </c>
      <c r="O314" s="123">
        <v>53460.585730970655</v>
      </c>
      <c r="P314" s="123">
        <v>63942.59502564976</v>
      </c>
      <c r="Q314" s="120">
        <v>18253.310975824952</v>
      </c>
      <c r="R314" s="123">
        <v>71713.896706795611</v>
      </c>
      <c r="S314" s="123">
        <v>82195.906001474708</v>
      </c>
      <c r="U314" s="7" t="s">
        <v>7165</v>
      </c>
    </row>
    <row r="315" spans="1:21" ht="16.5" thickBot="1">
      <c r="A315" s="259" t="s">
        <v>10</v>
      </c>
      <c r="B315" s="263">
        <f t="shared" si="18"/>
        <v>140</v>
      </c>
      <c r="C315" s="263" t="s">
        <v>3</v>
      </c>
      <c r="D315" s="263">
        <f t="shared" si="19"/>
        <v>400</v>
      </c>
      <c r="E315" s="263" t="s">
        <v>3</v>
      </c>
      <c r="F315" s="261">
        <f t="shared" si="20"/>
        <v>1250</v>
      </c>
      <c r="G315" s="263" t="s">
        <v>3</v>
      </c>
      <c r="H315" s="260">
        <v>6</v>
      </c>
      <c r="I315" s="262" t="s">
        <v>583</v>
      </c>
      <c r="J315" s="112">
        <v>140</v>
      </c>
      <c r="K315" s="75">
        <v>400</v>
      </c>
      <c r="L315" s="75">
        <v>1250</v>
      </c>
      <c r="M315" s="338">
        <v>25.338808363724461</v>
      </c>
      <c r="N315" s="87">
        <v>6319.5037113779999</v>
      </c>
      <c r="O315" s="123">
        <v>54877.506766873455</v>
      </c>
      <c r="P315" s="123">
        <v>65692.098769628472</v>
      </c>
      <c r="Q315" s="120">
        <v>18855.702672824929</v>
      </c>
      <c r="R315" s="123">
        <v>73733.209439698388</v>
      </c>
      <c r="S315" s="123">
        <v>84547.801442453405</v>
      </c>
      <c r="U315" s="7" t="s">
        <v>7166</v>
      </c>
    </row>
    <row r="316" spans="1:21" ht="16.5" thickBot="1">
      <c r="A316" s="259" t="s">
        <v>10</v>
      </c>
      <c r="B316" s="263">
        <f t="shared" si="18"/>
        <v>140</v>
      </c>
      <c r="C316" s="263" t="s">
        <v>3</v>
      </c>
      <c r="D316" s="263">
        <f t="shared" si="19"/>
        <v>400</v>
      </c>
      <c r="E316" s="263" t="s">
        <v>3</v>
      </c>
      <c r="F316" s="261">
        <f t="shared" si="20"/>
        <v>1300</v>
      </c>
      <c r="G316" s="263" t="s">
        <v>3</v>
      </c>
      <c r="H316" s="260">
        <v>6</v>
      </c>
      <c r="I316" s="262" t="s">
        <v>583</v>
      </c>
      <c r="J316" s="112">
        <v>140</v>
      </c>
      <c r="K316" s="75">
        <v>400</v>
      </c>
      <c r="L316" s="75">
        <v>1300</v>
      </c>
      <c r="M316" s="338">
        <v>26.188372011156797</v>
      </c>
      <c r="N316" s="87">
        <v>6670.5872508990005</v>
      </c>
      <c r="O316" s="123">
        <v>58527.89836085189</v>
      </c>
      <c r="P316" s="123">
        <v>69739.336106087067</v>
      </c>
      <c r="Q316" s="120">
        <v>19688.676288001541</v>
      </c>
      <c r="R316" s="123">
        <v>78216.574648853435</v>
      </c>
      <c r="S316" s="123">
        <v>89428.012394088611</v>
      </c>
      <c r="U316" s="7" t="s">
        <v>7167</v>
      </c>
    </row>
    <row r="317" spans="1:21" ht="16.5" thickBot="1">
      <c r="A317" s="259" t="s">
        <v>10</v>
      </c>
      <c r="B317" s="263">
        <f t="shared" si="18"/>
        <v>140</v>
      </c>
      <c r="C317" s="263" t="s">
        <v>3</v>
      </c>
      <c r="D317" s="263">
        <f t="shared" si="19"/>
        <v>400</v>
      </c>
      <c r="E317" s="263" t="s">
        <v>3</v>
      </c>
      <c r="F317" s="261">
        <f t="shared" si="20"/>
        <v>1350</v>
      </c>
      <c r="G317" s="263" t="s">
        <v>3</v>
      </c>
      <c r="H317" s="260">
        <v>6</v>
      </c>
      <c r="I317" s="262" t="s">
        <v>583</v>
      </c>
      <c r="J317" s="112">
        <v>140</v>
      </c>
      <c r="K317" s="75">
        <v>400</v>
      </c>
      <c r="L317" s="75">
        <v>1350</v>
      </c>
      <c r="M317" s="338">
        <v>27.021909538589131</v>
      </c>
      <c r="N317" s="87">
        <v>7021.6707904200002</v>
      </c>
      <c r="O317" s="123">
        <v>60149.013610285961</v>
      </c>
      <c r="P317" s="123">
        <v>71700.034514678598</v>
      </c>
      <c r="Q317" s="120">
        <v>20291.067985001515</v>
      </c>
      <c r="R317" s="123">
        <v>80440.081595287484</v>
      </c>
      <c r="S317" s="123">
        <v>91991.102499680113</v>
      </c>
      <c r="U317" s="7" t="s">
        <v>7168</v>
      </c>
    </row>
    <row r="318" spans="1:21" ht="16.5" thickBot="1">
      <c r="A318" s="259" t="s">
        <v>10</v>
      </c>
      <c r="B318" s="263">
        <f t="shared" si="18"/>
        <v>140</v>
      </c>
      <c r="C318" s="263" t="s">
        <v>3</v>
      </c>
      <c r="D318" s="263">
        <f t="shared" si="19"/>
        <v>400</v>
      </c>
      <c r="E318" s="263" t="s">
        <v>3</v>
      </c>
      <c r="F318" s="261">
        <f t="shared" si="20"/>
        <v>1400</v>
      </c>
      <c r="G318" s="263" t="s">
        <v>3</v>
      </c>
      <c r="H318" s="260">
        <v>6</v>
      </c>
      <c r="I318" s="262" t="s">
        <v>583</v>
      </c>
      <c r="J318" s="112">
        <v>140</v>
      </c>
      <c r="K318" s="75">
        <v>400</v>
      </c>
      <c r="L318" s="75">
        <v>1400</v>
      </c>
      <c r="M318" s="338">
        <v>27.871473186021468</v>
      </c>
      <c r="N318" s="87">
        <v>7372.7543299409999</v>
      </c>
      <c r="O318" s="123">
        <v>62073.660095647858</v>
      </c>
      <c r="P318" s="123">
        <v>73973.167416274882</v>
      </c>
      <c r="Q318" s="120">
        <v>21124.04160017813</v>
      </c>
      <c r="R318" s="123">
        <v>83197.701695825992</v>
      </c>
      <c r="S318" s="123">
        <v>95097.209016453009</v>
      </c>
      <c r="U318" s="7" t="s">
        <v>7169</v>
      </c>
    </row>
    <row r="319" spans="1:21" ht="16.5" thickBot="1">
      <c r="A319" s="259" t="s">
        <v>10</v>
      </c>
      <c r="B319" s="263">
        <f t="shared" si="18"/>
        <v>140</v>
      </c>
      <c r="C319" s="263" t="s">
        <v>3</v>
      </c>
      <c r="D319" s="263">
        <f t="shared" si="19"/>
        <v>400</v>
      </c>
      <c r="E319" s="263" t="s">
        <v>3</v>
      </c>
      <c r="F319" s="261">
        <f t="shared" si="20"/>
        <v>1450</v>
      </c>
      <c r="G319" s="263" t="s">
        <v>3</v>
      </c>
      <c r="H319" s="260">
        <v>6</v>
      </c>
      <c r="I319" s="262" t="s">
        <v>583</v>
      </c>
      <c r="J319" s="112">
        <v>140</v>
      </c>
      <c r="K319" s="75">
        <v>400</v>
      </c>
      <c r="L319" s="75">
        <v>1450</v>
      </c>
      <c r="M319" s="338">
        <v>28.705010713453806</v>
      </c>
      <c r="N319" s="87">
        <v>7723.8378694620014</v>
      </c>
      <c r="O319" s="123">
        <v>63695.287886150072</v>
      </c>
      <c r="P319" s="123">
        <v>75934.3773817771</v>
      </c>
      <c r="Q319" s="120">
        <v>21726.433297178104</v>
      </c>
      <c r="R319" s="123">
        <v>85421.721183328176</v>
      </c>
      <c r="S319" s="123">
        <v>97660.810678955197</v>
      </c>
      <c r="U319" s="7" t="s">
        <v>7170</v>
      </c>
    </row>
    <row r="320" spans="1:21" ht="16.5" thickBot="1">
      <c r="A320" s="259" t="s">
        <v>10</v>
      </c>
      <c r="B320" s="263">
        <f t="shared" si="18"/>
        <v>140</v>
      </c>
      <c r="C320" s="263" t="s">
        <v>3</v>
      </c>
      <c r="D320" s="263">
        <f t="shared" si="19"/>
        <v>400</v>
      </c>
      <c r="E320" s="263" t="s">
        <v>3</v>
      </c>
      <c r="F320" s="261">
        <f t="shared" si="20"/>
        <v>1500</v>
      </c>
      <c r="G320" s="263" t="s">
        <v>3</v>
      </c>
      <c r="H320" s="260">
        <v>6</v>
      </c>
      <c r="I320" s="262" t="s">
        <v>583</v>
      </c>
      <c r="J320" s="112">
        <v>140</v>
      </c>
      <c r="K320" s="75">
        <v>400</v>
      </c>
      <c r="L320" s="75">
        <v>1500</v>
      </c>
      <c r="M320" s="338">
        <v>29.522241187855524</v>
      </c>
      <c r="N320" s="87">
        <v>8074.9214089829993</v>
      </c>
      <c r="O320" s="123">
        <v>65963.944299053226</v>
      </c>
      <c r="P320" s="123">
        <v>78775.344460251508</v>
      </c>
      <c r="Q320" s="120">
        <v>22559.406912354716</v>
      </c>
      <c r="R320" s="123">
        <v>88523.351211407949</v>
      </c>
      <c r="S320" s="123">
        <v>101334.75137260623</v>
      </c>
      <c r="U320" s="7" t="s">
        <v>7171</v>
      </c>
    </row>
    <row r="321" spans="1:21" ht="16.5" thickBot="1">
      <c r="A321" s="259" t="s">
        <v>10</v>
      </c>
      <c r="B321" s="263">
        <f t="shared" si="18"/>
        <v>140</v>
      </c>
      <c r="C321" s="263" t="s">
        <v>3</v>
      </c>
      <c r="D321" s="263">
        <f t="shared" si="19"/>
        <v>400</v>
      </c>
      <c r="E321" s="263" t="s">
        <v>3</v>
      </c>
      <c r="F321" s="261">
        <f t="shared" si="20"/>
        <v>1550</v>
      </c>
      <c r="G321" s="263" t="s">
        <v>3</v>
      </c>
      <c r="H321" s="260">
        <v>6</v>
      </c>
      <c r="I321" s="262" t="s">
        <v>583</v>
      </c>
      <c r="J321" s="112">
        <v>140</v>
      </c>
      <c r="K321" s="75">
        <v>400</v>
      </c>
      <c r="L321" s="75">
        <v>1550</v>
      </c>
      <c r="M321" s="338">
        <v>30.355778715287855</v>
      </c>
      <c r="N321" s="87">
        <v>8426.0049485039999</v>
      </c>
      <c r="O321" s="123">
        <v>67585.92830261444</v>
      </c>
      <c r="P321" s="123">
        <v>80736.887107481234</v>
      </c>
      <c r="Q321" s="120">
        <v>23161.79860935469</v>
      </c>
      <c r="R321" s="123">
        <v>90747.726911969134</v>
      </c>
      <c r="S321" s="123">
        <v>103898.68571683593</v>
      </c>
      <c r="U321" s="7" t="s">
        <v>7172</v>
      </c>
    </row>
    <row r="322" spans="1:21" ht="16.5" thickBot="1">
      <c r="A322" s="259" t="s">
        <v>10</v>
      </c>
      <c r="B322" s="260">
        <f t="shared" si="18"/>
        <v>140</v>
      </c>
      <c r="C322" s="260" t="s">
        <v>3</v>
      </c>
      <c r="D322" s="260">
        <f t="shared" si="19"/>
        <v>400</v>
      </c>
      <c r="E322" s="260" t="s">
        <v>3</v>
      </c>
      <c r="F322" s="261">
        <f t="shared" si="20"/>
        <v>1600</v>
      </c>
      <c r="G322" s="260" t="s">
        <v>3</v>
      </c>
      <c r="H322" s="260">
        <v>6</v>
      </c>
      <c r="I322" s="262" t="s">
        <v>583</v>
      </c>
      <c r="J322" s="112">
        <v>140</v>
      </c>
      <c r="K322" s="75">
        <v>400</v>
      </c>
      <c r="L322" s="75">
        <v>1600</v>
      </c>
      <c r="M322" s="338">
        <v>31.189316242720185</v>
      </c>
      <c r="N322" s="87">
        <v>8777.0884880249996</v>
      </c>
      <c r="O322" s="123">
        <v>71010.107181309606</v>
      </c>
      <c r="P322" s="123">
        <v>84553.777730975169</v>
      </c>
      <c r="Q322" s="120">
        <v>23764.190446748027</v>
      </c>
      <c r="R322" s="123">
        <v>94774.297628057626</v>
      </c>
      <c r="S322" s="123">
        <v>108317.9681777232</v>
      </c>
      <c r="U322" s="7" t="s">
        <v>7173</v>
      </c>
    </row>
    <row r="323" spans="1:21" ht="16.5" thickBot="1">
      <c r="A323" s="259" t="s">
        <v>10</v>
      </c>
      <c r="B323" s="263">
        <f t="shared" si="18"/>
        <v>140</v>
      </c>
      <c r="C323" s="263" t="s">
        <v>3</v>
      </c>
      <c r="D323" s="263">
        <f t="shared" si="19"/>
        <v>400</v>
      </c>
      <c r="E323" s="263" t="s">
        <v>3</v>
      </c>
      <c r="F323" s="261">
        <f t="shared" si="20"/>
        <v>1650</v>
      </c>
      <c r="G323" s="263" t="s">
        <v>3</v>
      </c>
      <c r="H323" s="260">
        <v>6</v>
      </c>
      <c r="I323" s="262" t="s">
        <v>583</v>
      </c>
      <c r="J323" s="112">
        <v>140</v>
      </c>
      <c r="K323" s="75">
        <v>400</v>
      </c>
      <c r="L323" s="75">
        <v>1650</v>
      </c>
      <c r="M323" s="338">
        <v>32.038879890152529</v>
      </c>
      <c r="N323" s="87">
        <v>9128.1720275460011</v>
      </c>
      <c r="O323" s="123">
        <v>74665.814046933301</v>
      </c>
      <c r="P323" s="123">
        <v>88609.065756334297</v>
      </c>
      <c r="Q323" s="120">
        <v>24597.164061924639</v>
      </c>
      <c r="R323" s="123">
        <v>99262.978108857933</v>
      </c>
      <c r="S323" s="123">
        <v>113206.22981825893</v>
      </c>
      <c r="U323" s="7" t="s">
        <v>7174</v>
      </c>
    </row>
    <row r="324" spans="1:21" ht="16.5" thickBot="1">
      <c r="A324" s="259" t="s">
        <v>10</v>
      </c>
      <c r="B324" s="263">
        <f t="shared" si="18"/>
        <v>140</v>
      </c>
      <c r="C324" s="263" t="s">
        <v>3</v>
      </c>
      <c r="D324" s="263">
        <f t="shared" si="19"/>
        <v>400</v>
      </c>
      <c r="E324" s="263" t="s">
        <v>3</v>
      </c>
      <c r="F324" s="261">
        <f t="shared" si="20"/>
        <v>1700</v>
      </c>
      <c r="G324" s="263" t="s">
        <v>3</v>
      </c>
      <c r="H324" s="260">
        <v>6</v>
      </c>
      <c r="I324" s="262" t="s">
        <v>583</v>
      </c>
      <c r="J324" s="112">
        <v>140</v>
      </c>
      <c r="K324" s="75">
        <v>400</v>
      </c>
      <c r="L324" s="75">
        <v>1700</v>
      </c>
      <c r="M324" s="338">
        <v>33.683128417584854</v>
      </c>
      <c r="N324" s="87">
        <v>9479.2555670670008</v>
      </c>
      <c r="O324" s="123">
        <v>76126.45477628184</v>
      </c>
      <c r="P324" s="123">
        <v>90404.89020823632</v>
      </c>
      <c r="Q324" s="120">
        <v>25199.55575892462</v>
      </c>
      <c r="R324" s="123">
        <v>101326.01053520646</v>
      </c>
      <c r="S324" s="123">
        <v>115604.44596716094</v>
      </c>
      <c r="U324" s="7" t="s">
        <v>7175</v>
      </c>
    </row>
    <row r="325" spans="1:21" ht="16.5" thickBot="1">
      <c r="A325" s="259" t="s">
        <v>10</v>
      </c>
      <c r="B325" s="263">
        <f t="shared" si="18"/>
        <v>140</v>
      </c>
      <c r="C325" s="263" t="s">
        <v>3</v>
      </c>
      <c r="D325" s="263">
        <f t="shared" si="19"/>
        <v>400</v>
      </c>
      <c r="E325" s="263" t="s">
        <v>3</v>
      </c>
      <c r="F325" s="261">
        <f t="shared" si="20"/>
        <v>1750</v>
      </c>
      <c r="G325" s="263" t="s">
        <v>3</v>
      </c>
      <c r="H325" s="260">
        <v>6</v>
      </c>
      <c r="I325" s="262" t="s">
        <v>583</v>
      </c>
      <c r="J325" s="112">
        <v>140</v>
      </c>
      <c r="K325" s="75">
        <v>400</v>
      </c>
      <c r="L325" s="75">
        <v>1750</v>
      </c>
      <c r="M325" s="338">
        <v>34.532692065017194</v>
      </c>
      <c r="N325" s="87">
        <v>9830.3391065879987</v>
      </c>
      <c r="O325" s="123">
        <v>77516.946951225051</v>
      </c>
      <c r="P325" s="123">
        <v>92128.588138747116</v>
      </c>
      <c r="Q325" s="120">
        <v>26032.529374101232</v>
      </c>
      <c r="R325" s="123">
        <v>103549.47632532628</v>
      </c>
      <c r="S325" s="123">
        <v>118161.11751284834</v>
      </c>
      <c r="U325" s="7" t="s">
        <v>7176</v>
      </c>
    </row>
    <row r="326" spans="1:21" ht="16.5" thickBot="1">
      <c r="A326" s="259" t="s">
        <v>10</v>
      </c>
      <c r="B326" s="263">
        <f t="shared" si="18"/>
        <v>140</v>
      </c>
      <c r="C326" s="263" t="s">
        <v>3</v>
      </c>
      <c r="D326" s="263">
        <f t="shared" si="19"/>
        <v>400</v>
      </c>
      <c r="E326" s="263" t="s">
        <v>3</v>
      </c>
      <c r="F326" s="261">
        <f t="shared" si="20"/>
        <v>1800</v>
      </c>
      <c r="G326" s="263" t="s">
        <v>3</v>
      </c>
      <c r="H326" s="260">
        <v>6</v>
      </c>
      <c r="I326" s="262" t="s">
        <v>583</v>
      </c>
      <c r="J326" s="112">
        <v>140</v>
      </c>
      <c r="K326" s="75">
        <v>400</v>
      </c>
      <c r="L326" s="75">
        <v>1800</v>
      </c>
      <c r="M326" s="338">
        <v>35.366229592449521</v>
      </c>
      <c r="N326" s="87">
        <v>10181.422646108998</v>
      </c>
      <c r="O326" s="123">
        <v>78978.812289756679</v>
      </c>
      <c r="P326" s="123">
        <v>93925.842025324513</v>
      </c>
      <c r="Q326" s="120">
        <v>26634.921071101206</v>
      </c>
      <c r="R326" s="123">
        <v>105613.73336085788</v>
      </c>
      <c r="S326" s="123">
        <v>120560.76309642571</v>
      </c>
      <c r="U326" s="7" t="s">
        <v>7177</v>
      </c>
    </row>
    <row r="327" spans="1:21" ht="16.5" thickBot="1">
      <c r="A327" s="259" t="s">
        <v>10</v>
      </c>
      <c r="B327" s="263">
        <f t="shared" si="18"/>
        <v>140</v>
      </c>
      <c r="C327" s="263" t="s">
        <v>3</v>
      </c>
      <c r="D327" s="263">
        <f t="shared" si="19"/>
        <v>400</v>
      </c>
      <c r="E327" s="263" t="s">
        <v>3</v>
      </c>
      <c r="F327" s="261">
        <f t="shared" si="20"/>
        <v>1850</v>
      </c>
      <c r="G327" s="263" t="s">
        <v>3</v>
      </c>
      <c r="H327" s="260">
        <v>6</v>
      </c>
      <c r="I327" s="262" t="s">
        <v>583</v>
      </c>
      <c r="J327" s="112">
        <v>140</v>
      </c>
      <c r="K327" s="75">
        <v>400</v>
      </c>
      <c r="L327" s="75">
        <v>1850</v>
      </c>
      <c r="M327" s="338">
        <v>36.215793239881869</v>
      </c>
      <c r="N327" s="87">
        <v>10532.50618563</v>
      </c>
      <c r="O327" s="123">
        <v>80440.881451371984</v>
      </c>
      <c r="P327" s="123">
        <v>95723.378586917635</v>
      </c>
      <c r="Q327" s="120">
        <v>27467.894686277818</v>
      </c>
      <c r="R327" s="123">
        <v>107908.77613764981</v>
      </c>
      <c r="S327" s="123">
        <v>123191.27327319546</v>
      </c>
      <c r="U327" s="7" t="s">
        <v>7178</v>
      </c>
    </row>
    <row r="328" spans="1:21" ht="16.5" thickBot="1">
      <c r="A328" s="259" t="s">
        <v>10</v>
      </c>
      <c r="B328" s="263">
        <f t="shared" si="18"/>
        <v>140</v>
      </c>
      <c r="C328" s="263" t="s">
        <v>3</v>
      </c>
      <c r="D328" s="263">
        <f t="shared" si="19"/>
        <v>400</v>
      </c>
      <c r="E328" s="263" t="s">
        <v>3</v>
      </c>
      <c r="F328" s="261">
        <f t="shared" si="20"/>
        <v>1900</v>
      </c>
      <c r="G328" s="263" t="s">
        <v>3</v>
      </c>
      <c r="H328" s="260">
        <v>6</v>
      </c>
      <c r="I328" s="262" t="s">
        <v>583</v>
      </c>
      <c r="J328" s="112">
        <v>140</v>
      </c>
      <c r="K328" s="75">
        <v>400</v>
      </c>
      <c r="L328" s="75">
        <v>1900</v>
      </c>
      <c r="M328" s="338">
        <v>37.049330767314203</v>
      </c>
      <c r="N328" s="87">
        <v>10883.589725151001</v>
      </c>
      <c r="O328" s="123">
        <v>82065.038533594648</v>
      </c>
      <c r="P328" s="123">
        <v>97687.825540405931</v>
      </c>
      <c r="Q328" s="120">
        <v>28070.286383277791</v>
      </c>
      <c r="R328" s="123">
        <v>110135.32491687244</v>
      </c>
      <c r="S328" s="123">
        <v>125758.11192368373</v>
      </c>
      <c r="U328" s="7" t="s">
        <v>7179</v>
      </c>
    </row>
    <row r="329" spans="1:21" ht="16.5" thickBot="1">
      <c r="A329" s="259" t="s">
        <v>10</v>
      </c>
      <c r="B329" s="263">
        <f t="shared" si="18"/>
        <v>140</v>
      </c>
      <c r="C329" s="263" t="s">
        <v>3</v>
      </c>
      <c r="D329" s="263">
        <f t="shared" si="19"/>
        <v>400</v>
      </c>
      <c r="E329" s="263" t="s">
        <v>3</v>
      </c>
      <c r="F329" s="261">
        <f t="shared" si="20"/>
        <v>1950</v>
      </c>
      <c r="G329" s="263" t="s">
        <v>3</v>
      </c>
      <c r="H329" s="260">
        <v>6</v>
      </c>
      <c r="I329" s="262" t="s">
        <v>583</v>
      </c>
      <c r="J329" s="112">
        <v>140</v>
      </c>
      <c r="K329" s="75">
        <v>400</v>
      </c>
      <c r="L329" s="75">
        <v>1950</v>
      </c>
      <c r="M329" s="338">
        <v>38.030526794746528</v>
      </c>
      <c r="N329" s="87">
        <v>11234.673264672001</v>
      </c>
      <c r="O329" s="123">
        <v>83914.080975035176</v>
      </c>
      <c r="P329" s="123">
        <v>99883.801480423484</v>
      </c>
      <c r="Q329" s="120">
        <v>28672.678220671129</v>
      </c>
      <c r="R329" s="123">
        <v>112586.75919570631</v>
      </c>
      <c r="S329" s="123">
        <v>128556.47970109462</v>
      </c>
      <c r="U329" s="7" t="s">
        <v>7180</v>
      </c>
    </row>
    <row r="330" spans="1:21" ht="16.5" thickBot="1">
      <c r="A330" s="259" t="s">
        <v>10</v>
      </c>
      <c r="B330" s="263">
        <f t="shared" si="18"/>
        <v>140</v>
      </c>
      <c r="C330" s="263" t="s">
        <v>3</v>
      </c>
      <c r="D330" s="263">
        <f t="shared" si="19"/>
        <v>400</v>
      </c>
      <c r="E330" s="263" t="s">
        <v>3</v>
      </c>
      <c r="F330" s="261">
        <f t="shared" si="20"/>
        <v>2000</v>
      </c>
      <c r="G330" s="263" t="s">
        <v>3</v>
      </c>
      <c r="H330" s="260">
        <v>6</v>
      </c>
      <c r="I330" s="262" t="s">
        <v>583</v>
      </c>
      <c r="J330" s="112">
        <v>140</v>
      </c>
      <c r="K330" s="75">
        <v>400</v>
      </c>
      <c r="L330" s="75">
        <v>2000</v>
      </c>
      <c r="M330" s="338">
        <v>38.966204879378871</v>
      </c>
      <c r="N330" s="87">
        <v>11585.756804192999</v>
      </c>
      <c r="O330" s="123">
        <v>85582.242721150789</v>
      </c>
      <c r="P330" s="123">
        <v>102090.36030299282</v>
      </c>
      <c r="Q330" s="120">
        <v>29505.651695454384</v>
      </c>
      <c r="R330" s="123">
        <v>115087.89441660518</v>
      </c>
      <c r="S330" s="123">
        <v>131596.01199844721</v>
      </c>
      <c r="U330" s="7" t="s">
        <v>7181</v>
      </c>
    </row>
    <row r="331" spans="1:21" ht="16.5" thickBot="1">
      <c r="A331" s="259" t="s">
        <v>10</v>
      </c>
      <c r="B331" s="263">
        <f t="shared" si="18"/>
        <v>140</v>
      </c>
      <c r="C331" s="263" t="s">
        <v>3</v>
      </c>
      <c r="D331" s="263">
        <f t="shared" si="19"/>
        <v>400</v>
      </c>
      <c r="E331" s="263" t="s">
        <v>3</v>
      </c>
      <c r="F331" s="261">
        <f t="shared" si="20"/>
        <v>2050</v>
      </c>
      <c r="G331" s="263" t="s">
        <v>3</v>
      </c>
      <c r="H331" s="260">
        <v>6</v>
      </c>
      <c r="I331" s="262" t="s">
        <v>583</v>
      </c>
      <c r="J331" s="112">
        <v>140</v>
      </c>
      <c r="K331" s="75">
        <v>400</v>
      </c>
      <c r="L331" s="75">
        <v>2050</v>
      </c>
      <c r="M331" s="338">
        <v>40.610453406811196</v>
      </c>
      <c r="N331" s="87">
        <v>11936.840343714</v>
      </c>
      <c r="O331" s="123">
        <v>89110.729614264594</v>
      </c>
      <c r="P331" s="123">
        <v>106009.81887047223</v>
      </c>
      <c r="Q331" s="120">
        <v>30108.043532847722</v>
      </c>
      <c r="R331" s="123">
        <v>119218.77314711231</v>
      </c>
      <c r="S331" s="123">
        <v>136117.86240331994</v>
      </c>
      <c r="U331" s="7" t="s">
        <v>7182</v>
      </c>
    </row>
    <row r="332" spans="1:21" ht="16.5" thickBot="1">
      <c r="A332" s="259" t="s">
        <v>10</v>
      </c>
      <c r="B332" s="260">
        <f t="shared" si="18"/>
        <v>140</v>
      </c>
      <c r="C332" s="260" t="s">
        <v>3</v>
      </c>
      <c r="D332" s="260">
        <f t="shared" si="19"/>
        <v>400</v>
      </c>
      <c r="E332" s="260" t="s">
        <v>3</v>
      </c>
      <c r="F332" s="261">
        <f t="shared" si="20"/>
        <v>2100</v>
      </c>
      <c r="G332" s="260" t="s">
        <v>3</v>
      </c>
      <c r="H332" s="260">
        <v>6</v>
      </c>
      <c r="I332" s="262" t="s">
        <v>583</v>
      </c>
      <c r="J332" s="112">
        <v>140</v>
      </c>
      <c r="K332" s="75">
        <v>400</v>
      </c>
      <c r="L332" s="75">
        <v>2100</v>
      </c>
      <c r="M332" s="338">
        <v>41.460017054243529</v>
      </c>
      <c r="N332" s="87">
        <v>12287.923883235002</v>
      </c>
      <c r="O332" s="123">
        <v>90630.048121512416</v>
      </c>
      <c r="P332" s="123">
        <v>107866.58505275068</v>
      </c>
      <c r="Q332" s="120">
        <v>30941.01700763097</v>
      </c>
      <c r="R332" s="123">
        <v>121571.06512914339</v>
      </c>
      <c r="S332" s="123">
        <v>138807.60206038164</v>
      </c>
      <c r="U332" s="7" t="s">
        <v>7183</v>
      </c>
    </row>
    <row r="333" spans="1:21" ht="16.5" thickBot="1">
      <c r="A333" s="259" t="s">
        <v>10</v>
      </c>
      <c r="B333" s="263">
        <f t="shared" si="18"/>
        <v>140</v>
      </c>
      <c r="C333" s="263" t="s">
        <v>3</v>
      </c>
      <c r="D333" s="263">
        <f t="shared" si="19"/>
        <v>400</v>
      </c>
      <c r="E333" s="263" t="s">
        <v>3</v>
      </c>
      <c r="F333" s="261">
        <f t="shared" si="20"/>
        <v>2150</v>
      </c>
      <c r="G333" s="263" t="s">
        <v>3</v>
      </c>
      <c r="H333" s="260">
        <v>6</v>
      </c>
      <c r="I333" s="262" t="s">
        <v>583</v>
      </c>
      <c r="J333" s="112">
        <v>140</v>
      </c>
      <c r="K333" s="75">
        <v>400</v>
      </c>
      <c r="L333" s="75">
        <v>2150</v>
      </c>
      <c r="M333" s="338">
        <v>42.293554581675878</v>
      </c>
      <c r="N333" s="87">
        <v>12639.007422756</v>
      </c>
      <c r="O333" s="123">
        <v>92286.103874333698</v>
      </c>
      <c r="P333" s="123">
        <v>109864.10132723571</v>
      </c>
      <c r="Q333" s="120">
        <v>31543.408845024307</v>
      </c>
      <c r="R333" s="123">
        <v>123829.512719358</v>
      </c>
      <c r="S333" s="123">
        <v>141407.51017226002</v>
      </c>
      <c r="U333" s="7" t="s">
        <v>7184</v>
      </c>
    </row>
    <row r="334" spans="1:21" ht="16.5" thickBot="1">
      <c r="A334" s="259" t="s">
        <v>10</v>
      </c>
      <c r="B334" s="263">
        <f t="shared" si="18"/>
        <v>140</v>
      </c>
      <c r="C334" s="263" t="s">
        <v>3</v>
      </c>
      <c r="D334" s="263">
        <f t="shared" si="19"/>
        <v>400</v>
      </c>
      <c r="E334" s="263" t="s">
        <v>3</v>
      </c>
      <c r="F334" s="261">
        <f t="shared" si="20"/>
        <v>2200</v>
      </c>
      <c r="G334" s="263" t="s">
        <v>3</v>
      </c>
      <c r="H334" s="260">
        <v>6</v>
      </c>
      <c r="I334" s="262" t="s">
        <v>583</v>
      </c>
      <c r="J334" s="112">
        <v>140</v>
      </c>
      <c r="K334" s="75">
        <v>400</v>
      </c>
      <c r="L334" s="75">
        <v>2200</v>
      </c>
      <c r="M334" s="338">
        <v>43.143118229108204</v>
      </c>
      <c r="N334" s="87">
        <v>12990.090962277001</v>
      </c>
      <c r="O334" s="123">
        <v>93942.252588619944</v>
      </c>
      <c r="P334" s="123">
        <v>111861.74673132376</v>
      </c>
      <c r="Q334" s="120">
        <v>32376.382319807555</v>
      </c>
      <c r="R334" s="123">
        <v>126318.6349084275</v>
      </c>
      <c r="S334" s="123">
        <v>144238.12905113131</v>
      </c>
      <c r="U334" s="7" t="s">
        <v>7185</v>
      </c>
    </row>
    <row r="335" spans="1:21" ht="16.5" thickBot="1">
      <c r="A335" s="259" t="s">
        <v>10</v>
      </c>
      <c r="B335" s="263">
        <f t="shared" si="18"/>
        <v>140</v>
      </c>
      <c r="C335" s="263" t="s">
        <v>3</v>
      </c>
      <c r="D335" s="263">
        <f t="shared" si="19"/>
        <v>400</v>
      </c>
      <c r="E335" s="263" t="s">
        <v>3</v>
      </c>
      <c r="F335" s="261">
        <f t="shared" si="20"/>
        <v>2250</v>
      </c>
      <c r="G335" s="263" t="s">
        <v>3</v>
      </c>
      <c r="H335" s="260">
        <v>6</v>
      </c>
      <c r="I335" s="262" t="s">
        <v>583</v>
      </c>
      <c r="J335" s="112">
        <v>140</v>
      </c>
      <c r="K335" s="75">
        <v>400</v>
      </c>
      <c r="L335" s="75">
        <v>2250</v>
      </c>
      <c r="M335" s="338">
        <v>43.976655756540538</v>
      </c>
      <c r="N335" s="87">
        <v>13341.174501798001</v>
      </c>
      <c r="O335" s="123">
        <v>95829.864968615686</v>
      </c>
      <c r="P335" s="123">
        <v>114095.74944622818</v>
      </c>
      <c r="Q335" s="120">
        <v>32978.774157200758</v>
      </c>
      <c r="R335" s="123">
        <v>128808.63912581644</v>
      </c>
      <c r="S335" s="123">
        <v>147074.52360342894</v>
      </c>
      <c r="U335" s="7" t="s">
        <v>7186</v>
      </c>
    </row>
    <row r="336" spans="1:21" ht="16.5" thickBot="1">
      <c r="A336" s="259" t="s">
        <v>10</v>
      </c>
      <c r="B336" s="263">
        <f t="shared" si="18"/>
        <v>140</v>
      </c>
      <c r="C336" s="263" t="s">
        <v>3</v>
      </c>
      <c r="D336" s="263">
        <f t="shared" si="19"/>
        <v>400</v>
      </c>
      <c r="E336" s="263" t="s">
        <v>3</v>
      </c>
      <c r="F336" s="261">
        <f t="shared" si="20"/>
        <v>2300</v>
      </c>
      <c r="G336" s="263" t="s">
        <v>3</v>
      </c>
      <c r="H336" s="260">
        <v>6</v>
      </c>
      <c r="I336" s="262" t="s">
        <v>583</v>
      </c>
      <c r="J336" s="112">
        <v>140</v>
      </c>
      <c r="K336" s="75">
        <v>400</v>
      </c>
      <c r="L336" s="75">
        <v>2300</v>
      </c>
      <c r="M336" s="338">
        <v>44.810193283972872</v>
      </c>
      <c r="N336" s="87">
        <v>13692.258041318999</v>
      </c>
      <c r="O336" s="123">
        <v>97197.12226669454</v>
      </c>
      <c r="P336" s="123">
        <v>115794.22297289918</v>
      </c>
      <c r="Q336" s="120">
        <v>33581.165854200874</v>
      </c>
      <c r="R336" s="123">
        <v>130778.28812089542</v>
      </c>
      <c r="S336" s="123">
        <v>149375.38882710005</v>
      </c>
      <c r="U336" s="7" t="s">
        <v>7187</v>
      </c>
    </row>
    <row r="337" spans="1:21" ht="16.5" thickBot="1">
      <c r="A337" s="259" t="s">
        <v>10</v>
      </c>
      <c r="B337" s="263">
        <f t="shared" si="18"/>
        <v>140</v>
      </c>
      <c r="C337" s="263" t="s">
        <v>3</v>
      </c>
      <c r="D337" s="263">
        <f t="shared" si="19"/>
        <v>400</v>
      </c>
      <c r="E337" s="263" t="s">
        <v>3</v>
      </c>
      <c r="F337" s="261">
        <f t="shared" si="20"/>
        <v>2350</v>
      </c>
      <c r="G337" s="263" t="s">
        <v>3</v>
      </c>
      <c r="H337" s="260">
        <v>6</v>
      </c>
      <c r="I337" s="262" t="s">
        <v>583</v>
      </c>
      <c r="J337" s="112">
        <v>140</v>
      </c>
      <c r="K337" s="75">
        <v>400</v>
      </c>
      <c r="L337" s="75">
        <v>2350</v>
      </c>
      <c r="M337" s="338">
        <v>45.659756931405198</v>
      </c>
      <c r="N337" s="87">
        <v>14043.34158084</v>
      </c>
      <c r="O337" s="123">
        <v>98547.812733837956</v>
      </c>
      <c r="P337" s="123">
        <v>117473.44130421494</v>
      </c>
      <c r="Q337" s="120">
        <v>34414.139469377486</v>
      </c>
      <c r="R337" s="123">
        <v>132961.95220321545</v>
      </c>
      <c r="S337" s="123">
        <v>151887.58077359243</v>
      </c>
      <c r="U337" s="7" t="s">
        <v>7188</v>
      </c>
    </row>
    <row r="338" spans="1:21" ht="16.5" thickBot="1">
      <c r="A338" s="259" t="s">
        <v>10</v>
      </c>
      <c r="B338" s="263">
        <f t="shared" si="18"/>
        <v>140</v>
      </c>
      <c r="C338" s="263" t="s">
        <v>3</v>
      </c>
      <c r="D338" s="263">
        <f t="shared" si="19"/>
        <v>400</v>
      </c>
      <c r="E338" s="263" t="s">
        <v>3</v>
      </c>
      <c r="F338" s="261">
        <f t="shared" si="20"/>
        <v>2400</v>
      </c>
      <c r="G338" s="263" t="s">
        <v>3</v>
      </c>
      <c r="H338" s="260">
        <v>6</v>
      </c>
      <c r="I338" s="262" t="s">
        <v>583</v>
      </c>
      <c r="J338" s="112">
        <v>140</v>
      </c>
      <c r="K338" s="75">
        <v>400</v>
      </c>
      <c r="L338" s="75">
        <v>2400</v>
      </c>
      <c r="M338" s="338">
        <v>46.493294458837546</v>
      </c>
      <c r="N338" s="87">
        <v>14394.425120361</v>
      </c>
      <c r="O338" s="123">
        <v>100000.00828999635</v>
      </c>
      <c r="P338" s="123">
        <v>119280.52745040398</v>
      </c>
      <c r="Q338" s="120">
        <v>35016.531306770819</v>
      </c>
      <c r="R338" s="123">
        <v>135016.53959676716</v>
      </c>
      <c r="S338" s="123">
        <v>154297.05875717482</v>
      </c>
      <c r="U338" s="7" t="s">
        <v>7189</v>
      </c>
    </row>
    <row r="339" spans="1:21" ht="16.5" thickBot="1">
      <c r="A339" s="259" t="s">
        <v>10</v>
      </c>
      <c r="B339" s="263">
        <f t="shared" si="18"/>
        <v>140</v>
      </c>
      <c r="C339" s="263" t="s">
        <v>3</v>
      </c>
      <c r="D339" s="263">
        <f t="shared" si="19"/>
        <v>400</v>
      </c>
      <c r="E339" s="263" t="s">
        <v>3</v>
      </c>
      <c r="F339" s="261">
        <f t="shared" si="20"/>
        <v>2450</v>
      </c>
      <c r="G339" s="263" t="s">
        <v>3</v>
      </c>
      <c r="H339" s="260">
        <v>6</v>
      </c>
      <c r="I339" s="262" t="s">
        <v>583</v>
      </c>
      <c r="J339" s="112">
        <v>140</v>
      </c>
      <c r="K339" s="75">
        <v>400</v>
      </c>
      <c r="L339" s="75">
        <v>2450</v>
      </c>
      <c r="M339" s="338">
        <v>48.121235933239255</v>
      </c>
      <c r="N339" s="87">
        <v>14745.508659882</v>
      </c>
      <c r="O339" s="123">
        <v>101910.96103842904</v>
      </c>
      <c r="P339" s="123">
        <v>121729.71648838806</v>
      </c>
      <c r="Q339" s="120">
        <v>35849.504781554067</v>
      </c>
      <c r="R339" s="123">
        <v>137760.4658199831</v>
      </c>
      <c r="S339" s="123">
        <v>157579.22126994212</v>
      </c>
      <c r="U339" s="7" t="s">
        <v>7190</v>
      </c>
    </row>
    <row r="340" spans="1:21" ht="16.5" thickBot="1">
      <c r="A340" s="259" t="s">
        <v>10</v>
      </c>
      <c r="B340" s="263">
        <f t="shared" si="18"/>
        <v>140</v>
      </c>
      <c r="C340" s="263" t="s">
        <v>3</v>
      </c>
      <c r="D340" s="263">
        <f t="shared" si="19"/>
        <v>400</v>
      </c>
      <c r="E340" s="263" t="s">
        <v>3</v>
      </c>
      <c r="F340" s="261">
        <f t="shared" si="20"/>
        <v>2500</v>
      </c>
      <c r="G340" s="263" t="s">
        <v>3</v>
      </c>
      <c r="H340" s="260">
        <v>6</v>
      </c>
      <c r="I340" s="262" t="s">
        <v>583</v>
      </c>
      <c r="J340" s="112">
        <v>140</v>
      </c>
      <c r="K340" s="75">
        <v>400</v>
      </c>
      <c r="L340" s="75">
        <v>2500</v>
      </c>
      <c r="M340" s="338">
        <v>48.954773460671589</v>
      </c>
      <c r="N340" s="87">
        <v>15096.592199403</v>
      </c>
      <c r="O340" s="123">
        <v>103352.51173117396</v>
      </c>
      <c r="P340" s="123">
        <v>123502.25478615401</v>
      </c>
      <c r="Q340" s="120">
        <v>36451.896618947409</v>
      </c>
      <c r="R340" s="123">
        <v>139804.40835012138</v>
      </c>
      <c r="S340" s="123">
        <v>159954.15140510141</v>
      </c>
      <c r="U340" s="7" t="s">
        <v>7191</v>
      </c>
    </row>
    <row r="341" spans="1:21" ht="16.5" thickBot="1">
      <c r="A341" s="259" t="s">
        <v>10</v>
      </c>
      <c r="B341" s="263">
        <f t="shared" si="18"/>
        <v>140</v>
      </c>
      <c r="C341" s="263" t="s">
        <v>3</v>
      </c>
      <c r="D341" s="263">
        <f t="shared" si="19"/>
        <v>400</v>
      </c>
      <c r="E341" s="263" t="s">
        <v>3</v>
      </c>
      <c r="F341" s="261">
        <f t="shared" si="20"/>
        <v>2550</v>
      </c>
      <c r="G341" s="263" t="s">
        <v>3</v>
      </c>
      <c r="H341" s="260">
        <v>6</v>
      </c>
      <c r="I341" s="262" t="s">
        <v>583</v>
      </c>
      <c r="J341" s="112">
        <v>140</v>
      </c>
      <c r="K341" s="75">
        <v>400</v>
      </c>
      <c r="L341" s="75">
        <v>2550</v>
      </c>
      <c r="M341" s="338">
        <v>49.80433710810393</v>
      </c>
      <c r="N341" s="87">
        <v>15447.675738924003</v>
      </c>
      <c r="O341" s="123">
        <v>107756.25742863043</v>
      </c>
      <c r="P341" s="123">
        <v>128326.11620269954</v>
      </c>
      <c r="Q341" s="120">
        <v>37284.870093730657</v>
      </c>
      <c r="R341" s="123">
        <v>145041.12752236109</v>
      </c>
      <c r="S341" s="123">
        <v>165610.9862964302</v>
      </c>
      <c r="U341" s="7" t="s">
        <v>7192</v>
      </c>
    </row>
    <row r="342" spans="1:21" ht="16.5" thickBot="1">
      <c r="A342" s="259" t="s">
        <v>10</v>
      </c>
      <c r="B342" s="260">
        <f t="shared" si="18"/>
        <v>140</v>
      </c>
      <c r="C342" s="260" t="s">
        <v>3</v>
      </c>
      <c r="D342" s="260">
        <f t="shared" si="19"/>
        <v>400</v>
      </c>
      <c r="E342" s="260" t="s">
        <v>3</v>
      </c>
      <c r="F342" s="261">
        <f t="shared" si="20"/>
        <v>2600</v>
      </c>
      <c r="G342" s="260" t="s">
        <v>3</v>
      </c>
      <c r="H342" s="260">
        <v>6</v>
      </c>
      <c r="I342" s="262" t="s">
        <v>583</v>
      </c>
      <c r="J342" s="112">
        <v>140</v>
      </c>
      <c r="K342" s="75">
        <v>400</v>
      </c>
      <c r="L342" s="75">
        <v>2600</v>
      </c>
      <c r="M342" s="338">
        <v>50.637874635536271</v>
      </c>
      <c r="N342" s="87">
        <v>15798.759278444999</v>
      </c>
      <c r="O342" s="123">
        <v>109366.44773691252</v>
      </c>
      <c r="P342" s="123">
        <v>130274.39022831352</v>
      </c>
      <c r="Q342" s="120">
        <v>37887.261931123991</v>
      </c>
      <c r="R342" s="123">
        <v>147253.70966803652</v>
      </c>
      <c r="S342" s="123">
        <v>168161.65215943751</v>
      </c>
      <c r="U342" s="7" t="s">
        <v>7193</v>
      </c>
    </row>
    <row r="343" spans="1:21" ht="16.5" thickBot="1">
      <c r="A343" s="259" t="s">
        <v>10</v>
      </c>
      <c r="B343" s="263">
        <f t="shared" si="18"/>
        <v>140</v>
      </c>
      <c r="C343" s="263" t="s">
        <v>3</v>
      </c>
      <c r="D343" s="263">
        <f t="shared" si="19"/>
        <v>400</v>
      </c>
      <c r="E343" s="263" t="s">
        <v>3</v>
      </c>
      <c r="F343" s="261">
        <f t="shared" si="20"/>
        <v>2650</v>
      </c>
      <c r="G343" s="263" t="s">
        <v>3</v>
      </c>
      <c r="H343" s="260">
        <v>6</v>
      </c>
      <c r="I343" s="262" t="s">
        <v>583</v>
      </c>
      <c r="J343" s="112">
        <v>140</v>
      </c>
      <c r="K343" s="75">
        <v>400</v>
      </c>
      <c r="L343" s="75">
        <v>2650</v>
      </c>
      <c r="M343" s="338">
        <v>51.487438282968604</v>
      </c>
      <c r="N343" s="87">
        <v>16149.842817965999</v>
      </c>
      <c r="O343" s="123">
        <v>110579.95930202307</v>
      </c>
      <c r="P343" s="123">
        <v>131814.26387798585</v>
      </c>
      <c r="Q343" s="120">
        <v>38720.235405907246</v>
      </c>
      <c r="R343" s="123">
        <v>149300.19470793032</v>
      </c>
      <c r="S343" s="123">
        <v>170534.49928389309</v>
      </c>
      <c r="U343" s="7" t="s">
        <v>7194</v>
      </c>
    </row>
    <row r="344" spans="1:21" ht="16.5" thickBot="1">
      <c r="A344" s="259" t="s">
        <v>10</v>
      </c>
      <c r="B344" s="263">
        <f t="shared" si="18"/>
        <v>140</v>
      </c>
      <c r="C344" s="263" t="s">
        <v>3</v>
      </c>
      <c r="D344" s="263">
        <f t="shared" si="19"/>
        <v>400</v>
      </c>
      <c r="E344" s="263" t="s">
        <v>3</v>
      </c>
      <c r="F344" s="261">
        <f t="shared" si="20"/>
        <v>2700</v>
      </c>
      <c r="G344" s="263" t="s">
        <v>3</v>
      </c>
      <c r="H344" s="260">
        <v>6</v>
      </c>
      <c r="I344" s="262" t="s">
        <v>583</v>
      </c>
      <c r="J344" s="112">
        <v>140</v>
      </c>
      <c r="K344" s="75">
        <v>400</v>
      </c>
      <c r="L344" s="75">
        <v>2700</v>
      </c>
      <c r="M344" s="338">
        <v>52.468634310400937</v>
      </c>
      <c r="N344" s="87">
        <v>16500.926357487002</v>
      </c>
      <c r="O344" s="123">
        <v>111903.21205554332</v>
      </c>
      <c r="P344" s="123">
        <v>133467.04484892788</v>
      </c>
      <c r="Q344" s="120">
        <v>39322.627243300587</v>
      </c>
      <c r="R344" s="123">
        <v>151225.8392988439</v>
      </c>
      <c r="S344" s="123">
        <v>172789.67209222846</v>
      </c>
      <c r="U344" s="7" t="s">
        <v>7195</v>
      </c>
    </row>
    <row r="345" spans="1:21" ht="16.5" thickBot="1">
      <c r="A345" s="259" t="s">
        <v>10</v>
      </c>
      <c r="B345" s="263">
        <f t="shared" si="18"/>
        <v>140</v>
      </c>
      <c r="C345" s="263" t="s">
        <v>3</v>
      </c>
      <c r="D345" s="263">
        <f t="shared" si="19"/>
        <v>400</v>
      </c>
      <c r="E345" s="263" t="s">
        <v>3</v>
      </c>
      <c r="F345" s="261">
        <f t="shared" si="20"/>
        <v>2750</v>
      </c>
      <c r="G345" s="263" t="s">
        <v>3</v>
      </c>
      <c r="H345" s="260">
        <v>6</v>
      </c>
      <c r="I345" s="262" t="s">
        <v>583</v>
      </c>
      <c r="J345" s="112">
        <v>140</v>
      </c>
      <c r="K345" s="75">
        <v>400</v>
      </c>
      <c r="L345" s="75">
        <v>2750</v>
      </c>
      <c r="M345" s="338">
        <v>53.302171837833271</v>
      </c>
      <c r="N345" s="87">
        <v>16852.009897008</v>
      </c>
      <c r="O345" s="123">
        <v>113191.94078258621</v>
      </c>
      <c r="P345" s="123">
        <v>135084.22182447117</v>
      </c>
      <c r="Q345" s="120">
        <v>39925.018940300557</v>
      </c>
      <c r="R345" s="123">
        <v>153116.95972288676</v>
      </c>
      <c r="S345" s="123">
        <v>175009.24076477173</v>
      </c>
      <c r="U345" s="7" t="s">
        <v>7196</v>
      </c>
    </row>
    <row r="346" spans="1:21" ht="16.5" thickBot="1">
      <c r="A346" s="259" t="s">
        <v>10</v>
      </c>
      <c r="B346" s="263">
        <f t="shared" si="18"/>
        <v>140</v>
      </c>
      <c r="C346" s="263" t="s">
        <v>3</v>
      </c>
      <c r="D346" s="263">
        <f t="shared" si="19"/>
        <v>400</v>
      </c>
      <c r="E346" s="263" t="s">
        <v>3</v>
      </c>
      <c r="F346" s="261">
        <f t="shared" si="20"/>
        <v>2800</v>
      </c>
      <c r="G346" s="263" t="s">
        <v>3</v>
      </c>
      <c r="H346" s="260">
        <v>6</v>
      </c>
      <c r="I346" s="262" t="s">
        <v>583</v>
      </c>
      <c r="J346" s="112">
        <v>140</v>
      </c>
      <c r="K346" s="75">
        <v>400</v>
      </c>
      <c r="L346" s="75">
        <v>2800</v>
      </c>
      <c r="M346" s="338">
        <v>54.151735485265611</v>
      </c>
      <c r="N346" s="87">
        <v>17203.093436529001</v>
      </c>
      <c r="O346" s="123">
        <v>114404.56366473182</v>
      </c>
      <c r="P346" s="123">
        <v>136622.97783066332</v>
      </c>
      <c r="Q346" s="120">
        <v>40757.992555477169</v>
      </c>
      <c r="R346" s="123">
        <v>155162.55622020899</v>
      </c>
      <c r="S346" s="123">
        <v>177380.97038614049</v>
      </c>
      <c r="U346" s="7" t="s">
        <v>7197</v>
      </c>
    </row>
    <row r="347" spans="1:21" ht="16.5" thickBot="1">
      <c r="A347" s="259" t="s">
        <v>10</v>
      </c>
      <c r="B347" s="263">
        <f t="shared" si="18"/>
        <v>140</v>
      </c>
      <c r="C347" s="263" t="s">
        <v>3</v>
      </c>
      <c r="D347" s="263">
        <f t="shared" si="19"/>
        <v>400</v>
      </c>
      <c r="E347" s="263" t="s">
        <v>3</v>
      </c>
      <c r="F347" s="261">
        <f t="shared" si="20"/>
        <v>2850</v>
      </c>
      <c r="G347" s="263" t="s">
        <v>3</v>
      </c>
      <c r="H347" s="260">
        <v>6</v>
      </c>
      <c r="I347" s="262" t="s">
        <v>583</v>
      </c>
      <c r="J347" s="112">
        <v>140</v>
      </c>
      <c r="K347" s="75">
        <v>400</v>
      </c>
      <c r="L347" s="75">
        <v>2850</v>
      </c>
      <c r="M347" s="338">
        <v>55.795984012697929</v>
      </c>
      <c r="N347" s="87">
        <v>17554.176976049999</v>
      </c>
      <c r="O347" s="123">
        <v>115617.25898283281</v>
      </c>
      <c r="P347" s="123">
        <v>138161.74258476592</v>
      </c>
      <c r="Q347" s="120">
        <v>41360.384252477146</v>
      </c>
      <c r="R347" s="123">
        <v>156977.64323530995</v>
      </c>
      <c r="S347" s="123">
        <v>179522.12683724306</v>
      </c>
      <c r="U347" s="7" t="s">
        <v>7198</v>
      </c>
    </row>
    <row r="348" spans="1:21" ht="16.5" thickBot="1">
      <c r="A348" s="259" t="s">
        <v>10</v>
      </c>
      <c r="B348" s="263">
        <f t="shared" si="18"/>
        <v>140</v>
      </c>
      <c r="C348" s="263" t="s">
        <v>3</v>
      </c>
      <c r="D348" s="263">
        <f t="shared" si="19"/>
        <v>400</v>
      </c>
      <c r="E348" s="263" t="s">
        <v>3</v>
      </c>
      <c r="F348" s="261">
        <f t="shared" si="20"/>
        <v>2900</v>
      </c>
      <c r="G348" s="263" t="s">
        <v>3</v>
      </c>
      <c r="H348" s="260">
        <v>6</v>
      </c>
      <c r="I348" s="262" t="s">
        <v>583</v>
      </c>
      <c r="J348" s="112">
        <v>140</v>
      </c>
      <c r="K348" s="75">
        <v>400</v>
      </c>
      <c r="L348" s="75">
        <v>2900</v>
      </c>
      <c r="M348" s="338">
        <v>56.645547660130269</v>
      </c>
      <c r="N348" s="87">
        <v>17905.260515571001</v>
      </c>
      <c r="O348" s="123">
        <v>116830.02279885535</v>
      </c>
      <c r="P348" s="123">
        <v>139700.51412829151</v>
      </c>
      <c r="Q348" s="120">
        <v>42193.357867653758</v>
      </c>
      <c r="R348" s="123">
        <v>159023.3806665091</v>
      </c>
      <c r="S348" s="123">
        <v>181893.87199594529</v>
      </c>
      <c r="U348" s="7" t="s">
        <v>7199</v>
      </c>
    </row>
    <row r="349" spans="1:21" ht="16.5" thickBot="1">
      <c r="A349" s="259" t="s">
        <v>10</v>
      </c>
      <c r="B349" s="263">
        <f t="shared" si="18"/>
        <v>140</v>
      </c>
      <c r="C349" s="263" t="s">
        <v>3</v>
      </c>
      <c r="D349" s="263">
        <f t="shared" si="19"/>
        <v>400</v>
      </c>
      <c r="E349" s="263" t="s">
        <v>3</v>
      </c>
      <c r="F349" s="261">
        <f t="shared" si="20"/>
        <v>2950</v>
      </c>
      <c r="G349" s="263" t="s">
        <v>3</v>
      </c>
      <c r="H349" s="260">
        <v>6</v>
      </c>
      <c r="I349" s="262" t="s">
        <v>583</v>
      </c>
      <c r="J349" s="112">
        <v>140</v>
      </c>
      <c r="K349" s="75">
        <v>400</v>
      </c>
      <c r="L349" s="75">
        <v>2950</v>
      </c>
      <c r="M349" s="338">
        <v>57.47908518756261</v>
      </c>
      <c r="N349" s="87">
        <v>18256.344055092002</v>
      </c>
      <c r="O349" s="123">
        <v>118042.85105543128</v>
      </c>
      <c r="P349" s="123">
        <v>141239.2905027527</v>
      </c>
      <c r="Q349" s="120">
        <v>42795.749564653735</v>
      </c>
      <c r="R349" s="123">
        <v>160838.60062008502</v>
      </c>
      <c r="S349" s="123">
        <v>184035.04006740643</v>
      </c>
      <c r="U349" s="7" t="s">
        <v>7200</v>
      </c>
    </row>
    <row r="350" spans="1:21" ht="16.5" thickBot="1">
      <c r="A350" s="259" t="s">
        <v>10</v>
      </c>
      <c r="B350" s="263">
        <f t="shared" si="18"/>
        <v>140</v>
      </c>
      <c r="C350" s="263" t="s">
        <v>3</v>
      </c>
      <c r="D350" s="263">
        <f t="shared" si="19"/>
        <v>400</v>
      </c>
      <c r="E350" s="263" t="s">
        <v>3</v>
      </c>
      <c r="F350" s="261">
        <f t="shared" si="20"/>
        <v>3000</v>
      </c>
      <c r="G350" s="263" t="s">
        <v>3</v>
      </c>
      <c r="H350" s="260">
        <v>6</v>
      </c>
      <c r="I350" s="262" t="s">
        <v>583</v>
      </c>
      <c r="J350" s="112">
        <v>140</v>
      </c>
      <c r="K350" s="75">
        <v>400</v>
      </c>
      <c r="L350" s="147">
        <v>3000</v>
      </c>
      <c r="M350" s="338">
        <v>58.328648834994937</v>
      </c>
      <c r="N350" s="148">
        <v>18607.427594613</v>
      </c>
      <c r="O350" s="149">
        <v>120853.12900687843</v>
      </c>
      <c r="P350" s="149">
        <v>144425.48315945099</v>
      </c>
      <c r="Q350" s="159">
        <v>43628.723179830347</v>
      </c>
      <c r="R350" s="149">
        <v>164481.85218670877</v>
      </c>
      <c r="S350" s="149">
        <v>188054.20633928134</v>
      </c>
      <c r="U350" s="7" t="s">
        <v>7201</v>
      </c>
    </row>
    <row r="351" spans="1:21" ht="19.5" thickBot="1">
      <c r="A351" s="2580" t="s">
        <v>67</v>
      </c>
      <c r="B351" s="2581"/>
      <c r="C351" s="2581"/>
      <c r="D351" s="2581"/>
      <c r="E351" s="2581"/>
      <c r="F351" s="2581"/>
      <c r="G351" s="2581"/>
      <c r="H351" s="2581"/>
      <c r="I351" s="2581"/>
      <c r="J351" s="2581"/>
      <c r="K351" s="2581"/>
      <c r="L351" s="2581"/>
      <c r="M351" s="2581"/>
      <c r="N351" s="2581"/>
      <c r="O351" s="2581"/>
      <c r="P351" s="2581"/>
      <c r="Q351" s="2581"/>
      <c r="R351" s="2581"/>
      <c r="S351" s="2582"/>
      <c r="U351" s="7"/>
    </row>
    <row r="352" spans="1:21" ht="19.5" thickBot="1">
      <c r="A352" s="2627" t="s">
        <v>140</v>
      </c>
      <c r="B352" s="2628"/>
      <c r="C352" s="2628"/>
      <c r="D352" s="2628"/>
      <c r="E352" s="2628"/>
      <c r="F352" s="2628"/>
      <c r="G352" s="2628"/>
      <c r="H352" s="2628"/>
      <c r="I352" s="2628"/>
      <c r="J352" s="2628"/>
      <c r="K352" s="2628"/>
      <c r="L352" s="2628"/>
      <c r="M352" s="2628"/>
      <c r="N352" s="2628"/>
      <c r="O352" s="2628"/>
      <c r="P352" s="2628"/>
      <c r="Q352" s="2628"/>
      <c r="R352" s="2628"/>
      <c r="S352" s="2629"/>
      <c r="U352" s="7"/>
    </row>
    <row r="353" spans="1:21" ht="16.5" thickBot="1">
      <c r="A353" s="1165" t="s">
        <v>10</v>
      </c>
      <c r="B353" s="263">
        <f t="shared" ref="B353:B399" si="21">J353</f>
        <v>140</v>
      </c>
      <c r="C353" s="263" t="s">
        <v>3</v>
      </c>
      <c r="D353" s="263">
        <f t="shared" ref="D353:D399" si="22">K353</f>
        <v>400</v>
      </c>
      <c r="E353" s="263" t="s">
        <v>3</v>
      </c>
      <c r="F353" s="1166">
        <f t="shared" ref="F353:F399" si="23">L353</f>
        <v>700</v>
      </c>
      <c r="G353" s="263" t="s">
        <v>3</v>
      </c>
      <c r="H353" s="263">
        <v>8</v>
      </c>
      <c r="I353" s="1288" t="s">
        <v>583</v>
      </c>
      <c r="J353" s="142">
        <v>140</v>
      </c>
      <c r="K353" s="143">
        <v>400</v>
      </c>
      <c r="L353" s="143">
        <v>700</v>
      </c>
      <c r="M353" s="190">
        <v>16.664313424409748</v>
      </c>
      <c r="N353" s="144">
        <v>2589.4923600000002</v>
      </c>
      <c r="O353" s="145">
        <v>36262.958151876854</v>
      </c>
      <c r="P353" s="145">
        <v>43587.509617412041</v>
      </c>
      <c r="Q353" s="169">
        <v>11307.066052331927</v>
      </c>
      <c r="R353" s="145">
        <v>47570.024204208778</v>
      </c>
      <c r="S353" s="145">
        <v>54894.575669743965</v>
      </c>
      <c r="U353" s="7" t="s">
        <v>7202</v>
      </c>
    </row>
    <row r="354" spans="1:21" ht="16.5" thickBot="1">
      <c r="A354" s="259" t="s">
        <v>10</v>
      </c>
      <c r="B354" s="263">
        <f t="shared" si="21"/>
        <v>140</v>
      </c>
      <c r="C354" s="263" t="s">
        <v>3</v>
      </c>
      <c r="D354" s="263">
        <f t="shared" si="22"/>
        <v>400</v>
      </c>
      <c r="E354" s="263" t="s">
        <v>3</v>
      </c>
      <c r="F354" s="261">
        <f t="shared" si="23"/>
        <v>750</v>
      </c>
      <c r="G354" s="263" t="s">
        <v>3</v>
      </c>
      <c r="H354" s="260">
        <v>8</v>
      </c>
      <c r="I354" s="262" t="s">
        <v>583</v>
      </c>
      <c r="J354" s="112">
        <v>140</v>
      </c>
      <c r="K354" s="75">
        <v>400</v>
      </c>
      <c r="L354" s="75">
        <v>750</v>
      </c>
      <c r="M354" s="338">
        <v>17.590466232667897</v>
      </c>
      <c r="N354" s="87">
        <v>2959.4198400000005</v>
      </c>
      <c r="O354" s="123">
        <v>38589.125729994266</v>
      </c>
      <c r="P354" s="123">
        <v>46290.559620996835</v>
      </c>
      <c r="Q354" s="120">
        <v>11909.457889725263</v>
      </c>
      <c r="R354" s="123">
        <v>50498.583619719531</v>
      </c>
      <c r="S354" s="123">
        <v>58200.0175107221</v>
      </c>
      <c r="U354" s="7" t="s">
        <v>7203</v>
      </c>
    </row>
    <row r="355" spans="1:21" ht="16.5" thickBot="1">
      <c r="A355" s="259" t="s">
        <v>10</v>
      </c>
      <c r="B355" s="263">
        <f t="shared" si="21"/>
        <v>140</v>
      </c>
      <c r="C355" s="263" t="s">
        <v>3</v>
      </c>
      <c r="D355" s="263">
        <f t="shared" si="22"/>
        <v>400</v>
      </c>
      <c r="E355" s="263" t="s">
        <v>3</v>
      </c>
      <c r="F355" s="261">
        <f t="shared" si="23"/>
        <v>800</v>
      </c>
      <c r="G355" s="263" t="s">
        <v>3</v>
      </c>
      <c r="H355" s="260">
        <v>8</v>
      </c>
      <c r="I355" s="262" t="s">
        <v>583</v>
      </c>
      <c r="J355" s="112">
        <v>140</v>
      </c>
      <c r="K355" s="75">
        <v>400</v>
      </c>
      <c r="L355" s="75">
        <v>800</v>
      </c>
      <c r="M355" s="338">
        <v>18.516619040926049</v>
      </c>
      <c r="N355" s="87">
        <v>3329.3473200000008</v>
      </c>
      <c r="O355" s="123">
        <v>40907.763190779639</v>
      </c>
      <c r="P355" s="123">
        <v>48987.054306099162</v>
      </c>
      <c r="Q355" s="120">
        <v>12511.84958672524</v>
      </c>
      <c r="R355" s="123">
        <v>53419.612777504881</v>
      </c>
      <c r="S355" s="123">
        <v>61498.903892824404</v>
      </c>
      <c r="U355" s="7" t="s">
        <v>7204</v>
      </c>
    </row>
    <row r="356" spans="1:21" ht="16.5" thickBot="1">
      <c r="A356" s="259" t="s">
        <v>10</v>
      </c>
      <c r="B356" s="263">
        <f t="shared" si="21"/>
        <v>140</v>
      </c>
      <c r="C356" s="263" t="s">
        <v>3</v>
      </c>
      <c r="D356" s="263">
        <f t="shared" si="22"/>
        <v>400</v>
      </c>
      <c r="E356" s="263" t="s">
        <v>3</v>
      </c>
      <c r="F356" s="261">
        <f t="shared" si="23"/>
        <v>850</v>
      </c>
      <c r="G356" s="263" t="s">
        <v>3</v>
      </c>
      <c r="H356" s="260">
        <v>8</v>
      </c>
      <c r="I356" s="262" t="s">
        <v>583</v>
      </c>
      <c r="J356" s="112">
        <v>140</v>
      </c>
      <c r="K356" s="75">
        <v>400</v>
      </c>
      <c r="L356" s="75">
        <v>850</v>
      </c>
      <c r="M356" s="338">
        <v>19.460578649184196</v>
      </c>
      <c r="N356" s="87">
        <v>3699.2748000000006</v>
      </c>
      <c r="O356" s="123">
        <v>43226.711994905352</v>
      </c>
      <c r="P356" s="123">
        <v>51684.00048783169</v>
      </c>
      <c r="Q356" s="120">
        <v>13344.823201901852</v>
      </c>
      <c r="R356" s="123">
        <v>56571.535196807206</v>
      </c>
      <c r="S356" s="123">
        <v>65028.823689733545</v>
      </c>
      <c r="U356" s="7" t="s">
        <v>7205</v>
      </c>
    </row>
    <row r="357" spans="1:21" ht="16.5" thickBot="1">
      <c r="A357" s="259" t="s">
        <v>10</v>
      </c>
      <c r="B357" s="263">
        <f t="shared" si="21"/>
        <v>140</v>
      </c>
      <c r="C357" s="263" t="s">
        <v>3</v>
      </c>
      <c r="D357" s="263">
        <f t="shared" si="22"/>
        <v>400</v>
      </c>
      <c r="E357" s="263" t="s">
        <v>3</v>
      </c>
      <c r="F357" s="261">
        <f t="shared" si="23"/>
        <v>900</v>
      </c>
      <c r="G357" s="263" t="s">
        <v>3</v>
      </c>
      <c r="H357" s="260">
        <v>8</v>
      </c>
      <c r="I357" s="262" t="s">
        <v>583</v>
      </c>
      <c r="J357" s="112">
        <v>140</v>
      </c>
      <c r="K357" s="75">
        <v>400</v>
      </c>
      <c r="L357" s="75">
        <v>900</v>
      </c>
      <c r="M357" s="338">
        <v>20.552886457442352</v>
      </c>
      <c r="N357" s="87">
        <v>4069.2022800000009</v>
      </c>
      <c r="O357" s="123">
        <v>45545.759965882666</v>
      </c>
      <c r="P357" s="123">
        <v>54381.130897946285</v>
      </c>
      <c r="Q357" s="120">
        <v>13947.21489890183</v>
      </c>
      <c r="R357" s="123">
        <v>59492.974864784497</v>
      </c>
      <c r="S357" s="123">
        <v>68328.345796848109</v>
      </c>
      <c r="U357" s="7" t="s">
        <v>7206</v>
      </c>
    </row>
    <row r="358" spans="1:21" ht="16.5" thickBot="1">
      <c r="A358" s="259" t="s">
        <v>10</v>
      </c>
      <c r="B358" s="263">
        <f t="shared" si="21"/>
        <v>140</v>
      </c>
      <c r="C358" s="263" t="s">
        <v>3</v>
      </c>
      <c r="D358" s="263">
        <f t="shared" si="22"/>
        <v>400</v>
      </c>
      <c r="E358" s="263" t="s">
        <v>3</v>
      </c>
      <c r="F358" s="261">
        <f t="shared" si="23"/>
        <v>950</v>
      </c>
      <c r="G358" s="263" t="s">
        <v>3</v>
      </c>
      <c r="H358" s="260">
        <v>8</v>
      </c>
      <c r="I358" s="262" t="s">
        <v>583</v>
      </c>
      <c r="J358" s="112">
        <v>140</v>
      </c>
      <c r="K358" s="75">
        <v>400</v>
      </c>
      <c r="L358" s="75">
        <v>950</v>
      </c>
      <c r="M358" s="338">
        <v>21.496846065700502</v>
      </c>
      <c r="N358" s="87">
        <v>4439.1297600000007</v>
      </c>
      <c r="O358" s="123">
        <v>47864.89206758247</v>
      </c>
      <c r="P358" s="123">
        <v>57078.417334224294</v>
      </c>
      <c r="Q358" s="120">
        <v>14780.188514078442</v>
      </c>
      <c r="R358" s="123">
        <v>62645.080581660914</v>
      </c>
      <c r="S358" s="123">
        <v>71858.60584830273</v>
      </c>
      <c r="U358" s="7" t="s">
        <v>7207</v>
      </c>
    </row>
    <row r="359" spans="1:21" ht="16.5" thickBot="1">
      <c r="A359" s="259" t="s">
        <v>10</v>
      </c>
      <c r="B359" s="263">
        <f t="shared" si="21"/>
        <v>140</v>
      </c>
      <c r="C359" s="263" t="s">
        <v>3</v>
      </c>
      <c r="D359" s="263">
        <f t="shared" si="22"/>
        <v>400</v>
      </c>
      <c r="E359" s="263" t="s">
        <v>3</v>
      </c>
      <c r="F359" s="261">
        <f t="shared" si="23"/>
        <v>1000</v>
      </c>
      <c r="G359" s="263" t="s">
        <v>3</v>
      </c>
      <c r="H359" s="260">
        <v>8</v>
      </c>
      <c r="I359" s="262" t="s">
        <v>583</v>
      </c>
      <c r="J359" s="112">
        <v>140</v>
      </c>
      <c r="K359" s="75">
        <v>400</v>
      </c>
      <c r="L359" s="75">
        <v>1000</v>
      </c>
      <c r="M359" s="338">
        <v>22.422998873958651</v>
      </c>
      <c r="N359" s="87">
        <v>4809.057240000001</v>
      </c>
      <c r="O359" s="123">
        <v>50094.501920504052</v>
      </c>
      <c r="P359" s="123">
        <v>59685.190708203656</v>
      </c>
      <c r="Q359" s="120">
        <v>15382.580351471779</v>
      </c>
      <c r="R359" s="123">
        <v>65477.082271975829</v>
      </c>
      <c r="S359" s="123">
        <v>75067.771059675433</v>
      </c>
      <c r="U359" s="7" t="s">
        <v>7208</v>
      </c>
    </row>
    <row r="360" spans="1:21" ht="16.5" thickBot="1">
      <c r="A360" s="259" t="s">
        <v>10</v>
      </c>
      <c r="B360" s="263">
        <f t="shared" si="21"/>
        <v>140</v>
      </c>
      <c r="C360" s="263" t="s">
        <v>3</v>
      </c>
      <c r="D360" s="263">
        <f t="shared" si="22"/>
        <v>400</v>
      </c>
      <c r="E360" s="263" t="s">
        <v>3</v>
      </c>
      <c r="F360" s="261">
        <f t="shared" si="23"/>
        <v>1050</v>
      </c>
      <c r="G360" s="263" t="s">
        <v>3</v>
      </c>
      <c r="H360" s="260">
        <v>8</v>
      </c>
      <c r="I360" s="262" t="s">
        <v>583</v>
      </c>
      <c r="J360" s="112">
        <v>140</v>
      </c>
      <c r="K360" s="75">
        <v>400</v>
      </c>
      <c r="L360" s="75">
        <v>1050</v>
      </c>
      <c r="M360" s="338">
        <v>23.366958482216802</v>
      </c>
      <c r="N360" s="87">
        <v>5178.9847200000004</v>
      </c>
      <c r="O360" s="123">
        <v>52642.694532609406</v>
      </c>
      <c r="P360" s="123">
        <v>62617.235154481554</v>
      </c>
      <c r="Q360" s="120">
        <v>16215.553826255029</v>
      </c>
      <c r="R360" s="123">
        <v>68858.248358864439</v>
      </c>
      <c r="S360" s="123">
        <v>78832.788980736586</v>
      </c>
      <c r="U360" s="7" t="s">
        <v>7209</v>
      </c>
    </row>
    <row r="361" spans="1:21" ht="16.5" thickBot="1">
      <c r="A361" s="259" t="s">
        <v>10</v>
      </c>
      <c r="B361" s="260">
        <f t="shared" si="21"/>
        <v>140</v>
      </c>
      <c r="C361" s="260" t="s">
        <v>3</v>
      </c>
      <c r="D361" s="260">
        <f t="shared" si="22"/>
        <v>400</v>
      </c>
      <c r="E361" s="260" t="s">
        <v>3</v>
      </c>
      <c r="F361" s="261">
        <f t="shared" si="23"/>
        <v>1100</v>
      </c>
      <c r="G361" s="260" t="s">
        <v>3</v>
      </c>
      <c r="H361" s="260">
        <v>8</v>
      </c>
      <c r="I361" s="262" t="s">
        <v>583</v>
      </c>
      <c r="J361" s="112">
        <v>140</v>
      </c>
      <c r="K361" s="75">
        <v>400</v>
      </c>
      <c r="L361" s="75">
        <v>1100</v>
      </c>
      <c r="M361" s="338">
        <v>24.293111290474954</v>
      </c>
      <c r="N361" s="87">
        <v>5548.9122000000007</v>
      </c>
      <c r="O361" s="123">
        <v>54961.985945677305</v>
      </c>
      <c r="P361" s="123">
        <v>65314.834557047187</v>
      </c>
      <c r="Q361" s="120">
        <v>16817.945663648366</v>
      </c>
      <c r="R361" s="123">
        <v>71779.931609325664</v>
      </c>
      <c r="S361" s="123">
        <v>82132.780220695553</v>
      </c>
      <c r="U361" s="7" t="s">
        <v>7210</v>
      </c>
    </row>
    <row r="362" spans="1:21" ht="16.5" thickBot="1">
      <c r="A362" s="259" t="s">
        <v>10</v>
      </c>
      <c r="B362" s="263">
        <f t="shared" si="21"/>
        <v>140</v>
      </c>
      <c r="C362" s="263" t="s">
        <v>3</v>
      </c>
      <c r="D362" s="263">
        <f t="shared" si="22"/>
        <v>400</v>
      </c>
      <c r="E362" s="263" t="s">
        <v>3</v>
      </c>
      <c r="F362" s="261">
        <f t="shared" si="23"/>
        <v>1150</v>
      </c>
      <c r="G362" s="263" t="s">
        <v>3</v>
      </c>
      <c r="H362" s="260">
        <v>8</v>
      </c>
      <c r="I362" s="262" t="s">
        <v>583</v>
      </c>
      <c r="J362" s="112">
        <v>140</v>
      </c>
      <c r="K362" s="75">
        <v>400</v>
      </c>
      <c r="L362" s="75">
        <v>1150</v>
      </c>
      <c r="M362" s="338">
        <v>25.219264098733099</v>
      </c>
      <c r="N362" s="87">
        <v>5918.839680000001</v>
      </c>
      <c r="O362" s="123">
        <v>56508.590134575941</v>
      </c>
      <c r="P362" s="123">
        <v>67219.607966037787</v>
      </c>
      <c r="Q362" s="120">
        <v>17420.33736064834</v>
      </c>
      <c r="R362" s="123">
        <v>73928.927495224285</v>
      </c>
      <c r="S362" s="123">
        <v>84639.945326686124</v>
      </c>
      <c r="U362" s="7" t="s">
        <v>7211</v>
      </c>
    </row>
    <row r="363" spans="1:21" ht="16.5" thickBot="1">
      <c r="A363" s="259" t="s">
        <v>10</v>
      </c>
      <c r="B363" s="263">
        <f t="shared" si="21"/>
        <v>140</v>
      </c>
      <c r="C363" s="263" t="s">
        <v>3</v>
      </c>
      <c r="D363" s="263">
        <f t="shared" si="22"/>
        <v>400</v>
      </c>
      <c r="E363" s="263" t="s">
        <v>3</v>
      </c>
      <c r="F363" s="261">
        <f t="shared" si="23"/>
        <v>1200</v>
      </c>
      <c r="G363" s="263" t="s">
        <v>3</v>
      </c>
      <c r="H363" s="260">
        <v>8</v>
      </c>
      <c r="I363" s="262" t="s">
        <v>583</v>
      </c>
      <c r="J363" s="112">
        <v>140</v>
      </c>
      <c r="K363" s="75">
        <v>400</v>
      </c>
      <c r="L363" s="75">
        <v>1200</v>
      </c>
      <c r="M363" s="338">
        <v>26.327288706991247</v>
      </c>
      <c r="N363" s="87">
        <v>6288.7671600000003</v>
      </c>
      <c r="O363" s="123">
        <v>58169.778458140296</v>
      </c>
      <c r="P363" s="123">
        <v>69240.742292991607</v>
      </c>
      <c r="Q363" s="120">
        <v>18253.310975824952</v>
      </c>
      <c r="R363" s="123">
        <v>76423.089433965244</v>
      </c>
      <c r="S363" s="123">
        <v>87494.053268816555</v>
      </c>
      <c r="U363" s="7" t="s">
        <v>7212</v>
      </c>
    </row>
    <row r="364" spans="1:21" ht="16.5" thickBot="1">
      <c r="A364" s="259" t="s">
        <v>10</v>
      </c>
      <c r="B364" s="263">
        <f t="shared" si="21"/>
        <v>140</v>
      </c>
      <c r="C364" s="263" t="s">
        <v>3</v>
      </c>
      <c r="D364" s="263">
        <f t="shared" si="22"/>
        <v>400</v>
      </c>
      <c r="E364" s="263" t="s">
        <v>3</v>
      </c>
      <c r="F364" s="261">
        <f t="shared" si="23"/>
        <v>1250</v>
      </c>
      <c r="G364" s="263" t="s">
        <v>3</v>
      </c>
      <c r="H364" s="260">
        <v>8</v>
      </c>
      <c r="I364" s="262" t="s">
        <v>583</v>
      </c>
      <c r="J364" s="112">
        <v>140</v>
      </c>
      <c r="K364" s="75">
        <v>400</v>
      </c>
      <c r="L364" s="75">
        <v>1250</v>
      </c>
      <c r="M364" s="338">
        <v>28.1542315152494</v>
      </c>
      <c r="N364" s="87">
        <v>6658.6946400000015</v>
      </c>
      <c r="O364" s="123">
        <v>59711.730874424975</v>
      </c>
      <c r="P364" s="123">
        <v>71139.959212077374</v>
      </c>
      <c r="Q364" s="120">
        <v>18855.702672824929</v>
      </c>
      <c r="R364" s="123">
        <v>78567.433547249908</v>
      </c>
      <c r="S364" s="123">
        <v>89995.661884902307</v>
      </c>
      <c r="U364" s="7" t="s">
        <v>7213</v>
      </c>
    </row>
    <row r="365" spans="1:21" ht="16.5" thickBot="1">
      <c r="A365" s="259" t="s">
        <v>10</v>
      </c>
      <c r="B365" s="263">
        <f t="shared" si="21"/>
        <v>140</v>
      </c>
      <c r="C365" s="263" t="s">
        <v>3</v>
      </c>
      <c r="D365" s="263">
        <f t="shared" si="22"/>
        <v>400</v>
      </c>
      <c r="E365" s="263" t="s">
        <v>3</v>
      </c>
      <c r="F365" s="261">
        <f t="shared" si="23"/>
        <v>1300</v>
      </c>
      <c r="G365" s="263" t="s">
        <v>3</v>
      </c>
      <c r="H365" s="260">
        <v>8</v>
      </c>
      <c r="I365" s="262" t="s">
        <v>583</v>
      </c>
      <c r="J365" s="112">
        <v>140</v>
      </c>
      <c r="K365" s="75">
        <v>400</v>
      </c>
      <c r="L365" s="75">
        <v>1300</v>
      </c>
      <c r="M365" s="338">
        <v>29.098191123507551</v>
      </c>
      <c r="N365" s="87">
        <v>7028.6221200000009</v>
      </c>
      <c r="O365" s="123">
        <v>63748.811016450149</v>
      </c>
      <c r="P365" s="123">
        <v>75597.700862215876</v>
      </c>
      <c r="Q365" s="120">
        <v>19688.676288001541</v>
      </c>
      <c r="R365" s="123">
        <v>83437.487304451686</v>
      </c>
      <c r="S365" s="123">
        <v>95286.37715021742</v>
      </c>
      <c r="U365" s="7" t="s">
        <v>7214</v>
      </c>
    </row>
    <row r="366" spans="1:21" ht="16.5" thickBot="1">
      <c r="A366" s="259" t="s">
        <v>10</v>
      </c>
      <c r="B366" s="263">
        <f t="shared" si="21"/>
        <v>140</v>
      </c>
      <c r="C366" s="263" t="s">
        <v>3</v>
      </c>
      <c r="D366" s="263">
        <f t="shared" si="22"/>
        <v>400</v>
      </c>
      <c r="E366" s="263" t="s">
        <v>3</v>
      </c>
      <c r="F366" s="261">
        <f t="shared" si="23"/>
        <v>1350</v>
      </c>
      <c r="G366" s="263" t="s">
        <v>3</v>
      </c>
      <c r="H366" s="260">
        <v>8</v>
      </c>
      <c r="I366" s="262" t="s">
        <v>583</v>
      </c>
      <c r="J366" s="112">
        <v>140</v>
      </c>
      <c r="K366" s="75">
        <v>400</v>
      </c>
      <c r="L366" s="75">
        <v>1350</v>
      </c>
      <c r="M366" s="338">
        <v>30.024343931765699</v>
      </c>
      <c r="N366" s="87">
        <v>7398.5496000000012</v>
      </c>
      <c r="O366" s="123">
        <v>65559.18685850536</v>
      </c>
      <c r="P366" s="123">
        <v>77774.557656470031</v>
      </c>
      <c r="Q366" s="120">
        <v>20291.067985001515</v>
      </c>
      <c r="R366" s="123">
        <v>85850.254843506875</v>
      </c>
      <c r="S366" s="123">
        <v>98065.625641471546</v>
      </c>
      <c r="U366" s="7" t="s">
        <v>7215</v>
      </c>
    </row>
    <row r="367" spans="1:21" ht="16.5" thickBot="1">
      <c r="A367" s="259" t="s">
        <v>10</v>
      </c>
      <c r="B367" s="263">
        <f t="shared" si="21"/>
        <v>140</v>
      </c>
      <c r="C367" s="263" t="s">
        <v>3</v>
      </c>
      <c r="D367" s="263">
        <f t="shared" si="22"/>
        <v>400</v>
      </c>
      <c r="E367" s="263" t="s">
        <v>3</v>
      </c>
      <c r="F367" s="261">
        <f t="shared" si="23"/>
        <v>1400</v>
      </c>
      <c r="G367" s="263" t="s">
        <v>3</v>
      </c>
      <c r="H367" s="260">
        <v>8</v>
      </c>
      <c r="I367" s="262" t="s">
        <v>583</v>
      </c>
      <c r="J367" s="112">
        <v>140</v>
      </c>
      <c r="K367" s="75">
        <v>400</v>
      </c>
      <c r="L367" s="75">
        <v>1400</v>
      </c>
      <c r="M367" s="338">
        <v>30.968303540023854</v>
      </c>
      <c r="N367" s="87">
        <v>7768.4770800000015</v>
      </c>
      <c r="O367" s="123">
        <v>67700.257181087887</v>
      </c>
      <c r="P367" s="123">
        <v>80290.186943508248</v>
      </c>
      <c r="Q367" s="120">
        <v>21124.04160017813</v>
      </c>
      <c r="R367" s="123">
        <v>88824.298781266014</v>
      </c>
      <c r="S367" s="123">
        <v>101414.22854368637</v>
      </c>
      <c r="U367" s="7" t="s">
        <v>7216</v>
      </c>
    </row>
    <row r="368" spans="1:21" ht="16.5" thickBot="1">
      <c r="A368" s="259" t="s">
        <v>10</v>
      </c>
      <c r="B368" s="263">
        <f t="shared" si="21"/>
        <v>140</v>
      </c>
      <c r="C368" s="263" t="s">
        <v>3</v>
      </c>
      <c r="D368" s="263">
        <f t="shared" si="22"/>
        <v>400</v>
      </c>
      <c r="E368" s="263" t="s">
        <v>3</v>
      </c>
      <c r="F368" s="261">
        <f t="shared" si="23"/>
        <v>1450</v>
      </c>
      <c r="G368" s="263" t="s">
        <v>3</v>
      </c>
      <c r="H368" s="260">
        <v>8</v>
      </c>
      <c r="I368" s="262" t="s">
        <v>583</v>
      </c>
      <c r="J368" s="112">
        <v>140</v>
      </c>
      <c r="K368" s="75">
        <v>400</v>
      </c>
      <c r="L368" s="75">
        <v>1450</v>
      </c>
      <c r="M368" s="338">
        <v>31.894456348282006</v>
      </c>
      <c r="N368" s="87">
        <v>8138.4045600000018</v>
      </c>
      <c r="O368" s="123">
        <v>69510.722523911696</v>
      </c>
      <c r="P368" s="123">
        <v>82467.142314961879</v>
      </c>
      <c r="Q368" s="120">
        <v>21726.433297178104</v>
      </c>
      <c r="R368" s="123">
        <v>91237.155821089807</v>
      </c>
      <c r="S368" s="123">
        <v>104193.57561213998</v>
      </c>
      <c r="U368" s="7" t="s">
        <v>7217</v>
      </c>
    </row>
    <row r="369" spans="1:21" ht="16.5" thickBot="1">
      <c r="A369" s="259" t="s">
        <v>10</v>
      </c>
      <c r="B369" s="263">
        <f t="shared" si="21"/>
        <v>140</v>
      </c>
      <c r="C369" s="263" t="s">
        <v>3</v>
      </c>
      <c r="D369" s="263">
        <f t="shared" si="22"/>
        <v>400</v>
      </c>
      <c r="E369" s="263" t="s">
        <v>3</v>
      </c>
      <c r="F369" s="261">
        <f t="shared" si="23"/>
        <v>1500</v>
      </c>
      <c r="G369" s="263" t="s">
        <v>3</v>
      </c>
      <c r="H369" s="260">
        <v>8</v>
      </c>
      <c r="I369" s="262" t="s">
        <v>583</v>
      </c>
      <c r="J369" s="112">
        <v>140</v>
      </c>
      <c r="K369" s="75">
        <v>400</v>
      </c>
      <c r="L369" s="75">
        <v>1500</v>
      </c>
      <c r="M369" s="338">
        <v>32.802490208728358</v>
      </c>
      <c r="N369" s="87">
        <v>8508.3320400000011</v>
      </c>
      <c r="O369" s="123">
        <v>71959.009366069673</v>
      </c>
      <c r="P369" s="123">
        <v>85512.827601326222</v>
      </c>
      <c r="Q369" s="120">
        <v>22559.406912354716</v>
      </c>
      <c r="R369" s="123">
        <v>94518.416278424382</v>
      </c>
      <c r="S369" s="123">
        <v>108072.23451368095</v>
      </c>
      <c r="U369" s="7" t="s">
        <v>7218</v>
      </c>
    </row>
    <row r="370" spans="1:21" ht="16.5" thickBot="1">
      <c r="A370" s="259" t="s">
        <v>10</v>
      </c>
      <c r="B370" s="263">
        <f t="shared" si="21"/>
        <v>140</v>
      </c>
      <c r="C370" s="263" t="s">
        <v>3</v>
      </c>
      <c r="D370" s="263">
        <f t="shared" si="22"/>
        <v>400</v>
      </c>
      <c r="E370" s="263" t="s">
        <v>3</v>
      </c>
      <c r="F370" s="261">
        <f t="shared" si="23"/>
        <v>1550</v>
      </c>
      <c r="G370" s="263" t="s">
        <v>3</v>
      </c>
      <c r="H370" s="260">
        <v>8</v>
      </c>
      <c r="I370" s="262" t="s">
        <v>583</v>
      </c>
      <c r="J370" s="112">
        <v>140</v>
      </c>
      <c r="K370" s="75">
        <v>400</v>
      </c>
      <c r="L370" s="75">
        <v>1550</v>
      </c>
      <c r="M370" s="338">
        <v>33.728643016986503</v>
      </c>
      <c r="N370" s="87">
        <v>8878.2595200000014</v>
      </c>
      <c r="O370" s="123">
        <v>73769.457524745914</v>
      </c>
      <c r="P370" s="123">
        <v>87689.753203771266</v>
      </c>
      <c r="Q370" s="120">
        <v>23161.79860935469</v>
      </c>
      <c r="R370" s="123">
        <v>96931.256134100608</v>
      </c>
      <c r="S370" s="123">
        <v>110851.55181312596</v>
      </c>
      <c r="U370" s="7" t="s">
        <v>7219</v>
      </c>
    </row>
    <row r="371" spans="1:21" ht="16.5" thickBot="1">
      <c r="A371" s="259" t="s">
        <v>10</v>
      </c>
      <c r="B371" s="260">
        <f t="shared" si="21"/>
        <v>140</v>
      </c>
      <c r="C371" s="260" t="s">
        <v>3</v>
      </c>
      <c r="D371" s="260">
        <f t="shared" si="22"/>
        <v>400</v>
      </c>
      <c r="E371" s="260" t="s">
        <v>3</v>
      </c>
      <c r="F371" s="261">
        <f t="shared" si="23"/>
        <v>1600</v>
      </c>
      <c r="G371" s="260" t="s">
        <v>3</v>
      </c>
      <c r="H371" s="260">
        <v>8</v>
      </c>
      <c r="I371" s="262" t="s">
        <v>583</v>
      </c>
      <c r="J371" s="112">
        <v>140</v>
      </c>
      <c r="K371" s="75">
        <v>400</v>
      </c>
      <c r="L371" s="75">
        <v>1600</v>
      </c>
      <c r="M371" s="338">
        <v>34.654795825244648</v>
      </c>
      <c r="N371" s="87">
        <v>9248.1870000000017</v>
      </c>
      <c r="O371" s="123">
        <v>77547.760633839585</v>
      </c>
      <c r="P371" s="123">
        <v>91882.584494056951</v>
      </c>
      <c r="Q371" s="120">
        <v>23764.190446748027</v>
      </c>
      <c r="R371" s="123">
        <v>101311.95108058761</v>
      </c>
      <c r="S371" s="123">
        <v>115646.77494080499</v>
      </c>
      <c r="U371" s="7" t="s">
        <v>7220</v>
      </c>
    </row>
    <row r="372" spans="1:21" ht="16.5" thickBot="1">
      <c r="A372" s="259" t="s">
        <v>10</v>
      </c>
      <c r="B372" s="263">
        <f t="shared" si="21"/>
        <v>140</v>
      </c>
      <c r="C372" s="263" t="s">
        <v>3</v>
      </c>
      <c r="D372" s="263">
        <f t="shared" si="22"/>
        <v>400</v>
      </c>
      <c r="E372" s="263" t="s">
        <v>3</v>
      </c>
      <c r="F372" s="261">
        <f t="shared" si="23"/>
        <v>1650</v>
      </c>
      <c r="G372" s="263" t="s">
        <v>3</v>
      </c>
      <c r="H372" s="260">
        <v>8</v>
      </c>
      <c r="I372" s="262" t="s">
        <v>583</v>
      </c>
      <c r="J372" s="112">
        <v>140</v>
      </c>
      <c r="K372" s="75">
        <v>400</v>
      </c>
      <c r="L372" s="75">
        <v>1650</v>
      </c>
      <c r="M372" s="338">
        <v>35.598755433502809</v>
      </c>
      <c r="N372" s="87">
        <v>9618.114480000002</v>
      </c>
      <c r="O372" s="123">
        <v>81580.758944145098</v>
      </c>
      <c r="P372" s="123">
        <v>96336.332788372834</v>
      </c>
      <c r="Q372" s="120">
        <v>24597.164061924639</v>
      </c>
      <c r="R372" s="123">
        <v>106177.92300606973</v>
      </c>
      <c r="S372" s="123">
        <v>120933.49685029747</v>
      </c>
      <c r="U372" s="7" t="s">
        <v>7221</v>
      </c>
    </row>
    <row r="373" spans="1:21" ht="16.5" thickBot="1">
      <c r="A373" s="259" t="s">
        <v>10</v>
      </c>
      <c r="B373" s="263">
        <f t="shared" si="21"/>
        <v>140</v>
      </c>
      <c r="C373" s="263" t="s">
        <v>3</v>
      </c>
      <c r="D373" s="263">
        <f t="shared" si="22"/>
        <v>400</v>
      </c>
      <c r="E373" s="263" t="s">
        <v>3</v>
      </c>
      <c r="F373" s="261">
        <f t="shared" si="23"/>
        <v>1700</v>
      </c>
      <c r="G373" s="263" t="s">
        <v>3</v>
      </c>
      <c r="H373" s="260">
        <v>8</v>
      </c>
      <c r="I373" s="262" t="s">
        <v>583</v>
      </c>
      <c r="J373" s="112">
        <v>140</v>
      </c>
      <c r="K373" s="75">
        <v>400</v>
      </c>
      <c r="L373" s="75">
        <v>1700</v>
      </c>
      <c r="M373" s="338">
        <v>37.425698241760948</v>
      </c>
      <c r="N373" s="87">
        <v>9988.0419600000023</v>
      </c>
      <c r="O373" s="123">
        <v>83179.201978213343</v>
      </c>
      <c r="P373" s="123">
        <v>98295.402910534292</v>
      </c>
      <c r="Q373" s="120">
        <v>25199.55575892462</v>
      </c>
      <c r="R373" s="123">
        <v>108378.75773713796</v>
      </c>
      <c r="S373" s="123">
        <v>123494.95866945891</v>
      </c>
      <c r="U373" s="7" t="s">
        <v>7222</v>
      </c>
    </row>
    <row r="374" spans="1:21" ht="16.5" thickBot="1">
      <c r="A374" s="259" t="s">
        <v>10</v>
      </c>
      <c r="B374" s="263">
        <f t="shared" si="21"/>
        <v>140</v>
      </c>
      <c r="C374" s="263" t="s">
        <v>3</v>
      </c>
      <c r="D374" s="263">
        <f t="shared" si="22"/>
        <v>400</v>
      </c>
      <c r="E374" s="263" t="s">
        <v>3</v>
      </c>
      <c r="F374" s="261">
        <f t="shared" si="23"/>
        <v>1750</v>
      </c>
      <c r="G374" s="263" t="s">
        <v>3</v>
      </c>
      <c r="H374" s="260">
        <v>8</v>
      </c>
      <c r="I374" s="262" t="s">
        <v>583</v>
      </c>
      <c r="J374" s="112">
        <v>140</v>
      </c>
      <c r="K374" s="75">
        <v>400</v>
      </c>
      <c r="L374" s="75">
        <v>1750</v>
      </c>
      <c r="M374" s="338">
        <v>38.369657850019102</v>
      </c>
      <c r="N374" s="87">
        <v>10357.969440000001</v>
      </c>
      <c r="O374" s="123">
        <v>84700.940824912672</v>
      </c>
      <c r="P374" s="123">
        <v>100175.918102806</v>
      </c>
      <c r="Q374" s="120">
        <v>26032.529374101232</v>
      </c>
      <c r="R374" s="123">
        <v>110733.4701990139</v>
      </c>
      <c r="S374" s="123">
        <v>126208.44747690723</v>
      </c>
      <c r="U374" s="7" t="s">
        <v>7223</v>
      </c>
    </row>
    <row r="375" spans="1:21" ht="16.5" thickBot="1">
      <c r="A375" s="259" t="s">
        <v>10</v>
      </c>
      <c r="B375" s="263">
        <f t="shared" si="21"/>
        <v>140</v>
      </c>
      <c r="C375" s="263" t="s">
        <v>3</v>
      </c>
      <c r="D375" s="263">
        <f t="shared" si="22"/>
        <v>400</v>
      </c>
      <c r="E375" s="263" t="s">
        <v>3</v>
      </c>
      <c r="F375" s="261">
        <f t="shared" si="23"/>
        <v>1800</v>
      </c>
      <c r="G375" s="263" t="s">
        <v>3</v>
      </c>
      <c r="H375" s="260">
        <v>8</v>
      </c>
      <c r="I375" s="262" t="s">
        <v>583</v>
      </c>
      <c r="J375" s="112">
        <v>140</v>
      </c>
      <c r="K375" s="75">
        <v>400</v>
      </c>
      <c r="L375" s="75">
        <v>1800</v>
      </c>
      <c r="M375" s="338">
        <v>39.295810658277247</v>
      </c>
      <c r="N375" s="87">
        <v>10727.896920000001</v>
      </c>
      <c r="O375" s="123">
        <v>86300.615747559859</v>
      </c>
      <c r="P375" s="123">
        <v>102136.29244701461</v>
      </c>
      <c r="Q375" s="120">
        <v>26634.921071101206</v>
      </c>
      <c r="R375" s="123">
        <v>112935.53681866106</v>
      </c>
      <c r="S375" s="123">
        <v>128771.21351811581</v>
      </c>
      <c r="U375" s="7" t="s">
        <v>7224</v>
      </c>
    </row>
    <row r="376" spans="1:21" ht="16.5" thickBot="1">
      <c r="A376" s="259" t="s">
        <v>10</v>
      </c>
      <c r="B376" s="263">
        <f t="shared" si="21"/>
        <v>140</v>
      </c>
      <c r="C376" s="263" t="s">
        <v>3</v>
      </c>
      <c r="D376" s="263">
        <f t="shared" si="22"/>
        <v>400</v>
      </c>
      <c r="E376" s="263" t="s">
        <v>3</v>
      </c>
      <c r="F376" s="261">
        <f t="shared" si="23"/>
        <v>1850</v>
      </c>
      <c r="G376" s="263" t="s">
        <v>3</v>
      </c>
      <c r="H376" s="260">
        <v>8</v>
      </c>
      <c r="I376" s="262" t="s">
        <v>583</v>
      </c>
      <c r="J376" s="112">
        <v>140</v>
      </c>
      <c r="K376" s="75">
        <v>400</v>
      </c>
      <c r="L376" s="75">
        <v>1850</v>
      </c>
      <c r="M376" s="338">
        <v>40.239770266535409</v>
      </c>
      <c r="N376" s="87">
        <v>11097.824400000001</v>
      </c>
      <c r="O376" s="123">
        <v>87900.467762394488</v>
      </c>
      <c r="P376" s="123">
        <v>104096.86655693871</v>
      </c>
      <c r="Q376" s="120">
        <v>27467.894686277818</v>
      </c>
      <c r="R376" s="123">
        <v>115368.3624486723</v>
      </c>
      <c r="S376" s="123">
        <v>131564.76124321652</v>
      </c>
      <c r="U376" s="7" t="s">
        <v>7225</v>
      </c>
    </row>
    <row r="377" spans="1:21" ht="16.5" thickBot="1">
      <c r="A377" s="259" t="s">
        <v>10</v>
      </c>
      <c r="B377" s="263">
        <f t="shared" si="21"/>
        <v>140</v>
      </c>
      <c r="C377" s="263" t="s">
        <v>3</v>
      </c>
      <c r="D377" s="263">
        <f t="shared" si="22"/>
        <v>400</v>
      </c>
      <c r="E377" s="263" t="s">
        <v>3</v>
      </c>
      <c r="F377" s="261">
        <f t="shared" si="23"/>
        <v>1900</v>
      </c>
      <c r="G377" s="263" t="s">
        <v>3</v>
      </c>
      <c r="H377" s="260">
        <v>8</v>
      </c>
      <c r="I377" s="262" t="s">
        <v>583</v>
      </c>
      <c r="J377" s="112">
        <v>140</v>
      </c>
      <c r="K377" s="75">
        <v>400</v>
      </c>
      <c r="L377" s="75">
        <v>1900</v>
      </c>
      <c r="M377" s="338">
        <v>41.165923074793554</v>
      </c>
      <c r="N377" s="87">
        <v>11467.751880000002</v>
      </c>
      <c r="O377" s="123">
        <v>89677.401463263115</v>
      </c>
      <c r="P377" s="123">
        <v>106238.86279761381</v>
      </c>
      <c r="Q377" s="120">
        <v>28070.286383277791</v>
      </c>
      <c r="R377" s="123">
        <v>117747.68784654091</v>
      </c>
      <c r="S377" s="123">
        <v>134309.1491808916</v>
      </c>
      <c r="U377" s="7" t="s">
        <v>7226</v>
      </c>
    </row>
    <row r="378" spans="1:21" ht="16.5" thickBot="1">
      <c r="A378" s="259" t="s">
        <v>10</v>
      </c>
      <c r="B378" s="263">
        <f t="shared" si="21"/>
        <v>140</v>
      </c>
      <c r="C378" s="263" t="s">
        <v>3</v>
      </c>
      <c r="D378" s="263">
        <f t="shared" si="22"/>
        <v>400</v>
      </c>
      <c r="E378" s="263" t="s">
        <v>3</v>
      </c>
      <c r="F378" s="261">
        <f t="shared" si="23"/>
        <v>1950</v>
      </c>
      <c r="G378" s="263" t="s">
        <v>3</v>
      </c>
      <c r="H378" s="260">
        <v>8</v>
      </c>
      <c r="I378" s="262" t="s">
        <v>583</v>
      </c>
      <c r="J378" s="112">
        <v>140</v>
      </c>
      <c r="K378" s="75">
        <v>400</v>
      </c>
      <c r="L378" s="75">
        <v>1950</v>
      </c>
      <c r="M378" s="338">
        <v>42.2561408830517</v>
      </c>
      <c r="N378" s="87">
        <v>11837.679360000002</v>
      </c>
      <c r="O378" s="123">
        <v>91700.055944275126</v>
      </c>
      <c r="P378" s="123">
        <v>108632.59504505315</v>
      </c>
      <c r="Q378" s="120">
        <v>28672.678220671129</v>
      </c>
      <c r="R378" s="123">
        <v>120372.73416494625</v>
      </c>
      <c r="S378" s="123">
        <v>137305.27326572427</v>
      </c>
      <c r="U378" s="7" t="s">
        <v>7227</v>
      </c>
    </row>
    <row r="379" spans="1:21" ht="16.5" thickBot="1">
      <c r="A379" s="259" t="s">
        <v>10</v>
      </c>
      <c r="B379" s="263">
        <f t="shared" si="21"/>
        <v>140</v>
      </c>
      <c r="C379" s="263" t="s">
        <v>3</v>
      </c>
      <c r="D379" s="263">
        <f t="shared" si="22"/>
        <v>400</v>
      </c>
      <c r="E379" s="263" t="s">
        <v>3</v>
      </c>
      <c r="F379" s="261">
        <f t="shared" si="23"/>
        <v>2000</v>
      </c>
      <c r="G379" s="263" t="s">
        <v>3</v>
      </c>
      <c r="H379" s="260">
        <v>8</v>
      </c>
      <c r="I379" s="262" t="s">
        <v>583</v>
      </c>
      <c r="J379" s="112">
        <v>140</v>
      </c>
      <c r="K379" s="75">
        <v>400</v>
      </c>
      <c r="L379" s="75">
        <v>2000</v>
      </c>
      <c r="M379" s="338">
        <v>43.295783199309852</v>
      </c>
      <c r="N379" s="87">
        <v>12207.60684</v>
      </c>
      <c r="O379" s="123">
        <v>93514.836059485664</v>
      </c>
      <c r="P379" s="123">
        <v>111024.65631103696</v>
      </c>
      <c r="Q379" s="120">
        <v>29505.651695454384</v>
      </c>
      <c r="R379" s="123">
        <v>123020.48775494006</v>
      </c>
      <c r="S379" s="123">
        <v>140530.30800649134</v>
      </c>
      <c r="U379" s="7" t="s">
        <v>7228</v>
      </c>
    </row>
    <row r="380" spans="1:21" ht="16.5" thickBot="1">
      <c r="A380" s="259" t="s">
        <v>10</v>
      </c>
      <c r="B380" s="263">
        <f t="shared" si="21"/>
        <v>140</v>
      </c>
      <c r="C380" s="263" t="s">
        <v>3</v>
      </c>
      <c r="D380" s="263">
        <f t="shared" si="22"/>
        <v>400</v>
      </c>
      <c r="E380" s="263" t="s">
        <v>3</v>
      </c>
      <c r="F380" s="261">
        <f t="shared" si="23"/>
        <v>2050</v>
      </c>
      <c r="G380" s="263" t="s">
        <v>3</v>
      </c>
      <c r="H380" s="260">
        <v>8</v>
      </c>
      <c r="I380" s="262" t="s">
        <v>583</v>
      </c>
      <c r="J380" s="112">
        <v>140</v>
      </c>
      <c r="K380" s="75">
        <v>400</v>
      </c>
      <c r="L380" s="75">
        <v>2050</v>
      </c>
      <c r="M380" s="338">
        <v>45.122726007567998</v>
      </c>
      <c r="N380" s="87">
        <v>12577.534320000001</v>
      </c>
      <c r="O380" s="123">
        <v>97295.352940256911</v>
      </c>
      <c r="P380" s="123">
        <v>115221.46881452334</v>
      </c>
      <c r="Q380" s="120">
        <v>30108.043532847722</v>
      </c>
      <c r="R380" s="123">
        <v>127403.39647310463</v>
      </c>
      <c r="S380" s="123">
        <v>145329.51234737106</v>
      </c>
      <c r="U380" s="7" t="s">
        <v>7229</v>
      </c>
    </row>
    <row r="381" spans="1:21" ht="16.5" thickBot="1">
      <c r="A381" s="259" t="s">
        <v>10</v>
      </c>
      <c r="B381" s="260">
        <f t="shared" si="21"/>
        <v>140</v>
      </c>
      <c r="C381" s="260" t="s">
        <v>3</v>
      </c>
      <c r="D381" s="260">
        <f t="shared" si="22"/>
        <v>400</v>
      </c>
      <c r="E381" s="260" t="s">
        <v>3</v>
      </c>
      <c r="F381" s="261">
        <f t="shared" si="23"/>
        <v>2100</v>
      </c>
      <c r="G381" s="260" t="s">
        <v>3</v>
      </c>
      <c r="H381" s="260">
        <v>8</v>
      </c>
      <c r="I381" s="262" t="s">
        <v>583</v>
      </c>
      <c r="J381" s="112">
        <v>140</v>
      </c>
      <c r="K381" s="75">
        <v>400</v>
      </c>
      <c r="L381" s="75">
        <v>2100</v>
      </c>
      <c r="M381" s="338">
        <v>46.066685615826145</v>
      </c>
      <c r="N381" s="87">
        <v>12947.461800000001</v>
      </c>
      <c r="O381" s="123">
        <v>98958.287364149219</v>
      </c>
      <c r="P381" s="123">
        <v>117246.71883747964</v>
      </c>
      <c r="Q381" s="120">
        <v>30941.01700763097</v>
      </c>
      <c r="R381" s="123">
        <v>129899.30437178019</v>
      </c>
      <c r="S381" s="123">
        <v>148187.73584511061</v>
      </c>
      <c r="U381" s="7" t="s">
        <v>7230</v>
      </c>
    </row>
    <row r="382" spans="1:21" ht="16.5" thickBot="1">
      <c r="A382" s="259" t="s">
        <v>10</v>
      </c>
      <c r="B382" s="263">
        <f t="shared" si="21"/>
        <v>140</v>
      </c>
      <c r="C382" s="263" t="s">
        <v>3</v>
      </c>
      <c r="D382" s="263">
        <f t="shared" si="22"/>
        <v>400</v>
      </c>
      <c r="E382" s="263" t="s">
        <v>3</v>
      </c>
      <c r="F382" s="261">
        <f t="shared" si="23"/>
        <v>2150</v>
      </c>
      <c r="G382" s="263" t="s">
        <v>3</v>
      </c>
      <c r="H382" s="260">
        <v>8</v>
      </c>
      <c r="I382" s="262" t="s">
        <v>583</v>
      </c>
      <c r="J382" s="112">
        <v>140</v>
      </c>
      <c r="K382" s="75">
        <v>400</v>
      </c>
      <c r="L382" s="75">
        <v>2150</v>
      </c>
      <c r="M382" s="338">
        <v>46.992838424084304</v>
      </c>
      <c r="N382" s="87">
        <v>13317.389280000003</v>
      </c>
      <c r="O382" s="123">
        <v>100770.47159906746</v>
      </c>
      <c r="P382" s="123">
        <v>119424.87502284533</v>
      </c>
      <c r="Q382" s="120">
        <v>31543.408845024307</v>
      </c>
      <c r="R382" s="123">
        <v>132313.88044409177</v>
      </c>
      <c r="S382" s="123">
        <v>150968.28386786964</v>
      </c>
      <c r="U382" s="7" t="s">
        <v>7231</v>
      </c>
    </row>
    <row r="383" spans="1:21" ht="16.5" thickBot="1">
      <c r="A383" s="259" t="s">
        <v>10</v>
      </c>
      <c r="B383" s="263">
        <f t="shared" si="21"/>
        <v>140</v>
      </c>
      <c r="C383" s="263" t="s">
        <v>3</v>
      </c>
      <c r="D383" s="263">
        <f t="shared" si="22"/>
        <v>400</v>
      </c>
      <c r="E383" s="263" t="s">
        <v>3</v>
      </c>
      <c r="F383" s="261">
        <f t="shared" si="23"/>
        <v>2200</v>
      </c>
      <c r="G383" s="263" t="s">
        <v>3</v>
      </c>
      <c r="H383" s="260">
        <v>8</v>
      </c>
      <c r="I383" s="262" t="s">
        <v>583</v>
      </c>
      <c r="J383" s="112">
        <v>140</v>
      </c>
      <c r="K383" s="75">
        <v>400</v>
      </c>
      <c r="L383" s="75">
        <v>2200</v>
      </c>
      <c r="M383" s="338">
        <v>47.936798032342445</v>
      </c>
      <c r="N383" s="87">
        <v>13687.316760000003</v>
      </c>
      <c r="O383" s="123">
        <v>102582.71394981812</v>
      </c>
      <c r="P383" s="123">
        <v>121603.10210545518</v>
      </c>
      <c r="Q383" s="120">
        <v>32376.382319807555</v>
      </c>
      <c r="R383" s="123">
        <v>134959.09626962568</v>
      </c>
      <c r="S383" s="123">
        <v>153979.48442526272</v>
      </c>
      <c r="U383" s="7" t="s">
        <v>7232</v>
      </c>
    </row>
    <row r="384" spans="1:21" ht="16.5" thickBot="1">
      <c r="A384" s="259" t="s">
        <v>10</v>
      </c>
      <c r="B384" s="263">
        <f t="shared" si="21"/>
        <v>140</v>
      </c>
      <c r="C384" s="263" t="s">
        <v>3</v>
      </c>
      <c r="D384" s="263">
        <f t="shared" si="22"/>
        <v>400</v>
      </c>
      <c r="E384" s="263" t="s">
        <v>3</v>
      </c>
      <c r="F384" s="261">
        <f t="shared" si="23"/>
        <v>2250</v>
      </c>
      <c r="G384" s="263" t="s">
        <v>3</v>
      </c>
      <c r="H384" s="260">
        <v>8</v>
      </c>
      <c r="I384" s="262" t="s">
        <v>583</v>
      </c>
      <c r="J384" s="112">
        <v>140</v>
      </c>
      <c r="K384" s="75">
        <v>400</v>
      </c>
      <c r="L384" s="75">
        <v>2250</v>
      </c>
      <c r="M384" s="338">
        <v>48.862950840600597</v>
      </c>
      <c r="N384" s="87">
        <v>14057.244240000002</v>
      </c>
      <c r="O384" s="123">
        <v>104726.27979249775</v>
      </c>
      <c r="P384" s="123">
        <v>124122.11135006015</v>
      </c>
      <c r="Q384" s="120">
        <v>32978.774157200758</v>
      </c>
      <c r="R384" s="123">
        <v>137705.05394969851</v>
      </c>
      <c r="S384" s="123">
        <v>157100.88550726091</v>
      </c>
      <c r="U384" s="7" t="s">
        <v>7233</v>
      </c>
    </row>
    <row r="385" spans="1:21" ht="16.5" thickBot="1">
      <c r="A385" s="259" t="s">
        <v>10</v>
      </c>
      <c r="B385" s="263">
        <f t="shared" si="21"/>
        <v>140</v>
      </c>
      <c r="C385" s="263" t="s">
        <v>3</v>
      </c>
      <c r="D385" s="263">
        <f t="shared" si="22"/>
        <v>400</v>
      </c>
      <c r="E385" s="263" t="s">
        <v>3</v>
      </c>
      <c r="F385" s="261">
        <f t="shared" si="23"/>
        <v>2300</v>
      </c>
      <c r="G385" s="263" t="s">
        <v>3</v>
      </c>
      <c r="H385" s="260">
        <v>8</v>
      </c>
      <c r="I385" s="262" t="s">
        <v>583</v>
      </c>
      <c r="J385" s="112">
        <v>140</v>
      </c>
      <c r="K385" s="75">
        <v>400</v>
      </c>
      <c r="L385" s="75">
        <v>2300</v>
      </c>
      <c r="M385" s="338">
        <v>49.789103648858742</v>
      </c>
      <c r="N385" s="87">
        <v>14427.171720000002</v>
      </c>
      <c r="O385" s="123">
        <v>106301.70883759853</v>
      </c>
      <c r="P385" s="123">
        <v>126059.11101650189</v>
      </c>
      <c r="Q385" s="120">
        <v>33581.165854200874</v>
      </c>
      <c r="R385" s="123">
        <v>139882.8746917994</v>
      </c>
      <c r="S385" s="123">
        <v>159640.27687070277</v>
      </c>
      <c r="U385" s="7" t="s">
        <v>7234</v>
      </c>
    </row>
    <row r="386" spans="1:21" ht="16.5" thickBot="1">
      <c r="A386" s="259" t="s">
        <v>10</v>
      </c>
      <c r="B386" s="263">
        <f t="shared" si="21"/>
        <v>140</v>
      </c>
      <c r="C386" s="263" t="s">
        <v>3</v>
      </c>
      <c r="D386" s="263">
        <f t="shared" si="22"/>
        <v>400</v>
      </c>
      <c r="E386" s="263" t="s">
        <v>3</v>
      </c>
      <c r="F386" s="261">
        <f t="shared" si="23"/>
        <v>2350</v>
      </c>
      <c r="G386" s="263" t="s">
        <v>3</v>
      </c>
      <c r="H386" s="260">
        <v>8</v>
      </c>
      <c r="I386" s="262" t="s">
        <v>583</v>
      </c>
      <c r="J386" s="112">
        <v>140</v>
      </c>
      <c r="K386" s="75">
        <v>400</v>
      </c>
      <c r="L386" s="75">
        <v>2350</v>
      </c>
      <c r="M386" s="338">
        <v>50.733063257116889</v>
      </c>
      <c r="N386" s="87">
        <v>14797.099200000002</v>
      </c>
      <c r="O386" s="123">
        <v>107876.14036679974</v>
      </c>
      <c r="P386" s="123">
        <v>127994.93415427541</v>
      </c>
      <c r="Q386" s="120">
        <v>34414.139469377486</v>
      </c>
      <c r="R386" s="123">
        <v>142290.27983617721</v>
      </c>
      <c r="S386" s="123">
        <v>162409.07362365289</v>
      </c>
      <c r="U386" s="7" t="s">
        <v>7235</v>
      </c>
    </row>
    <row r="387" spans="1:21" ht="16.5" thickBot="1">
      <c r="A387" s="259" t="s">
        <v>10</v>
      </c>
      <c r="B387" s="263">
        <f t="shared" si="21"/>
        <v>140</v>
      </c>
      <c r="C387" s="263" t="s">
        <v>3</v>
      </c>
      <c r="D387" s="263">
        <f t="shared" si="22"/>
        <v>400</v>
      </c>
      <c r="E387" s="263" t="s">
        <v>3</v>
      </c>
      <c r="F387" s="261">
        <f t="shared" si="23"/>
        <v>2400</v>
      </c>
      <c r="G387" s="263" t="s">
        <v>3</v>
      </c>
      <c r="H387" s="260">
        <v>8</v>
      </c>
      <c r="I387" s="262" t="s">
        <v>583</v>
      </c>
      <c r="J387" s="112">
        <v>140</v>
      </c>
      <c r="K387" s="75">
        <v>400</v>
      </c>
      <c r="L387" s="75">
        <v>2400</v>
      </c>
      <c r="M387" s="338">
        <v>51.659216065375048</v>
      </c>
      <c r="N387" s="87">
        <v>15167.026679999999</v>
      </c>
      <c r="O387" s="123">
        <v>109486.74023059889</v>
      </c>
      <c r="P387" s="123">
        <v>129973.69908693206</v>
      </c>
      <c r="Q387" s="120">
        <v>35016.531306770819</v>
      </c>
      <c r="R387" s="123">
        <v>144503.2715373697</v>
      </c>
      <c r="S387" s="123">
        <v>164990.23039370286</v>
      </c>
      <c r="U387" s="7" t="s">
        <v>7236</v>
      </c>
    </row>
    <row r="388" spans="1:21" ht="16.5" thickBot="1">
      <c r="A388" s="259" t="s">
        <v>10</v>
      </c>
      <c r="B388" s="263">
        <f t="shared" si="21"/>
        <v>140</v>
      </c>
      <c r="C388" s="263" t="s">
        <v>3</v>
      </c>
      <c r="D388" s="263">
        <f t="shared" si="22"/>
        <v>400</v>
      </c>
      <c r="E388" s="263" t="s">
        <v>3</v>
      </c>
      <c r="F388" s="261">
        <f t="shared" si="23"/>
        <v>2450</v>
      </c>
      <c r="G388" s="263" t="s">
        <v>3</v>
      </c>
      <c r="H388" s="260">
        <v>8</v>
      </c>
      <c r="I388" s="262" t="s">
        <v>583</v>
      </c>
      <c r="J388" s="112">
        <v>140</v>
      </c>
      <c r="K388" s="75">
        <v>400</v>
      </c>
      <c r="L388" s="75">
        <v>2450</v>
      </c>
      <c r="M388" s="338">
        <v>53.468039925821394</v>
      </c>
      <c r="N388" s="87">
        <v>15536.954160000003</v>
      </c>
      <c r="O388" s="123">
        <v>111657.58901023923</v>
      </c>
      <c r="P388" s="123">
        <v>132729.02816996101</v>
      </c>
      <c r="Q388" s="120">
        <v>35849.504781554067</v>
      </c>
      <c r="R388" s="123">
        <v>147507.0937917933</v>
      </c>
      <c r="S388" s="123">
        <v>168578.53295151508</v>
      </c>
      <c r="U388" s="7" t="s">
        <v>7237</v>
      </c>
    </row>
    <row r="389" spans="1:21" ht="16.5" thickBot="1">
      <c r="A389" s="259" t="s">
        <v>10</v>
      </c>
      <c r="B389" s="263">
        <f t="shared" si="21"/>
        <v>140</v>
      </c>
      <c r="C389" s="263" t="s">
        <v>3</v>
      </c>
      <c r="D389" s="263">
        <f t="shared" si="22"/>
        <v>400</v>
      </c>
      <c r="E389" s="263" t="s">
        <v>3</v>
      </c>
      <c r="F389" s="261">
        <f t="shared" si="23"/>
        <v>2500</v>
      </c>
      <c r="G389" s="263" t="s">
        <v>3</v>
      </c>
      <c r="H389" s="260">
        <v>8</v>
      </c>
      <c r="I389" s="262" t="s">
        <v>583</v>
      </c>
      <c r="J389" s="112">
        <v>140</v>
      </c>
      <c r="K389" s="75">
        <v>400</v>
      </c>
      <c r="L389" s="75">
        <v>2500</v>
      </c>
      <c r="M389" s="338">
        <v>54.394192734079539</v>
      </c>
      <c r="N389" s="87">
        <v>15906.88164</v>
      </c>
      <c r="O389" s="123">
        <v>113256.10507693466</v>
      </c>
      <c r="P389" s="123">
        <v>134693.5323112816</v>
      </c>
      <c r="Q389" s="120">
        <v>36451.896618947409</v>
      </c>
      <c r="R389" s="123">
        <v>149708.00169588206</v>
      </c>
      <c r="S389" s="123">
        <v>171145.42893022901</v>
      </c>
      <c r="U389" s="7" t="s">
        <v>7238</v>
      </c>
    </row>
    <row r="390" spans="1:21" ht="16.5" thickBot="1">
      <c r="A390" s="259" t="s">
        <v>10</v>
      </c>
      <c r="B390" s="263">
        <f t="shared" si="21"/>
        <v>140</v>
      </c>
      <c r="C390" s="263" t="s">
        <v>3</v>
      </c>
      <c r="D390" s="263">
        <f t="shared" si="22"/>
        <v>400</v>
      </c>
      <c r="E390" s="263" t="s">
        <v>3</v>
      </c>
      <c r="F390" s="261">
        <f t="shared" si="23"/>
        <v>2550</v>
      </c>
      <c r="G390" s="263" t="s">
        <v>3</v>
      </c>
      <c r="H390" s="260">
        <v>8</v>
      </c>
      <c r="I390" s="262" t="s">
        <v>583</v>
      </c>
      <c r="J390" s="112">
        <v>140</v>
      </c>
      <c r="K390" s="75">
        <v>400</v>
      </c>
      <c r="L390" s="75">
        <v>2550</v>
      </c>
      <c r="M390" s="338">
        <v>55.3381523423377</v>
      </c>
      <c r="N390" s="87">
        <v>16276.809120000004</v>
      </c>
      <c r="O390" s="123">
        <v>118159.96925519155</v>
      </c>
      <c r="P390" s="123">
        <v>140040.24680216823</v>
      </c>
      <c r="Q390" s="120">
        <v>37284.870093730657</v>
      </c>
      <c r="R390" s="123">
        <v>155444.83934892219</v>
      </c>
      <c r="S390" s="123">
        <v>177325.11689589889</v>
      </c>
      <c r="U390" s="7" t="s">
        <v>7239</v>
      </c>
    </row>
    <row r="391" spans="1:21" ht="16.5" thickBot="1">
      <c r="A391" s="259" t="s">
        <v>10</v>
      </c>
      <c r="B391" s="260">
        <f t="shared" si="21"/>
        <v>140</v>
      </c>
      <c r="C391" s="260" t="s">
        <v>3</v>
      </c>
      <c r="D391" s="260">
        <f t="shared" si="22"/>
        <v>400</v>
      </c>
      <c r="E391" s="260" t="s">
        <v>3</v>
      </c>
      <c r="F391" s="261">
        <f t="shared" si="23"/>
        <v>2600</v>
      </c>
      <c r="G391" s="260" t="s">
        <v>3</v>
      </c>
      <c r="H391" s="260">
        <v>8</v>
      </c>
      <c r="I391" s="262" t="s">
        <v>583</v>
      </c>
      <c r="J391" s="112">
        <v>140</v>
      </c>
      <c r="K391" s="75">
        <v>400</v>
      </c>
      <c r="L391" s="75">
        <v>2600</v>
      </c>
      <c r="M391" s="338">
        <v>56.264305150595852</v>
      </c>
      <c r="N391" s="87">
        <v>16646.736600000004</v>
      </c>
      <c r="O391" s="123">
        <v>120009.05656635072</v>
      </c>
      <c r="P391" s="123">
        <v>142257.70238753778</v>
      </c>
      <c r="Q391" s="120">
        <v>37887.261931123991</v>
      </c>
      <c r="R391" s="123">
        <v>157896.31849747471</v>
      </c>
      <c r="S391" s="123">
        <v>180144.96431866178</v>
      </c>
      <c r="U391" s="7" t="s">
        <v>7240</v>
      </c>
    </row>
    <row r="392" spans="1:21" ht="16.5" thickBot="1">
      <c r="A392" s="259" t="s">
        <v>10</v>
      </c>
      <c r="B392" s="263">
        <f t="shared" si="21"/>
        <v>140</v>
      </c>
      <c r="C392" s="263" t="s">
        <v>3</v>
      </c>
      <c r="D392" s="263">
        <f t="shared" si="22"/>
        <v>400</v>
      </c>
      <c r="E392" s="263" t="s">
        <v>3</v>
      </c>
      <c r="F392" s="261">
        <f t="shared" si="23"/>
        <v>2650</v>
      </c>
      <c r="G392" s="263" t="s">
        <v>3</v>
      </c>
      <c r="H392" s="260">
        <v>8</v>
      </c>
      <c r="I392" s="262" t="s">
        <v>583</v>
      </c>
      <c r="J392" s="112">
        <v>140</v>
      </c>
      <c r="K392" s="75">
        <v>400</v>
      </c>
      <c r="L392" s="75">
        <v>2650</v>
      </c>
      <c r="M392" s="338">
        <v>57.208264758854007</v>
      </c>
      <c r="N392" s="87">
        <v>17016.664080000002</v>
      </c>
      <c r="O392" s="123">
        <v>121423.02503156479</v>
      </c>
      <c r="P392" s="123">
        <v>144029.4140730522</v>
      </c>
      <c r="Q392" s="120">
        <v>38720.235405907246</v>
      </c>
      <c r="R392" s="123">
        <v>160143.26043747202</v>
      </c>
      <c r="S392" s="123">
        <v>182749.64947895944</v>
      </c>
      <c r="U392" s="7" t="s">
        <v>7241</v>
      </c>
    </row>
    <row r="393" spans="1:21" ht="16.5" thickBot="1">
      <c r="A393" s="259" t="s">
        <v>10</v>
      </c>
      <c r="B393" s="263">
        <f t="shared" si="21"/>
        <v>140</v>
      </c>
      <c r="C393" s="263" t="s">
        <v>3</v>
      </c>
      <c r="D393" s="263">
        <f t="shared" si="22"/>
        <v>400</v>
      </c>
      <c r="E393" s="263" t="s">
        <v>3</v>
      </c>
      <c r="F393" s="261">
        <f t="shared" si="23"/>
        <v>2700</v>
      </c>
      <c r="G393" s="263" t="s">
        <v>3</v>
      </c>
      <c r="H393" s="260">
        <v>8</v>
      </c>
      <c r="I393" s="262" t="s">
        <v>583</v>
      </c>
      <c r="J393" s="112">
        <v>140</v>
      </c>
      <c r="K393" s="75">
        <v>400</v>
      </c>
      <c r="L393" s="75">
        <v>2700</v>
      </c>
      <c r="M393" s="338">
        <v>58.298482567112153</v>
      </c>
      <c r="N393" s="87">
        <v>17386.591560000004</v>
      </c>
      <c r="O393" s="123">
        <v>122957.43921578107</v>
      </c>
      <c r="P393" s="123">
        <v>145924.51098746306</v>
      </c>
      <c r="Q393" s="120">
        <v>39322.627243300587</v>
      </c>
      <c r="R393" s="123">
        <v>162280.06645908166</v>
      </c>
      <c r="S393" s="123">
        <v>185247.13823076364</v>
      </c>
      <c r="U393" s="7" t="s">
        <v>7242</v>
      </c>
    </row>
    <row r="394" spans="1:21" ht="16.5" thickBot="1">
      <c r="A394" s="259" t="s">
        <v>10</v>
      </c>
      <c r="B394" s="263">
        <f t="shared" si="21"/>
        <v>140</v>
      </c>
      <c r="C394" s="263" t="s">
        <v>3</v>
      </c>
      <c r="D394" s="263">
        <f t="shared" si="22"/>
        <v>400</v>
      </c>
      <c r="E394" s="263" t="s">
        <v>3</v>
      </c>
      <c r="F394" s="261">
        <f t="shared" si="23"/>
        <v>2750</v>
      </c>
      <c r="G394" s="263" t="s">
        <v>3</v>
      </c>
      <c r="H394" s="260">
        <v>8</v>
      </c>
      <c r="I394" s="262" t="s">
        <v>583</v>
      </c>
      <c r="J394" s="112">
        <v>140</v>
      </c>
      <c r="K394" s="75">
        <v>400</v>
      </c>
      <c r="L394" s="75">
        <v>2750</v>
      </c>
      <c r="M394" s="338">
        <v>59.224635375370298</v>
      </c>
      <c r="N394" s="87">
        <v>17756.519040000003</v>
      </c>
      <c r="O394" s="123">
        <v>124453.91879756479</v>
      </c>
      <c r="P394" s="123">
        <v>147780.74602795675</v>
      </c>
      <c r="Q394" s="120">
        <v>39925.018940300557</v>
      </c>
      <c r="R394" s="123">
        <v>164378.93773786534</v>
      </c>
      <c r="S394" s="123">
        <v>187705.76496825731</v>
      </c>
      <c r="U394" s="7" t="s">
        <v>7243</v>
      </c>
    </row>
    <row r="395" spans="1:21" ht="16.5" thickBot="1">
      <c r="A395" s="259" t="s">
        <v>10</v>
      </c>
      <c r="B395" s="263">
        <f t="shared" si="21"/>
        <v>140</v>
      </c>
      <c r="C395" s="263" t="s">
        <v>3</v>
      </c>
      <c r="D395" s="263">
        <f t="shared" si="22"/>
        <v>400</v>
      </c>
      <c r="E395" s="263" t="s">
        <v>3</v>
      </c>
      <c r="F395" s="261">
        <f t="shared" si="23"/>
        <v>2800</v>
      </c>
      <c r="G395" s="263" t="s">
        <v>3</v>
      </c>
      <c r="H395" s="260">
        <v>8</v>
      </c>
      <c r="I395" s="262" t="s">
        <v>583</v>
      </c>
      <c r="J395" s="112">
        <v>140</v>
      </c>
      <c r="K395" s="75">
        <v>400</v>
      </c>
      <c r="L395" s="75">
        <v>2800</v>
      </c>
      <c r="M395" s="338">
        <v>60.168594983628452</v>
      </c>
      <c r="N395" s="87">
        <v>18126.446520000005</v>
      </c>
      <c r="O395" s="123">
        <v>125866.64308276105</v>
      </c>
      <c r="P395" s="123">
        <v>149551.17973515528</v>
      </c>
      <c r="Q395" s="120">
        <v>40757.992555477169</v>
      </c>
      <c r="R395" s="123">
        <v>166624.63563823822</v>
      </c>
      <c r="S395" s="123">
        <v>190309.17229063244</v>
      </c>
      <c r="U395" s="7" t="s">
        <v>7244</v>
      </c>
    </row>
    <row r="396" spans="1:21" ht="16.5" thickBot="1">
      <c r="A396" s="259" t="s">
        <v>10</v>
      </c>
      <c r="B396" s="263">
        <f t="shared" si="21"/>
        <v>140</v>
      </c>
      <c r="C396" s="263" t="s">
        <v>3</v>
      </c>
      <c r="D396" s="263">
        <f t="shared" si="22"/>
        <v>400</v>
      </c>
      <c r="E396" s="263" t="s">
        <v>3</v>
      </c>
      <c r="F396" s="261">
        <f t="shared" si="23"/>
        <v>2850</v>
      </c>
      <c r="G396" s="263" t="s">
        <v>3</v>
      </c>
      <c r="H396" s="260">
        <v>8</v>
      </c>
      <c r="I396" s="262" t="s">
        <v>583</v>
      </c>
      <c r="J396" s="112">
        <v>140</v>
      </c>
      <c r="K396" s="75">
        <v>400</v>
      </c>
      <c r="L396" s="75">
        <v>2850</v>
      </c>
      <c r="M396" s="338">
        <v>61.995537791886584</v>
      </c>
      <c r="N396" s="87">
        <v>18496.374000000003</v>
      </c>
      <c r="O396" s="123">
        <v>127279.32035022019</v>
      </c>
      <c r="P396" s="123">
        <v>151321.56408847112</v>
      </c>
      <c r="Q396" s="120">
        <v>41360.384252477146</v>
      </c>
      <c r="R396" s="123">
        <v>168639.70460269734</v>
      </c>
      <c r="S396" s="123">
        <v>192681.94834094826</v>
      </c>
      <c r="U396" s="7" t="s">
        <v>7245</v>
      </c>
    </row>
    <row r="397" spans="1:21" ht="16.5" thickBot="1">
      <c r="A397" s="259" t="s">
        <v>10</v>
      </c>
      <c r="B397" s="263">
        <f t="shared" si="21"/>
        <v>140</v>
      </c>
      <c r="C397" s="263" t="s">
        <v>3</v>
      </c>
      <c r="D397" s="263">
        <f t="shared" si="22"/>
        <v>400</v>
      </c>
      <c r="E397" s="263" t="s">
        <v>3</v>
      </c>
      <c r="F397" s="261">
        <f t="shared" si="23"/>
        <v>2900</v>
      </c>
      <c r="G397" s="263" t="s">
        <v>3</v>
      </c>
      <c r="H397" s="260">
        <v>8</v>
      </c>
      <c r="I397" s="262" t="s">
        <v>583</v>
      </c>
      <c r="J397" s="112">
        <v>140</v>
      </c>
      <c r="K397" s="75">
        <v>400</v>
      </c>
      <c r="L397" s="75">
        <v>2900</v>
      </c>
      <c r="M397" s="338">
        <v>62.939497400144745</v>
      </c>
      <c r="N397" s="87">
        <v>18866.301480000002</v>
      </c>
      <c r="O397" s="123">
        <v>128691.95036127353</v>
      </c>
      <c r="P397" s="123">
        <v>153091.89895733853</v>
      </c>
      <c r="Q397" s="120">
        <v>42193.357867653758</v>
      </c>
      <c r="R397" s="123">
        <v>170885.30822892729</v>
      </c>
      <c r="S397" s="123">
        <v>195285.25682499231</v>
      </c>
      <c r="U397" s="7" t="s">
        <v>7246</v>
      </c>
    </row>
    <row r="398" spans="1:21" ht="16.5" thickBot="1">
      <c r="A398" s="259" t="s">
        <v>10</v>
      </c>
      <c r="B398" s="263">
        <f t="shared" si="21"/>
        <v>140</v>
      </c>
      <c r="C398" s="263" t="s">
        <v>3</v>
      </c>
      <c r="D398" s="263">
        <f t="shared" si="22"/>
        <v>400</v>
      </c>
      <c r="E398" s="263" t="s">
        <v>3</v>
      </c>
      <c r="F398" s="261">
        <f t="shared" si="23"/>
        <v>2950</v>
      </c>
      <c r="G398" s="263" t="s">
        <v>3</v>
      </c>
      <c r="H398" s="260">
        <v>8</v>
      </c>
      <c r="I398" s="262" t="s">
        <v>583</v>
      </c>
      <c r="J398" s="112">
        <v>140</v>
      </c>
      <c r="K398" s="75">
        <v>400</v>
      </c>
      <c r="L398" s="75">
        <v>2950</v>
      </c>
      <c r="M398" s="338">
        <v>63.865650208402897</v>
      </c>
      <c r="N398" s="87">
        <v>19236.228960000004</v>
      </c>
      <c r="O398" s="123">
        <v>130104.53323525541</v>
      </c>
      <c r="P398" s="123">
        <v>154862.18460288909</v>
      </c>
      <c r="Q398" s="120">
        <v>42795.749564653735</v>
      </c>
      <c r="R398" s="123">
        <v>172900.28279990915</v>
      </c>
      <c r="S398" s="123">
        <v>197657.93416754281</v>
      </c>
      <c r="U398" s="7" t="s">
        <v>7247</v>
      </c>
    </row>
    <row r="399" spans="1:21" ht="16.5" thickBot="1">
      <c r="A399" s="259" t="s">
        <v>10</v>
      </c>
      <c r="B399" s="263">
        <f t="shared" si="21"/>
        <v>140</v>
      </c>
      <c r="C399" s="263" t="s">
        <v>3</v>
      </c>
      <c r="D399" s="263">
        <f t="shared" si="22"/>
        <v>400</v>
      </c>
      <c r="E399" s="263" t="s">
        <v>3</v>
      </c>
      <c r="F399" s="261">
        <f t="shared" si="23"/>
        <v>3000</v>
      </c>
      <c r="G399" s="263" t="s">
        <v>3</v>
      </c>
      <c r="H399" s="260">
        <v>8</v>
      </c>
      <c r="I399" s="262" t="s">
        <v>583</v>
      </c>
      <c r="J399" s="146">
        <v>140</v>
      </c>
      <c r="K399" s="147">
        <v>400</v>
      </c>
      <c r="L399" s="147">
        <v>3000</v>
      </c>
      <c r="M399" s="1967">
        <v>64.809609816661037</v>
      </c>
      <c r="N399" s="148">
        <v>19606.156439999999</v>
      </c>
      <c r="O399" s="149">
        <v>133264.21013452241</v>
      </c>
      <c r="P399" s="149">
        <v>158424.27105324715</v>
      </c>
      <c r="Q399" s="159">
        <v>43628.723179830347</v>
      </c>
      <c r="R399" s="149">
        <v>176892.93331435276</v>
      </c>
      <c r="S399" s="149">
        <v>202052.99423307751</v>
      </c>
      <c r="U399" s="7" t="s">
        <v>7248</v>
      </c>
    </row>
  </sheetData>
  <mergeCells count="26">
    <mergeCell ref="R4:R5"/>
    <mergeCell ref="S4:S5"/>
    <mergeCell ref="A4:I6"/>
    <mergeCell ref="J4:M5"/>
    <mergeCell ref="N4:N6"/>
    <mergeCell ref="O4:O5"/>
    <mergeCell ref="P4:P5"/>
    <mergeCell ref="Q4:Q5"/>
    <mergeCell ref="A156:S156"/>
    <mergeCell ref="A204:S204"/>
    <mergeCell ref="A205:S205"/>
    <mergeCell ref="O6:S6"/>
    <mergeCell ref="A7:S7"/>
    <mergeCell ref="A8:S8"/>
    <mergeCell ref="A9:S9"/>
    <mergeCell ref="A57:S57"/>
    <mergeCell ref="A58:S58"/>
    <mergeCell ref="A106:S106"/>
    <mergeCell ref="A107:S107"/>
    <mergeCell ref="A155:S155"/>
    <mergeCell ref="A302:S302"/>
    <mergeCell ref="A303:S303"/>
    <mergeCell ref="A351:S351"/>
    <mergeCell ref="A352:S352"/>
    <mergeCell ref="A253:S253"/>
    <mergeCell ref="A254:S254"/>
  </mergeCells>
  <hyperlinks>
    <hyperlink ref="A1:I1" location="Главная!A1" display="Вернуться на главную страницу" xr:uid="{00000000-0004-0000-0D00-000000000000}"/>
    <hyperlink ref="A2" location="'Калькулятор теплоотдач ВКВ'!R1C1" display="Вернуться Калькулятор теплоотдач ВКВ" xr:uid="{00000000-0004-0000-0D00-000001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16">
    <tabColor rgb="FF3366FF"/>
  </sheetPr>
  <dimension ref="A1:U399"/>
  <sheetViews>
    <sheetView zoomScale="70" zoomScaleNormal="70" workbookViewId="0">
      <pane ySplit="6" topLeftCell="A7" activePane="bottomLeft" state="frozen"/>
      <selection pane="bottomLeft"/>
    </sheetView>
  </sheetViews>
  <sheetFormatPr defaultRowHeight="15.75"/>
  <cols>
    <col min="1" max="1" width="5.5703125" style="7" customWidth="1"/>
    <col min="2" max="2" width="6" style="7" customWidth="1"/>
    <col min="3" max="3" width="3" style="7" customWidth="1"/>
    <col min="4" max="4" width="6" style="7" customWidth="1"/>
    <col min="5" max="5" width="3" style="7" customWidth="1"/>
    <col min="6" max="6" width="7.7109375" style="96" customWidth="1"/>
    <col min="7" max="7" width="3" style="7" customWidth="1"/>
    <col min="8" max="8" width="6" style="7" customWidth="1"/>
    <col min="9" max="9" width="8.140625" style="7" customWidth="1"/>
    <col min="10" max="10" width="11.28515625" style="7" customWidth="1"/>
    <col min="11" max="12" width="11.28515625" style="96" customWidth="1"/>
    <col min="13" max="13" width="15.5703125" style="1" customWidth="1"/>
    <col min="14" max="14" width="19.140625" style="7" customWidth="1"/>
    <col min="15" max="16" width="27.7109375" style="122" customWidth="1"/>
    <col min="17" max="17" width="26.28515625" style="117" customWidth="1"/>
    <col min="18" max="19" width="27.7109375" style="122" customWidth="1"/>
    <col min="20" max="20" width="9.140625" style="74"/>
    <col min="21" max="21" width="27.85546875" style="74" customWidth="1"/>
    <col min="22" max="16384" width="9.140625" style="74"/>
  </cols>
  <sheetData>
    <row r="1" spans="1:21" ht="16.5" customHeight="1">
      <c r="A1" s="1217" t="s">
        <v>9</v>
      </c>
      <c r="B1" s="1217"/>
      <c r="C1" s="1217"/>
      <c r="D1" s="1217"/>
      <c r="E1" s="1217"/>
      <c r="F1" s="97"/>
      <c r="G1" s="1217"/>
      <c r="H1" s="1217"/>
      <c r="I1" s="1217"/>
      <c r="M1" s="175"/>
      <c r="O1" s="117"/>
      <c r="P1" s="117"/>
      <c r="R1" s="117"/>
      <c r="S1" s="117"/>
    </row>
    <row r="2" spans="1:21" ht="16.5" customHeight="1">
      <c r="A2" s="956" t="s">
        <v>377</v>
      </c>
      <c r="B2" s="1217"/>
      <c r="C2" s="1217"/>
      <c r="D2" s="1217"/>
      <c r="E2" s="1217"/>
      <c r="F2" s="97"/>
      <c r="G2" s="1217"/>
      <c r="H2" s="1217"/>
      <c r="I2" s="1217"/>
      <c r="M2" s="175"/>
      <c r="O2" s="117"/>
      <c r="P2" s="117"/>
      <c r="R2" s="117"/>
      <c r="S2" s="117"/>
    </row>
    <row r="3" spans="1:21" ht="13.5" customHeight="1" thickBot="1">
      <c r="A3" s="16"/>
      <c r="B3" s="16"/>
      <c r="C3" s="16"/>
      <c r="D3" s="16"/>
      <c r="E3" s="16"/>
      <c r="F3" s="109"/>
      <c r="G3" s="16"/>
      <c r="H3" s="16"/>
      <c r="I3" s="1251"/>
      <c r="J3" s="16"/>
      <c r="K3" s="108"/>
      <c r="L3" s="108"/>
      <c r="M3" s="175"/>
      <c r="O3" s="116"/>
      <c r="P3" s="116"/>
      <c r="R3" s="117"/>
      <c r="S3" s="117"/>
    </row>
    <row r="4" spans="1:21" ht="69" customHeight="1">
      <c r="A4" s="2598" t="s">
        <v>8</v>
      </c>
      <c r="B4" s="2599"/>
      <c r="C4" s="2599"/>
      <c r="D4" s="2599"/>
      <c r="E4" s="2599"/>
      <c r="F4" s="2599"/>
      <c r="G4" s="2599"/>
      <c r="H4" s="2599"/>
      <c r="I4" s="2600"/>
      <c r="J4" s="2607" t="s">
        <v>97</v>
      </c>
      <c r="K4" s="2608"/>
      <c r="L4" s="2608"/>
      <c r="M4" s="2609"/>
      <c r="N4" s="2613" t="s">
        <v>96</v>
      </c>
      <c r="O4" s="2586" t="s">
        <v>173</v>
      </c>
      <c r="P4" s="2619" t="s">
        <v>174</v>
      </c>
      <c r="Q4" s="2586" t="s">
        <v>71</v>
      </c>
      <c r="R4" s="2588" t="s">
        <v>5817</v>
      </c>
      <c r="S4" s="2590" t="s">
        <v>5818</v>
      </c>
    </row>
    <row r="5" spans="1:21" ht="72" customHeight="1" thickBot="1">
      <c r="A5" s="2601"/>
      <c r="B5" s="2602"/>
      <c r="C5" s="2602"/>
      <c r="D5" s="2602"/>
      <c r="E5" s="2602"/>
      <c r="F5" s="2602"/>
      <c r="G5" s="2602"/>
      <c r="H5" s="2602"/>
      <c r="I5" s="2603"/>
      <c r="J5" s="2610"/>
      <c r="K5" s="2611"/>
      <c r="L5" s="2611"/>
      <c r="M5" s="2612"/>
      <c r="N5" s="2614"/>
      <c r="O5" s="2616"/>
      <c r="P5" s="2620"/>
      <c r="Q5" s="2587"/>
      <c r="R5" s="2589"/>
      <c r="S5" s="2591"/>
    </row>
    <row r="6" spans="1:21" ht="61.5" customHeight="1" thickBot="1">
      <c r="A6" s="2604"/>
      <c r="B6" s="2605"/>
      <c r="C6" s="2605"/>
      <c r="D6" s="2605"/>
      <c r="E6" s="2605"/>
      <c r="F6" s="2605"/>
      <c r="G6" s="2605"/>
      <c r="H6" s="2605"/>
      <c r="I6" s="2606"/>
      <c r="J6" s="287" t="s">
        <v>0</v>
      </c>
      <c r="K6" s="295" t="s">
        <v>1</v>
      </c>
      <c r="L6" s="295" t="s">
        <v>2</v>
      </c>
      <c r="M6" s="258" t="s">
        <v>94</v>
      </c>
      <c r="N6" s="2615"/>
      <c r="O6" s="2592" t="s">
        <v>169</v>
      </c>
      <c r="P6" s="2593"/>
      <c r="Q6" s="2593"/>
      <c r="R6" s="2593"/>
      <c r="S6" s="2594"/>
    </row>
    <row r="7" spans="1:21" ht="30" customHeight="1" thickBot="1">
      <c r="A7" s="2595" t="s">
        <v>159</v>
      </c>
      <c r="B7" s="2596"/>
      <c r="C7" s="2596"/>
      <c r="D7" s="2596"/>
      <c r="E7" s="2596"/>
      <c r="F7" s="2596"/>
      <c r="G7" s="2596"/>
      <c r="H7" s="2596"/>
      <c r="I7" s="2596"/>
      <c r="J7" s="2596"/>
      <c r="K7" s="2596"/>
      <c r="L7" s="2596"/>
      <c r="M7" s="2596"/>
      <c r="N7" s="2596"/>
      <c r="O7" s="2596"/>
      <c r="P7" s="2596"/>
      <c r="Q7" s="2596"/>
      <c r="R7" s="2596"/>
      <c r="S7" s="2597"/>
    </row>
    <row r="8" spans="1:21" ht="22.5" customHeight="1" thickBot="1">
      <c r="A8" s="2580" t="s">
        <v>164</v>
      </c>
      <c r="B8" s="2581"/>
      <c r="C8" s="2581"/>
      <c r="D8" s="2581"/>
      <c r="E8" s="2581"/>
      <c r="F8" s="2581"/>
      <c r="G8" s="2581"/>
      <c r="H8" s="2581"/>
      <c r="I8" s="2581"/>
      <c r="J8" s="2581"/>
      <c r="K8" s="2581"/>
      <c r="L8" s="2581"/>
      <c r="M8" s="2581"/>
      <c r="N8" s="2581"/>
      <c r="O8" s="2581"/>
      <c r="P8" s="2581"/>
      <c r="Q8" s="2581"/>
      <c r="R8" s="2581"/>
      <c r="S8" s="2582"/>
    </row>
    <row r="9" spans="1:21" ht="16.5" customHeight="1" thickBot="1">
      <c r="A9" s="2627" t="s">
        <v>134</v>
      </c>
      <c r="B9" s="2628"/>
      <c r="C9" s="2628"/>
      <c r="D9" s="2628"/>
      <c r="E9" s="2628"/>
      <c r="F9" s="2628"/>
      <c r="G9" s="2628"/>
      <c r="H9" s="2628"/>
      <c r="I9" s="2628"/>
      <c r="J9" s="2628"/>
      <c r="K9" s="2628"/>
      <c r="L9" s="2628"/>
      <c r="M9" s="2628"/>
      <c r="N9" s="2628"/>
      <c r="O9" s="2628"/>
      <c r="P9" s="2628"/>
      <c r="Q9" s="2628"/>
      <c r="R9" s="2628"/>
      <c r="S9" s="2629"/>
    </row>
    <row r="10" spans="1:21" ht="16.5" customHeight="1" thickBot="1">
      <c r="A10" s="259" t="s">
        <v>10</v>
      </c>
      <c r="B10" s="263">
        <f t="shared" ref="B10:B56" si="0">J10</f>
        <v>150</v>
      </c>
      <c r="C10" s="263" t="s">
        <v>3</v>
      </c>
      <c r="D10" s="263">
        <f t="shared" ref="D10:D56" si="1">K10</f>
        <v>160</v>
      </c>
      <c r="E10" s="263" t="s">
        <v>3</v>
      </c>
      <c r="F10" s="261">
        <f t="shared" ref="F10:F56" si="2">L10</f>
        <v>700</v>
      </c>
      <c r="G10" s="263" t="s">
        <v>3</v>
      </c>
      <c r="H10" s="260">
        <v>2</v>
      </c>
      <c r="I10" s="262" t="s">
        <v>581</v>
      </c>
      <c r="J10" s="112">
        <v>150</v>
      </c>
      <c r="K10" s="75">
        <v>160</v>
      </c>
      <c r="L10" s="75">
        <v>700</v>
      </c>
      <c r="M10" s="202">
        <v>7.1392877381411832</v>
      </c>
      <c r="N10" s="87">
        <v>775.23810000000003</v>
      </c>
      <c r="O10" s="123">
        <v>25817.172730005976</v>
      </c>
      <c r="P10" s="123">
        <v>30304.391147309525</v>
      </c>
      <c r="Q10" s="120">
        <v>6717.5327641181639</v>
      </c>
      <c r="R10" s="123">
        <v>32534.70549412414</v>
      </c>
      <c r="S10" s="123">
        <v>37021.923911427686</v>
      </c>
      <c r="U10" s="7" t="s">
        <v>7249</v>
      </c>
    </row>
    <row r="11" spans="1:21" ht="16.5" customHeight="1" thickBot="1">
      <c r="A11" s="259" t="s">
        <v>10</v>
      </c>
      <c r="B11" s="263">
        <f t="shared" si="0"/>
        <v>150</v>
      </c>
      <c r="C11" s="263" t="s">
        <v>3</v>
      </c>
      <c r="D11" s="263">
        <f t="shared" si="1"/>
        <v>160</v>
      </c>
      <c r="E11" s="263" t="s">
        <v>3</v>
      </c>
      <c r="F11" s="261">
        <f t="shared" si="2"/>
        <v>750</v>
      </c>
      <c r="G11" s="263" t="s">
        <v>3</v>
      </c>
      <c r="H11" s="260">
        <v>2</v>
      </c>
      <c r="I11" s="262" t="s">
        <v>581</v>
      </c>
      <c r="J11" s="112">
        <v>150</v>
      </c>
      <c r="K11" s="75">
        <v>160</v>
      </c>
      <c r="L11" s="75">
        <v>750</v>
      </c>
      <c r="M11" s="202">
        <v>7.5620609322771042</v>
      </c>
      <c r="N11" s="87">
        <v>885.9864</v>
      </c>
      <c r="O11" s="123">
        <v>27362.982390748333</v>
      </c>
      <c r="P11" s="123">
        <v>32096.144034458492</v>
      </c>
      <c r="Q11" s="120">
        <v>7027.1568473491143</v>
      </c>
      <c r="R11" s="123">
        <v>34390.13923809745</v>
      </c>
      <c r="S11" s="123">
        <v>39123.300881807605</v>
      </c>
      <c r="U11" s="7" t="s">
        <v>7250</v>
      </c>
    </row>
    <row r="12" spans="1:21" ht="16.5" customHeight="1" thickBot="1">
      <c r="A12" s="259" t="s">
        <v>10</v>
      </c>
      <c r="B12" s="263">
        <f t="shared" si="0"/>
        <v>150</v>
      </c>
      <c r="C12" s="263" t="s">
        <v>3</v>
      </c>
      <c r="D12" s="263">
        <f t="shared" si="1"/>
        <v>160</v>
      </c>
      <c r="E12" s="263" t="s">
        <v>3</v>
      </c>
      <c r="F12" s="261">
        <f t="shared" si="2"/>
        <v>800</v>
      </c>
      <c r="G12" s="263" t="s">
        <v>3</v>
      </c>
      <c r="H12" s="260">
        <v>2</v>
      </c>
      <c r="I12" s="262" t="s">
        <v>581</v>
      </c>
      <c r="J12" s="112">
        <v>150</v>
      </c>
      <c r="K12" s="75">
        <v>160</v>
      </c>
      <c r="L12" s="75">
        <v>800</v>
      </c>
      <c r="M12" s="202">
        <v>7.9848341264130251</v>
      </c>
      <c r="N12" s="87">
        <v>996.73470000000009</v>
      </c>
      <c r="O12" s="123">
        <v>28908.792051490691</v>
      </c>
      <c r="P12" s="123">
        <v>33887.896921607462</v>
      </c>
      <c r="Q12" s="120">
        <v>7336.7809305800638</v>
      </c>
      <c r="R12" s="123">
        <v>36245.572982070757</v>
      </c>
      <c r="S12" s="123">
        <v>41224.677852187524</v>
      </c>
      <c r="U12" s="7" t="s">
        <v>7251</v>
      </c>
    </row>
    <row r="13" spans="1:21" ht="16.5" customHeight="1" thickBot="1">
      <c r="A13" s="259" t="s">
        <v>10</v>
      </c>
      <c r="B13" s="263">
        <f t="shared" si="0"/>
        <v>150</v>
      </c>
      <c r="C13" s="263" t="s">
        <v>3</v>
      </c>
      <c r="D13" s="263">
        <f t="shared" si="1"/>
        <v>160</v>
      </c>
      <c r="E13" s="263" t="s">
        <v>3</v>
      </c>
      <c r="F13" s="261">
        <f t="shared" si="2"/>
        <v>850</v>
      </c>
      <c r="G13" s="263" t="s">
        <v>3</v>
      </c>
      <c r="H13" s="260">
        <v>2</v>
      </c>
      <c r="I13" s="262" t="s">
        <v>581</v>
      </c>
      <c r="J13" s="112">
        <v>150</v>
      </c>
      <c r="K13" s="75">
        <v>160</v>
      </c>
      <c r="L13" s="75">
        <v>850</v>
      </c>
      <c r="M13" s="202">
        <v>8.4246473205489458</v>
      </c>
      <c r="N13" s="87">
        <v>1107.4829999999999</v>
      </c>
      <c r="O13" s="123">
        <v>30454.601712233049</v>
      </c>
      <c r="P13" s="123">
        <v>35679.649808756432</v>
      </c>
      <c r="Q13" s="120">
        <v>7876.9867915942896</v>
      </c>
      <c r="R13" s="123">
        <v>38331.588503827341</v>
      </c>
      <c r="S13" s="123">
        <v>43556.636600350721</v>
      </c>
      <c r="U13" s="7" t="s">
        <v>7252</v>
      </c>
    </row>
    <row r="14" spans="1:21" ht="16.5" customHeight="1" thickBot="1">
      <c r="A14" s="259" t="s">
        <v>10</v>
      </c>
      <c r="B14" s="263">
        <f t="shared" si="0"/>
        <v>150</v>
      </c>
      <c r="C14" s="263" t="s">
        <v>3</v>
      </c>
      <c r="D14" s="263">
        <f t="shared" si="1"/>
        <v>160</v>
      </c>
      <c r="E14" s="263" t="s">
        <v>3</v>
      </c>
      <c r="F14" s="261">
        <f t="shared" si="2"/>
        <v>900</v>
      </c>
      <c r="G14" s="263" t="s">
        <v>3</v>
      </c>
      <c r="H14" s="260">
        <v>2</v>
      </c>
      <c r="I14" s="262" t="s">
        <v>581</v>
      </c>
      <c r="J14" s="112">
        <v>150</v>
      </c>
      <c r="K14" s="75">
        <v>160</v>
      </c>
      <c r="L14" s="75">
        <v>900</v>
      </c>
      <c r="M14" s="202">
        <v>9.0064205146848693</v>
      </c>
      <c r="N14" s="87">
        <v>1218.2313000000001</v>
      </c>
      <c r="O14" s="123">
        <v>32000.41137297541</v>
      </c>
      <c r="P14" s="123">
        <v>37471.402826471225</v>
      </c>
      <c r="Q14" s="120">
        <v>8186.6107344318762</v>
      </c>
      <c r="R14" s="123">
        <v>40187.022107407283</v>
      </c>
      <c r="S14" s="123">
        <v>45658.013560903099</v>
      </c>
      <c r="U14" s="7" t="s">
        <v>7253</v>
      </c>
    </row>
    <row r="15" spans="1:21" ht="16.5" customHeight="1" thickBot="1">
      <c r="A15" s="259" t="s">
        <v>10</v>
      </c>
      <c r="B15" s="263">
        <f t="shared" si="0"/>
        <v>150</v>
      </c>
      <c r="C15" s="263" t="s">
        <v>3</v>
      </c>
      <c r="D15" s="263">
        <f t="shared" si="1"/>
        <v>160</v>
      </c>
      <c r="E15" s="263" t="s">
        <v>3</v>
      </c>
      <c r="F15" s="261">
        <f t="shared" si="2"/>
        <v>950</v>
      </c>
      <c r="G15" s="263" t="s">
        <v>3</v>
      </c>
      <c r="H15" s="260">
        <v>2</v>
      </c>
      <c r="I15" s="262" t="s">
        <v>581</v>
      </c>
      <c r="J15" s="112">
        <v>150</v>
      </c>
      <c r="K15" s="75">
        <v>160</v>
      </c>
      <c r="L15" s="75">
        <v>950</v>
      </c>
      <c r="M15" s="202">
        <v>9.4462337088207882</v>
      </c>
      <c r="N15" s="87">
        <v>1328.9795999999999</v>
      </c>
      <c r="O15" s="123">
        <v>33546.221033717768</v>
      </c>
      <c r="P15" s="123">
        <v>39263.155713620195</v>
      </c>
      <c r="Q15" s="120">
        <v>8726.8165954461019</v>
      </c>
      <c r="R15" s="123">
        <v>42273.037629163868</v>
      </c>
      <c r="S15" s="123">
        <v>47989.972309066296</v>
      </c>
      <c r="U15" s="7" t="s">
        <v>7254</v>
      </c>
    </row>
    <row r="16" spans="1:21" s="7" customFormat="1" ht="16.5" customHeight="1" thickBot="1">
      <c r="A16" s="259" t="s">
        <v>10</v>
      </c>
      <c r="B16" s="263">
        <f t="shared" si="0"/>
        <v>150</v>
      </c>
      <c r="C16" s="263" t="s">
        <v>3</v>
      </c>
      <c r="D16" s="263">
        <f t="shared" si="1"/>
        <v>160</v>
      </c>
      <c r="E16" s="263" t="s">
        <v>3</v>
      </c>
      <c r="F16" s="261">
        <f t="shared" si="2"/>
        <v>1000</v>
      </c>
      <c r="G16" s="263" t="s">
        <v>3</v>
      </c>
      <c r="H16" s="260">
        <v>2</v>
      </c>
      <c r="I16" s="262" t="s">
        <v>581</v>
      </c>
      <c r="J16" s="112">
        <v>150</v>
      </c>
      <c r="K16" s="75">
        <v>160</v>
      </c>
      <c r="L16" s="75">
        <v>1000</v>
      </c>
      <c r="M16" s="202">
        <v>9.8690069029567091</v>
      </c>
      <c r="N16" s="87">
        <v>1439.7279000000001</v>
      </c>
      <c r="O16" s="123">
        <v>34996.898537506459</v>
      </c>
      <c r="P16" s="123">
        <v>40957.453745139755</v>
      </c>
      <c r="Q16" s="120">
        <v>9036.4406786770523</v>
      </c>
      <c r="R16" s="123">
        <v>44033.339216183507</v>
      </c>
      <c r="S16" s="123">
        <v>49993.894423816804</v>
      </c>
      <c r="U16" s="7" t="s">
        <v>7255</v>
      </c>
    </row>
    <row r="17" spans="1:21" s="7" customFormat="1" ht="16.5" customHeight="1" thickBot="1">
      <c r="A17" s="259" t="s">
        <v>10</v>
      </c>
      <c r="B17" s="263">
        <f t="shared" si="0"/>
        <v>150</v>
      </c>
      <c r="C17" s="263" t="s">
        <v>3</v>
      </c>
      <c r="D17" s="263">
        <f t="shared" si="1"/>
        <v>160</v>
      </c>
      <c r="E17" s="263" t="s">
        <v>3</v>
      </c>
      <c r="F17" s="261">
        <f t="shared" si="2"/>
        <v>1050</v>
      </c>
      <c r="G17" s="263" t="s">
        <v>3</v>
      </c>
      <c r="H17" s="260">
        <v>2</v>
      </c>
      <c r="I17" s="262" t="s">
        <v>581</v>
      </c>
      <c r="J17" s="112">
        <v>150</v>
      </c>
      <c r="K17" s="75">
        <v>160</v>
      </c>
      <c r="L17" s="75">
        <v>1050</v>
      </c>
      <c r="M17" s="202">
        <v>10.308820097092632</v>
      </c>
      <c r="N17" s="87">
        <v>1550.4762000000001</v>
      </c>
      <c r="O17" s="123">
        <v>36768.64692184583</v>
      </c>
      <c r="P17" s="123">
        <v>42980.661979691482</v>
      </c>
      <c r="Q17" s="120">
        <v>9576.6465396912772</v>
      </c>
      <c r="R17" s="123">
        <v>46345.293461537105</v>
      </c>
      <c r="S17" s="123">
        <v>52557.308519382757</v>
      </c>
      <c r="U17" s="7" t="s">
        <v>7256</v>
      </c>
    </row>
    <row r="18" spans="1:21" s="7" customFormat="1" ht="16.5" customHeight="1" thickBot="1">
      <c r="A18" s="259" t="s">
        <v>10</v>
      </c>
      <c r="B18" s="260">
        <f t="shared" si="0"/>
        <v>150</v>
      </c>
      <c r="C18" s="260" t="s">
        <v>3</v>
      </c>
      <c r="D18" s="260">
        <f t="shared" si="1"/>
        <v>160</v>
      </c>
      <c r="E18" s="260" t="s">
        <v>3</v>
      </c>
      <c r="F18" s="261">
        <f t="shared" si="2"/>
        <v>1100</v>
      </c>
      <c r="G18" s="260" t="s">
        <v>3</v>
      </c>
      <c r="H18" s="260">
        <v>2</v>
      </c>
      <c r="I18" s="262" t="s">
        <v>581</v>
      </c>
      <c r="J18" s="112">
        <v>150</v>
      </c>
      <c r="K18" s="75">
        <v>160</v>
      </c>
      <c r="L18" s="75">
        <v>1100</v>
      </c>
      <c r="M18" s="202">
        <v>10.731593291228553</v>
      </c>
      <c r="N18" s="87">
        <v>1661.2244999999998</v>
      </c>
      <c r="O18" s="123">
        <v>38314.456582588187</v>
      </c>
      <c r="P18" s="123">
        <v>44772.414866840452</v>
      </c>
      <c r="Q18" s="120">
        <v>9886.2704825288656</v>
      </c>
      <c r="R18" s="123">
        <v>48200.727065117055</v>
      </c>
      <c r="S18" s="123">
        <v>54658.68534936932</v>
      </c>
      <c r="U18" s="7" t="s">
        <v>7257</v>
      </c>
    </row>
    <row r="19" spans="1:21" s="7" customFormat="1" ht="16.5" customHeight="1" thickBot="1">
      <c r="A19" s="259" t="s">
        <v>10</v>
      </c>
      <c r="B19" s="263">
        <f t="shared" si="0"/>
        <v>150</v>
      </c>
      <c r="C19" s="263" t="s">
        <v>3</v>
      </c>
      <c r="D19" s="263">
        <f t="shared" si="1"/>
        <v>160</v>
      </c>
      <c r="E19" s="263" t="s">
        <v>3</v>
      </c>
      <c r="F19" s="261">
        <f t="shared" si="2"/>
        <v>1150</v>
      </c>
      <c r="G19" s="263" t="s">
        <v>3</v>
      </c>
      <c r="H19" s="260">
        <v>2</v>
      </c>
      <c r="I19" s="262" t="s">
        <v>581</v>
      </c>
      <c r="J19" s="112">
        <v>150</v>
      </c>
      <c r="K19" s="75">
        <v>160</v>
      </c>
      <c r="L19" s="75">
        <v>1150</v>
      </c>
      <c r="M19" s="202">
        <v>11.154366485364472</v>
      </c>
      <c r="N19" s="87">
        <v>1771.9728</v>
      </c>
      <c r="O19" s="123">
        <v>39104.923671443088</v>
      </c>
      <c r="P19" s="123">
        <v>45790.382827813301</v>
      </c>
      <c r="Q19" s="120">
        <v>10195.894565759814</v>
      </c>
      <c r="R19" s="123">
        <v>49300.818237202904</v>
      </c>
      <c r="S19" s="123">
        <v>55986.277393573117</v>
      </c>
      <c r="U19" s="7" t="s">
        <v>7258</v>
      </c>
    </row>
    <row r="20" spans="1:21" s="7" customFormat="1" ht="16.5" customHeight="1" thickBot="1">
      <c r="A20" s="259" t="s">
        <v>10</v>
      </c>
      <c r="B20" s="263">
        <f t="shared" si="0"/>
        <v>150</v>
      </c>
      <c r="C20" s="263" t="s">
        <v>3</v>
      </c>
      <c r="D20" s="263">
        <f t="shared" si="1"/>
        <v>160</v>
      </c>
      <c r="E20" s="263" t="s">
        <v>3</v>
      </c>
      <c r="F20" s="261">
        <f t="shared" si="2"/>
        <v>1200</v>
      </c>
      <c r="G20" s="263" t="s">
        <v>3</v>
      </c>
      <c r="H20" s="260">
        <v>2</v>
      </c>
      <c r="I20" s="262" t="s">
        <v>581</v>
      </c>
      <c r="J20" s="112">
        <v>150</v>
      </c>
      <c r="K20" s="75">
        <v>160</v>
      </c>
      <c r="L20" s="75">
        <v>1200</v>
      </c>
      <c r="M20" s="202">
        <v>11.633429679500393</v>
      </c>
      <c r="N20" s="87">
        <v>1882.7211</v>
      </c>
      <c r="O20" s="123">
        <v>39930.529836057111</v>
      </c>
      <c r="P20" s="123">
        <v>46844.347656758684</v>
      </c>
      <c r="Q20" s="120">
        <v>10736.100426774039</v>
      </c>
      <c r="R20" s="123">
        <v>50666.630262831153</v>
      </c>
      <c r="S20" s="123">
        <v>57580.448083532727</v>
      </c>
      <c r="U20" s="7" t="s">
        <v>7259</v>
      </c>
    </row>
    <row r="21" spans="1:21" s="7" customFormat="1" ht="16.5" customHeight="1" thickBot="1">
      <c r="A21" s="259" t="s">
        <v>10</v>
      </c>
      <c r="B21" s="263">
        <f t="shared" si="0"/>
        <v>150</v>
      </c>
      <c r="C21" s="263" t="s">
        <v>3</v>
      </c>
      <c r="D21" s="263">
        <f t="shared" si="1"/>
        <v>160</v>
      </c>
      <c r="E21" s="263" t="s">
        <v>3</v>
      </c>
      <c r="F21" s="261">
        <f t="shared" si="2"/>
        <v>1250</v>
      </c>
      <c r="G21" s="263" t="s">
        <v>3</v>
      </c>
      <c r="H21" s="260">
        <v>2</v>
      </c>
      <c r="I21" s="262" t="s">
        <v>581</v>
      </c>
      <c r="J21" s="112">
        <v>150</v>
      </c>
      <c r="K21" s="75">
        <v>160</v>
      </c>
      <c r="L21" s="75">
        <v>1250</v>
      </c>
      <c r="M21" s="202">
        <v>12.918202873636314</v>
      </c>
      <c r="N21" s="87">
        <v>1993.4694000000002</v>
      </c>
      <c r="O21" s="123">
        <v>40720.516007448772</v>
      </c>
      <c r="P21" s="123">
        <v>47861.822731734144</v>
      </c>
      <c r="Q21" s="120">
        <v>11045.724510004989</v>
      </c>
      <c r="R21" s="123">
        <v>51766.240517453763</v>
      </c>
      <c r="S21" s="123">
        <v>58907.547241739136</v>
      </c>
      <c r="U21" s="7" t="s">
        <v>7260</v>
      </c>
    </row>
    <row r="22" spans="1:21" s="7" customFormat="1" ht="16.5" customHeight="1" thickBot="1">
      <c r="A22" s="259" t="s">
        <v>10</v>
      </c>
      <c r="B22" s="263">
        <f t="shared" si="0"/>
        <v>150</v>
      </c>
      <c r="C22" s="263" t="s">
        <v>3</v>
      </c>
      <c r="D22" s="263">
        <f t="shared" si="1"/>
        <v>160</v>
      </c>
      <c r="E22" s="263" t="s">
        <v>3</v>
      </c>
      <c r="F22" s="261">
        <f t="shared" si="2"/>
        <v>1300</v>
      </c>
      <c r="G22" s="263" t="s">
        <v>3</v>
      </c>
      <c r="H22" s="260">
        <v>2</v>
      </c>
      <c r="I22" s="262" t="s">
        <v>581</v>
      </c>
      <c r="J22" s="112">
        <v>150</v>
      </c>
      <c r="K22" s="75">
        <v>160</v>
      </c>
      <c r="L22" s="75">
        <v>1300</v>
      </c>
      <c r="M22" s="202">
        <v>13.358016067772237</v>
      </c>
      <c r="N22" s="87">
        <v>2104.2176999999997</v>
      </c>
      <c r="O22" s="123">
        <v>43962.885650178483</v>
      </c>
      <c r="P22" s="123">
        <v>51391.559017671287</v>
      </c>
      <c r="Q22" s="120">
        <v>11585.930230625852</v>
      </c>
      <c r="R22" s="123">
        <v>55548.815880804337</v>
      </c>
      <c r="S22" s="123">
        <v>62977.489248297141</v>
      </c>
      <c r="U22" s="7" t="s">
        <v>7261</v>
      </c>
    </row>
    <row r="23" spans="1:21" s="7" customFormat="1" ht="16.5" customHeight="1" thickBot="1">
      <c r="A23" s="259" t="s">
        <v>10</v>
      </c>
      <c r="B23" s="263">
        <f t="shared" si="0"/>
        <v>150</v>
      </c>
      <c r="C23" s="263" t="s">
        <v>3</v>
      </c>
      <c r="D23" s="263">
        <f t="shared" si="1"/>
        <v>160</v>
      </c>
      <c r="E23" s="263" t="s">
        <v>3</v>
      </c>
      <c r="F23" s="261">
        <f t="shared" si="2"/>
        <v>1350</v>
      </c>
      <c r="G23" s="263" t="s">
        <v>3</v>
      </c>
      <c r="H23" s="260">
        <v>2</v>
      </c>
      <c r="I23" s="262" t="s">
        <v>581</v>
      </c>
      <c r="J23" s="112">
        <v>150</v>
      </c>
      <c r="K23" s="75">
        <v>160</v>
      </c>
      <c r="L23" s="75">
        <v>1350</v>
      </c>
      <c r="M23" s="202">
        <v>13.780789261908158</v>
      </c>
      <c r="N23" s="87">
        <v>2214.9659999999999</v>
      </c>
      <c r="O23" s="123">
        <v>45002.568106520106</v>
      </c>
      <c r="P23" s="123">
        <v>52664.827171357247</v>
      </c>
      <c r="Q23" s="120">
        <v>11895.554313856801</v>
      </c>
      <c r="R23" s="123">
        <v>56898.122420376909</v>
      </c>
      <c r="S23" s="123">
        <v>64560.381485214049</v>
      </c>
      <c r="U23" s="7" t="s">
        <v>7262</v>
      </c>
    </row>
    <row r="24" spans="1:21" s="7" customFormat="1" ht="16.5" customHeight="1" thickBot="1">
      <c r="A24" s="259" t="s">
        <v>10</v>
      </c>
      <c r="B24" s="263">
        <f t="shared" si="0"/>
        <v>150</v>
      </c>
      <c r="C24" s="263" t="s">
        <v>3</v>
      </c>
      <c r="D24" s="263">
        <f t="shared" si="1"/>
        <v>160</v>
      </c>
      <c r="E24" s="263" t="s">
        <v>3</v>
      </c>
      <c r="F24" s="261">
        <f t="shared" si="2"/>
        <v>1400</v>
      </c>
      <c r="G24" s="263" t="s">
        <v>3</v>
      </c>
      <c r="H24" s="260">
        <v>2</v>
      </c>
      <c r="I24" s="262" t="s">
        <v>581</v>
      </c>
      <c r="J24" s="112">
        <v>150</v>
      </c>
      <c r="K24" s="75">
        <v>160</v>
      </c>
      <c r="L24" s="75">
        <v>1400</v>
      </c>
      <c r="M24" s="202">
        <v>14.220602456044077</v>
      </c>
      <c r="N24" s="87">
        <v>2325.7143000000001</v>
      </c>
      <c r="O24" s="123">
        <v>46369.267277805993</v>
      </c>
      <c r="P24" s="123">
        <v>54273.096293344941</v>
      </c>
      <c r="Q24" s="120">
        <v>12435.760174871028</v>
      </c>
      <c r="R24" s="123">
        <v>58805.027452677023</v>
      </c>
      <c r="S24" s="123">
        <v>66708.856468215963</v>
      </c>
      <c r="U24" s="7" t="s">
        <v>7263</v>
      </c>
    </row>
    <row r="25" spans="1:21" s="7" customFormat="1" ht="16.5" customHeight="1" thickBot="1">
      <c r="A25" s="259" t="s">
        <v>10</v>
      </c>
      <c r="B25" s="263">
        <f t="shared" si="0"/>
        <v>150</v>
      </c>
      <c r="C25" s="263" t="s">
        <v>3</v>
      </c>
      <c r="D25" s="263">
        <f t="shared" si="1"/>
        <v>160</v>
      </c>
      <c r="E25" s="263" t="s">
        <v>3</v>
      </c>
      <c r="F25" s="261">
        <f t="shared" si="2"/>
        <v>1450</v>
      </c>
      <c r="G25" s="263" t="s">
        <v>3</v>
      </c>
      <c r="H25" s="260">
        <v>2</v>
      </c>
      <c r="I25" s="262" t="s">
        <v>581</v>
      </c>
      <c r="J25" s="112">
        <v>150</v>
      </c>
      <c r="K25" s="75">
        <v>160</v>
      </c>
      <c r="L25" s="75">
        <v>1450</v>
      </c>
      <c r="M25" s="202">
        <v>14.643375650180001</v>
      </c>
      <c r="N25" s="87">
        <v>2436.4626000000003</v>
      </c>
      <c r="O25" s="123">
        <v>47408.949734147616</v>
      </c>
      <c r="P25" s="123">
        <v>55546.364447030901</v>
      </c>
      <c r="Q25" s="120">
        <v>12745.384258101978</v>
      </c>
      <c r="R25" s="123">
        <v>60154.333992249594</v>
      </c>
      <c r="S25" s="123">
        <v>68291.748705132879</v>
      </c>
      <c r="U25" s="7" t="s">
        <v>7264</v>
      </c>
    </row>
    <row r="26" spans="1:21" s="7" customFormat="1" ht="16.5" customHeight="1" thickBot="1">
      <c r="A26" s="259" t="s">
        <v>10</v>
      </c>
      <c r="B26" s="263">
        <f t="shared" si="0"/>
        <v>150</v>
      </c>
      <c r="C26" s="263" t="s">
        <v>3</v>
      </c>
      <c r="D26" s="263">
        <f t="shared" si="1"/>
        <v>160</v>
      </c>
      <c r="E26" s="263" t="s">
        <v>3</v>
      </c>
      <c r="F26" s="261">
        <f t="shared" si="2"/>
        <v>1500</v>
      </c>
      <c r="G26" s="263" t="s">
        <v>3</v>
      </c>
      <c r="H26" s="260">
        <v>2</v>
      </c>
      <c r="I26" s="262" t="s">
        <v>581</v>
      </c>
      <c r="J26" s="112">
        <v>150</v>
      </c>
      <c r="K26" s="75">
        <v>160</v>
      </c>
      <c r="L26" s="75">
        <v>1500</v>
      </c>
      <c r="M26" s="202">
        <v>14.912759214275921</v>
      </c>
      <c r="N26" s="87">
        <v>2547.2109</v>
      </c>
      <c r="O26" s="123">
        <v>48852.67159620428</v>
      </c>
      <c r="P26" s="123">
        <v>57303.651350530374</v>
      </c>
      <c r="Q26" s="120">
        <v>13285.589978722841</v>
      </c>
      <c r="R26" s="123">
        <v>62138.261574927121</v>
      </c>
      <c r="S26" s="123">
        <v>70589.241329253215</v>
      </c>
      <c r="U26" s="7" t="s">
        <v>7265</v>
      </c>
    </row>
    <row r="27" spans="1:21" s="7" customFormat="1" ht="16.5" customHeight="1" thickBot="1">
      <c r="A27" s="259" t="s">
        <v>10</v>
      </c>
      <c r="B27" s="263">
        <f t="shared" si="0"/>
        <v>150</v>
      </c>
      <c r="C27" s="263" t="s">
        <v>3</v>
      </c>
      <c r="D27" s="263">
        <f t="shared" si="1"/>
        <v>160</v>
      </c>
      <c r="E27" s="263" t="s">
        <v>3</v>
      </c>
      <c r="F27" s="261">
        <f t="shared" si="2"/>
        <v>1550</v>
      </c>
      <c r="G27" s="263" t="s">
        <v>3</v>
      </c>
      <c r="H27" s="260">
        <v>2</v>
      </c>
      <c r="I27" s="262" t="s">
        <v>581</v>
      </c>
      <c r="J27" s="112">
        <v>150</v>
      </c>
      <c r="K27" s="75">
        <v>160</v>
      </c>
      <c r="L27" s="75">
        <v>1550</v>
      </c>
      <c r="M27" s="202">
        <v>15.33553240841184</v>
      </c>
      <c r="N27" s="87">
        <v>2657.9591999999998</v>
      </c>
      <c r="O27" s="123">
        <v>49892.354171880273</v>
      </c>
      <c r="P27" s="123">
        <v>58576.919504216341</v>
      </c>
      <c r="Q27" s="120">
        <v>13595.214061953789</v>
      </c>
      <c r="R27" s="123">
        <v>63487.568233834063</v>
      </c>
      <c r="S27" s="123">
        <v>72172.133566170131</v>
      </c>
      <c r="U27" s="7" t="s">
        <v>7266</v>
      </c>
    </row>
    <row r="28" spans="1:21" s="7" customFormat="1" ht="16.5" customHeight="1" thickBot="1">
      <c r="A28" s="259" t="s">
        <v>10</v>
      </c>
      <c r="B28" s="260">
        <f t="shared" si="0"/>
        <v>150</v>
      </c>
      <c r="C28" s="260" t="s">
        <v>3</v>
      </c>
      <c r="D28" s="260">
        <f t="shared" si="1"/>
        <v>160</v>
      </c>
      <c r="E28" s="260" t="s">
        <v>3</v>
      </c>
      <c r="F28" s="261">
        <f t="shared" si="2"/>
        <v>1600</v>
      </c>
      <c r="G28" s="260" t="s">
        <v>3</v>
      </c>
      <c r="H28" s="260">
        <v>2</v>
      </c>
      <c r="I28" s="262" t="s">
        <v>581</v>
      </c>
      <c r="J28" s="112">
        <v>150</v>
      </c>
      <c r="K28" s="75">
        <v>160</v>
      </c>
      <c r="L28" s="75">
        <v>1600</v>
      </c>
      <c r="M28" s="202">
        <v>15.758305602547761</v>
      </c>
      <c r="N28" s="87">
        <v>2768.7075</v>
      </c>
      <c r="O28" s="123">
        <v>52878.078093314587</v>
      </c>
      <c r="P28" s="123">
        <v>61843.743740284815</v>
      </c>
      <c r="Q28" s="120">
        <v>13904.83814518474</v>
      </c>
      <c r="R28" s="123">
        <v>66782.916238499325</v>
      </c>
      <c r="S28" s="123">
        <v>75748.581885469554</v>
      </c>
      <c r="U28" s="7" t="s">
        <v>7267</v>
      </c>
    </row>
    <row r="29" spans="1:21" s="7" customFormat="1" ht="16.5" customHeight="1" thickBot="1">
      <c r="A29" s="259" t="s">
        <v>10</v>
      </c>
      <c r="B29" s="263">
        <f t="shared" si="0"/>
        <v>150</v>
      </c>
      <c r="C29" s="263" t="s">
        <v>3</v>
      </c>
      <c r="D29" s="263">
        <f t="shared" si="1"/>
        <v>160</v>
      </c>
      <c r="E29" s="263" t="s">
        <v>3</v>
      </c>
      <c r="F29" s="261">
        <f t="shared" si="2"/>
        <v>1650</v>
      </c>
      <c r="G29" s="263" t="s">
        <v>3</v>
      </c>
      <c r="H29" s="260">
        <v>2</v>
      </c>
      <c r="I29" s="262" t="s">
        <v>581</v>
      </c>
      <c r="J29" s="112">
        <v>150</v>
      </c>
      <c r="K29" s="75">
        <v>160</v>
      </c>
      <c r="L29" s="75">
        <v>1650</v>
      </c>
      <c r="M29" s="202">
        <v>16.198118796683687</v>
      </c>
      <c r="N29" s="87">
        <v>2879.4558000000002</v>
      </c>
      <c r="O29" s="123">
        <v>56116.062079048846</v>
      </c>
      <c r="P29" s="123">
        <v>65368.987256110588</v>
      </c>
      <c r="Q29" s="120">
        <v>14445.044006198967</v>
      </c>
      <c r="R29" s="123">
        <v>70561.106085247811</v>
      </c>
      <c r="S29" s="123">
        <v>79814.031262309552</v>
      </c>
      <c r="U29" s="7" t="s">
        <v>7268</v>
      </c>
    </row>
    <row r="30" spans="1:21" s="7" customFormat="1" ht="16.5" customHeight="1" thickBot="1">
      <c r="A30" s="259" t="s">
        <v>10</v>
      </c>
      <c r="B30" s="263">
        <f t="shared" si="0"/>
        <v>150</v>
      </c>
      <c r="C30" s="263" t="s">
        <v>3</v>
      </c>
      <c r="D30" s="263">
        <f t="shared" si="1"/>
        <v>160</v>
      </c>
      <c r="E30" s="263" t="s">
        <v>3</v>
      </c>
      <c r="F30" s="261">
        <f t="shared" si="2"/>
        <v>1700</v>
      </c>
      <c r="G30" s="263" t="s">
        <v>3</v>
      </c>
      <c r="H30" s="260">
        <v>2</v>
      </c>
      <c r="I30" s="262" t="s">
        <v>581</v>
      </c>
      <c r="J30" s="112">
        <v>150</v>
      </c>
      <c r="K30" s="75">
        <v>160</v>
      </c>
      <c r="L30" s="75">
        <v>1700</v>
      </c>
      <c r="M30" s="202">
        <v>17.482891990819606</v>
      </c>
      <c r="N30" s="87">
        <v>2990.2041000000004</v>
      </c>
      <c r="O30" s="123">
        <v>56950.59719834086</v>
      </c>
      <c r="P30" s="123">
        <v>66432.099135206867</v>
      </c>
      <c r="Q30" s="120">
        <v>14754.667949036411</v>
      </c>
      <c r="R30" s="123">
        <v>71705.265147377271</v>
      </c>
      <c r="S30" s="123">
        <v>81186.767084243271</v>
      </c>
      <c r="U30" s="7" t="s">
        <v>7269</v>
      </c>
    </row>
    <row r="31" spans="1:21" s="7" customFormat="1" ht="16.5" customHeight="1" thickBot="1">
      <c r="A31" s="259" t="s">
        <v>10</v>
      </c>
      <c r="B31" s="263">
        <f t="shared" si="0"/>
        <v>150</v>
      </c>
      <c r="C31" s="263" t="s">
        <v>3</v>
      </c>
      <c r="D31" s="263">
        <f t="shared" si="1"/>
        <v>160</v>
      </c>
      <c r="E31" s="263" t="s">
        <v>3</v>
      </c>
      <c r="F31" s="261">
        <f t="shared" si="2"/>
        <v>1750</v>
      </c>
      <c r="G31" s="263" t="s">
        <v>3</v>
      </c>
      <c r="H31" s="260">
        <v>2</v>
      </c>
      <c r="I31" s="262" t="s">
        <v>581</v>
      </c>
      <c r="J31" s="112">
        <v>150</v>
      </c>
      <c r="K31" s="75">
        <v>160</v>
      </c>
      <c r="L31" s="75">
        <v>1750</v>
      </c>
      <c r="M31" s="202">
        <v>17.922705184955525</v>
      </c>
      <c r="N31" s="87">
        <v>3100.9524000000001</v>
      </c>
      <c r="O31" s="123">
        <v>57708.978619657966</v>
      </c>
      <c r="P31" s="123">
        <v>67417.197802030132</v>
      </c>
      <c r="Q31" s="120">
        <v>15294.87381005078</v>
      </c>
      <c r="R31" s="123">
        <v>73003.852429708742</v>
      </c>
      <c r="S31" s="123">
        <v>82712.071612080908</v>
      </c>
      <c r="U31" s="7" t="s">
        <v>7270</v>
      </c>
    </row>
    <row r="32" spans="1:21" s="7" customFormat="1" ht="16.5" customHeight="1" thickBot="1">
      <c r="A32" s="259" t="s">
        <v>10</v>
      </c>
      <c r="B32" s="263">
        <f t="shared" si="0"/>
        <v>150</v>
      </c>
      <c r="C32" s="263" t="s">
        <v>3</v>
      </c>
      <c r="D32" s="263">
        <f t="shared" si="1"/>
        <v>160</v>
      </c>
      <c r="E32" s="263" t="s">
        <v>3</v>
      </c>
      <c r="F32" s="261">
        <f t="shared" si="2"/>
        <v>1800</v>
      </c>
      <c r="G32" s="263" t="s">
        <v>3</v>
      </c>
      <c r="H32" s="260">
        <v>2</v>
      </c>
      <c r="I32" s="262" t="s">
        <v>581</v>
      </c>
      <c r="J32" s="112">
        <v>150</v>
      </c>
      <c r="K32" s="75">
        <v>160</v>
      </c>
      <c r="L32" s="75">
        <v>1800</v>
      </c>
      <c r="M32" s="202">
        <v>18.345478379091446</v>
      </c>
      <c r="N32" s="87">
        <v>3211.7006999999999</v>
      </c>
      <c r="O32" s="123">
        <v>58544.210293598364</v>
      </c>
      <c r="P32" s="123">
        <v>68481.023223371652</v>
      </c>
      <c r="Q32" s="120">
        <v>15604.497893281728</v>
      </c>
      <c r="R32" s="123">
        <v>74148.708186880089</v>
      </c>
      <c r="S32" s="123">
        <v>84085.521116653385</v>
      </c>
      <c r="U32" s="7" t="s">
        <v>7271</v>
      </c>
    </row>
    <row r="33" spans="1:21" s="7" customFormat="1" ht="16.5" customHeight="1" thickBot="1">
      <c r="A33" s="259" t="s">
        <v>10</v>
      </c>
      <c r="B33" s="263">
        <f t="shared" si="0"/>
        <v>150</v>
      </c>
      <c r="C33" s="263" t="s">
        <v>3</v>
      </c>
      <c r="D33" s="263">
        <f t="shared" si="1"/>
        <v>160</v>
      </c>
      <c r="E33" s="263" t="s">
        <v>3</v>
      </c>
      <c r="F33" s="261">
        <f t="shared" si="2"/>
        <v>1850</v>
      </c>
      <c r="G33" s="263" t="s">
        <v>3</v>
      </c>
      <c r="H33" s="260">
        <v>2</v>
      </c>
      <c r="I33" s="262" t="s">
        <v>581</v>
      </c>
      <c r="J33" s="112">
        <v>150</v>
      </c>
      <c r="K33" s="75">
        <v>160</v>
      </c>
      <c r="L33" s="75">
        <v>1850</v>
      </c>
      <c r="M33" s="202">
        <v>18.785291573227365</v>
      </c>
      <c r="N33" s="87">
        <v>3322.4489999999996</v>
      </c>
      <c r="O33" s="123">
        <v>59379.393875792426</v>
      </c>
      <c r="P33" s="123">
        <v>69544.799421396354</v>
      </c>
      <c r="Q33" s="120">
        <v>16144.703754295953</v>
      </c>
      <c r="R33" s="123">
        <v>75524.097630088378</v>
      </c>
      <c r="S33" s="123">
        <v>85689.503175692313</v>
      </c>
      <c r="U33" s="7" t="s">
        <v>7272</v>
      </c>
    </row>
    <row r="34" spans="1:21" s="7" customFormat="1" ht="16.5" customHeight="1" thickBot="1">
      <c r="A34" s="259" t="s">
        <v>10</v>
      </c>
      <c r="B34" s="263">
        <f t="shared" si="0"/>
        <v>150</v>
      </c>
      <c r="C34" s="263" t="s">
        <v>3</v>
      </c>
      <c r="D34" s="263">
        <f t="shared" si="1"/>
        <v>160</v>
      </c>
      <c r="E34" s="263" t="s">
        <v>3</v>
      </c>
      <c r="F34" s="261">
        <f t="shared" si="2"/>
        <v>1900</v>
      </c>
      <c r="G34" s="263" t="s">
        <v>3</v>
      </c>
      <c r="H34" s="260">
        <v>2</v>
      </c>
      <c r="I34" s="262" t="s">
        <v>581</v>
      </c>
      <c r="J34" s="112">
        <v>150</v>
      </c>
      <c r="K34" s="75">
        <v>160</v>
      </c>
      <c r="L34" s="75">
        <v>1900</v>
      </c>
      <c r="M34" s="202">
        <v>19.20806476736329</v>
      </c>
      <c r="N34" s="87">
        <v>3433.1972999999998</v>
      </c>
      <c r="O34" s="123">
        <v>60389.631772610293</v>
      </c>
      <c r="P34" s="123">
        <v>70787.904127134068</v>
      </c>
      <c r="Q34" s="120">
        <v>16454.32769713354</v>
      </c>
      <c r="R34" s="123">
        <v>76843.95946974383</v>
      </c>
      <c r="S34" s="123">
        <v>87242.231824267612</v>
      </c>
      <c r="U34" s="7" t="s">
        <v>7273</v>
      </c>
    </row>
    <row r="35" spans="1:21" s="7" customFormat="1" ht="16.5" customHeight="1" thickBot="1">
      <c r="A35" s="259" t="s">
        <v>10</v>
      </c>
      <c r="B35" s="263">
        <f t="shared" si="0"/>
        <v>150</v>
      </c>
      <c r="C35" s="263" t="s">
        <v>3</v>
      </c>
      <c r="D35" s="263">
        <f t="shared" si="1"/>
        <v>160</v>
      </c>
      <c r="E35" s="263" t="s">
        <v>3</v>
      </c>
      <c r="F35" s="261">
        <f t="shared" si="2"/>
        <v>1950</v>
      </c>
      <c r="G35" s="263" t="s">
        <v>3</v>
      </c>
      <c r="H35" s="260">
        <v>2</v>
      </c>
      <c r="I35" s="262" t="s">
        <v>581</v>
      </c>
      <c r="J35" s="112">
        <v>150</v>
      </c>
      <c r="K35" s="75">
        <v>160</v>
      </c>
      <c r="L35" s="75">
        <v>1950</v>
      </c>
      <c r="M35" s="202">
        <v>19.670087961499206</v>
      </c>
      <c r="N35" s="87">
        <v>3543.9456</v>
      </c>
      <c r="O35" s="123">
        <v>61559.071011246837</v>
      </c>
      <c r="P35" s="123">
        <v>72194.097040743698</v>
      </c>
      <c r="Q35" s="120">
        <v>16763.951780364492</v>
      </c>
      <c r="R35" s="123">
        <v>78323.022791611322</v>
      </c>
      <c r="S35" s="123">
        <v>88958.048821108183</v>
      </c>
      <c r="U35" s="7" t="s">
        <v>7274</v>
      </c>
    </row>
    <row r="36" spans="1:21" s="7" customFormat="1" ht="16.5" customHeight="1" thickBot="1">
      <c r="A36" s="259" t="s">
        <v>10</v>
      </c>
      <c r="B36" s="263">
        <f t="shared" si="0"/>
        <v>150</v>
      </c>
      <c r="C36" s="263" t="s">
        <v>3</v>
      </c>
      <c r="D36" s="263">
        <f t="shared" si="1"/>
        <v>160</v>
      </c>
      <c r="E36" s="263" t="s">
        <v>3</v>
      </c>
      <c r="F36" s="261">
        <f t="shared" si="2"/>
        <v>2000</v>
      </c>
      <c r="G36" s="263" t="s">
        <v>3</v>
      </c>
      <c r="H36" s="260">
        <v>2</v>
      </c>
      <c r="I36" s="262" t="s">
        <v>581</v>
      </c>
      <c r="J36" s="112">
        <v>150</v>
      </c>
      <c r="K36" s="75">
        <v>160</v>
      </c>
      <c r="L36" s="75">
        <v>2000</v>
      </c>
      <c r="M36" s="202">
        <v>20.201463555635133</v>
      </c>
      <c r="N36" s="87">
        <v>3654.6938999999998</v>
      </c>
      <c r="O36" s="123">
        <v>62600.536561567569</v>
      </c>
      <c r="P36" s="123">
        <v>73677.355389287244</v>
      </c>
      <c r="Q36" s="120">
        <v>17304.157641378715</v>
      </c>
      <c r="R36" s="123">
        <v>79904.694202946281</v>
      </c>
      <c r="S36" s="123">
        <v>90981.513030665956</v>
      </c>
      <c r="U36" s="7" t="s">
        <v>7275</v>
      </c>
    </row>
    <row r="37" spans="1:21" s="7" customFormat="1" ht="16.5" customHeight="1" thickBot="1">
      <c r="A37" s="259" t="s">
        <v>10</v>
      </c>
      <c r="B37" s="263">
        <f t="shared" si="0"/>
        <v>150</v>
      </c>
      <c r="C37" s="263" t="s">
        <v>3</v>
      </c>
      <c r="D37" s="263">
        <f t="shared" si="1"/>
        <v>160</v>
      </c>
      <c r="E37" s="263" t="s">
        <v>3</v>
      </c>
      <c r="F37" s="261">
        <f t="shared" si="2"/>
        <v>2050</v>
      </c>
      <c r="G37" s="263" t="s">
        <v>3</v>
      </c>
      <c r="H37" s="260">
        <v>2</v>
      </c>
      <c r="I37" s="262" t="s">
        <v>581</v>
      </c>
      <c r="J37" s="112">
        <v>150</v>
      </c>
      <c r="K37" s="75">
        <v>160</v>
      </c>
      <c r="L37" s="75">
        <v>2050</v>
      </c>
      <c r="M37" s="202">
        <v>21.486236749771052</v>
      </c>
      <c r="N37" s="87">
        <v>3765.4422</v>
      </c>
      <c r="O37" s="123">
        <v>65579.690410580966</v>
      </c>
      <c r="P37" s="123">
        <v>76937.449218099078</v>
      </c>
      <c r="Q37" s="120">
        <v>17613.781724609664</v>
      </c>
      <c r="R37" s="123">
        <v>83193.472135190634</v>
      </c>
      <c r="S37" s="123">
        <v>94551.230942708746</v>
      </c>
      <c r="U37" s="7" t="s">
        <v>7276</v>
      </c>
    </row>
    <row r="38" spans="1:21" s="7" customFormat="1" ht="16.5" customHeight="1" thickBot="1">
      <c r="A38" s="259" t="s">
        <v>10</v>
      </c>
      <c r="B38" s="260">
        <f t="shared" si="0"/>
        <v>150</v>
      </c>
      <c r="C38" s="260" t="s">
        <v>3</v>
      </c>
      <c r="D38" s="260">
        <f t="shared" si="1"/>
        <v>160</v>
      </c>
      <c r="E38" s="260" t="s">
        <v>3</v>
      </c>
      <c r="F38" s="261">
        <f t="shared" si="2"/>
        <v>2100</v>
      </c>
      <c r="G38" s="260" t="s">
        <v>3</v>
      </c>
      <c r="H38" s="260">
        <v>2</v>
      </c>
      <c r="I38" s="262" t="s">
        <v>581</v>
      </c>
      <c r="J38" s="112">
        <v>150</v>
      </c>
      <c r="K38" s="75">
        <v>160</v>
      </c>
      <c r="L38" s="75">
        <v>2100</v>
      </c>
      <c r="M38" s="202">
        <v>21.926049943906971</v>
      </c>
      <c r="N38" s="87">
        <v>3876.1904999999997</v>
      </c>
      <c r="O38" s="123">
        <v>66476.80375126758</v>
      </c>
      <c r="P38" s="123">
        <v>78064.667220957985</v>
      </c>
      <c r="Q38" s="120">
        <v>18153.98758562389</v>
      </c>
      <c r="R38" s="123">
        <v>84630.791336891474</v>
      </c>
      <c r="S38" s="123">
        <v>96218.654806581879</v>
      </c>
      <c r="U38" s="7" t="s">
        <v>7277</v>
      </c>
    </row>
    <row r="39" spans="1:21" s="7" customFormat="1" ht="16.5" customHeight="1" thickBot="1">
      <c r="A39" s="259" t="s">
        <v>10</v>
      </c>
      <c r="B39" s="263">
        <f t="shared" si="0"/>
        <v>150</v>
      </c>
      <c r="C39" s="263" t="s">
        <v>3</v>
      </c>
      <c r="D39" s="263">
        <f t="shared" si="1"/>
        <v>160</v>
      </c>
      <c r="E39" s="263" t="s">
        <v>3</v>
      </c>
      <c r="F39" s="261">
        <f t="shared" si="2"/>
        <v>2150</v>
      </c>
      <c r="G39" s="263" t="s">
        <v>3</v>
      </c>
      <c r="H39" s="260">
        <v>2</v>
      </c>
      <c r="I39" s="262" t="s">
        <v>581</v>
      </c>
      <c r="J39" s="112">
        <v>150</v>
      </c>
      <c r="K39" s="75">
        <v>160</v>
      </c>
      <c r="L39" s="75">
        <v>2150</v>
      </c>
      <c r="M39" s="202">
        <v>22.348823138042896</v>
      </c>
      <c r="N39" s="87">
        <v>3986.9388000000004</v>
      </c>
      <c r="O39" s="123">
        <v>67521.534647629684</v>
      </c>
      <c r="P39" s="123">
        <v>79343.106956490548</v>
      </c>
      <c r="Q39" s="120">
        <v>18463.611528461479</v>
      </c>
      <c r="R39" s="123">
        <v>85985.146176091162</v>
      </c>
      <c r="S39" s="123">
        <v>97806.718484952027</v>
      </c>
      <c r="U39" s="7" t="s">
        <v>7278</v>
      </c>
    </row>
    <row r="40" spans="1:21" s="7" customFormat="1" ht="16.5" customHeight="1" thickBot="1">
      <c r="A40" s="259" t="s">
        <v>10</v>
      </c>
      <c r="B40" s="263">
        <f t="shared" si="0"/>
        <v>150</v>
      </c>
      <c r="C40" s="263" t="s">
        <v>3</v>
      </c>
      <c r="D40" s="263">
        <f t="shared" si="1"/>
        <v>160</v>
      </c>
      <c r="E40" s="263" t="s">
        <v>3</v>
      </c>
      <c r="F40" s="261">
        <f t="shared" si="2"/>
        <v>2200</v>
      </c>
      <c r="G40" s="263" t="s">
        <v>3</v>
      </c>
      <c r="H40" s="260">
        <v>2</v>
      </c>
      <c r="I40" s="262" t="s">
        <v>581</v>
      </c>
      <c r="J40" s="112">
        <v>150</v>
      </c>
      <c r="K40" s="75">
        <v>160</v>
      </c>
      <c r="L40" s="75">
        <v>2200</v>
      </c>
      <c r="M40" s="202">
        <v>22.788636332178815</v>
      </c>
      <c r="N40" s="87">
        <v>4097.6871000000001</v>
      </c>
      <c r="O40" s="123">
        <v>68566.21733291111</v>
      </c>
      <c r="P40" s="123">
        <v>80621.497338140456</v>
      </c>
      <c r="Q40" s="120">
        <v>19003.817389475706</v>
      </c>
      <c r="R40" s="123">
        <v>87570.034722386816</v>
      </c>
      <c r="S40" s="123">
        <v>99625.314727616162</v>
      </c>
      <c r="U40" s="7" t="s">
        <v>7279</v>
      </c>
    </row>
    <row r="41" spans="1:21" s="7" customFormat="1" ht="16.5" customHeight="1" thickBot="1">
      <c r="A41" s="259" t="s">
        <v>10</v>
      </c>
      <c r="B41" s="263">
        <f t="shared" si="0"/>
        <v>150</v>
      </c>
      <c r="C41" s="263" t="s">
        <v>3</v>
      </c>
      <c r="D41" s="263">
        <f t="shared" si="1"/>
        <v>160</v>
      </c>
      <c r="E41" s="263" t="s">
        <v>3</v>
      </c>
      <c r="F41" s="261">
        <f t="shared" si="2"/>
        <v>2250</v>
      </c>
      <c r="G41" s="263" t="s">
        <v>3</v>
      </c>
      <c r="H41" s="260">
        <v>2</v>
      </c>
      <c r="I41" s="262" t="s">
        <v>581</v>
      </c>
      <c r="J41" s="112">
        <v>150</v>
      </c>
      <c r="K41" s="75">
        <v>160</v>
      </c>
      <c r="L41" s="75">
        <v>2250</v>
      </c>
      <c r="M41" s="202">
        <v>23.211409526314739</v>
      </c>
      <c r="N41" s="87">
        <v>4208.4353999999994</v>
      </c>
      <c r="O41" s="123">
        <v>69930.511081540273</v>
      </c>
      <c r="P41" s="123">
        <v>82227.302421838642</v>
      </c>
      <c r="Q41" s="120">
        <v>19313.441472706654</v>
      </c>
      <c r="R41" s="123">
        <v>89243.952554246935</v>
      </c>
      <c r="S41" s="123">
        <v>101540.7438945453</v>
      </c>
      <c r="U41" s="7" t="s">
        <v>7280</v>
      </c>
    </row>
    <row r="42" spans="1:21" s="7" customFormat="1" ht="16.5" customHeight="1" thickBot="1">
      <c r="A42" s="259" t="s">
        <v>10</v>
      </c>
      <c r="B42" s="263">
        <f t="shared" si="0"/>
        <v>150</v>
      </c>
      <c r="C42" s="263" t="s">
        <v>3</v>
      </c>
      <c r="D42" s="263">
        <f t="shared" si="1"/>
        <v>160</v>
      </c>
      <c r="E42" s="263" t="s">
        <v>3</v>
      </c>
      <c r="F42" s="261">
        <f t="shared" si="2"/>
        <v>2300</v>
      </c>
      <c r="G42" s="263" t="s">
        <v>3</v>
      </c>
      <c r="H42" s="260">
        <v>2</v>
      </c>
      <c r="I42" s="262" t="s">
        <v>581</v>
      </c>
      <c r="J42" s="112">
        <v>150</v>
      </c>
      <c r="K42" s="75">
        <v>160</v>
      </c>
      <c r="L42" s="75">
        <v>2300</v>
      </c>
      <c r="M42" s="202">
        <v>23.63418272045066</v>
      </c>
      <c r="N42" s="87">
        <v>4319.1836999999996</v>
      </c>
      <c r="O42" s="123">
        <v>70732.28832285518</v>
      </c>
      <c r="P42" s="123">
        <v>83256.856663744722</v>
      </c>
      <c r="Q42" s="120">
        <v>19623.065415544243</v>
      </c>
      <c r="R42" s="123">
        <v>90355.353738399426</v>
      </c>
      <c r="S42" s="123">
        <v>102879.92207928897</v>
      </c>
      <c r="U42" s="7" t="s">
        <v>7281</v>
      </c>
    </row>
    <row r="43" spans="1:21" s="7" customFormat="1" ht="16.5" customHeight="1" thickBot="1">
      <c r="A43" s="259" t="s">
        <v>10</v>
      </c>
      <c r="B43" s="263">
        <f t="shared" si="0"/>
        <v>150</v>
      </c>
      <c r="C43" s="263" t="s">
        <v>3</v>
      </c>
      <c r="D43" s="263">
        <f t="shared" si="1"/>
        <v>160</v>
      </c>
      <c r="E43" s="263" t="s">
        <v>3</v>
      </c>
      <c r="F43" s="261">
        <f t="shared" si="2"/>
        <v>2350</v>
      </c>
      <c r="G43" s="263" t="s">
        <v>3</v>
      </c>
      <c r="H43" s="260">
        <v>2</v>
      </c>
      <c r="I43" s="262" t="s">
        <v>581</v>
      </c>
      <c r="J43" s="112">
        <v>150</v>
      </c>
      <c r="K43" s="75">
        <v>160</v>
      </c>
      <c r="L43" s="75">
        <v>2350</v>
      </c>
      <c r="M43" s="202">
        <v>24.073995914586583</v>
      </c>
      <c r="N43" s="87">
        <v>4429.9319999999998</v>
      </c>
      <c r="O43" s="123">
        <v>71534.017472423773</v>
      </c>
      <c r="P43" s="123">
        <v>84286.361551768176</v>
      </c>
      <c r="Q43" s="120">
        <v>20163.271276558466</v>
      </c>
      <c r="R43" s="123">
        <v>91697.288748982246</v>
      </c>
      <c r="S43" s="123">
        <v>104449.63282832663</v>
      </c>
      <c r="U43" s="7" t="s">
        <v>7282</v>
      </c>
    </row>
    <row r="44" spans="1:21" s="7" customFormat="1" ht="16.5" customHeight="1" thickBot="1">
      <c r="A44" s="259" t="s">
        <v>10</v>
      </c>
      <c r="B44" s="263">
        <f t="shared" si="0"/>
        <v>150</v>
      </c>
      <c r="C44" s="263" t="s">
        <v>3</v>
      </c>
      <c r="D44" s="263">
        <f t="shared" si="1"/>
        <v>160</v>
      </c>
      <c r="E44" s="263" t="s">
        <v>3</v>
      </c>
      <c r="F44" s="261">
        <f t="shared" si="2"/>
        <v>2400</v>
      </c>
      <c r="G44" s="263" t="s">
        <v>3</v>
      </c>
      <c r="H44" s="260">
        <v>2</v>
      </c>
      <c r="I44" s="262" t="s">
        <v>581</v>
      </c>
      <c r="J44" s="112">
        <v>150</v>
      </c>
      <c r="K44" s="75">
        <v>160</v>
      </c>
      <c r="L44" s="75">
        <v>2400</v>
      </c>
      <c r="M44" s="202">
        <v>24.496769108722503</v>
      </c>
      <c r="N44" s="87">
        <v>4540.6802999999991</v>
      </c>
      <c r="O44" s="123">
        <v>72335.698410911675</v>
      </c>
      <c r="P44" s="123">
        <v>85315.817085908959</v>
      </c>
      <c r="Q44" s="120">
        <v>20472.895359789418</v>
      </c>
      <c r="R44" s="123">
        <v>92808.593770701089</v>
      </c>
      <c r="S44" s="123">
        <v>105788.71244569837</v>
      </c>
      <c r="U44" s="7" t="s">
        <v>7283</v>
      </c>
    </row>
    <row r="45" spans="1:21" s="7" customFormat="1" ht="16.5" customHeight="1" thickBot="1">
      <c r="A45" s="259" t="s">
        <v>10</v>
      </c>
      <c r="B45" s="263">
        <f t="shared" si="0"/>
        <v>150</v>
      </c>
      <c r="C45" s="263" t="s">
        <v>3</v>
      </c>
      <c r="D45" s="263">
        <f t="shared" si="1"/>
        <v>160</v>
      </c>
      <c r="E45" s="263" t="s">
        <v>3</v>
      </c>
      <c r="F45" s="261">
        <f t="shared" si="2"/>
        <v>2450</v>
      </c>
      <c r="G45" s="263" t="s">
        <v>3</v>
      </c>
      <c r="H45" s="260">
        <v>2</v>
      </c>
      <c r="I45" s="262" t="s">
        <v>581</v>
      </c>
      <c r="J45" s="112">
        <v>150</v>
      </c>
      <c r="K45" s="75">
        <v>160</v>
      </c>
      <c r="L45" s="75">
        <v>2450</v>
      </c>
      <c r="M45" s="202">
        <v>25.62815267281842</v>
      </c>
      <c r="N45" s="87">
        <v>4651.4286000000002</v>
      </c>
      <c r="O45" s="123">
        <v>73541.370782702637</v>
      </c>
      <c r="P45" s="123">
        <v>86829.242146546443</v>
      </c>
      <c r="Q45" s="120">
        <v>21013.101220803645</v>
      </c>
      <c r="R45" s="123">
        <v>94554.472003506278</v>
      </c>
      <c r="S45" s="123">
        <v>107842.34336735008</v>
      </c>
      <c r="U45" s="7" t="s">
        <v>7284</v>
      </c>
    </row>
    <row r="46" spans="1:21" s="7" customFormat="1" ht="16.5" customHeight="1" thickBot="1">
      <c r="A46" s="259" t="s">
        <v>10</v>
      </c>
      <c r="B46" s="263">
        <f t="shared" si="0"/>
        <v>150</v>
      </c>
      <c r="C46" s="263" t="s">
        <v>3</v>
      </c>
      <c r="D46" s="263">
        <f t="shared" si="1"/>
        <v>160</v>
      </c>
      <c r="E46" s="263" t="s">
        <v>3</v>
      </c>
      <c r="F46" s="261">
        <f t="shared" si="2"/>
        <v>2500</v>
      </c>
      <c r="G46" s="263" t="s">
        <v>3</v>
      </c>
      <c r="H46" s="260">
        <v>2</v>
      </c>
      <c r="I46" s="262" t="s">
        <v>581</v>
      </c>
      <c r="J46" s="112">
        <v>150</v>
      </c>
      <c r="K46" s="75">
        <v>160</v>
      </c>
      <c r="L46" s="75">
        <v>2500</v>
      </c>
      <c r="M46" s="202">
        <v>26.050925866954344</v>
      </c>
      <c r="N46" s="87">
        <v>4762.1768999999995</v>
      </c>
      <c r="O46" s="123">
        <v>74342.955537697897</v>
      </c>
      <c r="P46" s="123">
        <v>87858.599103487737</v>
      </c>
      <c r="Q46" s="120">
        <v>21322.725304034593</v>
      </c>
      <c r="R46" s="123">
        <v>95665.680841732494</v>
      </c>
      <c r="S46" s="123">
        <v>109181.32440752233</v>
      </c>
      <c r="U46" s="7" t="s">
        <v>7285</v>
      </c>
    </row>
    <row r="47" spans="1:21" s="7" customFormat="1" ht="16.5" customHeight="1" thickBot="1">
      <c r="A47" s="259" t="s">
        <v>10</v>
      </c>
      <c r="B47" s="263">
        <f t="shared" si="0"/>
        <v>150</v>
      </c>
      <c r="C47" s="263" t="s">
        <v>3</v>
      </c>
      <c r="D47" s="263">
        <f t="shared" si="1"/>
        <v>160</v>
      </c>
      <c r="E47" s="263" t="s">
        <v>3</v>
      </c>
      <c r="F47" s="261">
        <f t="shared" si="2"/>
        <v>2550</v>
      </c>
      <c r="G47" s="263" t="s">
        <v>3</v>
      </c>
      <c r="H47" s="260">
        <v>2</v>
      </c>
      <c r="I47" s="262" t="s">
        <v>581</v>
      </c>
      <c r="J47" s="112">
        <v>150</v>
      </c>
      <c r="K47" s="75">
        <v>160</v>
      </c>
      <c r="L47" s="75">
        <v>2550</v>
      </c>
      <c r="M47" s="202">
        <v>26.490739061090267</v>
      </c>
      <c r="N47" s="87">
        <v>4872.9252000000006</v>
      </c>
      <c r="O47" s="123">
        <v>78438.828137940509</v>
      </c>
      <c r="P47" s="123">
        <v>92262.677545848725</v>
      </c>
      <c r="Q47" s="120">
        <v>21862.931024655456</v>
      </c>
      <c r="R47" s="123">
        <v>100301.75916259596</v>
      </c>
      <c r="S47" s="123">
        <v>114125.60857050418</v>
      </c>
      <c r="U47" s="7" t="s">
        <v>7286</v>
      </c>
    </row>
    <row r="48" spans="1:21" ht="16.5" customHeight="1" thickBot="1">
      <c r="A48" s="259" t="s">
        <v>10</v>
      </c>
      <c r="B48" s="260">
        <f t="shared" si="0"/>
        <v>150</v>
      </c>
      <c r="C48" s="260" t="s">
        <v>3</v>
      </c>
      <c r="D48" s="260">
        <f t="shared" si="1"/>
        <v>160</v>
      </c>
      <c r="E48" s="260" t="s">
        <v>3</v>
      </c>
      <c r="F48" s="261">
        <f t="shared" si="2"/>
        <v>2600</v>
      </c>
      <c r="G48" s="260" t="s">
        <v>3</v>
      </c>
      <c r="H48" s="260">
        <v>2</v>
      </c>
      <c r="I48" s="262" t="s">
        <v>581</v>
      </c>
      <c r="J48" s="112">
        <v>150</v>
      </c>
      <c r="K48" s="75">
        <v>160</v>
      </c>
      <c r="L48" s="75">
        <v>2600</v>
      </c>
      <c r="M48" s="202">
        <v>26.913512255226188</v>
      </c>
      <c r="N48" s="87">
        <v>4983.6734999999999</v>
      </c>
      <c r="O48" s="123">
        <v>79510.920373936606</v>
      </c>
      <c r="P48" s="123">
        <v>93569.146630885167</v>
      </c>
      <c r="Q48" s="120">
        <v>22172.555107886405</v>
      </c>
      <c r="R48" s="123">
        <v>101683.47548182301</v>
      </c>
      <c r="S48" s="123">
        <v>115741.70173877158</v>
      </c>
      <c r="U48" s="7" t="s">
        <v>7287</v>
      </c>
    </row>
    <row r="49" spans="1:21" ht="16.5" customHeight="1" thickBot="1">
      <c r="A49" s="259" t="s">
        <v>10</v>
      </c>
      <c r="B49" s="263">
        <f t="shared" si="0"/>
        <v>150</v>
      </c>
      <c r="C49" s="263" t="s">
        <v>3</v>
      </c>
      <c r="D49" s="263">
        <f t="shared" si="1"/>
        <v>160</v>
      </c>
      <c r="E49" s="263" t="s">
        <v>3</v>
      </c>
      <c r="F49" s="261">
        <f t="shared" si="2"/>
        <v>2650</v>
      </c>
      <c r="G49" s="263" t="s">
        <v>3</v>
      </c>
      <c r="H49" s="260">
        <v>2</v>
      </c>
      <c r="I49" s="262" t="s">
        <v>581</v>
      </c>
      <c r="J49" s="112">
        <v>150</v>
      </c>
      <c r="K49" s="75">
        <v>160</v>
      </c>
      <c r="L49" s="75">
        <v>2650</v>
      </c>
      <c r="M49" s="202">
        <v>27.353325449362107</v>
      </c>
      <c r="N49" s="87">
        <v>5094.4218000000001</v>
      </c>
      <c r="O49" s="123">
        <v>80152.392669288878</v>
      </c>
      <c r="P49" s="123">
        <v>94434.481964856459</v>
      </c>
      <c r="Q49" s="120">
        <v>22712.760968900628</v>
      </c>
      <c r="R49" s="123">
        <v>102865.15363818951</v>
      </c>
      <c r="S49" s="123">
        <v>117147.24293375708</v>
      </c>
      <c r="U49" s="7" t="s">
        <v>7288</v>
      </c>
    </row>
    <row r="50" spans="1:21" ht="16.5" customHeight="1" thickBot="1">
      <c r="A50" s="259" t="s">
        <v>10</v>
      </c>
      <c r="B50" s="263">
        <f t="shared" si="0"/>
        <v>150</v>
      </c>
      <c r="C50" s="263" t="s">
        <v>3</v>
      </c>
      <c r="D50" s="263">
        <f t="shared" si="1"/>
        <v>160</v>
      </c>
      <c r="E50" s="263" t="s">
        <v>3</v>
      </c>
      <c r="F50" s="261">
        <f t="shared" si="2"/>
        <v>2700</v>
      </c>
      <c r="G50" s="263" t="s">
        <v>3</v>
      </c>
      <c r="H50" s="260">
        <v>2</v>
      </c>
      <c r="I50" s="262" t="s">
        <v>581</v>
      </c>
      <c r="J50" s="112">
        <v>150</v>
      </c>
      <c r="K50" s="75">
        <v>160</v>
      </c>
      <c r="L50" s="75">
        <v>2700</v>
      </c>
      <c r="M50" s="202">
        <v>27.815348643498027</v>
      </c>
      <c r="N50" s="87">
        <v>5205.1701000000003</v>
      </c>
      <c r="O50" s="123">
        <v>80829.196407385607</v>
      </c>
      <c r="P50" s="123">
        <v>95336.011190633406</v>
      </c>
      <c r="Q50" s="120">
        <v>23022.385052131584</v>
      </c>
      <c r="R50" s="123">
        <v>103851.58145951718</v>
      </c>
      <c r="S50" s="123">
        <v>118358.39624276498</v>
      </c>
      <c r="U50" s="7" t="s">
        <v>7289</v>
      </c>
    </row>
    <row r="51" spans="1:21" ht="16.5" customHeight="1" thickBot="1">
      <c r="A51" s="259" t="s">
        <v>10</v>
      </c>
      <c r="B51" s="263">
        <f t="shared" si="0"/>
        <v>150</v>
      </c>
      <c r="C51" s="263" t="s">
        <v>3</v>
      </c>
      <c r="D51" s="263">
        <f t="shared" si="1"/>
        <v>160</v>
      </c>
      <c r="E51" s="263" t="s">
        <v>3</v>
      </c>
      <c r="F51" s="261">
        <f t="shared" si="2"/>
        <v>2750</v>
      </c>
      <c r="G51" s="263" t="s">
        <v>3</v>
      </c>
      <c r="H51" s="260">
        <v>2</v>
      </c>
      <c r="I51" s="262" t="s">
        <v>581</v>
      </c>
      <c r="J51" s="112">
        <v>150</v>
      </c>
      <c r="K51" s="75">
        <v>160</v>
      </c>
      <c r="L51" s="75">
        <v>2750</v>
      </c>
      <c r="M51" s="202">
        <v>28.238121837633948</v>
      </c>
      <c r="N51" s="87">
        <v>5315.9183999999996</v>
      </c>
      <c r="O51" s="123">
        <v>81552.326697981305</v>
      </c>
      <c r="P51" s="123">
        <v>96284.998091556277</v>
      </c>
      <c r="Q51" s="120">
        <v>23332.008994969165</v>
      </c>
      <c r="R51" s="123">
        <v>104884.33569295047</v>
      </c>
      <c r="S51" s="123">
        <v>119617.00708652544</v>
      </c>
      <c r="U51" s="7" t="s">
        <v>7290</v>
      </c>
    </row>
    <row r="52" spans="1:21" ht="16.5" customHeight="1" thickBot="1">
      <c r="A52" s="259" t="s">
        <v>10</v>
      </c>
      <c r="B52" s="263">
        <f t="shared" si="0"/>
        <v>150</v>
      </c>
      <c r="C52" s="263" t="s">
        <v>3</v>
      </c>
      <c r="D52" s="263">
        <f t="shared" si="1"/>
        <v>160</v>
      </c>
      <c r="E52" s="263" t="s">
        <v>3</v>
      </c>
      <c r="F52" s="261">
        <f t="shared" si="2"/>
        <v>2800</v>
      </c>
      <c r="G52" s="263" t="s">
        <v>3</v>
      </c>
      <c r="H52" s="260">
        <v>2</v>
      </c>
      <c r="I52" s="262" t="s">
        <v>581</v>
      </c>
      <c r="J52" s="112">
        <v>150</v>
      </c>
      <c r="K52" s="75">
        <v>160</v>
      </c>
      <c r="L52" s="75">
        <v>2800</v>
      </c>
      <c r="M52" s="202">
        <v>28.67793503176987</v>
      </c>
      <c r="N52" s="87">
        <v>5426.6666999999998</v>
      </c>
      <c r="O52" s="123">
        <v>82192.564718067501</v>
      </c>
      <c r="P52" s="123">
        <v>97149.068895491844</v>
      </c>
      <c r="Q52" s="120">
        <v>23872.214855983391</v>
      </c>
      <c r="R52" s="123">
        <v>106064.77957405089</v>
      </c>
      <c r="S52" s="123">
        <v>121021.28375147523</v>
      </c>
      <c r="U52" s="7" t="s">
        <v>7291</v>
      </c>
    </row>
    <row r="53" spans="1:21" ht="16.5" customHeight="1" thickBot="1">
      <c r="A53" s="259" t="s">
        <v>10</v>
      </c>
      <c r="B53" s="263">
        <f t="shared" si="0"/>
        <v>150</v>
      </c>
      <c r="C53" s="263" t="s">
        <v>3</v>
      </c>
      <c r="D53" s="263">
        <f t="shared" si="1"/>
        <v>160</v>
      </c>
      <c r="E53" s="263" t="s">
        <v>3</v>
      </c>
      <c r="F53" s="261">
        <f t="shared" si="2"/>
        <v>2850</v>
      </c>
      <c r="G53" s="263" t="s">
        <v>3</v>
      </c>
      <c r="H53" s="260">
        <v>2</v>
      </c>
      <c r="I53" s="262" t="s">
        <v>581</v>
      </c>
      <c r="J53" s="112">
        <v>150</v>
      </c>
      <c r="K53" s="75">
        <v>160</v>
      </c>
      <c r="L53" s="75">
        <v>2850</v>
      </c>
      <c r="M53" s="202">
        <v>29.962708225905793</v>
      </c>
      <c r="N53" s="87">
        <v>5537.415</v>
      </c>
      <c r="O53" s="123">
        <v>82832.754646407368</v>
      </c>
      <c r="P53" s="123">
        <v>98013.09034554477</v>
      </c>
      <c r="Q53" s="120">
        <v>24181.838939214344</v>
      </c>
      <c r="R53" s="123">
        <v>107014.59358562171</v>
      </c>
      <c r="S53" s="123">
        <v>122194.92928475911</v>
      </c>
      <c r="U53" s="7" t="s">
        <v>7292</v>
      </c>
    </row>
    <row r="54" spans="1:21" ht="16.5" customHeight="1" thickBot="1">
      <c r="A54" s="259" t="s">
        <v>10</v>
      </c>
      <c r="B54" s="263">
        <f t="shared" si="0"/>
        <v>150</v>
      </c>
      <c r="C54" s="263" t="s">
        <v>3</v>
      </c>
      <c r="D54" s="263">
        <f t="shared" si="1"/>
        <v>160</v>
      </c>
      <c r="E54" s="263" t="s">
        <v>3</v>
      </c>
      <c r="F54" s="261">
        <f t="shared" si="2"/>
        <v>2900</v>
      </c>
      <c r="G54" s="263" t="s">
        <v>3</v>
      </c>
      <c r="H54" s="260">
        <v>2</v>
      </c>
      <c r="I54" s="262" t="s">
        <v>581</v>
      </c>
      <c r="J54" s="112">
        <v>150</v>
      </c>
      <c r="K54" s="75">
        <v>160</v>
      </c>
      <c r="L54" s="75">
        <v>2900</v>
      </c>
      <c r="M54" s="202">
        <v>30.402521420041712</v>
      </c>
      <c r="N54" s="87">
        <v>5648.1632999999993</v>
      </c>
      <c r="O54" s="123">
        <v>83472.896363666587</v>
      </c>
      <c r="P54" s="123">
        <v>98877.062572280862</v>
      </c>
      <c r="Q54" s="120">
        <v>24722.044800228567</v>
      </c>
      <c r="R54" s="123">
        <v>108194.94116389516</v>
      </c>
      <c r="S54" s="123">
        <v>123599.10737250943</v>
      </c>
      <c r="U54" s="7" t="s">
        <v>7293</v>
      </c>
    </row>
    <row r="55" spans="1:21" ht="16.5" customHeight="1" thickBot="1">
      <c r="A55" s="259" t="s">
        <v>10</v>
      </c>
      <c r="B55" s="263">
        <f t="shared" si="0"/>
        <v>150</v>
      </c>
      <c r="C55" s="263" t="s">
        <v>3</v>
      </c>
      <c r="D55" s="263">
        <f t="shared" si="1"/>
        <v>160</v>
      </c>
      <c r="E55" s="263" t="s">
        <v>3</v>
      </c>
      <c r="F55" s="261">
        <f t="shared" si="2"/>
        <v>2950</v>
      </c>
      <c r="G55" s="263" t="s">
        <v>3</v>
      </c>
      <c r="H55" s="260">
        <v>2</v>
      </c>
      <c r="I55" s="262" t="s">
        <v>581</v>
      </c>
      <c r="J55" s="112">
        <v>150</v>
      </c>
      <c r="K55" s="75">
        <v>160</v>
      </c>
      <c r="L55" s="75">
        <v>2950</v>
      </c>
      <c r="M55" s="202">
        <v>30.825294614177629</v>
      </c>
      <c r="N55" s="87">
        <v>5758.9116000000004</v>
      </c>
      <c r="O55" s="123">
        <v>84112.990108513797</v>
      </c>
      <c r="P55" s="123">
        <v>99740.985445134298</v>
      </c>
      <c r="Q55" s="120">
        <v>25031.668743066155</v>
      </c>
      <c r="R55" s="123">
        <v>109144.65885157995</v>
      </c>
      <c r="S55" s="123">
        <v>124772.65418820045</v>
      </c>
      <c r="U55" s="7" t="s">
        <v>7294</v>
      </c>
    </row>
    <row r="56" spans="1:21" ht="16.5" customHeight="1" thickBot="1">
      <c r="A56" s="264" t="s">
        <v>10</v>
      </c>
      <c r="B56" s="265">
        <f t="shared" si="0"/>
        <v>150</v>
      </c>
      <c r="C56" s="265" t="s">
        <v>3</v>
      </c>
      <c r="D56" s="265">
        <f t="shared" si="1"/>
        <v>160</v>
      </c>
      <c r="E56" s="265" t="s">
        <v>3</v>
      </c>
      <c r="F56" s="266">
        <f t="shared" si="2"/>
        <v>3000</v>
      </c>
      <c r="G56" s="265" t="s">
        <v>3</v>
      </c>
      <c r="H56" s="267">
        <v>2</v>
      </c>
      <c r="I56" s="262" t="s">
        <v>581</v>
      </c>
      <c r="J56" s="346">
        <v>150</v>
      </c>
      <c r="K56" s="322">
        <v>160</v>
      </c>
      <c r="L56" s="322">
        <v>3000</v>
      </c>
      <c r="M56" s="305">
        <v>31.265107808313552</v>
      </c>
      <c r="N56" s="306">
        <v>5869.6598999999997</v>
      </c>
      <c r="O56" s="307">
        <v>86469.872441062849</v>
      </c>
      <c r="P56" s="307">
        <v>102363.61434146223</v>
      </c>
      <c r="Q56" s="308">
        <v>25571.874604080382</v>
      </c>
      <c r="R56" s="307">
        <v>112041.74704514323</v>
      </c>
      <c r="S56" s="307">
        <v>127935.48894554262</v>
      </c>
      <c r="U56" s="7" t="s">
        <v>7295</v>
      </c>
    </row>
    <row r="57" spans="1:21" ht="22.5" customHeight="1" thickBot="1">
      <c r="A57" s="2580" t="s">
        <v>51</v>
      </c>
      <c r="B57" s="2581"/>
      <c r="C57" s="2581"/>
      <c r="D57" s="2581"/>
      <c r="E57" s="2581"/>
      <c r="F57" s="2581"/>
      <c r="G57" s="2581"/>
      <c r="H57" s="2581"/>
      <c r="I57" s="2581"/>
      <c r="J57" s="2581"/>
      <c r="K57" s="2581"/>
      <c r="L57" s="2581"/>
      <c r="M57" s="2581"/>
      <c r="N57" s="2581"/>
      <c r="O57" s="2581"/>
      <c r="P57" s="2581"/>
      <c r="Q57" s="2581"/>
      <c r="R57" s="2581"/>
      <c r="S57" s="2582"/>
      <c r="U57" s="7"/>
    </row>
    <row r="58" spans="1:21" ht="16.5" customHeight="1" thickBot="1">
      <c r="A58" s="2627" t="s">
        <v>134</v>
      </c>
      <c r="B58" s="2628"/>
      <c r="C58" s="2628"/>
      <c r="D58" s="2628"/>
      <c r="E58" s="2628"/>
      <c r="F58" s="2628"/>
      <c r="G58" s="2628"/>
      <c r="H58" s="2628"/>
      <c r="I58" s="2628"/>
      <c r="J58" s="2628"/>
      <c r="K58" s="2628"/>
      <c r="L58" s="2628"/>
      <c r="M58" s="2628"/>
      <c r="N58" s="2628"/>
      <c r="O58" s="2628"/>
      <c r="P58" s="2628"/>
      <c r="Q58" s="2628"/>
      <c r="R58" s="2628"/>
      <c r="S58" s="2629"/>
      <c r="U58" s="7"/>
    </row>
    <row r="59" spans="1:21" ht="16.5" thickBot="1">
      <c r="A59" s="259" t="s">
        <v>10</v>
      </c>
      <c r="B59" s="260">
        <f t="shared" ref="B59:B105" si="3">J59</f>
        <v>150</v>
      </c>
      <c r="C59" s="260" t="s">
        <v>3</v>
      </c>
      <c r="D59" s="260">
        <f t="shared" ref="D59:D105" si="4">K59</f>
        <v>200</v>
      </c>
      <c r="E59" s="260" t="s">
        <v>3</v>
      </c>
      <c r="F59" s="261">
        <f t="shared" ref="F59:F105" si="5">L59</f>
        <v>700</v>
      </c>
      <c r="G59" s="260" t="s">
        <v>3</v>
      </c>
      <c r="H59" s="260">
        <v>2</v>
      </c>
      <c r="I59" s="262" t="s">
        <v>581</v>
      </c>
      <c r="J59" s="344">
        <v>150</v>
      </c>
      <c r="K59" s="327">
        <v>200</v>
      </c>
      <c r="L59" s="327">
        <v>700</v>
      </c>
      <c r="M59" s="301">
        <v>7.7221452529201304</v>
      </c>
      <c r="N59" s="302">
        <v>917.24723999999992</v>
      </c>
      <c r="O59" s="303">
        <v>26212.065634508159</v>
      </c>
      <c r="P59" s="303">
        <v>30767.919418477341</v>
      </c>
      <c r="Q59" s="304">
        <v>7482.4550490171396</v>
      </c>
      <c r="R59" s="303">
        <v>33694.520683525297</v>
      </c>
      <c r="S59" s="303">
        <v>38250.374467494483</v>
      </c>
      <c r="U59" s="7" t="s">
        <v>7296</v>
      </c>
    </row>
    <row r="60" spans="1:21" ht="16.5" thickBot="1">
      <c r="A60" s="259" t="s">
        <v>10</v>
      </c>
      <c r="B60" s="263">
        <f t="shared" si="3"/>
        <v>150</v>
      </c>
      <c r="C60" s="263" t="s">
        <v>3</v>
      </c>
      <c r="D60" s="263">
        <f t="shared" si="4"/>
        <v>200</v>
      </c>
      <c r="E60" s="263" t="s">
        <v>3</v>
      </c>
      <c r="F60" s="261">
        <f t="shared" si="5"/>
        <v>750</v>
      </c>
      <c r="G60" s="263" t="s">
        <v>3</v>
      </c>
      <c r="H60" s="260">
        <v>2</v>
      </c>
      <c r="I60" s="262" t="s">
        <v>581</v>
      </c>
      <c r="J60" s="112">
        <v>150</v>
      </c>
      <c r="K60" s="75">
        <v>200</v>
      </c>
      <c r="L60" s="75">
        <v>750</v>
      </c>
      <c r="M60" s="202">
        <v>8.1725642649507879</v>
      </c>
      <c r="N60" s="87">
        <v>1048.2825600000001</v>
      </c>
      <c r="O60" s="123">
        <v>27772.793641362794</v>
      </c>
      <c r="P60" s="123">
        <v>32576.843148117347</v>
      </c>
      <c r="Q60" s="120">
        <v>7840.8736877451383</v>
      </c>
      <c r="R60" s="123">
        <v>35613.667329107935</v>
      </c>
      <c r="S60" s="123">
        <v>40417.716835862484</v>
      </c>
      <c r="U60" s="7" t="s">
        <v>7297</v>
      </c>
    </row>
    <row r="61" spans="1:21" ht="16.5" thickBot="1">
      <c r="A61" s="259" t="s">
        <v>10</v>
      </c>
      <c r="B61" s="263">
        <f t="shared" si="3"/>
        <v>150</v>
      </c>
      <c r="C61" s="263" t="s">
        <v>3</v>
      </c>
      <c r="D61" s="263">
        <f t="shared" si="4"/>
        <v>200</v>
      </c>
      <c r="E61" s="263" t="s">
        <v>3</v>
      </c>
      <c r="F61" s="261">
        <f t="shared" si="5"/>
        <v>800</v>
      </c>
      <c r="G61" s="263" t="s">
        <v>3</v>
      </c>
      <c r="H61" s="260">
        <v>2</v>
      </c>
      <c r="I61" s="262" t="s">
        <v>581</v>
      </c>
      <c r="J61" s="112">
        <v>150</v>
      </c>
      <c r="K61" s="75">
        <v>200</v>
      </c>
      <c r="L61" s="75">
        <v>800</v>
      </c>
      <c r="M61" s="202">
        <v>8.6229832769814454</v>
      </c>
      <c r="N61" s="87">
        <v>1179.3178800000001</v>
      </c>
      <c r="O61" s="123">
        <v>29334.126434744412</v>
      </c>
      <c r="P61" s="123">
        <v>34386.488906781356</v>
      </c>
      <c r="Q61" s="120">
        <v>8199.2923264731398</v>
      </c>
      <c r="R61" s="123">
        <v>37533.418761217552</v>
      </c>
      <c r="S61" s="123">
        <v>42585.7812332545</v>
      </c>
      <c r="U61" s="7" t="s">
        <v>7298</v>
      </c>
    </row>
    <row r="62" spans="1:21" s="7" customFormat="1" ht="16.5" thickBot="1">
      <c r="A62" s="259" t="s">
        <v>10</v>
      </c>
      <c r="B62" s="263">
        <f t="shared" si="3"/>
        <v>150</v>
      </c>
      <c r="C62" s="263" t="s">
        <v>3</v>
      </c>
      <c r="D62" s="263">
        <f t="shared" si="4"/>
        <v>200</v>
      </c>
      <c r="E62" s="263" t="s">
        <v>3</v>
      </c>
      <c r="F62" s="261">
        <f t="shared" si="5"/>
        <v>850</v>
      </c>
      <c r="G62" s="263" t="s">
        <v>3</v>
      </c>
      <c r="H62" s="260">
        <v>2</v>
      </c>
      <c r="I62" s="262" t="s">
        <v>581</v>
      </c>
      <c r="J62" s="112">
        <v>150</v>
      </c>
      <c r="K62" s="75">
        <v>200</v>
      </c>
      <c r="L62" s="75">
        <v>850</v>
      </c>
      <c r="M62" s="202">
        <v>9.0904422890121044</v>
      </c>
      <c r="N62" s="87">
        <v>1310.3532</v>
      </c>
      <c r="O62" s="123">
        <v>30895.459347460386</v>
      </c>
      <c r="P62" s="123">
        <v>36196.144719014046</v>
      </c>
      <c r="Q62" s="120">
        <v>8788.2927429844149</v>
      </c>
      <c r="R62" s="123">
        <v>39683.752090444803</v>
      </c>
      <c r="S62" s="123">
        <v>44984.437461998459</v>
      </c>
      <c r="U62" s="7" t="s">
        <v>7299</v>
      </c>
    </row>
    <row r="63" spans="1:21" s="7" customFormat="1" ht="16.5" thickBot="1">
      <c r="A63" s="259" t="s">
        <v>10</v>
      </c>
      <c r="B63" s="263">
        <f t="shared" si="3"/>
        <v>150</v>
      </c>
      <c r="C63" s="263" t="s">
        <v>3</v>
      </c>
      <c r="D63" s="263">
        <f t="shared" si="4"/>
        <v>200</v>
      </c>
      <c r="E63" s="263" t="s">
        <v>3</v>
      </c>
      <c r="F63" s="261">
        <f t="shared" si="5"/>
        <v>900</v>
      </c>
      <c r="G63" s="263" t="s">
        <v>3</v>
      </c>
      <c r="H63" s="260">
        <v>2</v>
      </c>
      <c r="I63" s="262" t="s">
        <v>581</v>
      </c>
      <c r="J63" s="112">
        <v>150</v>
      </c>
      <c r="K63" s="75">
        <v>200</v>
      </c>
      <c r="L63" s="75">
        <v>900</v>
      </c>
      <c r="M63" s="202">
        <v>9.6998613010427626</v>
      </c>
      <c r="N63" s="87">
        <v>1441.38852</v>
      </c>
      <c r="O63" s="123">
        <v>32456.792140842001</v>
      </c>
      <c r="P63" s="123">
        <v>38005.809409722984</v>
      </c>
      <c r="Q63" s="120">
        <v>9146.7115221057775</v>
      </c>
      <c r="R63" s="123">
        <v>41603.503662947776</v>
      </c>
      <c r="S63" s="123">
        <v>47152.52093182876</v>
      </c>
      <c r="U63" s="7" t="s">
        <v>7300</v>
      </c>
    </row>
    <row r="64" spans="1:21" s="7" customFormat="1" ht="16.5" thickBot="1">
      <c r="A64" s="259" t="s">
        <v>10</v>
      </c>
      <c r="B64" s="263">
        <f t="shared" si="3"/>
        <v>150</v>
      </c>
      <c r="C64" s="263" t="s">
        <v>3</v>
      </c>
      <c r="D64" s="263">
        <f t="shared" si="4"/>
        <v>200</v>
      </c>
      <c r="E64" s="263" t="s">
        <v>3</v>
      </c>
      <c r="F64" s="261">
        <f t="shared" si="5"/>
        <v>950</v>
      </c>
      <c r="G64" s="263" t="s">
        <v>3</v>
      </c>
      <c r="H64" s="260">
        <v>2</v>
      </c>
      <c r="I64" s="262" t="s">
        <v>581</v>
      </c>
      <c r="J64" s="112">
        <v>150</v>
      </c>
      <c r="K64" s="75">
        <v>200</v>
      </c>
      <c r="L64" s="75">
        <v>950</v>
      </c>
      <c r="M64" s="202">
        <v>10.167320313073422</v>
      </c>
      <c r="N64" s="87">
        <v>1572.4238399999999</v>
      </c>
      <c r="O64" s="123">
        <v>34018.125053557982</v>
      </c>
      <c r="P64" s="123">
        <v>39815.481412118243</v>
      </c>
      <c r="Q64" s="120">
        <v>9735.7119386170507</v>
      </c>
      <c r="R64" s="123">
        <v>43753.836992175035</v>
      </c>
      <c r="S64" s="123">
        <v>49551.193350735295</v>
      </c>
      <c r="U64" s="7" t="s">
        <v>7301</v>
      </c>
    </row>
    <row r="65" spans="1:21" s="7" customFormat="1" ht="16.5" thickBot="1">
      <c r="A65" s="259" t="s">
        <v>10</v>
      </c>
      <c r="B65" s="263">
        <f t="shared" si="3"/>
        <v>150</v>
      </c>
      <c r="C65" s="263" t="s">
        <v>3</v>
      </c>
      <c r="D65" s="263">
        <f t="shared" si="4"/>
        <v>200</v>
      </c>
      <c r="E65" s="263" t="s">
        <v>3</v>
      </c>
      <c r="F65" s="261">
        <f t="shared" si="5"/>
        <v>1000</v>
      </c>
      <c r="G65" s="263" t="s">
        <v>3</v>
      </c>
      <c r="H65" s="260">
        <v>2</v>
      </c>
      <c r="I65" s="262" t="s">
        <v>581</v>
      </c>
      <c r="J65" s="112">
        <v>150</v>
      </c>
      <c r="K65" s="75">
        <v>200</v>
      </c>
      <c r="L65" s="75">
        <v>1000</v>
      </c>
      <c r="M65" s="202">
        <v>10.617739325104081</v>
      </c>
      <c r="N65" s="87">
        <v>1703.4591600000001</v>
      </c>
      <c r="O65" s="123">
        <v>35484.325809320282</v>
      </c>
      <c r="P65" s="123">
        <v>41527.897932902109</v>
      </c>
      <c r="Q65" s="120">
        <v>10094.130577345051</v>
      </c>
      <c r="R65" s="123">
        <v>45578.456386665333</v>
      </c>
      <c r="S65" s="123">
        <v>51622.028510247161</v>
      </c>
      <c r="U65" s="7" t="s">
        <v>7302</v>
      </c>
    </row>
    <row r="66" spans="1:21" s="7" customFormat="1" ht="16.5" thickBot="1">
      <c r="A66" s="259" t="s">
        <v>10</v>
      </c>
      <c r="B66" s="263">
        <f t="shared" si="3"/>
        <v>150</v>
      </c>
      <c r="C66" s="263" t="s">
        <v>3</v>
      </c>
      <c r="D66" s="263">
        <f t="shared" si="4"/>
        <v>200</v>
      </c>
      <c r="E66" s="263" t="s">
        <v>3</v>
      </c>
      <c r="F66" s="261">
        <f t="shared" si="5"/>
        <v>1050</v>
      </c>
      <c r="G66" s="263" t="s">
        <v>3</v>
      </c>
      <c r="H66" s="260">
        <v>2</v>
      </c>
      <c r="I66" s="262" t="s">
        <v>581</v>
      </c>
      <c r="J66" s="112">
        <v>150</v>
      </c>
      <c r="K66" s="75">
        <v>200</v>
      </c>
      <c r="L66" s="75">
        <v>1050</v>
      </c>
      <c r="M66" s="202">
        <v>11.085198337134738</v>
      </c>
      <c r="N66" s="87">
        <v>1834.4944799999998</v>
      </c>
      <c r="O66" s="123">
        <v>37271.597326298914</v>
      </c>
      <c r="P66" s="123">
        <v>43568.585145296893</v>
      </c>
      <c r="Q66" s="120">
        <v>10683.130993856326</v>
      </c>
      <c r="R66" s="123">
        <v>47954.728320155242</v>
      </c>
      <c r="S66" s="123">
        <v>54251.716139153221</v>
      </c>
      <c r="U66" s="7" t="s">
        <v>7303</v>
      </c>
    </row>
    <row r="67" spans="1:21" s="7" customFormat="1" ht="16.5" thickBot="1">
      <c r="A67" s="259" t="s">
        <v>10</v>
      </c>
      <c r="B67" s="260">
        <f t="shared" si="3"/>
        <v>150</v>
      </c>
      <c r="C67" s="260" t="s">
        <v>3</v>
      </c>
      <c r="D67" s="260">
        <f t="shared" si="4"/>
        <v>200</v>
      </c>
      <c r="E67" s="260" t="s">
        <v>3</v>
      </c>
      <c r="F67" s="261">
        <f t="shared" si="5"/>
        <v>1100</v>
      </c>
      <c r="G67" s="260" t="s">
        <v>3</v>
      </c>
      <c r="H67" s="260">
        <v>2</v>
      </c>
      <c r="I67" s="262" t="s">
        <v>581</v>
      </c>
      <c r="J67" s="112">
        <v>150</v>
      </c>
      <c r="K67" s="75">
        <v>200</v>
      </c>
      <c r="L67" s="75">
        <v>1100</v>
      </c>
      <c r="M67" s="202">
        <v>11.535617349165394</v>
      </c>
      <c r="N67" s="87">
        <v>1965.5298</v>
      </c>
      <c r="O67" s="123">
        <v>38832.930119680532</v>
      </c>
      <c r="P67" s="123">
        <v>45378.277907658667</v>
      </c>
      <c r="Q67" s="120">
        <v>11041.549772977691</v>
      </c>
      <c r="R67" s="123">
        <v>49874.479892658223</v>
      </c>
      <c r="S67" s="123">
        <v>56419.827680636357</v>
      </c>
      <c r="U67" s="7" t="s">
        <v>7304</v>
      </c>
    </row>
    <row r="68" spans="1:21" s="7" customFormat="1" ht="16.5" thickBot="1">
      <c r="A68" s="259" t="s">
        <v>10</v>
      </c>
      <c r="B68" s="263">
        <f t="shared" si="3"/>
        <v>150</v>
      </c>
      <c r="C68" s="263" t="s">
        <v>3</v>
      </c>
      <c r="D68" s="263">
        <f t="shared" si="4"/>
        <v>200</v>
      </c>
      <c r="E68" s="263" t="s">
        <v>3</v>
      </c>
      <c r="F68" s="261">
        <f t="shared" si="5"/>
        <v>1150</v>
      </c>
      <c r="G68" s="263" t="s">
        <v>3</v>
      </c>
      <c r="H68" s="260">
        <v>2</v>
      </c>
      <c r="I68" s="262" t="s">
        <v>581</v>
      </c>
      <c r="J68" s="112">
        <v>150</v>
      </c>
      <c r="K68" s="75">
        <v>200</v>
      </c>
      <c r="L68" s="75">
        <v>1150</v>
      </c>
      <c r="M68" s="202">
        <v>11.986036361196053</v>
      </c>
      <c r="N68" s="87">
        <v>2096.5651200000002</v>
      </c>
      <c r="O68" s="123">
        <v>39638.920460509049</v>
      </c>
      <c r="P68" s="123">
        <v>46415.672758049441</v>
      </c>
      <c r="Q68" s="120">
        <v>11399.96841170569</v>
      </c>
      <c r="R68" s="123">
        <v>51038.888872214739</v>
      </c>
      <c r="S68" s="123">
        <v>57815.64116975513</v>
      </c>
      <c r="U68" s="7" t="s">
        <v>7305</v>
      </c>
    </row>
    <row r="69" spans="1:21" s="7" customFormat="1" ht="16.5" thickBot="1">
      <c r="A69" s="259" t="s">
        <v>10</v>
      </c>
      <c r="B69" s="263">
        <f t="shared" si="3"/>
        <v>150</v>
      </c>
      <c r="C69" s="263" t="s">
        <v>3</v>
      </c>
      <c r="D69" s="263">
        <f t="shared" si="4"/>
        <v>200</v>
      </c>
      <c r="E69" s="263" t="s">
        <v>3</v>
      </c>
      <c r="F69" s="261">
        <f t="shared" si="5"/>
        <v>1200</v>
      </c>
      <c r="G69" s="263" t="s">
        <v>3</v>
      </c>
      <c r="H69" s="260">
        <v>2</v>
      </c>
      <c r="I69" s="262" t="s">
        <v>581</v>
      </c>
      <c r="J69" s="112">
        <v>150</v>
      </c>
      <c r="K69" s="75">
        <v>200</v>
      </c>
      <c r="L69" s="75">
        <v>1200</v>
      </c>
      <c r="M69" s="202">
        <v>12.492745373226709</v>
      </c>
      <c r="N69" s="87">
        <v>2227.6004399999997</v>
      </c>
      <c r="O69" s="123">
        <v>40480.049877096695</v>
      </c>
      <c r="P69" s="123">
        <v>47489.014861398449</v>
      </c>
      <c r="Q69" s="120">
        <v>11988.968828216965</v>
      </c>
      <c r="R69" s="123">
        <v>52469.018705313661</v>
      </c>
      <c r="S69" s="123">
        <v>59477.983689615416</v>
      </c>
      <c r="U69" s="7" t="s">
        <v>7306</v>
      </c>
    </row>
    <row r="70" spans="1:21" s="7" customFormat="1" ht="16.5" thickBot="1">
      <c r="A70" s="259" t="s">
        <v>10</v>
      </c>
      <c r="B70" s="263">
        <f t="shared" si="3"/>
        <v>150</v>
      </c>
      <c r="C70" s="263" t="s">
        <v>3</v>
      </c>
      <c r="D70" s="263">
        <f t="shared" si="4"/>
        <v>200</v>
      </c>
      <c r="E70" s="263" t="s">
        <v>3</v>
      </c>
      <c r="F70" s="261">
        <f t="shared" si="5"/>
        <v>1250</v>
      </c>
      <c r="G70" s="263" t="s">
        <v>3</v>
      </c>
      <c r="H70" s="260">
        <v>2</v>
      </c>
      <c r="I70" s="262" t="s">
        <v>581</v>
      </c>
      <c r="J70" s="112">
        <v>150</v>
      </c>
      <c r="K70" s="75">
        <v>200</v>
      </c>
      <c r="L70" s="75">
        <v>1250</v>
      </c>
      <c r="M70" s="202">
        <v>13.805164385257367</v>
      </c>
      <c r="N70" s="87">
        <v>2358.6357600000001</v>
      </c>
      <c r="O70" s="123">
        <v>41285.55918112761</v>
      </c>
      <c r="P70" s="123">
        <v>48525.95965138312</v>
      </c>
      <c r="Q70" s="120">
        <v>12347.387466944965</v>
      </c>
      <c r="R70" s="123">
        <v>53632.946648072575</v>
      </c>
      <c r="S70" s="123">
        <v>60873.347118328085</v>
      </c>
      <c r="U70" s="7" t="s">
        <v>7307</v>
      </c>
    </row>
    <row r="71" spans="1:21" s="7" customFormat="1" ht="16.5" thickBot="1">
      <c r="A71" s="259" t="s">
        <v>10</v>
      </c>
      <c r="B71" s="263">
        <f t="shared" si="3"/>
        <v>150</v>
      </c>
      <c r="C71" s="263" t="s">
        <v>3</v>
      </c>
      <c r="D71" s="263">
        <f t="shared" si="4"/>
        <v>200</v>
      </c>
      <c r="E71" s="263" t="s">
        <v>3</v>
      </c>
      <c r="F71" s="261">
        <f t="shared" si="5"/>
        <v>1300</v>
      </c>
      <c r="G71" s="263" t="s">
        <v>3</v>
      </c>
      <c r="H71" s="260">
        <v>2</v>
      </c>
      <c r="I71" s="262" t="s">
        <v>581</v>
      </c>
      <c r="J71" s="112">
        <v>150</v>
      </c>
      <c r="K71" s="75">
        <v>200</v>
      </c>
      <c r="L71" s="75">
        <v>1300</v>
      </c>
      <c r="M71" s="202">
        <v>14.272623397288026</v>
      </c>
      <c r="N71" s="87">
        <v>2489.6710800000001</v>
      </c>
      <c r="O71" s="123">
        <v>44543.451956496567</v>
      </c>
      <c r="P71" s="123">
        <v>52070.227261050146</v>
      </c>
      <c r="Q71" s="120">
        <v>12936.38788345624</v>
      </c>
      <c r="R71" s="123">
        <v>57479.839839952809</v>
      </c>
      <c r="S71" s="123">
        <v>65006.615144506388</v>
      </c>
      <c r="U71" s="7" t="s">
        <v>7308</v>
      </c>
    </row>
    <row r="72" spans="1:21" s="7" customFormat="1" ht="16.5" thickBot="1">
      <c r="A72" s="259" t="s">
        <v>10</v>
      </c>
      <c r="B72" s="263">
        <f t="shared" si="3"/>
        <v>150</v>
      </c>
      <c r="C72" s="263" t="s">
        <v>3</v>
      </c>
      <c r="D72" s="263">
        <f t="shared" si="4"/>
        <v>200</v>
      </c>
      <c r="E72" s="263" t="s">
        <v>3</v>
      </c>
      <c r="F72" s="261">
        <f t="shared" si="5"/>
        <v>1350</v>
      </c>
      <c r="G72" s="263" t="s">
        <v>3</v>
      </c>
      <c r="H72" s="260">
        <v>2</v>
      </c>
      <c r="I72" s="262" t="s">
        <v>581</v>
      </c>
      <c r="J72" s="112">
        <v>150</v>
      </c>
      <c r="K72" s="75">
        <v>200</v>
      </c>
      <c r="L72" s="75">
        <v>1350</v>
      </c>
      <c r="M72" s="202">
        <v>14.723042409318683</v>
      </c>
      <c r="N72" s="87">
        <v>2620.7064</v>
      </c>
      <c r="O72" s="123">
        <v>45598.657784146169</v>
      </c>
      <c r="P72" s="123">
        <v>53362.408658190128</v>
      </c>
      <c r="Q72" s="120">
        <v>13294.806662577603</v>
      </c>
      <c r="R72" s="123">
        <v>58893.464446723774</v>
      </c>
      <c r="S72" s="123">
        <v>66657.215320767733</v>
      </c>
      <c r="U72" s="7" t="s">
        <v>7309</v>
      </c>
    </row>
    <row r="73" spans="1:21" s="7" customFormat="1" ht="16.5" thickBot="1">
      <c r="A73" s="259" t="s">
        <v>10</v>
      </c>
      <c r="B73" s="263">
        <f t="shared" si="3"/>
        <v>150</v>
      </c>
      <c r="C73" s="263" t="s">
        <v>3</v>
      </c>
      <c r="D73" s="263">
        <f t="shared" si="4"/>
        <v>200</v>
      </c>
      <c r="E73" s="263" t="s">
        <v>3</v>
      </c>
      <c r="F73" s="261">
        <f t="shared" si="5"/>
        <v>1400</v>
      </c>
      <c r="G73" s="263" t="s">
        <v>3</v>
      </c>
      <c r="H73" s="260">
        <v>2</v>
      </c>
      <c r="I73" s="262" t="s">
        <v>581</v>
      </c>
      <c r="J73" s="112">
        <v>150</v>
      </c>
      <c r="K73" s="75">
        <v>200</v>
      </c>
      <c r="L73" s="75">
        <v>1400</v>
      </c>
      <c r="M73" s="202">
        <v>15.190501421349342</v>
      </c>
      <c r="N73" s="87">
        <v>2751.74172</v>
      </c>
      <c r="O73" s="123">
        <v>46980.879968736961</v>
      </c>
      <c r="P73" s="123">
        <v>54988.961043515963</v>
      </c>
      <c r="Q73" s="120">
        <v>13883.807079088876</v>
      </c>
      <c r="R73" s="123">
        <v>60864.687047825835</v>
      </c>
      <c r="S73" s="123">
        <v>68872.768122604844</v>
      </c>
      <c r="U73" s="7" t="s">
        <v>7310</v>
      </c>
    </row>
    <row r="74" spans="1:21" s="7" customFormat="1" ht="16.5" thickBot="1">
      <c r="A74" s="259" t="s">
        <v>10</v>
      </c>
      <c r="B74" s="263">
        <f t="shared" si="3"/>
        <v>150</v>
      </c>
      <c r="C74" s="263" t="s">
        <v>3</v>
      </c>
      <c r="D74" s="263">
        <f t="shared" si="4"/>
        <v>200</v>
      </c>
      <c r="E74" s="263" t="s">
        <v>3</v>
      </c>
      <c r="F74" s="261">
        <f t="shared" si="5"/>
        <v>1450</v>
      </c>
      <c r="G74" s="263" t="s">
        <v>3</v>
      </c>
      <c r="H74" s="260">
        <v>2</v>
      </c>
      <c r="I74" s="262" t="s">
        <v>581</v>
      </c>
      <c r="J74" s="112">
        <v>150</v>
      </c>
      <c r="K74" s="75">
        <v>200</v>
      </c>
      <c r="L74" s="75">
        <v>1450</v>
      </c>
      <c r="M74" s="202">
        <v>15.64092043338</v>
      </c>
      <c r="N74" s="87">
        <v>2882.7770399999999</v>
      </c>
      <c r="O74" s="123">
        <v>48036.085677052208</v>
      </c>
      <c r="P74" s="123">
        <v>56281.144007445873</v>
      </c>
      <c r="Q74" s="120">
        <v>14242.225717816877</v>
      </c>
      <c r="R74" s="123">
        <v>62278.311394869088</v>
      </c>
      <c r="S74" s="123">
        <v>70523.369725262746</v>
      </c>
      <c r="U74" s="7" t="s">
        <v>7311</v>
      </c>
    </row>
    <row r="75" spans="1:21" s="7" customFormat="1" ht="16.5" thickBot="1">
      <c r="A75" s="259" t="s">
        <v>10</v>
      </c>
      <c r="B75" s="263">
        <f t="shared" si="3"/>
        <v>150</v>
      </c>
      <c r="C75" s="263" t="s">
        <v>3</v>
      </c>
      <c r="D75" s="263">
        <f t="shared" si="4"/>
        <v>200</v>
      </c>
      <c r="E75" s="263" t="s">
        <v>3</v>
      </c>
      <c r="F75" s="261">
        <f t="shared" si="5"/>
        <v>1500</v>
      </c>
      <c r="G75" s="263" t="s">
        <v>3</v>
      </c>
      <c r="H75" s="260">
        <v>2</v>
      </c>
      <c r="I75" s="262" t="s">
        <v>581</v>
      </c>
      <c r="J75" s="112">
        <v>150</v>
      </c>
      <c r="K75" s="75">
        <v>200</v>
      </c>
      <c r="L75" s="75">
        <v>1500</v>
      </c>
      <c r="M75" s="202">
        <v>15.962464032170658</v>
      </c>
      <c r="N75" s="87">
        <v>3013.8123599999999</v>
      </c>
      <c r="O75" s="123">
        <v>49523.5138671065</v>
      </c>
      <c r="P75" s="123">
        <v>58090.541952169995</v>
      </c>
      <c r="Q75" s="120">
        <v>14831.226134328155</v>
      </c>
      <c r="R75" s="123">
        <v>64354.740001434657</v>
      </c>
      <c r="S75" s="123">
        <v>72921.768086498152</v>
      </c>
      <c r="U75" s="7" t="s">
        <v>7312</v>
      </c>
    </row>
    <row r="76" spans="1:21" s="7" customFormat="1" ht="16.5" thickBot="1">
      <c r="A76" s="259" t="s">
        <v>10</v>
      </c>
      <c r="B76" s="263">
        <f t="shared" si="3"/>
        <v>150</v>
      </c>
      <c r="C76" s="263" t="s">
        <v>3</v>
      </c>
      <c r="D76" s="263">
        <f t="shared" si="4"/>
        <v>200</v>
      </c>
      <c r="E76" s="263" t="s">
        <v>3</v>
      </c>
      <c r="F76" s="261">
        <f t="shared" si="5"/>
        <v>1550</v>
      </c>
      <c r="G76" s="263" t="s">
        <v>3</v>
      </c>
      <c r="H76" s="260">
        <v>2</v>
      </c>
      <c r="I76" s="262" t="s">
        <v>581</v>
      </c>
      <c r="J76" s="112">
        <v>150</v>
      </c>
      <c r="K76" s="75">
        <v>200</v>
      </c>
      <c r="L76" s="75">
        <v>1550</v>
      </c>
      <c r="M76" s="202">
        <v>16.412883044201315</v>
      </c>
      <c r="N76" s="87">
        <v>3144.8476799999999</v>
      </c>
      <c r="O76" s="123">
        <v>50578.719575421746</v>
      </c>
      <c r="P76" s="123">
        <v>59382.75781868834</v>
      </c>
      <c r="Q76" s="120">
        <v>15189.644913449516</v>
      </c>
      <c r="R76" s="123">
        <v>65768.364488871259</v>
      </c>
      <c r="S76" s="123">
        <v>74572.402732137853</v>
      </c>
      <c r="U76" s="7" t="s">
        <v>7313</v>
      </c>
    </row>
    <row r="77" spans="1:21" s="7" customFormat="1" ht="16.5" thickBot="1">
      <c r="A77" s="259" t="s">
        <v>10</v>
      </c>
      <c r="B77" s="260">
        <f t="shared" si="3"/>
        <v>150</v>
      </c>
      <c r="C77" s="260" t="s">
        <v>3</v>
      </c>
      <c r="D77" s="260">
        <f t="shared" si="4"/>
        <v>200</v>
      </c>
      <c r="E77" s="260" t="s">
        <v>3</v>
      </c>
      <c r="F77" s="261">
        <f t="shared" si="5"/>
        <v>1600</v>
      </c>
      <c r="G77" s="260" t="s">
        <v>3</v>
      </c>
      <c r="H77" s="260">
        <v>2</v>
      </c>
      <c r="I77" s="262" t="s">
        <v>581</v>
      </c>
      <c r="J77" s="112">
        <v>150</v>
      </c>
      <c r="K77" s="75">
        <v>200</v>
      </c>
      <c r="L77" s="75">
        <v>1600</v>
      </c>
      <c r="M77" s="202">
        <v>16.863302056231969</v>
      </c>
      <c r="N77" s="87">
        <v>3275.8829999999998</v>
      </c>
      <c r="O77" s="123">
        <v>53579.966748829684</v>
      </c>
      <c r="P77" s="123">
        <v>62664.640081033307</v>
      </c>
      <c r="Q77" s="120">
        <v>15548.063552177517</v>
      </c>
      <c r="R77" s="123">
        <v>69128.030301007195</v>
      </c>
      <c r="S77" s="123">
        <v>78212.703633210826</v>
      </c>
      <c r="U77" s="7" t="s">
        <v>7314</v>
      </c>
    </row>
    <row r="78" spans="1:21" s="7" customFormat="1" ht="16.5" thickBot="1">
      <c r="A78" s="259" t="s">
        <v>10</v>
      </c>
      <c r="B78" s="263">
        <f t="shared" si="3"/>
        <v>150</v>
      </c>
      <c r="C78" s="263" t="s">
        <v>3</v>
      </c>
      <c r="D78" s="263">
        <f t="shared" si="4"/>
        <v>200</v>
      </c>
      <c r="E78" s="263" t="s">
        <v>3</v>
      </c>
      <c r="F78" s="261">
        <f t="shared" si="5"/>
        <v>1650</v>
      </c>
      <c r="G78" s="263" t="s">
        <v>3</v>
      </c>
      <c r="H78" s="260">
        <v>2</v>
      </c>
      <c r="I78" s="262" t="s">
        <v>581</v>
      </c>
      <c r="J78" s="112">
        <v>150</v>
      </c>
      <c r="K78" s="75">
        <v>200</v>
      </c>
      <c r="L78" s="75">
        <v>1650</v>
      </c>
      <c r="M78" s="202">
        <v>17.330761068262632</v>
      </c>
      <c r="N78" s="87">
        <v>3406.9183200000002</v>
      </c>
      <c r="O78" s="123">
        <v>56833.473986537552</v>
      </c>
      <c r="P78" s="123">
        <v>66204.69250353743</v>
      </c>
      <c r="Q78" s="120">
        <v>16137.063968688792</v>
      </c>
      <c r="R78" s="123">
        <v>72970.537955226348</v>
      </c>
      <c r="S78" s="123">
        <v>82341.756472226218</v>
      </c>
      <c r="U78" s="7" t="s">
        <v>7315</v>
      </c>
    </row>
    <row r="79" spans="1:21" s="7" customFormat="1" ht="16.5" thickBot="1">
      <c r="A79" s="259" t="s">
        <v>10</v>
      </c>
      <c r="B79" s="263">
        <f t="shared" si="3"/>
        <v>150</v>
      </c>
      <c r="C79" s="263" t="s">
        <v>3</v>
      </c>
      <c r="D79" s="263">
        <f t="shared" si="4"/>
        <v>200</v>
      </c>
      <c r="E79" s="263" t="s">
        <v>3</v>
      </c>
      <c r="F79" s="261">
        <f t="shared" si="5"/>
        <v>1700</v>
      </c>
      <c r="G79" s="263" t="s">
        <v>3</v>
      </c>
      <c r="H79" s="260">
        <v>2</v>
      </c>
      <c r="I79" s="262" t="s">
        <v>581</v>
      </c>
      <c r="J79" s="112">
        <v>150</v>
      </c>
      <c r="K79" s="75">
        <v>200</v>
      </c>
      <c r="L79" s="75">
        <v>1700</v>
      </c>
      <c r="M79" s="202">
        <v>18.643180080293291</v>
      </c>
      <c r="N79" s="87">
        <v>3537.9536400000002</v>
      </c>
      <c r="O79" s="123">
        <v>57683.532238468826</v>
      </c>
      <c r="P79" s="123">
        <v>67287.05788063322</v>
      </c>
      <c r="Q79" s="120">
        <v>16495.48260741679</v>
      </c>
      <c r="R79" s="123">
        <v>74179.014845885613</v>
      </c>
      <c r="S79" s="123">
        <v>83782.540488050014</v>
      </c>
      <c r="U79" s="7" t="s">
        <v>7316</v>
      </c>
    </row>
    <row r="80" spans="1:21" s="7" customFormat="1" ht="16.5" thickBot="1">
      <c r="A80" s="259" t="s">
        <v>10</v>
      </c>
      <c r="B80" s="263">
        <f t="shared" si="3"/>
        <v>150</v>
      </c>
      <c r="C80" s="263" t="s">
        <v>3</v>
      </c>
      <c r="D80" s="263">
        <f t="shared" si="4"/>
        <v>200</v>
      </c>
      <c r="E80" s="263" t="s">
        <v>3</v>
      </c>
      <c r="F80" s="261">
        <f t="shared" si="5"/>
        <v>1750</v>
      </c>
      <c r="G80" s="263" t="s">
        <v>3</v>
      </c>
      <c r="H80" s="260">
        <v>2</v>
      </c>
      <c r="I80" s="262" t="s">
        <v>581</v>
      </c>
      <c r="J80" s="112">
        <v>150</v>
      </c>
      <c r="K80" s="75">
        <v>200</v>
      </c>
      <c r="L80" s="75">
        <v>1750</v>
      </c>
      <c r="M80" s="202">
        <v>19.11063909232395</v>
      </c>
      <c r="N80" s="87">
        <v>3668.9889599999997</v>
      </c>
      <c r="O80" s="123">
        <v>58457.436792425193</v>
      </c>
      <c r="P80" s="123">
        <v>68291.56711614602</v>
      </c>
      <c r="Q80" s="120">
        <v>17084.483023928067</v>
      </c>
      <c r="R80" s="123">
        <v>75541.919816353256</v>
      </c>
      <c r="S80" s="123">
        <v>85376.05014007409</v>
      </c>
      <c r="U80" s="7" t="s">
        <v>7317</v>
      </c>
    </row>
    <row r="81" spans="1:21" s="7" customFormat="1" ht="16.5" thickBot="1">
      <c r="A81" s="259" t="s">
        <v>10</v>
      </c>
      <c r="B81" s="263">
        <f t="shared" si="3"/>
        <v>150</v>
      </c>
      <c r="C81" s="263" t="s">
        <v>3</v>
      </c>
      <c r="D81" s="263">
        <f t="shared" si="4"/>
        <v>200</v>
      </c>
      <c r="E81" s="263" t="s">
        <v>3</v>
      </c>
      <c r="F81" s="261">
        <f t="shared" si="5"/>
        <v>1800</v>
      </c>
      <c r="G81" s="263" t="s">
        <v>3</v>
      </c>
      <c r="H81" s="260">
        <v>2</v>
      </c>
      <c r="I81" s="262" t="s">
        <v>581</v>
      </c>
      <c r="J81" s="112">
        <v>150</v>
      </c>
      <c r="K81" s="75">
        <v>200</v>
      </c>
      <c r="L81" s="75">
        <v>1800</v>
      </c>
      <c r="M81" s="202">
        <v>19.561058104354601</v>
      </c>
      <c r="N81" s="87">
        <v>3800.0242799999996</v>
      </c>
      <c r="O81" s="123">
        <v>59308.1917183392</v>
      </c>
      <c r="P81" s="123">
        <v>69374.676587890601</v>
      </c>
      <c r="Q81" s="120">
        <v>17442.90180304943</v>
      </c>
      <c r="R81" s="123">
        <v>76751.093521388626</v>
      </c>
      <c r="S81" s="123">
        <v>86817.578390940034</v>
      </c>
      <c r="U81" s="7" t="s">
        <v>7318</v>
      </c>
    </row>
    <row r="82" spans="1:21" s="7" customFormat="1" ht="16.5" thickBot="1">
      <c r="A82" s="259" t="s">
        <v>10</v>
      </c>
      <c r="B82" s="263">
        <f t="shared" si="3"/>
        <v>150</v>
      </c>
      <c r="C82" s="263" t="s">
        <v>3</v>
      </c>
      <c r="D82" s="263">
        <f t="shared" si="4"/>
        <v>200</v>
      </c>
      <c r="E82" s="263" t="s">
        <v>3</v>
      </c>
      <c r="F82" s="261">
        <f t="shared" si="5"/>
        <v>1850</v>
      </c>
      <c r="G82" s="263" t="s">
        <v>3</v>
      </c>
      <c r="H82" s="260">
        <v>2</v>
      </c>
      <c r="I82" s="262" t="s">
        <v>581</v>
      </c>
      <c r="J82" s="112">
        <v>150</v>
      </c>
      <c r="K82" s="75">
        <v>200</v>
      </c>
      <c r="L82" s="75">
        <v>1850</v>
      </c>
      <c r="M82" s="202">
        <v>20.02851711638526</v>
      </c>
      <c r="N82" s="87">
        <v>3931.0596</v>
      </c>
      <c r="O82" s="123">
        <v>60158.89843317253</v>
      </c>
      <c r="P82" s="123">
        <v>70457.750676296011</v>
      </c>
      <c r="Q82" s="120">
        <v>18031.902219560703</v>
      </c>
      <c r="R82" s="123">
        <v>78190.800652733233</v>
      </c>
      <c r="S82" s="123">
        <v>88489.652895856707</v>
      </c>
      <c r="U82" s="7" t="s">
        <v>7319</v>
      </c>
    </row>
    <row r="83" spans="1:21" s="7" customFormat="1" ht="16.5" thickBot="1">
      <c r="A83" s="259" t="s">
        <v>10</v>
      </c>
      <c r="B83" s="263">
        <f t="shared" si="3"/>
        <v>150</v>
      </c>
      <c r="C83" s="263" t="s">
        <v>3</v>
      </c>
      <c r="D83" s="263">
        <f t="shared" si="4"/>
        <v>200</v>
      </c>
      <c r="E83" s="263" t="s">
        <v>3</v>
      </c>
      <c r="F83" s="261">
        <f t="shared" si="5"/>
        <v>1900</v>
      </c>
      <c r="G83" s="263" t="s">
        <v>3</v>
      </c>
      <c r="H83" s="260">
        <v>2</v>
      </c>
      <c r="I83" s="262" t="s">
        <v>581</v>
      </c>
      <c r="J83" s="112">
        <v>150</v>
      </c>
      <c r="K83" s="75">
        <v>200</v>
      </c>
      <c r="L83" s="75">
        <v>1900</v>
      </c>
      <c r="M83" s="202">
        <v>20.478936128415917</v>
      </c>
      <c r="N83" s="87">
        <v>4062.0949200000005</v>
      </c>
      <c r="O83" s="123">
        <v>61184.659581964006</v>
      </c>
      <c r="P83" s="123">
        <v>71719.824899359257</v>
      </c>
      <c r="Q83" s="120">
        <v>18390.320858288702</v>
      </c>
      <c r="R83" s="123">
        <v>79574.980440252708</v>
      </c>
      <c r="S83" s="123">
        <v>90110.145757647959</v>
      </c>
      <c r="U83" s="7" t="s">
        <v>7320</v>
      </c>
    </row>
    <row r="84" spans="1:21" s="7" customFormat="1" ht="16.5" thickBot="1">
      <c r="A84" s="259" t="s">
        <v>10</v>
      </c>
      <c r="B84" s="263">
        <f t="shared" si="3"/>
        <v>150</v>
      </c>
      <c r="C84" s="263" t="s">
        <v>3</v>
      </c>
      <c r="D84" s="263">
        <f t="shared" si="4"/>
        <v>200</v>
      </c>
      <c r="E84" s="263" t="s">
        <v>3</v>
      </c>
      <c r="F84" s="261">
        <f t="shared" si="5"/>
        <v>1950</v>
      </c>
      <c r="G84" s="263" t="s">
        <v>3</v>
      </c>
      <c r="H84" s="260">
        <v>2</v>
      </c>
      <c r="I84" s="262" t="s">
        <v>581</v>
      </c>
      <c r="J84" s="112">
        <v>150</v>
      </c>
      <c r="K84" s="75">
        <v>200</v>
      </c>
      <c r="L84" s="75">
        <v>1950</v>
      </c>
      <c r="M84" s="202">
        <v>20.968605140446581</v>
      </c>
      <c r="N84" s="87">
        <v>4193.1302400000004</v>
      </c>
      <c r="O84" s="123">
        <v>62369.622072574173</v>
      </c>
      <c r="P84" s="123">
        <v>73144.679978337343</v>
      </c>
      <c r="Q84" s="120">
        <v>18748.739497016704</v>
      </c>
      <c r="R84" s="123">
        <v>81118.361569590881</v>
      </c>
      <c r="S84" s="123">
        <v>91893.419475354051</v>
      </c>
      <c r="U84" s="7" t="s">
        <v>7321</v>
      </c>
    </row>
    <row r="85" spans="1:21" s="7" customFormat="1" ht="16.5" thickBot="1">
      <c r="A85" s="259" t="s">
        <v>10</v>
      </c>
      <c r="B85" s="263">
        <f t="shared" si="3"/>
        <v>150</v>
      </c>
      <c r="C85" s="263" t="s">
        <v>3</v>
      </c>
      <c r="D85" s="263">
        <f t="shared" si="4"/>
        <v>200</v>
      </c>
      <c r="E85" s="263" t="s">
        <v>3</v>
      </c>
      <c r="F85" s="261">
        <f t="shared" si="5"/>
        <v>2000</v>
      </c>
      <c r="G85" s="263" t="s">
        <v>3</v>
      </c>
      <c r="H85" s="260">
        <v>2</v>
      </c>
      <c r="I85" s="262" t="s">
        <v>581</v>
      </c>
      <c r="J85" s="112">
        <v>150</v>
      </c>
      <c r="K85" s="75">
        <v>200</v>
      </c>
      <c r="L85" s="75">
        <v>2000</v>
      </c>
      <c r="M85" s="202">
        <v>21.527626552477237</v>
      </c>
      <c r="N85" s="87">
        <v>4324.1655599999995</v>
      </c>
      <c r="O85" s="123">
        <v>63426.610755534166</v>
      </c>
      <c r="P85" s="123">
        <v>74649.598936469265</v>
      </c>
      <c r="Q85" s="120">
        <v>19337.740053921341</v>
      </c>
      <c r="R85" s="123">
        <v>82764.3508094555</v>
      </c>
      <c r="S85" s="123">
        <v>93987.338990390606</v>
      </c>
      <c r="U85" s="7" t="s">
        <v>7322</v>
      </c>
    </row>
    <row r="86" spans="1:21" s="7" customFormat="1" ht="16.5" thickBot="1">
      <c r="A86" s="259" t="s">
        <v>10</v>
      </c>
      <c r="B86" s="263">
        <f t="shared" si="3"/>
        <v>150</v>
      </c>
      <c r="C86" s="263" t="s">
        <v>3</v>
      </c>
      <c r="D86" s="263">
        <f t="shared" si="4"/>
        <v>200</v>
      </c>
      <c r="E86" s="263" t="s">
        <v>3</v>
      </c>
      <c r="F86" s="261">
        <f t="shared" si="5"/>
        <v>2050</v>
      </c>
      <c r="G86" s="263" t="s">
        <v>3</v>
      </c>
      <c r="H86" s="260">
        <v>2</v>
      </c>
      <c r="I86" s="262" t="s">
        <v>581</v>
      </c>
      <c r="J86" s="112">
        <v>150</v>
      </c>
      <c r="K86" s="75">
        <v>200</v>
      </c>
      <c r="L86" s="75">
        <v>2050</v>
      </c>
      <c r="M86" s="202">
        <v>22.840045564507896</v>
      </c>
      <c r="N86" s="87">
        <v>4455.2008799999994</v>
      </c>
      <c r="O86" s="123">
        <v>66421.287737186824</v>
      </c>
      <c r="P86" s="123">
        <v>77924.803017888451</v>
      </c>
      <c r="Q86" s="120">
        <v>19696.15869264934</v>
      </c>
      <c r="R86" s="123">
        <v>86117.446429836156</v>
      </c>
      <c r="S86" s="123">
        <v>97620.961710537784</v>
      </c>
      <c r="U86" s="7" t="s">
        <v>7323</v>
      </c>
    </row>
    <row r="87" spans="1:21" s="7" customFormat="1" ht="16.5" thickBot="1">
      <c r="A87" s="259" t="s">
        <v>10</v>
      </c>
      <c r="B87" s="260">
        <f t="shared" si="3"/>
        <v>150</v>
      </c>
      <c r="C87" s="260" t="s">
        <v>3</v>
      </c>
      <c r="D87" s="260">
        <f t="shared" si="4"/>
        <v>200</v>
      </c>
      <c r="E87" s="260" t="s">
        <v>3</v>
      </c>
      <c r="F87" s="261">
        <f t="shared" si="5"/>
        <v>2100</v>
      </c>
      <c r="G87" s="260" t="s">
        <v>3</v>
      </c>
      <c r="H87" s="260">
        <v>2</v>
      </c>
      <c r="I87" s="262" t="s">
        <v>581</v>
      </c>
      <c r="J87" s="112">
        <v>150</v>
      </c>
      <c r="K87" s="75">
        <v>200</v>
      </c>
      <c r="L87" s="75">
        <v>2100</v>
      </c>
      <c r="M87" s="202">
        <v>23.307504576538548</v>
      </c>
      <c r="N87" s="87">
        <v>4586.2362000000003</v>
      </c>
      <c r="O87" s="123">
        <v>67333.924449181402</v>
      </c>
      <c r="P87" s="123">
        <v>79071.196309816412</v>
      </c>
      <c r="Q87" s="120">
        <v>20285.159109160617</v>
      </c>
      <c r="R87" s="123">
        <v>87619.083558342012</v>
      </c>
      <c r="S87" s="123">
        <v>99356.355418977037</v>
      </c>
      <c r="U87" s="7" t="s">
        <v>7324</v>
      </c>
    </row>
    <row r="88" spans="1:21" s="7" customFormat="1" ht="16.5" thickBot="1">
      <c r="A88" s="259" t="s">
        <v>10</v>
      </c>
      <c r="B88" s="263">
        <f t="shared" si="3"/>
        <v>150</v>
      </c>
      <c r="C88" s="263" t="s">
        <v>3</v>
      </c>
      <c r="D88" s="263">
        <f t="shared" si="4"/>
        <v>200</v>
      </c>
      <c r="E88" s="263" t="s">
        <v>3</v>
      </c>
      <c r="F88" s="261">
        <f t="shared" si="5"/>
        <v>2150</v>
      </c>
      <c r="G88" s="263" t="s">
        <v>3</v>
      </c>
      <c r="H88" s="260">
        <v>2</v>
      </c>
      <c r="I88" s="262" t="s">
        <v>581</v>
      </c>
      <c r="J88" s="112">
        <v>150</v>
      </c>
      <c r="K88" s="75">
        <v>200</v>
      </c>
      <c r="L88" s="75">
        <v>2150</v>
      </c>
      <c r="M88" s="202">
        <v>23.757923588569213</v>
      </c>
      <c r="N88" s="87">
        <v>4717.2715200000002</v>
      </c>
      <c r="O88" s="123">
        <v>68394.17835884841</v>
      </c>
      <c r="P88" s="123">
        <v>80368.531923547984</v>
      </c>
      <c r="Q88" s="120">
        <v>20643.577747888616</v>
      </c>
      <c r="R88" s="123">
        <v>89037.756106737026</v>
      </c>
      <c r="S88" s="123">
        <v>101012.1096714366</v>
      </c>
      <c r="U88" s="7" t="s">
        <v>7325</v>
      </c>
    </row>
    <row r="89" spans="1:21" s="7" customFormat="1" ht="16.5" thickBot="1">
      <c r="A89" s="259" t="s">
        <v>10</v>
      </c>
      <c r="B89" s="263">
        <f t="shared" si="3"/>
        <v>150</v>
      </c>
      <c r="C89" s="263" t="s">
        <v>3</v>
      </c>
      <c r="D89" s="263">
        <f t="shared" si="4"/>
        <v>200</v>
      </c>
      <c r="E89" s="263" t="s">
        <v>3</v>
      </c>
      <c r="F89" s="261">
        <f t="shared" si="5"/>
        <v>2200</v>
      </c>
      <c r="G89" s="263" t="s">
        <v>3</v>
      </c>
      <c r="H89" s="260">
        <v>2</v>
      </c>
      <c r="I89" s="262" t="s">
        <v>581</v>
      </c>
      <c r="J89" s="112">
        <v>150</v>
      </c>
      <c r="K89" s="75">
        <v>200</v>
      </c>
      <c r="L89" s="75">
        <v>2200</v>
      </c>
      <c r="M89" s="202">
        <v>24.225382600599872</v>
      </c>
      <c r="N89" s="87">
        <v>4848.3068400000002</v>
      </c>
      <c r="O89" s="123">
        <v>69454.384296103453</v>
      </c>
      <c r="P89" s="123">
        <v>81665.821447542578</v>
      </c>
      <c r="Q89" s="120">
        <v>21232.578164399893</v>
      </c>
      <c r="R89" s="123">
        <v>90686.962460503346</v>
      </c>
      <c r="S89" s="123">
        <v>102898.39961194247</v>
      </c>
      <c r="U89" s="7" t="s">
        <v>7326</v>
      </c>
    </row>
    <row r="90" spans="1:21" s="7" customFormat="1" ht="16.5" thickBot="1">
      <c r="A90" s="259" t="s">
        <v>10</v>
      </c>
      <c r="B90" s="263">
        <f t="shared" si="3"/>
        <v>150</v>
      </c>
      <c r="C90" s="263" t="s">
        <v>3</v>
      </c>
      <c r="D90" s="263">
        <f t="shared" si="4"/>
        <v>200</v>
      </c>
      <c r="E90" s="263" t="s">
        <v>3</v>
      </c>
      <c r="F90" s="261">
        <f t="shared" si="5"/>
        <v>2250</v>
      </c>
      <c r="G90" s="263" t="s">
        <v>3</v>
      </c>
      <c r="H90" s="260">
        <v>2</v>
      </c>
      <c r="I90" s="262" t="s">
        <v>581</v>
      </c>
      <c r="J90" s="112">
        <v>150</v>
      </c>
      <c r="K90" s="75">
        <v>200</v>
      </c>
      <c r="L90" s="75">
        <v>2250</v>
      </c>
      <c r="M90" s="202">
        <v>24.675801612630529</v>
      </c>
      <c r="N90" s="87">
        <v>4979.3421600000001</v>
      </c>
      <c r="O90" s="123">
        <v>70834.201296706233</v>
      </c>
      <c r="P90" s="123">
        <v>83289.900263273521</v>
      </c>
      <c r="Q90" s="120">
        <v>21590.996943521255</v>
      </c>
      <c r="R90" s="123">
        <v>92425.198240227488</v>
      </c>
      <c r="S90" s="123">
        <v>104880.89720679478</v>
      </c>
      <c r="U90" s="7" t="s">
        <v>7327</v>
      </c>
    </row>
    <row r="91" spans="1:21" s="7" customFormat="1" ht="16.5" thickBot="1">
      <c r="A91" s="259" t="s">
        <v>10</v>
      </c>
      <c r="B91" s="263">
        <f t="shared" si="3"/>
        <v>150</v>
      </c>
      <c r="C91" s="263" t="s">
        <v>3</v>
      </c>
      <c r="D91" s="263">
        <f t="shared" si="4"/>
        <v>200</v>
      </c>
      <c r="E91" s="263" t="s">
        <v>3</v>
      </c>
      <c r="F91" s="261">
        <f t="shared" si="5"/>
        <v>2300</v>
      </c>
      <c r="G91" s="263" t="s">
        <v>3</v>
      </c>
      <c r="H91" s="260">
        <v>2</v>
      </c>
      <c r="I91" s="262" t="s">
        <v>581</v>
      </c>
      <c r="J91" s="112">
        <v>150</v>
      </c>
      <c r="K91" s="75">
        <v>200</v>
      </c>
      <c r="L91" s="75">
        <v>2300</v>
      </c>
      <c r="M91" s="202">
        <v>25.126220624661187</v>
      </c>
      <c r="N91" s="87">
        <v>5110.3774799999992</v>
      </c>
      <c r="O91" s="123">
        <v>71651.501670660407</v>
      </c>
      <c r="P91" s="123">
        <v>84338.835174294742</v>
      </c>
      <c r="Q91" s="120">
        <v>21949.415582249254</v>
      </c>
      <c r="R91" s="123">
        <v>93600.917252909654</v>
      </c>
      <c r="S91" s="123">
        <v>106288.250756544</v>
      </c>
      <c r="U91" s="7" t="s">
        <v>7328</v>
      </c>
    </row>
    <row r="92" spans="1:21" s="7" customFormat="1" ht="16.5" thickBot="1">
      <c r="A92" s="259" t="s">
        <v>10</v>
      </c>
      <c r="B92" s="263">
        <f t="shared" si="3"/>
        <v>150</v>
      </c>
      <c r="C92" s="263" t="s">
        <v>3</v>
      </c>
      <c r="D92" s="263">
        <f t="shared" si="4"/>
        <v>200</v>
      </c>
      <c r="E92" s="263" t="s">
        <v>3</v>
      </c>
      <c r="F92" s="261">
        <f t="shared" si="5"/>
        <v>2350</v>
      </c>
      <c r="G92" s="263" t="s">
        <v>3</v>
      </c>
      <c r="H92" s="260">
        <v>2</v>
      </c>
      <c r="I92" s="262" t="s">
        <v>581</v>
      </c>
      <c r="J92" s="112">
        <v>150</v>
      </c>
      <c r="K92" s="75">
        <v>200</v>
      </c>
      <c r="L92" s="75">
        <v>2350</v>
      </c>
      <c r="M92" s="202">
        <v>25.593679636691846</v>
      </c>
      <c r="N92" s="87">
        <v>5241.4128000000001</v>
      </c>
      <c r="O92" s="123">
        <v>72468.753952868254</v>
      </c>
      <c r="P92" s="123">
        <v>85387.733265752715</v>
      </c>
      <c r="Q92" s="120">
        <v>22538.415998760531</v>
      </c>
      <c r="R92" s="123">
        <v>95007.169951628777</v>
      </c>
      <c r="S92" s="123">
        <v>107926.14926451325</v>
      </c>
      <c r="U92" s="7" t="s">
        <v>7329</v>
      </c>
    </row>
    <row r="93" spans="1:21" s="7" customFormat="1" ht="16.5" thickBot="1">
      <c r="A93" s="259" t="s">
        <v>10</v>
      </c>
      <c r="B93" s="263">
        <f t="shared" si="3"/>
        <v>150</v>
      </c>
      <c r="C93" s="263" t="s">
        <v>3</v>
      </c>
      <c r="D93" s="263">
        <f t="shared" si="4"/>
        <v>200</v>
      </c>
      <c r="E93" s="263" t="s">
        <v>3</v>
      </c>
      <c r="F93" s="261">
        <f t="shared" si="5"/>
        <v>2400</v>
      </c>
      <c r="G93" s="263" t="s">
        <v>3</v>
      </c>
      <c r="H93" s="260">
        <v>2</v>
      </c>
      <c r="I93" s="262" t="s">
        <v>581</v>
      </c>
      <c r="J93" s="112">
        <v>150</v>
      </c>
      <c r="K93" s="75">
        <v>200</v>
      </c>
      <c r="L93" s="75">
        <v>2400</v>
      </c>
      <c r="M93" s="202">
        <v>26.0440986487225</v>
      </c>
      <c r="N93" s="87">
        <v>5372.44812</v>
      </c>
      <c r="O93" s="123">
        <v>73285.958262664135</v>
      </c>
      <c r="P93" s="123">
        <v>86436.594145949959</v>
      </c>
      <c r="Q93" s="120">
        <v>22896.83463748853</v>
      </c>
      <c r="R93" s="123">
        <v>96182.792900152665</v>
      </c>
      <c r="S93" s="123">
        <v>109333.42878343849</v>
      </c>
      <c r="U93" s="7" t="s">
        <v>7330</v>
      </c>
    </row>
    <row r="94" spans="1:21" ht="16.5" thickBot="1">
      <c r="A94" s="259" t="s">
        <v>10</v>
      </c>
      <c r="B94" s="263">
        <f t="shared" si="3"/>
        <v>150</v>
      </c>
      <c r="C94" s="263" t="s">
        <v>3</v>
      </c>
      <c r="D94" s="263">
        <f t="shared" si="4"/>
        <v>200</v>
      </c>
      <c r="E94" s="263" t="s">
        <v>3</v>
      </c>
      <c r="F94" s="261">
        <f t="shared" si="5"/>
        <v>2450</v>
      </c>
      <c r="G94" s="263" t="s">
        <v>3</v>
      </c>
      <c r="H94" s="260">
        <v>2</v>
      </c>
      <c r="I94" s="262" t="s">
        <v>581</v>
      </c>
      <c r="J94" s="112">
        <v>150</v>
      </c>
      <c r="K94" s="75">
        <v>200</v>
      </c>
      <c r="L94" s="75">
        <v>2450</v>
      </c>
      <c r="M94" s="202">
        <v>27.22764224751316</v>
      </c>
      <c r="N94" s="87">
        <v>5503.48344</v>
      </c>
      <c r="O94" s="123">
        <v>74535.336843118377</v>
      </c>
      <c r="P94" s="123">
        <v>88002.803575782571</v>
      </c>
      <c r="Q94" s="120">
        <v>23485.83519439317</v>
      </c>
      <c r="R94" s="123">
        <v>98021.17203751154</v>
      </c>
      <c r="S94" s="123">
        <v>111488.63877017575</v>
      </c>
      <c r="U94" s="7" t="s">
        <v>7331</v>
      </c>
    </row>
    <row r="95" spans="1:21" ht="16.5" thickBot="1">
      <c r="A95" s="259" t="s">
        <v>10</v>
      </c>
      <c r="B95" s="263">
        <f t="shared" si="3"/>
        <v>150</v>
      </c>
      <c r="C95" s="263" t="s">
        <v>3</v>
      </c>
      <c r="D95" s="263">
        <f t="shared" si="4"/>
        <v>200</v>
      </c>
      <c r="E95" s="263" t="s">
        <v>3</v>
      </c>
      <c r="F95" s="261">
        <f t="shared" si="5"/>
        <v>2500</v>
      </c>
      <c r="G95" s="263" t="s">
        <v>3</v>
      </c>
      <c r="H95" s="260">
        <v>2</v>
      </c>
      <c r="I95" s="262" t="s">
        <v>581</v>
      </c>
      <c r="J95" s="112">
        <v>150</v>
      </c>
      <c r="K95" s="75">
        <v>200</v>
      </c>
      <c r="L95" s="75">
        <v>2500</v>
      </c>
      <c r="M95" s="202">
        <v>27.678061259543817</v>
      </c>
      <c r="N95" s="87">
        <v>5634.5187599999999</v>
      </c>
      <c r="O95" s="123">
        <v>75352.444850087253</v>
      </c>
      <c r="P95" s="123">
        <v>89051.6148409655</v>
      </c>
      <c r="Q95" s="120">
        <v>23844.253833121165</v>
      </c>
      <c r="R95" s="123">
        <v>99196.698683208422</v>
      </c>
      <c r="S95" s="123">
        <v>112895.86867408667</v>
      </c>
      <c r="U95" s="7" t="s">
        <v>7332</v>
      </c>
    </row>
    <row r="96" spans="1:21" ht="16.5" thickBot="1">
      <c r="A96" s="259" t="s">
        <v>10</v>
      </c>
      <c r="B96" s="263">
        <f t="shared" si="3"/>
        <v>150</v>
      </c>
      <c r="C96" s="263" t="s">
        <v>3</v>
      </c>
      <c r="D96" s="263">
        <f t="shared" si="4"/>
        <v>200</v>
      </c>
      <c r="E96" s="263" t="s">
        <v>3</v>
      </c>
      <c r="F96" s="261">
        <f t="shared" si="5"/>
        <v>2550</v>
      </c>
      <c r="G96" s="263" t="s">
        <v>3</v>
      </c>
      <c r="H96" s="260">
        <v>2</v>
      </c>
      <c r="I96" s="262" t="s">
        <v>581</v>
      </c>
      <c r="J96" s="112">
        <v>150</v>
      </c>
      <c r="K96" s="75">
        <v>200</v>
      </c>
      <c r="L96" s="75">
        <v>2550</v>
      </c>
      <c r="M96" s="202">
        <v>28.145520271574476</v>
      </c>
      <c r="N96" s="87">
        <v>5765.5540799999999</v>
      </c>
      <c r="O96" s="123">
        <v>79463.840582969118</v>
      </c>
      <c r="P96" s="123">
        <v>93468.335450103696</v>
      </c>
      <c r="Q96" s="120">
        <v>24433.254249632446</v>
      </c>
      <c r="R96" s="123">
        <v>103897.09483260156</v>
      </c>
      <c r="S96" s="123">
        <v>117901.58969973614</v>
      </c>
      <c r="U96" s="7" t="s">
        <v>7333</v>
      </c>
    </row>
    <row r="97" spans="1:21" ht="16.5" thickBot="1">
      <c r="A97" s="259" t="s">
        <v>10</v>
      </c>
      <c r="B97" s="260">
        <f t="shared" si="3"/>
        <v>150</v>
      </c>
      <c r="C97" s="260" t="s">
        <v>3</v>
      </c>
      <c r="D97" s="260">
        <f t="shared" si="4"/>
        <v>200</v>
      </c>
      <c r="E97" s="260" t="s">
        <v>3</v>
      </c>
      <c r="F97" s="261">
        <f t="shared" si="5"/>
        <v>2600</v>
      </c>
      <c r="G97" s="260" t="s">
        <v>3</v>
      </c>
      <c r="H97" s="260">
        <v>2</v>
      </c>
      <c r="I97" s="262" t="s">
        <v>581</v>
      </c>
      <c r="J97" s="112">
        <v>150</v>
      </c>
      <c r="K97" s="75">
        <v>200</v>
      </c>
      <c r="L97" s="75">
        <v>2600</v>
      </c>
      <c r="M97" s="202">
        <v>28.595939283605141</v>
      </c>
      <c r="N97" s="87">
        <v>5896.5893999999998</v>
      </c>
      <c r="O97" s="123">
        <v>80551.455951604468</v>
      </c>
      <c r="P97" s="123">
        <v>94793.658110011151</v>
      </c>
      <c r="Q97" s="120">
        <v>24791.672888360441</v>
      </c>
      <c r="R97" s="123">
        <v>105343.12883996491</v>
      </c>
      <c r="S97" s="123">
        <v>119585.33099837159</v>
      </c>
      <c r="U97" s="7" t="s">
        <v>7334</v>
      </c>
    </row>
    <row r="98" spans="1:21" ht="16.5" thickBot="1">
      <c r="A98" s="259" t="s">
        <v>10</v>
      </c>
      <c r="B98" s="263">
        <f t="shared" si="3"/>
        <v>150</v>
      </c>
      <c r="C98" s="263" t="s">
        <v>3</v>
      </c>
      <c r="D98" s="263">
        <f t="shared" si="4"/>
        <v>200</v>
      </c>
      <c r="E98" s="263" t="s">
        <v>3</v>
      </c>
      <c r="F98" s="261">
        <f t="shared" si="5"/>
        <v>2650</v>
      </c>
      <c r="G98" s="263" t="s">
        <v>3</v>
      </c>
      <c r="H98" s="260">
        <v>2</v>
      </c>
      <c r="I98" s="262" t="s">
        <v>581</v>
      </c>
      <c r="J98" s="112">
        <v>150</v>
      </c>
      <c r="K98" s="75">
        <v>200</v>
      </c>
      <c r="L98" s="75">
        <v>2650</v>
      </c>
      <c r="M98" s="202">
        <v>29.063398295635796</v>
      </c>
      <c r="N98" s="87">
        <v>6027.6247199999998</v>
      </c>
      <c r="O98" s="123">
        <v>81208.451498930372</v>
      </c>
      <c r="P98" s="123">
        <v>95678.716326130452</v>
      </c>
      <c r="Q98" s="120">
        <v>25380.673304871718</v>
      </c>
      <c r="R98" s="123">
        <v>106589.12480380209</v>
      </c>
      <c r="S98" s="123">
        <v>121059.38963100217</v>
      </c>
      <c r="U98" s="7" t="s">
        <v>7335</v>
      </c>
    </row>
    <row r="99" spans="1:21" ht="16.5" thickBot="1">
      <c r="A99" s="259" t="s">
        <v>10</v>
      </c>
      <c r="B99" s="263">
        <f t="shared" si="3"/>
        <v>150</v>
      </c>
      <c r="C99" s="263" t="s">
        <v>3</v>
      </c>
      <c r="D99" s="263">
        <f t="shared" si="4"/>
        <v>200</v>
      </c>
      <c r="E99" s="263" t="s">
        <v>3</v>
      </c>
      <c r="F99" s="261">
        <f t="shared" si="5"/>
        <v>2700</v>
      </c>
      <c r="G99" s="263" t="s">
        <v>3</v>
      </c>
      <c r="H99" s="260">
        <v>2</v>
      </c>
      <c r="I99" s="262" t="s">
        <v>581</v>
      </c>
      <c r="J99" s="112">
        <v>150</v>
      </c>
      <c r="K99" s="75">
        <v>200</v>
      </c>
      <c r="L99" s="75">
        <v>2700</v>
      </c>
      <c r="M99" s="202">
        <v>29.553067307666453</v>
      </c>
      <c r="N99" s="87">
        <v>6158.6600399999998</v>
      </c>
      <c r="O99" s="123">
        <v>81900.778489000688</v>
      </c>
      <c r="P99" s="123">
        <v>96599.915293763799</v>
      </c>
      <c r="Q99" s="120">
        <v>25739.09208399308</v>
      </c>
      <c r="R99" s="123">
        <v>107639.87057299376</v>
      </c>
      <c r="S99" s="123">
        <v>122339.00737775688</v>
      </c>
      <c r="U99" s="7" t="s">
        <v>7336</v>
      </c>
    </row>
    <row r="100" spans="1:21" ht="16.5" thickBot="1">
      <c r="A100" s="259" t="s">
        <v>10</v>
      </c>
      <c r="B100" s="263">
        <f t="shared" si="3"/>
        <v>150</v>
      </c>
      <c r="C100" s="263" t="s">
        <v>3</v>
      </c>
      <c r="D100" s="263">
        <f t="shared" si="4"/>
        <v>200</v>
      </c>
      <c r="E100" s="263" t="s">
        <v>3</v>
      </c>
      <c r="F100" s="261">
        <f t="shared" si="5"/>
        <v>2750</v>
      </c>
      <c r="G100" s="263" t="s">
        <v>3</v>
      </c>
      <c r="H100" s="260">
        <v>2</v>
      </c>
      <c r="I100" s="262" t="s">
        <v>581</v>
      </c>
      <c r="J100" s="112">
        <v>150</v>
      </c>
      <c r="K100" s="75">
        <v>200</v>
      </c>
      <c r="L100" s="75">
        <v>2750</v>
      </c>
      <c r="M100" s="202">
        <v>30.00348631969711</v>
      </c>
      <c r="N100" s="87">
        <v>6289.6953599999997</v>
      </c>
      <c r="O100" s="123">
        <v>82639.431912235654</v>
      </c>
      <c r="P100" s="123">
        <v>97568.492160822672</v>
      </c>
      <c r="Q100" s="120">
        <v>26097.510722721079</v>
      </c>
      <c r="R100" s="123">
        <v>108736.94263495674</v>
      </c>
      <c r="S100" s="123">
        <v>123666.00288354376</v>
      </c>
      <c r="U100" s="7" t="s">
        <v>7337</v>
      </c>
    </row>
    <row r="101" spans="1:21" ht="16.5" thickBot="1">
      <c r="A101" s="259" t="s">
        <v>10</v>
      </c>
      <c r="B101" s="263">
        <f t="shared" si="3"/>
        <v>150</v>
      </c>
      <c r="C101" s="263" t="s">
        <v>3</v>
      </c>
      <c r="D101" s="263">
        <f t="shared" si="4"/>
        <v>200</v>
      </c>
      <c r="E101" s="263" t="s">
        <v>3</v>
      </c>
      <c r="F101" s="261">
        <f t="shared" si="5"/>
        <v>2800</v>
      </c>
      <c r="G101" s="263" t="s">
        <v>3</v>
      </c>
      <c r="H101" s="260">
        <v>2</v>
      </c>
      <c r="I101" s="262" t="s">
        <v>581</v>
      </c>
      <c r="J101" s="112">
        <v>150</v>
      </c>
      <c r="K101" s="75">
        <v>200</v>
      </c>
      <c r="L101" s="75">
        <v>2800</v>
      </c>
      <c r="M101" s="202">
        <v>30.470945331727769</v>
      </c>
      <c r="N101" s="87">
        <v>6420.7306800000006</v>
      </c>
      <c r="O101" s="123">
        <v>83295.193064961117</v>
      </c>
      <c r="P101" s="123">
        <v>98452.341598514438</v>
      </c>
      <c r="Q101" s="120">
        <v>26686.511139232356</v>
      </c>
      <c r="R101" s="123">
        <v>109981.70420419348</v>
      </c>
      <c r="S101" s="123">
        <v>125138.8527377468</v>
      </c>
      <c r="U101" s="7" t="s">
        <v>7338</v>
      </c>
    </row>
    <row r="102" spans="1:21" ht="16.5" thickBot="1">
      <c r="A102" s="259" t="s">
        <v>10</v>
      </c>
      <c r="B102" s="263">
        <f t="shared" si="3"/>
        <v>150</v>
      </c>
      <c r="C102" s="263" t="s">
        <v>3</v>
      </c>
      <c r="D102" s="263">
        <f t="shared" si="4"/>
        <v>200</v>
      </c>
      <c r="E102" s="263" t="s">
        <v>3</v>
      </c>
      <c r="F102" s="261">
        <f t="shared" si="5"/>
        <v>2850</v>
      </c>
      <c r="G102" s="263" t="s">
        <v>3</v>
      </c>
      <c r="H102" s="260">
        <v>2</v>
      </c>
      <c r="I102" s="262" t="s">
        <v>581</v>
      </c>
      <c r="J102" s="112">
        <v>150</v>
      </c>
      <c r="K102" s="75">
        <v>200</v>
      </c>
      <c r="L102" s="75">
        <v>2850</v>
      </c>
      <c r="M102" s="202">
        <v>31.783364343758425</v>
      </c>
      <c r="N102" s="87">
        <v>6551.7659999999996</v>
      </c>
      <c r="O102" s="123">
        <v>83950.9062452746</v>
      </c>
      <c r="P102" s="123">
        <v>99336.15996153935</v>
      </c>
      <c r="Q102" s="120">
        <v>27044.929777960355</v>
      </c>
      <c r="R102" s="123">
        <v>110995.83602323495</v>
      </c>
      <c r="S102" s="123">
        <v>126381.0897394997</v>
      </c>
      <c r="U102" s="7" t="s">
        <v>7339</v>
      </c>
    </row>
    <row r="103" spans="1:21" ht="16.5" thickBot="1">
      <c r="A103" s="259" t="s">
        <v>10</v>
      </c>
      <c r="B103" s="263">
        <f t="shared" si="3"/>
        <v>150</v>
      </c>
      <c r="C103" s="263" t="s">
        <v>3</v>
      </c>
      <c r="D103" s="263">
        <f t="shared" si="4"/>
        <v>200</v>
      </c>
      <c r="E103" s="263" t="s">
        <v>3</v>
      </c>
      <c r="F103" s="261">
        <f t="shared" si="5"/>
        <v>2900</v>
      </c>
      <c r="G103" s="263" t="s">
        <v>3</v>
      </c>
      <c r="H103" s="260">
        <v>2</v>
      </c>
      <c r="I103" s="262" t="s">
        <v>581</v>
      </c>
      <c r="J103" s="112">
        <v>150</v>
      </c>
      <c r="K103" s="75">
        <v>200</v>
      </c>
      <c r="L103" s="75">
        <v>2900</v>
      </c>
      <c r="M103" s="202">
        <v>32.25082335578908</v>
      </c>
      <c r="N103" s="87">
        <v>6682.8013199999996</v>
      </c>
      <c r="O103" s="123">
        <v>84606.571214507421</v>
      </c>
      <c r="P103" s="123">
        <v>100219.94672763412</v>
      </c>
      <c r="Q103" s="120">
        <v>27633.930194471632</v>
      </c>
      <c r="R103" s="123">
        <v>112240.50140897905</v>
      </c>
      <c r="S103" s="123">
        <v>127853.87692210574</v>
      </c>
      <c r="U103" s="7" t="s">
        <v>7340</v>
      </c>
    </row>
    <row r="104" spans="1:21" ht="16.5" thickBot="1">
      <c r="A104" s="259" t="s">
        <v>10</v>
      </c>
      <c r="B104" s="263">
        <f t="shared" si="3"/>
        <v>150</v>
      </c>
      <c r="C104" s="263" t="s">
        <v>3</v>
      </c>
      <c r="D104" s="263">
        <f t="shared" si="4"/>
        <v>200</v>
      </c>
      <c r="E104" s="263" t="s">
        <v>3</v>
      </c>
      <c r="F104" s="261">
        <f t="shared" si="5"/>
        <v>2950</v>
      </c>
      <c r="G104" s="263" t="s">
        <v>3</v>
      </c>
      <c r="H104" s="260">
        <v>2</v>
      </c>
      <c r="I104" s="262" t="s">
        <v>581</v>
      </c>
      <c r="J104" s="112">
        <v>150</v>
      </c>
      <c r="K104" s="75">
        <v>200</v>
      </c>
      <c r="L104" s="75">
        <v>2950</v>
      </c>
      <c r="M104" s="202">
        <v>32.701242367819738</v>
      </c>
      <c r="N104" s="87">
        <v>6813.8366400000004</v>
      </c>
      <c r="O104" s="123">
        <v>85262.188091993899</v>
      </c>
      <c r="P104" s="123">
        <v>101103.70176623289</v>
      </c>
      <c r="Q104" s="120">
        <v>27992.348973592994</v>
      </c>
      <c r="R104" s="123">
        <v>113254.53706558689</v>
      </c>
      <c r="S104" s="123">
        <v>129096.05073982588</v>
      </c>
      <c r="U104" s="7" t="s">
        <v>7341</v>
      </c>
    </row>
    <row r="105" spans="1:21" ht="16.5" thickBot="1">
      <c r="A105" s="264" t="s">
        <v>10</v>
      </c>
      <c r="B105" s="265">
        <f t="shared" si="3"/>
        <v>150</v>
      </c>
      <c r="C105" s="265" t="s">
        <v>3</v>
      </c>
      <c r="D105" s="265">
        <f t="shared" si="4"/>
        <v>200</v>
      </c>
      <c r="E105" s="265" t="s">
        <v>3</v>
      </c>
      <c r="F105" s="266">
        <f t="shared" si="5"/>
        <v>3000</v>
      </c>
      <c r="G105" s="265" t="s">
        <v>3</v>
      </c>
      <c r="H105" s="267">
        <v>2</v>
      </c>
      <c r="I105" s="262" t="s">
        <v>581</v>
      </c>
      <c r="J105" s="346">
        <v>150</v>
      </c>
      <c r="K105" s="322">
        <v>200</v>
      </c>
      <c r="L105" s="322">
        <v>3000</v>
      </c>
      <c r="M105" s="305">
        <v>33.168701379850397</v>
      </c>
      <c r="N105" s="306">
        <v>6944.8719599999995</v>
      </c>
      <c r="O105" s="307">
        <v>87634.593676516568</v>
      </c>
      <c r="P105" s="307">
        <v>103742.41911434499</v>
      </c>
      <c r="Q105" s="308">
        <v>28581.349390104271</v>
      </c>
      <c r="R105" s="307">
        <v>116215.94306662084</v>
      </c>
      <c r="S105" s="307">
        <v>132323.76850444925</v>
      </c>
      <c r="U105" s="7" t="s">
        <v>7342</v>
      </c>
    </row>
    <row r="106" spans="1:21" ht="22.5" customHeight="1" thickBot="1">
      <c r="A106" s="2580" t="s">
        <v>50</v>
      </c>
      <c r="B106" s="2581"/>
      <c r="C106" s="2581"/>
      <c r="D106" s="2581"/>
      <c r="E106" s="2581"/>
      <c r="F106" s="2581"/>
      <c r="G106" s="2581"/>
      <c r="H106" s="2581"/>
      <c r="I106" s="2581"/>
      <c r="J106" s="2581"/>
      <c r="K106" s="2581"/>
      <c r="L106" s="2581"/>
      <c r="M106" s="2581"/>
      <c r="N106" s="2581"/>
      <c r="O106" s="2581"/>
      <c r="P106" s="2581"/>
      <c r="Q106" s="2581"/>
      <c r="R106" s="2581"/>
      <c r="S106" s="2582"/>
      <c r="U106" s="7"/>
    </row>
    <row r="107" spans="1:21" ht="19.5" thickBot="1">
      <c r="A107" s="2627" t="s">
        <v>139</v>
      </c>
      <c r="B107" s="2628"/>
      <c r="C107" s="2628"/>
      <c r="D107" s="2628"/>
      <c r="E107" s="2628"/>
      <c r="F107" s="2628"/>
      <c r="G107" s="2628"/>
      <c r="H107" s="2628"/>
      <c r="I107" s="2628"/>
      <c r="J107" s="2628"/>
      <c r="K107" s="2628"/>
      <c r="L107" s="2628"/>
      <c r="M107" s="2628"/>
      <c r="N107" s="2628"/>
      <c r="O107" s="2628"/>
      <c r="P107" s="2628"/>
      <c r="Q107" s="2628"/>
      <c r="R107" s="2628"/>
      <c r="S107" s="2629"/>
      <c r="U107" s="7"/>
    </row>
    <row r="108" spans="1:21" ht="16.5" thickBot="1">
      <c r="A108" s="259" t="s">
        <v>10</v>
      </c>
      <c r="B108" s="260">
        <f t="shared" ref="B108:B154" si="6">J108</f>
        <v>150</v>
      </c>
      <c r="C108" s="260" t="s">
        <v>3</v>
      </c>
      <c r="D108" s="260">
        <f t="shared" ref="D108:D154" si="7">K108</f>
        <v>260</v>
      </c>
      <c r="E108" s="260" t="s">
        <v>3</v>
      </c>
      <c r="F108" s="261">
        <f t="shared" ref="F108:F154" si="8">L108</f>
        <v>700</v>
      </c>
      <c r="G108" s="260" t="s">
        <v>3</v>
      </c>
      <c r="H108" s="260">
        <v>4</v>
      </c>
      <c r="I108" s="262" t="s">
        <v>582</v>
      </c>
      <c r="J108" s="344">
        <v>150</v>
      </c>
      <c r="K108" s="327">
        <v>260</v>
      </c>
      <c r="L108" s="327">
        <v>700</v>
      </c>
      <c r="M108" s="301">
        <v>9.5902850647160527</v>
      </c>
      <c r="N108" s="302">
        <v>2053.8281399999996</v>
      </c>
      <c r="O108" s="303">
        <v>29473.56839354476</v>
      </c>
      <c r="P108" s="303">
        <v>35267.354784757503</v>
      </c>
      <c r="Q108" s="304">
        <v>8629.8383359722393</v>
      </c>
      <c r="R108" s="303">
        <v>38103.406729516995</v>
      </c>
      <c r="S108" s="303">
        <v>43897.193120729746</v>
      </c>
      <c r="U108" s="7" t="s">
        <v>7343</v>
      </c>
    </row>
    <row r="109" spans="1:21" ht="16.5" thickBot="1">
      <c r="A109" s="259" t="s">
        <v>10</v>
      </c>
      <c r="B109" s="263">
        <f t="shared" si="6"/>
        <v>150</v>
      </c>
      <c r="C109" s="263" t="s">
        <v>3</v>
      </c>
      <c r="D109" s="263">
        <f t="shared" si="7"/>
        <v>260</v>
      </c>
      <c r="E109" s="263" t="s">
        <v>3</v>
      </c>
      <c r="F109" s="261">
        <f t="shared" si="8"/>
        <v>750</v>
      </c>
      <c r="G109" s="263" t="s">
        <v>3</v>
      </c>
      <c r="H109" s="260">
        <v>4</v>
      </c>
      <c r="I109" s="262" t="s">
        <v>582</v>
      </c>
      <c r="J109" s="112">
        <v>150</v>
      </c>
      <c r="K109" s="75">
        <v>260</v>
      </c>
      <c r="L109" s="75">
        <v>750</v>
      </c>
      <c r="M109" s="202">
        <v>10.184395252356314</v>
      </c>
      <c r="N109" s="87">
        <v>2347.23216</v>
      </c>
      <c r="O109" s="123">
        <v>31284.647114969324</v>
      </c>
      <c r="P109" s="123">
        <v>37384.711034235035</v>
      </c>
      <c r="Q109" s="120">
        <v>9061.4489483391772</v>
      </c>
      <c r="R109" s="123">
        <v>40346.096063308505</v>
      </c>
      <c r="S109" s="123">
        <v>46446.159982574216</v>
      </c>
      <c r="U109" s="7" t="s">
        <v>7344</v>
      </c>
    </row>
    <row r="110" spans="1:21" ht="16.5" thickBot="1">
      <c r="A110" s="259" t="s">
        <v>10</v>
      </c>
      <c r="B110" s="263">
        <f t="shared" si="6"/>
        <v>150</v>
      </c>
      <c r="C110" s="263" t="s">
        <v>3</v>
      </c>
      <c r="D110" s="263">
        <f t="shared" si="7"/>
        <v>260</v>
      </c>
      <c r="E110" s="263" t="s">
        <v>3</v>
      </c>
      <c r="F110" s="261">
        <f t="shared" si="8"/>
        <v>800</v>
      </c>
      <c r="G110" s="263" t="s">
        <v>3</v>
      </c>
      <c r="H110" s="260">
        <v>4</v>
      </c>
      <c r="I110" s="262" t="s">
        <v>582</v>
      </c>
      <c r="J110" s="112">
        <v>150</v>
      </c>
      <c r="K110" s="75">
        <v>260</v>
      </c>
      <c r="L110" s="75">
        <v>800</v>
      </c>
      <c r="M110" s="202">
        <v>10.778505439996579</v>
      </c>
      <c r="N110" s="87">
        <v>2640.6361799999995</v>
      </c>
      <c r="O110" s="123">
        <v>33096.330742255232</v>
      </c>
      <c r="P110" s="123">
        <v>39502.686818562288</v>
      </c>
      <c r="Q110" s="120">
        <v>9493.059560706115</v>
      </c>
      <c r="R110" s="123">
        <v>42589.390302961343</v>
      </c>
      <c r="S110" s="123">
        <v>48995.746379268399</v>
      </c>
      <c r="U110" s="7" t="s">
        <v>7345</v>
      </c>
    </row>
    <row r="111" spans="1:21" ht="16.5" thickBot="1">
      <c r="A111" s="259" t="s">
        <v>10</v>
      </c>
      <c r="B111" s="263">
        <f t="shared" si="6"/>
        <v>150</v>
      </c>
      <c r="C111" s="263" t="s">
        <v>3</v>
      </c>
      <c r="D111" s="263">
        <f t="shared" si="7"/>
        <v>260</v>
      </c>
      <c r="E111" s="263" t="s">
        <v>3</v>
      </c>
      <c r="F111" s="261">
        <f t="shared" si="8"/>
        <v>850</v>
      </c>
      <c r="G111" s="263" t="s">
        <v>3</v>
      </c>
      <c r="H111" s="260">
        <v>4</v>
      </c>
      <c r="I111" s="262" t="s">
        <v>582</v>
      </c>
      <c r="J111" s="112">
        <v>150</v>
      </c>
      <c r="K111" s="75">
        <v>260</v>
      </c>
      <c r="L111" s="75">
        <v>850</v>
      </c>
      <c r="M111" s="202">
        <v>11.389655627636841</v>
      </c>
      <c r="N111" s="87">
        <v>2934.0401999999999</v>
      </c>
      <c r="O111" s="123">
        <v>34908.014250206783</v>
      </c>
      <c r="P111" s="123">
        <v>41620.662733455363</v>
      </c>
      <c r="Q111" s="120">
        <v>10155.251950856327</v>
      </c>
      <c r="R111" s="123">
        <v>45063.26620106311</v>
      </c>
      <c r="S111" s="123">
        <v>51775.914684311691</v>
      </c>
      <c r="U111" s="7" t="s">
        <v>7346</v>
      </c>
    </row>
    <row r="112" spans="1:21" ht="16.5" thickBot="1">
      <c r="A112" s="259" t="s">
        <v>10</v>
      </c>
      <c r="B112" s="263">
        <f t="shared" si="6"/>
        <v>150</v>
      </c>
      <c r="C112" s="263" t="s">
        <v>3</v>
      </c>
      <c r="D112" s="263">
        <f t="shared" si="7"/>
        <v>260</v>
      </c>
      <c r="E112" s="263" t="s">
        <v>3</v>
      </c>
      <c r="F112" s="261">
        <f t="shared" si="8"/>
        <v>900</v>
      </c>
      <c r="G112" s="263" t="s">
        <v>3</v>
      </c>
      <c r="H112" s="260">
        <v>4</v>
      </c>
      <c r="I112" s="262" t="s">
        <v>582</v>
      </c>
      <c r="J112" s="112">
        <v>150</v>
      </c>
      <c r="K112" s="75">
        <v>260</v>
      </c>
      <c r="L112" s="75">
        <v>900</v>
      </c>
      <c r="M112" s="202">
        <v>12.142765815277105</v>
      </c>
      <c r="N112" s="87">
        <v>3227.4442199999999</v>
      </c>
      <c r="O112" s="123">
        <v>36719.69787749269</v>
      </c>
      <c r="P112" s="123">
        <v>43738.638517782616</v>
      </c>
      <c r="Q112" s="120">
        <v>10586.862563223265</v>
      </c>
      <c r="R112" s="123">
        <v>47306.560440715955</v>
      </c>
      <c r="S112" s="123">
        <v>54325.501081005881</v>
      </c>
      <c r="U112" s="7" t="s">
        <v>7347</v>
      </c>
    </row>
    <row r="113" spans="1:21" ht="16.5" thickBot="1">
      <c r="A113" s="259" t="s">
        <v>10</v>
      </c>
      <c r="B113" s="263">
        <f t="shared" si="6"/>
        <v>150</v>
      </c>
      <c r="C113" s="263" t="s">
        <v>3</v>
      </c>
      <c r="D113" s="263">
        <f t="shared" si="7"/>
        <v>260</v>
      </c>
      <c r="E113" s="263" t="s">
        <v>3</v>
      </c>
      <c r="F113" s="261">
        <f t="shared" si="8"/>
        <v>950</v>
      </c>
      <c r="G113" s="263" t="s">
        <v>3</v>
      </c>
      <c r="H113" s="260">
        <v>4</v>
      </c>
      <c r="I113" s="262" t="s">
        <v>582</v>
      </c>
      <c r="J113" s="112">
        <v>150</v>
      </c>
      <c r="K113" s="75">
        <v>260</v>
      </c>
      <c r="L113" s="75">
        <v>950</v>
      </c>
      <c r="M113" s="202">
        <v>12.753916002917368</v>
      </c>
      <c r="N113" s="87">
        <v>3520.8482399999998</v>
      </c>
      <c r="O113" s="123">
        <v>38531.38150477859</v>
      </c>
      <c r="P113" s="123">
        <v>45856.614432675691</v>
      </c>
      <c r="Q113" s="120">
        <v>11249.054953373477</v>
      </c>
      <c r="R113" s="123">
        <v>49780.436458152064</v>
      </c>
      <c r="S113" s="123">
        <v>57105.669386049165</v>
      </c>
      <c r="U113" s="7" t="s">
        <v>7348</v>
      </c>
    </row>
    <row r="114" spans="1:21" ht="16.5" thickBot="1">
      <c r="A114" s="259" t="s">
        <v>10</v>
      </c>
      <c r="B114" s="263">
        <f t="shared" si="6"/>
        <v>150</v>
      </c>
      <c r="C114" s="263" t="s">
        <v>3</v>
      </c>
      <c r="D114" s="263">
        <f t="shared" si="7"/>
        <v>260</v>
      </c>
      <c r="E114" s="263" t="s">
        <v>3</v>
      </c>
      <c r="F114" s="261">
        <f t="shared" si="8"/>
        <v>1000</v>
      </c>
      <c r="G114" s="263" t="s">
        <v>3</v>
      </c>
      <c r="H114" s="260">
        <v>4</v>
      </c>
      <c r="I114" s="262" t="s">
        <v>582</v>
      </c>
      <c r="J114" s="112">
        <v>150</v>
      </c>
      <c r="K114" s="75">
        <v>260</v>
      </c>
      <c r="L114" s="75">
        <v>1000</v>
      </c>
      <c r="M114" s="202">
        <v>13.348026190557633</v>
      </c>
      <c r="N114" s="87">
        <v>3814.2522599999998</v>
      </c>
      <c r="O114" s="123">
        <v>40247.932975110831</v>
      </c>
      <c r="P114" s="123">
        <v>47877.135491939356</v>
      </c>
      <c r="Q114" s="120">
        <v>11680.665565740415</v>
      </c>
      <c r="R114" s="123">
        <v>51928.59854085125</v>
      </c>
      <c r="S114" s="123">
        <v>59557.801057679768</v>
      </c>
      <c r="U114" s="7" t="s">
        <v>7349</v>
      </c>
    </row>
    <row r="115" spans="1:21" ht="16.5" thickBot="1">
      <c r="A115" s="259" t="s">
        <v>10</v>
      </c>
      <c r="B115" s="263">
        <f t="shared" si="6"/>
        <v>150</v>
      </c>
      <c r="C115" s="263" t="s">
        <v>3</v>
      </c>
      <c r="D115" s="263">
        <f t="shared" si="7"/>
        <v>260</v>
      </c>
      <c r="E115" s="263" t="s">
        <v>3</v>
      </c>
      <c r="F115" s="261">
        <f t="shared" si="8"/>
        <v>1050</v>
      </c>
      <c r="G115" s="263" t="s">
        <v>3</v>
      </c>
      <c r="H115" s="260">
        <v>4</v>
      </c>
      <c r="I115" s="262" t="s">
        <v>582</v>
      </c>
      <c r="J115" s="112">
        <v>150</v>
      </c>
      <c r="K115" s="75">
        <v>260</v>
      </c>
      <c r="L115" s="75">
        <v>1050</v>
      </c>
      <c r="M115" s="202">
        <v>13.959176378197894</v>
      </c>
      <c r="N115" s="87">
        <v>4107.6562799999992</v>
      </c>
      <c r="O115" s="123">
        <v>42285.555206659388</v>
      </c>
      <c r="P115" s="123">
        <v>50226.566493103543</v>
      </c>
      <c r="Q115" s="120">
        <v>12342.857815497266</v>
      </c>
      <c r="R115" s="123">
        <v>54628.413022156652</v>
      </c>
      <c r="S115" s="123">
        <v>62569.424308600806</v>
      </c>
      <c r="U115" s="7" t="s">
        <v>7350</v>
      </c>
    </row>
    <row r="116" spans="1:21" ht="16.5" thickBot="1">
      <c r="A116" s="259" t="s">
        <v>10</v>
      </c>
      <c r="B116" s="260">
        <f t="shared" si="6"/>
        <v>150</v>
      </c>
      <c r="C116" s="260" t="s">
        <v>3</v>
      </c>
      <c r="D116" s="260">
        <f t="shared" si="7"/>
        <v>260</v>
      </c>
      <c r="E116" s="260" t="s">
        <v>3</v>
      </c>
      <c r="F116" s="261">
        <f t="shared" si="8"/>
        <v>1100</v>
      </c>
      <c r="G116" s="260" t="s">
        <v>3</v>
      </c>
      <c r="H116" s="260">
        <v>4</v>
      </c>
      <c r="I116" s="262" t="s">
        <v>582</v>
      </c>
      <c r="J116" s="112">
        <v>150</v>
      </c>
      <c r="K116" s="75">
        <v>260</v>
      </c>
      <c r="L116" s="75">
        <v>1100</v>
      </c>
      <c r="M116" s="202">
        <v>14.553286565838157</v>
      </c>
      <c r="N116" s="87">
        <v>4401.0603000000001</v>
      </c>
      <c r="O116" s="123">
        <v>44097.238833945295</v>
      </c>
      <c r="P116" s="123">
        <v>52344.542407996618</v>
      </c>
      <c r="Q116" s="120">
        <v>12774.468427864203</v>
      </c>
      <c r="R116" s="123">
        <v>56871.707261809497</v>
      </c>
      <c r="S116" s="123">
        <v>65119.010835860819</v>
      </c>
      <c r="U116" s="7" t="s">
        <v>7351</v>
      </c>
    </row>
    <row r="117" spans="1:21" ht="16.5" thickBot="1">
      <c r="A117" s="259" t="s">
        <v>10</v>
      </c>
      <c r="B117" s="263">
        <f t="shared" si="6"/>
        <v>150</v>
      </c>
      <c r="C117" s="263" t="s">
        <v>3</v>
      </c>
      <c r="D117" s="263">
        <f t="shared" si="7"/>
        <v>260</v>
      </c>
      <c r="E117" s="263" t="s">
        <v>3</v>
      </c>
      <c r="F117" s="261">
        <f t="shared" si="8"/>
        <v>1150</v>
      </c>
      <c r="G117" s="263" t="s">
        <v>3</v>
      </c>
      <c r="H117" s="260">
        <v>4</v>
      </c>
      <c r="I117" s="262" t="s">
        <v>582</v>
      </c>
      <c r="J117" s="112">
        <v>150</v>
      </c>
      <c r="K117" s="75">
        <v>260</v>
      </c>
      <c r="L117" s="75">
        <v>1150</v>
      </c>
      <c r="M117" s="202">
        <v>15.147396753478422</v>
      </c>
      <c r="N117" s="87">
        <v>4694.46432</v>
      </c>
      <c r="O117" s="123">
        <v>45153.579889343739</v>
      </c>
      <c r="P117" s="123">
        <v>53688.733266147741</v>
      </c>
      <c r="Q117" s="120">
        <v>13206.07904023114</v>
      </c>
      <c r="R117" s="123">
        <v>58359.658929574878</v>
      </c>
      <c r="S117" s="123">
        <v>66894.812306378881</v>
      </c>
      <c r="U117" s="7" t="s">
        <v>7352</v>
      </c>
    </row>
    <row r="118" spans="1:21" ht="16.5" thickBot="1">
      <c r="A118" s="259" t="s">
        <v>10</v>
      </c>
      <c r="B118" s="263">
        <f t="shared" si="6"/>
        <v>150</v>
      </c>
      <c r="C118" s="263" t="s">
        <v>3</v>
      </c>
      <c r="D118" s="263">
        <f t="shared" si="7"/>
        <v>260</v>
      </c>
      <c r="E118" s="263" t="s">
        <v>3</v>
      </c>
      <c r="F118" s="261">
        <f t="shared" si="8"/>
        <v>1200</v>
      </c>
      <c r="G118" s="263" t="s">
        <v>3</v>
      </c>
      <c r="H118" s="260">
        <v>4</v>
      </c>
      <c r="I118" s="262" t="s">
        <v>582</v>
      </c>
      <c r="J118" s="112">
        <v>150</v>
      </c>
      <c r="K118" s="75">
        <v>260</v>
      </c>
      <c r="L118" s="75">
        <v>1200</v>
      </c>
      <c r="M118" s="202">
        <v>15.837046941118682</v>
      </c>
      <c r="N118" s="87">
        <v>4987.8683399999991</v>
      </c>
      <c r="O118" s="123">
        <v>46269.305062707215</v>
      </c>
      <c r="P118" s="123">
        <v>55093.758137867917</v>
      </c>
      <c r="Q118" s="120">
        <v>13868.271430381354</v>
      </c>
      <c r="R118" s="123">
        <v>60137.576493088571</v>
      </c>
      <c r="S118" s="123">
        <v>68962.029568249272</v>
      </c>
      <c r="U118" s="7" t="s">
        <v>7353</v>
      </c>
    </row>
    <row r="119" spans="1:21" ht="16.5" thickBot="1">
      <c r="A119" s="259" t="s">
        <v>10</v>
      </c>
      <c r="B119" s="263">
        <f t="shared" si="6"/>
        <v>150</v>
      </c>
      <c r="C119" s="263" t="s">
        <v>3</v>
      </c>
      <c r="D119" s="263">
        <f t="shared" si="7"/>
        <v>260</v>
      </c>
      <c r="E119" s="263" t="s">
        <v>3</v>
      </c>
      <c r="F119" s="261">
        <f t="shared" si="8"/>
        <v>1250</v>
      </c>
      <c r="G119" s="263" t="s">
        <v>3</v>
      </c>
      <c r="H119" s="260">
        <v>4</v>
      </c>
      <c r="I119" s="262" t="s">
        <v>582</v>
      </c>
      <c r="J119" s="112">
        <v>150</v>
      </c>
      <c r="K119" s="75">
        <v>260</v>
      </c>
      <c r="L119" s="75">
        <v>1250</v>
      </c>
      <c r="M119" s="202">
        <v>17.293157128758946</v>
      </c>
      <c r="N119" s="87">
        <v>5281.272359999999</v>
      </c>
      <c r="O119" s="123">
        <v>47325.165200642419</v>
      </c>
      <c r="P119" s="123">
        <v>56437.456240587482</v>
      </c>
      <c r="Q119" s="120">
        <v>14299.882042748291</v>
      </c>
      <c r="R119" s="123">
        <v>61625.047243390713</v>
      </c>
      <c r="S119" s="123">
        <v>70737.338283335775</v>
      </c>
      <c r="U119" s="7" t="s">
        <v>7354</v>
      </c>
    </row>
    <row r="120" spans="1:21" ht="16.5" thickBot="1">
      <c r="A120" s="259" t="s">
        <v>10</v>
      </c>
      <c r="B120" s="263">
        <f t="shared" si="6"/>
        <v>150</v>
      </c>
      <c r="C120" s="263" t="s">
        <v>3</v>
      </c>
      <c r="D120" s="263">
        <f t="shared" si="7"/>
        <v>260</v>
      </c>
      <c r="E120" s="263" t="s">
        <v>3</v>
      </c>
      <c r="F120" s="261">
        <f t="shared" si="8"/>
        <v>1300</v>
      </c>
      <c r="G120" s="263" t="s">
        <v>3</v>
      </c>
      <c r="H120" s="260">
        <v>4</v>
      </c>
      <c r="I120" s="262" t="s">
        <v>582</v>
      </c>
      <c r="J120" s="112">
        <v>150</v>
      </c>
      <c r="K120" s="75">
        <v>260</v>
      </c>
      <c r="L120" s="75">
        <v>1300</v>
      </c>
      <c r="M120" s="202">
        <v>17.904307316399212</v>
      </c>
      <c r="N120" s="87">
        <v>5574.676379999999</v>
      </c>
      <c r="O120" s="123">
        <v>50833.408690581309</v>
      </c>
      <c r="P120" s="123">
        <v>60293.4154237029</v>
      </c>
      <c r="Q120" s="120">
        <v>14962.074432898504</v>
      </c>
      <c r="R120" s="123">
        <v>65795.483123479818</v>
      </c>
      <c r="S120" s="123">
        <v>75255.489856601402</v>
      </c>
      <c r="U120" s="7" t="s">
        <v>7355</v>
      </c>
    </row>
    <row r="121" spans="1:21" ht="16.5" thickBot="1">
      <c r="A121" s="259" t="s">
        <v>10</v>
      </c>
      <c r="B121" s="263">
        <f t="shared" si="6"/>
        <v>150</v>
      </c>
      <c r="C121" s="263" t="s">
        <v>3</v>
      </c>
      <c r="D121" s="263">
        <f t="shared" si="7"/>
        <v>260</v>
      </c>
      <c r="E121" s="263" t="s">
        <v>3</v>
      </c>
      <c r="F121" s="261">
        <f t="shared" si="8"/>
        <v>1350</v>
      </c>
      <c r="G121" s="263" t="s">
        <v>3</v>
      </c>
      <c r="H121" s="260">
        <v>4</v>
      </c>
      <c r="I121" s="262" t="s">
        <v>582</v>
      </c>
      <c r="J121" s="112">
        <v>150</v>
      </c>
      <c r="K121" s="75">
        <v>260</v>
      </c>
      <c r="L121" s="75">
        <v>1350</v>
      </c>
      <c r="M121" s="202">
        <v>18.498417504039473</v>
      </c>
      <c r="N121" s="87">
        <v>5868.0803999999998</v>
      </c>
      <c r="O121" s="123">
        <v>52138.965232800845</v>
      </c>
      <c r="P121" s="123">
        <v>61892.906474567149</v>
      </c>
      <c r="Q121" s="120">
        <v>15393.685045265442</v>
      </c>
      <c r="R121" s="123">
        <v>67532.650278066285</v>
      </c>
      <c r="S121" s="123">
        <v>77286.591519832597</v>
      </c>
      <c r="U121" s="7" t="s">
        <v>7356</v>
      </c>
    </row>
    <row r="122" spans="1:21" ht="16.5" thickBot="1">
      <c r="A122" s="259" t="s">
        <v>10</v>
      </c>
      <c r="B122" s="263">
        <f t="shared" si="6"/>
        <v>150</v>
      </c>
      <c r="C122" s="263" t="s">
        <v>3</v>
      </c>
      <c r="D122" s="263">
        <f t="shared" si="7"/>
        <v>260</v>
      </c>
      <c r="E122" s="263" t="s">
        <v>3</v>
      </c>
      <c r="F122" s="261">
        <f t="shared" si="8"/>
        <v>1400</v>
      </c>
      <c r="G122" s="263" t="s">
        <v>3</v>
      </c>
      <c r="H122" s="260">
        <v>4</v>
      </c>
      <c r="I122" s="262" t="s">
        <v>582</v>
      </c>
      <c r="J122" s="112">
        <v>150</v>
      </c>
      <c r="K122" s="75">
        <v>260</v>
      </c>
      <c r="L122" s="75">
        <v>1400</v>
      </c>
      <c r="M122" s="202">
        <v>19.109567691679736</v>
      </c>
      <c r="N122" s="87">
        <v>6161.4844199999998</v>
      </c>
      <c r="O122" s="123">
        <v>53771.538251295926</v>
      </c>
      <c r="P122" s="123">
        <v>63827.398624298949</v>
      </c>
      <c r="Q122" s="120">
        <v>16055.877435415654</v>
      </c>
      <c r="R122" s="123">
        <v>69827.415686711582</v>
      </c>
      <c r="S122" s="123">
        <v>79883.276059714597</v>
      </c>
      <c r="U122" s="7" t="s">
        <v>7357</v>
      </c>
    </row>
    <row r="123" spans="1:21" ht="16.5" thickBot="1">
      <c r="A123" s="259" t="s">
        <v>10</v>
      </c>
      <c r="B123" s="263">
        <f t="shared" si="6"/>
        <v>150</v>
      </c>
      <c r="C123" s="263" t="s">
        <v>3</v>
      </c>
      <c r="D123" s="263">
        <f t="shared" si="7"/>
        <v>260</v>
      </c>
      <c r="E123" s="263" t="s">
        <v>3</v>
      </c>
      <c r="F123" s="261">
        <f t="shared" si="8"/>
        <v>1450</v>
      </c>
      <c r="G123" s="263" t="s">
        <v>3</v>
      </c>
      <c r="H123" s="260">
        <v>4</v>
      </c>
      <c r="I123" s="262" t="s">
        <v>582</v>
      </c>
      <c r="J123" s="112">
        <v>150</v>
      </c>
      <c r="K123" s="75">
        <v>260</v>
      </c>
      <c r="L123" s="75">
        <v>1450</v>
      </c>
      <c r="M123" s="202">
        <v>19.703677879319997</v>
      </c>
      <c r="N123" s="87">
        <v>6454.8884399999997</v>
      </c>
      <c r="O123" s="123">
        <v>55077.094674181099</v>
      </c>
      <c r="P123" s="123">
        <v>65426.889675163198</v>
      </c>
      <c r="Q123" s="120">
        <v>16487.48804778259</v>
      </c>
      <c r="R123" s="123">
        <v>71564.582721963685</v>
      </c>
      <c r="S123" s="123">
        <v>81914.377722945792</v>
      </c>
      <c r="U123" s="7" t="s">
        <v>7358</v>
      </c>
    </row>
    <row r="124" spans="1:21" ht="16.5" thickBot="1">
      <c r="A124" s="259" t="s">
        <v>10</v>
      </c>
      <c r="B124" s="263">
        <f t="shared" si="6"/>
        <v>150</v>
      </c>
      <c r="C124" s="263" t="s">
        <v>3</v>
      </c>
      <c r="D124" s="263">
        <f t="shared" si="7"/>
        <v>260</v>
      </c>
      <c r="E124" s="263" t="s">
        <v>3</v>
      </c>
      <c r="F124" s="261">
        <f t="shared" si="8"/>
        <v>1500</v>
      </c>
      <c r="G124" s="263" t="s">
        <v>3</v>
      </c>
      <c r="H124" s="260">
        <v>4</v>
      </c>
      <c r="I124" s="262" t="s">
        <v>582</v>
      </c>
      <c r="J124" s="112">
        <v>150</v>
      </c>
      <c r="K124" s="75">
        <v>260</v>
      </c>
      <c r="L124" s="75">
        <v>1500</v>
      </c>
      <c r="M124" s="202">
        <v>20.210738918920264</v>
      </c>
      <c r="N124" s="87">
        <v>6748.2924599999988</v>
      </c>
      <c r="O124" s="123">
        <v>56859.931845746039</v>
      </c>
      <c r="P124" s="123">
        <v>67656.482529256449</v>
      </c>
      <c r="Q124" s="120">
        <v>17149.680437932802</v>
      </c>
      <c r="R124" s="123">
        <v>74009.612283678842</v>
      </c>
      <c r="S124" s="123">
        <v>84806.162967189244</v>
      </c>
      <c r="U124" s="7" t="s">
        <v>7359</v>
      </c>
    </row>
    <row r="125" spans="1:21" ht="16.5" thickBot="1">
      <c r="A125" s="259" t="s">
        <v>10</v>
      </c>
      <c r="B125" s="263">
        <f t="shared" si="6"/>
        <v>150</v>
      </c>
      <c r="C125" s="263" t="s">
        <v>3</v>
      </c>
      <c r="D125" s="263">
        <f t="shared" si="7"/>
        <v>260</v>
      </c>
      <c r="E125" s="263" t="s">
        <v>3</v>
      </c>
      <c r="F125" s="261">
        <f t="shared" si="8"/>
        <v>1550</v>
      </c>
      <c r="G125" s="263" t="s">
        <v>3</v>
      </c>
      <c r="H125" s="260">
        <v>4</v>
      </c>
      <c r="I125" s="262" t="s">
        <v>582</v>
      </c>
      <c r="J125" s="112">
        <v>150</v>
      </c>
      <c r="K125" s="75">
        <v>260</v>
      </c>
      <c r="L125" s="75">
        <v>1550</v>
      </c>
      <c r="M125" s="202">
        <v>20.804849106560525</v>
      </c>
      <c r="N125" s="87">
        <v>7041.6964799999996</v>
      </c>
      <c r="O125" s="123">
        <v>58165.488268631336</v>
      </c>
      <c r="P125" s="123">
        <v>69255.973710686521</v>
      </c>
      <c r="Q125" s="120">
        <v>17581.29105029974</v>
      </c>
      <c r="R125" s="123">
        <v>75746.779318931076</v>
      </c>
      <c r="S125" s="123">
        <v>86837.264760986262</v>
      </c>
      <c r="U125" s="7" t="s">
        <v>7360</v>
      </c>
    </row>
    <row r="126" spans="1:21" ht="16.5" thickBot="1">
      <c r="A126" s="259" t="s">
        <v>10</v>
      </c>
      <c r="B126" s="260">
        <f t="shared" si="6"/>
        <v>150</v>
      </c>
      <c r="C126" s="260" t="s">
        <v>3</v>
      </c>
      <c r="D126" s="260">
        <f t="shared" si="7"/>
        <v>260</v>
      </c>
      <c r="E126" s="260" t="s">
        <v>3</v>
      </c>
      <c r="F126" s="261">
        <f t="shared" si="8"/>
        <v>1600</v>
      </c>
      <c r="G126" s="260" t="s">
        <v>3</v>
      </c>
      <c r="H126" s="260">
        <v>4</v>
      </c>
      <c r="I126" s="262" t="s">
        <v>582</v>
      </c>
      <c r="J126" s="112">
        <v>150</v>
      </c>
      <c r="K126" s="75">
        <v>260</v>
      </c>
      <c r="L126" s="75">
        <v>1600</v>
      </c>
      <c r="M126" s="202">
        <v>21.398959294200786</v>
      </c>
      <c r="N126" s="87">
        <v>7335.1004999999996</v>
      </c>
      <c r="O126" s="123">
        <v>61417.086156609206</v>
      </c>
      <c r="P126" s="123">
        <v>72849.020843933264</v>
      </c>
      <c r="Q126" s="120">
        <v>18012.901662666678</v>
      </c>
      <c r="R126" s="123">
        <v>79429.987819275877</v>
      </c>
      <c r="S126" s="123">
        <v>90861.922506599949</v>
      </c>
      <c r="U126" s="7" t="s">
        <v>7361</v>
      </c>
    </row>
    <row r="127" spans="1:21" ht="16.5" thickBot="1">
      <c r="A127" s="259" t="s">
        <v>10</v>
      </c>
      <c r="B127" s="263">
        <f t="shared" si="6"/>
        <v>150</v>
      </c>
      <c r="C127" s="263" t="s">
        <v>3</v>
      </c>
      <c r="D127" s="263">
        <f t="shared" si="7"/>
        <v>260</v>
      </c>
      <c r="E127" s="263" t="s">
        <v>3</v>
      </c>
      <c r="F127" s="261">
        <f t="shared" si="8"/>
        <v>1650</v>
      </c>
      <c r="G127" s="263" t="s">
        <v>3</v>
      </c>
      <c r="H127" s="260">
        <v>4</v>
      </c>
      <c r="I127" s="262" t="s">
        <v>582</v>
      </c>
      <c r="J127" s="112">
        <v>150</v>
      </c>
      <c r="K127" s="75">
        <v>260</v>
      </c>
      <c r="L127" s="75">
        <v>1650</v>
      </c>
      <c r="M127" s="202">
        <v>22.010109481841049</v>
      </c>
      <c r="N127" s="87">
        <v>7628.5045199999995</v>
      </c>
      <c r="O127" s="123">
        <v>64920.944108887001</v>
      </c>
      <c r="P127" s="123">
        <v>76700.487387503148</v>
      </c>
      <c r="Q127" s="120">
        <v>18675.09391242353</v>
      </c>
      <c r="R127" s="123">
        <v>83596.038021310524</v>
      </c>
      <c r="S127" s="123">
        <v>95375.581299926678</v>
      </c>
      <c r="U127" s="7" t="s">
        <v>7362</v>
      </c>
    </row>
    <row r="128" spans="1:21" ht="16.5" thickBot="1">
      <c r="A128" s="259" t="s">
        <v>10</v>
      </c>
      <c r="B128" s="263">
        <f t="shared" si="6"/>
        <v>150</v>
      </c>
      <c r="C128" s="263" t="s">
        <v>3</v>
      </c>
      <c r="D128" s="263">
        <f t="shared" si="7"/>
        <v>260</v>
      </c>
      <c r="E128" s="263" t="s">
        <v>3</v>
      </c>
      <c r="F128" s="261">
        <f t="shared" si="8"/>
        <v>1700</v>
      </c>
      <c r="G128" s="263" t="s">
        <v>3</v>
      </c>
      <c r="H128" s="260">
        <v>4</v>
      </c>
      <c r="I128" s="262" t="s">
        <v>582</v>
      </c>
      <c r="J128" s="112">
        <v>150</v>
      </c>
      <c r="K128" s="75">
        <v>260</v>
      </c>
      <c r="L128" s="75">
        <v>1700</v>
      </c>
      <c r="M128" s="202">
        <v>23.466219669481315</v>
      </c>
      <c r="N128" s="87">
        <v>7921.9085400000004</v>
      </c>
      <c r="O128" s="123">
        <v>66021.353194722571</v>
      </c>
      <c r="P128" s="123">
        <v>78089.822163777717</v>
      </c>
      <c r="Q128" s="120">
        <v>19106.704524790468</v>
      </c>
      <c r="R128" s="123">
        <v>85128.057719513046</v>
      </c>
      <c r="S128" s="123">
        <v>97196.526688568178</v>
      </c>
      <c r="U128" s="7" t="s">
        <v>7363</v>
      </c>
    </row>
    <row r="129" spans="1:21" ht="16.5" thickBot="1">
      <c r="A129" s="259" t="s">
        <v>10</v>
      </c>
      <c r="B129" s="263">
        <f t="shared" si="6"/>
        <v>150</v>
      </c>
      <c r="C129" s="263" t="s">
        <v>3</v>
      </c>
      <c r="D129" s="263">
        <f t="shared" si="7"/>
        <v>260</v>
      </c>
      <c r="E129" s="263" t="s">
        <v>3</v>
      </c>
      <c r="F129" s="261">
        <f t="shared" si="8"/>
        <v>1750</v>
      </c>
      <c r="G129" s="263" t="s">
        <v>3</v>
      </c>
      <c r="H129" s="260">
        <v>4</v>
      </c>
      <c r="I129" s="262" t="s">
        <v>582</v>
      </c>
      <c r="J129" s="112">
        <v>150</v>
      </c>
      <c r="K129" s="75">
        <v>260</v>
      </c>
      <c r="L129" s="75">
        <v>1750</v>
      </c>
      <c r="M129" s="202">
        <v>24.077369857121575</v>
      </c>
      <c r="N129" s="87">
        <v>8215.3125599999985</v>
      </c>
      <c r="O129" s="123">
        <v>67045.608463248864</v>
      </c>
      <c r="P129" s="123">
        <v>79401.143727779257</v>
      </c>
      <c r="Q129" s="120">
        <v>19768.89691494068</v>
      </c>
      <c r="R129" s="123">
        <v>86814.50537818954</v>
      </c>
      <c r="S129" s="123">
        <v>99170.040642719934</v>
      </c>
      <c r="U129" s="7" t="s">
        <v>7364</v>
      </c>
    </row>
    <row r="130" spans="1:21" ht="16.5" thickBot="1">
      <c r="A130" s="259" t="s">
        <v>10</v>
      </c>
      <c r="B130" s="263">
        <f t="shared" si="6"/>
        <v>150</v>
      </c>
      <c r="C130" s="263" t="s">
        <v>3</v>
      </c>
      <c r="D130" s="263">
        <f t="shared" si="7"/>
        <v>260</v>
      </c>
      <c r="E130" s="263" t="s">
        <v>3</v>
      </c>
      <c r="F130" s="261">
        <f t="shared" si="8"/>
        <v>1800</v>
      </c>
      <c r="G130" s="263" t="s">
        <v>3</v>
      </c>
      <c r="H130" s="260">
        <v>4</v>
      </c>
      <c r="I130" s="262" t="s">
        <v>582</v>
      </c>
      <c r="J130" s="112">
        <v>150</v>
      </c>
      <c r="K130" s="75">
        <v>260</v>
      </c>
      <c r="L130" s="75">
        <v>1800</v>
      </c>
      <c r="M130" s="202">
        <v>24.671480044761843</v>
      </c>
      <c r="N130" s="87">
        <v>8508.7165799999984</v>
      </c>
      <c r="O130" s="123">
        <v>68146.714103732811</v>
      </c>
      <c r="P130" s="123">
        <v>80791.19217686489</v>
      </c>
      <c r="Q130" s="120">
        <v>20200.507527307618</v>
      </c>
      <c r="R130" s="123">
        <v>88347.221631040433</v>
      </c>
      <c r="S130" s="123">
        <v>100991.69970417251</v>
      </c>
      <c r="U130" s="7" t="s">
        <v>7365</v>
      </c>
    </row>
    <row r="131" spans="1:21" ht="16.5" thickBot="1">
      <c r="A131" s="259" t="s">
        <v>10</v>
      </c>
      <c r="B131" s="263">
        <f t="shared" si="6"/>
        <v>150</v>
      </c>
      <c r="C131" s="263" t="s">
        <v>3</v>
      </c>
      <c r="D131" s="263">
        <f t="shared" si="7"/>
        <v>260</v>
      </c>
      <c r="E131" s="263" t="s">
        <v>3</v>
      </c>
      <c r="F131" s="261">
        <f t="shared" si="8"/>
        <v>1850</v>
      </c>
      <c r="G131" s="263" t="s">
        <v>3</v>
      </c>
      <c r="H131" s="260">
        <v>4</v>
      </c>
      <c r="I131" s="262" t="s">
        <v>582</v>
      </c>
      <c r="J131" s="112">
        <v>150</v>
      </c>
      <c r="K131" s="75">
        <v>260</v>
      </c>
      <c r="L131" s="75">
        <v>1850</v>
      </c>
      <c r="M131" s="202">
        <v>25.282630232402106</v>
      </c>
      <c r="N131" s="87">
        <v>8802.1206000000002</v>
      </c>
      <c r="O131" s="123">
        <v>69247.771652470416</v>
      </c>
      <c r="P131" s="123">
        <v>82181.191272067852</v>
      </c>
      <c r="Q131" s="120">
        <v>20862.69991745783</v>
      </c>
      <c r="R131" s="123">
        <v>90110.471569928253</v>
      </c>
      <c r="S131" s="123">
        <v>103043.89118952569</v>
      </c>
      <c r="U131" s="7" t="s">
        <v>7366</v>
      </c>
    </row>
    <row r="132" spans="1:21" ht="16.5" thickBot="1">
      <c r="A132" s="259" t="s">
        <v>10</v>
      </c>
      <c r="B132" s="263">
        <f t="shared" si="6"/>
        <v>150</v>
      </c>
      <c r="C132" s="263" t="s">
        <v>3</v>
      </c>
      <c r="D132" s="263">
        <f t="shared" si="7"/>
        <v>260</v>
      </c>
      <c r="E132" s="263" t="s">
        <v>3</v>
      </c>
      <c r="F132" s="261">
        <f t="shared" si="8"/>
        <v>1900</v>
      </c>
      <c r="G132" s="263" t="s">
        <v>3</v>
      </c>
      <c r="H132" s="260">
        <v>4</v>
      </c>
      <c r="I132" s="262" t="s">
        <v>582</v>
      </c>
      <c r="J132" s="112">
        <v>150</v>
      </c>
      <c r="K132" s="75">
        <v>260</v>
      </c>
      <c r="L132" s="75">
        <v>1900</v>
      </c>
      <c r="M132" s="202">
        <v>25.876740420042367</v>
      </c>
      <c r="N132" s="87">
        <v>9095.5246200000001</v>
      </c>
      <c r="O132" s="123">
        <v>70523.88351583184</v>
      </c>
      <c r="P132" s="123">
        <v>83750.518874983856</v>
      </c>
      <c r="Q132" s="120">
        <v>21294.310529824768</v>
      </c>
      <c r="R132" s="123">
        <v>91818.194045656608</v>
      </c>
      <c r="S132" s="123">
        <v>105044.82940480862</v>
      </c>
      <c r="U132" s="7" t="s">
        <v>7367</v>
      </c>
    </row>
    <row r="133" spans="1:21" ht="16.5" thickBot="1">
      <c r="A133" s="259" t="s">
        <v>10</v>
      </c>
      <c r="B133" s="263">
        <f t="shared" si="6"/>
        <v>150</v>
      </c>
      <c r="C133" s="263" t="s">
        <v>3</v>
      </c>
      <c r="D133" s="263">
        <f t="shared" si="7"/>
        <v>260</v>
      </c>
      <c r="E133" s="263" t="s">
        <v>3</v>
      </c>
      <c r="F133" s="261">
        <f t="shared" si="8"/>
        <v>1950</v>
      </c>
      <c r="G133" s="263" t="s">
        <v>3</v>
      </c>
      <c r="H133" s="260">
        <v>4</v>
      </c>
      <c r="I133" s="262" t="s">
        <v>582</v>
      </c>
      <c r="J133" s="112">
        <v>150</v>
      </c>
      <c r="K133" s="75">
        <v>260</v>
      </c>
      <c r="L133" s="75">
        <v>1950</v>
      </c>
      <c r="M133" s="202">
        <v>26.549350607682634</v>
      </c>
      <c r="N133" s="87">
        <v>9388.9286400000001</v>
      </c>
      <c r="O133" s="123">
        <v>71983.441763217823</v>
      </c>
      <c r="P133" s="123">
        <v>85507.771831368285</v>
      </c>
      <c r="Q133" s="120">
        <v>21725.921142191706</v>
      </c>
      <c r="R133" s="123">
        <v>93709.362905409536</v>
      </c>
      <c r="S133" s="123">
        <v>107233.69297355998</v>
      </c>
      <c r="U133" s="7" t="s">
        <v>7368</v>
      </c>
    </row>
    <row r="134" spans="1:21" ht="16.5" thickBot="1">
      <c r="A134" s="259" t="s">
        <v>10</v>
      </c>
      <c r="B134" s="263">
        <f t="shared" si="6"/>
        <v>150</v>
      </c>
      <c r="C134" s="263" t="s">
        <v>3</v>
      </c>
      <c r="D134" s="263">
        <f t="shared" si="7"/>
        <v>260</v>
      </c>
      <c r="E134" s="263" t="s">
        <v>3</v>
      </c>
      <c r="F134" s="261">
        <f t="shared" si="8"/>
        <v>2000</v>
      </c>
      <c r="G134" s="263" t="s">
        <v>3</v>
      </c>
      <c r="H134" s="260">
        <v>4</v>
      </c>
      <c r="I134" s="262" t="s">
        <v>582</v>
      </c>
      <c r="J134" s="112">
        <v>150</v>
      </c>
      <c r="K134" s="75">
        <v>260</v>
      </c>
      <c r="L134" s="75">
        <v>2000</v>
      </c>
      <c r="M134" s="202">
        <v>27.252063195322897</v>
      </c>
      <c r="N134" s="87">
        <v>9682.3326599999982</v>
      </c>
      <c r="O134" s="123">
        <v>73290.781160747749</v>
      </c>
      <c r="P134" s="123">
        <v>87317.253077090121</v>
      </c>
      <c r="Q134" s="120">
        <v>22388.113532341918</v>
      </c>
      <c r="R134" s="123">
        <v>95678.894693089664</v>
      </c>
      <c r="S134" s="123">
        <v>109705.36660943204</v>
      </c>
      <c r="U134" s="7" t="s">
        <v>7369</v>
      </c>
    </row>
    <row r="135" spans="1:21" ht="16.5" thickBot="1">
      <c r="A135" s="259" t="s">
        <v>10</v>
      </c>
      <c r="B135" s="263">
        <f t="shared" si="6"/>
        <v>150</v>
      </c>
      <c r="C135" s="263" t="s">
        <v>3</v>
      </c>
      <c r="D135" s="263">
        <f t="shared" si="7"/>
        <v>260</v>
      </c>
      <c r="E135" s="263" t="s">
        <v>3</v>
      </c>
      <c r="F135" s="261">
        <f t="shared" si="8"/>
        <v>2050</v>
      </c>
      <c r="G135" s="263" t="s">
        <v>3</v>
      </c>
      <c r="H135" s="260">
        <v>4</v>
      </c>
      <c r="I135" s="262" t="s">
        <v>582</v>
      </c>
      <c r="J135" s="112">
        <v>150</v>
      </c>
      <c r="K135" s="75">
        <v>260</v>
      </c>
      <c r="L135" s="75">
        <v>2050</v>
      </c>
      <c r="M135" s="202">
        <v>28.70817338296316</v>
      </c>
      <c r="N135" s="87">
        <v>9975.7366799999982</v>
      </c>
      <c r="O135" s="123">
        <v>76535.808976304688</v>
      </c>
      <c r="P135" s="123">
        <v>90903.569803080216</v>
      </c>
      <c r="Q135" s="120">
        <v>22819.724144708856</v>
      </c>
      <c r="R135" s="123">
        <v>99355.533121013548</v>
      </c>
      <c r="S135" s="123">
        <v>113723.29394778908</v>
      </c>
      <c r="U135" s="7" t="s">
        <v>7370</v>
      </c>
    </row>
    <row r="136" spans="1:21" ht="16.5" thickBot="1">
      <c r="A136" s="259" t="s">
        <v>10</v>
      </c>
      <c r="B136" s="260">
        <f t="shared" si="6"/>
        <v>150</v>
      </c>
      <c r="C136" s="260" t="s">
        <v>3</v>
      </c>
      <c r="D136" s="260">
        <f t="shared" si="7"/>
        <v>260</v>
      </c>
      <c r="E136" s="260" t="s">
        <v>3</v>
      </c>
      <c r="F136" s="261">
        <f t="shared" si="8"/>
        <v>2100</v>
      </c>
      <c r="G136" s="260" t="s">
        <v>3</v>
      </c>
      <c r="H136" s="260">
        <v>4</v>
      </c>
      <c r="I136" s="262" t="s">
        <v>582</v>
      </c>
      <c r="J136" s="112">
        <v>150</v>
      </c>
      <c r="K136" s="75">
        <v>260</v>
      </c>
      <c r="L136" s="75">
        <v>2100</v>
      </c>
      <c r="M136" s="202">
        <v>29.319323570603416</v>
      </c>
      <c r="N136" s="87">
        <v>10269.140699999998</v>
      </c>
      <c r="O136" s="123">
        <v>77698.796283534844</v>
      </c>
      <c r="P136" s="123">
        <v>92357.010833683249</v>
      </c>
      <c r="Q136" s="120">
        <v>23481.916534859069</v>
      </c>
      <c r="R136" s="123">
        <v>101180.71281839392</v>
      </c>
      <c r="S136" s="123">
        <v>115838.92736854232</v>
      </c>
      <c r="U136" s="7" t="s">
        <v>7371</v>
      </c>
    </row>
    <row r="137" spans="1:21" ht="16.5" thickBot="1">
      <c r="A137" s="259" t="s">
        <v>10</v>
      </c>
      <c r="B137" s="263">
        <f t="shared" si="6"/>
        <v>150</v>
      </c>
      <c r="C137" s="263" t="s">
        <v>3</v>
      </c>
      <c r="D137" s="263">
        <f t="shared" si="7"/>
        <v>260</v>
      </c>
      <c r="E137" s="263" t="s">
        <v>3</v>
      </c>
      <c r="F137" s="261">
        <f t="shared" si="8"/>
        <v>2150</v>
      </c>
      <c r="G137" s="263" t="s">
        <v>3</v>
      </c>
      <c r="H137" s="260">
        <v>4</v>
      </c>
      <c r="I137" s="262" t="s">
        <v>582</v>
      </c>
      <c r="J137" s="112">
        <v>150</v>
      </c>
      <c r="K137" s="75">
        <v>260</v>
      </c>
      <c r="L137" s="75">
        <v>2150</v>
      </c>
      <c r="M137" s="202">
        <v>29.913433758243684</v>
      </c>
      <c r="N137" s="87">
        <v>10562.544719999998</v>
      </c>
      <c r="O137" s="123">
        <v>79009.401027106142</v>
      </c>
      <c r="P137" s="123">
        <v>93961.673466394073</v>
      </c>
      <c r="Q137" s="120">
        <v>23913.527147226006</v>
      </c>
      <c r="R137" s="123">
        <v>102922.92817433215</v>
      </c>
      <c r="S137" s="123">
        <v>117875.20061362008</v>
      </c>
      <c r="U137" s="7" t="s">
        <v>7372</v>
      </c>
    </row>
    <row r="138" spans="1:21" ht="16.5" thickBot="1">
      <c r="A138" s="259" t="s">
        <v>10</v>
      </c>
      <c r="B138" s="263">
        <f t="shared" si="6"/>
        <v>150</v>
      </c>
      <c r="C138" s="263" t="s">
        <v>3</v>
      </c>
      <c r="D138" s="263">
        <f t="shared" si="7"/>
        <v>260</v>
      </c>
      <c r="E138" s="263" t="s">
        <v>3</v>
      </c>
      <c r="F138" s="261">
        <f t="shared" si="8"/>
        <v>2200</v>
      </c>
      <c r="G138" s="263" t="s">
        <v>3</v>
      </c>
      <c r="H138" s="260">
        <v>4</v>
      </c>
      <c r="I138" s="262" t="s">
        <v>582</v>
      </c>
      <c r="J138" s="112">
        <v>150</v>
      </c>
      <c r="K138" s="75">
        <v>260</v>
      </c>
      <c r="L138" s="75">
        <v>2200</v>
      </c>
      <c r="M138" s="202">
        <v>30.524583945883947</v>
      </c>
      <c r="N138" s="87">
        <v>10855.94874</v>
      </c>
      <c r="O138" s="123">
        <v>80319.95767893111</v>
      </c>
      <c r="P138" s="123">
        <v>95566.286875788093</v>
      </c>
      <c r="Q138" s="120">
        <v>24575.719537376219</v>
      </c>
      <c r="R138" s="123">
        <v>104895.67721630733</v>
      </c>
      <c r="S138" s="123">
        <v>120142.00641316432</v>
      </c>
      <c r="U138" s="7" t="s">
        <v>7373</v>
      </c>
    </row>
    <row r="139" spans="1:21" ht="16.5" thickBot="1">
      <c r="A139" s="259" t="s">
        <v>10</v>
      </c>
      <c r="B139" s="263">
        <f t="shared" si="6"/>
        <v>150</v>
      </c>
      <c r="C139" s="263" t="s">
        <v>3</v>
      </c>
      <c r="D139" s="263">
        <f t="shared" si="7"/>
        <v>260</v>
      </c>
      <c r="E139" s="263" t="s">
        <v>3</v>
      </c>
      <c r="F139" s="261">
        <f t="shared" si="8"/>
        <v>2250</v>
      </c>
      <c r="G139" s="263" t="s">
        <v>3</v>
      </c>
      <c r="H139" s="260">
        <v>4</v>
      </c>
      <c r="I139" s="262" t="s">
        <v>582</v>
      </c>
      <c r="J139" s="112">
        <v>150</v>
      </c>
      <c r="K139" s="75">
        <v>260</v>
      </c>
      <c r="L139" s="75">
        <v>2250</v>
      </c>
      <c r="M139" s="202">
        <v>31.118694133524208</v>
      </c>
      <c r="N139" s="87">
        <v>11149.352759999998</v>
      </c>
      <c r="O139" s="123">
        <v>81950.12539410383</v>
      </c>
      <c r="P139" s="123">
        <v>97498.314856664554</v>
      </c>
      <c r="Q139" s="120">
        <v>25007.330009349789</v>
      </c>
      <c r="R139" s="123">
        <v>106957.45540345361</v>
      </c>
      <c r="S139" s="123">
        <v>122505.64486601434</v>
      </c>
      <c r="U139" s="7" t="s">
        <v>7374</v>
      </c>
    </row>
    <row r="140" spans="1:21" ht="16.5" thickBot="1">
      <c r="A140" s="259" t="s">
        <v>10</v>
      </c>
      <c r="B140" s="263">
        <f t="shared" si="6"/>
        <v>150</v>
      </c>
      <c r="C140" s="263" t="s">
        <v>3</v>
      </c>
      <c r="D140" s="263">
        <f t="shared" si="7"/>
        <v>260</v>
      </c>
      <c r="E140" s="263" t="s">
        <v>3</v>
      </c>
      <c r="F140" s="261">
        <f t="shared" si="8"/>
        <v>2300</v>
      </c>
      <c r="G140" s="263" t="s">
        <v>3</v>
      </c>
      <c r="H140" s="260">
        <v>4</v>
      </c>
      <c r="I140" s="262" t="s">
        <v>582</v>
      </c>
      <c r="J140" s="112">
        <v>150</v>
      </c>
      <c r="K140" s="75">
        <v>260</v>
      </c>
      <c r="L140" s="75">
        <v>2300</v>
      </c>
      <c r="M140" s="202">
        <v>31.712804321164477</v>
      </c>
      <c r="N140" s="87">
        <v>11442.756779999998</v>
      </c>
      <c r="O140" s="123">
        <v>83017.77660196228</v>
      </c>
      <c r="P140" s="123">
        <v>98854.091995748939</v>
      </c>
      <c r="Q140" s="120">
        <v>25438.940621716731</v>
      </c>
      <c r="R140" s="123">
        <v>108456.71722367901</v>
      </c>
      <c r="S140" s="123">
        <v>124293.03261746567</v>
      </c>
      <c r="U140" s="7" t="s">
        <v>7375</v>
      </c>
    </row>
    <row r="141" spans="1:21" ht="16.5" thickBot="1">
      <c r="A141" s="259" t="s">
        <v>10</v>
      </c>
      <c r="B141" s="263">
        <f t="shared" si="6"/>
        <v>150</v>
      </c>
      <c r="C141" s="263" t="s">
        <v>3</v>
      </c>
      <c r="D141" s="263">
        <f t="shared" si="7"/>
        <v>260</v>
      </c>
      <c r="E141" s="263" t="s">
        <v>3</v>
      </c>
      <c r="F141" s="261">
        <f t="shared" si="8"/>
        <v>2350</v>
      </c>
      <c r="G141" s="263" t="s">
        <v>3</v>
      </c>
      <c r="H141" s="260">
        <v>4</v>
      </c>
      <c r="I141" s="262" t="s">
        <v>582</v>
      </c>
      <c r="J141" s="112">
        <v>150</v>
      </c>
      <c r="K141" s="75">
        <v>260</v>
      </c>
      <c r="L141" s="75">
        <v>2350</v>
      </c>
      <c r="M141" s="202">
        <v>32.323954508804732</v>
      </c>
      <c r="N141" s="87">
        <v>11736.1608</v>
      </c>
      <c r="O141" s="123">
        <v>84085.379598740066</v>
      </c>
      <c r="P141" s="123">
        <v>100209.81978095064</v>
      </c>
      <c r="Q141" s="120">
        <v>26101.133011866939</v>
      </c>
      <c r="R141" s="123">
        <v>110186.51261060701</v>
      </c>
      <c r="S141" s="123">
        <v>126310.95279281758</v>
      </c>
      <c r="U141" s="7" t="s">
        <v>7376</v>
      </c>
    </row>
    <row r="142" spans="1:21" ht="16.5" thickBot="1">
      <c r="A142" s="259" t="s">
        <v>10</v>
      </c>
      <c r="B142" s="263">
        <f t="shared" si="6"/>
        <v>150</v>
      </c>
      <c r="C142" s="263" t="s">
        <v>3</v>
      </c>
      <c r="D142" s="263">
        <f t="shared" si="7"/>
        <v>260</v>
      </c>
      <c r="E142" s="263" t="s">
        <v>3</v>
      </c>
      <c r="F142" s="261">
        <f t="shared" si="8"/>
        <v>2400</v>
      </c>
      <c r="G142" s="263" t="s">
        <v>3</v>
      </c>
      <c r="H142" s="260">
        <v>4</v>
      </c>
      <c r="I142" s="262" t="s">
        <v>582</v>
      </c>
      <c r="J142" s="112">
        <v>150</v>
      </c>
      <c r="K142" s="75">
        <v>260</v>
      </c>
      <c r="L142" s="75">
        <v>2400</v>
      </c>
      <c r="M142" s="202">
        <v>32.918064696445001</v>
      </c>
      <c r="N142" s="87">
        <v>12029.564819999998</v>
      </c>
      <c r="O142" s="123">
        <v>85152.934623105873</v>
      </c>
      <c r="P142" s="123">
        <v>101565.49834283555</v>
      </c>
      <c r="Q142" s="120">
        <v>26532.743624233881</v>
      </c>
      <c r="R142" s="123">
        <v>111685.67824733976</v>
      </c>
      <c r="S142" s="123">
        <v>128098.24196706942</v>
      </c>
      <c r="U142" s="7" t="s">
        <v>7377</v>
      </c>
    </row>
    <row r="143" spans="1:21" ht="16.5" thickBot="1">
      <c r="A143" s="259" t="s">
        <v>10</v>
      </c>
      <c r="B143" s="263">
        <f t="shared" si="6"/>
        <v>150</v>
      </c>
      <c r="C143" s="263" t="s">
        <v>3</v>
      </c>
      <c r="D143" s="263">
        <f t="shared" si="7"/>
        <v>260</v>
      </c>
      <c r="E143" s="263" t="s">
        <v>3</v>
      </c>
      <c r="F143" s="261">
        <f t="shared" si="8"/>
        <v>2450</v>
      </c>
      <c r="G143" s="263" t="s">
        <v>3</v>
      </c>
      <c r="H143" s="260">
        <v>4</v>
      </c>
      <c r="I143" s="262" t="s">
        <v>582</v>
      </c>
      <c r="J143" s="112">
        <v>150</v>
      </c>
      <c r="K143" s="75">
        <v>260</v>
      </c>
      <c r="L143" s="75">
        <v>2450</v>
      </c>
      <c r="M143" s="202">
        <v>34.287125736045262</v>
      </c>
      <c r="N143" s="87">
        <v>12322.96884</v>
      </c>
      <c r="O143" s="123">
        <v>86697.722185070888</v>
      </c>
      <c r="P143" s="123">
        <v>103551.22935406679</v>
      </c>
      <c r="Q143" s="120">
        <v>27194.936014384097</v>
      </c>
      <c r="R143" s="123">
        <v>113892.65819945498</v>
      </c>
      <c r="S143" s="123">
        <v>130746.16536845089</v>
      </c>
      <c r="U143" s="7" t="s">
        <v>7378</v>
      </c>
    </row>
    <row r="144" spans="1:21" ht="16.5" thickBot="1">
      <c r="A144" s="259" t="s">
        <v>10</v>
      </c>
      <c r="B144" s="263">
        <f t="shared" si="6"/>
        <v>150</v>
      </c>
      <c r="C144" s="263" t="s">
        <v>3</v>
      </c>
      <c r="D144" s="263">
        <f t="shared" si="7"/>
        <v>260</v>
      </c>
      <c r="E144" s="263" t="s">
        <v>3</v>
      </c>
      <c r="F144" s="261">
        <f t="shared" si="8"/>
        <v>2500</v>
      </c>
      <c r="G144" s="263" t="s">
        <v>3</v>
      </c>
      <c r="H144" s="260">
        <v>4</v>
      </c>
      <c r="I144" s="262" t="s">
        <v>582</v>
      </c>
      <c r="J144" s="112">
        <v>150</v>
      </c>
      <c r="K144" s="75">
        <v>260</v>
      </c>
      <c r="L144" s="75">
        <v>2500</v>
      </c>
      <c r="M144" s="202">
        <v>34.881235923685523</v>
      </c>
      <c r="N144" s="87">
        <v>12616.372859999999</v>
      </c>
      <c r="O144" s="123">
        <v>87765.18090660969</v>
      </c>
      <c r="P144" s="123">
        <v>104906.80933875222</v>
      </c>
      <c r="Q144" s="120">
        <v>27626.546626751031</v>
      </c>
      <c r="R144" s="123">
        <v>115391.72753336072</v>
      </c>
      <c r="S144" s="123">
        <v>132533.35596550326</v>
      </c>
      <c r="U144" s="7" t="s">
        <v>7379</v>
      </c>
    </row>
    <row r="145" spans="1:21" ht="16.5" thickBot="1">
      <c r="A145" s="259" t="s">
        <v>10</v>
      </c>
      <c r="B145" s="263">
        <f t="shared" si="6"/>
        <v>150</v>
      </c>
      <c r="C145" s="263" t="s">
        <v>3</v>
      </c>
      <c r="D145" s="263">
        <f t="shared" si="7"/>
        <v>260</v>
      </c>
      <c r="E145" s="263" t="s">
        <v>3</v>
      </c>
      <c r="F145" s="261">
        <f t="shared" si="8"/>
        <v>2550</v>
      </c>
      <c r="G145" s="263" t="s">
        <v>3</v>
      </c>
      <c r="H145" s="260">
        <v>4</v>
      </c>
      <c r="I145" s="262" t="s">
        <v>582</v>
      </c>
      <c r="J145" s="112">
        <v>150</v>
      </c>
      <c r="K145" s="75">
        <v>260</v>
      </c>
      <c r="L145" s="75">
        <v>2550</v>
      </c>
      <c r="M145" s="202">
        <v>35.492386111325793</v>
      </c>
      <c r="N145" s="87">
        <v>12909.776879999999</v>
      </c>
      <c r="O145" s="123">
        <v>92126.927473395859</v>
      </c>
      <c r="P145" s="123">
        <v>109637.11067829149</v>
      </c>
      <c r="Q145" s="120">
        <v>28288.739016901247</v>
      </c>
      <c r="R145" s="123">
        <v>120415.66649029711</v>
      </c>
      <c r="S145" s="123">
        <v>137925.84969519274</v>
      </c>
      <c r="U145" s="7" t="s">
        <v>7380</v>
      </c>
    </row>
    <row r="146" spans="1:21" ht="16.5" thickBot="1">
      <c r="A146" s="259" t="s">
        <v>10</v>
      </c>
      <c r="B146" s="260">
        <f t="shared" si="6"/>
        <v>150</v>
      </c>
      <c r="C146" s="260" t="s">
        <v>3</v>
      </c>
      <c r="D146" s="260">
        <f t="shared" si="7"/>
        <v>260</v>
      </c>
      <c r="E146" s="260" t="s">
        <v>3</v>
      </c>
      <c r="F146" s="261">
        <f t="shared" si="8"/>
        <v>2600</v>
      </c>
      <c r="G146" s="260" t="s">
        <v>3</v>
      </c>
      <c r="H146" s="260">
        <v>4</v>
      </c>
      <c r="I146" s="262" t="s">
        <v>582</v>
      </c>
      <c r="J146" s="112">
        <v>150</v>
      </c>
      <c r="K146" s="75">
        <v>260</v>
      </c>
      <c r="L146" s="75">
        <v>2600</v>
      </c>
      <c r="M146" s="202">
        <v>36.086496298966054</v>
      </c>
      <c r="N146" s="87">
        <v>13203.180899999999</v>
      </c>
      <c r="O146" s="123">
        <v>93464.893556601121</v>
      </c>
      <c r="P146" s="123">
        <v>111269.80279107204</v>
      </c>
      <c r="Q146" s="120">
        <v>28720.349629268181</v>
      </c>
      <c r="R146" s="123">
        <v>122185.2431858693</v>
      </c>
      <c r="S146" s="123">
        <v>139990.15242034022</v>
      </c>
      <c r="U146" s="7" t="s">
        <v>7381</v>
      </c>
    </row>
    <row r="147" spans="1:21" ht="16.5" thickBot="1">
      <c r="A147" s="259" t="s">
        <v>10</v>
      </c>
      <c r="B147" s="263">
        <f t="shared" si="6"/>
        <v>150</v>
      </c>
      <c r="C147" s="263" t="s">
        <v>3</v>
      </c>
      <c r="D147" s="263">
        <f t="shared" si="7"/>
        <v>260</v>
      </c>
      <c r="E147" s="263" t="s">
        <v>3</v>
      </c>
      <c r="F147" s="261">
        <f t="shared" si="8"/>
        <v>2650</v>
      </c>
      <c r="G147" s="263" t="s">
        <v>3</v>
      </c>
      <c r="H147" s="260">
        <v>4</v>
      </c>
      <c r="I147" s="262" t="s">
        <v>582</v>
      </c>
      <c r="J147" s="112">
        <v>150</v>
      </c>
      <c r="K147" s="75">
        <v>260</v>
      </c>
      <c r="L147" s="75">
        <v>2650</v>
      </c>
      <c r="M147" s="202">
        <v>36.697646486606317</v>
      </c>
      <c r="N147" s="87">
        <v>13496.584919999998</v>
      </c>
      <c r="O147" s="123">
        <v>94372.23981849695</v>
      </c>
      <c r="P147" s="123">
        <v>112461.36102222159</v>
      </c>
      <c r="Q147" s="120">
        <v>29382.542019418397</v>
      </c>
      <c r="R147" s="123">
        <v>123754.78183791535</v>
      </c>
      <c r="S147" s="123">
        <v>141843.90304164001</v>
      </c>
      <c r="U147" s="7" t="s">
        <v>7382</v>
      </c>
    </row>
    <row r="148" spans="1:21" ht="16.5" thickBot="1">
      <c r="A148" s="259" t="s">
        <v>10</v>
      </c>
      <c r="B148" s="263">
        <f t="shared" si="6"/>
        <v>150</v>
      </c>
      <c r="C148" s="263" t="s">
        <v>3</v>
      </c>
      <c r="D148" s="263">
        <f t="shared" si="7"/>
        <v>260</v>
      </c>
      <c r="E148" s="263" t="s">
        <v>3</v>
      </c>
      <c r="F148" s="261">
        <f t="shared" si="8"/>
        <v>2700</v>
      </c>
      <c r="G148" s="263" t="s">
        <v>3</v>
      </c>
      <c r="H148" s="260">
        <v>4</v>
      </c>
      <c r="I148" s="262" t="s">
        <v>582</v>
      </c>
      <c r="J148" s="112">
        <v>150</v>
      </c>
      <c r="K148" s="75">
        <v>260</v>
      </c>
      <c r="L148" s="75">
        <v>2700</v>
      </c>
      <c r="M148" s="202">
        <v>37.370256674246583</v>
      </c>
      <c r="N148" s="87">
        <v>13789.988939999999</v>
      </c>
      <c r="O148" s="123">
        <v>95339.162684677474</v>
      </c>
      <c r="P148" s="123">
        <v>113713.95029077334</v>
      </c>
      <c r="Q148" s="120">
        <v>29814.152631785331</v>
      </c>
      <c r="R148" s="123">
        <v>125153.3153164628</v>
      </c>
      <c r="S148" s="123">
        <v>143528.10292255867</v>
      </c>
      <c r="U148" s="7" t="s">
        <v>7383</v>
      </c>
    </row>
    <row r="149" spans="1:21" ht="16.5" thickBot="1">
      <c r="A149" s="259" t="s">
        <v>10</v>
      </c>
      <c r="B149" s="263">
        <f t="shared" si="6"/>
        <v>150</v>
      </c>
      <c r="C149" s="263" t="s">
        <v>3</v>
      </c>
      <c r="D149" s="263">
        <f t="shared" si="7"/>
        <v>260</v>
      </c>
      <c r="E149" s="263" t="s">
        <v>3</v>
      </c>
      <c r="F149" s="261">
        <f t="shared" si="8"/>
        <v>2750</v>
      </c>
      <c r="G149" s="263" t="s">
        <v>3</v>
      </c>
      <c r="H149" s="260">
        <v>4</v>
      </c>
      <c r="I149" s="262" t="s">
        <v>582</v>
      </c>
      <c r="J149" s="112">
        <v>150</v>
      </c>
      <c r="K149" s="75">
        <v>260</v>
      </c>
      <c r="L149" s="75">
        <v>2750</v>
      </c>
      <c r="M149" s="202">
        <v>37.964366861886845</v>
      </c>
      <c r="N149" s="87">
        <v>14083.392959999999</v>
      </c>
      <c r="O149" s="123">
        <v>96328.166822482366</v>
      </c>
      <c r="P149" s="123">
        <v>114989.16008887449</v>
      </c>
      <c r="Q149" s="120">
        <v>30245.763244152273</v>
      </c>
      <c r="R149" s="123">
        <v>126573.93006663464</v>
      </c>
      <c r="S149" s="123">
        <v>145234.92333302676</v>
      </c>
      <c r="U149" s="7" t="s">
        <v>7384</v>
      </c>
    </row>
    <row r="150" spans="1:21" ht="16.5" thickBot="1">
      <c r="A150" s="259" t="s">
        <v>10</v>
      </c>
      <c r="B150" s="263">
        <f t="shared" si="6"/>
        <v>150</v>
      </c>
      <c r="C150" s="263" t="s">
        <v>3</v>
      </c>
      <c r="D150" s="263">
        <f t="shared" si="7"/>
        <v>260</v>
      </c>
      <c r="E150" s="263" t="s">
        <v>3</v>
      </c>
      <c r="F150" s="261">
        <f t="shared" si="8"/>
        <v>2800</v>
      </c>
      <c r="G150" s="263" t="s">
        <v>3</v>
      </c>
      <c r="H150" s="260">
        <v>4</v>
      </c>
      <c r="I150" s="262" t="s">
        <v>582</v>
      </c>
      <c r="J150" s="112">
        <v>150</v>
      </c>
      <c r="K150" s="75">
        <v>260</v>
      </c>
      <c r="L150" s="75">
        <v>2800</v>
      </c>
      <c r="M150" s="202">
        <v>38.575517049527107</v>
      </c>
      <c r="N150" s="87">
        <v>14376.796979999999</v>
      </c>
      <c r="O150" s="123">
        <v>97234.278809112118</v>
      </c>
      <c r="P150" s="123">
        <v>116179.45378998833</v>
      </c>
      <c r="Q150" s="120">
        <v>30907.955493909118</v>
      </c>
      <c r="R150" s="123">
        <v>128142.23430302124</v>
      </c>
      <c r="S150" s="123">
        <v>147087.40928389743</v>
      </c>
      <c r="U150" s="7" t="s">
        <v>7385</v>
      </c>
    </row>
    <row r="151" spans="1:21" ht="16.5" thickBot="1">
      <c r="A151" s="259" t="s">
        <v>10</v>
      </c>
      <c r="B151" s="263">
        <f t="shared" si="6"/>
        <v>150</v>
      </c>
      <c r="C151" s="263" t="s">
        <v>3</v>
      </c>
      <c r="D151" s="263">
        <f t="shared" si="7"/>
        <v>260</v>
      </c>
      <c r="E151" s="263" t="s">
        <v>3</v>
      </c>
      <c r="F151" s="261">
        <f t="shared" si="8"/>
        <v>2850</v>
      </c>
      <c r="G151" s="263" t="s">
        <v>3</v>
      </c>
      <c r="H151" s="260">
        <v>4</v>
      </c>
      <c r="I151" s="262" t="s">
        <v>582</v>
      </c>
      <c r="J151" s="112">
        <v>150</v>
      </c>
      <c r="K151" s="75">
        <v>260</v>
      </c>
      <c r="L151" s="75">
        <v>2850</v>
      </c>
      <c r="M151" s="202">
        <v>40.03162723716737</v>
      </c>
      <c r="N151" s="87">
        <v>14670.200999999999</v>
      </c>
      <c r="O151" s="123">
        <v>98140.342584661179</v>
      </c>
      <c r="P151" s="123">
        <v>117369.69826778537</v>
      </c>
      <c r="Q151" s="120">
        <v>31339.566106276056</v>
      </c>
      <c r="R151" s="123">
        <v>129479.90869093724</v>
      </c>
      <c r="S151" s="123">
        <v>148709.26437406143</v>
      </c>
      <c r="U151" s="7" t="s">
        <v>7386</v>
      </c>
    </row>
    <row r="152" spans="1:21" ht="16.5" thickBot="1">
      <c r="A152" s="259" t="s">
        <v>10</v>
      </c>
      <c r="B152" s="263">
        <f t="shared" si="6"/>
        <v>150</v>
      </c>
      <c r="C152" s="263" t="s">
        <v>3</v>
      </c>
      <c r="D152" s="263">
        <f t="shared" si="7"/>
        <v>260</v>
      </c>
      <c r="E152" s="263" t="s">
        <v>3</v>
      </c>
      <c r="F152" s="261">
        <f t="shared" si="8"/>
        <v>2900</v>
      </c>
      <c r="G152" s="263" t="s">
        <v>3</v>
      </c>
      <c r="H152" s="260">
        <v>4</v>
      </c>
      <c r="I152" s="262" t="s">
        <v>582</v>
      </c>
      <c r="J152" s="112">
        <v>150</v>
      </c>
      <c r="K152" s="75">
        <v>260</v>
      </c>
      <c r="L152" s="75">
        <v>2900</v>
      </c>
      <c r="M152" s="202">
        <v>40.642777424807633</v>
      </c>
      <c r="N152" s="87">
        <v>14963.605019999999</v>
      </c>
      <c r="O152" s="123">
        <v>99046.358387798289</v>
      </c>
      <c r="P152" s="123">
        <v>118559.89339169975</v>
      </c>
      <c r="Q152" s="120">
        <v>32001.758496426271</v>
      </c>
      <c r="R152" s="123">
        <v>131048.11688422455</v>
      </c>
      <c r="S152" s="123">
        <v>150561.65188812601</v>
      </c>
      <c r="U152" s="7" t="s">
        <v>7387</v>
      </c>
    </row>
    <row r="153" spans="1:21" ht="16.5" thickBot="1">
      <c r="A153" s="259" t="s">
        <v>10</v>
      </c>
      <c r="B153" s="263">
        <f t="shared" si="6"/>
        <v>150</v>
      </c>
      <c r="C153" s="263" t="s">
        <v>3</v>
      </c>
      <c r="D153" s="263">
        <f t="shared" si="7"/>
        <v>260</v>
      </c>
      <c r="E153" s="263" t="s">
        <v>3</v>
      </c>
      <c r="F153" s="261">
        <f t="shared" si="8"/>
        <v>2950</v>
      </c>
      <c r="G153" s="263" t="s">
        <v>3</v>
      </c>
      <c r="H153" s="260">
        <v>4</v>
      </c>
      <c r="I153" s="262" t="s">
        <v>582</v>
      </c>
      <c r="J153" s="112">
        <v>150</v>
      </c>
      <c r="K153" s="75">
        <v>260</v>
      </c>
      <c r="L153" s="75">
        <v>2950</v>
      </c>
      <c r="M153" s="202">
        <v>41.236887612447894</v>
      </c>
      <c r="N153" s="87">
        <v>15257.009039999999</v>
      </c>
      <c r="O153" s="123">
        <v>99952.325979854693</v>
      </c>
      <c r="P153" s="123">
        <v>119750.0392922973</v>
      </c>
      <c r="Q153" s="120">
        <v>32433.369108793206</v>
      </c>
      <c r="R153" s="123">
        <v>132385.69508864789</v>
      </c>
      <c r="S153" s="123">
        <v>152183.40840109051</v>
      </c>
      <c r="U153" s="7" t="s">
        <v>7388</v>
      </c>
    </row>
    <row r="154" spans="1:21" ht="16.5" thickBot="1">
      <c r="A154" s="264" t="s">
        <v>10</v>
      </c>
      <c r="B154" s="265">
        <f t="shared" si="6"/>
        <v>150</v>
      </c>
      <c r="C154" s="265" t="s">
        <v>3</v>
      </c>
      <c r="D154" s="265">
        <f t="shared" si="7"/>
        <v>260</v>
      </c>
      <c r="E154" s="265" t="s">
        <v>3</v>
      </c>
      <c r="F154" s="266">
        <f t="shared" si="8"/>
        <v>3000</v>
      </c>
      <c r="G154" s="265" t="s">
        <v>3</v>
      </c>
      <c r="H154" s="267">
        <v>4</v>
      </c>
      <c r="I154" s="262" t="s">
        <v>582</v>
      </c>
      <c r="J154" s="346">
        <v>150</v>
      </c>
      <c r="K154" s="322">
        <v>260</v>
      </c>
      <c r="L154" s="322">
        <v>3000</v>
      </c>
      <c r="M154" s="305">
        <v>41.84803780008815</v>
      </c>
      <c r="N154" s="306">
        <v>15550.413059999997</v>
      </c>
      <c r="O154" s="307">
        <v>102575.0822789473</v>
      </c>
      <c r="P154" s="307">
        <v>122698.89108580349</v>
      </c>
      <c r="Q154" s="308">
        <v>33095.561498943418</v>
      </c>
      <c r="R154" s="307">
        <v>135670.64377789071</v>
      </c>
      <c r="S154" s="307">
        <v>155794.4525847469</v>
      </c>
      <c r="U154" s="7" t="s">
        <v>7389</v>
      </c>
    </row>
    <row r="155" spans="1:21" ht="22.5" customHeight="1" thickBot="1">
      <c r="A155" s="2580" t="s">
        <v>48</v>
      </c>
      <c r="B155" s="2581"/>
      <c r="C155" s="2581"/>
      <c r="D155" s="2581"/>
      <c r="E155" s="2581"/>
      <c r="F155" s="2581"/>
      <c r="G155" s="2581"/>
      <c r="H155" s="2581"/>
      <c r="I155" s="2581"/>
      <c r="J155" s="2581"/>
      <c r="K155" s="2581"/>
      <c r="L155" s="2581"/>
      <c r="M155" s="2581"/>
      <c r="N155" s="2581"/>
      <c r="O155" s="2581"/>
      <c r="P155" s="2581"/>
      <c r="Q155" s="2581"/>
      <c r="R155" s="2581"/>
      <c r="S155" s="2582"/>
      <c r="U155" s="7"/>
    </row>
    <row r="156" spans="1:21" ht="19.5" thickBot="1">
      <c r="A156" s="2627" t="s">
        <v>139</v>
      </c>
      <c r="B156" s="2628"/>
      <c r="C156" s="2628"/>
      <c r="D156" s="2628"/>
      <c r="E156" s="2628"/>
      <c r="F156" s="2628"/>
      <c r="G156" s="2628"/>
      <c r="H156" s="2628"/>
      <c r="I156" s="2628"/>
      <c r="J156" s="2628"/>
      <c r="K156" s="2628"/>
      <c r="L156" s="2628"/>
      <c r="M156" s="2628"/>
      <c r="N156" s="2628"/>
      <c r="O156" s="2628"/>
      <c r="P156" s="2628"/>
      <c r="Q156" s="2628"/>
      <c r="R156" s="2628"/>
      <c r="S156" s="2629"/>
      <c r="U156" s="7"/>
    </row>
    <row r="157" spans="1:21" ht="16.5" thickBot="1">
      <c r="A157" s="259" t="s">
        <v>10</v>
      </c>
      <c r="B157" s="260">
        <f t="shared" ref="B157:B203" si="9">J157</f>
        <v>150</v>
      </c>
      <c r="C157" s="260" t="s">
        <v>3</v>
      </c>
      <c r="D157" s="260">
        <f t="shared" ref="D157:D203" si="10">K157</f>
        <v>300</v>
      </c>
      <c r="E157" s="260" t="s">
        <v>3</v>
      </c>
      <c r="F157" s="261">
        <f t="shared" ref="F157:F203" si="11">L157</f>
        <v>700</v>
      </c>
      <c r="G157" s="260" t="s">
        <v>3</v>
      </c>
      <c r="H157" s="260">
        <v>4</v>
      </c>
      <c r="I157" s="262" t="s">
        <v>582</v>
      </c>
      <c r="J157" s="344">
        <v>150</v>
      </c>
      <c r="K157" s="327">
        <v>300</v>
      </c>
      <c r="L157" s="327">
        <v>700</v>
      </c>
      <c r="M157" s="301">
        <v>11.557613289455</v>
      </c>
      <c r="N157" s="302">
        <v>2199.5953979999999</v>
      </c>
      <c r="O157" s="303">
        <v>29956.931495123921</v>
      </c>
      <c r="P157" s="303">
        <v>36212.538694833689</v>
      </c>
      <c r="Q157" s="304">
        <v>9394.7606208712132</v>
      </c>
      <c r="R157" s="303">
        <v>39351.692115995131</v>
      </c>
      <c r="S157" s="303">
        <v>45607.299315704906</v>
      </c>
      <c r="U157" s="7" t="s">
        <v>7390</v>
      </c>
    </row>
    <row r="158" spans="1:21" ht="16.5" thickBot="1">
      <c r="A158" s="259" t="s">
        <v>10</v>
      </c>
      <c r="B158" s="263">
        <f t="shared" si="9"/>
        <v>150</v>
      </c>
      <c r="C158" s="263" t="s">
        <v>3</v>
      </c>
      <c r="D158" s="263">
        <f t="shared" si="10"/>
        <v>300</v>
      </c>
      <c r="E158" s="263" t="s">
        <v>3</v>
      </c>
      <c r="F158" s="261">
        <f t="shared" si="11"/>
        <v>750</v>
      </c>
      <c r="G158" s="263" t="s">
        <v>3</v>
      </c>
      <c r="H158" s="260">
        <v>4</v>
      </c>
      <c r="I158" s="262" t="s">
        <v>582</v>
      </c>
      <c r="J158" s="112">
        <v>150</v>
      </c>
      <c r="K158" s="75">
        <v>300</v>
      </c>
      <c r="L158" s="75">
        <v>750</v>
      </c>
      <c r="M158" s="202">
        <v>12.215755776989997</v>
      </c>
      <c r="N158" s="87">
        <v>2513.8233120000004</v>
      </c>
      <c r="O158" s="123">
        <v>31783.53334918775</v>
      </c>
      <c r="P158" s="123">
        <v>38365.694396753155</v>
      </c>
      <c r="Q158" s="120">
        <v>9875.165788735203</v>
      </c>
      <c r="R158" s="123">
        <v>41658.699137922951</v>
      </c>
      <c r="S158" s="123">
        <v>48240.86018548836</v>
      </c>
      <c r="U158" s="7" t="s">
        <v>7391</v>
      </c>
    </row>
    <row r="159" spans="1:21" ht="16.5" thickBot="1">
      <c r="A159" s="259" t="s">
        <v>10</v>
      </c>
      <c r="B159" s="263">
        <f t="shared" si="9"/>
        <v>150</v>
      </c>
      <c r="C159" s="263" t="s">
        <v>3</v>
      </c>
      <c r="D159" s="263">
        <f t="shared" si="10"/>
        <v>300</v>
      </c>
      <c r="E159" s="263" t="s">
        <v>3</v>
      </c>
      <c r="F159" s="261">
        <f t="shared" si="11"/>
        <v>800</v>
      </c>
      <c r="G159" s="263" t="s">
        <v>3</v>
      </c>
      <c r="H159" s="260">
        <v>4</v>
      </c>
      <c r="I159" s="262" t="s">
        <v>582</v>
      </c>
      <c r="J159" s="112">
        <v>150</v>
      </c>
      <c r="K159" s="75">
        <v>300</v>
      </c>
      <c r="L159" s="75">
        <v>800</v>
      </c>
      <c r="M159" s="202">
        <v>12.873898264524998</v>
      </c>
      <c r="N159" s="87">
        <v>2828.0512260000005</v>
      </c>
      <c r="O159" s="123">
        <v>33610.740109112914</v>
      </c>
      <c r="P159" s="123">
        <v>40519.46963352232</v>
      </c>
      <c r="Q159" s="120">
        <v>10355.570956599189</v>
      </c>
      <c r="R159" s="123">
        <v>43966.3110657121</v>
      </c>
      <c r="S159" s="123">
        <v>50875.040590121513</v>
      </c>
      <c r="U159" s="7" t="s">
        <v>7392</v>
      </c>
    </row>
    <row r="160" spans="1:21" ht="16.5" thickBot="1">
      <c r="A160" s="259" t="s">
        <v>10</v>
      </c>
      <c r="B160" s="263">
        <f t="shared" si="9"/>
        <v>150</v>
      </c>
      <c r="C160" s="263" t="s">
        <v>3</v>
      </c>
      <c r="D160" s="263">
        <f t="shared" si="10"/>
        <v>300</v>
      </c>
      <c r="E160" s="263" t="s">
        <v>3</v>
      </c>
      <c r="F160" s="261">
        <f t="shared" si="11"/>
        <v>850</v>
      </c>
      <c r="G160" s="263" t="s">
        <v>3</v>
      </c>
      <c r="H160" s="260">
        <v>4</v>
      </c>
      <c r="I160" s="262" t="s">
        <v>582</v>
      </c>
      <c r="J160" s="112">
        <v>150</v>
      </c>
      <c r="K160" s="75">
        <v>300</v>
      </c>
      <c r="L160" s="75">
        <v>850</v>
      </c>
      <c r="M160" s="202">
        <v>13.54908075206</v>
      </c>
      <c r="N160" s="87">
        <v>3142.2791400000006</v>
      </c>
      <c r="O160" s="123">
        <v>35437.946869038075</v>
      </c>
      <c r="P160" s="123">
        <v>42673.245000857321</v>
      </c>
      <c r="Q160" s="120">
        <v>11066.558042639816</v>
      </c>
      <c r="R160" s="123">
        <v>46504.50491167789</v>
      </c>
      <c r="S160" s="123">
        <v>53739.803043497137</v>
      </c>
      <c r="U160" s="7" t="s">
        <v>7393</v>
      </c>
    </row>
    <row r="161" spans="1:21" ht="16.5" thickBot="1">
      <c r="A161" s="259" t="s">
        <v>10</v>
      </c>
      <c r="B161" s="263">
        <f t="shared" si="9"/>
        <v>150</v>
      </c>
      <c r="C161" s="263" t="s">
        <v>3</v>
      </c>
      <c r="D161" s="263">
        <f t="shared" si="10"/>
        <v>300</v>
      </c>
      <c r="E161" s="263" t="s">
        <v>3</v>
      </c>
      <c r="F161" s="261">
        <f t="shared" si="11"/>
        <v>900</v>
      </c>
      <c r="G161" s="263" t="s">
        <v>3</v>
      </c>
      <c r="H161" s="260">
        <v>4</v>
      </c>
      <c r="I161" s="262" t="s">
        <v>582</v>
      </c>
      <c r="J161" s="112">
        <v>150</v>
      </c>
      <c r="K161" s="75">
        <v>300</v>
      </c>
      <c r="L161" s="75">
        <v>900</v>
      </c>
      <c r="M161" s="202">
        <v>14.366223239594998</v>
      </c>
      <c r="N161" s="87">
        <v>3456.5070540000011</v>
      </c>
      <c r="O161" s="123">
        <v>37265.153628963242</v>
      </c>
      <c r="P161" s="123">
        <v>44827.020368192316</v>
      </c>
      <c r="Q161" s="120">
        <v>11546.963210503804</v>
      </c>
      <c r="R161" s="123">
        <v>48812.116839467046</v>
      </c>
      <c r="S161" s="123">
        <v>56373.983578696119</v>
      </c>
      <c r="U161" s="7" t="s">
        <v>7394</v>
      </c>
    </row>
    <row r="162" spans="1:21" ht="16.5" thickBot="1">
      <c r="A162" s="259" t="s">
        <v>10</v>
      </c>
      <c r="B162" s="263">
        <f t="shared" si="9"/>
        <v>150</v>
      </c>
      <c r="C162" s="263" t="s">
        <v>3</v>
      </c>
      <c r="D162" s="263">
        <f t="shared" si="10"/>
        <v>300</v>
      </c>
      <c r="E162" s="263" t="s">
        <v>3</v>
      </c>
      <c r="F162" s="261">
        <f t="shared" si="11"/>
        <v>950</v>
      </c>
      <c r="G162" s="263" t="s">
        <v>3</v>
      </c>
      <c r="H162" s="260">
        <v>4</v>
      </c>
      <c r="I162" s="262" t="s">
        <v>582</v>
      </c>
      <c r="J162" s="112">
        <v>150</v>
      </c>
      <c r="K162" s="75">
        <v>300</v>
      </c>
      <c r="L162" s="75">
        <v>950</v>
      </c>
      <c r="M162" s="202">
        <v>15.041405727129998</v>
      </c>
      <c r="N162" s="87">
        <v>3770.7349680000002</v>
      </c>
      <c r="O162" s="123">
        <v>39092.360508222766</v>
      </c>
      <c r="P162" s="123">
        <v>46980.795735527317</v>
      </c>
      <c r="Q162" s="120">
        <v>12257.950156151066</v>
      </c>
      <c r="R162" s="123">
        <v>51350.310664373828</v>
      </c>
      <c r="S162" s="123">
        <v>59238.74589167838</v>
      </c>
      <c r="U162" s="7" t="s">
        <v>7395</v>
      </c>
    </row>
    <row r="163" spans="1:21" ht="16.5" thickBot="1">
      <c r="A163" s="259" t="s">
        <v>10</v>
      </c>
      <c r="B163" s="263">
        <f t="shared" si="9"/>
        <v>150</v>
      </c>
      <c r="C163" s="263" t="s">
        <v>3</v>
      </c>
      <c r="D163" s="263">
        <f t="shared" si="10"/>
        <v>300</v>
      </c>
      <c r="E163" s="263" t="s">
        <v>3</v>
      </c>
      <c r="F163" s="261">
        <f t="shared" si="11"/>
        <v>1000</v>
      </c>
      <c r="G163" s="263" t="s">
        <v>3</v>
      </c>
      <c r="H163" s="260">
        <v>4</v>
      </c>
      <c r="I163" s="262" t="s">
        <v>582</v>
      </c>
      <c r="J163" s="112">
        <v>150</v>
      </c>
      <c r="K163" s="75">
        <v>300</v>
      </c>
      <c r="L163" s="75">
        <v>1000</v>
      </c>
      <c r="M163" s="202">
        <v>15.699548214664999</v>
      </c>
      <c r="N163" s="87">
        <v>4084.9628820000007</v>
      </c>
      <c r="O163" s="123">
        <v>40824.43511119426</v>
      </c>
      <c r="P163" s="123">
        <v>49037.116247232909</v>
      </c>
      <c r="Q163" s="120">
        <v>12738.355464408416</v>
      </c>
      <c r="R163" s="123">
        <v>53562.790575602674</v>
      </c>
      <c r="S163" s="123">
        <v>61775.471711641323</v>
      </c>
      <c r="U163" s="7" t="s">
        <v>7396</v>
      </c>
    </row>
    <row r="164" spans="1:21" ht="16.5" thickBot="1">
      <c r="A164" s="259" t="s">
        <v>10</v>
      </c>
      <c r="B164" s="263">
        <f t="shared" si="9"/>
        <v>150</v>
      </c>
      <c r="C164" s="263" t="s">
        <v>3</v>
      </c>
      <c r="D164" s="263">
        <f t="shared" si="10"/>
        <v>300</v>
      </c>
      <c r="E164" s="263" t="s">
        <v>3</v>
      </c>
      <c r="F164" s="261">
        <f t="shared" si="11"/>
        <v>1050</v>
      </c>
      <c r="G164" s="263" t="s">
        <v>3</v>
      </c>
      <c r="H164" s="260">
        <v>4</v>
      </c>
      <c r="I164" s="262" t="s">
        <v>582</v>
      </c>
      <c r="J164" s="112">
        <v>150</v>
      </c>
      <c r="K164" s="75">
        <v>300</v>
      </c>
      <c r="L164" s="75">
        <v>1050</v>
      </c>
      <c r="M164" s="202">
        <v>16.374730702199997</v>
      </c>
      <c r="N164" s="87">
        <v>4399.1907959999999</v>
      </c>
      <c r="O164" s="123">
        <v>42677.161881607528</v>
      </c>
      <c r="P164" s="123">
        <v>51217.034679567325</v>
      </c>
      <c r="Q164" s="120">
        <v>13449.342410055679</v>
      </c>
      <c r="R164" s="123">
        <v>56126.504291663208</v>
      </c>
      <c r="S164" s="123">
        <v>64666.377089623005</v>
      </c>
      <c r="U164" s="7" t="s">
        <v>7397</v>
      </c>
    </row>
    <row r="165" spans="1:21" ht="16.5" thickBot="1">
      <c r="A165" s="259" t="s">
        <v>10</v>
      </c>
      <c r="B165" s="260">
        <f t="shared" si="9"/>
        <v>150</v>
      </c>
      <c r="C165" s="260" t="s">
        <v>3</v>
      </c>
      <c r="D165" s="260">
        <f t="shared" si="10"/>
        <v>300</v>
      </c>
      <c r="E165" s="260" t="s">
        <v>3</v>
      </c>
      <c r="F165" s="261">
        <f t="shared" si="11"/>
        <v>1100</v>
      </c>
      <c r="G165" s="260" t="s">
        <v>3</v>
      </c>
      <c r="H165" s="260">
        <v>4</v>
      </c>
      <c r="I165" s="262" t="s">
        <v>582</v>
      </c>
      <c r="J165" s="112">
        <v>150</v>
      </c>
      <c r="K165" s="75">
        <v>300</v>
      </c>
      <c r="L165" s="75">
        <v>1100</v>
      </c>
      <c r="M165" s="202">
        <v>17.032873189734996</v>
      </c>
      <c r="N165" s="87">
        <v>4713.4187100000008</v>
      </c>
      <c r="O165" s="123">
        <v>44504.368760867052</v>
      </c>
      <c r="P165" s="123">
        <v>53370.80991633649</v>
      </c>
      <c r="Q165" s="120">
        <v>13929.747718313029</v>
      </c>
      <c r="R165" s="123">
        <v>58434.116479180084</v>
      </c>
      <c r="S165" s="123">
        <v>67300.557634649522</v>
      </c>
      <c r="U165" s="7" t="s">
        <v>7398</v>
      </c>
    </row>
    <row r="166" spans="1:21" ht="16.5" thickBot="1">
      <c r="A166" s="259" t="s">
        <v>10</v>
      </c>
      <c r="B166" s="263">
        <f t="shared" si="9"/>
        <v>150</v>
      </c>
      <c r="C166" s="263" t="s">
        <v>3</v>
      </c>
      <c r="D166" s="263">
        <f t="shared" si="10"/>
        <v>300</v>
      </c>
      <c r="E166" s="263" t="s">
        <v>3</v>
      </c>
      <c r="F166" s="261">
        <f t="shared" si="11"/>
        <v>1150</v>
      </c>
      <c r="G166" s="263" t="s">
        <v>3</v>
      </c>
      <c r="H166" s="260">
        <v>4</v>
      </c>
      <c r="I166" s="262" t="s">
        <v>582</v>
      </c>
      <c r="J166" s="112">
        <v>150</v>
      </c>
      <c r="K166" s="75">
        <v>300</v>
      </c>
      <c r="L166" s="75">
        <v>1150</v>
      </c>
      <c r="M166" s="202">
        <v>17.691015677269995</v>
      </c>
      <c r="N166" s="87">
        <v>5027.6466240000009</v>
      </c>
      <c r="O166" s="123">
        <v>45576.232948904755</v>
      </c>
      <c r="P166" s="123">
        <v>54750.800357495376</v>
      </c>
      <c r="Q166" s="120">
        <v>14410.152886177015</v>
      </c>
      <c r="R166" s="123">
        <v>59986.385835081768</v>
      </c>
      <c r="S166" s="123">
        <v>69160.953243672397</v>
      </c>
      <c r="U166" s="7" t="s">
        <v>7399</v>
      </c>
    </row>
    <row r="167" spans="1:21" ht="16.5" thickBot="1">
      <c r="A167" s="259" t="s">
        <v>10</v>
      </c>
      <c r="B167" s="263">
        <f t="shared" si="9"/>
        <v>150</v>
      </c>
      <c r="C167" s="263" t="s">
        <v>3</v>
      </c>
      <c r="D167" s="263">
        <f t="shared" si="10"/>
        <v>300</v>
      </c>
      <c r="E167" s="263" t="s">
        <v>3</v>
      </c>
      <c r="F167" s="261">
        <f t="shared" si="11"/>
        <v>1200</v>
      </c>
      <c r="G167" s="263" t="s">
        <v>3</v>
      </c>
      <c r="H167" s="260">
        <v>4</v>
      </c>
      <c r="I167" s="262" t="s">
        <v>582</v>
      </c>
      <c r="J167" s="112">
        <v>150</v>
      </c>
      <c r="K167" s="75">
        <v>300</v>
      </c>
      <c r="L167" s="75">
        <v>1200</v>
      </c>
      <c r="M167" s="202">
        <v>18.523198164804995</v>
      </c>
      <c r="N167" s="87">
        <v>5341.8745380000009</v>
      </c>
      <c r="O167" s="123">
        <v>46707.481374241848</v>
      </c>
      <c r="P167" s="123">
        <v>56191.624681657471</v>
      </c>
      <c r="Q167" s="120">
        <v>15121.139831824277</v>
      </c>
      <c r="R167" s="123">
        <v>61828.621206066127</v>
      </c>
      <c r="S167" s="123">
        <v>71312.764513481743</v>
      </c>
      <c r="U167" s="7" t="s">
        <v>7400</v>
      </c>
    </row>
    <row r="168" spans="1:21" ht="16.5" thickBot="1">
      <c r="A168" s="259" t="s">
        <v>10</v>
      </c>
      <c r="B168" s="263">
        <f t="shared" si="9"/>
        <v>150</v>
      </c>
      <c r="C168" s="263" t="s">
        <v>3</v>
      </c>
      <c r="D168" s="263">
        <f t="shared" si="10"/>
        <v>300</v>
      </c>
      <c r="E168" s="263" t="s">
        <v>3</v>
      </c>
      <c r="F168" s="261">
        <f t="shared" si="11"/>
        <v>1250</v>
      </c>
      <c r="G168" s="263" t="s">
        <v>3</v>
      </c>
      <c r="H168" s="260">
        <v>4</v>
      </c>
      <c r="I168" s="262" t="s">
        <v>582</v>
      </c>
      <c r="J168" s="112">
        <v>150</v>
      </c>
      <c r="K168" s="75">
        <v>300</v>
      </c>
      <c r="L168" s="75">
        <v>1250</v>
      </c>
      <c r="M168" s="202">
        <v>20.04334065234</v>
      </c>
      <c r="N168" s="87">
        <v>5656.102452000001</v>
      </c>
      <c r="O168" s="123">
        <v>47778.864644816298</v>
      </c>
      <c r="P168" s="123">
        <v>57571.122236818956</v>
      </c>
      <c r="Q168" s="120">
        <v>15601.545140081627</v>
      </c>
      <c r="R168" s="123">
        <v>63380.409784897929</v>
      </c>
      <c r="S168" s="123">
        <v>73172.667376900587</v>
      </c>
      <c r="U168" s="7" t="s">
        <v>7401</v>
      </c>
    </row>
    <row r="169" spans="1:21" ht="16.5" thickBot="1">
      <c r="A169" s="259" t="s">
        <v>10</v>
      </c>
      <c r="B169" s="263">
        <f t="shared" si="9"/>
        <v>150</v>
      </c>
      <c r="C169" s="263" t="s">
        <v>3</v>
      </c>
      <c r="D169" s="263">
        <f t="shared" si="10"/>
        <v>300</v>
      </c>
      <c r="E169" s="263" t="s">
        <v>3</v>
      </c>
      <c r="F169" s="261">
        <f t="shared" si="11"/>
        <v>1300</v>
      </c>
      <c r="G169" s="263" t="s">
        <v>3</v>
      </c>
      <c r="H169" s="260">
        <v>4</v>
      </c>
      <c r="I169" s="262" t="s">
        <v>582</v>
      </c>
      <c r="J169" s="112">
        <v>150</v>
      </c>
      <c r="K169" s="75">
        <v>300</v>
      </c>
      <c r="L169" s="75">
        <v>1300</v>
      </c>
      <c r="M169" s="202">
        <v>20.718523139875</v>
      </c>
      <c r="N169" s="87">
        <v>5970.330366000001</v>
      </c>
      <c r="O169" s="123">
        <v>51302.631386728812</v>
      </c>
      <c r="P169" s="123">
        <v>61462.8808723763</v>
      </c>
      <c r="Q169" s="120">
        <v>16312.53208572889</v>
      </c>
      <c r="R169" s="123">
        <v>67615.163472457702</v>
      </c>
      <c r="S169" s="123">
        <v>77775.412958105182</v>
      </c>
      <c r="U169" s="7" t="s">
        <v>7402</v>
      </c>
    </row>
    <row r="170" spans="1:21" ht="16.5" thickBot="1">
      <c r="A170" s="259" t="s">
        <v>10</v>
      </c>
      <c r="B170" s="263">
        <f t="shared" si="9"/>
        <v>150</v>
      </c>
      <c r="C170" s="263" t="s">
        <v>3</v>
      </c>
      <c r="D170" s="263">
        <f t="shared" si="10"/>
        <v>300</v>
      </c>
      <c r="E170" s="263" t="s">
        <v>3</v>
      </c>
      <c r="F170" s="261">
        <f t="shared" si="11"/>
        <v>1350</v>
      </c>
      <c r="G170" s="263" t="s">
        <v>3</v>
      </c>
      <c r="H170" s="260">
        <v>4</v>
      </c>
      <c r="I170" s="262" t="s">
        <v>582</v>
      </c>
      <c r="J170" s="112">
        <v>150</v>
      </c>
      <c r="K170" s="75">
        <v>300</v>
      </c>
      <c r="L170" s="75">
        <v>1350</v>
      </c>
      <c r="M170" s="202">
        <v>21.376665627409999</v>
      </c>
      <c r="N170" s="87">
        <v>6284.5582800000011</v>
      </c>
      <c r="O170" s="123">
        <v>52623.711061587608</v>
      </c>
      <c r="P170" s="123">
        <v>63098.171506248298</v>
      </c>
      <c r="Q170" s="120">
        <v>16792.937253592878</v>
      </c>
      <c r="R170" s="123">
        <v>69416.648315180486</v>
      </c>
      <c r="S170" s="123">
        <v>79891.108759841183</v>
      </c>
      <c r="U170" s="7" t="s">
        <v>7403</v>
      </c>
    </row>
    <row r="171" spans="1:21" ht="16.5" thickBot="1">
      <c r="A171" s="259" t="s">
        <v>10</v>
      </c>
      <c r="B171" s="263">
        <f t="shared" si="9"/>
        <v>150</v>
      </c>
      <c r="C171" s="263" t="s">
        <v>3</v>
      </c>
      <c r="D171" s="263">
        <f t="shared" si="10"/>
        <v>300</v>
      </c>
      <c r="E171" s="263" t="s">
        <v>3</v>
      </c>
      <c r="F171" s="261">
        <f t="shared" si="11"/>
        <v>1400</v>
      </c>
      <c r="G171" s="263" t="s">
        <v>3</v>
      </c>
      <c r="H171" s="260">
        <v>4</v>
      </c>
      <c r="I171" s="262" t="s">
        <v>582</v>
      </c>
      <c r="J171" s="112">
        <v>150</v>
      </c>
      <c r="K171" s="75">
        <v>300</v>
      </c>
      <c r="L171" s="75">
        <v>1400</v>
      </c>
      <c r="M171" s="202">
        <v>22.051848114945003</v>
      </c>
      <c r="N171" s="87">
        <v>6598.7861940000012</v>
      </c>
      <c r="O171" s="123">
        <v>54271.807212721935</v>
      </c>
      <c r="P171" s="123">
        <v>65068.463108422009</v>
      </c>
      <c r="Q171" s="120">
        <v>17503.924339633504</v>
      </c>
      <c r="R171" s="123">
        <v>71775.731552355443</v>
      </c>
      <c r="S171" s="123">
        <v>82572.38744805551</v>
      </c>
      <c r="U171" s="7" t="s">
        <v>7404</v>
      </c>
    </row>
    <row r="172" spans="1:21" ht="16.5" thickBot="1">
      <c r="A172" s="259" t="s">
        <v>10</v>
      </c>
      <c r="B172" s="263">
        <f t="shared" si="9"/>
        <v>150</v>
      </c>
      <c r="C172" s="263" t="s">
        <v>3</v>
      </c>
      <c r="D172" s="263">
        <f t="shared" si="10"/>
        <v>300</v>
      </c>
      <c r="E172" s="263" t="s">
        <v>3</v>
      </c>
      <c r="F172" s="261">
        <f t="shared" si="11"/>
        <v>1450</v>
      </c>
      <c r="G172" s="263" t="s">
        <v>3</v>
      </c>
      <c r="H172" s="260">
        <v>4</v>
      </c>
      <c r="I172" s="262" t="s">
        <v>582</v>
      </c>
      <c r="J172" s="112">
        <v>150</v>
      </c>
      <c r="K172" s="75">
        <v>300</v>
      </c>
      <c r="L172" s="75">
        <v>1450</v>
      </c>
      <c r="M172" s="202">
        <v>22.709990602479998</v>
      </c>
      <c r="N172" s="87">
        <v>6913.0141080000021</v>
      </c>
      <c r="O172" s="123">
        <v>55592.886887580731</v>
      </c>
      <c r="P172" s="123">
        <v>66703.753611728185</v>
      </c>
      <c r="Q172" s="120">
        <v>17984.32950749735</v>
      </c>
      <c r="R172" s="123">
        <v>73577.216395078081</v>
      </c>
      <c r="S172" s="123">
        <v>84688.083119225543</v>
      </c>
      <c r="U172" s="7" t="s">
        <v>7405</v>
      </c>
    </row>
    <row r="173" spans="1:21" ht="16.5" thickBot="1">
      <c r="A173" s="259" t="s">
        <v>10</v>
      </c>
      <c r="B173" s="263">
        <f t="shared" si="9"/>
        <v>150</v>
      </c>
      <c r="C173" s="263" t="s">
        <v>3</v>
      </c>
      <c r="D173" s="263">
        <f t="shared" si="10"/>
        <v>300</v>
      </c>
      <c r="E173" s="263" t="s">
        <v>3</v>
      </c>
      <c r="F173" s="261">
        <f t="shared" si="11"/>
        <v>1500</v>
      </c>
      <c r="G173" s="263" t="s">
        <v>3</v>
      </c>
      <c r="H173" s="260">
        <v>4</v>
      </c>
      <c r="I173" s="262" t="s">
        <v>582</v>
      </c>
      <c r="J173" s="112">
        <v>150</v>
      </c>
      <c r="K173" s="75">
        <v>300</v>
      </c>
      <c r="L173" s="75">
        <v>1500</v>
      </c>
      <c r="M173" s="202">
        <v>23.314624287314999</v>
      </c>
      <c r="N173" s="87">
        <v>7227.2420220000004</v>
      </c>
      <c r="O173" s="123">
        <v>57463.967878945412</v>
      </c>
      <c r="P173" s="123">
        <v>69065.390950938629</v>
      </c>
      <c r="Q173" s="120">
        <v>18695.316593538118</v>
      </c>
      <c r="R173" s="123">
        <v>76159.28447248353</v>
      </c>
      <c r="S173" s="123">
        <v>87760.707544476754</v>
      </c>
      <c r="U173" s="7" t="s">
        <v>7406</v>
      </c>
    </row>
    <row r="174" spans="1:21" ht="16.5" thickBot="1">
      <c r="A174" s="259" t="s">
        <v>10</v>
      </c>
      <c r="B174" s="263">
        <f t="shared" si="9"/>
        <v>150</v>
      </c>
      <c r="C174" s="263" t="s">
        <v>3</v>
      </c>
      <c r="D174" s="263">
        <f t="shared" si="10"/>
        <v>300</v>
      </c>
      <c r="E174" s="263" t="s">
        <v>3</v>
      </c>
      <c r="F174" s="261">
        <f t="shared" si="11"/>
        <v>1550</v>
      </c>
      <c r="G174" s="263" t="s">
        <v>3</v>
      </c>
      <c r="H174" s="260">
        <v>4</v>
      </c>
      <c r="I174" s="262" t="s">
        <v>582</v>
      </c>
      <c r="J174" s="112">
        <v>150</v>
      </c>
      <c r="K174" s="75">
        <v>300</v>
      </c>
      <c r="L174" s="75">
        <v>1550</v>
      </c>
      <c r="M174" s="202">
        <v>23.972766774850001</v>
      </c>
      <c r="N174" s="87">
        <v>7541.4699360000004</v>
      </c>
      <c r="O174" s="123">
        <v>58785.047553804208</v>
      </c>
      <c r="P174" s="123">
        <v>70700.681454244797</v>
      </c>
      <c r="Q174" s="120">
        <v>19175.721761402103</v>
      </c>
      <c r="R174" s="123">
        <v>77960.769315206315</v>
      </c>
      <c r="S174" s="123">
        <v>89876.403215646904</v>
      </c>
      <c r="U174" s="7" t="s">
        <v>7407</v>
      </c>
    </row>
    <row r="175" spans="1:21" ht="16.5" thickBot="1">
      <c r="A175" s="259" t="s">
        <v>10</v>
      </c>
      <c r="B175" s="260">
        <f t="shared" si="9"/>
        <v>150</v>
      </c>
      <c r="C175" s="260" t="s">
        <v>3</v>
      </c>
      <c r="D175" s="260">
        <f t="shared" si="10"/>
        <v>300</v>
      </c>
      <c r="E175" s="260" t="s">
        <v>3</v>
      </c>
      <c r="F175" s="261">
        <f t="shared" si="11"/>
        <v>1600</v>
      </c>
      <c r="G175" s="260" t="s">
        <v>3</v>
      </c>
      <c r="H175" s="260">
        <v>4</v>
      </c>
      <c r="I175" s="262" t="s">
        <v>582</v>
      </c>
      <c r="J175" s="112">
        <v>150</v>
      </c>
      <c r="K175" s="75">
        <v>300</v>
      </c>
      <c r="L175" s="75">
        <v>1600</v>
      </c>
      <c r="M175" s="202">
        <v>24.630909262384996</v>
      </c>
      <c r="N175" s="87">
        <v>7855.6978500000005</v>
      </c>
      <c r="O175" s="123">
        <v>62052.168574421339</v>
      </c>
      <c r="P175" s="123">
        <v>74329.528170499296</v>
      </c>
      <c r="Q175" s="120">
        <v>19656.126929266091</v>
      </c>
      <c r="R175" s="123">
        <v>81708.295503687434</v>
      </c>
      <c r="S175" s="123">
        <v>93985.655099765383</v>
      </c>
      <c r="U175" s="7" t="s">
        <v>7408</v>
      </c>
    </row>
    <row r="176" spans="1:21" ht="16.5" thickBot="1">
      <c r="A176" s="259" t="s">
        <v>10</v>
      </c>
      <c r="B176" s="263">
        <f t="shared" si="9"/>
        <v>150</v>
      </c>
      <c r="C176" s="263" t="s">
        <v>3</v>
      </c>
      <c r="D176" s="263">
        <f t="shared" si="10"/>
        <v>300</v>
      </c>
      <c r="E176" s="263" t="s">
        <v>3</v>
      </c>
      <c r="F176" s="261">
        <f t="shared" si="11"/>
        <v>1650</v>
      </c>
      <c r="G176" s="263" t="s">
        <v>3</v>
      </c>
      <c r="H176" s="260">
        <v>4</v>
      </c>
      <c r="I176" s="262" t="s">
        <v>582</v>
      </c>
      <c r="J176" s="112">
        <v>150</v>
      </c>
      <c r="K176" s="75">
        <v>300</v>
      </c>
      <c r="L176" s="75">
        <v>1650</v>
      </c>
      <c r="M176" s="202">
        <v>25.30609174992</v>
      </c>
      <c r="N176" s="87">
        <v>8169.9257640000014</v>
      </c>
      <c r="O176" s="123">
        <v>65571.54977867275</v>
      </c>
      <c r="P176" s="123">
        <v>78216.794166511099</v>
      </c>
      <c r="Q176" s="120">
        <v>20367.114015306717</v>
      </c>
      <c r="R176" s="123">
        <v>85938.663793979475</v>
      </c>
      <c r="S176" s="123">
        <v>98583.908181817824</v>
      </c>
      <c r="U176" s="7" t="s">
        <v>7409</v>
      </c>
    </row>
    <row r="177" spans="1:21" ht="16.5" thickBot="1">
      <c r="A177" s="259" t="s">
        <v>10</v>
      </c>
      <c r="B177" s="263">
        <f t="shared" si="9"/>
        <v>150</v>
      </c>
      <c r="C177" s="263" t="s">
        <v>3</v>
      </c>
      <c r="D177" s="263">
        <f t="shared" si="10"/>
        <v>300</v>
      </c>
      <c r="E177" s="263" t="s">
        <v>3</v>
      </c>
      <c r="F177" s="261">
        <f t="shared" si="11"/>
        <v>1700</v>
      </c>
      <c r="G177" s="263" t="s">
        <v>3</v>
      </c>
      <c r="H177" s="260">
        <v>4</v>
      </c>
      <c r="I177" s="262" t="s">
        <v>582</v>
      </c>
      <c r="J177" s="112">
        <v>150</v>
      </c>
      <c r="K177" s="75">
        <v>300</v>
      </c>
      <c r="L177" s="75">
        <v>1700</v>
      </c>
      <c r="M177" s="202">
        <v>26.826234237455001</v>
      </c>
      <c r="N177" s="87">
        <v>8484.1536780000024</v>
      </c>
      <c r="O177" s="123">
        <v>66687.481997147566</v>
      </c>
      <c r="P177" s="123">
        <v>79641.928395227587</v>
      </c>
      <c r="Q177" s="120">
        <v>20847.519183170705</v>
      </c>
      <c r="R177" s="123">
        <v>87535.001180318272</v>
      </c>
      <c r="S177" s="123">
        <v>100489.44757839829</v>
      </c>
      <c r="U177" s="7" t="s">
        <v>7410</v>
      </c>
    </row>
    <row r="178" spans="1:21" ht="16.5" thickBot="1">
      <c r="A178" s="259" t="s">
        <v>10</v>
      </c>
      <c r="B178" s="263">
        <f t="shared" si="9"/>
        <v>150</v>
      </c>
      <c r="C178" s="263" t="s">
        <v>3</v>
      </c>
      <c r="D178" s="263">
        <f t="shared" si="10"/>
        <v>300</v>
      </c>
      <c r="E178" s="263" t="s">
        <v>3</v>
      </c>
      <c r="F178" s="261">
        <f t="shared" si="11"/>
        <v>1750</v>
      </c>
      <c r="G178" s="263" t="s">
        <v>3</v>
      </c>
      <c r="H178" s="260">
        <v>4</v>
      </c>
      <c r="I178" s="262" t="s">
        <v>582</v>
      </c>
      <c r="J178" s="112">
        <v>150</v>
      </c>
      <c r="K178" s="75">
        <v>300</v>
      </c>
      <c r="L178" s="75">
        <v>1750</v>
      </c>
      <c r="M178" s="202">
        <v>27.501416724990001</v>
      </c>
      <c r="N178" s="87">
        <v>8798.3815919999997</v>
      </c>
      <c r="O178" s="123">
        <v>67727.26051764749</v>
      </c>
      <c r="P178" s="123">
        <v>80989.049542236884</v>
      </c>
      <c r="Q178" s="120">
        <v>21558.506269211328</v>
      </c>
      <c r="R178" s="123">
        <v>89285.766786858818</v>
      </c>
      <c r="S178" s="123">
        <v>102547.55581144821</v>
      </c>
      <c r="U178" s="7" t="s">
        <v>7411</v>
      </c>
    </row>
    <row r="179" spans="1:21" ht="16.5" thickBot="1">
      <c r="A179" s="259" t="s">
        <v>10</v>
      </c>
      <c r="B179" s="263">
        <f t="shared" si="9"/>
        <v>150</v>
      </c>
      <c r="C179" s="263" t="s">
        <v>3</v>
      </c>
      <c r="D179" s="263">
        <f t="shared" si="10"/>
        <v>300</v>
      </c>
      <c r="E179" s="263" t="s">
        <v>3</v>
      </c>
      <c r="F179" s="261">
        <f t="shared" si="11"/>
        <v>1800</v>
      </c>
      <c r="G179" s="263" t="s">
        <v>3</v>
      </c>
      <c r="H179" s="260">
        <v>4</v>
      </c>
      <c r="I179" s="262" t="s">
        <v>582</v>
      </c>
      <c r="J179" s="112">
        <v>150</v>
      </c>
      <c r="K179" s="75">
        <v>300</v>
      </c>
      <c r="L179" s="75">
        <v>1800</v>
      </c>
      <c r="M179" s="202">
        <v>28.159559212525004</v>
      </c>
      <c r="N179" s="87">
        <v>9112.6095060000007</v>
      </c>
      <c r="O179" s="123">
        <v>68843.889290770676</v>
      </c>
      <c r="P179" s="123">
        <v>82414.897313198599</v>
      </c>
      <c r="Q179" s="120">
        <v>22038.911437075316</v>
      </c>
      <c r="R179" s="123">
        <v>90882.800727845985</v>
      </c>
      <c r="S179" s="123">
        <v>104453.80875027392</v>
      </c>
      <c r="U179" s="7" t="s">
        <v>7412</v>
      </c>
    </row>
    <row r="180" spans="1:21" ht="16.5" thickBot="1">
      <c r="A180" s="259" t="s">
        <v>10</v>
      </c>
      <c r="B180" s="263">
        <f t="shared" si="9"/>
        <v>150</v>
      </c>
      <c r="C180" s="263" t="s">
        <v>3</v>
      </c>
      <c r="D180" s="263">
        <f t="shared" si="10"/>
        <v>300</v>
      </c>
      <c r="E180" s="263" t="s">
        <v>3</v>
      </c>
      <c r="F180" s="261">
        <f t="shared" si="11"/>
        <v>1850</v>
      </c>
      <c r="G180" s="263" t="s">
        <v>3</v>
      </c>
      <c r="H180" s="260">
        <v>4</v>
      </c>
      <c r="I180" s="262" t="s">
        <v>582</v>
      </c>
      <c r="J180" s="112">
        <v>150</v>
      </c>
      <c r="K180" s="75">
        <v>300</v>
      </c>
      <c r="L180" s="75">
        <v>1850</v>
      </c>
      <c r="M180" s="202">
        <v>28.834741700060007</v>
      </c>
      <c r="N180" s="87">
        <v>9426.8374200000017</v>
      </c>
      <c r="O180" s="123">
        <v>69960.469972147548</v>
      </c>
      <c r="P180" s="123">
        <v>83840.695991409331</v>
      </c>
      <c r="Q180" s="120">
        <v>22749.898382722578</v>
      </c>
      <c r="R180" s="123">
        <v>92710.368354870123</v>
      </c>
      <c r="S180" s="123">
        <v>106590.59437413191</v>
      </c>
      <c r="U180" s="7" t="s">
        <v>7413</v>
      </c>
    </row>
    <row r="181" spans="1:21" ht="16.5" thickBot="1">
      <c r="A181" s="259" t="s">
        <v>10</v>
      </c>
      <c r="B181" s="263">
        <f t="shared" si="9"/>
        <v>150</v>
      </c>
      <c r="C181" s="263" t="s">
        <v>3</v>
      </c>
      <c r="D181" s="263">
        <f t="shared" si="10"/>
        <v>300</v>
      </c>
      <c r="E181" s="263" t="s">
        <v>3</v>
      </c>
      <c r="F181" s="261">
        <f t="shared" si="11"/>
        <v>1900</v>
      </c>
      <c r="G181" s="263" t="s">
        <v>3</v>
      </c>
      <c r="H181" s="260">
        <v>4</v>
      </c>
      <c r="I181" s="262" t="s">
        <v>582</v>
      </c>
      <c r="J181" s="112">
        <v>150</v>
      </c>
      <c r="K181" s="75">
        <v>300</v>
      </c>
      <c r="L181" s="75">
        <v>1900</v>
      </c>
      <c r="M181" s="202">
        <v>29.492884187595003</v>
      </c>
      <c r="N181" s="87">
        <v>9741.0653340000026</v>
      </c>
      <c r="O181" s="123">
        <v>71252.105087482574</v>
      </c>
      <c r="P181" s="123">
        <v>85445.823046767255</v>
      </c>
      <c r="Q181" s="120">
        <v>23230.30369097993</v>
      </c>
      <c r="R181" s="123">
        <v>94482.408778462501</v>
      </c>
      <c r="S181" s="123">
        <v>108676.12673774718</v>
      </c>
      <c r="U181" s="7" t="s">
        <v>7414</v>
      </c>
    </row>
    <row r="182" spans="1:21" ht="16.5" thickBot="1">
      <c r="A182" s="259" t="s">
        <v>10</v>
      </c>
      <c r="B182" s="263">
        <f t="shared" si="9"/>
        <v>150</v>
      </c>
      <c r="C182" s="263" t="s">
        <v>3</v>
      </c>
      <c r="D182" s="263">
        <f t="shared" si="10"/>
        <v>300</v>
      </c>
      <c r="E182" s="263" t="s">
        <v>3</v>
      </c>
      <c r="F182" s="261">
        <f t="shared" si="11"/>
        <v>1950</v>
      </c>
      <c r="G182" s="263" t="s">
        <v>3</v>
      </c>
      <c r="H182" s="260">
        <v>4</v>
      </c>
      <c r="I182" s="262" t="s">
        <v>582</v>
      </c>
      <c r="J182" s="112">
        <v>150</v>
      </c>
      <c r="K182" s="75">
        <v>300</v>
      </c>
      <c r="L182" s="75">
        <v>1950</v>
      </c>
      <c r="M182" s="202">
        <v>30.308026675130002</v>
      </c>
      <c r="N182" s="87">
        <v>10055.293248000002</v>
      </c>
      <c r="O182" s="123">
        <v>72727.186586842188</v>
      </c>
      <c r="P182" s="123">
        <v>87238.875586159425</v>
      </c>
      <c r="Q182" s="120">
        <v>23710.708858843918</v>
      </c>
      <c r="R182" s="123">
        <v>96437.89544568611</v>
      </c>
      <c r="S182" s="123">
        <v>110949.58444500335</v>
      </c>
      <c r="U182" s="7" t="s">
        <v>7415</v>
      </c>
    </row>
    <row r="183" spans="1:21" ht="16.5" thickBot="1">
      <c r="A183" s="259" t="s">
        <v>10</v>
      </c>
      <c r="B183" s="263">
        <f t="shared" si="9"/>
        <v>150</v>
      </c>
      <c r="C183" s="263" t="s">
        <v>3</v>
      </c>
      <c r="D183" s="263">
        <f t="shared" si="10"/>
        <v>300</v>
      </c>
      <c r="E183" s="263" t="s">
        <v>3</v>
      </c>
      <c r="F183" s="261">
        <f t="shared" si="11"/>
        <v>2000</v>
      </c>
      <c r="G183" s="263" t="s">
        <v>3</v>
      </c>
      <c r="H183" s="260">
        <v>4</v>
      </c>
      <c r="I183" s="262" t="s">
        <v>582</v>
      </c>
      <c r="J183" s="112">
        <v>150</v>
      </c>
      <c r="K183" s="75">
        <v>300</v>
      </c>
      <c r="L183" s="75">
        <v>2000</v>
      </c>
      <c r="M183" s="202">
        <v>31.074771562665006</v>
      </c>
      <c r="N183" s="87">
        <v>10369.521162000001</v>
      </c>
      <c r="O183" s="123">
        <v>74050.049117011367</v>
      </c>
      <c r="P183" s="123">
        <v>89084.156284323166</v>
      </c>
      <c r="Q183" s="120">
        <v>24421.695804491177</v>
      </c>
      <c r="R183" s="123">
        <v>98471.744921502541</v>
      </c>
      <c r="S183" s="123">
        <v>113505.85208881434</v>
      </c>
      <c r="U183" s="7" t="s">
        <v>7416</v>
      </c>
    </row>
    <row r="184" spans="1:21" ht="16.5" thickBot="1">
      <c r="A184" s="259" t="s">
        <v>10</v>
      </c>
      <c r="B184" s="263">
        <f t="shared" si="9"/>
        <v>150</v>
      </c>
      <c r="C184" s="263" t="s">
        <v>3</v>
      </c>
      <c r="D184" s="263">
        <f t="shared" si="10"/>
        <v>300</v>
      </c>
      <c r="E184" s="263" t="s">
        <v>3</v>
      </c>
      <c r="F184" s="261">
        <f t="shared" si="11"/>
        <v>2050</v>
      </c>
      <c r="G184" s="263" t="s">
        <v>3</v>
      </c>
      <c r="H184" s="260">
        <v>4</v>
      </c>
      <c r="I184" s="262" t="s">
        <v>582</v>
      </c>
      <c r="J184" s="112">
        <v>150</v>
      </c>
      <c r="K184" s="75">
        <v>300</v>
      </c>
      <c r="L184" s="75">
        <v>2050</v>
      </c>
      <c r="M184" s="202">
        <v>32.594914050200003</v>
      </c>
      <c r="N184" s="87">
        <v>10683.749076000002</v>
      </c>
      <c r="O184" s="123">
        <v>77310.600065207575</v>
      </c>
      <c r="P184" s="123">
        <v>92706.272462755194</v>
      </c>
      <c r="Q184" s="120">
        <v>24902.101112748529</v>
      </c>
      <c r="R184" s="123">
        <v>102212.7011779561</v>
      </c>
      <c r="S184" s="123">
        <v>117608.37357550372</v>
      </c>
      <c r="U184" s="7" t="s">
        <v>7417</v>
      </c>
    </row>
    <row r="185" spans="1:21" ht="16.5" thickBot="1">
      <c r="A185" s="259" t="s">
        <v>10</v>
      </c>
      <c r="B185" s="260">
        <f t="shared" si="9"/>
        <v>150</v>
      </c>
      <c r="C185" s="260" t="s">
        <v>3</v>
      </c>
      <c r="D185" s="260">
        <f t="shared" si="10"/>
        <v>300</v>
      </c>
      <c r="E185" s="260" t="s">
        <v>3</v>
      </c>
      <c r="F185" s="261">
        <f t="shared" si="11"/>
        <v>2100</v>
      </c>
      <c r="G185" s="260" t="s">
        <v>3</v>
      </c>
      <c r="H185" s="260">
        <v>4</v>
      </c>
      <c r="I185" s="262" t="s">
        <v>582</v>
      </c>
      <c r="J185" s="112">
        <v>150</v>
      </c>
      <c r="K185" s="75">
        <v>300</v>
      </c>
      <c r="L185" s="75">
        <v>2100</v>
      </c>
      <c r="M185" s="202">
        <v>33.270096537735</v>
      </c>
      <c r="N185" s="87">
        <v>10997.976990000003</v>
      </c>
      <c r="O185" s="123">
        <v>78489.11074374571</v>
      </c>
      <c r="P185" s="123">
        <v>94195.512945800132</v>
      </c>
      <c r="Q185" s="120">
        <v>25613.088058395791</v>
      </c>
      <c r="R185" s="123">
        <v>104102.1988021415</v>
      </c>
      <c r="S185" s="123">
        <v>119808.60100419592</v>
      </c>
      <c r="U185" s="7" t="s">
        <v>7418</v>
      </c>
    </row>
    <row r="186" spans="1:21" ht="16.5" thickBot="1">
      <c r="A186" s="259" t="s">
        <v>10</v>
      </c>
      <c r="B186" s="263">
        <f t="shared" si="9"/>
        <v>150</v>
      </c>
      <c r="C186" s="263" t="s">
        <v>3</v>
      </c>
      <c r="D186" s="263">
        <f t="shared" si="10"/>
        <v>300</v>
      </c>
      <c r="E186" s="263" t="s">
        <v>3</v>
      </c>
      <c r="F186" s="261">
        <f t="shared" si="11"/>
        <v>2150</v>
      </c>
      <c r="G186" s="263" t="s">
        <v>3</v>
      </c>
      <c r="H186" s="260">
        <v>4</v>
      </c>
      <c r="I186" s="262" t="s">
        <v>582</v>
      </c>
      <c r="J186" s="112">
        <v>150</v>
      </c>
      <c r="K186" s="75">
        <v>300</v>
      </c>
      <c r="L186" s="75">
        <v>2150</v>
      </c>
      <c r="M186" s="202">
        <v>33.92823902527001</v>
      </c>
      <c r="N186" s="87">
        <v>11312.204904000002</v>
      </c>
      <c r="O186" s="123">
        <v>79815.238619956261</v>
      </c>
      <c r="P186" s="123">
        <v>95835.97503095289</v>
      </c>
      <c r="Q186" s="120">
        <v>26093.493366653143</v>
      </c>
      <c r="R186" s="123">
        <v>105908.7319866094</v>
      </c>
      <c r="S186" s="123">
        <v>121929.46839760603</v>
      </c>
      <c r="U186" s="7" t="s">
        <v>7419</v>
      </c>
    </row>
    <row r="187" spans="1:21" ht="16.5" thickBot="1">
      <c r="A187" s="259" t="s">
        <v>10</v>
      </c>
      <c r="B187" s="263">
        <f t="shared" si="9"/>
        <v>150</v>
      </c>
      <c r="C187" s="263" t="s">
        <v>3</v>
      </c>
      <c r="D187" s="263">
        <f t="shared" si="10"/>
        <v>300</v>
      </c>
      <c r="E187" s="263" t="s">
        <v>3</v>
      </c>
      <c r="F187" s="261">
        <f t="shared" si="11"/>
        <v>2200</v>
      </c>
      <c r="G187" s="263" t="s">
        <v>3</v>
      </c>
      <c r="H187" s="260">
        <v>4</v>
      </c>
      <c r="I187" s="262" t="s">
        <v>582</v>
      </c>
      <c r="J187" s="112">
        <v>150</v>
      </c>
      <c r="K187" s="75">
        <v>300</v>
      </c>
      <c r="L187" s="75">
        <v>2200</v>
      </c>
      <c r="M187" s="202">
        <v>34.603421512804999</v>
      </c>
      <c r="N187" s="87">
        <v>11626.432818000001</v>
      </c>
      <c r="O187" s="123">
        <v>81141.318404420483</v>
      </c>
      <c r="P187" s="123">
        <v>97476.387892788829</v>
      </c>
      <c r="Q187" s="120">
        <v>26804.480312300402</v>
      </c>
      <c r="R187" s="123">
        <v>107945.79871672089</v>
      </c>
      <c r="S187" s="123">
        <v>124280.86820508924</v>
      </c>
      <c r="U187" s="7" t="s">
        <v>7420</v>
      </c>
    </row>
    <row r="188" spans="1:21" ht="16.5" thickBot="1">
      <c r="A188" s="259" t="s">
        <v>10</v>
      </c>
      <c r="B188" s="263">
        <f t="shared" si="9"/>
        <v>150</v>
      </c>
      <c r="C188" s="263" t="s">
        <v>3</v>
      </c>
      <c r="D188" s="263">
        <f t="shared" si="10"/>
        <v>300</v>
      </c>
      <c r="E188" s="263" t="s">
        <v>3</v>
      </c>
      <c r="F188" s="261">
        <f t="shared" si="11"/>
        <v>2250</v>
      </c>
      <c r="G188" s="263" t="s">
        <v>3</v>
      </c>
      <c r="H188" s="260">
        <v>4</v>
      </c>
      <c r="I188" s="262" t="s">
        <v>582</v>
      </c>
      <c r="J188" s="112">
        <v>150</v>
      </c>
      <c r="K188" s="75">
        <v>300</v>
      </c>
      <c r="L188" s="75">
        <v>2250</v>
      </c>
      <c r="M188" s="202">
        <v>35.261564000340002</v>
      </c>
      <c r="N188" s="87">
        <v>11940.660732000002</v>
      </c>
      <c r="O188" s="123">
        <v>82787.009371566819</v>
      </c>
      <c r="P188" s="123">
        <v>99444.215456673061</v>
      </c>
      <c r="Q188" s="120">
        <v>27284.885480164394</v>
      </c>
      <c r="R188" s="123">
        <v>110071.89485173121</v>
      </c>
      <c r="S188" s="123">
        <v>126729.10093683745</v>
      </c>
      <c r="U188" s="7" t="s">
        <v>7421</v>
      </c>
    </row>
    <row r="189" spans="1:21" ht="16.5" thickBot="1">
      <c r="A189" s="259" t="s">
        <v>10</v>
      </c>
      <c r="B189" s="263">
        <f t="shared" si="9"/>
        <v>150</v>
      </c>
      <c r="C189" s="263" t="s">
        <v>3</v>
      </c>
      <c r="D189" s="263">
        <f t="shared" si="10"/>
        <v>300</v>
      </c>
      <c r="E189" s="263" t="s">
        <v>3</v>
      </c>
      <c r="F189" s="261">
        <f t="shared" si="11"/>
        <v>2300</v>
      </c>
      <c r="G189" s="263" t="s">
        <v>3</v>
      </c>
      <c r="H189" s="260">
        <v>4</v>
      </c>
      <c r="I189" s="262" t="s">
        <v>582</v>
      </c>
      <c r="J189" s="112">
        <v>150</v>
      </c>
      <c r="K189" s="75">
        <v>300</v>
      </c>
      <c r="L189" s="75">
        <v>2300</v>
      </c>
      <c r="M189" s="202">
        <v>35.919706487875004</v>
      </c>
      <c r="N189" s="87">
        <v>12254.888646000001</v>
      </c>
      <c r="O189" s="123">
        <v>83870.183712064521</v>
      </c>
      <c r="P189" s="123">
        <v>100835.79204819935</v>
      </c>
      <c r="Q189" s="120">
        <v>27765.290788421746</v>
      </c>
      <c r="R189" s="123">
        <v>111635.47450048626</v>
      </c>
      <c r="S189" s="123">
        <v>128601.08283662109</v>
      </c>
      <c r="U189" s="7" t="s">
        <v>7422</v>
      </c>
    </row>
    <row r="190" spans="1:21" ht="16.5" thickBot="1">
      <c r="A190" s="259" t="s">
        <v>10</v>
      </c>
      <c r="B190" s="263">
        <f t="shared" si="9"/>
        <v>150</v>
      </c>
      <c r="C190" s="263" t="s">
        <v>3</v>
      </c>
      <c r="D190" s="263">
        <f t="shared" si="10"/>
        <v>300</v>
      </c>
      <c r="E190" s="263" t="s">
        <v>3</v>
      </c>
      <c r="F190" s="261">
        <f t="shared" si="11"/>
        <v>2350</v>
      </c>
      <c r="G190" s="263" t="s">
        <v>3</v>
      </c>
      <c r="H190" s="260">
        <v>4</v>
      </c>
      <c r="I190" s="262" t="s">
        <v>582</v>
      </c>
      <c r="J190" s="112">
        <v>150</v>
      </c>
      <c r="K190" s="75">
        <v>300</v>
      </c>
      <c r="L190" s="75">
        <v>2350</v>
      </c>
      <c r="M190" s="202">
        <v>36.594888975410001</v>
      </c>
      <c r="N190" s="87">
        <v>12569.116560000002</v>
      </c>
      <c r="O190" s="123">
        <v>84953.309960815925</v>
      </c>
      <c r="P190" s="123">
        <v>102227.319285843</v>
      </c>
      <c r="Q190" s="120">
        <v>28476.277734069005</v>
      </c>
      <c r="R190" s="123">
        <v>113429.58769488493</v>
      </c>
      <c r="S190" s="123">
        <v>130703.59701991201</v>
      </c>
      <c r="U190" s="7" t="s">
        <v>7423</v>
      </c>
    </row>
    <row r="191" spans="1:21" ht="16.5" thickBot="1">
      <c r="A191" s="259" t="s">
        <v>10</v>
      </c>
      <c r="B191" s="263">
        <f t="shared" si="9"/>
        <v>150</v>
      </c>
      <c r="C191" s="263" t="s">
        <v>3</v>
      </c>
      <c r="D191" s="263">
        <f t="shared" si="10"/>
        <v>300</v>
      </c>
      <c r="E191" s="263" t="s">
        <v>3</v>
      </c>
      <c r="F191" s="261">
        <f t="shared" si="11"/>
        <v>2400</v>
      </c>
      <c r="G191" s="263" t="s">
        <v>3</v>
      </c>
      <c r="H191" s="260">
        <v>4</v>
      </c>
      <c r="I191" s="262" t="s">
        <v>582</v>
      </c>
      <c r="J191" s="112">
        <v>150</v>
      </c>
      <c r="K191" s="75">
        <v>300</v>
      </c>
      <c r="L191" s="75">
        <v>2400</v>
      </c>
      <c r="M191" s="202">
        <v>37.253031462945003</v>
      </c>
      <c r="N191" s="87">
        <v>12883.344474000001</v>
      </c>
      <c r="O191" s="123">
        <v>86036.388117820999</v>
      </c>
      <c r="P191" s="123">
        <v>103618.79730016981</v>
      </c>
      <c r="Q191" s="120">
        <v>28956.682901932996</v>
      </c>
      <c r="R191" s="123">
        <v>114993.07101975399</v>
      </c>
      <c r="S191" s="123">
        <v>132575.4802021028</v>
      </c>
      <c r="U191" s="7" t="s">
        <v>7424</v>
      </c>
    </row>
    <row r="192" spans="1:21" ht="16.5" thickBot="1">
      <c r="A192" s="259" t="s">
        <v>10</v>
      </c>
      <c r="B192" s="263">
        <f t="shared" si="9"/>
        <v>150</v>
      </c>
      <c r="C192" s="263" t="s">
        <v>3</v>
      </c>
      <c r="D192" s="263">
        <f t="shared" si="10"/>
        <v>300</v>
      </c>
      <c r="E192" s="263" t="s">
        <v>3</v>
      </c>
      <c r="F192" s="261">
        <f t="shared" si="11"/>
        <v>2450</v>
      </c>
      <c r="G192" s="263" t="s">
        <v>3</v>
      </c>
      <c r="H192" s="260">
        <v>4</v>
      </c>
      <c r="I192" s="262" t="s">
        <v>582</v>
      </c>
      <c r="J192" s="112">
        <v>150</v>
      </c>
      <c r="K192" s="75">
        <v>300</v>
      </c>
      <c r="L192" s="75">
        <v>2450</v>
      </c>
      <c r="M192" s="202">
        <v>38.719665147779999</v>
      </c>
      <c r="N192" s="87">
        <v>13197.572388000002</v>
      </c>
      <c r="O192" s="123">
        <v>87669.419499585638</v>
      </c>
      <c r="P192" s="123">
        <v>105736.57279651826</v>
      </c>
      <c r="Q192" s="120">
        <v>29667.669987973619</v>
      </c>
      <c r="R192" s="123">
        <v>117337.08948755925</v>
      </c>
      <c r="S192" s="123">
        <v>135404.24278449189</v>
      </c>
      <c r="U192" s="7" t="s">
        <v>7425</v>
      </c>
    </row>
    <row r="193" spans="1:21" ht="16.5" thickBot="1">
      <c r="A193" s="259" t="s">
        <v>10</v>
      </c>
      <c r="B193" s="263">
        <f t="shared" si="9"/>
        <v>150</v>
      </c>
      <c r="C193" s="263" t="s">
        <v>3</v>
      </c>
      <c r="D193" s="263">
        <f t="shared" si="10"/>
        <v>300</v>
      </c>
      <c r="E193" s="263" t="s">
        <v>3</v>
      </c>
      <c r="F193" s="261">
        <f t="shared" si="11"/>
        <v>2500</v>
      </c>
      <c r="G193" s="263" t="s">
        <v>3</v>
      </c>
      <c r="H193" s="260">
        <v>4</v>
      </c>
      <c r="I193" s="262" t="s">
        <v>582</v>
      </c>
      <c r="J193" s="112">
        <v>150</v>
      </c>
      <c r="K193" s="75">
        <v>300</v>
      </c>
      <c r="L193" s="75">
        <v>2500</v>
      </c>
      <c r="M193" s="202">
        <v>39.377807635314994</v>
      </c>
      <c r="N193" s="87">
        <v>13511.800302000001</v>
      </c>
      <c r="O193" s="123">
        <v>88752.401473098056</v>
      </c>
      <c r="P193" s="123">
        <v>107127.95223364558</v>
      </c>
      <c r="Q193" s="120">
        <v>30148.075155837607</v>
      </c>
      <c r="R193" s="123">
        <v>118900.47662893566</v>
      </c>
      <c r="S193" s="123">
        <v>137276.02738948318</v>
      </c>
      <c r="U193" s="7" t="s">
        <v>7426</v>
      </c>
    </row>
    <row r="194" spans="1:21" ht="16.5" thickBot="1">
      <c r="A194" s="259" t="s">
        <v>10</v>
      </c>
      <c r="B194" s="263">
        <f t="shared" si="9"/>
        <v>150</v>
      </c>
      <c r="C194" s="263" t="s">
        <v>3</v>
      </c>
      <c r="D194" s="263">
        <f t="shared" si="10"/>
        <v>300</v>
      </c>
      <c r="E194" s="263" t="s">
        <v>3</v>
      </c>
      <c r="F194" s="261">
        <f t="shared" si="11"/>
        <v>2550</v>
      </c>
      <c r="G194" s="263" t="s">
        <v>3</v>
      </c>
      <c r="H194" s="260">
        <v>4</v>
      </c>
      <c r="I194" s="262" t="s">
        <v>582</v>
      </c>
      <c r="J194" s="112">
        <v>150</v>
      </c>
      <c r="K194" s="75">
        <v>300</v>
      </c>
      <c r="L194" s="75">
        <v>2550</v>
      </c>
      <c r="M194" s="202">
        <v>40.052990122850005</v>
      </c>
      <c r="N194" s="87">
        <v>13826.028216000004</v>
      </c>
      <c r="O194" s="123">
        <v>93129.671172523464</v>
      </c>
      <c r="P194" s="123">
        <v>111894.05302562678</v>
      </c>
      <c r="Q194" s="120">
        <v>30859.06224187823</v>
      </c>
      <c r="R194" s="123">
        <v>123988.73341440169</v>
      </c>
      <c r="S194" s="123">
        <v>142753.115267505</v>
      </c>
      <c r="U194" s="7" t="s">
        <v>7427</v>
      </c>
    </row>
    <row r="195" spans="1:21" ht="16.5" thickBot="1">
      <c r="A195" s="259" t="s">
        <v>10</v>
      </c>
      <c r="B195" s="260">
        <f t="shared" si="9"/>
        <v>150</v>
      </c>
      <c r="C195" s="260" t="s">
        <v>3</v>
      </c>
      <c r="D195" s="260">
        <f t="shared" si="10"/>
        <v>300</v>
      </c>
      <c r="E195" s="260" t="s">
        <v>3</v>
      </c>
      <c r="F195" s="261">
        <f t="shared" si="11"/>
        <v>2600</v>
      </c>
      <c r="G195" s="260" t="s">
        <v>3</v>
      </c>
      <c r="H195" s="260">
        <v>4</v>
      </c>
      <c r="I195" s="262" t="s">
        <v>582</v>
      </c>
      <c r="J195" s="112">
        <v>150</v>
      </c>
      <c r="K195" s="75">
        <v>300</v>
      </c>
      <c r="L195" s="75">
        <v>2600</v>
      </c>
      <c r="M195" s="202">
        <v>40.711132610385008</v>
      </c>
      <c r="N195" s="87">
        <v>14140.256130000002</v>
      </c>
      <c r="O195" s="123">
        <v>94483.160507702356</v>
      </c>
      <c r="P195" s="123">
        <v>113562.54459084925</v>
      </c>
      <c r="Q195" s="120">
        <v>31339.467409742221</v>
      </c>
      <c r="R195" s="123">
        <v>125822.62791744458</v>
      </c>
      <c r="S195" s="123">
        <v>144902.01200059147</v>
      </c>
      <c r="U195" s="7" t="s">
        <v>7428</v>
      </c>
    </row>
    <row r="196" spans="1:21" ht="16.5" thickBot="1">
      <c r="A196" s="259" t="s">
        <v>10</v>
      </c>
      <c r="B196" s="263">
        <f t="shared" si="9"/>
        <v>150</v>
      </c>
      <c r="C196" s="263" t="s">
        <v>3</v>
      </c>
      <c r="D196" s="263">
        <f t="shared" si="10"/>
        <v>300</v>
      </c>
      <c r="E196" s="263" t="s">
        <v>3</v>
      </c>
      <c r="F196" s="261">
        <f t="shared" si="11"/>
        <v>2650</v>
      </c>
      <c r="G196" s="263" t="s">
        <v>3</v>
      </c>
      <c r="H196" s="260">
        <v>4</v>
      </c>
      <c r="I196" s="262" t="s">
        <v>582</v>
      </c>
      <c r="J196" s="112">
        <v>150</v>
      </c>
      <c r="K196" s="75">
        <v>300</v>
      </c>
      <c r="L196" s="75">
        <v>2650</v>
      </c>
      <c r="M196" s="202">
        <v>41.386315097920004</v>
      </c>
      <c r="N196" s="87">
        <v>14454.484044000001</v>
      </c>
      <c r="O196" s="123">
        <v>95406.029902237438</v>
      </c>
      <c r="P196" s="123">
        <v>114789.90227444074</v>
      </c>
      <c r="Q196" s="120">
        <v>32050.45435538948</v>
      </c>
      <c r="R196" s="123">
        <v>127456.48425762691</v>
      </c>
      <c r="S196" s="123">
        <v>146840.35662983023</v>
      </c>
      <c r="U196" s="7" t="s">
        <v>7429</v>
      </c>
    </row>
    <row r="197" spans="1:21" ht="16.5" thickBot="1">
      <c r="A197" s="259" t="s">
        <v>10</v>
      </c>
      <c r="B197" s="263">
        <f t="shared" si="9"/>
        <v>150</v>
      </c>
      <c r="C197" s="263" t="s">
        <v>3</v>
      </c>
      <c r="D197" s="263">
        <f t="shared" si="10"/>
        <v>300</v>
      </c>
      <c r="E197" s="263" t="s">
        <v>3</v>
      </c>
      <c r="F197" s="261">
        <f t="shared" si="11"/>
        <v>2700</v>
      </c>
      <c r="G197" s="263" t="s">
        <v>3</v>
      </c>
      <c r="H197" s="260">
        <v>4</v>
      </c>
      <c r="I197" s="262" t="s">
        <v>582</v>
      </c>
      <c r="J197" s="112">
        <v>150</v>
      </c>
      <c r="K197" s="75">
        <v>300</v>
      </c>
      <c r="L197" s="75">
        <v>2700</v>
      </c>
      <c r="M197" s="202">
        <v>42.201457585455003</v>
      </c>
      <c r="N197" s="87">
        <v>14768.711958000004</v>
      </c>
      <c r="O197" s="123">
        <v>96388.475901057231</v>
      </c>
      <c r="P197" s="123">
        <v>116078.29099543441</v>
      </c>
      <c r="Q197" s="120">
        <v>32530.859663646832</v>
      </c>
      <c r="R197" s="123">
        <v>128919.33556470406</v>
      </c>
      <c r="S197" s="123">
        <v>148609.15065908124</v>
      </c>
      <c r="U197" s="7" t="s">
        <v>7430</v>
      </c>
    </row>
    <row r="198" spans="1:21" ht="16.5" thickBot="1">
      <c r="A198" s="259" t="s">
        <v>10</v>
      </c>
      <c r="B198" s="263">
        <f t="shared" si="9"/>
        <v>150</v>
      </c>
      <c r="C198" s="263" t="s">
        <v>3</v>
      </c>
      <c r="D198" s="263">
        <f t="shared" si="10"/>
        <v>300</v>
      </c>
      <c r="E198" s="263" t="s">
        <v>3</v>
      </c>
      <c r="F198" s="261">
        <f t="shared" si="11"/>
        <v>2750</v>
      </c>
      <c r="G198" s="263" t="s">
        <v>3</v>
      </c>
      <c r="H198" s="260">
        <v>4</v>
      </c>
      <c r="I198" s="262" t="s">
        <v>582</v>
      </c>
      <c r="J198" s="112">
        <v>150</v>
      </c>
      <c r="K198" s="75">
        <v>300</v>
      </c>
      <c r="L198" s="75">
        <v>2750</v>
      </c>
      <c r="M198" s="202">
        <v>42.859600072990006</v>
      </c>
      <c r="N198" s="87">
        <v>15082.939872000001</v>
      </c>
      <c r="O198" s="123">
        <v>97393.003290835724</v>
      </c>
      <c r="P198" s="123">
        <v>117389.30037654329</v>
      </c>
      <c r="Q198" s="120">
        <v>33011.264831510824</v>
      </c>
      <c r="R198" s="123">
        <v>130404.26812234655</v>
      </c>
      <c r="S198" s="123">
        <v>150400.56520805412</v>
      </c>
      <c r="U198" s="7" t="s">
        <v>7431</v>
      </c>
    </row>
    <row r="199" spans="1:21" ht="16.5" thickBot="1">
      <c r="A199" s="259" t="s">
        <v>10</v>
      </c>
      <c r="B199" s="263">
        <f t="shared" si="9"/>
        <v>150</v>
      </c>
      <c r="C199" s="263" t="s">
        <v>3</v>
      </c>
      <c r="D199" s="263">
        <f t="shared" si="10"/>
        <v>300</v>
      </c>
      <c r="E199" s="263" t="s">
        <v>3</v>
      </c>
      <c r="F199" s="261">
        <f t="shared" si="11"/>
        <v>2800</v>
      </c>
      <c r="G199" s="263" t="s">
        <v>3</v>
      </c>
      <c r="H199" s="260">
        <v>4</v>
      </c>
      <c r="I199" s="262" t="s">
        <v>582</v>
      </c>
      <c r="J199" s="112">
        <v>150</v>
      </c>
      <c r="K199" s="75">
        <v>300</v>
      </c>
      <c r="L199" s="75">
        <v>2800</v>
      </c>
      <c r="M199" s="202">
        <v>43.534782560524995</v>
      </c>
      <c r="N199" s="87">
        <v>15397.167786000004</v>
      </c>
      <c r="O199" s="123">
        <v>98314.638410104744</v>
      </c>
      <c r="P199" s="123">
        <v>118615.39353009909</v>
      </c>
      <c r="Q199" s="120">
        <v>33722.251777158082</v>
      </c>
      <c r="R199" s="123">
        <v>132036.89018726282</v>
      </c>
      <c r="S199" s="123">
        <v>152337.64530725716</v>
      </c>
      <c r="U199" s="7" t="s">
        <v>7432</v>
      </c>
    </row>
    <row r="200" spans="1:21" ht="16.5" thickBot="1">
      <c r="A200" s="259" t="s">
        <v>10</v>
      </c>
      <c r="B200" s="263">
        <f t="shared" si="9"/>
        <v>150</v>
      </c>
      <c r="C200" s="263" t="s">
        <v>3</v>
      </c>
      <c r="D200" s="263">
        <f t="shared" si="10"/>
        <v>300</v>
      </c>
      <c r="E200" s="263" t="s">
        <v>3</v>
      </c>
      <c r="F200" s="261">
        <f t="shared" si="11"/>
        <v>2850</v>
      </c>
      <c r="G200" s="263" t="s">
        <v>3</v>
      </c>
      <c r="H200" s="260">
        <v>4</v>
      </c>
      <c r="I200" s="262" t="s">
        <v>582</v>
      </c>
      <c r="J200" s="112">
        <v>150</v>
      </c>
      <c r="K200" s="75">
        <v>300</v>
      </c>
      <c r="L200" s="75">
        <v>2850</v>
      </c>
      <c r="M200" s="202">
        <v>45.054925048059999</v>
      </c>
      <c r="N200" s="87">
        <v>15711.395700000001</v>
      </c>
      <c r="O200" s="123">
        <v>99236.225437627421</v>
      </c>
      <c r="P200" s="123">
        <v>119841.43746033803</v>
      </c>
      <c r="Q200" s="120">
        <v>34202.657085415434</v>
      </c>
      <c r="R200" s="123">
        <v>133438.88252304285</v>
      </c>
      <c r="S200" s="123">
        <v>154044.09454575347</v>
      </c>
      <c r="U200" s="7" t="s">
        <v>7433</v>
      </c>
    </row>
    <row r="201" spans="1:21" ht="16.5" thickBot="1">
      <c r="A201" s="259" t="s">
        <v>10</v>
      </c>
      <c r="B201" s="263">
        <f t="shared" si="9"/>
        <v>150</v>
      </c>
      <c r="C201" s="263" t="s">
        <v>3</v>
      </c>
      <c r="D201" s="263">
        <f t="shared" si="10"/>
        <v>300</v>
      </c>
      <c r="E201" s="263" t="s">
        <v>3</v>
      </c>
      <c r="F201" s="261">
        <f t="shared" si="11"/>
        <v>2900</v>
      </c>
      <c r="G201" s="263" t="s">
        <v>3</v>
      </c>
      <c r="H201" s="260">
        <v>4</v>
      </c>
      <c r="I201" s="262" t="s">
        <v>582</v>
      </c>
      <c r="J201" s="112">
        <v>150</v>
      </c>
      <c r="K201" s="75">
        <v>300</v>
      </c>
      <c r="L201" s="75">
        <v>2900</v>
      </c>
      <c r="M201" s="202">
        <v>45.730107535594996</v>
      </c>
      <c r="N201" s="87">
        <v>16025.623614000002</v>
      </c>
      <c r="O201" s="123">
        <v>100157.76437340377</v>
      </c>
      <c r="P201" s="123">
        <v>121067.43203669433</v>
      </c>
      <c r="Q201" s="120">
        <v>34913.644031062693</v>
      </c>
      <c r="R201" s="123">
        <v>135071.40840446646</v>
      </c>
      <c r="S201" s="123">
        <v>155981.07606775704</v>
      </c>
      <c r="U201" s="7" t="s">
        <v>7434</v>
      </c>
    </row>
    <row r="202" spans="1:21" ht="16.5" thickBot="1">
      <c r="A202" s="259" t="s">
        <v>10</v>
      </c>
      <c r="B202" s="263">
        <f t="shared" si="9"/>
        <v>150</v>
      </c>
      <c r="C202" s="263" t="s">
        <v>3</v>
      </c>
      <c r="D202" s="263">
        <f t="shared" si="10"/>
        <v>300</v>
      </c>
      <c r="E202" s="263" t="s">
        <v>3</v>
      </c>
      <c r="F202" s="261">
        <f t="shared" si="11"/>
        <v>2950</v>
      </c>
      <c r="G202" s="263" t="s">
        <v>3</v>
      </c>
      <c r="H202" s="260">
        <v>4</v>
      </c>
      <c r="I202" s="262" t="s">
        <v>582</v>
      </c>
      <c r="J202" s="112">
        <v>150</v>
      </c>
      <c r="K202" s="75">
        <v>300</v>
      </c>
      <c r="L202" s="75">
        <v>2950</v>
      </c>
      <c r="M202" s="202">
        <v>46.388250023129999</v>
      </c>
      <c r="N202" s="87">
        <v>16339.851528000003</v>
      </c>
      <c r="O202" s="123">
        <v>101079.25521743381</v>
      </c>
      <c r="P202" s="123">
        <v>122293.37738973378</v>
      </c>
      <c r="Q202" s="120">
        <v>35394.049339320045</v>
      </c>
      <c r="R202" s="123">
        <v>136473.30455675384</v>
      </c>
      <c r="S202" s="123">
        <v>157687.42672905384</v>
      </c>
      <c r="U202" s="7" t="s">
        <v>7435</v>
      </c>
    </row>
    <row r="203" spans="1:21" ht="16.5" thickBot="1">
      <c r="A203" s="264" t="s">
        <v>10</v>
      </c>
      <c r="B203" s="265">
        <f t="shared" si="9"/>
        <v>150</v>
      </c>
      <c r="C203" s="265" t="s">
        <v>3</v>
      </c>
      <c r="D203" s="265">
        <f t="shared" si="10"/>
        <v>300</v>
      </c>
      <c r="E203" s="265" t="s">
        <v>3</v>
      </c>
      <c r="F203" s="266">
        <f t="shared" si="11"/>
        <v>3000</v>
      </c>
      <c r="G203" s="265" t="s">
        <v>3</v>
      </c>
      <c r="H203" s="267">
        <v>4</v>
      </c>
      <c r="I203" s="262" t="s">
        <v>582</v>
      </c>
      <c r="J203" s="346">
        <v>150</v>
      </c>
      <c r="K203" s="322">
        <v>300</v>
      </c>
      <c r="L203" s="322">
        <v>3000</v>
      </c>
      <c r="M203" s="337">
        <v>47.063432510664995</v>
      </c>
      <c r="N203" s="306">
        <v>16654.079442000002</v>
      </c>
      <c r="O203" s="307">
        <v>103717.53476850005</v>
      </c>
      <c r="P203" s="307">
        <v>125278.02876624776</v>
      </c>
      <c r="Q203" s="308">
        <v>36105.036284967304</v>
      </c>
      <c r="R203" s="307">
        <v>139822.57105346734</v>
      </c>
      <c r="S203" s="307">
        <v>161383.06505121506</v>
      </c>
      <c r="U203" s="7" t="s">
        <v>7436</v>
      </c>
    </row>
    <row r="204" spans="1:21" ht="22.5" customHeight="1" thickBot="1">
      <c r="A204" s="2580" t="s">
        <v>49</v>
      </c>
      <c r="B204" s="2581"/>
      <c r="C204" s="2581"/>
      <c r="D204" s="2581"/>
      <c r="E204" s="2581"/>
      <c r="F204" s="2581"/>
      <c r="G204" s="2581"/>
      <c r="H204" s="2581"/>
      <c r="I204" s="2581"/>
      <c r="J204" s="2581"/>
      <c r="K204" s="2581"/>
      <c r="L204" s="2581"/>
      <c r="M204" s="2581"/>
      <c r="N204" s="2581"/>
      <c r="O204" s="2581"/>
      <c r="P204" s="2581"/>
      <c r="Q204" s="2581"/>
      <c r="R204" s="2581"/>
      <c r="S204" s="2582"/>
      <c r="U204" s="7"/>
    </row>
    <row r="205" spans="1:21" ht="19.5" thickBot="1">
      <c r="A205" s="2627" t="s">
        <v>180</v>
      </c>
      <c r="B205" s="2628"/>
      <c r="C205" s="2628"/>
      <c r="D205" s="2628"/>
      <c r="E205" s="2628"/>
      <c r="F205" s="2628"/>
      <c r="G205" s="2628"/>
      <c r="H205" s="2628"/>
      <c r="I205" s="2628"/>
      <c r="J205" s="2628"/>
      <c r="K205" s="2628"/>
      <c r="L205" s="2628"/>
      <c r="M205" s="2628"/>
      <c r="N205" s="2628"/>
      <c r="O205" s="2628"/>
      <c r="P205" s="2628"/>
      <c r="Q205" s="2628"/>
      <c r="R205" s="2628"/>
      <c r="S205" s="2629"/>
      <c r="U205" s="7"/>
    </row>
    <row r="206" spans="1:21" ht="16.5" thickBot="1">
      <c r="A206" s="259" t="s">
        <v>10</v>
      </c>
      <c r="B206" s="260">
        <f t="shared" ref="B206:B252" si="12">J206</f>
        <v>150</v>
      </c>
      <c r="C206" s="260" t="s">
        <v>3</v>
      </c>
      <c r="D206" s="260">
        <f t="shared" ref="D206:D252" si="13">K206</f>
        <v>360</v>
      </c>
      <c r="E206" s="260" t="s">
        <v>3</v>
      </c>
      <c r="F206" s="261">
        <f t="shared" ref="F206:F252" si="14">L206</f>
        <v>700</v>
      </c>
      <c r="G206" s="260" t="s">
        <v>3</v>
      </c>
      <c r="H206" s="260">
        <v>6</v>
      </c>
      <c r="I206" s="262" t="s">
        <v>583</v>
      </c>
      <c r="J206" s="344">
        <v>150</v>
      </c>
      <c r="K206" s="327">
        <v>360</v>
      </c>
      <c r="L206" s="327">
        <v>700</v>
      </c>
      <c r="M206" s="338">
        <v>14.352040269826576</v>
      </c>
      <c r="N206" s="302">
        <v>2460.017742</v>
      </c>
      <c r="O206" s="303">
        <v>32788.981164870478</v>
      </c>
      <c r="P206" s="303">
        <v>39633.361668152938</v>
      </c>
      <c r="Q206" s="304">
        <v>10542.143907826316</v>
      </c>
      <c r="R206" s="303">
        <v>43331.125072696792</v>
      </c>
      <c r="S206" s="303">
        <v>50175.505575979252</v>
      </c>
      <c r="U206" s="7" t="s">
        <v>7437</v>
      </c>
    </row>
    <row r="207" spans="1:21" ht="16.5" thickBot="1">
      <c r="A207" s="259" t="s">
        <v>10</v>
      </c>
      <c r="B207" s="263">
        <f t="shared" si="12"/>
        <v>150</v>
      </c>
      <c r="C207" s="263" t="s">
        <v>3</v>
      </c>
      <c r="D207" s="263">
        <f t="shared" si="13"/>
        <v>360</v>
      </c>
      <c r="E207" s="263" t="s">
        <v>3</v>
      </c>
      <c r="F207" s="261">
        <f t="shared" si="14"/>
        <v>750</v>
      </c>
      <c r="G207" s="263" t="s">
        <v>3</v>
      </c>
      <c r="H207" s="260">
        <v>6</v>
      </c>
      <c r="I207" s="262" t="s">
        <v>583</v>
      </c>
      <c r="J207" s="112">
        <v>150</v>
      </c>
      <c r="K207" s="75">
        <v>360</v>
      </c>
      <c r="L207" s="75">
        <v>750</v>
      </c>
      <c r="M207" s="191">
        <v>15.149683836747471</v>
      </c>
      <c r="N207" s="87">
        <v>2811.4488480000005</v>
      </c>
      <c r="O207" s="123">
        <v>34909.820972388792</v>
      </c>
      <c r="P207" s="123">
        <v>42106.153612969705</v>
      </c>
      <c r="Q207" s="120">
        <v>11095.741049329239</v>
      </c>
      <c r="R207" s="123">
        <v>46005.562021718033</v>
      </c>
      <c r="S207" s="123">
        <v>53201.894662298946</v>
      </c>
      <c r="U207" s="7" t="s">
        <v>7438</v>
      </c>
    </row>
    <row r="208" spans="1:21" ht="16.5" thickBot="1">
      <c r="A208" s="259" t="s">
        <v>10</v>
      </c>
      <c r="B208" s="263">
        <f t="shared" si="12"/>
        <v>150</v>
      </c>
      <c r="C208" s="263" t="s">
        <v>3</v>
      </c>
      <c r="D208" s="263">
        <f t="shared" si="13"/>
        <v>360</v>
      </c>
      <c r="E208" s="263" t="s">
        <v>3</v>
      </c>
      <c r="F208" s="261">
        <f t="shared" si="14"/>
        <v>800</v>
      </c>
      <c r="G208" s="263" t="s">
        <v>3</v>
      </c>
      <c r="H208" s="260">
        <v>6</v>
      </c>
      <c r="I208" s="262" t="s">
        <v>583</v>
      </c>
      <c r="J208" s="112">
        <v>150</v>
      </c>
      <c r="K208" s="75">
        <v>360</v>
      </c>
      <c r="L208" s="75">
        <v>800</v>
      </c>
      <c r="M208" s="191">
        <v>15.947327403668368</v>
      </c>
      <c r="N208" s="87">
        <v>3162.8799540000005</v>
      </c>
      <c r="O208" s="123">
        <v>37019.623903127205</v>
      </c>
      <c r="P208" s="123">
        <v>44567.757241494306</v>
      </c>
      <c r="Q208" s="120">
        <v>11649.338190832164</v>
      </c>
      <c r="R208" s="123">
        <v>48668.962093959373</v>
      </c>
      <c r="S208" s="123">
        <v>56217.095432326474</v>
      </c>
      <c r="U208" s="7" t="s">
        <v>7439</v>
      </c>
    </row>
    <row r="209" spans="1:21" ht="16.5" thickBot="1">
      <c r="A209" s="259" t="s">
        <v>10</v>
      </c>
      <c r="B209" s="263">
        <f t="shared" si="12"/>
        <v>150</v>
      </c>
      <c r="C209" s="263" t="s">
        <v>3</v>
      </c>
      <c r="D209" s="263">
        <f t="shared" si="13"/>
        <v>360</v>
      </c>
      <c r="E209" s="263" t="s">
        <v>3</v>
      </c>
      <c r="F209" s="261">
        <f t="shared" si="14"/>
        <v>850</v>
      </c>
      <c r="G209" s="263" t="s">
        <v>3</v>
      </c>
      <c r="H209" s="260">
        <v>6</v>
      </c>
      <c r="I209" s="262" t="s">
        <v>583</v>
      </c>
      <c r="J209" s="112">
        <v>150</v>
      </c>
      <c r="K209" s="75">
        <v>360</v>
      </c>
      <c r="L209" s="75">
        <v>850</v>
      </c>
      <c r="M209" s="191">
        <v>16.760306970589259</v>
      </c>
      <c r="N209" s="87">
        <v>3514.3110600000005</v>
      </c>
      <c r="O209" s="123">
        <v>39128.541850265763</v>
      </c>
      <c r="P209" s="123">
        <v>47028.548358876717</v>
      </c>
      <c r="Q209" s="120">
        <v>12433.517110118366</v>
      </c>
      <c r="R209" s="123">
        <v>51562.058960384129</v>
      </c>
      <c r="S209" s="123">
        <v>59462.065468995082</v>
      </c>
      <c r="U209" s="7" t="s">
        <v>7440</v>
      </c>
    </row>
    <row r="210" spans="1:21" ht="16.5" thickBot="1">
      <c r="A210" s="259" t="s">
        <v>10</v>
      </c>
      <c r="B210" s="263">
        <f t="shared" si="12"/>
        <v>150</v>
      </c>
      <c r="C210" s="263" t="s">
        <v>3</v>
      </c>
      <c r="D210" s="263">
        <f t="shared" si="13"/>
        <v>360</v>
      </c>
      <c r="E210" s="263" t="s">
        <v>3</v>
      </c>
      <c r="F210" s="261">
        <f t="shared" si="14"/>
        <v>900</v>
      </c>
      <c r="G210" s="263" t="s">
        <v>3</v>
      </c>
      <c r="H210" s="260">
        <v>6</v>
      </c>
      <c r="I210" s="262" t="s">
        <v>583</v>
      </c>
      <c r="J210" s="112">
        <v>150</v>
      </c>
      <c r="K210" s="75">
        <v>360</v>
      </c>
      <c r="L210" s="75">
        <v>900</v>
      </c>
      <c r="M210" s="191">
        <v>17.701050537510159</v>
      </c>
      <c r="N210" s="87">
        <v>3865.7421660000005</v>
      </c>
      <c r="O210" s="123">
        <v>41237.577341747063</v>
      </c>
      <c r="P210" s="123">
        <v>49489.565485705862</v>
      </c>
      <c r="Q210" s="120">
        <v>12987.114251621291</v>
      </c>
      <c r="R210" s="123">
        <v>54224.691593368356</v>
      </c>
      <c r="S210" s="123">
        <v>62476.679737327155</v>
      </c>
      <c r="U210" s="7" t="s">
        <v>7441</v>
      </c>
    </row>
    <row r="211" spans="1:21" ht="16.5" thickBot="1">
      <c r="A211" s="259" t="s">
        <v>10</v>
      </c>
      <c r="B211" s="263">
        <f t="shared" si="12"/>
        <v>150</v>
      </c>
      <c r="C211" s="263" t="s">
        <v>3</v>
      </c>
      <c r="D211" s="263">
        <f t="shared" si="13"/>
        <v>360</v>
      </c>
      <c r="E211" s="263" t="s">
        <v>3</v>
      </c>
      <c r="F211" s="261">
        <f t="shared" si="14"/>
        <v>950</v>
      </c>
      <c r="G211" s="263" t="s">
        <v>3</v>
      </c>
      <c r="H211" s="260">
        <v>6</v>
      </c>
      <c r="I211" s="262" t="s">
        <v>583</v>
      </c>
      <c r="J211" s="112">
        <v>150</v>
      </c>
      <c r="K211" s="75">
        <v>360</v>
      </c>
      <c r="L211" s="75">
        <v>950</v>
      </c>
      <c r="M211" s="191">
        <v>18.514030104431054</v>
      </c>
      <c r="N211" s="87">
        <v>4217.173272</v>
      </c>
      <c r="O211" s="123">
        <v>43346.710926070744</v>
      </c>
      <c r="P211" s="123">
        <v>51950.771802418523</v>
      </c>
      <c r="Q211" s="120">
        <v>13771.293170907491</v>
      </c>
      <c r="R211" s="123">
        <v>57118.004096978235</v>
      </c>
      <c r="S211" s="123">
        <v>65722.064973326022</v>
      </c>
      <c r="U211" s="7" t="s">
        <v>7442</v>
      </c>
    </row>
    <row r="212" spans="1:21" ht="16.5" thickBot="1">
      <c r="A212" s="259" t="s">
        <v>10</v>
      </c>
      <c r="B212" s="263">
        <f t="shared" si="12"/>
        <v>150</v>
      </c>
      <c r="C212" s="263" t="s">
        <v>3</v>
      </c>
      <c r="D212" s="263">
        <f t="shared" si="13"/>
        <v>360</v>
      </c>
      <c r="E212" s="263" t="s">
        <v>3</v>
      </c>
      <c r="F212" s="261">
        <f t="shared" si="14"/>
        <v>1000</v>
      </c>
      <c r="G212" s="263" t="s">
        <v>3</v>
      </c>
      <c r="H212" s="260">
        <v>6</v>
      </c>
      <c r="I212" s="262" t="s">
        <v>583</v>
      </c>
      <c r="J212" s="112">
        <v>150</v>
      </c>
      <c r="K212" s="75">
        <v>360</v>
      </c>
      <c r="L212" s="75">
        <v>1000</v>
      </c>
      <c r="M212" s="191">
        <v>19.311673671351947</v>
      </c>
      <c r="N212" s="87">
        <v>4568.6043780000009</v>
      </c>
      <c r="O212" s="123">
        <v>45382.230963566581</v>
      </c>
      <c r="P212" s="123">
        <v>54336.732641261566</v>
      </c>
      <c r="Q212" s="120">
        <v>14324.890312410414</v>
      </c>
      <c r="R212" s="123">
        <v>59707.121275976999</v>
      </c>
      <c r="S212" s="123">
        <v>68661.622953671977</v>
      </c>
      <c r="U212" s="7" t="s">
        <v>7443</v>
      </c>
    </row>
    <row r="213" spans="1:21" ht="16.5" thickBot="1">
      <c r="A213" s="259" t="s">
        <v>10</v>
      </c>
      <c r="B213" s="263">
        <f t="shared" si="12"/>
        <v>150</v>
      </c>
      <c r="C213" s="263" t="s">
        <v>3</v>
      </c>
      <c r="D213" s="263">
        <f t="shared" si="13"/>
        <v>360</v>
      </c>
      <c r="E213" s="263" t="s">
        <v>3</v>
      </c>
      <c r="F213" s="261">
        <f t="shared" si="14"/>
        <v>1050</v>
      </c>
      <c r="G213" s="263" t="s">
        <v>3</v>
      </c>
      <c r="H213" s="260">
        <v>6</v>
      </c>
      <c r="I213" s="262" t="s">
        <v>583</v>
      </c>
      <c r="J213" s="112">
        <v>150</v>
      </c>
      <c r="K213" s="75">
        <v>360</v>
      </c>
      <c r="L213" s="75">
        <v>1050</v>
      </c>
      <c r="M213" s="191">
        <v>20.124653238272845</v>
      </c>
      <c r="N213" s="87">
        <v>4920.035484</v>
      </c>
      <c r="O213" s="123">
        <v>47706.616879717192</v>
      </c>
      <c r="P213" s="123">
        <v>57019.94107836148</v>
      </c>
      <c r="Q213" s="120">
        <v>15109.069231696616</v>
      </c>
      <c r="R213" s="123">
        <v>62815.686111413808</v>
      </c>
      <c r="S213" s="123">
        <v>72129.010310058104</v>
      </c>
      <c r="U213" s="7" t="s">
        <v>7444</v>
      </c>
    </row>
    <row r="214" spans="1:21" ht="16.5" thickBot="1">
      <c r="A214" s="259" t="s">
        <v>10</v>
      </c>
      <c r="B214" s="260">
        <f t="shared" si="12"/>
        <v>150</v>
      </c>
      <c r="C214" s="260" t="s">
        <v>3</v>
      </c>
      <c r="D214" s="260">
        <f t="shared" si="13"/>
        <v>360</v>
      </c>
      <c r="E214" s="260" t="s">
        <v>3</v>
      </c>
      <c r="F214" s="261">
        <f t="shared" si="14"/>
        <v>1100</v>
      </c>
      <c r="G214" s="260" t="s">
        <v>3</v>
      </c>
      <c r="H214" s="260">
        <v>6</v>
      </c>
      <c r="I214" s="262" t="s">
        <v>583</v>
      </c>
      <c r="J214" s="112">
        <v>150</v>
      </c>
      <c r="K214" s="75">
        <v>360</v>
      </c>
      <c r="L214" s="75">
        <v>1100</v>
      </c>
      <c r="M214" s="191">
        <v>20.922296805193739</v>
      </c>
      <c r="N214" s="87">
        <v>5271.46659</v>
      </c>
      <c r="O214" s="123">
        <v>49823.566148491918</v>
      </c>
      <c r="P214" s="123">
        <v>59489.66890434728</v>
      </c>
      <c r="Q214" s="120">
        <v>15662.66637319954</v>
      </c>
      <c r="R214" s="123">
        <v>65486.232521691461</v>
      </c>
      <c r="S214" s="123">
        <v>75152.335277546823</v>
      </c>
      <c r="U214" s="7" t="s">
        <v>7445</v>
      </c>
    </row>
    <row r="215" spans="1:21" ht="16.5" thickBot="1">
      <c r="A215" s="259" t="s">
        <v>10</v>
      </c>
      <c r="B215" s="263">
        <f t="shared" si="12"/>
        <v>150</v>
      </c>
      <c r="C215" s="263" t="s">
        <v>3</v>
      </c>
      <c r="D215" s="263">
        <f t="shared" si="13"/>
        <v>360</v>
      </c>
      <c r="E215" s="263" t="s">
        <v>3</v>
      </c>
      <c r="F215" s="261">
        <f t="shared" si="14"/>
        <v>1150</v>
      </c>
      <c r="G215" s="263" t="s">
        <v>3</v>
      </c>
      <c r="H215" s="260">
        <v>6</v>
      </c>
      <c r="I215" s="262" t="s">
        <v>583</v>
      </c>
      <c r="J215" s="112">
        <v>150</v>
      </c>
      <c r="K215" s="75">
        <v>360</v>
      </c>
      <c r="L215" s="75">
        <v>1150</v>
      </c>
      <c r="M215" s="191">
        <v>21.719940372114632</v>
      </c>
      <c r="N215" s="87">
        <v>5622.8976960000009</v>
      </c>
      <c r="O215" s="123">
        <v>51247.019905161549</v>
      </c>
      <c r="P215" s="123">
        <v>61245.704726091237</v>
      </c>
      <c r="Q215" s="120">
        <v>16216.263514702467</v>
      </c>
      <c r="R215" s="123">
        <v>67463.283419864019</v>
      </c>
      <c r="S215" s="123">
        <v>77461.968240793707</v>
      </c>
      <c r="U215" s="7" t="s">
        <v>7446</v>
      </c>
    </row>
    <row r="216" spans="1:21" ht="16.5" thickBot="1">
      <c r="A216" s="259" t="s">
        <v>10</v>
      </c>
      <c r="B216" s="263">
        <f t="shared" si="12"/>
        <v>150</v>
      </c>
      <c r="C216" s="263" t="s">
        <v>3</v>
      </c>
      <c r="D216" s="263">
        <f t="shared" si="13"/>
        <v>360</v>
      </c>
      <c r="E216" s="263" t="s">
        <v>3</v>
      </c>
      <c r="F216" s="261">
        <f t="shared" si="14"/>
        <v>1200</v>
      </c>
      <c r="G216" s="263" t="s">
        <v>3</v>
      </c>
      <c r="H216" s="260">
        <v>6</v>
      </c>
      <c r="I216" s="262" t="s">
        <v>583</v>
      </c>
      <c r="J216" s="112">
        <v>150</v>
      </c>
      <c r="K216" s="75">
        <v>360</v>
      </c>
      <c r="L216" s="75">
        <v>1200</v>
      </c>
      <c r="M216" s="191">
        <v>22.674219939035524</v>
      </c>
      <c r="N216" s="87">
        <v>5974.328802</v>
      </c>
      <c r="O216" s="123">
        <v>52779.698490473267</v>
      </c>
      <c r="P216" s="123">
        <v>63114.292468923421</v>
      </c>
      <c r="Q216" s="120">
        <v>17000.442574382028</v>
      </c>
      <c r="R216" s="123">
        <v>69780.141064855299</v>
      </c>
      <c r="S216" s="123">
        <v>80114.735043305453</v>
      </c>
      <c r="U216" s="7" t="s">
        <v>7447</v>
      </c>
    </row>
    <row r="217" spans="1:21" ht="16.5" thickBot="1">
      <c r="A217" s="259" t="s">
        <v>10</v>
      </c>
      <c r="B217" s="263">
        <f t="shared" si="12"/>
        <v>150</v>
      </c>
      <c r="C217" s="263" t="s">
        <v>3</v>
      </c>
      <c r="D217" s="263">
        <f t="shared" si="13"/>
        <v>360</v>
      </c>
      <c r="E217" s="263" t="s">
        <v>3</v>
      </c>
      <c r="F217" s="261">
        <f t="shared" si="14"/>
        <v>1250</v>
      </c>
      <c r="G217" s="263" t="s">
        <v>3</v>
      </c>
      <c r="H217" s="260">
        <v>6</v>
      </c>
      <c r="I217" s="262" t="s">
        <v>583</v>
      </c>
      <c r="J217" s="112">
        <v>150</v>
      </c>
      <c r="K217" s="75">
        <v>360</v>
      </c>
      <c r="L217" s="75">
        <v>1250</v>
      </c>
      <c r="M217" s="191">
        <v>24.247663505956421</v>
      </c>
      <c r="N217" s="87">
        <v>6325.7599080000009</v>
      </c>
      <c r="O217" s="123">
        <v>54202.638990068597</v>
      </c>
      <c r="P217" s="123">
        <v>64870.06467826241</v>
      </c>
      <c r="Q217" s="120">
        <v>17554.039715884952</v>
      </c>
      <c r="R217" s="123">
        <v>71756.678705953556</v>
      </c>
      <c r="S217" s="123">
        <v>82424.104394147362</v>
      </c>
      <c r="U217" s="7" t="s">
        <v>7448</v>
      </c>
    </row>
    <row r="218" spans="1:21" ht="16.5" thickBot="1">
      <c r="A218" s="259" t="s">
        <v>10</v>
      </c>
      <c r="B218" s="263">
        <f t="shared" si="12"/>
        <v>150</v>
      </c>
      <c r="C218" s="263" t="s">
        <v>3</v>
      </c>
      <c r="D218" s="263">
        <f t="shared" si="13"/>
        <v>360</v>
      </c>
      <c r="E218" s="263" t="s">
        <v>3</v>
      </c>
      <c r="F218" s="261">
        <f t="shared" si="14"/>
        <v>1300</v>
      </c>
      <c r="G218" s="263" t="s">
        <v>3</v>
      </c>
      <c r="H218" s="260">
        <v>6</v>
      </c>
      <c r="I218" s="262" t="s">
        <v>583</v>
      </c>
      <c r="J218" s="112">
        <v>150</v>
      </c>
      <c r="K218" s="75">
        <v>360</v>
      </c>
      <c r="L218" s="75">
        <v>1300</v>
      </c>
      <c r="M218" s="191">
        <v>25.060643072877316</v>
      </c>
      <c r="N218" s="87">
        <v>6677.191014</v>
      </c>
      <c r="O218" s="123">
        <v>57817.186838903188</v>
      </c>
      <c r="P218" s="123">
        <v>68877.340776539466</v>
      </c>
      <c r="Q218" s="120">
        <v>18338.218635171153</v>
      </c>
      <c r="R218" s="123">
        <v>76155.405474074345</v>
      </c>
      <c r="S218" s="123">
        <v>87215.559411710623</v>
      </c>
      <c r="U218" s="7" t="s">
        <v>7449</v>
      </c>
    </row>
    <row r="219" spans="1:21" ht="16.5" thickBot="1">
      <c r="A219" s="259" t="s">
        <v>10</v>
      </c>
      <c r="B219" s="263">
        <f t="shared" si="12"/>
        <v>150</v>
      </c>
      <c r="C219" s="263" t="s">
        <v>3</v>
      </c>
      <c r="D219" s="263">
        <f t="shared" si="13"/>
        <v>360</v>
      </c>
      <c r="E219" s="263" t="s">
        <v>3</v>
      </c>
      <c r="F219" s="261">
        <f t="shared" si="14"/>
        <v>1350</v>
      </c>
      <c r="G219" s="263" t="s">
        <v>3</v>
      </c>
      <c r="H219" s="260">
        <v>6</v>
      </c>
      <c r="I219" s="262" t="s">
        <v>583</v>
      </c>
      <c r="J219" s="112">
        <v>150</v>
      </c>
      <c r="K219" s="75">
        <v>360</v>
      </c>
      <c r="L219" s="75">
        <v>1350</v>
      </c>
      <c r="M219" s="191">
        <v>25.858286639798209</v>
      </c>
      <c r="N219" s="87">
        <v>7028.6221200000009</v>
      </c>
      <c r="O219" s="123">
        <v>59426.424501004352</v>
      </c>
      <c r="P219" s="123">
        <v>70823.062370798973</v>
      </c>
      <c r="Q219" s="120">
        <v>18891.815776674081</v>
      </c>
      <c r="R219" s="123">
        <v>78318.240277678429</v>
      </c>
      <c r="S219" s="123">
        <v>89714.878147473049</v>
      </c>
      <c r="U219" s="7" t="s">
        <v>7450</v>
      </c>
    </row>
    <row r="220" spans="1:21" ht="16.5" thickBot="1">
      <c r="A220" s="259" t="s">
        <v>10</v>
      </c>
      <c r="B220" s="263">
        <f t="shared" si="12"/>
        <v>150</v>
      </c>
      <c r="C220" s="263" t="s">
        <v>3</v>
      </c>
      <c r="D220" s="263">
        <f t="shared" si="13"/>
        <v>360</v>
      </c>
      <c r="E220" s="263" t="s">
        <v>3</v>
      </c>
      <c r="F220" s="261">
        <f t="shared" si="14"/>
        <v>1400</v>
      </c>
      <c r="G220" s="263" t="s">
        <v>3</v>
      </c>
      <c r="H220" s="260">
        <v>6</v>
      </c>
      <c r="I220" s="262" t="s">
        <v>583</v>
      </c>
      <c r="J220" s="112">
        <v>150</v>
      </c>
      <c r="K220" s="75">
        <v>360</v>
      </c>
      <c r="L220" s="75">
        <v>1400</v>
      </c>
      <c r="M220" s="191">
        <v>26.671266206719107</v>
      </c>
      <c r="N220" s="87">
        <v>7380.0532260000009</v>
      </c>
      <c r="O220" s="123">
        <v>61335.521719502562</v>
      </c>
      <c r="P220" s="123">
        <v>73077.369769177065</v>
      </c>
      <c r="Q220" s="120">
        <v>19675.994695960278</v>
      </c>
      <c r="R220" s="123">
        <v>81011.516415462844</v>
      </c>
      <c r="S220" s="123">
        <v>92753.364465137347</v>
      </c>
      <c r="U220" s="7" t="s">
        <v>7451</v>
      </c>
    </row>
    <row r="221" spans="1:21" ht="16.5" thickBot="1">
      <c r="A221" s="259" t="s">
        <v>10</v>
      </c>
      <c r="B221" s="263">
        <f t="shared" si="12"/>
        <v>150</v>
      </c>
      <c r="C221" s="263" t="s">
        <v>3</v>
      </c>
      <c r="D221" s="263">
        <f t="shared" si="13"/>
        <v>360</v>
      </c>
      <c r="E221" s="263" t="s">
        <v>3</v>
      </c>
      <c r="F221" s="261">
        <f t="shared" si="14"/>
        <v>1450</v>
      </c>
      <c r="G221" s="263" t="s">
        <v>3</v>
      </c>
      <c r="H221" s="260">
        <v>6</v>
      </c>
      <c r="I221" s="262" t="s">
        <v>583</v>
      </c>
      <c r="J221" s="112">
        <v>150</v>
      </c>
      <c r="K221" s="75">
        <v>360</v>
      </c>
      <c r="L221" s="75">
        <v>1450</v>
      </c>
      <c r="M221" s="191">
        <v>27.468909773640004</v>
      </c>
      <c r="N221" s="87">
        <v>7731.4843320000009</v>
      </c>
      <c r="O221" s="123">
        <v>62945.181467228416</v>
      </c>
      <c r="P221" s="123">
        <v>75023.507998990928</v>
      </c>
      <c r="Q221" s="120">
        <v>20229.591837463206</v>
      </c>
      <c r="R221" s="123">
        <v>83174.773304691626</v>
      </c>
      <c r="S221" s="123">
        <v>95253.09983645413</v>
      </c>
      <c r="U221" s="7" t="s">
        <v>7452</v>
      </c>
    </row>
    <row r="222" spans="1:21" ht="16.5" thickBot="1">
      <c r="A222" s="259" t="s">
        <v>10</v>
      </c>
      <c r="B222" s="263">
        <f t="shared" si="12"/>
        <v>150</v>
      </c>
      <c r="C222" s="263" t="s">
        <v>3</v>
      </c>
      <c r="D222" s="263">
        <f t="shared" si="13"/>
        <v>360</v>
      </c>
      <c r="E222" s="263" t="s">
        <v>3</v>
      </c>
      <c r="F222" s="261">
        <f t="shared" si="14"/>
        <v>1500</v>
      </c>
      <c r="G222" s="263" t="s">
        <v>3</v>
      </c>
      <c r="H222" s="260">
        <v>6</v>
      </c>
      <c r="I222" s="262" t="s">
        <v>583</v>
      </c>
      <c r="J222" s="112">
        <v>150</v>
      </c>
      <c r="K222" s="75">
        <v>360</v>
      </c>
      <c r="L222" s="75">
        <v>1500</v>
      </c>
      <c r="M222" s="191">
        <v>28.250948505124899</v>
      </c>
      <c r="N222" s="87">
        <v>8082.915438</v>
      </c>
      <c r="O222" s="123">
        <v>65154.203160014484</v>
      </c>
      <c r="P222" s="123">
        <v>77790.73920168895</v>
      </c>
      <c r="Q222" s="120">
        <v>21013.770756749404</v>
      </c>
      <c r="R222" s="123">
        <v>86167.973916763891</v>
      </c>
      <c r="S222" s="123">
        <v>98804.509958438357</v>
      </c>
      <c r="U222" s="7" t="s">
        <v>7453</v>
      </c>
    </row>
    <row r="223" spans="1:21" ht="16.5" thickBot="1">
      <c r="A223" s="259" t="s">
        <v>10</v>
      </c>
      <c r="B223" s="263">
        <f t="shared" si="12"/>
        <v>150</v>
      </c>
      <c r="C223" s="263" t="s">
        <v>3</v>
      </c>
      <c r="D223" s="263">
        <f t="shared" si="13"/>
        <v>360</v>
      </c>
      <c r="E223" s="263" t="s">
        <v>3</v>
      </c>
      <c r="F223" s="261">
        <f t="shared" si="14"/>
        <v>1550</v>
      </c>
      <c r="G223" s="263" t="s">
        <v>3</v>
      </c>
      <c r="H223" s="260">
        <v>6</v>
      </c>
      <c r="I223" s="262" t="s">
        <v>583</v>
      </c>
      <c r="J223" s="112">
        <v>150</v>
      </c>
      <c r="K223" s="75">
        <v>360</v>
      </c>
      <c r="L223" s="75">
        <v>1550</v>
      </c>
      <c r="M223" s="191">
        <v>29.048592072045793</v>
      </c>
      <c r="N223" s="87">
        <v>8434.346544</v>
      </c>
      <c r="O223" s="123">
        <v>66764.238452965365</v>
      </c>
      <c r="P223" s="123">
        <v>79737.239751673085</v>
      </c>
      <c r="Q223" s="120">
        <v>21567.367898252327</v>
      </c>
      <c r="R223" s="123">
        <v>88331.606351217692</v>
      </c>
      <c r="S223" s="123">
        <v>101304.60764992541</v>
      </c>
      <c r="U223" s="7" t="s">
        <v>7454</v>
      </c>
    </row>
    <row r="224" spans="1:21" ht="16.5" thickBot="1">
      <c r="A224" s="259" t="s">
        <v>10</v>
      </c>
      <c r="B224" s="260">
        <f t="shared" si="12"/>
        <v>150</v>
      </c>
      <c r="C224" s="260" t="s">
        <v>3</v>
      </c>
      <c r="D224" s="260">
        <f t="shared" si="13"/>
        <v>360</v>
      </c>
      <c r="E224" s="260" t="s">
        <v>3</v>
      </c>
      <c r="F224" s="261">
        <f t="shared" si="14"/>
        <v>1600</v>
      </c>
      <c r="G224" s="260" t="s">
        <v>3</v>
      </c>
      <c r="H224" s="260">
        <v>6</v>
      </c>
      <c r="I224" s="262" t="s">
        <v>583</v>
      </c>
      <c r="J224" s="112">
        <v>150</v>
      </c>
      <c r="K224" s="75">
        <v>360</v>
      </c>
      <c r="L224" s="75">
        <v>1600</v>
      </c>
      <c r="M224" s="191">
        <v>29.846235638966679</v>
      </c>
      <c r="N224" s="87">
        <v>8785.77765</v>
      </c>
      <c r="O224" s="123">
        <v>70154.707404174304</v>
      </c>
      <c r="P224" s="123">
        <v>83516.267982656529</v>
      </c>
      <c r="Q224" s="120">
        <v>22120.965039755254</v>
      </c>
      <c r="R224" s="123">
        <v>92275.672443929565</v>
      </c>
      <c r="S224" s="123">
        <v>105637.23302241179</v>
      </c>
      <c r="U224" s="7" t="s">
        <v>7455</v>
      </c>
    </row>
    <row r="225" spans="1:21" ht="16.5" thickBot="1">
      <c r="A225" s="259" t="s">
        <v>10</v>
      </c>
      <c r="B225" s="263">
        <f t="shared" si="12"/>
        <v>150</v>
      </c>
      <c r="C225" s="263" t="s">
        <v>3</v>
      </c>
      <c r="D225" s="263">
        <f t="shared" si="13"/>
        <v>360</v>
      </c>
      <c r="E225" s="263" t="s">
        <v>3</v>
      </c>
      <c r="F225" s="261">
        <f t="shared" si="14"/>
        <v>1650</v>
      </c>
      <c r="G225" s="263" t="s">
        <v>3</v>
      </c>
      <c r="H225" s="260">
        <v>6</v>
      </c>
      <c r="I225" s="262" t="s">
        <v>583</v>
      </c>
      <c r="J225" s="112">
        <v>150</v>
      </c>
      <c r="K225" s="75">
        <v>360</v>
      </c>
      <c r="L225" s="75">
        <v>1650</v>
      </c>
      <c r="M225" s="191">
        <v>30.65921520588758</v>
      </c>
      <c r="N225" s="87">
        <v>9137.2087560000018</v>
      </c>
      <c r="O225" s="123">
        <v>73774.273620771128</v>
      </c>
      <c r="P225" s="123">
        <v>87531.134655859336</v>
      </c>
      <c r="Q225" s="120">
        <v>22905.143959041456</v>
      </c>
      <c r="R225" s="123">
        <v>96679.41757981258</v>
      </c>
      <c r="S225" s="123">
        <v>110436.27861490079</v>
      </c>
      <c r="U225" s="7" t="s">
        <v>7456</v>
      </c>
    </row>
    <row r="226" spans="1:21" ht="16.5" thickBot="1">
      <c r="A226" s="259" t="s">
        <v>10</v>
      </c>
      <c r="B226" s="263">
        <f t="shared" si="12"/>
        <v>150</v>
      </c>
      <c r="C226" s="263" t="s">
        <v>3</v>
      </c>
      <c r="D226" s="263">
        <f t="shared" si="13"/>
        <v>360</v>
      </c>
      <c r="E226" s="263" t="s">
        <v>3</v>
      </c>
      <c r="F226" s="261">
        <f t="shared" si="14"/>
        <v>1700</v>
      </c>
      <c r="G226" s="263" t="s">
        <v>3</v>
      </c>
      <c r="H226" s="260">
        <v>6</v>
      </c>
      <c r="I226" s="262" t="s">
        <v>583</v>
      </c>
      <c r="J226" s="112">
        <v>150</v>
      </c>
      <c r="K226" s="75">
        <v>360</v>
      </c>
      <c r="L226" s="75">
        <v>1700</v>
      </c>
      <c r="M226" s="191">
        <v>32.23265877280847</v>
      </c>
      <c r="N226" s="87">
        <v>9488.6398620000018</v>
      </c>
      <c r="O226" s="123">
        <v>75229.794309484321</v>
      </c>
      <c r="P226" s="123">
        <v>89319.857501858205</v>
      </c>
      <c r="Q226" s="120">
        <v>23458.741100544379</v>
      </c>
      <c r="R226" s="123">
        <v>98688.535410028708</v>
      </c>
      <c r="S226" s="123">
        <v>112778.59860240258</v>
      </c>
      <c r="U226" s="7" t="s">
        <v>7457</v>
      </c>
    </row>
    <row r="227" spans="1:21" ht="16.5" thickBot="1">
      <c r="A227" s="259" t="s">
        <v>10</v>
      </c>
      <c r="B227" s="263">
        <f t="shared" si="12"/>
        <v>150</v>
      </c>
      <c r="C227" s="263" t="s">
        <v>3</v>
      </c>
      <c r="D227" s="263">
        <f t="shared" si="13"/>
        <v>360</v>
      </c>
      <c r="E227" s="263" t="s">
        <v>3</v>
      </c>
      <c r="F227" s="261">
        <f t="shared" si="14"/>
        <v>1750</v>
      </c>
      <c r="G227" s="263" t="s">
        <v>3</v>
      </c>
      <c r="H227" s="260">
        <v>6</v>
      </c>
      <c r="I227" s="262" t="s">
        <v>583</v>
      </c>
      <c r="J227" s="112">
        <v>150</v>
      </c>
      <c r="K227" s="75">
        <v>360</v>
      </c>
      <c r="L227" s="75">
        <v>1750</v>
      </c>
      <c r="M227" s="191">
        <v>33.045638339729365</v>
      </c>
      <c r="N227" s="87">
        <v>9840.070968</v>
      </c>
      <c r="O227" s="123">
        <v>76615.716455848771</v>
      </c>
      <c r="P227" s="123">
        <v>91037.012387074254</v>
      </c>
      <c r="Q227" s="120">
        <v>24242.920019830581</v>
      </c>
      <c r="R227" s="123">
        <v>100858.63647567935</v>
      </c>
      <c r="S227" s="123">
        <v>115279.93240690483</v>
      </c>
      <c r="U227" s="7" t="s">
        <v>7458</v>
      </c>
    </row>
    <row r="228" spans="1:21" ht="16.5" thickBot="1">
      <c r="A228" s="259" t="s">
        <v>10</v>
      </c>
      <c r="B228" s="263">
        <f t="shared" si="12"/>
        <v>150</v>
      </c>
      <c r="C228" s="263" t="s">
        <v>3</v>
      </c>
      <c r="D228" s="263">
        <f t="shared" si="13"/>
        <v>360</v>
      </c>
      <c r="E228" s="263" t="s">
        <v>3</v>
      </c>
      <c r="F228" s="261">
        <f t="shared" si="14"/>
        <v>1800</v>
      </c>
      <c r="G228" s="263" t="s">
        <v>3</v>
      </c>
      <c r="H228" s="260">
        <v>6</v>
      </c>
      <c r="I228" s="262" t="s">
        <v>583</v>
      </c>
      <c r="J228" s="112">
        <v>150</v>
      </c>
      <c r="K228" s="75">
        <v>360</v>
      </c>
      <c r="L228" s="75">
        <v>1800</v>
      </c>
      <c r="M228" s="191">
        <v>33.843281906650262</v>
      </c>
      <c r="N228" s="87">
        <v>10191.502074</v>
      </c>
      <c r="O228" s="123">
        <v>78071.929522507795</v>
      </c>
      <c r="P228" s="123">
        <v>92826.57072380092</v>
      </c>
      <c r="Q228" s="120">
        <v>24796.517161333504</v>
      </c>
      <c r="R228" s="123">
        <v>102868.44668384129</v>
      </c>
      <c r="S228" s="123">
        <v>117623.08788513442</v>
      </c>
      <c r="U228" s="7" t="s">
        <v>7459</v>
      </c>
    </row>
    <row r="229" spans="1:21" ht="16.5" thickBot="1">
      <c r="A229" s="259" t="s">
        <v>10</v>
      </c>
      <c r="B229" s="263">
        <f t="shared" si="12"/>
        <v>150</v>
      </c>
      <c r="C229" s="263" t="s">
        <v>3</v>
      </c>
      <c r="D229" s="263">
        <f t="shared" si="13"/>
        <v>360</v>
      </c>
      <c r="E229" s="263" t="s">
        <v>3</v>
      </c>
      <c r="F229" s="261">
        <f t="shared" si="14"/>
        <v>1850</v>
      </c>
      <c r="G229" s="263" t="s">
        <v>3</v>
      </c>
      <c r="H229" s="260">
        <v>6</v>
      </c>
      <c r="I229" s="262" t="s">
        <v>583</v>
      </c>
      <c r="J229" s="112">
        <v>150</v>
      </c>
      <c r="K229" s="75">
        <v>360</v>
      </c>
      <c r="L229" s="75">
        <v>1850</v>
      </c>
      <c r="M229" s="191">
        <v>34.656261473571163</v>
      </c>
      <c r="N229" s="87">
        <v>10542.93318</v>
      </c>
      <c r="O229" s="123">
        <v>79528.122182991603</v>
      </c>
      <c r="P229" s="123">
        <v>94616.161049155213</v>
      </c>
      <c r="Q229" s="120">
        <v>25580.69622101307</v>
      </c>
      <c r="R229" s="123">
        <v>105108.81840400468</v>
      </c>
      <c r="S229" s="123">
        <v>120196.85727016829</v>
      </c>
      <c r="U229" s="7" t="s">
        <v>7460</v>
      </c>
    </row>
    <row r="230" spans="1:21" ht="16.5" thickBot="1">
      <c r="A230" s="259" t="s">
        <v>10</v>
      </c>
      <c r="B230" s="263">
        <f t="shared" si="12"/>
        <v>150</v>
      </c>
      <c r="C230" s="263" t="s">
        <v>3</v>
      </c>
      <c r="D230" s="263">
        <f t="shared" si="13"/>
        <v>360</v>
      </c>
      <c r="E230" s="263" t="s">
        <v>3</v>
      </c>
      <c r="F230" s="261">
        <f t="shared" si="14"/>
        <v>1900</v>
      </c>
      <c r="G230" s="263" t="s">
        <v>3</v>
      </c>
      <c r="H230" s="260">
        <v>6</v>
      </c>
      <c r="I230" s="262" t="s">
        <v>583</v>
      </c>
      <c r="J230" s="112">
        <v>150</v>
      </c>
      <c r="K230" s="75">
        <v>360</v>
      </c>
      <c r="L230" s="75">
        <v>1900</v>
      </c>
      <c r="M230" s="191">
        <v>35.453905040492053</v>
      </c>
      <c r="N230" s="87">
        <v>10894.364286000002</v>
      </c>
      <c r="O230" s="123">
        <v>81144.380882053054</v>
      </c>
      <c r="P230" s="123">
        <v>96570.525578907094</v>
      </c>
      <c r="Q230" s="120">
        <v>26134.293362515993</v>
      </c>
      <c r="R230" s="123">
        <v>107278.67424456905</v>
      </c>
      <c r="S230" s="123">
        <v>122704.81894142309</v>
      </c>
      <c r="U230" s="7" t="s">
        <v>7461</v>
      </c>
    </row>
    <row r="231" spans="1:21" ht="16.5" thickBot="1">
      <c r="A231" s="259" t="s">
        <v>10</v>
      </c>
      <c r="B231" s="263">
        <f t="shared" si="12"/>
        <v>150</v>
      </c>
      <c r="C231" s="263" t="s">
        <v>3</v>
      </c>
      <c r="D231" s="263">
        <f t="shared" si="13"/>
        <v>360</v>
      </c>
      <c r="E231" s="263" t="s">
        <v>3</v>
      </c>
      <c r="F231" s="261">
        <f t="shared" si="14"/>
        <v>1950</v>
      </c>
      <c r="G231" s="263" t="s">
        <v>3</v>
      </c>
      <c r="H231" s="260">
        <v>6</v>
      </c>
      <c r="I231" s="262" t="s">
        <v>583</v>
      </c>
      <c r="J231" s="112">
        <v>150</v>
      </c>
      <c r="K231" s="75">
        <v>360</v>
      </c>
      <c r="L231" s="75">
        <v>1950</v>
      </c>
      <c r="M231" s="191">
        <v>36.392848607412944</v>
      </c>
      <c r="N231" s="87">
        <v>11245.795392000002</v>
      </c>
      <c r="O231" s="123">
        <v>82982.88120696244</v>
      </c>
      <c r="P231" s="123">
        <v>98753.630992515798</v>
      </c>
      <c r="Q231" s="120">
        <v>26687.890504018917</v>
      </c>
      <c r="R231" s="123">
        <v>109670.77171098135</v>
      </c>
      <c r="S231" s="123">
        <v>125441.52149653471</v>
      </c>
      <c r="U231" s="7" t="s">
        <v>7462</v>
      </c>
    </row>
    <row r="232" spans="1:21" ht="16.5" thickBot="1">
      <c r="A232" s="259" t="s">
        <v>10</v>
      </c>
      <c r="B232" s="263">
        <f t="shared" si="12"/>
        <v>150</v>
      </c>
      <c r="C232" s="263" t="s">
        <v>3</v>
      </c>
      <c r="D232" s="263">
        <f t="shared" si="13"/>
        <v>360</v>
      </c>
      <c r="E232" s="263" t="s">
        <v>3</v>
      </c>
      <c r="F232" s="261">
        <f t="shared" si="14"/>
        <v>2000</v>
      </c>
      <c r="G232" s="263" t="s">
        <v>3</v>
      </c>
      <c r="H232" s="260">
        <v>6</v>
      </c>
      <c r="I232" s="262" t="s">
        <v>583</v>
      </c>
      <c r="J232" s="112">
        <v>150</v>
      </c>
      <c r="K232" s="75">
        <v>360</v>
      </c>
      <c r="L232" s="75">
        <v>2000</v>
      </c>
      <c r="M232" s="191">
        <v>37.288234334333843</v>
      </c>
      <c r="N232" s="87">
        <v>11597.226498</v>
      </c>
      <c r="O232" s="123">
        <v>84636.522348381419</v>
      </c>
      <c r="P232" s="123">
        <v>100940.2550245997</v>
      </c>
      <c r="Q232" s="120">
        <v>27472.069423305118</v>
      </c>
      <c r="R232" s="123">
        <v>112108.59177168654</v>
      </c>
      <c r="S232" s="123">
        <v>128412.32444790482</v>
      </c>
      <c r="U232" s="7" t="s">
        <v>7463</v>
      </c>
    </row>
    <row r="233" spans="1:21" ht="16.5" thickBot="1">
      <c r="A233" s="259" t="s">
        <v>10</v>
      </c>
      <c r="B233" s="263">
        <f t="shared" si="12"/>
        <v>150</v>
      </c>
      <c r="C233" s="263" t="s">
        <v>3</v>
      </c>
      <c r="D233" s="263">
        <f t="shared" si="13"/>
        <v>360</v>
      </c>
      <c r="E233" s="263" t="s">
        <v>3</v>
      </c>
      <c r="F233" s="261">
        <f t="shared" si="14"/>
        <v>2050</v>
      </c>
      <c r="G233" s="263" t="s">
        <v>3</v>
      </c>
      <c r="H233" s="260">
        <v>6</v>
      </c>
      <c r="I233" s="262" t="s">
        <v>583</v>
      </c>
      <c r="J233" s="112">
        <v>150</v>
      </c>
      <c r="K233" s="75">
        <v>360</v>
      </c>
      <c r="L233" s="75">
        <v>2050</v>
      </c>
      <c r="M233" s="191">
        <v>38.86167790125473</v>
      </c>
      <c r="N233" s="87">
        <v>11948.657604</v>
      </c>
      <c r="O233" s="123">
        <v>88122.45162602888</v>
      </c>
      <c r="P233" s="123">
        <v>104812.43831739368</v>
      </c>
      <c r="Q233" s="120">
        <v>28025.666564808042</v>
      </c>
      <c r="R233" s="123">
        <v>116148.11819083692</v>
      </c>
      <c r="S233" s="123">
        <v>132838.10488220173</v>
      </c>
      <c r="U233" s="7" t="s">
        <v>7464</v>
      </c>
    </row>
    <row r="234" spans="1:21" ht="16.5" thickBot="1">
      <c r="A234" s="259" t="s">
        <v>10</v>
      </c>
      <c r="B234" s="260">
        <f t="shared" si="12"/>
        <v>150</v>
      </c>
      <c r="C234" s="260" t="s">
        <v>3</v>
      </c>
      <c r="D234" s="260">
        <f t="shared" si="13"/>
        <v>360</v>
      </c>
      <c r="E234" s="260" t="s">
        <v>3</v>
      </c>
      <c r="F234" s="261">
        <f t="shared" si="14"/>
        <v>2100</v>
      </c>
      <c r="G234" s="260" t="s">
        <v>3</v>
      </c>
      <c r="H234" s="260">
        <v>6</v>
      </c>
      <c r="I234" s="262" t="s">
        <v>583</v>
      </c>
      <c r="J234" s="112">
        <v>150</v>
      </c>
      <c r="K234" s="75">
        <v>360</v>
      </c>
      <c r="L234" s="75">
        <v>2100</v>
      </c>
      <c r="M234" s="191">
        <v>39.674657468175624</v>
      </c>
      <c r="N234" s="87">
        <v>12300.08871</v>
      </c>
      <c r="O234" s="123">
        <v>89634.747067632343</v>
      </c>
      <c r="P234" s="123">
        <v>106659.99830320154</v>
      </c>
      <c r="Q234" s="120">
        <v>28809.845484094247</v>
      </c>
      <c r="R234" s="123">
        <v>118444.59255172659</v>
      </c>
      <c r="S234" s="123">
        <v>135469.8437872958</v>
      </c>
      <c r="U234" s="7" t="s">
        <v>7465</v>
      </c>
    </row>
    <row r="235" spans="1:21" ht="16.5" thickBot="1">
      <c r="A235" s="259" t="s">
        <v>10</v>
      </c>
      <c r="B235" s="263">
        <f t="shared" si="12"/>
        <v>150</v>
      </c>
      <c r="C235" s="263" t="s">
        <v>3</v>
      </c>
      <c r="D235" s="263">
        <f t="shared" si="13"/>
        <v>360</v>
      </c>
      <c r="E235" s="263" t="s">
        <v>3</v>
      </c>
      <c r="F235" s="261">
        <f t="shared" si="14"/>
        <v>2150</v>
      </c>
      <c r="G235" s="263" t="s">
        <v>3</v>
      </c>
      <c r="H235" s="260">
        <v>6</v>
      </c>
      <c r="I235" s="262" t="s">
        <v>583</v>
      </c>
      <c r="J235" s="112">
        <v>150</v>
      </c>
      <c r="K235" s="75">
        <v>360</v>
      </c>
      <c r="L235" s="75">
        <v>2150</v>
      </c>
      <c r="M235" s="191">
        <v>40.472301035096528</v>
      </c>
      <c r="N235" s="87">
        <v>12651.519816000002</v>
      </c>
      <c r="O235" s="123">
        <v>91282.150840820832</v>
      </c>
      <c r="P235" s="123">
        <v>108646.59091832599</v>
      </c>
      <c r="Q235" s="120">
        <v>29363.442625597167</v>
      </c>
      <c r="R235" s="123">
        <v>120645.59346641799</v>
      </c>
      <c r="S235" s="123">
        <v>138010.03354392317</v>
      </c>
      <c r="U235" s="7" t="s">
        <v>7466</v>
      </c>
    </row>
    <row r="236" spans="1:21" ht="16.5" thickBot="1">
      <c r="A236" s="259" t="s">
        <v>10</v>
      </c>
      <c r="B236" s="263">
        <f t="shared" si="12"/>
        <v>150</v>
      </c>
      <c r="C236" s="263" t="s">
        <v>3</v>
      </c>
      <c r="D236" s="263">
        <f t="shared" si="13"/>
        <v>360</v>
      </c>
      <c r="E236" s="263" t="s">
        <v>3</v>
      </c>
      <c r="F236" s="261">
        <f t="shared" si="14"/>
        <v>2200</v>
      </c>
      <c r="G236" s="263" t="s">
        <v>3</v>
      </c>
      <c r="H236" s="260">
        <v>6</v>
      </c>
      <c r="I236" s="262" t="s">
        <v>583</v>
      </c>
      <c r="J236" s="112">
        <v>150</v>
      </c>
      <c r="K236" s="75">
        <v>360</v>
      </c>
      <c r="L236" s="75">
        <v>2200</v>
      </c>
      <c r="M236" s="191">
        <v>41.285280602017416</v>
      </c>
      <c r="N236" s="87">
        <v>13002.950922000002</v>
      </c>
      <c r="O236" s="123">
        <v>92929.541725898656</v>
      </c>
      <c r="P236" s="123">
        <v>110633.19202022921</v>
      </c>
      <c r="Q236" s="120">
        <v>30147.621544883372</v>
      </c>
      <c r="R236" s="123">
        <v>123077.16327078202</v>
      </c>
      <c r="S236" s="123">
        <v>140780.81356511259</v>
      </c>
      <c r="U236" s="7" t="s">
        <v>7467</v>
      </c>
    </row>
    <row r="237" spans="1:21" ht="16.5" thickBot="1">
      <c r="A237" s="259" t="s">
        <v>10</v>
      </c>
      <c r="B237" s="263">
        <f t="shared" si="12"/>
        <v>150</v>
      </c>
      <c r="C237" s="263" t="s">
        <v>3</v>
      </c>
      <c r="D237" s="263">
        <f t="shared" si="13"/>
        <v>360</v>
      </c>
      <c r="E237" s="263" t="s">
        <v>3</v>
      </c>
      <c r="F237" s="261">
        <f t="shared" si="14"/>
        <v>2250</v>
      </c>
      <c r="G237" s="263" t="s">
        <v>3</v>
      </c>
      <c r="H237" s="260">
        <v>6</v>
      </c>
      <c r="I237" s="262" t="s">
        <v>583</v>
      </c>
      <c r="J237" s="112">
        <v>150</v>
      </c>
      <c r="K237" s="75">
        <v>360</v>
      </c>
      <c r="L237" s="75">
        <v>2250</v>
      </c>
      <c r="M237" s="191">
        <v>42.08292416893832</v>
      </c>
      <c r="N237" s="87">
        <v>13354.382028</v>
      </c>
      <c r="O237" s="123">
        <v>94796.721915764952</v>
      </c>
      <c r="P237" s="123">
        <v>112842.33904918964</v>
      </c>
      <c r="Q237" s="120">
        <v>30701.218686386295</v>
      </c>
      <c r="R237" s="123">
        <v>125497.94060215124</v>
      </c>
      <c r="S237" s="123">
        <v>143543.55773557595</v>
      </c>
      <c r="U237" s="7" t="s">
        <v>7468</v>
      </c>
    </row>
    <row r="238" spans="1:21" ht="16.5" thickBot="1">
      <c r="A238" s="259" t="s">
        <v>10</v>
      </c>
      <c r="B238" s="263">
        <f t="shared" si="12"/>
        <v>150</v>
      </c>
      <c r="C238" s="263" t="s">
        <v>3</v>
      </c>
      <c r="D238" s="263">
        <f t="shared" si="13"/>
        <v>360</v>
      </c>
      <c r="E238" s="263" t="s">
        <v>3</v>
      </c>
      <c r="F238" s="261">
        <f t="shared" si="14"/>
        <v>2300</v>
      </c>
      <c r="G238" s="263" t="s">
        <v>3</v>
      </c>
      <c r="H238" s="260">
        <v>6</v>
      </c>
      <c r="I238" s="262" t="s">
        <v>583</v>
      </c>
      <c r="J238" s="112">
        <v>150</v>
      </c>
      <c r="K238" s="75">
        <v>360</v>
      </c>
      <c r="L238" s="75">
        <v>2300</v>
      </c>
      <c r="M238" s="191">
        <v>42.880567735859202</v>
      </c>
      <c r="N238" s="87">
        <v>13705.813134</v>
      </c>
      <c r="O238" s="123">
        <v>96149.155857880571</v>
      </c>
      <c r="P238" s="123">
        <v>114521.83718307293</v>
      </c>
      <c r="Q238" s="120">
        <v>31254.815827889219</v>
      </c>
      <c r="R238" s="123">
        <v>127403.97168576979</v>
      </c>
      <c r="S238" s="123">
        <v>145776.65301096215</v>
      </c>
      <c r="U238" s="7" t="s">
        <v>7469</v>
      </c>
    </row>
    <row r="239" spans="1:21" ht="16.5" thickBot="1">
      <c r="A239" s="259" t="s">
        <v>10</v>
      </c>
      <c r="B239" s="263">
        <f t="shared" si="12"/>
        <v>150</v>
      </c>
      <c r="C239" s="263" t="s">
        <v>3</v>
      </c>
      <c r="D239" s="263">
        <f t="shared" si="13"/>
        <v>360</v>
      </c>
      <c r="E239" s="263" t="s">
        <v>3</v>
      </c>
      <c r="F239" s="261">
        <f t="shared" si="14"/>
        <v>2350</v>
      </c>
      <c r="G239" s="263" t="s">
        <v>3</v>
      </c>
      <c r="H239" s="260">
        <v>6</v>
      </c>
      <c r="I239" s="262" t="s">
        <v>583</v>
      </c>
      <c r="J239" s="112">
        <v>150</v>
      </c>
      <c r="K239" s="75">
        <v>360</v>
      </c>
      <c r="L239" s="75">
        <v>2350</v>
      </c>
      <c r="M239" s="191">
        <v>43.693547302780097</v>
      </c>
      <c r="N239" s="87">
        <v>14057.244240000002</v>
      </c>
      <c r="O239" s="123">
        <v>97485.973467223259</v>
      </c>
      <c r="P239" s="123">
        <v>116183.17726624629</v>
      </c>
      <c r="Q239" s="120">
        <v>32038.99474717542</v>
      </c>
      <c r="R239" s="123">
        <v>129524.96821439869</v>
      </c>
      <c r="S239" s="123">
        <v>148222.17201342172</v>
      </c>
      <c r="U239" s="7" t="s">
        <v>7470</v>
      </c>
    </row>
    <row r="240" spans="1:21" ht="16.5" thickBot="1">
      <c r="A240" s="259" t="s">
        <v>10</v>
      </c>
      <c r="B240" s="263">
        <f t="shared" si="12"/>
        <v>150</v>
      </c>
      <c r="C240" s="263" t="s">
        <v>3</v>
      </c>
      <c r="D240" s="263">
        <f t="shared" si="13"/>
        <v>360</v>
      </c>
      <c r="E240" s="263" t="s">
        <v>3</v>
      </c>
      <c r="F240" s="261">
        <f t="shared" si="14"/>
        <v>2400</v>
      </c>
      <c r="G240" s="263" t="s">
        <v>3</v>
      </c>
      <c r="H240" s="260">
        <v>6</v>
      </c>
      <c r="I240" s="262" t="s">
        <v>583</v>
      </c>
      <c r="J240" s="112">
        <v>150</v>
      </c>
      <c r="K240" s="75">
        <v>360</v>
      </c>
      <c r="L240" s="75">
        <v>2400</v>
      </c>
      <c r="M240" s="191">
        <v>44.491190869701001</v>
      </c>
      <c r="N240" s="87">
        <v>14408.675346</v>
      </c>
      <c r="O240" s="123">
        <v>98888.74097091498</v>
      </c>
      <c r="P240" s="123">
        <v>117929.41738681018</v>
      </c>
      <c r="Q240" s="120">
        <v>32592.591888678344</v>
      </c>
      <c r="R240" s="123">
        <v>131481.33285959333</v>
      </c>
      <c r="S240" s="123">
        <v>150522.00927548853</v>
      </c>
      <c r="U240" s="7" t="s">
        <v>7471</v>
      </c>
    </row>
    <row r="241" spans="1:21" ht="16.5" thickBot="1">
      <c r="A241" s="259" t="s">
        <v>10</v>
      </c>
      <c r="B241" s="263">
        <f t="shared" si="12"/>
        <v>150</v>
      </c>
      <c r="C241" s="263" t="s">
        <v>3</v>
      </c>
      <c r="D241" s="263">
        <f t="shared" si="13"/>
        <v>360</v>
      </c>
      <c r="E241" s="263" t="s">
        <v>3</v>
      </c>
      <c r="F241" s="261">
        <f t="shared" si="14"/>
        <v>2450</v>
      </c>
      <c r="G241" s="263" t="s">
        <v>3</v>
      </c>
      <c r="H241" s="260">
        <v>6</v>
      </c>
      <c r="I241" s="262" t="s">
        <v>583</v>
      </c>
      <c r="J241" s="112">
        <v>150</v>
      </c>
      <c r="K241" s="75">
        <v>360</v>
      </c>
      <c r="L241" s="75">
        <v>2450</v>
      </c>
      <c r="M241" s="191">
        <v>46.049029601185886</v>
      </c>
      <c r="N241" s="87">
        <v>14760.106452000002</v>
      </c>
      <c r="O241" s="123">
        <v>100778.81712806858</v>
      </c>
      <c r="P241" s="123">
        <v>120351.08667371364</v>
      </c>
      <c r="Q241" s="120">
        <v>33376.770807964545</v>
      </c>
      <c r="R241" s="123">
        <v>134155.58793603312</v>
      </c>
      <c r="S241" s="123">
        <v>153727.85748167819</v>
      </c>
      <c r="U241" s="7" t="s">
        <v>7472</v>
      </c>
    </row>
    <row r="242" spans="1:21" ht="16.5" thickBot="1">
      <c r="A242" s="259" t="s">
        <v>10</v>
      </c>
      <c r="B242" s="263">
        <f t="shared" si="12"/>
        <v>150</v>
      </c>
      <c r="C242" s="263" t="s">
        <v>3</v>
      </c>
      <c r="D242" s="263">
        <f t="shared" si="13"/>
        <v>360</v>
      </c>
      <c r="E242" s="263" t="s">
        <v>3</v>
      </c>
      <c r="F242" s="261">
        <f t="shared" si="14"/>
        <v>2500</v>
      </c>
      <c r="G242" s="263" t="s">
        <v>3</v>
      </c>
      <c r="H242" s="260">
        <v>6</v>
      </c>
      <c r="I242" s="262" t="s">
        <v>583</v>
      </c>
      <c r="J242" s="112">
        <v>150</v>
      </c>
      <c r="K242" s="75">
        <v>360</v>
      </c>
      <c r="L242" s="75">
        <v>2500</v>
      </c>
      <c r="M242" s="191">
        <v>46.846673168106783</v>
      </c>
      <c r="N242" s="87">
        <v>15111.537558</v>
      </c>
      <c r="O242" s="123">
        <v>102182.23715203055</v>
      </c>
      <c r="P242" s="123">
        <v>122078.01676127491</v>
      </c>
      <c r="Q242" s="120">
        <v>33930.367949467472</v>
      </c>
      <c r="R242" s="123">
        <v>136112.60510149802</v>
      </c>
      <c r="S242" s="123">
        <v>156008.38471074239</v>
      </c>
      <c r="U242" s="7" t="s">
        <v>7473</v>
      </c>
    </row>
    <row r="243" spans="1:21" ht="16.5" thickBot="1">
      <c r="A243" s="259" t="s">
        <v>10</v>
      </c>
      <c r="B243" s="263">
        <f t="shared" si="12"/>
        <v>150</v>
      </c>
      <c r="C243" s="263" t="s">
        <v>3</v>
      </c>
      <c r="D243" s="263">
        <f t="shared" si="13"/>
        <v>360</v>
      </c>
      <c r="E243" s="263" t="s">
        <v>3</v>
      </c>
      <c r="F243" s="261">
        <f t="shared" si="14"/>
        <v>2550</v>
      </c>
      <c r="G243" s="263" t="s">
        <v>3</v>
      </c>
      <c r="H243" s="260">
        <v>6</v>
      </c>
      <c r="I243" s="262" t="s">
        <v>583</v>
      </c>
      <c r="J243" s="112">
        <v>150</v>
      </c>
      <c r="K243" s="75">
        <v>360</v>
      </c>
      <c r="L243" s="75">
        <v>2550</v>
      </c>
      <c r="M243" s="191">
        <v>47.659652735027684</v>
      </c>
      <c r="N243" s="87">
        <v>15462.968664000002</v>
      </c>
      <c r="O243" s="123">
        <v>106536.90110532763</v>
      </c>
      <c r="P243" s="123">
        <v>126846.97211393453</v>
      </c>
      <c r="Q243" s="120">
        <v>34714.547009147034</v>
      </c>
      <c r="R243" s="123">
        <v>141251.44811447465</v>
      </c>
      <c r="S243" s="123">
        <v>161561.51912308158</v>
      </c>
      <c r="U243" s="7" t="s">
        <v>7474</v>
      </c>
    </row>
    <row r="244" spans="1:21" ht="16.5" thickBot="1">
      <c r="A244" s="259" t="s">
        <v>10</v>
      </c>
      <c r="B244" s="260">
        <f t="shared" si="12"/>
        <v>150</v>
      </c>
      <c r="C244" s="260" t="s">
        <v>3</v>
      </c>
      <c r="D244" s="260">
        <f t="shared" si="13"/>
        <v>360</v>
      </c>
      <c r="E244" s="260" t="s">
        <v>3</v>
      </c>
      <c r="F244" s="261">
        <f t="shared" si="14"/>
        <v>2600</v>
      </c>
      <c r="G244" s="260" t="s">
        <v>3</v>
      </c>
      <c r="H244" s="260">
        <v>6</v>
      </c>
      <c r="I244" s="262" t="s">
        <v>583</v>
      </c>
      <c r="J244" s="112">
        <v>150</v>
      </c>
      <c r="K244" s="75">
        <v>360</v>
      </c>
      <c r="L244" s="75">
        <v>2600</v>
      </c>
      <c r="M244" s="191">
        <v>48.457296301948581</v>
      </c>
      <c r="N244" s="87">
        <v>15814.399770000002</v>
      </c>
      <c r="O244" s="123">
        <v>108128.93540702714</v>
      </c>
      <c r="P244" s="123">
        <v>128772.63827488433</v>
      </c>
      <c r="Q244" s="120">
        <v>35268.144150649961</v>
      </c>
      <c r="R244" s="123">
        <v>143397.07955767709</v>
      </c>
      <c r="S244" s="123">
        <v>164040.7824255343</v>
      </c>
      <c r="U244" s="7" t="s">
        <v>7475</v>
      </c>
    </row>
    <row r="245" spans="1:21" ht="16.5" thickBot="1">
      <c r="A245" s="259" t="s">
        <v>10</v>
      </c>
      <c r="B245" s="263">
        <f t="shared" si="12"/>
        <v>150</v>
      </c>
      <c r="C245" s="263" t="s">
        <v>3</v>
      </c>
      <c r="D245" s="263">
        <f t="shared" si="13"/>
        <v>360</v>
      </c>
      <c r="E245" s="263" t="s">
        <v>3</v>
      </c>
      <c r="F245" s="261">
        <f t="shared" si="14"/>
        <v>2650</v>
      </c>
      <c r="G245" s="263" t="s">
        <v>3</v>
      </c>
      <c r="H245" s="260">
        <v>6</v>
      </c>
      <c r="I245" s="262" t="s">
        <v>583</v>
      </c>
      <c r="J245" s="112">
        <v>150</v>
      </c>
      <c r="K245" s="75">
        <v>360</v>
      </c>
      <c r="L245" s="75">
        <v>2650</v>
      </c>
      <c r="M245" s="191">
        <v>49.270275868869483</v>
      </c>
      <c r="N245" s="87">
        <v>16165.830876</v>
      </c>
      <c r="O245" s="123">
        <v>109328.77901142984</v>
      </c>
      <c r="P245" s="123">
        <v>130294.61069682872</v>
      </c>
      <c r="Q245" s="120">
        <v>36052.323069936159</v>
      </c>
      <c r="R245" s="123">
        <v>145381.102081366</v>
      </c>
      <c r="S245" s="123">
        <v>166346.93376676488</v>
      </c>
      <c r="U245" s="7" t="s">
        <v>7476</v>
      </c>
    </row>
    <row r="246" spans="1:21" ht="16.5" thickBot="1">
      <c r="A246" s="259" t="s">
        <v>10</v>
      </c>
      <c r="B246" s="263">
        <f t="shared" si="12"/>
        <v>150</v>
      </c>
      <c r="C246" s="263" t="s">
        <v>3</v>
      </c>
      <c r="D246" s="263">
        <f t="shared" si="13"/>
        <v>360</v>
      </c>
      <c r="E246" s="263" t="s">
        <v>3</v>
      </c>
      <c r="F246" s="261">
        <f t="shared" si="14"/>
        <v>2700</v>
      </c>
      <c r="G246" s="263" t="s">
        <v>3</v>
      </c>
      <c r="H246" s="260">
        <v>6</v>
      </c>
      <c r="I246" s="262" t="s">
        <v>583</v>
      </c>
      <c r="J246" s="112">
        <v>150</v>
      </c>
      <c r="K246" s="75">
        <v>360</v>
      </c>
      <c r="L246" s="75">
        <v>2700</v>
      </c>
      <c r="M246" s="191">
        <v>50.209219435790374</v>
      </c>
      <c r="N246" s="87">
        <v>16517.261982000004</v>
      </c>
      <c r="O246" s="123">
        <v>110637.12153357416</v>
      </c>
      <c r="P246" s="123">
        <v>131928.1880459172</v>
      </c>
      <c r="Q246" s="120">
        <v>36605.920211439086</v>
      </c>
      <c r="R246" s="123">
        <v>147243.04174501324</v>
      </c>
      <c r="S246" s="123">
        <v>168534.10825735627</v>
      </c>
      <c r="U246" s="7" t="s">
        <v>7477</v>
      </c>
    </row>
    <row r="247" spans="1:21" ht="16.5" thickBot="1">
      <c r="A247" s="259" t="s">
        <v>10</v>
      </c>
      <c r="B247" s="263">
        <f t="shared" si="12"/>
        <v>150</v>
      </c>
      <c r="C247" s="263" t="s">
        <v>3</v>
      </c>
      <c r="D247" s="263">
        <f t="shared" si="13"/>
        <v>360</v>
      </c>
      <c r="E247" s="263" t="s">
        <v>3</v>
      </c>
      <c r="F247" s="261">
        <f t="shared" si="14"/>
        <v>2750</v>
      </c>
      <c r="G247" s="263" t="s">
        <v>3</v>
      </c>
      <c r="H247" s="260">
        <v>6</v>
      </c>
      <c r="I247" s="262" t="s">
        <v>583</v>
      </c>
      <c r="J247" s="112">
        <v>150</v>
      </c>
      <c r="K247" s="75">
        <v>360</v>
      </c>
      <c r="L247" s="75">
        <v>2750</v>
      </c>
      <c r="M247" s="191">
        <v>51.006863002711263</v>
      </c>
      <c r="N247" s="87">
        <v>16868.693088</v>
      </c>
      <c r="O247" s="123">
        <v>111911.3302525922</v>
      </c>
      <c r="P247" s="123">
        <v>133526.57072347496</v>
      </c>
      <c r="Q247" s="120">
        <v>37159.517352942006</v>
      </c>
      <c r="R247" s="123">
        <v>149070.84760553422</v>
      </c>
      <c r="S247" s="123">
        <v>170686.08807641696</v>
      </c>
      <c r="U247" s="7" t="s">
        <v>7478</v>
      </c>
    </row>
    <row r="248" spans="1:21" ht="16.5" thickBot="1">
      <c r="A248" s="259" t="s">
        <v>10</v>
      </c>
      <c r="B248" s="263">
        <f t="shared" si="12"/>
        <v>150</v>
      </c>
      <c r="C248" s="263" t="s">
        <v>3</v>
      </c>
      <c r="D248" s="263">
        <f t="shared" si="13"/>
        <v>360</v>
      </c>
      <c r="E248" s="263" t="s">
        <v>3</v>
      </c>
      <c r="F248" s="261">
        <f t="shared" si="14"/>
        <v>2800</v>
      </c>
      <c r="G248" s="263" t="s">
        <v>3</v>
      </c>
      <c r="H248" s="260">
        <v>6</v>
      </c>
      <c r="I248" s="262" t="s">
        <v>583</v>
      </c>
      <c r="J248" s="112">
        <v>150</v>
      </c>
      <c r="K248" s="75">
        <v>360</v>
      </c>
      <c r="L248" s="75">
        <v>2800</v>
      </c>
      <c r="M248" s="191">
        <v>51.819842569632158</v>
      </c>
      <c r="N248" s="87">
        <v>17220.124194000004</v>
      </c>
      <c r="O248" s="123">
        <v>113110.29352743502</v>
      </c>
      <c r="P248" s="123">
        <v>135047.43620833696</v>
      </c>
      <c r="Q248" s="120">
        <v>37943.696272228204</v>
      </c>
      <c r="R248" s="123">
        <v>151053.98979966322</v>
      </c>
      <c r="S248" s="123">
        <v>172991.13248056517</v>
      </c>
      <c r="U248" s="7" t="s">
        <v>7479</v>
      </c>
    </row>
    <row r="249" spans="1:21" ht="16.5" thickBot="1">
      <c r="A249" s="259" t="s">
        <v>10</v>
      </c>
      <c r="B249" s="263">
        <f t="shared" si="12"/>
        <v>150</v>
      </c>
      <c r="C249" s="263" t="s">
        <v>3</v>
      </c>
      <c r="D249" s="263">
        <f t="shared" si="13"/>
        <v>360</v>
      </c>
      <c r="E249" s="263" t="s">
        <v>3</v>
      </c>
      <c r="F249" s="261">
        <f t="shared" si="14"/>
        <v>2850</v>
      </c>
      <c r="G249" s="263" t="s">
        <v>3</v>
      </c>
      <c r="H249" s="260">
        <v>6</v>
      </c>
      <c r="I249" s="262" t="s">
        <v>583</v>
      </c>
      <c r="J249" s="112">
        <v>150</v>
      </c>
      <c r="K249" s="75">
        <v>360</v>
      </c>
      <c r="L249" s="75">
        <v>2850</v>
      </c>
      <c r="M249" s="191">
        <v>53.393286136553044</v>
      </c>
      <c r="N249" s="87">
        <v>17571.5553</v>
      </c>
      <c r="O249" s="123">
        <v>114309.32780622093</v>
      </c>
      <c r="P249" s="123">
        <v>136568.30952714861</v>
      </c>
      <c r="Q249" s="120">
        <v>38497.293413731131</v>
      </c>
      <c r="R249" s="123">
        <v>152806.62121995207</v>
      </c>
      <c r="S249" s="123">
        <v>175065.60294087973</v>
      </c>
      <c r="U249" s="7" t="s">
        <v>7480</v>
      </c>
    </row>
    <row r="250" spans="1:21" ht="16.5" thickBot="1">
      <c r="A250" s="259" t="s">
        <v>10</v>
      </c>
      <c r="B250" s="263">
        <f t="shared" si="12"/>
        <v>150</v>
      </c>
      <c r="C250" s="263" t="s">
        <v>3</v>
      </c>
      <c r="D250" s="263">
        <f t="shared" si="13"/>
        <v>360</v>
      </c>
      <c r="E250" s="263" t="s">
        <v>3</v>
      </c>
      <c r="F250" s="261">
        <f t="shared" si="14"/>
        <v>2900</v>
      </c>
      <c r="G250" s="263" t="s">
        <v>3</v>
      </c>
      <c r="H250" s="260">
        <v>6</v>
      </c>
      <c r="I250" s="262" t="s">
        <v>583</v>
      </c>
      <c r="J250" s="112">
        <v>150</v>
      </c>
      <c r="K250" s="75">
        <v>360</v>
      </c>
      <c r="L250" s="75">
        <v>2900</v>
      </c>
      <c r="M250" s="191">
        <v>54.206265703473946</v>
      </c>
      <c r="N250" s="87">
        <v>17922.986406</v>
      </c>
      <c r="O250" s="123">
        <v>115508.42927025048</v>
      </c>
      <c r="P250" s="123">
        <v>138089.18885198829</v>
      </c>
      <c r="Q250" s="120">
        <v>39281.472333017329</v>
      </c>
      <c r="R250" s="123">
        <v>154789.90160326782</v>
      </c>
      <c r="S250" s="123">
        <v>177370.66118500562</v>
      </c>
      <c r="U250" s="7" t="s">
        <v>7481</v>
      </c>
    </row>
    <row r="251" spans="1:21" ht="16.5" thickBot="1">
      <c r="A251" s="259" t="s">
        <v>10</v>
      </c>
      <c r="B251" s="263">
        <f t="shared" si="12"/>
        <v>150</v>
      </c>
      <c r="C251" s="263" t="s">
        <v>3</v>
      </c>
      <c r="D251" s="263">
        <f t="shared" si="13"/>
        <v>360</v>
      </c>
      <c r="E251" s="263" t="s">
        <v>3</v>
      </c>
      <c r="F251" s="261">
        <f t="shared" si="14"/>
        <v>2950</v>
      </c>
      <c r="G251" s="263" t="s">
        <v>3</v>
      </c>
      <c r="H251" s="260">
        <v>6</v>
      </c>
      <c r="I251" s="262" t="s">
        <v>583</v>
      </c>
      <c r="J251" s="112">
        <v>150</v>
      </c>
      <c r="K251" s="75">
        <v>360</v>
      </c>
      <c r="L251" s="75">
        <v>2950</v>
      </c>
      <c r="M251" s="191">
        <v>55.003909270394836</v>
      </c>
      <c r="N251" s="87">
        <v>18274.417512000004</v>
      </c>
      <c r="O251" s="123">
        <v>116707.59386215544</v>
      </c>
      <c r="P251" s="123">
        <v>139610.07261606611</v>
      </c>
      <c r="Q251" s="120">
        <v>39835.069474520256</v>
      </c>
      <c r="R251" s="123">
        <v>156542.6633366757</v>
      </c>
      <c r="S251" s="123">
        <v>179445.14209058636</v>
      </c>
      <c r="U251" s="7" t="s">
        <v>7482</v>
      </c>
    </row>
    <row r="252" spans="1:21" ht="16.5" thickBot="1">
      <c r="A252" s="259" t="s">
        <v>10</v>
      </c>
      <c r="B252" s="263">
        <f t="shared" si="12"/>
        <v>150</v>
      </c>
      <c r="C252" s="263" t="s">
        <v>3</v>
      </c>
      <c r="D252" s="263">
        <f t="shared" si="13"/>
        <v>360</v>
      </c>
      <c r="E252" s="263" t="s">
        <v>3</v>
      </c>
      <c r="F252" s="261">
        <f t="shared" si="14"/>
        <v>3000</v>
      </c>
      <c r="G252" s="263" t="s">
        <v>3</v>
      </c>
      <c r="H252" s="260">
        <v>6</v>
      </c>
      <c r="I252" s="262" t="s">
        <v>583</v>
      </c>
      <c r="J252" s="146">
        <v>150</v>
      </c>
      <c r="K252" s="147">
        <v>360</v>
      </c>
      <c r="L252" s="147">
        <v>3000</v>
      </c>
      <c r="M252" s="192">
        <v>55.81688883731573</v>
      </c>
      <c r="N252" s="148">
        <v>18625.848618</v>
      </c>
      <c r="O252" s="149">
        <v>119473.93349961276</v>
      </c>
      <c r="P252" s="149">
        <v>142744.98959170171</v>
      </c>
      <c r="Q252" s="159">
        <v>40619.248393806454</v>
      </c>
      <c r="R252" s="149">
        <v>160093.18189341921</v>
      </c>
      <c r="S252" s="149">
        <v>183364.23798550817</v>
      </c>
      <c r="U252" s="7" t="s">
        <v>7483</v>
      </c>
    </row>
    <row r="253" spans="1:21" ht="22.5" customHeight="1" thickBot="1">
      <c r="A253" s="2580" t="s">
        <v>49</v>
      </c>
      <c r="B253" s="2581"/>
      <c r="C253" s="2581"/>
      <c r="D253" s="2581"/>
      <c r="E253" s="2581"/>
      <c r="F253" s="2581"/>
      <c r="G253" s="2581"/>
      <c r="H253" s="2581"/>
      <c r="I253" s="2581"/>
      <c r="J253" s="2581"/>
      <c r="K253" s="2581"/>
      <c r="L253" s="2581"/>
      <c r="M253" s="2581"/>
      <c r="N253" s="2581"/>
      <c r="O253" s="2581"/>
      <c r="P253" s="2581"/>
      <c r="Q253" s="2581"/>
      <c r="R253" s="2581"/>
      <c r="S253" s="2582"/>
      <c r="U253" s="7"/>
    </row>
    <row r="254" spans="1:21" ht="19.5" thickBot="1">
      <c r="A254" s="2627" t="s">
        <v>140</v>
      </c>
      <c r="B254" s="2628"/>
      <c r="C254" s="2628"/>
      <c r="D254" s="2628"/>
      <c r="E254" s="2628"/>
      <c r="F254" s="2628"/>
      <c r="G254" s="2628"/>
      <c r="H254" s="2628"/>
      <c r="I254" s="2628"/>
      <c r="J254" s="2628"/>
      <c r="K254" s="2628"/>
      <c r="L254" s="2628"/>
      <c r="M254" s="2628"/>
      <c r="N254" s="2628"/>
      <c r="O254" s="2628"/>
      <c r="P254" s="2628"/>
      <c r="Q254" s="2628"/>
      <c r="R254" s="2628"/>
      <c r="S254" s="2629"/>
      <c r="U254" s="7"/>
    </row>
    <row r="255" spans="1:21" ht="16.5" thickBot="1">
      <c r="A255" s="259" t="s">
        <v>10</v>
      </c>
      <c r="B255" s="260">
        <f t="shared" ref="B255:B301" si="15">J255</f>
        <v>150</v>
      </c>
      <c r="C255" s="260" t="s">
        <v>3</v>
      </c>
      <c r="D255" s="260">
        <f t="shared" ref="D255:D301" si="16">K255</f>
        <v>360</v>
      </c>
      <c r="E255" s="260" t="s">
        <v>3</v>
      </c>
      <c r="F255" s="261">
        <f t="shared" ref="F255:F301" si="17">L255</f>
        <v>700</v>
      </c>
      <c r="G255" s="260" t="s">
        <v>3</v>
      </c>
      <c r="H255" s="260">
        <v>8</v>
      </c>
      <c r="I255" s="262" t="s">
        <v>583</v>
      </c>
      <c r="J255" s="344">
        <v>150</v>
      </c>
      <c r="K255" s="327">
        <v>360</v>
      </c>
      <c r="L255" s="327">
        <v>700</v>
      </c>
      <c r="M255" s="338">
        <v>15.946711410918418</v>
      </c>
      <c r="N255" s="302">
        <v>2589.4923600000002</v>
      </c>
      <c r="O255" s="303">
        <v>35688.086123125409</v>
      </c>
      <c r="P255" s="303">
        <v>42896.522488243936</v>
      </c>
      <c r="Q255" s="304">
        <v>10542.143907826316</v>
      </c>
      <c r="R255" s="303">
        <v>46230.230030951723</v>
      </c>
      <c r="S255" s="303">
        <v>53438.66639607025</v>
      </c>
      <c r="U255" s="7" t="s">
        <v>7484</v>
      </c>
    </row>
    <row r="256" spans="1:21" ht="16.5" thickBot="1">
      <c r="A256" s="259" t="s">
        <v>10</v>
      </c>
      <c r="B256" s="263">
        <f t="shared" si="15"/>
        <v>150</v>
      </c>
      <c r="C256" s="263" t="s">
        <v>3</v>
      </c>
      <c r="D256" s="263">
        <f t="shared" si="16"/>
        <v>360</v>
      </c>
      <c r="E256" s="263" t="s">
        <v>3</v>
      </c>
      <c r="F256" s="261">
        <f t="shared" si="17"/>
        <v>750</v>
      </c>
      <c r="G256" s="263" t="s">
        <v>3</v>
      </c>
      <c r="H256" s="260">
        <v>8</v>
      </c>
      <c r="I256" s="262" t="s">
        <v>583</v>
      </c>
      <c r="J256" s="112">
        <v>150</v>
      </c>
      <c r="K256" s="75">
        <v>360</v>
      </c>
      <c r="L256" s="75">
        <v>750</v>
      </c>
      <c r="M256" s="191">
        <v>16.832982040830522</v>
      </c>
      <c r="N256" s="87">
        <v>2959.4198400000005</v>
      </c>
      <c r="O256" s="123">
        <v>38006.022733225509</v>
      </c>
      <c r="P256" s="123">
        <v>45591.083624012361</v>
      </c>
      <c r="Q256" s="120">
        <v>11095.741049329239</v>
      </c>
      <c r="R256" s="123">
        <v>49101.76378255475</v>
      </c>
      <c r="S256" s="123">
        <v>56686.824673341602</v>
      </c>
      <c r="U256" s="7" t="s">
        <v>7485</v>
      </c>
    </row>
    <row r="257" spans="1:21" ht="16.5" thickBot="1">
      <c r="A257" s="259" t="s">
        <v>10</v>
      </c>
      <c r="B257" s="263">
        <f t="shared" si="15"/>
        <v>150</v>
      </c>
      <c r="C257" s="263" t="s">
        <v>3</v>
      </c>
      <c r="D257" s="263">
        <f t="shared" si="16"/>
        <v>360</v>
      </c>
      <c r="E257" s="263" t="s">
        <v>3</v>
      </c>
      <c r="F257" s="261">
        <f t="shared" si="17"/>
        <v>800</v>
      </c>
      <c r="G257" s="263" t="s">
        <v>3</v>
      </c>
      <c r="H257" s="260">
        <v>8</v>
      </c>
      <c r="I257" s="262" t="s">
        <v>583</v>
      </c>
      <c r="J257" s="112">
        <v>150</v>
      </c>
      <c r="K257" s="75">
        <v>360</v>
      </c>
      <c r="L257" s="75">
        <v>800</v>
      </c>
      <c r="M257" s="191">
        <v>17.71925267074263</v>
      </c>
      <c r="N257" s="87">
        <v>3329.3473200000008</v>
      </c>
      <c r="O257" s="123">
        <v>40310.646163664467</v>
      </c>
      <c r="P257" s="123">
        <v>48272.006636874292</v>
      </c>
      <c r="Q257" s="120">
        <v>11649.338190832164</v>
      </c>
      <c r="R257" s="123">
        <v>51959.984354496628</v>
      </c>
      <c r="S257" s="123">
        <v>59921.34482770646</v>
      </c>
      <c r="U257" s="7" t="s">
        <v>7486</v>
      </c>
    </row>
    <row r="258" spans="1:21" ht="16.5" thickBot="1">
      <c r="A258" s="259" t="s">
        <v>10</v>
      </c>
      <c r="B258" s="263">
        <f t="shared" si="15"/>
        <v>150</v>
      </c>
      <c r="C258" s="263" t="s">
        <v>3</v>
      </c>
      <c r="D258" s="263">
        <f t="shared" si="16"/>
        <v>360</v>
      </c>
      <c r="E258" s="263" t="s">
        <v>3</v>
      </c>
      <c r="F258" s="261">
        <f t="shared" si="17"/>
        <v>850</v>
      </c>
      <c r="G258" s="263" t="s">
        <v>3</v>
      </c>
      <c r="H258" s="260">
        <v>8</v>
      </c>
      <c r="I258" s="262" t="s">
        <v>583</v>
      </c>
      <c r="J258" s="112">
        <v>150</v>
      </c>
      <c r="K258" s="75">
        <v>360</v>
      </c>
      <c r="L258" s="75">
        <v>850</v>
      </c>
      <c r="M258" s="191">
        <v>18.622563300654733</v>
      </c>
      <c r="N258" s="87">
        <v>3699.2748000000006</v>
      </c>
      <c r="O258" s="123">
        <v>42615.269594103425</v>
      </c>
      <c r="P258" s="123">
        <v>50952.929649736201</v>
      </c>
      <c r="Q258" s="120">
        <v>12433.517110118366</v>
      </c>
      <c r="R258" s="123">
        <v>55048.786704221791</v>
      </c>
      <c r="S258" s="123">
        <v>63386.446759854567</v>
      </c>
      <c r="U258" s="7" t="s">
        <v>7487</v>
      </c>
    </row>
    <row r="259" spans="1:21" ht="16.5" thickBot="1">
      <c r="A259" s="259" t="s">
        <v>10</v>
      </c>
      <c r="B259" s="263">
        <f t="shared" si="15"/>
        <v>150</v>
      </c>
      <c r="C259" s="263" t="s">
        <v>3</v>
      </c>
      <c r="D259" s="263">
        <f t="shared" si="16"/>
        <v>360</v>
      </c>
      <c r="E259" s="263" t="s">
        <v>3</v>
      </c>
      <c r="F259" s="261">
        <f t="shared" si="17"/>
        <v>900</v>
      </c>
      <c r="G259" s="263" t="s">
        <v>3</v>
      </c>
      <c r="H259" s="260">
        <v>8</v>
      </c>
      <c r="I259" s="262" t="s">
        <v>583</v>
      </c>
      <c r="J259" s="112">
        <v>150</v>
      </c>
      <c r="K259" s="75">
        <v>360</v>
      </c>
      <c r="L259" s="75">
        <v>900</v>
      </c>
      <c r="M259" s="191">
        <v>19.667833930566843</v>
      </c>
      <c r="N259" s="87">
        <v>4069.2022800000009</v>
      </c>
      <c r="O259" s="123">
        <v>44919.893143876739</v>
      </c>
      <c r="P259" s="123">
        <v>53633.852662598118</v>
      </c>
      <c r="Q259" s="120">
        <v>12987.114251621291</v>
      </c>
      <c r="R259" s="123">
        <v>57907.007395498033</v>
      </c>
      <c r="S259" s="123">
        <v>66620.966914219403</v>
      </c>
      <c r="U259" s="7" t="s">
        <v>7488</v>
      </c>
    </row>
    <row r="260" spans="1:21" ht="16.5" thickBot="1">
      <c r="A260" s="259" t="s">
        <v>10</v>
      </c>
      <c r="B260" s="263">
        <f t="shared" si="15"/>
        <v>150</v>
      </c>
      <c r="C260" s="263" t="s">
        <v>3</v>
      </c>
      <c r="D260" s="263">
        <f t="shared" si="16"/>
        <v>360</v>
      </c>
      <c r="E260" s="263" t="s">
        <v>3</v>
      </c>
      <c r="F260" s="261">
        <f t="shared" si="17"/>
        <v>950</v>
      </c>
      <c r="G260" s="263" t="s">
        <v>3</v>
      </c>
      <c r="H260" s="260">
        <v>8</v>
      </c>
      <c r="I260" s="262" t="s">
        <v>583</v>
      </c>
      <c r="J260" s="112">
        <v>150</v>
      </c>
      <c r="K260" s="75">
        <v>360</v>
      </c>
      <c r="L260" s="75">
        <v>950</v>
      </c>
      <c r="M260" s="191">
        <v>20.571144560478949</v>
      </c>
      <c r="N260" s="87">
        <v>4439.1297600000007</v>
      </c>
      <c r="O260" s="123">
        <v>47224.516574315705</v>
      </c>
      <c r="P260" s="123">
        <v>56314.775806025871</v>
      </c>
      <c r="Q260" s="120">
        <v>13771.293170907491</v>
      </c>
      <c r="R260" s="123">
        <v>60995.809745223196</v>
      </c>
      <c r="S260" s="123">
        <v>70086.068976933369</v>
      </c>
      <c r="U260" s="7" t="s">
        <v>7489</v>
      </c>
    </row>
    <row r="261" spans="1:21" ht="16.5" thickBot="1">
      <c r="A261" s="259" t="s">
        <v>10</v>
      </c>
      <c r="B261" s="263">
        <f t="shared" si="15"/>
        <v>150</v>
      </c>
      <c r="C261" s="263" t="s">
        <v>3</v>
      </c>
      <c r="D261" s="263">
        <f t="shared" si="16"/>
        <v>360</v>
      </c>
      <c r="E261" s="263" t="s">
        <v>3</v>
      </c>
      <c r="F261" s="261">
        <f t="shared" si="17"/>
        <v>1000</v>
      </c>
      <c r="G261" s="263" t="s">
        <v>3</v>
      </c>
      <c r="H261" s="260">
        <v>8</v>
      </c>
      <c r="I261" s="262" t="s">
        <v>583</v>
      </c>
      <c r="J261" s="112">
        <v>150</v>
      </c>
      <c r="K261" s="75">
        <v>360</v>
      </c>
      <c r="L261" s="75">
        <v>1000</v>
      </c>
      <c r="M261" s="191">
        <v>21.457415190391053</v>
      </c>
      <c r="N261" s="87">
        <v>4809.057240000001</v>
      </c>
      <c r="O261" s="123">
        <v>49434.007967135352</v>
      </c>
      <c r="P261" s="123">
        <v>58898.24396325837</v>
      </c>
      <c r="Q261" s="120">
        <v>14324.890312410414</v>
      </c>
      <c r="R261" s="123">
        <v>63758.89827954577</v>
      </c>
      <c r="S261" s="123">
        <v>73223.134275668781</v>
      </c>
      <c r="U261" s="7" t="s">
        <v>7490</v>
      </c>
    </row>
    <row r="262" spans="1:21" ht="16.5" thickBot="1">
      <c r="A262" s="259" t="s">
        <v>10</v>
      </c>
      <c r="B262" s="263">
        <f t="shared" si="15"/>
        <v>150</v>
      </c>
      <c r="C262" s="263" t="s">
        <v>3</v>
      </c>
      <c r="D262" s="263">
        <f t="shared" si="16"/>
        <v>360</v>
      </c>
      <c r="E262" s="263" t="s">
        <v>3</v>
      </c>
      <c r="F262" s="261">
        <f t="shared" si="17"/>
        <v>1050</v>
      </c>
      <c r="G262" s="263" t="s">
        <v>3</v>
      </c>
      <c r="H262" s="260">
        <v>8</v>
      </c>
      <c r="I262" s="262" t="s">
        <v>583</v>
      </c>
      <c r="J262" s="112">
        <v>150</v>
      </c>
      <c r="K262" s="75">
        <v>360</v>
      </c>
      <c r="L262" s="75">
        <v>1050</v>
      </c>
      <c r="M262" s="191">
        <v>22.360725820303159</v>
      </c>
      <c r="N262" s="87">
        <v>5178.9847200000004</v>
      </c>
      <c r="O262" s="123">
        <v>51964.570121171324</v>
      </c>
      <c r="P262" s="123">
        <v>61810.62219295722</v>
      </c>
      <c r="Q262" s="120">
        <v>15109.069231696616</v>
      </c>
      <c r="R262" s="123">
        <v>67073.639352867933</v>
      </c>
      <c r="S262" s="123">
        <v>76919.691424653836</v>
      </c>
      <c r="U262" s="7" t="s">
        <v>7491</v>
      </c>
    </row>
    <row r="263" spans="1:21" ht="16.5" thickBot="1">
      <c r="A263" s="259" t="s">
        <v>10</v>
      </c>
      <c r="B263" s="260">
        <f t="shared" si="15"/>
        <v>150</v>
      </c>
      <c r="C263" s="260" t="s">
        <v>3</v>
      </c>
      <c r="D263" s="260">
        <f t="shared" si="16"/>
        <v>360</v>
      </c>
      <c r="E263" s="260" t="s">
        <v>3</v>
      </c>
      <c r="F263" s="261">
        <f t="shared" si="17"/>
        <v>1100</v>
      </c>
      <c r="G263" s="260" t="s">
        <v>3</v>
      </c>
      <c r="H263" s="260">
        <v>8</v>
      </c>
      <c r="I263" s="262" t="s">
        <v>583</v>
      </c>
      <c r="J263" s="112">
        <v>150</v>
      </c>
      <c r="K263" s="75">
        <v>360</v>
      </c>
      <c r="L263" s="75">
        <v>1100</v>
      </c>
      <c r="M263" s="191">
        <v>23.246996450215264</v>
      </c>
      <c r="N263" s="87">
        <v>5548.9122000000007</v>
      </c>
      <c r="O263" s="123">
        <v>54269.193551610282</v>
      </c>
      <c r="P263" s="123">
        <v>64491.545205819137</v>
      </c>
      <c r="Q263" s="120">
        <v>15662.66637319954</v>
      </c>
      <c r="R263" s="123">
        <v>69931.859924809818</v>
      </c>
      <c r="S263" s="123">
        <v>80154.21157901868</v>
      </c>
      <c r="U263" s="7" t="s">
        <v>7492</v>
      </c>
    </row>
    <row r="264" spans="1:21" ht="16.5" thickBot="1">
      <c r="A264" s="259" t="s">
        <v>10</v>
      </c>
      <c r="B264" s="263">
        <f t="shared" si="15"/>
        <v>150</v>
      </c>
      <c r="C264" s="263" t="s">
        <v>3</v>
      </c>
      <c r="D264" s="263">
        <f t="shared" si="16"/>
        <v>360</v>
      </c>
      <c r="E264" s="263" t="s">
        <v>3</v>
      </c>
      <c r="F264" s="261">
        <f t="shared" si="17"/>
        <v>1150</v>
      </c>
      <c r="G264" s="263" t="s">
        <v>3</v>
      </c>
      <c r="H264" s="260">
        <v>8</v>
      </c>
      <c r="I264" s="262" t="s">
        <v>583</v>
      </c>
      <c r="J264" s="112">
        <v>150</v>
      </c>
      <c r="K264" s="75">
        <v>360</v>
      </c>
      <c r="L264" s="75">
        <v>1150</v>
      </c>
      <c r="M264" s="191">
        <v>24.133267080127368</v>
      </c>
      <c r="N264" s="87">
        <v>5918.839680000001</v>
      </c>
      <c r="O264" s="123">
        <v>55818.474529496139</v>
      </c>
      <c r="P264" s="123">
        <v>66398.683292504938</v>
      </c>
      <c r="Q264" s="120">
        <v>16216.263514702467</v>
      </c>
      <c r="R264" s="123">
        <v>72034.738044198602</v>
      </c>
      <c r="S264" s="123">
        <v>82614.946807207409</v>
      </c>
      <c r="U264" s="7" t="s">
        <v>7493</v>
      </c>
    </row>
    <row r="265" spans="1:21" ht="16.5" thickBot="1">
      <c r="A265" s="259" t="s">
        <v>10</v>
      </c>
      <c r="B265" s="263">
        <f t="shared" si="15"/>
        <v>150</v>
      </c>
      <c r="C265" s="263" t="s">
        <v>3</v>
      </c>
      <c r="D265" s="263">
        <f t="shared" si="16"/>
        <v>360</v>
      </c>
      <c r="E265" s="263" t="s">
        <v>3</v>
      </c>
      <c r="F265" s="261">
        <f t="shared" si="17"/>
        <v>1200</v>
      </c>
      <c r="G265" s="263" t="s">
        <v>3</v>
      </c>
      <c r="H265" s="260">
        <v>8</v>
      </c>
      <c r="I265" s="262" t="s">
        <v>583</v>
      </c>
      <c r="J265" s="112">
        <v>150</v>
      </c>
      <c r="K265" s="75">
        <v>360</v>
      </c>
      <c r="L265" s="75">
        <v>1200</v>
      </c>
      <c r="M265" s="191">
        <v>25.19357771003947</v>
      </c>
      <c r="N265" s="87">
        <v>6288.7671600000003</v>
      </c>
      <c r="O265" s="123">
        <v>57486.764202043683</v>
      </c>
      <c r="P265" s="123">
        <v>68427.735653478783</v>
      </c>
      <c r="Q265" s="120">
        <v>17000.442574382028</v>
      </c>
      <c r="R265" s="123">
        <v>74487.206776425708</v>
      </c>
      <c r="S265" s="123">
        <v>85428.178227860815</v>
      </c>
      <c r="U265" s="7" t="s">
        <v>7494</v>
      </c>
    </row>
    <row r="266" spans="1:21" ht="16.5" thickBot="1">
      <c r="A266" s="259" t="s">
        <v>10</v>
      </c>
      <c r="B266" s="263">
        <f t="shared" si="15"/>
        <v>150</v>
      </c>
      <c r="C266" s="263" t="s">
        <v>3</v>
      </c>
      <c r="D266" s="263">
        <f t="shared" si="16"/>
        <v>360</v>
      </c>
      <c r="E266" s="263" t="s">
        <v>3</v>
      </c>
      <c r="F266" s="261">
        <f t="shared" si="17"/>
        <v>1250</v>
      </c>
      <c r="G266" s="263" t="s">
        <v>3</v>
      </c>
      <c r="H266" s="260">
        <v>8</v>
      </c>
      <c r="I266" s="262" t="s">
        <v>583</v>
      </c>
      <c r="J266" s="112">
        <v>150</v>
      </c>
      <c r="K266" s="75">
        <v>360</v>
      </c>
      <c r="L266" s="75">
        <v>1250</v>
      </c>
      <c r="M266" s="191">
        <v>26.941848339951576</v>
      </c>
      <c r="N266" s="87">
        <v>6658.6946400000015</v>
      </c>
      <c r="O266" s="123">
        <v>59035.564143131931</v>
      </c>
      <c r="P266" s="123">
        <v>70334.380984733012</v>
      </c>
      <c r="Q266" s="120">
        <v>17554.039715884952</v>
      </c>
      <c r="R266" s="123">
        <v>76589.603859016876</v>
      </c>
      <c r="S266" s="123">
        <v>87888.420700617964</v>
      </c>
      <c r="U266" s="7" t="s">
        <v>7495</v>
      </c>
    </row>
    <row r="267" spans="1:21" ht="16.5" thickBot="1">
      <c r="A267" s="259" t="s">
        <v>10</v>
      </c>
      <c r="B267" s="263">
        <f t="shared" si="15"/>
        <v>150</v>
      </c>
      <c r="C267" s="263" t="s">
        <v>3</v>
      </c>
      <c r="D267" s="263">
        <f t="shared" si="16"/>
        <v>360</v>
      </c>
      <c r="E267" s="263" t="s">
        <v>3</v>
      </c>
      <c r="F267" s="261">
        <f t="shared" si="17"/>
        <v>1300</v>
      </c>
      <c r="G267" s="263" t="s">
        <v>3</v>
      </c>
      <c r="H267" s="260">
        <v>8</v>
      </c>
      <c r="I267" s="262" t="s">
        <v>583</v>
      </c>
      <c r="J267" s="112">
        <v>150</v>
      </c>
      <c r="K267" s="75">
        <v>360</v>
      </c>
      <c r="L267" s="75">
        <v>1300</v>
      </c>
      <c r="M267" s="191">
        <v>27.845158969863682</v>
      </c>
      <c r="N267" s="87">
        <v>7028.6221200000009</v>
      </c>
      <c r="O267" s="123">
        <v>63036.747674892591</v>
      </c>
      <c r="P267" s="123">
        <v>74753.287396383108</v>
      </c>
      <c r="Q267" s="120">
        <v>18338.218635171153</v>
      </c>
      <c r="R267" s="123">
        <v>81374.966310063741</v>
      </c>
      <c r="S267" s="123">
        <v>93091.506031554265</v>
      </c>
      <c r="U267" s="7" t="s">
        <v>7496</v>
      </c>
    </row>
    <row r="268" spans="1:21" ht="16.5" thickBot="1">
      <c r="A268" s="259" t="s">
        <v>10</v>
      </c>
      <c r="B268" s="263">
        <f t="shared" si="15"/>
        <v>150</v>
      </c>
      <c r="C268" s="263" t="s">
        <v>3</v>
      </c>
      <c r="D268" s="263">
        <f t="shared" si="16"/>
        <v>360</v>
      </c>
      <c r="E268" s="263" t="s">
        <v>3</v>
      </c>
      <c r="F268" s="261">
        <f t="shared" si="17"/>
        <v>1350</v>
      </c>
      <c r="G268" s="263" t="s">
        <v>3</v>
      </c>
      <c r="H268" s="260">
        <v>8</v>
      </c>
      <c r="I268" s="262" t="s">
        <v>583</v>
      </c>
      <c r="J268" s="112">
        <v>150</v>
      </c>
      <c r="K268" s="75">
        <v>360</v>
      </c>
      <c r="L268" s="75">
        <v>1350</v>
      </c>
      <c r="M268" s="191">
        <v>28.731429599775787</v>
      </c>
      <c r="N268" s="87">
        <v>7398.5496000000012</v>
      </c>
      <c r="O268" s="123">
        <v>64835.244020265178</v>
      </c>
      <c r="P268" s="123">
        <v>76915.725675782014</v>
      </c>
      <c r="Q268" s="120">
        <v>18891.815776674081</v>
      </c>
      <c r="R268" s="123">
        <v>83727.059796939255</v>
      </c>
      <c r="S268" s="123">
        <v>95807.541452456091</v>
      </c>
      <c r="U268" s="7" t="s">
        <v>7497</v>
      </c>
    </row>
    <row r="269" spans="1:21" ht="16.5" thickBot="1">
      <c r="A269" s="259" t="s">
        <v>10</v>
      </c>
      <c r="B269" s="263">
        <f t="shared" si="15"/>
        <v>150</v>
      </c>
      <c r="C269" s="263" t="s">
        <v>3</v>
      </c>
      <c r="D269" s="263">
        <f t="shared" si="16"/>
        <v>360</v>
      </c>
      <c r="E269" s="263" t="s">
        <v>3</v>
      </c>
      <c r="F269" s="261">
        <f t="shared" si="17"/>
        <v>1400</v>
      </c>
      <c r="G269" s="263" t="s">
        <v>3</v>
      </c>
      <c r="H269" s="260">
        <v>8</v>
      </c>
      <c r="I269" s="262" t="s">
        <v>583</v>
      </c>
      <c r="J269" s="112">
        <v>150</v>
      </c>
      <c r="K269" s="75">
        <v>360</v>
      </c>
      <c r="L269" s="75">
        <v>1400</v>
      </c>
      <c r="M269" s="191">
        <v>29.634740229687896</v>
      </c>
      <c r="N269" s="87">
        <v>7768.4770800000015</v>
      </c>
      <c r="O269" s="123">
        <v>66960.756841913317</v>
      </c>
      <c r="P269" s="123">
        <v>79413.164923482662</v>
      </c>
      <c r="Q269" s="120">
        <v>19675.994695960278</v>
      </c>
      <c r="R269" s="123">
        <v>86636.751537873599</v>
      </c>
      <c r="S269" s="123">
        <v>99089.159619442944</v>
      </c>
      <c r="U269" s="7" t="s">
        <v>7498</v>
      </c>
    </row>
    <row r="270" spans="1:21" ht="16.5" thickBot="1">
      <c r="A270" s="259" t="s">
        <v>10</v>
      </c>
      <c r="B270" s="263">
        <f t="shared" si="15"/>
        <v>150</v>
      </c>
      <c r="C270" s="263" t="s">
        <v>3</v>
      </c>
      <c r="D270" s="263">
        <f t="shared" si="16"/>
        <v>360</v>
      </c>
      <c r="E270" s="263" t="s">
        <v>3</v>
      </c>
      <c r="F270" s="261">
        <f t="shared" si="17"/>
        <v>1450</v>
      </c>
      <c r="G270" s="263" t="s">
        <v>3</v>
      </c>
      <c r="H270" s="260">
        <v>8</v>
      </c>
      <c r="I270" s="262" t="s">
        <v>583</v>
      </c>
      <c r="J270" s="112">
        <v>150</v>
      </c>
      <c r="K270" s="75">
        <v>360</v>
      </c>
      <c r="L270" s="75">
        <v>1450</v>
      </c>
      <c r="M270" s="191">
        <v>30.521010859600004</v>
      </c>
      <c r="N270" s="87">
        <v>8138.4045600000018</v>
      </c>
      <c r="O270" s="123">
        <v>68759.253187285896</v>
      </c>
      <c r="P270" s="123">
        <v>81575.603202881568</v>
      </c>
      <c r="Q270" s="120">
        <v>20229.591837463206</v>
      </c>
      <c r="R270" s="123">
        <v>88988.845024749098</v>
      </c>
      <c r="S270" s="123">
        <v>101805.19504034477</v>
      </c>
      <c r="U270" s="7" t="s">
        <v>7499</v>
      </c>
    </row>
    <row r="271" spans="1:21" ht="16.5" thickBot="1">
      <c r="A271" s="259" t="s">
        <v>10</v>
      </c>
      <c r="B271" s="263">
        <f t="shared" si="15"/>
        <v>150</v>
      </c>
      <c r="C271" s="263" t="s">
        <v>3</v>
      </c>
      <c r="D271" s="263">
        <f t="shared" si="16"/>
        <v>360</v>
      </c>
      <c r="E271" s="263" t="s">
        <v>3</v>
      </c>
      <c r="F271" s="261">
        <f t="shared" si="17"/>
        <v>1500</v>
      </c>
      <c r="G271" s="263" t="s">
        <v>3</v>
      </c>
      <c r="H271" s="260">
        <v>8</v>
      </c>
      <c r="I271" s="262" t="s">
        <v>583</v>
      </c>
      <c r="J271" s="112">
        <v>150</v>
      </c>
      <c r="K271" s="75">
        <v>360</v>
      </c>
      <c r="L271" s="75">
        <v>1500</v>
      </c>
      <c r="M271" s="191">
        <v>31.389942783472108</v>
      </c>
      <c r="N271" s="87">
        <v>8508.3320400000011</v>
      </c>
      <c r="O271" s="123">
        <v>71147.241929629963</v>
      </c>
      <c r="P271" s="123">
        <v>84548.159875131474</v>
      </c>
      <c r="Q271" s="120">
        <v>21013.770756749404</v>
      </c>
      <c r="R271" s="123">
        <v>92161.01268637937</v>
      </c>
      <c r="S271" s="123">
        <v>105561.93063188088</v>
      </c>
      <c r="U271" s="7" t="s">
        <v>7500</v>
      </c>
    </row>
    <row r="272" spans="1:21" ht="16.5" thickBot="1">
      <c r="A272" s="259" t="s">
        <v>10</v>
      </c>
      <c r="B272" s="263">
        <f t="shared" si="15"/>
        <v>150</v>
      </c>
      <c r="C272" s="263" t="s">
        <v>3</v>
      </c>
      <c r="D272" s="263">
        <f t="shared" si="16"/>
        <v>360</v>
      </c>
      <c r="E272" s="263" t="s">
        <v>3</v>
      </c>
      <c r="F272" s="261">
        <f t="shared" si="17"/>
        <v>1550</v>
      </c>
      <c r="G272" s="263" t="s">
        <v>3</v>
      </c>
      <c r="H272" s="260">
        <v>8</v>
      </c>
      <c r="I272" s="262" t="s">
        <v>583</v>
      </c>
      <c r="J272" s="112">
        <v>150</v>
      </c>
      <c r="K272" s="75">
        <v>360</v>
      </c>
      <c r="L272" s="75">
        <v>1550</v>
      </c>
      <c r="M272" s="191">
        <v>32.276213413384212</v>
      </c>
      <c r="N272" s="87">
        <v>8878.2595200000014</v>
      </c>
      <c r="O272" s="123">
        <v>72945.738275002557</v>
      </c>
      <c r="P272" s="123">
        <v>86710.59815453038</v>
      </c>
      <c r="Q272" s="120">
        <v>21567.367898252327</v>
      </c>
      <c r="R272" s="123">
        <v>94513.106173254884</v>
      </c>
      <c r="S272" s="123">
        <v>108277.96605278271</v>
      </c>
      <c r="U272" s="7" t="s">
        <v>7501</v>
      </c>
    </row>
    <row r="273" spans="1:21" ht="16.5" thickBot="1">
      <c r="A273" s="259" t="s">
        <v>10</v>
      </c>
      <c r="B273" s="260">
        <f t="shared" si="15"/>
        <v>150</v>
      </c>
      <c r="C273" s="260" t="s">
        <v>3</v>
      </c>
      <c r="D273" s="260">
        <f t="shared" si="16"/>
        <v>360</v>
      </c>
      <c r="E273" s="260" t="s">
        <v>3</v>
      </c>
      <c r="F273" s="261">
        <f t="shared" si="17"/>
        <v>1600</v>
      </c>
      <c r="G273" s="260" t="s">
        <v>3</v>
      </c>
      <c r="H273" s="260">
        <v>8</v>
      </c>
      <c r="I273" s="262" t="s">
        <v>583</v>
      </c>
      <c r="J273" s="112">
        <v>150</v>
      </c>
      <c r="K273" s="75">
        <v>360</v>
      </c>
      <c r="L273" s="75">
        <v>1600</v>
      </c>
      <c r="M273" s="191">
        <v>33.16248404329631</v>
      </c>
      <c r="N273" s="87">
        <v>9248.1870000000017</v>
      </c>
      <c r="O273" s="123">
        <v>76690.275966133486</v>
      </c>
      <c r="P273" s="123">
        <v>90866.592516311808</v>
      </c>
      <c r="Q273" s="120">
        <v>22120.965039755254</v>
      </c>
      <c r="R273" s="123">
        <v>98811.241005888733</v>
      </c>
      <c r="S273" s="123">
        <v>112987.55755606707</v>
      </c>
      <c r="U273" s="7" t="s">
        <v>7502</v>
      </c>
    </row>
    <row r="274" spans="1:21" ht="16.5" thickBot="1">
      <c r="A274" s="259" t="s">
        <v>10</v>
      </c>
      <c r="B274" s="263">
        <f t="shared" si="15"/>
        <v>150</v>
      </c>
      <c r="C274" s="263" t="s">
        <v>3</v>
      </c>
      <c r="D274" s="263">
        <f t="shared" si="16"/>
        <v>360</v>
      </c>
      <c r="E274" s="263" t="s">
        <v>3</v>
      </c>
      <c r="F274" s="261">
        <f t="shared" si="17"/>
        <v>1650</v>
      </c>
      <c r="G274" s="263" t="s">
        <v>3</v>
      </c>
      <c r="H274" s="260">
        <v>8</v>
      </c>
      <c r="I274" s="262" t="s">
        <v>583</v>
      </c>
      <c r="J274" s="112">
        <v>150</v>
      </c>
      <c r="K274" s="75">
        <v>360</v>
      </c>
      <c r="L274" s="75">
        <v>1650</v>
      </c>
      <c r="M274" s="191">
        <v>34.065794673208423</v>
      </c>
      <c r="N274" s="87">
        <v>9618.114480000002</v>
      </c>
      <c r="O274" s="123">
        <v>80687.07384089868</v>
      </c>
      <c r="P274" s="123">
        <v>95281.006157850541</v>
      </c>
      <c r="Q274" s="120">
        <v>22905.143959041456</v>
      </c>
      <c r="R274" s="123">
        <v>103592.21779994013</v>
      </c>
      <c r="S274" s="123">
        <v>118186.15011689199</v>
      </c>
      <c r="U274" s="7" t="s">
        <v>7503</v>
      </c>
    </row>
    <row r="275" spans="1:21" ht="16.5" thickBot="1">
      <c r="A275" s="259" t="s">
        <v>10</v>
      </c>
      <c r="B275" s="263">
        <f t="shared" si="15"/>
        <v>150</v>
      </c>
      <c r="C275" s="263" t="s">
        <v>3</v>
      </c>
      <c r="D275" s="263">
        <f t="shared" si="16"/>
        <v>360</v>
      </c>
      <c r="E275" s="263" t="s">
        <v>3</v>
      </c>
      <c r="F275" s="261">
        <f t="shared" si="17"/>
        <v>1700</v>
      </c>
      <c r="G275" s="263" t="s">
        <v>3</v>
      </c>
      <c r="H275" s="260">
        <v>8</v>
      </c>
      <c r="I275" s="262" t="s">
        <v>583</v>
      </c>
      <c r="J275" s="112">
        <v>150</v>
      </c>
      <c r="K275" s="75">
        <v>360</v>
      </c>
      <c r="L275" s="75">
        <v>1700</v>
      </c>
      <c r="M275" s="191">
        <v>35.814065303120522</v>
      </c>
      <c r="N275" s="87">
        <v>9988.0419600000023</v>
      </c>
      <c r="O275" s="123">
        <v>82280.422849221664</v>
      </c>
      <c r="P275" s="123">
        <v>97233.288162659752</v>
      </c>
      <c r="Q275" s="120">
        <v>23458.741100544379</v>
      </c>
      <c r="R275" s="123">
        <v>105739.16394976605</v>
      </c>
      <c r="S275" s="123">
        <v>120692.02926320414</v>
      </c>
      <c r="U275" s="7" t="s">
        <v>7504</v>
      </c>
    </row>
    <row r="276" spans="1:21" ht="16.5" thickBot="1">
      <c r="A276" s="259" t="s">
        <v>10</v>
      </c>
      <c r="B276" s="263">
        <f t="shared" si="15"/>
        <v>150</v>
      </c>
      <c r="C276" s="263" t="s">
        <v>3</v>
      </c>
      <c r="D276" s="263">
        <f t="shared" si="16"/>
        <v>360</v>
      </c>
      <c r="E276" s="263" t="s">
        <v>3</v>
      </c>
      <c r="F276" s="261">
        <f t="shared" si="17"/>
        <v>1750</v>
      </c>
      <c r="G276" s="263" t="s">
        <v>3</v>
      </c>
      <c r="H276" s="260">
        <v>8</v>
      </c>
      <c r="I276" s="262" t="s">
        <v>583</v>
      </c>
      <c r="J276" s="112">
        <v>150</v>
      </c>
      <c r="K276" s="75">
        <v>360</v>
      </c>
      <c r="L276" s="75">
        <v>1750</v>
      </c>
      <c r="M276" s="191">
        <v>36.717375933032628</v>
      </c>
      <c r="N276" s="87">
        <v>10357.969440000001</v>
      </c>
      <c r="O276" s="123">
        <v>83797.617920901015</v>
      </c>
      <c r="P276" s="123">
        <v>99107.556955195963</v>
      </c>
      <c r="Q276" s="120">
        <v>24242.920019830581</v>
      </c>
      <c r="R276" s="123">
        <v>108040.53794073159</v>
      </c>
      <c r="S276" s="123">
        <v>123350.47697502654</v>
      </c>
      <c r="U276" s="7" t="s">
        <v>7505</v>
      </c>
    </row>
    <row r="277" spans="1:21" ht="16.5" thickBot="1">
      <c r="A277" s="259" t="s">
        <v>10</v>
      </c>
      <c r="B277" s="263">
        <f t="shared" si="15"/>
        <v>150</v>
      </c>
      <c r="C277" s="263" t="s">
        <v>3</v>
      </c>
      <c r="D277" s="263">
        <f t="shared" si="16"/>
        <v>360</v>
      </c>
      <c r="E277" s="263" t="s">
        <v>3</v>
      </c>
      <c r="F277" s="261">
        <f t="shared" si="17"/>
        <v>1800</v>
      </c>
      <c r="G277" s="263" t="s">
        <v>3</v>
      </c>
      <c r="H277" s="260">
        <v>8</v>
      </c>
      <c r="I277" s="262" t="s">
        <v>583</v>
      </c>
      <c r="J277" s="112">
        <v>150</v>
      </c>
      <c r="K277" s="75">
        <v>360</v>
      </c>
      <c r="L277" s="75">
        <v>1800</v>
      </c>
      <c r="M277" s="191">
        <v>37.603646562944732</v>
      </c>
      <c r="N277" s="87">
        <v>10727.896920000001</v>
      </c>
      <c r="O277" s="123">
        <v>85391.663483872355</v>
      </c>
      <c r="P277" s="123">
        <v>101060.55250225046</v>
      </c>
      <c r="Q277" s="120">
        <v>24796.517161333504</v>
      </c>
      <c r="R277" s="123">
        <v>110188.18064520587</v>
      </c>
      <c r="S277" s="123">
        <v>125857.06966358397</v>
      </c>
      <c r="U277" s="7" t="s">
        <v>7506</v>
      </c>
    </row>
    <row r="278" spans="1:21" ht="16.5" thickBot="1">
      <c r="A278" s="259" t="s">
        <v>10</v>
      </c>
      <c r="B278" s="263">
        <f t="shared" si="15"/>
        <v>150</v>
      </c>
      <c r="C278" s="263" t="s">
        <v>3</v>
      </c>
      <c r="D278" s="263">
        <f t="shared" si="16"/>
        <v>360</v>
      </c>
      <c r="E278" s="263" t="s">
        <v>3</v>
      </c>
      <c r="F278" s="261">
        <f t="shared" si="17"/>
        <v>1850</v>
      </c>
      <c r="G278" s="263" t="s">
        <v>3</v>
      </c>
      <c r="H278" s="260">
        <v>8</v>
      </c>
      <c r="I278" s="262" t="s">
        <v>583</v>
      </c>
      <c r="J278" s="112">
        <v>150</v>
      </c>
      <c r="K278" s="75">
        <v>360</v>
      </c>
      <c r="L278" s="75">
        <v>1850</v>
      </c>
      <c r="M278" s="191">
        <v>38.506957192856845</v>
      </c>
      <c r="N278" s="87">
        <v>11097.824400000001</v>
      </c>
      <c r="O278" s="123">
        <v>86985.660835763032</v>
      </c>
      <c r="P278" s="123">
        <v>103013.49882598809</v>
      </c>
      <c r="Q278" s="120">
        <v>25580.69622101307</v>
      </c>
      <c r="R278" s="123">
        <v>112566.35705677611</v>
      </c>
      <c r="S278" s="123">
        <v>128594.19504700117</v>
      </c>
      <c r="U278" s="7" t="s">
        <v>7507</v>
      </c>
    </row>
    <row r="279" spans="1:21" ht="16.5" thickBot="1">
      <c r="A279" s="259" t="s">
        <v>10</v>
      </c>
      <c r="B279" s="263">
        <f t="shared" si="15"/>
        <v>150</v>
      </c>
      <c r="C279" s="263" t="s">
        <v>3</v>
      </c>
      <c r="D279" s="263">
        <f t="shared" si="16"/>
        <v>360</v>
      </c>
      <c r="E279" s="263" t="s">
        <v>3</v>
      </c>
      <c r="F279" s="261">
        <f t="shared" si="17"/>
        <v>1900</v>
      </c>
      <c r="G279" s="263" t="s">
        <v>3</v>
      </c>
      <c r="H279" s="260">
        <v>8</v>
      </c>
      <c r="I279" s="262" t="s">
        <v>583</v>
      </c>
      <c r="J279" s="112">
        <v>150</v>
      </c>
      <c r="K279" s="75">
        <v>360</v>
      </c>
      <c r="L279" s="75">
        <v>1900</v>
      </c>
      <c r="M279" s="191">
        <v>39.393227822768949</v>
      </c>
      <c r="N279" s="87">
        <v>11467.751880000002</v>
      </c>
      <c r="O279" s="123">
        <v>88754.712621611849</v>
      </c>
      <c r="P279" s="123">
        <v>105145.77352687293</v>
      </c>
      <c r="Q279" s="120">
        <v>26134.293362515993</v>
      </c>
      <c r="R279" s="123">
        <v>114889.00598412784</v>
      </c>
      <c r="S279" s="123">
        <v>131280.06688938892</v>
      </c>
      <c r="U279" s="7" t="s">
        <v>7508</v>
      </c>
    </row>
    <row r="280" spans="1:21" ht="16.5" thickBot="1">
      <c r="A280" s="259" t="s">
        <v>10</v>
      </c>
      <c r="B280" s="263">
        <f t="shared" si="15"/>
        <v>150</v>
      </c>
      <c r="C280" s="263" t="s">
        <v>3</v>
      </c>
      <c r="D280" s="263">
        <f t="shared" si="16"/>
        <v>360</v>
      </c>
      <c r="E280" s="263" t="s">
        <v>3</v>
      </c>
      <c r="F280" s="261">
        <f t="shared" si="17"/>
        <v>1950</v>
      </c>
      <c r="G280" s="263" t="s">
        <v>3</v>
      </c>
      <c r="H280" s="260">
        <v>8</v>
      </c>
      <c r="I280" s="262" t="s">
        <v>583</v>
      </c>
      <c r="J280" s="112">
        <v>150</v>
      </c>
      <c r="K280" s="75">
        <v>360</v>
      </c>
      <c r="L280" s="75">
        <v>1950</v>
      </c>
      <c r="M280" s="191">
        <v>40.43649845268105</v>
      </c>
      <c r="N280" s="87">
        <v>11837.679360000002</v>
      </c>
      <c r="O280" s="123">
        <v>90766.835368181914</v>
      </c>
      <c r="P280" s="123">
        <v>107527.05410307685</v>
      </c>
      <c r="Q280" s="120">
        <v>26687.890504018917</v>
      </c>
      <c r="R280" s="123">
        <v>117454.72587220083</v>
      </c>
      <c r="S280" s="123">
        <v>134214.94460709576</v>
      </c>
      <c r="U280" s="7" t="s">
        <v>7509</v>
      </c>
    </row>
    <row r="281" spans="1:21" ht="16.5" thickBot="1">
      <c r="A281" s="259" t="s">
        <v>10</v>
      </c>
      <c r="B281" s="263">
        <f t="shared" si="15"/>
        <v>150</v>
      </c>
      <c r="C281" s="263" t="s">
        <v>3</v>
      </c>
      <c r="D281" s="263">
        <f t="shared" si="16"/>
        <v>360</v>
      </c>
      <c r="E281" s="263" t="s">
        <v>3</v>
      </c>
      <c r="F281" s="261">
        <f t="shared" si="17"/>
        <v>2000</v>
      </c>
      <c r="G281" s="263" t="s">
        <v>3</v>
      </c>
      <c r="H281" s="260">
        <v>8</v>
      </c>
      <c r="I281" s="262" t="s">
        <v>583</v>
      </c>
      <c r="J281" s="112">
        <v>150</v>
      </c>
      <c r="K281" s="75">
        <v>360</v>
      </c>
      <c r="L281" s="75">
        <v>2000</v>
      </c>
      <c r="M281" s="191">
        <v>41.431371482593157</v>
      </c>
      <c r="N281" s="87">
        <v>12207.60684</v>
      </c>
      <c r="O281" s="123">
        <v>92567.114688199246</v>
      </c>
      <c r="P281" s="123">
        <v>109899.48257733336</v>
      </c>
      <c r="Q281" s="120">
        <v>27472.069423305118</v>
      </c>
      <c r="R281" s="123">
        <v>120039.18411150436</v>
      </c>
      <c r="S281" s="123">
        <v>137371.55200063848</v>
      </c>
      <c r="U281" s="7" t="s">
        <v>7510</v>
      </c>
    </row>
    <row r="282" spans="1:21" ht="16.5" thickBot="1">
      <c r="A282" s="259" t="s">
        <v>10</v>
      </c>
      <c r="B282" s="263">
        <f t="shared" si="15"/>
        <v>150</v>
      </c>
      <c r="C282" s="263" t="s">
        <v>3</v>
      </c>
      <c r="D282" s="263">
        <f t="shared" si="16"/>
        <v>360</v>
      </c>
      <c r="E282" s="263" t="s">
        <v>3</v>
      </c>
      <c r="F282" s="261">
        <f t="shared" si="17"/>
        <v>2050</v>
      </c>
      <c r="G282" s="263" t="s">
        <v>3</v>
      </c>
      <c r="H282" s="260">
        <v>8</v>
      </c>
      <c r="I282" s="262" t="s">
        <v>583</v>
      </c>
      <c r="J282" s="112">
        <v>150</v>
      </c>
      <c r="K282" s="75">
        <v>360</v>
      </c>
      <c r="L282" s="75">
        <v>2050</v>
      </c>
      <c r="M282" s="191">
        <v>43.179642112505256</v>
      </c>
      <c r="N282" s="87">
        <v>12577.534320000001</v>
      </c>
      <c r="O282" s="123">
        <v>96305.082306909229</v>
      </c>
      <c r="P282" s="123">
        <v>114048.7464012923</v>
      </c>
      <c r="Q282" s="120">
        <v>28025.666564808042</v>
      </c>
      <c r="R282" s="123">
        <v>124330.74887171727</v>
      </c>
      <c r="S282" s="123">
        <v>142074.41296610035</v>
      </c>
      <c r="U282" s="7" t="s">
        <v>7511</v>
      </c>
    </row>
    <row r="283" spans="1:21" ht="16.5" thickBot="1">
      <c r="A283" s="259" t="s">
        <v>10</v>
      </c>
      <c r="B283" s="260">
        <f t="shared" si="15"/>
        <v>150</v>
      </c>
      <c r="C283" s="260" t="s">
        <v>3</v>
      </c>
      <c r="D283" s="260">
        <f t="shared" si="16"/>
        <v>360</v>
      </c>
      <c r="E283" s="260" t="s">
        <v>3</v>
      </c>
      <c r="F283" s="261">
        <f t="shared" si="17"/>
        <v>2100</v>
      </c>
      <c r="G283" s="260" t="s">
        <v>3</v>
      </c>
      <c r="H283" s="260">
        <v>8</v>
      </c>
      <c r="I283" s="262" t="s">
        <v>583</v>
      </c>
      <c r="J283" s="112">
        <v>150</v>
      </c>
      <c r="K283" s="75">
        <v>360</v>
      </c>
      <c r="L283" s="75">
        <v>2100</v>
      </c>
      <c r="M283" s="191">
        <v>44.082952742417362</v>
      </c>
      <c r="N283" s="87">
        <v>12947.461800000001</v>
      </c>
      <c r="O283" s="123">
        <v>97961.00965596117</v>
      </c>
      <c r="P283" s="123">
        <v>116065.13466042998</v>
      </c>
      <c r="Q283" s="120">
        <v>28809.845484094247</v>
      </c>
      <c r="R283" s="123">
        <v>126770.85514005541</v>
      </c>
      <c r="S283" s="123">
        <v>144874.98014452422</v>
      </c>
      <c r="U283" s="7" t="s">
        <v>7512</v>
      </c>
    </row>
    <row r="284" spans="1:21" ht="16.5" thickBot="1">
      <c r="A284" s="259" t="s">
        <v>10</v>
      </c>
      <c r="B284" s="263">
        <f t="shared" si="15"/>
        <v>150</v>
      </c>
      <c r="C284" s="263" t="s">
        <v>3</v>
      </c>
      <c r="D284" s="263">
        <f t="shared" si="16"/>
        <v>360</v>
      </c>
      <c r="E284" s="263" t="s">
        <v>3</v>
      </c>
      <c r="F284" s="261">
        <f t="shared" si="17"/>
        <v>2150</v>
      </c>
      <c r="G284" s="263" t="s">
        <v>3</v>
      </c>
      <c r="H284" s="260">
        <v>8</v>
      </c>
      <c r="I284" s="262" t="s">
        <v>583</v>
      </c>
      <c r="J284" s="112">
        <v>150</v>
      </c>
      <c r="K284" s="75">
        <v>360</v>
      </c>
      <c r="L284" s="75">
        <v>2150</v>
      </c>
      <c r="M284" s="191">
        <v>44.969223372329473</v>
      </c>
      <c r="N284" s="87">
        <v>13317.389280000003</v>
      </c>
      <c r="O284" s="123">
        <v>99764.554202685526</v>
      </c>
      <c r="P284" s="123">
        <v>118232.74439110966</v>
      </c>
      <c r="Q284" s="120">
        <v>29363.442625597167</v>
      </c>
      <c r="R284" s="123">
        <v>129127.99682828269</v>
      </c>
      <c r="S284" s="123">
        <v>147596.18701670683</v>
      </c>
      <c r="U284" s="7" t="s">
        <v>7513</v>
      </c>
    </row>
    <row r="285" spans="1:21" ht="16.5" thickBot="1">
      <c r="A285" s="259" t="s">
        <v>10</v>
      </c>
      <c r="B285" s="263">
        <f t="shared" si="15"/>
        <v>150</v>
      </c>
      <c r="C285" s="263" t="s">
        <v>3</v>
      </c>
      <c r="D285" s="263">
        <f t="shared" si="16"/>
        <v>360</v>
      </c>
      <c r="E285" s="263" t="s">
        <v>3</v>
      </c>
      <c r="F285" s="261">
        <f t="shared" si="17"/>
        <v>2200</v>
      </c>
      <c r="G285" s="263" t="s">
        <v>3</v>
      </c>
      <c r="H285" s="260">
        <v>8</v>
      </c>
      <c r="I285" s="262" t="s">
        <v>583</v>
      </c>
      <c r="J285" s="112">
        <v>150</v>
      </c>
      <c r="K285" s="75">
        <v>360</v>
      </c>
      <c r="L285" s="75">
        <v>2200</v>
      </c>
      <c r="M285" s="191">
        <v>45.872534002241572</v>
      </c>
      <c r="N285" s="87">
        <v>13687.316760000003</v>
      </c>
      <c r="O285" s="123">
        <v>101568.0507769979</v>
      </c>
      <c r="P285" s="123">
        <v>120400.30502903834</v>
      </c>
      <c r="Q285" s="120">
        <v>30147.621544883372</v>
      </c>
      <c r="R285" s="123">
        <v>131715.67232188128</v>
      </c>
      <c r="S285" s="123">
        <v>150547.92657392172</v>
      </c>
      <c r="U285" s="7" t="s">
        <v>7514</v>
      </c>
    </row>
    <row r="286" spans="1:21" ht="16.5" thickBot="1">
      <c r="A286" s="259" t="s">
        <v>10</v>
      </c>
      <c r="B286" s="263">
        <f t="shared" si="15"/>
        <v>150</v>
      </c>
      <c r="C286" s="263" t="s">
        <v>3</v>
      </c>
      <c r="D286" s="263">
        <f t="shared" si="16"/>
        <v>360</v>
      </c>
      <c r="E286" s="263" t="s">
        <v>3</v>
      </c>
      <c r="F286" s="261">
        <f t="shared" si="17"/>
        <v>2250</v>
      </c>
      <c r="G286" s="263" t="s">
        <v>3</v>
      </c>
      <c r="H286" s="260">
        <v>8</v>
      </c>
      <c r="I286" s="262" t="s">
        <v>583</v>
      </c>
      <c r="J286" s="112">
        <v>150</v>
      </c>
      <c r="K286" s="75">
        <v>360</v>
      </c>
      <c r="L286" s="75">
        <v>2250</v>
      </c>
      <c r="M286" s="191">
        <v>46.758804632153684</v>
      </c>
      <c r="N286" s="87">
        <v>14057.244240000002</v>
      </c>
      <c r="O286" s="123">
        <v>103691.15829532366</v>
      </c>
      <c r="P286" s="123">
        <v>122895.28023844947</v>
      </c>
      <c r="Q286" s="120">
        <v>30701.218686386295</v>
      </c>
      <c r="R286" s="123">
        <v>134392.37698170997</v>
      </c>
      <c r="S286" s="123">
        <v>153596.49892483576</v>
      </c>
      <c r="U286" s="7" t="s">
        <v>7515</v>
      </c>
    </row>
    <row r="287" spans="1:21" ht="16.5" thickBot="1">
      <c r="A287" s="259" t="s">
        <v>10</v>
      </c>
      <c r="B287" s="263">
        <f t="shared" si="15"/>
        <v>150</v>
      </c>
      <c r="C287" s="263" t="s">
        <v>3</v>
      </c>
      <c r="D287" s="263">
        <f t="shared" si="16"/>
        <v>360</v>
      </c>
      <c r="E287" s="263" t="s">
        <v>3</v>
      </c>
      <c r="F287" s="261">
        <f t="shared" si="17"/>
        <v>2300</v>
      </c>
      <c r="G287" s="263" t="s">
        <v>3</v>
      </c>
      <c r="H287" s="260">
        <v>8</v>
      </c>
      <c r="I287" s="262" t="s">
        <v>583</v>
      </c>
      <c r="J287" s="112">
        <v>150</v>
      </c>
      <c r="K287" s="75">
        <v>360</v>
      </c>
      <c r="L287" s="75">
        <v>2300</v>
      </c>
      <c r="M287" s="191">
        <v>47.645075262065781</v>
      </c>
      <c r="N287" s="87">
        <v>14427.171720000002</v>
      </c>
      <c r="O287" s="123">
        <v>105251.74942566954</v>
      </c>
      <c r="P287" s="123">
        <v>124814.00447550269</v>
      </c>
      <c r="Q287" s="120">
        <v>31254.815827889219</v>
      </c>
      <c r="R287" s="123">
        <v>136506.56525355874</v>
      </c>
      <c r="S287" s="123">
        <v>156068.8203033919</v>
      </c>
      <c r="U287" s="7" t="s">
        <v>7516</v>
      </c>
    </row>
    <row r="288" spans="1:21" ht="16.5" thickBot="1">
      <c r="A288" s="259" t="s">
        <v>10</v>
      </c>
      <c r="B288" s="263">
        <f t="shared" si="15"/>
        <v>150</v>
      </c>
      <c r="C288" s="263" t="s">
        <v>3</v>
      </c>
      <c r="D288" s="263">
        <f t="shared" si="16"/>
        <v>360</v>
      </c>
      <c r="E288" s="263" t="s">
        <v>3</v>
      </c>
      <c r="F288" s="261">
        <f t="shared" si="17"/>
        <v>2350</v>
      </c>
      <c r="G288" s="263" t="s">
        <v>3</v>
      </c>
      <c r="H288" s="260">
        <v>8</v>
      </c>
      <c r="I288" s="262" t="s">
        <v>583</v>
      </c>
      <c r="J288" s="112">
        <v>150</v>
      </c>
      <c r="K288" s="75">
        <v>360</v>
      </c>
      <c r="L288" s="75">
        <v>2350</v>
      </c>
      <c r="M288" s="191">
        <v>48.548385891977887</v>
      </c>
      <c r="N288" s="87">
        <v>14797.099200000002</v>
      </c>
      <c r="O288" s="123">
        <v>106812.29234493471</v>
      </c>
      <c r="P288" s="123">
        <v>126732.67948923908</v>
      </c>
      <c r="Q288" s="120">
        <v>32038.99474717542</v>
      </c>
      <c r="R288" s="123">
        <v>138851.28709211014</v>
      </c>
      <c r="S288" s="123">
        <v>158771.67423641449</v>
      </c>
      <c r="U288" s="7" t="s">
        <v>7517</v>
      </c>
    </row>
    <row r="289" spans="1:21" ht="16.5" thickBot="1">
      <c r="A289" s="259" t="s">
        <v>10</v>
      </c>
      <c r="B289" s="263">
        <f t="shared" si="15"/>
        <v>150</v>
      </c>
      <c r="C289" s="263" t="s">
        <v>3</v>
      </c>
      <c r="D289" s="263">
        <f t="shared" si="16"/>
        <v>360</v>
      </c>
      <c r="E289" s="263" t="s">
        <v>3</v>
      </c>
      <c r="F289" s="261">
        <f t="shared" si="17"/>
        <v>2400</v>
      </c>
      <c r="G289" s="263" t="s">
        <v>3</v>
      </c>
      <c r="H289" s="260">
        <v>8</v>
      </c>
      <c r="I289" s="262" t="s">
        <v>583</v>
      </c>
      <c r="J289" s="112">
        <v>150</v>
      </c>
      <c r="K289" s="75">
        <v>360</v>
      </c>
      <c r="L289" s="75">
        <v>2400</v>
      </c>
      <c r="M289" s="191">
        <v>49.434656521889998</v>
      </c>
      <c r="N289" s="87">
        <v>15167.026679999999</v>
      </c>
      <c r="O289" s="123">
        <v>108372.78717245358</v>
      </c>
      <c r="P289" s="123">
        <v>128651.30514909282</v>
      </c>
      <c r="Q289" s="120">
        <v>32592.591888678344</v>
      </c>
      <c r="R289" s="123">
        <v>140965.37906113191</v>
      </c>
      <c r="S289" s="123">
        <v>161243.89703777115</v>
      </c>
      <c r="U289" s="7" t="s">
        <v>7518</v>
      </c>
    </row>
    <row r="290" spans="1:21" ht="16.5" thickBot="1">
      <c r="A290" s="259" t="s">
        <v>10</v>
      </c>
      <c r="B290" s="263">
        <f t="shared" si="15"/>
        <v>150</v>
      </c>
      <c r="C290" s="263" t="s">
        <v>3</v>
      </c>
      <c r="D290" s="263">
        <f t="shared" si="16"/>
        <v>360</v>
      </c>
      <c r="E290" s="263" t="s">
        <v>3</v>
      </c>
      <c r="F290" s="261">
        <f t="shared" si="17"/>
        <v>2450</v>
      </c>
      <c r="G290" s="263" t="s">
        <v>3</v>
      </c>
      <c r="H290" s="260">
        <v>8</v>
      </c>
      <c r="I290" s="262" t="s">
        <v>583</v>
      </c>
      <c r="J290" s="112">
        <v>150</v>
      </c>
      <c r="K290" s="75">
        <v>360</v>
      </c>
      <c r="L290" s="75">
        <v>2450</v>
      </c>
      <c r="M290" s="191">
        <v>51.165588445762097</v>
      </c>
      <c r="N290" s="87">
        <v>15536.954160000003</v>
      </c>
      <c r="O290" s="123">
        <v>110522.7263051976</v>
      </c>
      <c r="P290" s="123">
        <v>131380.00010904652</v>
      </c>
      <c r="Q290" s="120">
        <v>33376.770807964545</v>
      </c>
      <c r="R290" s="123">
        <v>143899.49711316216</v>
      </c>
      <c r="S290" s="123">
        <v>164756.77091701108</v>
      </c>
      <c r="U290" s="7" t="s">
        <v>7519</v>
      </c>
    </row>
    <row r="291" spans="1:21" ht="16.5" thickBot="1">
      <c r="A291" s="259" t="s">
        <v>10</v>
      </c>
      <c r="B291" s="263">
        <f t="shared" si="15"/>
        <v>150</v>
      </c>
      <c r="C291" s="263" t="s">
        <v>3</v>
      </c>
      <c r="D291" s="263">
        <f t="shared" si="16"/>
        <v>360</v>
      </c>
      <c r="E291" s="263" t="s">
        <v>3</v>
      </c>
      <c r="F291" s="261">
        <f t="shared" si="17"/>
        <v>2500</v>
      </c>
      <c r="G291" s="263" t="s">
        <v>3</v>
      </c>
      <c r="H291" s="260">
        <v>8</v>
      </c>
      <c r="I291" s="262" t="s">
        <v>583</v>
      </c>
      <c r="J291" s="112">
        <v>150</v>
      </c>
      <c r="K291" s="75">
        <v>360</v>
      </c>
      <c r="L291" s="75">
        <v>2500</v>
      </c>
      <c r="M291" s="191">
        <v>52.051859075674201</v>
      </c>
      <c r="N291" s="87">
        <v>15906.88164</v>
      </c>
      <c r="O291" s="123">
        <v>112083.12494922381</v>
      </c>
      <c r="P291" s="123">
        <v>133298.52719170082</v>
      </c>
      <c r="Q291" s="120">
        <v>33930.367949467472</v>
      </c>
      <c r="R291" s="123">
        <v>146013.49289869127</v>
      </c>
      <c r="S291" s="123">
        <v>167228.89514116829</v>
      </c>
      <c r="U291" s="7" t="s">
        <v>7520</v>
      </c>
    </row>
    <row r="292" spans="1:21" ht="16.5" thickBot="1">
      <c r="A292" s="259" t="s">
        <v>10</v>
      </c>
      <c r="B292" s="263">
        <f t="shared" si="15"/>
        <v>150</v>
      </c>
      <c r="C292" s="263" t="s">
        <v>3</v>
      </c>
      <c r="D292" s="263">
        <f t="shared" si="16"/>
        <v>360</v>
      </c>
      <c r="E292" s="263" t="s">
        <v>3</v>
      </c>
      <c r="F292" s="261">
        <f t="shared" si="17"/>
        <v>2550</v>
      </c>
      <c r="G292" s="263" t="s">
        <v>3</v>
      </c>
      <c r="H292" s="260">
        <v>8</v>
      </c>
      <c r="I292" s="262" t="s">
        <v>583</v>
      </c>
      <c r="J292" s="112">
        <v>150</v>
      </c>
      <c r="K292" s="75">
        <v>360</v>
      </c>
      <c r="L292" s="75">
        <v>2550</v>
      </c>
      <c r="M292" s="191">
        <v>52.955169705586314</v>
      </c>
      <c r="N292" s="87">
        <v>16276.809120000004</v>
      </c>
      <c r="O292" s="123">
        <v>116937.81131916304</v>
      </c>
      <c r="P292" s="123">
        <v>138591.77575977475</v>
      </c>
      <c r="Q292" s="120">
        <v>34714.547009147034</v>
      </c>
      <c r="R292" s="123">
        <v>151652.35832831007</v>
      </c>
      <c r="S292" s="123">
        <v>173306.32276892179</v>
      </c>
      <c r="U292" s="7" t="s">
        <v>7521</v>
      </c>
    </row>
    <row r="293" spans="1:21" ht="16.5" thickBot="1">
      <c r="A293" s="259" t="s">
        <v>10</v>
      </c>
      <c r="B293" s="260">
        <f t="shared" si="15"/>
        <v>150</v>
      </c>
      <c r="C293" s="260" t="s">
        <v>3</v>
      </c>
      <c r="D293" s="260">
        <f t="shared" si="16"/>
        <v>360</v>
      </c>
      <c r="E293" s="260" t="s">
        <v>3</v>
      </c>
      <c r="F293" s="261">
        <f t="shared" si="17"/>
        <v>2600</v>
      </c>
      <c r="G293" s="260" t="s">
        <v>3</v>
      </c>
      <c r="H293" s="260">
        <v>8</v>
      </c>
      <c r="I293" s="262" t="s">
        <v>583</v>
      </c>
      <c r="J293" s="112">
        <v>150</v>
      </c>
      <c r="K293" s="75">
        <v>360</v>
      </c>
      <c r="L293" s="75">
        <v>2600</v>
      </c>
      <c r="M293" s="191">
        <v>53.841440335498419</v>
      </c>
      <c r="N293" s="87">
        <v>16646.736600000004</v>
      </c>
      <c r="O293" s="123">
        <v>118768.71732485572</v>
      </c>
      <c r="P293" s="123">
        <v>140787.41497052414</v>
      </c>
      <c r="Q293" s="120">
        <v>35268.144150649961</v>
      </c>
      <c r="R293" s="123">
        <v>154036.86147550569</v>
      </c>
      <c r="S293" s="123">
        <v>176055.5591211741</v>
      </c>
      <c r="U293" s="7" t="s">
        <v>7522</v>
      </c>
    </row>
    <row r="294" spans="1:21" ht="16.5" thickBot="1">
      <c r="A294" s="259" t="s">
        <v>10</v>
      </c>
      <c r="B294" s="263">
        <f t="shared" si="15"/>
        <v>150</v>
      </c>
      <c r="C294" s="263" t="s">
        <v>3</v>
      </c>
      <c r="D294" s="263">
        <f t="shared" si="16"/>
        <v>360</v>
      </c>
      <c r="E294" s="263" t="s">
        <v>3</v>
      </c>
      <c r="F294" s="261">
        <f t="shared" si="17"/>
        <v>2650</v>
      </c>
      <c r="G294" s="263" t="s">
        <v>3</v>
      </c>
      <c r="H294" s="260">
        <v>8</v>
      </c>
      <c r="I294" s="262" t="s">
        <v>583</v>
      </c>
      <c r="J294" s="112">
        <v>150</v>
      </c>
      <c r="K294" s="75">
        <v>360</v>
      </c>
      <c r="L294" s="75">
        <v>2650</v>
      </c>
      <c r="M294" s="191">
        <v>54.744750965410532</v>
      </c>
      <c r="N294" s="87">
        <v>17016.664080000002</v>
      </c>
      <c r="O294" s="123">
        <v>120169.00350923896</v>
      </c>
      <c r="P294" s="123">
        <v>142541.92029964254</v>
      </c>
      <c r="Q294" s="120">
        <v>36052.323069936159</v>
      </c>
      <c r="R294" s="123">
        <v>156221.32657917513</v>
      </c>
      <c r="S294" s="123">
        <v>178594.2433695787</v>
      </c>
      <c r="U294" s="7" t="s">
        <v>7523</v>
      </c>
    </row>
    <row r="295" spans="1:21" ht="16.5" thickBot="1">
      <c r="A295" s="259" t="s">
        <v>10</v>
      </c>
      <c r="B295" s="263">
        <f t="shared" si="15"/>
        <v>150</v>
      </c>
      <c r="C295" s="263" t="s">
        <v>3</v>
      </c>
      <c r="D295" s="263">
        <f t="shared" si="16"/>
        <v>360</v>
      </c>
      <c r="E295" s="263" t="s">
        <v>3</v>
      </c>
      <c r="F295" s="261">
        <f t="shared" si="17"/>
        <v>2700</v>
      </c>
      <c r="G295" s="263" t="s">
        <v>3</v>
      </c>
      <c r="H295" s="260">
        <v>8</v>
      </c>
      <c r="I295" s="262" t="s">
        <v>583</v>
      </c>
      <c r="J295" s="112">
        <v>150</v>
      </c>
      <c r="K295" s="75">
        <v>360</v>
      </c>
      <c r="L295" s="75">
        <v>2700</v>
      </c>
      <c r="M295" s="191">
        <v>55.788021595322633</v>
      </c>
      <c r="N295" s="87">
        <v>17386.591560000004</v>
      </c>
      <c r="O295" s="123">
        <v>121688.49075526917</v>
      </c>
      <c r="P295" s="123">
        <v>144418.53718801375</v>
      </c>
      <c r="Q295" s="120">
        <v>36605.920211439086</v>
      </c>
      <c r="R295" s="123">
        <v>158294.41096670827</v>
      </c>
      <c r="S295" s="123">
        <v>181024.45739945283</v>
      </c>
      <c r="U295" s="7" t="s">
        <v>7524</v>
      </c>
    </row>
    <row r="296" spans="1:21" ht="16.5" thickBot="1">
      <c r="A296" s="259" t="s">
        <v>10</v>
      </c>
      <c r="B296" s="263">
        <f t="shared" si="15"/>
        <v>150</v>
      </c>
      <c r="C296" s="263" t="s">
        <v>3</v>
      </c>
      <c r="D296" s="263">
        <f t="shared" si="16"/>
        <v>360</v>
      </c>
      <c r="E296" s="263" t="s">
        <v>3</v>
      </c>
      <c r="F296" s="261">
        <f t="shared" si="17"/>
        <v>2750</v>
      </c>
      <c r="G296" s="263" t="s">
        <v>3</v>
      </c>
      <c r="H296" s="260">
        <v>8</v>
      </c>
      <c r="I296" s="262" t="s">
        <v>583</v>
      </c>
      <c r="J296" s="112">
        <v>150</v>
      </c>
      <c r="K296" s="75">
        <v>360</v>
      </c>
      <c r="L296" s="75">
        <v>2750</v>
      </c>
      <c r="M296" s="191">
        <v>56.674292225234737</v>
      </c>
      <c r="N296" s="87">
        <v>17756.519040000003</v>
      </c>
      <c r="O296" s="123">
        <v>123170.43481556149</v>
      </c>
      <c r="P296" s="123">
        <v>146256.69421464959</v>
      </c>
      <c r="Q296" s="120">
        <v>37159.517352942006</v>
      </c>
      <c r="R296" s="123">
        <v>160329.95216850349</v>
      </c>
      <c r="S296" s="123">
        <v>183416.21156759158</v>
      </c>
      <c r="U296" s="7" t="s">
        <v>7525</v>
      </c>
    </row>
    <row r="297" spans="1:21" ht="16.5" thickBot="1">
      <c r="A297" s="259" t="s">
        <v>10</v>
      </c>
      <c r="B297" s="263">
        <f t="shared" si="15"/>
        <v>150</v>
      </c>
      <c r="C297" s="263" t="s">
        <v>3</v>
      </c>
      <c r="D297" s="263">
        <f t="shared" si="16"/>
        <v>360</v>
      </c>
      <c r="E297" s="263" t="s">
        <v>3</v>
      </c>
      <c r="F297" s="261">
        <f t="shared" si="17"/>
        <v>2800</v>
      </c>
      <c r="G297" s="263" t="s">
        <v>3</v>
      </c>
      <c r="H297" s="260">
        <v>8</v>
      </c>
      <c r="I297" s="262" t="s">
        <v>583</v>
      </c>
      <c r="J297" s="112">
        <v>150</v>
      </c>
      <c r="K297" s="75">
        <v>360</v>
      </c>
      <c r="L297" s="75">
        <v>2800</v>
      </c>
      <c r="M297" s="191">
        <v>57.577602855146843</v>
      </c>
      <c r="N297" s="87">
        <v>18126.446520000005</v>
      </c>
      <c r="O297" s="123">
        <v>124569.48660534428</v>
      </c>
      <c r="P297" s="123">
        <v>148009.9351442981</v>
      </c>
      <c r="Q297" s="120">
        <v>37943.696272228204</v>
      </c>
      <c r="R297" s="123">
        <v>162513.18287757249</v>
      </c>
      <c r="S297" s="123">
        <v>185953.6314165263</v>
      </c>
      <c r="U297" s="7" t="s">
        <v>7526</v>
      </c>
    </row>
    <row r="298" spans="1:21" ht="16.5" thickBot="1">
      <c r="A298" s="259" t="s">
        <v>10</v>
      </c>
      <c r="B298" s="263">
        <f t="shared" si="15"/>
        <v>150</v>
      </c>
      <c r="C298" s="263" t="s">
        <v>3</v>
      </c>
      <c r="D298" s="263">
        <f t="shared" si="16"/>
        <v>360</v>
      </c>
      <c r="E298" s="263" t="s">
        <v>3</v>
      </c>
      <c r="F298" s="261">
        <f t="shared" si="17"/>
        <v>2850</v>
      </c>
      <c r="G298" s="263" t="s">
        <v>3</v>
      </c>
      <c r="H298" s="260">
        <v>8</v>
      </c>
      <c r="I298" s="262" t="s">
        <v>583</v>
      </c>
      <c r="J298" s="112">
        <v>150</v>
      </c>
      <c r="K298" s="75">
        <v>360</v>
      </c>
      <c r="L298" s="75">
        <v>2850</v>
      </c>
      <c r="M298" s="191">
        <v>59.325873485058935</v>
      </c>
      <c r="N298" s="87">
        <v>18496.374000000003</v>
      </c>
      <c r="O298" s="123">
        <v>125968.49042271513</v>
      </c>
      <c r="P298" s="123">
        <v>149763.12672006397</v>
      </c>
      <c r="Q298" s="120">
        <v>38497.293413731131</v>
      </c>
      <c r="R298" s="123">
        <v>164465.78383644627</v>
      </c>
      <c r="S298" s="123">
        <v>188260.42013379509</v>
      </c>
      <c r="U298" s="7" t="s">
        <v>7527</v>
      </c>
    </row>
    <row r="299" spans="1:21" ht="16.5" thickBot="1">
      <c r="A299" s="259" t="s">
        <v>10</v>
      </c>
      <c r="B299" s="263">
        <f t="shared" si="15"/>
        <v>150</v>
      </c>
      <c r="C299" s="263" t="s">
        <v>3</v>
      </c>
      <c r="D299" s="263">
        <f t="shared" si="16"/>
        <v>360</v>
      </c>
      <c r="E299" s="263" t="s">
        <v>3</v>
      </c>
      <c r="F299" s="261">
        <f t="shared" si="17"/>
        <v>2900</v>
      </c>
      <c r="G299" s="263" t="s">
        <v>3</v>
      </c>
      <c r="H299" s="260">
        <v>8</v>
      </c>
      <c r="I299" s="262" t="s">
        <v>583</v>
      </c>
      <c r="J299" s="112">
        <v>150</v>
      </c>
      <c r="K299" s="75">
        <v>360</v>
      </c>
      <c r="L299" s="75">
        <v>2900</v>
      </c>
      <c r="M299" s="191">
        <v>60.229184114971048</v>
      </c>
      <c r="N299" s="87">
        <v>18866.301480000002</v>
      </c>
      <c r="O299" s="123">
        <v>127367.44602900528</v>
      </c>
      <c r="P299" s="123">
        <v>151516.26907251304</v>
      </c>
      <c r="Q299" s="120">
        <v>39281.472333017329</v>
      </c>
      <c r="R299" s="123">
        <v>166648.91836202261</v>
      </c>
      <c r="S299" s="123">
        <v>190797.74140553037</v>
      </c>
      <c r="U299" s="7" t="s">
        <v>7528</v>
      </c>
    </row>
    <row r="300" spans="1:21" ht="16.5" thickBot="1">
      <c r="A300" s="259" t="s">
        <v>10</v>
      </c>
      <c r="B300" s="263">
        <f t="shared" si="15"/>
        <v>150</v>
      </c>
      <c r="C300" s="263" t="s">
        <v>3</v>
      </c>
      <c r="D300" s="263">
        <f t="shared" si="16"/>
        <v>360</v>
      </c>
      <c r="E300" s="263" t="s">
        <v>3</v>
      </c>
      <c r="F300" s="261">
        <f t="shared" si="17"/>
        <v>2950</v>
      </c>
      <c r="G300" s="263" t="s">
        <v>3</v>
      </c>
      <c r="H300" s="260">
        <v>8</v>
      </c>
      <c r="I300" s="262" t="s">
        <v>583</v>
      </c>
      <c r="J300" s="112">
        <v>150</v>
      </c>
      <c r="K300" s="75">
        <v>360</v>
      </c>
      <c r="L300" s="75">
        <v>2950</v>
      </c>
      <c r="M300" s="191">
        <v>61.115454744883152</v>
      </c>
      <c r="N300" s="87">
        <v>19236.228960000004</v>
      </c>
      <c r="O300" s="123">
        <v>128766.35354354911</v>
      </c>
      <c r="P300" s="123">
        <v>153269.36207107941</v>
      </c>
      <c r="Q300" s="120">
        <v>39835.069474520256</v>
      </c>
      <c r="R300" s="123">
        <v>168601.42301806936</v>
      </c>
      <c r="S300" s="123">
        <v>193104.43154559965</v>
      </c>
      <c r="U300" s="7" t="s">
        <v>7529</v>
      </c>
    </row>
    <row r="301" spans="1:21" ht="16.5" thickBot="1">
      <c r="A301" s="259" t="s">
        <v>10</v>
      </c>
      <c r="B301" s="263">
        <f t="shared" si="15"/>
        <v>150</v>
      </c>
      <c r="C301" s="263" t="s">
        <v>3</v>
      </c>
      <c r="D301" s="263">
        <f t="shared" si="16"/>
        <v>360</v>
      </c>
      <c r="E301" s="263" t="s">
        <v>3</v>
      </c>
      <c r="F301" s="261">
        <f t="shared" si="17"/>
        <v>3000</v>
      </c>
      <c r="G301" s="263" t="s">
        <v>3</v>
      </c>
      <c r="H301" s="260">
        <v>8</v>
      </c>
      <c r="I301" s="262" t="s">
        <v>583</v>
      </c>
      <c r="J301" s="146">
        <v>150</v>
      </c>
      <c r="K301" s="147">
        <v>360</v>
      </c>
      <c r="L301" s="147">
        <v>3000</v>
      </c>
      <c r="M301" s="192">
        <v>62.018765374795251</v>
      </c>
      <c r="N301" s="148">
        <v>19606.156439999999</v>
      </c>
      <c r="O301" s="149">
        <v>131882.04976512914</v>
      </c>
      <c r="P301" s="149">
        <v>156781.16109312029</v>
      </c>
      <c r="Q301" s="159">
        <v>40619.248393806454</v>
      </c>
      <c r="R301" s="149">
        <v>172501.29815893559</v>
      </c>
      <c r="S301" s="149">
        <v>197400.40948692674</v>
      </c>
      <c r="U301" s="7" t="s">
        <v>7530</v>
      </c>
    </row>
    <row r="302" spans="1:21" ht="19.5" thickBot="1">
      <c r="A302" s="2580" t="s">
        <v>67</v>
      </c>
      <c r="B302" s="2581"/>
      <c r="C302" s="2581"/>
      <c r="D302" s="2581"/>
      <c r="E302" s="2581"/>
      <c r="F302" s="2581"/>
      <c r="G302" s="2581"/>
      <c r="H302" s="2581"/>
      <c r="I302" s="2581"/>
      <c r="J302" s="2581"/>
      <c r="K302" s="2581"/>
      <c r="L302" s="2581"/>
      <c r="M302" s="2581"/>
      <c r="N302" s="2581"/>
      <c r="O302" s="2581"/>
      <c r="P302" s="2581"/>
      <c r="Q302" s="2581"/>
      <c r="R302" s="2581"/>
      <c r="S302" s="2582"/>
      <c r="U302" s="7"/>
    </row>
    <row r="303" spans="1:21" ht="19.5" thickBot="1">
      <c r="A303" s="2627" t="s">
        <v>180</v>
      </c>
      <c r="B303" s="2628"/>
      <c r="C303" s="2628"/>
      <c r="D303" s="2628"/>
      <c r="E303" s="2628"/>
      <c r="F303" s="2628"/>
      <c r="G303" s="2628"/>
      <c r="H303" s="2628"/>
      <c r="I303" s="2628"/>
      <c r="J303" s="2628"/>
      <c r="K303" s="2628"/>
      <c r="L303" s="2628"/>
      <c r="M303" s="2628"/>
      <c r="N303" s="2628"/>
      <c r="O303" s="2628"/>
      <c r="P303" s="2628"/>
      <c r="Q303" s="2628"/>
      <c r="R303" s="2628"/>
      <c r="S303" s="2629"/>
      <c r="U303" s="7"/>
    </row>
    <row r="304" spans="1:21" ht="16.5" thickBot="1">
      <c r="A304" s="259" t="s">
        <v>10</v>
      </c>
      <c r="B304" s="260">
        <f t="shared" ref="B304:B350" si="18">J304</f>
        <v>150</v>
      </c>
      <c r="C304" s="260" t="s">
        <v>3</v>
      </c>
      <c r="D304" s="260">
        <f t="shared" ref="D304:D350" si="19">K304</f>
        <v>400</v>
      </c>
      <c r="E304" s="260" t="s">
        <v>3</v>
      </c>
      <c r="F304" s="261">
        <f t="shared" ref="F304:F350" si="20">L304</f>
        <v>700</v>
      </c>
      <c r="G304" s="260" t="s">
        <v>3</v>
      </c>
      <c r="H304" s="260">
        <v>6</v>
      </c>
      <c r="I304" s="262" t="s">
        <v>583</v>
      </c>
      <c r="J304" s="344">
        <v>150</v>
      </c>
      <c r="K304" s="327">
        <v>400</v>
      </c>
      <c r="L304" s="327">
        <v>700</v>
      </c>
      <c r="M304" s="338">
        <v>15.787244296809236</v>
      </c>
      <c r="N304" s="302">
        <v>2546.7199757999997</v>
      </c>
      <c r="O304" s="303">
        <v>33362.360320801774</v>
      </c>
      <c r="P304" s="303">
        <v>40336.272199219929</v>
      </c>
      <c r="Q304" s="169">
        <v>11307.066052331927</v>
      </c>
      <c r="R304" s="303">
        <v>44669.426373133698</v>
      </c>
      <c r="S304" s="303">
        <v>51643.338251551861</v>
      </c>
      <c r="U304" s="7" t="s">
        <v>7531</v>
      </c>
    </row>
    <row r="305" spans="1:21" ht="16.5" thickBot="1">
      <c r="A305" s="259" t="s">
        <v>10</v>
      </c>
      <c r="B305" s="263">
        <f t="shared" si="18"/>
        <v>150</v>
      </c>
      <c r="C305" s="263" t="s">
        <v>3</v>
      </c>
      <c r="D305" s="263">
        <f t="shared" si="19"/>
        <v>400</v>
      </c>
      <c r="E305" s="263" t="s">
        <v>3</v>
      </c>
      <c r="F305" s="261">
        <f t="shared" si="20"/>
        <v>750</v>
      </c>
      <c r="G305" s="263" t="s">
        <v>3</v>
      </c>
      <c r="H305" s="260">
        <v>6</v>
      </c>
      <c r="I305" s="262" t="s">
        <v>583</v>
      </c>
      <c r="J305" s="112">
        <v>150</v>
      </c>
      <c r="K305" s="75">
        <v>400</v>
      </c>
      <c r="L305" s="75">
        <v>750</v>
      </c>
      <c r="M305" s="338">
        <v>16.664652220422219</v>
      </c>
      <c r="N305" s="87">
        <v>2910.5371152000002</v>
      </c>
      <c r="O305" s="123">
        <v>35491.571552876921</v>
      </c>
      <c r="P305" s="123">
        <v>42818.202446277181</v>
      </c>
      <c r="Q305" s="120">
        <v>11909.457889725263</v>
      </c>
      <c r="R305" s="123">
        <v>47401.029442602186</v>
      </c>
      <c r="S305" s="123">
        <v>54727.660336002446</v>
      </c>
      <c r="U305" s="7" t="s">
        <v>7532</v>
      </c>
    </row>
    <row r="306" spans="1:21" ht="16.5" thickBot="1">
      <c r="A306" s="259" t="s">
        <v>10</v>
      </c>
      <c r="B306" s="263">
        <f t="shared" si="18"/>
        <v>150</v>
      </c>
      <c r="C306" s="263" t="s">
        <v>3</v>
      </c>
      <c r="D306" s="263">
        <f t="shared" si="19"/>
        <v>400</v>
      </c>
      <c r="E306" s="263" t="s">
        <v>3</v>
      </c>
      <c r="F306" s="261">
        <f t="shared" si="20"/>
        <v>800</v>
      </c>
      <c r="G306" s="263" t="s">
        <v>3</v>
      </c>
      <c r="H306" s="260">
        <v>6</v>
      </c>
      <c r="I306" s="262" t="s">
        <v>583</v>
      </c>
      <c r="J306" s="112">
        <v>150</v>
      </c>
      <c r="K306" s="75">
        <v>400</v>
      </c>
      <c r="L306" s="75">
        <v>800</v>
      </c>
      <c r="M306" s="338">
        <v>17.542060144035208</v>
      </c>
      <c r="N306" s="87">
        <v>3274.3542546000003</v>
      </c>
      <c r="O306" s="123">
        <v>37615.075619274729</v>
      </c>
      <c r="P306" s="123">
        <v>45295.502829104567</v>
      </c>
      <c r="Q306" s="120">
        <v>12511.84958672524</v>
      </c>
      <c r="R306" s="123">
        <v>50126.925205999971</v>
      </c>
      <c r="S306" s="123">
        <v>57807.35241582981</v>
      </c>
      <c r="U306" s="7" t="s">
        <v>7533</v>
      </c>
    </row>
    <row r="307" spans="1:21" ht="16.5" thickBot="1">
      <c r="A307" s="259" t="s">
        <v>10</v>
      </c>
      <c r="B307" s="263">
        <f t="shared" si="18"/>
        <v>150</v>
      </c>
      <c r="C307" s="263" t="s">
        <v>3</v>
      </c>
      <c r="D307" s="263">
        <f t="shared" si="19"/>
        <v>400</v>
      </c>
      <c r="E307" s="263" t="s">
        <v>3</v>
      </c>
      <c r="F307" s="261">
        <f t="shared" si="20"/>
        <v>850</v>
      </c>
      <c r="G307" s="263" t="s">
        <v>3</v>
      </c>
      <c r="H307" s="260">
        <v>6</v>
      </c>
      <c r="I307" s="262" t="s">
        <v>583</v>
      </c>
      <c r="J307" s="112">
        <v>150</v>
      </c>
      <c r="K307" s="75">
        <v>400</v>
      </c>
      <c r="L307" s="75">
        <v>850</v>
      </c>
      <c r="M307" s="338">
        <v>18.436337667648186</v>
      </c>
      <c r="N307" s="87">
        <v>3638.171394</v>
      </c>
      <c r="O307" s="123">
        <v>39738.028360938013</v>
      </c>
      <c r="P307" s="123">
        <v>47772.470921901935</v>
      </c>
      <c r="Q307" s="120">
        <v>13344.823201901852</v>
      </c>
      <c r="R307" s="123">
        <v>53082.851562839867</v>
      </c>
      <c r="S307" s="123">
        <v>61117.294123803789</v>
      </c>
      <c r="U307" s="7" t="s">
        <v>7534</v>
      </c>
    </row>
    <row r="308" spans="1:21" ht="16.5" thickBot="1">
      <c r="A308" s="259" t="s">
        <v>10</v>
      </c>
      <c r="B308" s="263">
        <f t="shared" si="18"/>
        <v>150</v>
      </c>
      <c r="C308" s="263" t="s">
        <v>3</v>
      </c>
      <c r="D308" s="263">
        <f t="shared" si="19"/>
        <v>400</v>
      </c>
      <c r="E308" s="263" t="s">
        <v>3</v>
      </c>
      <c r="F308" s="261">
        <f t="shared" si="20"/>
        <v>900</v>
      </c>
      <c r="G308" s="263" t="s">
        <v>3</v>
      </c>
      <c r="H308" s="260">
        <v>6</v>
      </c>
      <c r="I308" s="262" t="s">
        <v>583</v>
      </c>
      <c r="J308" s="112">
        <v>150</v>
      </c>
      <c r="K308" s="75">
        <v>400</v>
      </c>
      <c r="L308" s="75">
        <v>900</v>
      </c>
      <c r="M308" s="338">
        <v>19.471155591261176</v>
      </c>
      <c r="N308" s="87">
        <v>4001.9885334000005</v>
      </c>
      <c r="O308" s="123">
        <v>41861.217026627302</v>
      </c>
      <c r="P308" s="123">
        <v>50249.867531743927</v>
      </c>
      <c r="Q308" s="120">
        <v>13947.21489890183</v>
      </c>
      <c r="R308" s="123">
        <v>55808.431925529134</v>
      </c>
      <c r="S308" s="123">
        <v>64197.082430645758</v>
      </c>
      <c r="U308" s="7" t="s">
        <v>7535</v>
      </c>
    </row>
    <row r="309" spans="1:21" ht="16.5" thickBot="1">
      <c r="A309" s="259" t="s">
        <v>10</v>
      </c>
      <c r="B309" s="263">
        <f t="shared" si="18"/>
        <v>150</v>
      </c>
      <c r="C309" s="263" t="s">
        <v>3</v>
      </c>
      <c r="D309" s="263">
        <f t="shared" si="19"/>
        <v>400</v>
      </c>
      <c r="E309" s="263" t="s">
        <v>3</v>
      </c>
      <c r="F309" s="261">
        <f t="shared" si="20"/>
        <v>950</v>
      </c>
      <c r="G309" s="263" t="s">
        <v>3</v>
      </c>
      <c r="H309" s="260">
        <v>6</v>
      </c>
      <c r="I309" s="262" t="s">
        <v>583</v>
      </c>
      <c r="J309" s="112">
        <v>150</v>
      </c>
      <c r="K309" s="75">
        <v>400</v>
      </c>
      <c r="L309" s="75">
        <v>950</v>
      </c>
      <c r="M309" s="338">
        <v>20.365433114874165</v>
      </c>
      <c r="N309" s="87">
        <v>4365.8056728000001</v>
      </c>
      <c r="O309" s="123">
        <v>43984.603668016724</v>
      </c>
      <c r="P309" s="123">
        <v>52727.624764400425</v>
      </c>
      <c r="Q309" s="120">
        <v>14780.188514078442</v>
      </c>
      <c r="R309" s="123">
        <v>58764.792182095167</v>
      </c>
      <c r="S309" s="123">
        <v>67507.813278478861</v>
      </c>
      <c r="U309" s="7" t="s">
        <v>7536</v>
      </c>
    </row>
    <row r="310" spans="1:21" ht="16.5" thickBot="1">
      <c r="A310" s="259" t="s">
        <v>10</v>
      </c>
      <c r="B310" s="263">
        <f t="shared" si="18"/>
        <v>150</v>
      </c>
      <c r="C310" s="263" t="s">
        <v>3</v>
      </c>
      <c r="D310" s="263">
        <f t="shared" si="19"/>
        <v>400</v>
      </c>
      <c r="E310" s="263" t="s">
        <v>3</v>
      </c>
      <c r="F310" s="261">
        <f t="shared" si="20"/>
        <v>1000</v>
      </c>
      <c r="G310" s="263" t="s">
        <v>3</v>
      </c>
      <c r="H310" s="260">
        <v>6</v>
      </c>
      <c r="I310" s="262" t="s">
        <v>583</v>
      </c>
      <c r="J310" s="112">
        <v>150</v>
      </c>
      <c r="K310" s="75">
        <v>400</v>
      </c>
      <c r="L310" s="75">
        <v>1000</v>
      </c>
      <c r="M310" s="338">
        <v>21.242841038487143</v>
      </c>
      <c r="N310" s="87">
        <v>4729.6228122000002</v>
      </c>
      <c r="O310" s="123">
        <v>46039.90802941173</v>
      </c>
      <c r="P310" s="123">
        <v>55136.826712169197</v>
      </c>
      <c r="Q310" s="120">
        <v>15382.580351471779</v>
      </c>
      <c r="R310" s="123">
        <v>61422.488380883507</v>
      </c>
      <c r="S310" s="123">
        <v>70519.407063640974</v>
      </c>
      <c r="U310" s="7" t="s">
        <v>7537</v>
      </c>
    </row>
    <row r="311" spans="1:21" ht="16.5" thickBot="1">
      <c r="A311" s="259" t="s">
        <v>10</v>
      </c>
      <c r="B311" s="263">
        <f t="shared" si="18"/>
        <v>150</v>
      </c>
      <c r="C311" s="263" t="s">
        <v>3</v>
      </c>
      <c r="D311" s="263">
        <f t="shared" si="19"/>
        <v>400</v>
      </c>
      <c r="E311" s="263" t="s">
        <v>3</v>
      </c>
      <c r="F311" s="261">
        <f t="shared" si="20"/>
        <v>1050</v>
      </c>
      <c r="G311" s="263" t="s">
        <v>3</v>
      </c>
      <c r="H311" s="260">
        <v>6</v>
      </c>
      <c r="I311" s="262" t="s">
        <v>583</v>
      </c>
      <c r="J311" s="112">
        <v>150</v>
      </c>
      <c r="K311" s="75">
        <v>400</v>
      </c>
      <c r="L311" s="75">
        <v>1050</v>
      </c>
      <c r="M311" s="338">
        <v>22.137118562100131</v>
      </c>
      <c r="N311" s="87">
        <v>5093.4399515999994</v>
      </c>
      <c r="O311" s="123">
        <v>48381.593131453577</v>
      </c>
      <c r="P311" s="123">
        <v>57839.816394341855</v>
      </c>
      <c r="Q311" s="120">
        <v>16215.553826255029</v>
      </c>
      <c r="R311" s="123">
        <v>64597.14695770861</v>
      </c>
      <c r="S311" s="123">
        <v>74055.370220596888</v>
      </c>
      <c r="U311" s="7" t="s">
        <v>7538</v>
      </c>
    </row>
    <row r="312" spans="1:21" ht="16.5" thickBot="1">
      <c r="A312" s="259" t="s">
        <v>10</v>
      </c>
      <c r="B312" s="260">
        <f t="shared" si="18"/>
        <v>150</v>
      </c>
      <c r="C312" s="260" t="s">
        <v>3</v>
      </c>
      <c r="D312" s="260">
        <f t="shared" si="19"/>
        <v>400</v>
      </c>
      <c r="E312" s="260" t="s">
        <v>3</v>
      </c>
      <c r="F312" s="261">
        <f t="shared" si="20"/>
        <v>1100</v>
      </c>
      <c r="G312" s="260" t="s">
        <v>3</v>
      </c>
      <c r="H312" s="260">
        <v>6</v>
      </c>
      <c r="I312" s="262" t="s">
        <v>583</v>
      </c>
      <c r="J312" s="112">
        <v>150</v>
      </c>
      <c r="K312" s="75">
        <v>400</v>
      </c>
      <c r="L312" s="75">
        <v>1100</v>
      </c>
      <c r="M312" s="338">
        <v>23.014526485713112</v>
      </c>
      <c r="N312" s="87">
        <v>5457.2570910000004</v>
      </c>
      <c r="O312" s="123">
        <v>50512.907512256315</v>
      </c>
      <c r="P312" s="123">
        <v>60326.30234423915</v>
      </c>
      <c r="Q312" s="120">
        <v>16817.945663648366</v>
      </c>
      <c r="R312" s="123">
        <v>67330.853175904689</v>
      </c>
      <c r="S312" s="123">
        <v>77144.248007887509</v>
      </c>
      <c r="U312" s="7" t="s">
        <v>7539</v>
      </c>
    </row>
    <row r="313" spans="1:21" ht="16.5" thickBot="1">
      <c r="A313" s="259" t="s">
        <v>10</v>
      </c>
      <c r="B313" s="263">
        <f t="shared" si="18"/>
        <v>150</v>
      </c>
      <c r="C313" s="263" t="s">
        <v>3</v>
      </c>
      <c r="D313" s="263">
        <f t="shared" si="19"/>
        <v>400</v>
      </c>
      <c r="E313" s="263" t="s">
        <v>3</v>
      </c>
      <c r="F313" s="261">
        <f t="shared" si="20"/>
        <v>1150</v>
      </c>
      <c r="G313" s="263" t="s">
        <v>3</v>
      </c>
      <c r="H313" s="260">
        <v>6</v>
      </c>
      <c r="I313" s="262" t="s">
        <v>583</v>
      </c>
      <c r="J313" s="112">
        <v>150</v>
      </c>
      <c r="K313" s="75">
        <v>400</v>
      </c>
      <c r="L313" s="75">
        <v>1150</v>
      </c>
      <c r="M313" s="338">
        <v>23.891934409326097</v>
      </c>
      <c r="N313" s="87">
        <v>5821.0742304000005</v>
      </c>
      <c r="O313" s="123">
        <v>51934.088665409814</v>
      </c>
      <c r="P313" s="123">
        <v>62080.638590611423</v>
      </c>
      <c r="Q313" s="120">
        <v>17420.33736064834</v>
      </c>
      <c r="R313" s="123">
        <v>69354.42602605815</v>
      </c>
      <c r="S313" s="123">
        <v>79500.975951259767</v>
      </c>
      <c r="U313" s="7" t="s">
        <v>7540</v>
      </c>
    </row>
    <row r="314" spans="1:21" ht="16.5" thickBot="1">
      <c r="A314" s="259" t="s">
        <v>10</v>
      </c>
      <c r="B314" s="263">
        <f t="shared" si="18"/>
        <v>150</v>
      </c>
      <c r="C314" s="263" t="s">
        <v>3</v>
      </c>
      <c r="D314" s="263">
        <f t="shared" si="19"/>
        <v>400</v>
      </c>
      <c r="E314" s="263" t="s">
        <v>3</v>
      </c>
      <c r="F314" s="261">
        <f t="shared" si="20"/>
        <v>1200</v>
      </c>
      <c r="G314" s="263" t="s">
        <v>3</v>
      </c>
      <c r="H314" s="260">
        <v>6</v>
      </c>
      <c r="I314" s="262" t="s">
        <v>583</v>
      </c>
      <c r="J314" s="112">
        <v>150</v>
      </c>
      <c r="K314" s="75">
        <v>400</v>
      </c>
      <c r="L314" s="75">
        <v>1200</v>
      </c>
      <c r="M314" s="338">
        <v>24.941641932939078</v>
      </c>
      <c r="N314" s="87">
        <v>6184.8913697999997</v>
      </c>
      <c r="O314" s="123">
        <v>53460.585730970655</v>
      </c>
      <c r="P314" s="123">
        <v>63942.59502564976</v>
      </c>
      <c r="Q314" s="120">
        <v>18253.310975824952</v>
      </c>
      <c r="R314" s="123">
        <v>71713.896706795611</v>
      </c>
      <c r="S314" s="123">
        <v>82195.906001474708</v>
      </c>
      <c r="U314" s="7" t="s">
        <v>7541</v>
      </c>
    </row>
    <row r="315" spans="1:21" ht="16.5" thickBot="1">
      <c r="A315" s="259" t="s">
        <v>10</v>
      </c>
      <c r="B315" s="263">
        <f t="shared" si="18"/>
        <v>150</v>
      </c>
      <c r="C315" s="263" t="s">
        <v>3</v>
      </c>
      <c r="D315" s="263">
        <f t="shared" si="19"/>
        <v>400</v>
      </c>
      <c r="E315" s="263" t="s">
        <v>3</v>
      </c>
      <c r="F315" s="261">
        <f t="shared" si="20"/>
        <v>1250</v>
      </c>
      <c r="G315" s="263" t="s">
        <v>3</v>
      </c>
      <c r="H315" s="260">
        <v>6</v>
      </c>
      <c r="I315" s="262" t="s">
        <v>583</v>
      </c>
      <c r="J315" s="112">
        <v>150</v>
      </c>
      <c r="K315" s="75">
        <v>400</v>
      </c>
      <c r="L315" s="75">
        <v>1250</v>
      </c>
      <c r="M315" s="338">
        <v>26.672429856552064</v>
      </c>
      <c r="N315" s="87">
        <v>6548.7085092000007</v>
      </c>
      <c r="O315" s="123">
        <v>54877.506766873455</v>
      </c>
      <c r="P315" s="123">
        <v>65692.098769628472</v>
      </c>
      <c r="Q315" s="120">
        <v>18855.702672824929</v>
      </c>
      <c r="R315" s="123">
        <v>73733.209439698388</v>
      </c>
      <c r="S315" s="123">
        <v>84547.801442453405</v>
      </c>
      <c r="U315" s="7" t="s">
        <v>7542</v>
      </c>
    </row>
    <row r="316" spans="1:21" ht="16.5" thickBot="1">
      <c r="A316" s="259" t="s">
        <v>10</v>
      </c>
      <c r="B316" s="263">
        <f t="shared" si="18"/>
        <v>150</v>
      </c>
      <c r="C316" s="263" t="s">
        <v>3</v>
      </c>
      <c r="D316" s="263">
        <f t="shared" si="19"/>
        <v>400</v>
      </c>
      <c r="E316" s="263" t="s">
        <v>3</v>
      </c>
      <c r="F316" s="261">
        <f t="shared" si="20"/>
        <v>1300</v>
      </c>
      <c r="G316" s="263" t="s">
        <v>3</v>
      </c>
      <c r="H316" s="260">
        <v>6</v>
      </c>
      <c r="I316" s="262" t="s">
        <v>583</v>
      </c>
      <c r="J316" s="112">
        <v>150</v>
      </c>
      <c r="K316" s="75">
        <v>400</v>
      </c>
      <c r="L316" s="75">
        <v>1300</v>
      </c>
      <c r="M316" s="338">
        <v>27.566707380165049</v>
      </c>
      <c r="N316" s="87">
        <v>6912.5256485999989</v>
      </c>
      <c r="O316" s="123">
        <v>58527.89836085189</v>
      </c>
      <c r="P316" s="123">
        <v>69739.336106087067</v>
      </c>
      <c r="Q316" s="120">
        <v>19688.676288001541</v>
      </c>
      <c r="R316" s="123">
        <v>78216.574648853435</v>
      </c>
      <c r="S316" s="123">
        <v>89428.012394088611</v>
      </c>
      <c r="U316" s="7" t="s">
        <v>7543</v>
      </c>
    </row>
    <row r="317" spans="1:21" ht="16.5" thickBot="1">
      <c r="A317" s="259" t="s">
        <v>10</v>
      </c>
      <c r="B317" s="263">
        <f t="shared" si="18"/>
        <v>150</v>
      </c>
      <c r="C317" s="263" t="s">
        <v>3</v>
      </c>
      <c r="D317" s="263">
        <f t="shared" si="19"/>
        <v>400</v>
      </c>
      <c r="E317" s="263" t="s">
        <v>3</v>
      </c>
      <c r="F317" s="261">
        <f t="shared" si="20"/>
        <v>1350</v>
      </c>
      <c r="G317" s="263" t="s">
        <v>3</v>
      </c>
      <c r="H317" s="260">
        <v>6</v>
      </c>
      <c r="I317" s="262" t="s">
        <v>583</v>
      </c>
      <c r="J317" s="112">
        <v>150</v>
      </c>
      <c r="K317" s="75">
        <v>400</v>
      </c>
      <c r="L317" s="75">
        <v>1350</v>
      </c>
      <c r="M317" s="338">
        <v>28.44411530377803</v>
      </c>
      <c r="N317" s="87">
        <v>7276.3427879999999</v>
      </c>
      <c r="O317" s="123">
        <v>60149.013610285961</v>
      </c>
      <c r="P317" s="123">
        <v>71700.034514678598</v>
      </c>
      <c r="Q317" s="120">
        <v>20291.067985001515</v>
      </c>
      <c r="R317" s="123">
        <v>80440.081595287484</v>
      </c>
      <c r="S317" s="123">
        <v>91991.102499680113</v>
      </c>
      <c r="U317" s="7" t="s">
        <v>7544</v>
      </c>
    </row>
    <row r="318" spans="1:21" ht="16.5" thickBot="1">
      <c r="A318" s="259" t="s">
        <v>10</v>
      </c>
      <c r="B318" s="263">
        <f t="shared" si="18"/>
        <v>150</v>
      </c>
      <c r="C318" s="263" t="s">
        <v>3</v>
      </c>
      <c r="D318" s="263">
        <f t="shared" si="19"/>
        <v>400</v>
      </c>
      <c r="E318" s="263" t="s">
        <v>3</v>
      </c>
      <c r="F318" s="261">
        <f t="shared" si="20"/>
        <v>1400</v>
      </c>
      <c r="G318" s="263" t="s">
        <v>3</v>
      </c>
      <c r="H318" s="260">
        <v>6</v>
      </c>
      <c r="I318" s="262" t="s">
        <v>583</v>
      </c>
      <c r="J318" s="112">
        <v>150</v>
      </c>
      <c r="K318" s="75">
        <v>400</v>
      </c>
      <c r="L318" s="75">
        <v>1400</v>
      </c>
      <c r="M318" s="338">
        <v>29.338392827391022</v>
      </c>
      <c r="N318" s="87">
        <v>7640.1599274000009</v>
      </c>
      <c r="O318" s="123">
        <v>62073.660095647858</v>
      </c>
      <c r="P318" s="123">
        <v>73973.167416274882</v>
      </c>
      <c r="Q318" s="120">
        <v>21124.04160017813</v>
      </c>
      <c r="R318" s="123">
        <v>83197.701695825992</v>
      </c>
      <c r="S318" s="123">
        <v>95097.209016453009</v>
      </c>
      <c r="U318" s="7" t="s">
        <v>7545</v>
      </c>
    </row>
    <row r="319" spans="1:21" ht="16.5" thickBot="1">
      <c r="A319" s="259" t="s">
        <v>10</v>
      </c>
      <c r="B319" s="263">
        <f t="shared" si="18"/>
        <v>150</v>
      </c>
      <c r="C319" s="263" t="s">
        <v>3</v>
      </c>
      <c r="D319" s="263">
        <f t="shared" si="19"/>
        <v>400</v>
      </c>
      <c r="E319" s="263" t="s">
        <v>3</v>
      </c>
      <c r="F319" s="261">
        <f t="shared" si="20"/>
        <v>1450</v>
      </c>
      <c r="G319" s="263" t="s">
        <v>3</v>
      </c>
      <c r="H319" s="260">
        <v>6</v>
      </c>
      <c r="I319" s="262" t="s">
        <v>583</v>
      </c>
      <c r="J319" s="112">
        <v>150</v>
      </c>
      <c r="K319" s="75">
        <v>400</v>
      </c>
      <c r="L319" s="75">
        <v>1450</v>
      </c>
      <c r="M319" s="338">
        <v>30.215800751004007</v>
      </c>
      <c r="N319" s="87">
        <v>8003.977066800001</v>
      </c>
      <c r="O319" s="123">
        <v>63695.287886150072</v>
      </c>
      <c r="P319" s="123">
        <v>75934.3773817771</v>
      </c>
      <c r="Q319" s="120">
        <v>21726.433297178104</v>
      </c>
      <c r="R319" s="123">
        <v>85421.721183328176</v>
      </c>
      <c r="S319" s="123">
        <v>97660.810678955197</v>
      </c>
      <c r="U319" s="7" t="s">
        <v>7546</v>
      </c>
    </row>
    <row r="320" spans="1:21" ht="16.5" thickBot="1">
      <c r="A320" s="259" t="s">
        <v>10</v>
      </c>
      <c r="B320" s="263">
        <f t="shared" si="18"/>
        <v>150</v>
      </c>
      <c r="C320" s="263" t="s">
        <v>3</v>
      </c>
      <c r="D320" s="263">
        <f t="shared" si="19"/>
        <v>400</v>
      </c>
      <c r="E320" s="263" t="s">
        <v>3</v>
      </c>
      <c r="F320" s="261">
        <f t="shared" si="20"/>
        <v>1500</v>
      </c>
      <c r="G320" s="263" t="s">
        <v>3</v>
      </c>
      <c r="H320" s="260">
        <v>6</v>
      </c>
      <c r="I320" s="262" t="s">
        <v>583</v>
      </c>
      <c r="J320" s="112">
        <v>150</v>
      </c>
      <c r="K320" s="75">
        <v>400</v>
      </c>
      <c r="L320" s="75">
        <v>1500</v>
      </c>
      <c r="M320" s="338">
        <v>31.076043355637388</v>
      </c>
      <c r="N320" s="87">
        <v>8367.7942062000002</v>
      </c>
      <c r="O320" s="123">
        <v>65963.944299053226</v>
      </c>
      <c r="P320" s="123">
        <v>78775.344460251508</v>
      </c>
      <c r="Q320" s="120">
        <v>22559.406912354716</v>
      </c>
      <c r="R320" s="123">
        <v>88523.351211407949</v>
      </c>
      <c r="S320" s="123">
        <v>101334.75137260623</v>
      </c>
      <c r="U320" s="7" t="s">
        <v>7547</v>
      </c>
    </row>
    <row r="321" spans="1:21" ht="16.5" thickBot="1">
      <c r="A321" s="259" t="s">
        <v>10</v>
      </c>
      <c r="B321" s="263">
        <f t="shared" si="18"/>
        <v>150</v>
      </c>
      <c r="C321" s="263" t="s">
        <v>3</v>
      </c>
      <c r="D321" s="263">
        <f t="shared" si="19"/>
        <v>400</v>
      </c>
      <c r="E321" s="263" t="s">
        <v>3</v>
      </c>
      <c r="F321" s="261">
        <f t="shared" si="20"/>
        <v>1550</v>
      </c>
      <c r="G321" s="263" t="s">
        <v>3</v>
      </c>
      <c r="H321" s="260">
        <v>6</v>
      </c>
      <c r="I321" s="262" t="s">
        <v>583</v>
      </c>
      <c r="J321" s="112">
        <v>150</v>
      </c>
      <c r="K321" s="75">
        <v>400</v>
      </c>
      <c r="L321" s="75">
        <v>1550</v>
      </c>
      <c r="M321" s="338">
        <v>31.953451279250377</v>
      </c>
      <c r="N321" s="87">
        <v>8731.6113456000003</v>
      </c>
      <c r="O321" s="123">
        <v>67585.92830261444</v>
      </c>
      <c r="P321" s="123">
        <v>80736.887107481234</v>
      </c>
      <c r="Q321" s="120">
        <v>23161.79860935469</v>
      </c>
      <c r="R321" s="123">
        <v>90747.726911969134</v>
      </c>
      <c r="S321" s="123">
        <v>103898.68571683593</v>
      </c>
      <c r="U321" s="7" t="s">
        <v>7548</v>
      </c>
    </row>
    <row r="322" spans="1:21" ht="16.5" thickBot="1">
      <c r="A322" s="259" t="s">
        <v>10</v>
      </c>
      <c r="B322" s="260">
        <f t="shared" si="18"/>
        <v>150</v>
      </c>
      <c r="C322" s="260" t="s">
        <v>3</v>
      </c>
      <c r="D322" s="260">
        <f t="shared" si="19"/>
        <v>400</v>
      </c>
      <c r="E322" s="260" t="s">
        <v>3</v>
      </c>
      <c r="F322" s="261">
        <f t="shared" si="20"/>
        <v>1600</v>
      </c>
      <c r="G322" s="260" t="s">
        <v>3</v>
      </c>
      <c r="H322" s="260">
        <v>6</v>
      </c>
      <c r="I322" s="262" t="s">
        <v>583</v>
      </c>
      <c r="J322" s="112">
        <v>150</v>
      </c>
      <c r="K322" s="75">
        <v>400</v>
      </c>
      <c r="L322" s="75">
        <v>1600</v>
      </c>
      <c r="M322" s="338">
        <v>32.830859202863351</v>
      </c>
      <c r="N322" s="87">
        <v>9095.4284850000004</v>
      </c>
      <c r="O322" s="123">
        <v>71010.107181309606</v>
      </c>
      <c r="P322" s="123">
        <v>84553.777730975169</v>
      </c>
      <c r="Q322" s="120">
        <v>23764.190446748027</v>
      </c>
      <c r="R322" s="123">
        <v>94774.297628057626</v>
      </c>
      <c r="S322" s="123">
        <v>108317.9681777232</v>
      </c>
      <c r="U322" s="7" t="s">
        <v>7549</v>
      </c>
    </row>
    <row r="323" spans="1:21" ht="16.5" thickBot="1">
      <c r="A323" s="259" t="s">
        <v>10</v>
      </c>
      <c r="B323" s="263">
        <f t="shared" si="18"/>
        <v>150</v>
      </c>
      <c r="C323" s="263" t="s">
        <v>3</v>
      </c>
      <c r="D323" s="263">
        <f t="shared" si="19"/>
        <v>400</v>
      </c>
      <c r="E323" s="263" t="s">
        <v>3</v>
      </c>
      <c r="F323" s="261">
        <f t="shared" si="20"/>
        <v>1650</v>
      </c>
      <c r="G323" s="263" t="s">
        <v>3</v>
      </c>
      <c r="H323" s="260">
        <v>6</v>
      </c>
      <c r="I323" s="262" t="s">
        <v>583</v>
      </c>
      <c r="J323" s="112">
        <v>150</v>
      </c>
      <c r="K323" s="75">
        <v>400</v>
      </c>
      <c r="L323" s="75">
        <v>1650</v>
      </c>
      <c r="M323" s="338">
        <v>33.725136726476343</v>
      </c>
      <c r="N323" s="87">
        <v>9459.2456244000005</v>
      </c>
      <c r="O323" s="123">
        <v>74665.814046933301</v>
      </c>
      <c r="P323" s="123">
        <v>88609.065756334297</v>
      </c>
      <c r="Q323" s="120">
        <v>24597.164061924639</v>
      </c>
      <c r="R323" s="123">
        <v>99262.978108857933</v>
      </c>
      <c r="S323" s="123">
        <v>113206.22981825893</v>
      </c>
      <c r="U323" s="7" t="s">
        <v>7550</v>
      </c>
    </row>
    <row r="324" spans="1:21" ht="16.5" thickBot="1">
      <c r="A324" s="259" t="s">
        <v>10</v>
      </c>
      <c r="B324" s="263">
        <f t="shared" si="18"/>
        <v>150</v>
      </c>
      <c r="C324" s="263" t="s">
        <v>3</v>
      </c>
      <c r="D324" s="263">
        <f t="shared" si="19"/>
        <v>400</v>
      </c>
      <c r="E324" s="263" t="s">
        <v>3</v>
      </c>
      <c r="F324" s="261">
        <f t="shared" si="20"/>
        <v>1700</v>
      </c>
      <c r="G324" s="263" t="s">
        <v>3</v>
      </c>
      <c r="H324" s="260">
        <v>6</v>
      </c>
      <c r="I324" s="262" t="s">
        <v>583</v>
      </c>
      <c r="J324" s="112">
        <v>150</v>
      </c>
      <c r="K324" s="75">
        <v>400</v>
      </c>
      <c r="L324" s="75">
        <v>1700</v>
      </c>
      <c r="M324" s="338">
        <v>35.455924650089322</v>
      </c>
      <c r="N324" s="87">
        <v>9823.0627638000005</v>
      </c>
      <c r="O324" s="123">
        <v>76126.45477628184</v>
      </c>
      <c r="P324" s="123">
        <v>90404.89020823632</v>
      </c>
      <c r="Q324" s="120">
        <v>25199.55575892462</v>
      </c>
      <c r="R324" s="123">
        <v>101326.01053520646</v>
      </c>
      <c r="S324" s="123">
        <v>115604.44596716094</v>
      </c>
      <c r="U324" s="7" t="s">
        <v>7551</v>
      </c>
    </row>
    <row r="325" spans="1:21" ht="16.5" thickBot="1">
      <c r="A325" s="259" t="s">
        <v>10</v>
      </c>
      <c r="B325" s="263">
        <f t="shared" si="18"/>
        <v>150</v>
      </c>
      <c r="C325" s="263" t="s">
        <v>3</v>
      </c>
      <c r="D325" s="263">
        <f t="shared" si="19"/>
        <v>400</v>
      </c>
      <c r="E325" s="263" t="s">
        <v>3</v>
      </c>
      <c r="F325" s="261">
        <f t="shared" si="20"/>
        <v>1750</v>
      </c>
      <c r="G325" s="263" t="s">
        <v>3</v>
      </c>
      <c r="H325" s="260">
        <v>6</v>
      </c>
      <c r="I325" s="262" t="s">
        <v>583</v>
      </c>
      <c r="J325" s="112">
        <v>150</v>
      </c>
      <c r="K325" s="75">
        <v>400</v>
      </c>
      <c r="L325" s="75">
        <v>1750</v>
      </c>
      <c r="M325" s="338">
        <v>36.3502021737023</v>
      </c>
      <c r="N325" s="87">
        <v>10186.879903199999</v>
      </c>
      <c r="O325" s="123">
        <v>77516.946951225051</v>
      </c>
      <c r="P325" s="123">
        <v>92128.588138747116</v>
      </c>
      <c r="Q325" s="120">
        <v>26032.529374101232</v>
      </c>
      <c r="R325" s="123">
        <v>103549.47632532628</v>
      </c>
      <c r="S325" s="123">
        <v>118161.11751284834</v>
      </c>
      <c r="U325" s="7" t="s">
        <v>7552</v>
      </c>
    </row>
    <row r="326" spans="1:21" ht="16.5" thickBot="1">
      <c r="A326" s="259" t="s">
        <v>10</v>
      </c>
      <c r="B326" s="263">
        <f t="shared" si="18"/>
        <v>150</v>
      </c>
      <c r="C326" s="263" t="s">
        <v>3</v>
      </c>
      <c r="D326" s="263">
        <f t="shared" si="19"/>
        <v>400</v>
      </c>
      <c r="E326" s="263" t="s">
        <v>3</v>
      </c>
      <c r="F326" s="261">
        <f t="shared" si="20"/>
        <v>1800</v>
      </c>
      <c r="G326" s="263" t="s">
        <v>3</v>
      </c>
      <c r="H326" s="260">
        <v>6</v>
      </c>
      <c r="I326" s="262" t="s">
        <v>583</v>
      </c>
      <c r="J326" s="112">
        <v>150</v>
      </c>
      <c r="K326" s="75">
        <v>400</v>
      </c>
      <c r="L326" s="75">
        <v>1800</v>
      </c>
      <c r="M326" s="338">
        <v>37.227610097315292</v>
      </c>
      <c r="N326" s="87">
        <v>10550.697042600001</v>
      </c>
      <c r="O326" s="123">
        <v>78978.812289756679</v>
      </c>
      <c r="P326" s="123">
        <v>93925.842025324513</v>
      </c>
      <c r="Q326" s="120">
        <v>26634.921071101206</v>
      </c>
      <c r="R326" s="123">
        <v>105613.73336085788</v>
      </c>
      <c r="S326" s="123">
        <v>120560.76309642571</v>
      </c>
      <c r="U326" s="7" t="s">
        <v>7553</v>
      </c>
    </row>
    <row r="327" spans="1:21" ht="16.5" thickBot="1">
      <c r="A327" s="259" t="s">
        <v>10</v>
      </c>
      <c r="B327" s="263">
        <f t="shared" si="18"/>
        <v>150</v>
      </c>
      <c r="C327" s="263" t="s">
        <v>3</v>
      </c>
      <c r="D327" s="263">
        <f t="shared" si="19"/>
        <v>400</v>
      </c>
      <c r="E327" s="263" t="s">
        <v>3</v>
      </c>
      <c r="F327" s="261">
        <f t="shared" si="20"/>
        <v>1850</v>
      </c>
      <c r="G327" s="263" t="s">
        <v>3</v>
      </c>
      <c r="H327" s="260">
        <v>6</v>
      </c>
      <c r="I327" s="262" t="s">
        <v>583</v>
      </c>
      <c r="J327" s="112">
        <v>150</v>
      </c>
      <c r="K327" s="75">
        <v>400</v>
      </c>
      <c r="L327" s="75">
        <v>1850</v>
      </c>
      <c r="M327" s="338">
        <v>38.121887620928284</v>
      </c>
      <c r="N327" s="87">
        <v>10914.514182000001</v>
      </c>
      <c r="O327" s="123">
        <v>80440.881451371984</v>
      </c>
      <c r="P327" s="123">
        <v>95723.378586917635</v>
      </c>
      <c r="Q327" s="120">
        <v>27467.894686277818</v>
      </c>
      <c r="R327" s="123">
        <v>107908.77613764981</v>
      </c>
      <c r="S327" s="123">
        <v>123191.27327319546</v>
      </c>
      <c r="U327" s="7" t="s">
        <v>7554</v>
      </c>
    </row>
    <row r="328" spans="1:21" ht="16.5" thickBot="1">
      <c r="A328" s="259" t="s">
        <v>10</v>
      </c>
      <c r="B328" s="263">
        <f t="shared" si="18"/>
        <v>150</v>
      </c>
      <c r="C328" s="263" t="s">
        <v>3</v>
      </c>
      <c r="D328" s="263">
        <f t="shared" si="19"/>
        <v>400</v>
      </c>
      <c r="E328" s="263" t="s">
        <v>3</v>
      </c>
      <c r="F328" s="261">
        <f t="shared" si="20"/>
        <v>1900</v>
      </c>
      <c r="G328" s="263" t="s">
        <v>3</v>
      </c>
      <c r="H328" s="260">
        <v>6</v>
      </c>
      <c r="I328" s="262" t="s">
        <v>583</v>
      </c>
      <c r="J328" s="112">
        <v>150</v>
      </c>
      <c r="K328" s="75">
        <v>400</v>
      </c>
      <c r="L328" s="75">
        <v>1900</v>
      </c>
      <c r="M328" s="338">
        <v>38.999295544541262</v>
      </c>
      <c r="N328" s="87">
        <v>11278.331321400001</v>
      </c>
      <c r="O328" s="123">
        <v>82065.038533594648</v>
      </c>
      <c r="P328" s="123">
        <v>97687.825540405931</v>
      </c>
      <c r="Q328" s="120">
        <v>28070.286383277791</v>
      </c>
      <c r="R328" s="123">
        <v>110135.32491687244</v>
      </c>
      <c r="S328" s="123">
        <v>125758.11192368373</v>
      </c>
      <c r="U328" s="7" t="s">
        <v>7555</v>
      </c>
    </row>
    <row r="329" spans="1:21" ht="16.5" thickBot="1">
      <c r="A329" s="259" t="s">
        <v>10</v>
      </c>
      <c r="B329" s="263">
        <f t="shared" si="18"/>
        <v>150</v>
      </c>
      <c r="C329" s="263" t="s">
        <v>3</v>
      </c>
      <c r="D329" s="263">
        <f t="shared" si="19"/>
        <v>400</v>
      </c>
      <c r="E329" s="263" t="s">
        <v>3</v>
      </c>
      <c r="F329" s="261">
        <f t="shared" si="20"/>
        <v>1950</v>
      </c>
      <c r="G329" s="263" t="s">
        <v>3</v>
      </c>
      <c r="H329" s="260">
        <v>6</v>
      </c>
      <c r="I329" s="262" t="s">
        <v>583</v>
      </c>
      <c r="J329" s="112">
        <v>150</v>
      </c>
      <c r="K329" s="75">
        <v>400</v>
      </c>
      <c r="L329" s="75">
        <v>1950</v>
      </c>
      <c r="M329" s="338">
        <v>40.032133468154242</v>
      </c>
      <c r="N329" s="87">
        <v>11642.148460800001</v>
      </c>
      <c r="O329" s="123">
        <v>83914.080975035176</v>
      </c>
      <c r="P329" s="123">
        <v>99883.801480423484</v>
      </c>
      <c r="Q329" s="120">
        <v>28672.678220671129</v>
      </c>
      <c r="R329" s="123">
        <v>112586.75919570631</v>
      </c>
      <c r="S329" s="123">
        <v>128556.47970109462</v>
      </c>
      <c r="U329" s="7" t="s">
        <v>7556</v>
      </c>
    </row>
    <row r="330" spans="1:21" ht="16.5" thickBot="1">
      <c r="A330" s="259" t="s">
        <v>10</v>
      </c>
      <c r="B330" s="263">
        <f t="shared" si="18"/>
        <v>150</v>
      </c>
      <c r="C330" s="263" t="s">
        <v>3</v>
      </c>
      <c r="D330" s="263">
        <f t="shared" si="19"/>
        <v>400</v>
      </c>
      <c r="E330" s="263" t="s">
        <v>3</v>
      </c>
      <c r="F330" s="261">
        <f t="shared" si="20"/>
        <v>2000</v>
      </c>
      <c r="G330" s="263" t="s">
        <v>3</v>
      </c>
      <c r="H330" s="260">
        <v>6</v>
      </c>
      <c r="I330" s="262" t="s">
        <v>583</v>
      </c>
      <c r="J330" s="112">
        <v>150</v>
      </c>
      <c r="K330" s="75">
        <v>400</v>
      </c>
      <c r="L330" s="75">
        <v>2000</v>
      </c>
      <c r="M330" s="338">
        <v>41.017057767767234</v>
      </c>
      <c r="N330" s="87">
        <v>12005.965600199999</v>
      </c>
      <c r="O330" s="123">
        <v>85582.242721150789</v>
      </c>
      <c r="P330" s="123">
        <v>102090.36030299282</v>
      </c>
      <c r="Q330" s="120">
        <v>29505.651695454384</v>
      </c>
      <c r="R330" s="123">
        <v>115087.89441660518</v>
      </c>
      <c r="S330" s="123">
        <v>131596.01199844721</v>
      </c>
      <c r="U330" s="7" t="s">
        <v>7557</v>
      </c>
    </row>
    <row r="331" spans="1:21" ht="16.5" thickBot="1">
      <c r="A331" s="259" t="s">
        <v>10</v>
      </c>
      <c r="B331" s="263">
        <f t="shared" si="18"/>
        <v>150</v>
      </c>
      <c r="C331" s="263" t="s">
        <v>3</v>
      </c>
      <c r="D331" s="263">
        <f t="shared" si="19"/>
        <v>400</v>
      </c>
      <c r="E331" s="263" t="s">
        <v>3</v>
      </c>
      <c r="F331" s="261">
        <f t="shared" si="20"/>
        <v>2050</v>
      </c>
      <c r="G331" s="263" t="s">
        <v>3</v>
      </c>
      <c r="H331" s="260">
        <v>6</v>
      </c>
      <c r="I331" s="262" t="s">
        <v>583</v>
      </c>
      <c r="J331" s="112">
        <v>150</v>
      </c>
      <c r="K331" s="75">
        <v>400</v>
      </c>
      <c r="L331" s="75">
        <v>2050</v>
      </c>
      <c r="M331" s="338">
        <v>42.747845691380206</v>
      </c>
      <c r="N331" s="87">
        <v>12369.782739599999</v>
      </c>
      <c r="O331" s="123">
        <v>89110.729614264594</v>
      </c>
      <c r="P331" s="123">
        <v>106009.81887047223</v>
      </c>
      <c r="Q331" s="120">
        <v>30108.043532847722</v>
      </c>
      <c r="R331" s="123">
        <v>119218.77314711231</v>
      </c>
      <c r="S331" s="123">
        <v>136117.86240331994</v>
      </c>
      <c r="U331" s="7" t="s">
        <v>7558</v>
      </c>
    </row>
    <row r="332" spans="1:21" ht="16.5" thickBot="1">
      <c r="A332" s="259" t="s">
        <v>10</v>
      </c>
      <c r="B332" s="260">
        <f t="shared" si="18"/>
        <v>150</v>
      </c>
      <c r="C332" s="260" t="s">
        <v>3</v>
      </c>
      <c r="D332" s="260">
        <f t="shared" si="19"/>
        <v>400</v>
      </c>
      <c r="E332" s="260" t="s">
        <v>3</v>
      </c>
      <c r="F332" s="261">
        <f t="shared" si="20"/>
        <v>2100</v>
      </c>
      <c r="G332" s="260" t="s">
        <v>3</v>
      </c>
      <c r="H332" s="260">
        <v>6</v>
      </c>
      <c r="I332" s="262" t="s">
        <v>583</v>
      </c>
      <c r="J332" s="112">
        <v>150</v>
      </c>
      <c r="K332" s="75">
        <v>400</v>
      </c>
      <c r="L332" s="75">
        <v>2100</v>
      </c>
      <c r="M332" s="338">
        <v>43.642123214993191</v>
      </c>
      <c r="N332" s="87">
        <v>12733.599879000001</v>
      </c>
      <c r="O332" s="123">
        <v>90630.048121512416</v>
      </c>
      <c r="P332" s="123">
        <v>107866.58505275068</v>
      </c>
      <c r="Q332" s="120">
        <v>30941.01700763097</v>
      </c>
      <c r="R332" s="123">
        <v>121571.06512914339</v>
      </c>
      <c r="S332" s="123">
        <v>138807.60206038164</v>
      </c>
      <c r="U332" s="7" t="s">
        <v>7559</v>
      </c>
    </row>
    <row r="333" spans="1:21" ht="16.5" thickBot="1">
      <c r="A333" s="259" t="s">
        <v>10</v>
      </c>
      <c r="B333" s="263">
        <f t="shared" si="18"/>
        <v>150</v>
      </c>
      <c r="C333" s="263" t="s">
        <v>3</v>
      </c>
      <c r="D333" s="263">
        <f t="shared" si="19"/>
        <v>400</v>
      </c>
      <c r="E333" s="263" t="s">
        <v>3</v>
      </c>
      <c r="F333" s="261">
        <f t="shared" si="20"/>
        <v>2150</v>
      </c>
      <c r="G333" s="263" t="s">
        <v>3</v>
      </c>
      <c r="H333" s="260">
        <v>6</v>
      </c>
      <c r="I333" s="262" t="s">
        <v>583</v>
      </c>
      <c r="J333" s="112">
        <v>150</v>
      </c>
      <c r="K333" s="75">
        <v>400</v>
      </c>
      <c r="L333" s="75">
        <v>2150</v>
      </c>
      <c r="M333" s="338">
        <v>44.519531138606183</v>
      </c>
      <c r="N333" s="87">
        <v>13097.417018400001</v>
      </c>
      <c r="O333" s="123">
        <v>92286.103874333698</v>
      </c>
      <c r="P333" s="123">
        <v>109864.10132723571</v>
      </c>
      <c r="Q333" s="120">
        <v>31543.408845024307</v>
      </c>
      <c r="R333" s="123">
        <v>123829.512719358</v>
      </c>
      <c r="S333" s="123">
        <v>141407.51017226002</v>
      </c>
      <c r="U333" s="7" t="s">
        <v>7560</v>
      </c>
    </row>
    <row r="334" spans="1:21" ht="16.5" thickBot="1">
      <c r="A334" s="259" t="s">
        <v>10</v>
      </c>
      <c r="B334" s="263">
        <f t="shared" si="18"/>
        <v>150</v>
      </c>
      <c r="C334" s="263" t="s">
        <v>3</v>
      </c>
      <c r="D334" s="263">
        <f t="shared" si="19"/>
        <v>400</v>
      </c>
      <c r="E334" s="263" t="s">
        <v>3</v>
      </c>
      <c r="F334" s="261">
        <f t="shared" si="20"/>
        <v>2200</v>
      </c>
      <c r="G334" s="263" t="s">
        <v>3</v>
      </c>
      <c r="H334" s="260">
        <v>6</v>
      </c>
      <c r="I334" s="262" t="s">
        <v>583</v>
      </c>
      <c r="J334" s="112">
        <v>150</v>
      </c>
      <c r="K334" s="75">
        <v>400</v>
      </c>
      <c r="L334" s="75">
        <v>2200</v>
      </c>
      <c r="M334" s="338">
        <v>45.413808662219161</v>
      </c>
      <c r="N334" s="87">
        <v>13461.2341578</v>
      </c>
      <c r="O334" s="123">
        <v>93942.252588619944</v>
      </c>
      <c r="P334" s="123">
        <v>111861.74673132376</v>
      </c>
      <c r="Q334" s="120">
        <v>32376.382319807555</v>
      </c>
      <c r="R334" s="123">
        <v>126318.6349084275</v>
      </c>
      <c r="S334" s="123">
        <v>144238.12905113131</v>
      </c>
      <c r="U334" s="7" t="s">
        <v>7561</v>
      </c>
    </row>
    <row r="335" spans="1:21" ht="16.5" thickBot="1">
      <c r="A335" s="259" t="s">
        <v>10</v>
      </c>
      <c r="B335" s="263">
        <f t="shared" si="18"/>
        <v>150</v>
      </c>
      <c r="C335" s="263" t="s">
        <v>3</v>
      </c>
      <c r="D335" s="263">
        <f t="shared" si="19"/>
        <v>400</v>
      </c>
      <c r="E335" s="263" t="s">
        <v>3</v>
      </c>
      <c r="F335" s="261">
        <f t="shared" si="20"/>
        <v>2250</v>
      </c>
      <c r="G335" s="263" t="s">
        <v>3</v>
      </c>
      <c r="H335" s="260">
        <v>6</v>
      </c>
      <c r="I335" s="262" t="s">
        <v>583</v>
      </c>
      <c r="J335" s="112">
        <v>150</v>
      </c>
      <c r="K335" s="75">
        <v>400</v>
      </c>
      <c r="L335" s="75">
        <v>2250</v>
      </c>
      <c r="M335" s="338">
        <v>46.291216585832153</v>
      </c>
      <c r="N335" s="87">
        <v>13825.051297199998</v>
      </c>
      <c r="O335" s="123">
        <v>95829.864968615686</v>
      </c>
      <c r="P335" s="123">
        <v>114095.74944622818</v>
      </c>
      <c r="Q335" s="120">
        <v>32978.774157200758</v>
      </c>
      <c r="R335" s="123">
        <v>128808.63912581644</v>
      </c>
      <c r="S335" s="123">
        <v>147074.52360342894</v>
      </c>
      <c r="U335" s="7" t="s">
        <v>7562</v>
      </c>
    </row>
    <row r="336" spans="1:21" ht="16.5" thickBot="1">
      <c r="A336" s="259" t="s">
        <v>10</v>
      </c>
      <c r="B336" s="263">
        <f t="shared" si="18"/>
        <v>150</v>
      </c>
      <c r="C336" s="263" t="s">
        <v>3</v>
      </c>
      <c r="D336" s="263">
        <f t="shared" si="19"/>
        <v>400</v>
      </c>
      <c r="E336" s="263" t="s">
        <v>3</v>
      </c>
      <c r="F336" s="261">
        <f t="shared" si="20"/>
        <v>2300</v>
      </c>
      <c r="G336" s="263" t="s">
        <v>3</v>
      </c>
      <c r="H336" s="260">
        <v>6</v>
      </c>
      <c r="I336" s="262" t="s">
        <v>583</v>
      </c>
      <c r="J336" s="112">
        <v>150</v>
      </c>
      <c r="K336" s="75">
        <v>400</v>
      </c>
      <c r="L336" s="75">
        <v>2300</v>
      </c>
      <c r="M336" s="338">
        <v>47.168624509445124</v>
      </c>
      <c r="N336" s="87">
        <v>14188.8684366</v>
      </c>
      <c r="O336" s="123">
        <v>97197.12226669454</v>
      </c>
      <c r="P336" s="123">
        <v>115794.22297289918</v>
      </c>
      <c r="Q336" s="120">
        <v>33581.165854200874</v>
      </c>
      <c r="R336" s="123">
        <v>130778.28812089542</v>
      </c>
      <c r="S336" s="123">
        <v>149375.38882710005</v>
      </c>
      <c r="U336" s="7" t="s">
        <v>7563</v>
      </c>
    </row>
    <row r="337" spans="1:21" ht="16.5" thickBot="1">
      <c r="A337" s="259" t="s">
        <v>10</v>
      </c>
      <c r="B337" s="263">
        <f t="shared" si="18"/>
        <v>150</v>
      </c>
      <c r="C337" s="263" t="s">
        <v>3</v>
      </c>
      <c r="D337" s="263">
        <f t="shared" si="19"/>
        <v>400</v>
      </c>
      <c r="E337" s="263" t="s">
        <v>3</v>
      </c>
      <c r="F337" s="261">
        <f t="shared" si="20"/>
        <v>2350</v>
      </c>
      <c r="G337" s="263" t="s">
        <v>3</v>
      </c>
      <c r="H337" s="260">
        <v>6</v>
      </c>
      <c r="I337" s="262" t="s">
        <v>583</v>
      </c>
      <c r="J337" s="112">
        <v>150</v>
      </c>
      <c r="K337" s="75">
        <v>400</v>
      </c>
      <c r="L337" s="75">
        <v>2350</v>
      </c>
      <c r="M337" s="338">
        <v>48.062902033058108</v>
      </c>
      <c r="N337" s="87">
        <v>14552.685576</v>
      </c>
      <c r="O337" s="123">
        <v>98547.812733837956</v>
      </c>
      <c r="P337" s="123">
        <v>117473.44130421494</v>
      </c>
      <c r="Q337" s="120">
        <v>34414.139469377486</v>
      </c>
      <c r="R337" s="123">
        <v>132961.95220321545</v>
      </c>
      <c r="S337" s="123">
        <v>151887.58077359243</v>
      </c>
      <c r="U337" s="7" t="s">
        <v>7564</v>
      </c>
    </row>
    <row r="338" spans="1:21" ht="16.5" thickBot="1">
      <c r="A338" s="259" t="s">
        <v>10</v>
      </c>
      <c r="B338" s="263">
        <f t="shared" si="18"/>
        <v>150</v>
      </c>
      <c r="C338" s="263" t="s">
        <v>3</v>
      </c>
      <c r="D338" s="263">
        <f t="shared" si="19"/>
        <v>400</v>
      </c>
      <c r="E338" s="263" t="s">
        <v>3</v>
      </c>
      <c r="F338" s="261">
        <f t="shared" si="20"/>
        <v>2400</v>
      </c>
      <c r="G338" s="263" t="s">
        <v>3</v>
      </c>
      <c r="H338" s="260">
        <v>6</v>
      </c>
      <c r="I338" s="262" t="s">
        <v>583</v>
      </c>
      <c r="J338" s="112">
        <v>150</v>
      </c>
      <c r="K338" s="75">
        <v>400</v>
      </c>
      <c r="L338" s="75">
        <v>2400</v>
      </c>
      <c r="M338" s="338">
        <v>48.940309956671101</v>
      </c>
      <c r="N338" s="87">
        <v>14916.502715399998</v>
      </c>
      <c r="O338" s="123">
        <v>100000.00828999635</v>
      </c>
      <c r="P338" s="123">
        <v>119280.52745040398</v>
      </c>
      <c r="Q338" s="120">
        <v>35016.531306770819</v>
      </c>
      <c r="R338" s="123">
        <v>135016.53959676716</v>
      </c>
      <c r="S338" s="123">
        <v>154297.05875717482</v>
      </c>
      <c r="U338" s="7" t="s">
        <v>7565</v>
      </c>
    </row>
    <row r="339" spans="1:21" ht="16.5" thickBot="1">
      <c r="A339" s="259" t="s">
        <v>10</v>
      </c>
      <c r="B339" s="263">
        <f t="shared" si="18"/>
        <v>150</v>
      </c>
      <c r="C339" s="263" t="s">
        <v>3</v>
      </c>
      <c r="D339" s="263">
        <f t="shared" si="19"/>
        <v>400</v>
      </c>
      <c r="E339" s="263" t="s">
        <v>3</v>
      </c>
      <c r="F339" s="261">
        <f t="shared" si="20"/>
        <v>2450</v>
      </c>
      <c r="G339" s="263" t="s">
        <v>3</v>
      </c>
      <c r="H339" s="260">
        <v>6</v>
      </c>
      <c r="I339" s="262" t="s">
        <v>583</v>
      </c>
      <c r="J339" s="112">
        <v>150</v>
      </c>
      <c r="K339" s="75">
        <v>400</v>
      </c>
      <c r="L339" s="75">
        <v>2450</v>
      </c>
      <c r="M339" s="338">
        <v>50.65393256130448</v>
      </c>
      <c r="N339" s="87">
        <v>15280.319854800002</v>
      </c>
      <c r="O339" s="123">
        <v>101910.96103842904</v>
      </c>
      <c r="P339" s="123">
        <v>121729.71648838806</v>
      </c>
      <c r="Q339" s="120">
        <v>35849.504781554067</v>
      </c>
      <c r="R339" s="123">
        <v>137760.4658199831</v>
      </c>
      <c r="S339" s="123">
        <v>157579.22126994212</v>
      </c>
      <c r="U339" s="7" t="s">
        <v>7566</v>
      </c>
    </row>
    <row r="340" spans="1:21" ht="16.5" thickBot="1">
      <c r="A340" s="259" t="s">
        <v>10</v>
      </c>
      <c r="B340" s="263">
        <f t="shared" si="18"/>
        <v>150</v>
      </c>
      <c r="C340" s="263" t="s">
        <v>3</v>
      </c>
      <c r="D340" s="263">
        <f t="shared" si="19"/>
        <v>400</v>
      </c>
      <c r="E340" s="263" t="s">
        <v>3</v>
      </c>
      <c r="F340" s="261">
        <f t="shared" si="20"/>
        <v>2500</v>
      </c>
      <c r="G340" s="263" t="s">
        <v>3</v>
      </c>
      <c r="H340" s="260">
        <v>6</v>
      </c>
      <c r="I340" s="262" t="s">
        <v>583</v>
      </c>
      <c r="J340" s="112">
        <v>150</v>
      </c>
      <c r="K340" s="75">
        <v>400</v>
      </c>
      <c r="L340" s="75">
        <v>2500</v>
      </c>
      <c r="M340" s="338">
        <v>51.531340484917465</v>
      </c>
      <c r="N340" s="87">
        <v>15644.1369942</v>
      </c>
      <c r="O340" s="123">
        <v>103352.51173117396</v>
      </c>
      <c r="P340" s="123">
        <v>123502.25478615401</v>
      </c>
      <c r="Q340" s="120">
        <v>36451.896618947409</v>
      </c>
      <c r="R340" s="123">
        <v>139804.40835012138</v>
      </c>
      <c r="S340" s="123">
        <v>159954.15140510141</v>
      </c>
      <c r="U340" s="7" t="s">
        <v>7567</v>
      </c>
    </row>
    <row r="341" spans="1:21" ht="16.5" thickBot="1">
      <c r="A341" s="259" t="s">
        <v>10</v>
      </c>
      <c r="B341" s="263">
        <f t="shared" si="18"/>
        <v>150</v>
      </c>
      <c r="C341" s="263" t="s">
        <v>3</v>
      </c>
      <c r="D341" s="263">
        <f t="shared" si="19"/>
        <v>400</v>
      </c>
      <c r="E341" s="263" t="s">
        <v>3</v>
      </c>
      <c r="F341" s="261">
        <f t="shared" si="20"/>
        <v>2550</v>
      </c>
      <c r="G341" s="263" t="s">
        <v>3</v>
      </c>
      <c r="H341" s="260">
        <v>6</v>
      </c>
      <c r="I341" s="262" t="s">
        <v>583</v>
      </c>
      <c r="J341" s="112">
        <v>150</v>
      </c>
      <c r="K341" s="75">
        <v>400</v>
      </c>
      <c r="L341" s="75">
        <v>2550</v>
      </c>
      <c r="M341" s="338">
        <v>52.425618008530456</v>
      </c>
      <c r="N341" s="87">
        <v>16007.954133600002</v>
      </c>
      <c r="O341" s="123">
        <v>107756.25742863043</v>
      </c>
      <c r="P341" s="123">
        <v>128326.11620269954</v>
      </c>
      <c r="Q341" s="120">
        <v>37284.870093730657</v>
      </c>
      <c r="R341" s="123">
        <v>145041.12752236109</v>
      </c>
      <c r="S341" s="123">
        <v>165610.9862964302</v>
      </c>
      <c r="U341" s="7" t="s">
        <v>7568</v>
      </c>
    </row>
    <row r="342" spans="1:21" ht="16.5" thickBot="1">
      <c r="A342" s="259" t="s">
        <v>10</v>
      </c>
      <c r="B342" s="260">
        <f t="shared" si="18"/>
        <v>150</v>
      </c>
      <c r="C342" s="260" t="s">
        <v>3</v>
      </c>
      <c r="D342" s="260">
        <f t="shared" si="19"/>
        <v>400</v>
      </c>
      <c r="E342" s="260" t="s">
        <v>3</v>
      </c>
      <c r="F342" s="261">
        <f t="shared" si="20"/>
        <v>2600</v>
      </c>
      <c r="G342" s="260" t="s">
        <v>3</v>
      </c>
      <c r="H342" s="260">
        <v>6</v>
      </c>
      <c r="I342" s="262" t="s">
        <v>583</v>
      </c>
      <c r="J342" s="112">
        <v>150</v>
      </c>
      <c r="K342" s="75">
        <v>400</v>
      </c>
      <c r="L342" s="75">
        <v>2600</v>
      </c>
      <c r="M342" s="338">
        <v>53.303025932143441</v>
      </c>
      <c r="N342" s="87">
        <v>16371.771273</v>
      </c>
      <c r="O342" s="123">
        <v>109366.44773691252</v>
      </c>
      <c r="P342" s="123">
        <v>130274.39022831352</v>
      </c>
      <c r="Q342" s="120">
        <v>37887.261931123991</v>
      </c>
      <c r="R342" s="123">
        <v>147253.70966803652</v>
      </c>
      <c r="S342" s="123">
        <v>168161.65215943751</v>
      </c>
      <c r="U342" s="7" t="s">
        <v>7569</v>
      </c>
    </row>
    <row r="343" spans="1:21" ht="16.5" thickBot="1">
      <c r="A343" s="259" t="s">
        <v>10</v>
      </c>
      <c r="B343" s="263">
        <f t="shared" si="18"/>
        <v>150</v>
      </c>
      <c r="C343" s="263" t="s">
        <v>3</v>
      </c>
      <c r="D343" s="263">
        <f t="shared" si="19"/>
        <v>400</v>
      </c>
      <c r="E343" s="263" t="s">
        <v>3</v>
      </c>
      <c r="F343" s="261">
        <f t="shared" si="20"/>
        <v>2650</v>
      </c>
      <c r="G343" s="263" t="s">
        <v>3</v>
      </c>
      <c r="H343" s="260">
        <v>6</v>
      </c>
      <c r="I343" s="262" t="s">
        <v>583</v>
      </c>
      <c r="J343" s="112">
        <v>150</v>
      </c>
      <c r="K343" s="75">
        <v>400</v>
      </c>
      <c r="L343" s="75">
        <v>2650</v>
      </c>
      <c r="M343" s="338">
        <v>54.197303455756433</v>
      </c>
      <c r="N343" s="87">
        <v>16735.5884124</v>
      </c>
      <c r="O343" s="123">
        <v>110579.95930202307</v>
      </c>
      <c r="P343" s="123">
        <v>131814.26387798585</v>
      </c>
      <c r="Q343" s="120">
        <v>38720.235405907246</v>
      </c>
      <c r="R343" s="123">
        <v>149300.19470793032</v>
      </c>
      <c r="S343" s="123">
        <v>170534.49928389309</v>
      </c>
      <c r="U343" s="7" t="s">
        <v>7570</v>
      </c>
    </row>
    <row r="344" spans="1:21" ht="16.5" thickBot="1">
      <c r="A344" s="259" t="s">
        <v>10</v>
      </c>
      <c r="B344" s="263">
        <f t="shared" si="18"/>
        <v>150</v>
      </c>
      <c r="C344" s="263" t="s">
        <v>3</v>
      </c>
      <c r="D344" s="263">
        <f t="shared" si="19"/>
        <v>400</v>
      </c>
      <c r="E344" s="263" t="s">
        <v>3</v>
      </c>
      <c r="F344" s="261">
        <f t="shared" si="20"/>
        <v>2700</v>
      </c>
      <c r="G344" s="263" t="s">
        <v>3</v>
      </c>
      <c r="H344" s="260">
        <v>6</v>
      </c>
      <c r="I344" s="262" t="s">
        <v>583</v>
      </c>
      <c r="J344" s="112">
        <v>150</v>
      </c>
      <c r="K344" s="75">
        <v>400</v>
      </c>
      <c r="L344" s="75">
        <v>2700</v>
      </c>
      <c r="M344" s="338">
        <v>55.230141379369407</v>
      </c>
      <c r="N344" s="87">
        <v>17099.405551800002</v>
      </c>
      <c r="O344" s="123">
        <v>111903.21205554332</v>
      </c>
      <c r="P344" s="123">
        <v>133467.04484892788</v>
      </c>
      <c r="Q344" s="120">
        <v>39322.627243300587</v>
      </c>
      <c r="R344" s="123">
        <v>151225.8392988439</v>
      </c>
      <c r="S344" s="123">
        <v>172789.67209222846</v>
      </c>
      <c r="U344" s="7" t="s">
        <v>7571</v>
      </c>
    </row>
    <row r="345" spans="1:21" ht="16.5" thickBot="1">
      <c r="A345" s="259" t="s">
        <v>10</v>
      </c>
      <c r="B345" s="263">
        <f t="shared" si="18"/>
        <v>150</v>
      </c>
      <c r="C345" s="263" t="s">
        <v>3</v>
      </c>
      <c r="D345" s="263">
        <f t="shared" si="19"/>
        <v>400</v>
      </c>
      <c r="E345" s="263" t="s">
        <v>3</v>
      </c>
      <c r="F345" s="261">
        <f t="shared" si="20"/>
        <v>2750</v>
      </c>
      <c r="G345" s="263" t="s">
        <v>3</v>
      </c>
      <c r="H345" s="260">
        <v>6</v>
      </c>
      <c r="I345" s="262" t="s">
        <v>583</v>
      </c>
      <c r="J345" s="112">
        <v>150</v>
      </c>
      <c r="K345" s="75">
        <v>400</v>
      </c>
      <c r="L345" s="75">
        <v>2750</v>
      </c>
      <c r="M345" s="338">
        <v>56.107549302982399</v>
      </c>
      <c r="N345" s="87">
        <v>17463.222691200001</v>
      </c>
      <c r="O345" s="123">
        <v>113191.94078258621</v>
      </c>
      <c r="P345" s="123">
        <v>135084.22182447117</v>
      </c>
      <c r="Q345" s="120">
        <v>39925.018940300557</v>
      </c>
      <c r="R345" s="123">
        <v>153116.95972288676</v>
      </c>
      <c r="S345" s="123">
        <v>175009.24076477173</v>
      </c>
      <c r="U345" s="7" t="s">
        <v>7572</v>
      </c>
    </row>
    <row r="346" spans="1:21" ht="16.5" thickBot="1">
      <c r="A346" s="259" t="s">
        <v>10</v>
      </c>
      <c r="B346" s="263">
        <f t="shared" si="18"/>
        <v>150</v>
      </c>
      <c r="C346" s="263" t="s">
        <v>3</v>
      </c>
      <c r="D346" s="263">
        <f t="shared" si="19"/>
        <v>400</v>
      </c>
      <c r="E346" s="263" t="s">
        <v>3</v>
      </c>
      <c r="F346" s="261">
        <f t="shared" si="20"/>
        <v>2800</v>
      </c>
      <c r="G346" s="263" t="s">
        <v>3</v>
      </c>
      <c r="H346" s="260">
        <v>6</v>
      </c>
      <c r="I346" s="262" t="s">
        <v>583</v>
      </c>
      <c r="J346" s="112">
        <v>150</v>
      </c>
      <c r="K346" s="75">
        <v>400</v>
      </c>
      <c r="L346" s="75">
        <v>2800</v>
      </c>
      <c r="M346" s="338">
        <v>57.001826826595384</v>
      </c>
      <c r="N346" s="87">
        <v>17827.039830600002</v>
      </c>
      <c r="O346" s="123">
        <v>114404.56366473182</v>
      </c>
      <c r="P346" s="123">
        <v>136622.97783066332</v>
      </c>
      <c r="Q346" s="120">
        <v>40757.992555477169</v>
      </c>
      <c r="R346" s="123">
        <v>155162.55622020899</v>
      </c>
      <c r="S346" s="123">
        <v>177380.97038614049</v>
      </c>
      <c r="U346" s="7" t="s">
        <v>7573</v>
      </c>
    </row>
    <row r="347" spans="1:21" ht="16.5" thickBot="1">
      <c r="A347" s="259" t="s">
        <v>10</v>
      </c>
      <c r="B347" s="263">
        <f t="shared" si="18"/>
        <v>150</v>
      </c>
      <c r="C347" s="263" t="s">
        <v>3</v>
      </c>
      <c r="D347" s="263">
        <f t="shared" si="19"/>
        <v>400</v>
      </c>
      <c r="E347" s="263" t="s">
        <v>3</v>
      </c>
      <c r="F347" s="261">
        <f t="shared" si="20"/>
        <v>2850</v>
      </c>
      <c r="G347" s="263" t="s">
        <v>3</v>
      </c>
      <c r="H347" s="260">
        <v>6</v>
      </c>
      <c r="I347" s="262" t="s">
        <v>583</v>
      </c>
      <c r="J347" s="112">
        <v>150</v>
      </c>
      <c r="K347" s="75">
        <v>400</v>
      </c>
      <c r="L347" s="75">
        <v>2850</v>
      </c>
      <c r="M347" s="338">
        <v>58.732614750208356</v>
      </c>
      <c r="N347" s="87">
        <v>18190.856970000001</v>
      </c>
      <c r="O347" s="123">
        <v>115617.25898283281</v>
      </c>
      <c r="P347" s="123">
        <v>138161.74258476592</v>
      </c>
      <c r="Q347" s="120">
        <v>41360.384252477146</v>
      </c>
      <c r="R347" s="123">
        <v>156977.64323530995</v>
      </c>
      <c r="S347" s="123">
        <v>179522.12683724306</v>
      </c>
      <c r="U347" s="7" t="s">
        <v>7574</v>
      </c>
    </row>
    <row r="348" spans="1:21" ht="16.5" thickBot="1">
      <c r="A348" s="259" t="s">
        <v>10</v>
      </c>
      <c r="B348" s="263">
        <f t="shared" si="18"/>
        <v>150</v>
      </c>
      <c r="C348" s="263" t="s">
        <v>3</v>
      </c>
      <c r="D348" s="263">
        <f t="shared" si="19"/>
        <v>400</v>
      </c>
      <c r="E348" s="263" t="s">
        <v>3</v>
      </c>
      <c r="F348" s="261">
        <f t="shared" si="20"/>
        <v>2900</v>
      </c>
      <c r="G348" s="263" t="s">
        <v>3</v>
      </c>
      <c r="H348" s="260">
        <v>6</v>
      </c>
      <c r="I348" s="262" t="s">
        <v>583</v>
      </c>
      <c r="J348" s="112">
        <v>150</v>
      </c>
      <c r="K348" s="75">
        <v>400</v>
      </c>
      <c r="L348" s="75">
        <v>2900</v>
      </c>
      <c r="M348" s="338">
        <v>59.626892273821348</v>
      </c>
      <c r="N348" s="87">
        <v>18554.674109399999</v>
      </c>
      <c r="O348" s="123">
        <v>116830.02279885535</v>
      </c>
      <c r="P348" s="123">
        <v>139700.51412829151</v>
      </c>
      <c r="Q348" s="120">
        <v>42193.357867653758</v>
      </c>
      <c r="R348" s="123">
        <v>159023.3806665091</v>
      </c>
      <c r="S348" s="123">
        <v>181893.87199594529</v>
      </c>
      <c r="U348" s="7" t="s">
        <v>7575</v>
      </c>
    </row>
    <row r="349" spans="1:21" ht="16.5" thickBot="1">
      <c r="A349" s="259" t="s">
        <v>10</v>
      </c>
      <c r="B349" s="263">
        <f t="shared" si="18"/>
        <v>150</v>
      </c>
      <c r="C349" s="263" t="s">
        <v>3</v>
      </c>
      <c r="D349" s="263">
        <f t="shared" si="19"/>
        <v>400</v>
      </c>
      <c r="E349" s="263" t="s">
        <v>3</v>
      </c>
      <c r="F349" s="261">
        <f t="shared" si="20"/>
        <v>2950</v>
      </c>
      <c r="G349" s="263" t="s">
        <v>3</v>
      </c>
      <c r="H349" s="260">
        <v>6</v>
      </c>
      <c r="I349" s="262" t="s">
        <v>583</v>
      </c>
      <c r="J349" s="112">
        <v>150</v>
      </c>
      <c r="K349" s="75">
        <v>400</v>
      </c>
      <c r="L349" s="75">
        <v>2950</v>
      </c>
      <c r="M349" s="338">
        <v>60.504300197434333</v>
      </c>
      <c r="N349" s="87">
        <v>18918.491248800001</v>
      </c>
      <c r="O349" s="123">
        <v>118042.85105543128</v>
      </c>
      <c r="P349" s="123">
        <v>141239.2905027527</v>
      </c>
      <c r="Q349" s="120">
        <v>42795.749564653735</v>
      </c>
      <c r="R349" s="123">
        <v>160838.60062008502</v>
      </c>
      <c r="S349" s="123">
        <v>184035.04006740643</v>
      </c>
      <c r="U349" s="7" t="s">
        <v>7576</v>
      </c>
    </row>
    <row r="350" spans="1:21" ht="16.5" thickBot="1">
      <c r="A350" s="259" t="s">
        <v>10</v>
      </c>
      <c r="B350" s="263">
        <f t="shared" si="18"/>
        <v>150</v>
      </c>
      <c r="C350" s="263" t="s">
        <v>3</v>
      </c>
      <c r="D350" s="263">
        <f t="shared" si="19"/>
        <v>400</v>
      </c>
      <c r="E350" s="263" t="s">
        <v>3</v>
      </c>
      <c r="F350" s="261">
        <f t="shared" si="20"/>
        <v>3000</v>
      </c>
      <c r="G350" s="263" t="s">
        <v>3</v>
      </c>
      <c r="H350" s="260">
        <v>6</v>
      </c>
      <c r="I350" s="262" t="s">
        <v>583</v>
      </c>
      <c r="J350" s="146">
        <v>150</v>
      </c>
      <c r="K350" s="75">
        <v>400</v>
      </c>
      <c r="L350" s="147">
        <v>3000</v>
      </c>
      <c r="M350" s="338">
        <v>61.39857772104731</v>
      </c>
      <c r="N350" s="148">
        <v>19282.308388199999</v>
      </c>
      <c r="O350" s="149">
        <v>120853.12900687843</v>
      </c>
      <c r="P350" s="149">
        <v>144425.48315945099</v>
      </c>
      <c r="Q350" s="159">
        <v>43628.723179830347</v>
      </c>
      <c r="R350" s="149">
        <v>164481.85218670877</v>
      </c>
      <c r="S350" s="149">
        <v>188054.20633928134</v>
      </c>
      <c r="U350" s="7" t="s">
        <v>7577</v>
      </c>
    </row>
    <row r="351" spans="1:21" ht="19.5" thickBot="1">
      <c r="A351" s="2580" t="s">
        <v>67</v>
      </c>
      <c r="B351" s="2581"/>
      <c r="C351" s="2581"/>
      <c r="D351" s="2581"/>
      <c r="E351" s="2581"/>
      <c r="F351" s="2581"/>
      <c r="G351" s="2581"/>
      <c r="H351" s="2581"/>
      <c r="I351" s="2581"/>
      <c r="J351" s="2581"/>
      <c r="K351" s="2581"/>
      <c r="L351" s="2581"/>
      <c r="M351" s="2581"/>
      <c r="N351" s="2581"/>
      <c r="O351" s="2581"/>
      <c r="P351" s="2581"/>
      <c r="Q351" s="2581"/>
      <c r="R351" s="2581"/>
      <c r="S351" s="2582"/>
      <c r="U351" s="7"/>
    </row>
    <row r="352" spans="1:21" ht="19.5" thickBot="1">
      <c r="A352" s="2627" t="s">
        <v>140</v>
      </c>
      <c r="B352" s="2628"/>
      <c r="C352" s="2628"/>
      <c r="D352" s="2628"/>
      <c r="E352" s="2628"/>
      <c r="F352" s="2628"/>
      <c r="G352" s="2628"/>
      <c r="H352" s="2628"/>
      <c r="I352" s="2628"/>
      <c r="J352" s="2628"/>
      <c r="K352" s="2628"/>
      <c r="L352" s="2628"/>
      <c r="M352" s="2628"/>
      <c r="N352" s="2628"/>
      <c r="O352" s="2628"/>
      <c r="P352" s="2628"/>
      <c r="Q352" s="2628"/>
      <c r="R352" s="2628"/>
      <c r="S352" s="2629"/>
      <c r="U352" s="7"/>
    </row>
    <row r="353" spans="1:21" ht="16.5" thickBot="1">
      <c r="A353" s="1165" t="s">
        <v>10</v>
      </c>
      <c r="B353" s="263">
        <f t="shared" ref="B353:B399" si="21">J353</f>
        <v>150</v>
      </c>
      <c r="C353" s="263" t="s">
        <v>3</v>
      </c>
      <c r="D353" s="263">
        <f t="shared" ref="D353:D399" si="22">K353</f>
        <v>400</v>
      </c>
      <c r="E353" s="263" t="s">
        <v>3</v>
      </c>
      <c r="F353" s="1166">
        <f t="shared" ref="F353:F399" si="23">L353</f>
        <v>700</v>
      </c>
      <c r="G353" s="263" t="s">
        <v>3</v>
      </c>
      <c r="H353" s="263">
        <v>8</v>
      </c>
      <c r="I353" s="1288" t="s">
        <v>583</v>
      </c>
      <c r="J353" s="142">
        <v>150</v>
      </c>
      <c r="K353" s="143">
        <v>400</v>
      </c>
      <c r="L353" s="143">
        <v>700</v>
      </c>
      <c r="M353" s="190">
        <v>17.541382552010262</v>
      </c>
      <c r="N353" s="144">
        <v>2783.3005199999998</v>
      </c>
      <c r="O353" s="145">
        <v>36262.958151876854</v>
      </c>
      <c r="P353" s="145">
        <v>43587.509617412041</v>
      </c>
      <c r="Q353" s="169">
        <v>11307.066052331927</v>
      </c>
      <c r="R353" s="145">
        <v>47570.024204208778</v>
      </c>
      <c r="S353" s="145">
        <v>54894.575669743965</v>
      </c>
      <c r="U353" s="7" t="s">
        <v>7578</v>
      </c>
    </row>
    <row r="354" spans="1:21" ht="16.5" thickBot="1">
      <c r="A354" s="259" t="s">
        <v>10</v>
      </c>
      <c r="B354" s="263">
        <f t="shared" si="21"/>
        <v>150</v>
      </c>
      <c r="C354" s="263" t="s">
        <v>3</v>
      </c>
      <c r="D354" s="263">
        <f t="shared" si="22"/>
        <v>400</v>
      </c>
      <c r="E354" s="263" t="s">
        <v>3</v>
      </c>
      <c r="F354" s="261">
        <f t="shared" si="23"/>
        <v>750</v>
      </c>
      <c r="G354" s="263" t="s">
        <v>3</v>
      </c>
      <c r="H354" s="260">
        <v>8</v>
      </c>
      <c r="I354" s="262" t="s">
        <v>583</v>
      </c>
      <c r="J354" s="112">
        <v>150</v>
      </c>
      <c r="K354" s="75">
        <v>400</v>
      </c>
      <c r="L354" s="75">
        <v>750</v>
      </c>
      <c r="M354" s="338">
        <v>18.516280244913577</v>
      </c>
      <c r="N354" s="87">
        <v>3180.9148799999998</v>
      </c>
      <c r="O354" s="123">
        <v>38589.125729994266</v>
      </c>
      <c r="P354" s="123">
        <v>46290.559620996835</v>
      </c>
      <c r="Q354" s="120">
        <v>11909.457889725263</v>
      </c>
      <c r="R354" s="123">
        <v>50498.583619719531</v>
      </c>
      <c r="S354" s="123">
        <v>58200.0175107221</v>
      </c>
      <c r="U354" s="7" t="s">
        <v>7579</v>
      </c>
    </row>
    <row r="355" spans="1:21" ht="16.5" thickBot="1">
      <c r="A355" s="259" t="s">
        <v>10</v>
      </c>
      <c r="B355" s="263">
        <f t="shared" si="21"/>
        <v>150</v>
      </c>
      <c r="C355" s="263" t="s">
        <v>3</v>
      </c>
      <c r="D355" s="263">
        <f t="shared" si="22"/>
        <v>400</v>
      </c>
      <c r="E355" s="263" t="s">
        <v>3</v>
      </c>
      <c r="F355" s="261">
        <f t="shared" si="23"/>
        <v>800</v>
      </c>
      <c r="G355" s="263" t="s">
        <v>3</v>
      </c>
      <c r="H355" s="260">
        <v>8</v>
      </c>
      <c r="I355" s="262" t="s">
        <v>583</v>
      </c>
      <c r="J355" s="112">
        <v>150</v>
      </c>
      <c r="K355" s="75">
        <v>400</v>
      </c>
      <c r="L355" s="75">
        <v>800</v>
      </c>
      <c r="M355" s="338">
        <v>19.491177937816897</v>
      </c>
      <c r="N355" s="87">
        <v>3578.5292399999998</v>
      </c>
      <c r="O355" s="123">
        <v>40907.763190779639</v>
      </c>
      <c r="P355" s="123">
        <v>48987.054306099162</v>
      </c>
      <c r="Q355" s="120">
        <v>12511.84958672524</v>
      </c>
      <c r="R355" s="123">
        <v>53419.612777504881</v>
      </c>
      <c r="S355" s="123">
        <v>61498.903892824404</v>
      </c>
      <c r="U355" s="7" t="s">
        <v>7580</v>
      </c>
    </row>
    <row r="356" spans="1:21" ht="16.5" thickBot="1">
      <c r="A356" s="259" t="s">
        <v>10</v>
      </c>
      <c r="B356" s="263">
        <f t="shared" si="21"/>
        <v>150</v>
      </c>
      <c r="C356" s="263" t="s">
        <v>3</v>
      </c>
      <c r="D356" s="263">
        <f t="shared" si="22"/>
        <v>400</v>
      </c>
      <c r="E356" s="263" t="s">
        <v>3</v>
      </c>
      <c r="F356" s="261">
        <f t="shared" si="23"/>
        <v>850</v>
      </c>
      <c r="G356" s="263" t="s">
        <v>3</v>
      </c>
      <c r="H356" s="260">
        <v>8</v>
      </c>
      <c r="I356" s="262" t="s">
        <v>583</v>
      </c>
      <c r="J356" s="112">
        <v>150</v>
      </c>
      <c r="K356" s="75">
        <v>400</v>
      </c>
      <c r="L356" s="75">
        <v>850</v>
      </c>
      <c r="M356" s="338">
        <v>20.484819630720207</v>
      </c>
      <c r="N356" s="87">
        <v>3976.1435999999999</v>
      </c>
      <c r="O356" s="123">
        <v>43226.711994905352</v>
      </c>
      <c r="P356" s="123">
        <v>51684.00048783169</v>
      </c>
      <c r="Q356" s="120">
        <v>13344.823201901852</v>
      </c>
      <c r="R356" s="123">
        <v>56571.535196807206</v>
      </c>
      <c r="S356" s="123">
        <v>65028.823689733545</v>
      </c>
      <c r="U356" s="7" t="s">
        <v>7581</v>
      </c>
    </row>
    <row r="357" spans="1:21" ht="16.5" thickBot="1">
      <c r="A357" s="259" t="s">
        <v>10</v>
      </c>
      <c r="B357" s="263">
        <f t="shared" si="21"/>
        <v>150</v>
      </c>
      <c r="C357" s="263" t="s">
        <v>3</v>
      </c>
      <c r="D357" s="263">
        <f t="shared" si="22"/>
        <v>400</v>
      </c>
      <c r="E357" s="263" t="s">
        <v>3</v>
      </c>
      <c r="F357" s="261">
        <f t="shared" si="23"/>
        <v>900</v>
      </c>
      <c r="G357" s="263" t="s">
        <v>3</v>
      </c>
      <c r="H357" s="260">
        <v>8</v>
      </c>
      <c r="I357" s="262" t="s">
        <v>583</v>
      </c>
      <c r="J357" s="112">
        <v>150</v>
      </c>
      <c r="K357" s="75">
        <v>400</v>
      </c>
      <c r="L357" s="75">
        <v>900</v>
      </c>
      <c r="M357" s="338">
        <v>21.63461732362353</v>
      </c>
      <c r="N357" s="87">
        <v>4373.7579599999999</v>
      </c>
      <c r="O357" s="123">
        <v>45545.759965882666</v>
      </c>
      <c r="P357" s="123">
        <v>54381.130897946285</v>
      </c>
      <c r="Q357" s="120">
        <v>13947.21489890183</v>
      </c>
      <c r="R357" s="123">
        <v>59492.974864784497</v>
      </c>
      <c r="S357" s="123">
        <v>68328.345796848109</v>
      </c>
      <c r="U357" s="7" t="s">
        <v>7582</v>
      </c>
    </row>
    <row r="358" spans="1:21" ht="16.5" thickBot="1">
      <c r="A358" s="259" t="s">
        <v>10</v>
      </c>
      <c r="B358" s="263">
        <f t="shared" si="21"/>
        <v>150</v>
      </c>
      <c r="C358" s="263" t="s">
        <v>3</v>
      </c>
      <c r="D358" s="263">
        <f t="shared" si="22"/>
        <v>400</v>
      </c>
      <c r="E358" s="263" t="s">
        <v>3</v>
      </c>
      <c r="F358" s="261">
        <f t="shared" si="23"/>
        <v>950</v>
      </c>
      <c r="G358" s="263" t="s">
        <v>3</v>
      </c>
      <c r="H358" s="260">
        <v>8</v>
      </c>
      <c r="I358" s="262" t="s">
        <v>583</v>
      </c>
      <c r="J358" s="112">
        <v>150</v>
      </c>
      <c r="K358" s="75">
        <v>400</v>
      </c>
      <c r="L358" s="75">
        <v>950</v>
      </c>
      <c r="M358" s="338">
        <v>22.628259016526847</v>
      </c>
      <c r="N358" s="87">
        <v>4771.3723199999995</v>
      </c>
      <c r="O358" s="123">
        <v>47864.89206758247</v>
      </c>
      <c r="P358" s="123">
        <v>57078.417334224294</v>
      </c>
      <c r="Q358" s="120">
        <v>14780.188514078442</v>
      </c>
      <c r="R358" s="123">
        <v>62645.080581660914</v>
      </c>
      <c r="S358" s="123">
        <v>71858.60584830273</v>
      </c>
      <c r="U358" s="7" t="s">
        <v>7583</v>
      </c>
    </row>
    <row r="359" spans="1:21" ht="16.5" thickBot="1">
      <c r="A359" s="259" t="s">
        <v>10</v>
      </c>
      <c r="B359" s="263">
        <f t="shared" si="21"/>
        <v>150</v>
      </c>
      <c r="C359" s="263" t="s">
        <v>3</v>
      </c>
      <c r="D359" s="263">
        <f t="shared" si="22"/>
        <v>400</v>
      </c>
      <c r="E359" s="263" t="s">
        <v>3</v>
      </c>
      <c r="F359" s="261">
        <f t="shared" si="23"/>
        <v>1000</v>
      </c>
      <c r="G359" s="263" t="s">
        <v>3</v>
      </c>
      <c r="H359" s="260">
        <v>8</v>
      </c>
      <c r="I359" s="262" t="s">
        <v>583</v>
      </c>
      <c r="J359" s="112">
        <v>150</v>
      </c>
      <c r="K359" s="75">
        <v>400</v>
      </c>
      <c r="L359" s="75">
        <v>1000</v>
      </c>
      <c r="M359" s="338">
        <v>23.603156709430159</v>
      </c>
      <c r="N359" s="87">
        <v>5168.98668</v>
      </c>
      <c r="O359" s="123">
        <v>50094.501920504052</v>
      </c>
      <c r="P359" s="123">
        <v>59685.190708203656</v>
      </c>
      <c r="Q359" s="120">
        <v>15382.580351471779</v>
      </c>
      <c r="R359" s="123">
        <v>65477.082271975829</v>
      </c>
      <c r="S359" s="123">
        <v>75067.771059675433</v>
      </c>
      <c r="U359" s="7" t="s">
        <v>7584</v>
      </c>
    </row>
    <row r="360" spans="1:21" ht="16.5" thickBot="1">
      <c r="A360" s="259" t="s">
        <v>10</v>
      </c>
      <c r="B360" s="263">
        <f t="shared" si="21"/>
        <v>150</v>
      </c>
      <c r="C360" s="263" t="s">
        <v>3</v>
      </c>
      <c r="D360" s="263">
        <f t="shared" si="22"/>
        <v>400</v>
      </c>
      <c r="E360" s="263" t="s">
        <v>3</v>
      </c>
      <c r="F360" s="261">
        <f t="shared" si="23"/>
        <v>1050</v>
      </c>
      <c r="G360" s="263" t="s">
        <v>3</v>
      </c>
      <c r="H360" s="260">
        <v>8</v>
      </c>
      <c r="I360" s="262" t="s">
        <v>583</v>
      </c>
      <c r="J360" s="112">
        <v>150</v>
      </c>
      <c r="K360" s="75">
        <v>400</v>
      </c>
      <c r="L360" s="75">
        <v>1050</v>
      </c>
      <c r="M360" s="338">
        <v>24.596798402333476</v>
      </c>
      <c r="N360" s="87">
        <v>5566.6010399999996</v>
      </c>
      <c r="O360" s="123">
        <v>52642.694532609406</v>
      </c>
      <c r="P360" s="123">
        <v>62617.235154481554</v>
      </c>
      <c r="Q360" s="120">
        <v>16215.553826255029</v>
      </c>
      <c r="R360" s="123">
        <v>68858.248358864439</v>
      </c>
      <c r="S360" s="123">
        <v>78832.788980736586</v>
      </c>
      <c r="U360" s="7" t="s">
        <v>7585</v>
      </c>
    </row>
    <row r="361" spans="1:21" ht="16.5" thickBot="1">
      <c r="A361" s="259" t="s">
        <v>10</v>
      </c>
      <c r="B361" s="260">
        <f t="shared" si="21"/>
        <v>150</v>
      </c>
      <c r="C361" s="260" t="s">
        <v>3</v>
      </c>
      <c r="D361" s="260">
        <f t="shared" si="22"/>
        <v>400</v>
      </c>
      <c r="E361" s="260" t="s">
        <v>3</v>
      </c>
      <c r="F361" s="261">
        <f t="shared" si="23"/>
        <v>1100</v>
      </c>
      <c r="G361" s="260" t="s">
        <v>3</v>
      </c>
      <c r="H361" s="260">
        <v>8</v>
      </c>
      <c r="I361" s="262" t="s">
        <v>583</v>
      </c>
      <c r="J361" s="112">
        <v>150</v>
      </c>
      <c r="K361" s="75">
        <v>400</v>
      </c>
      <c r="L361" s="75">
        <v>1100</v>
      </c>
      <c r="M361" s="338">
        <v>25.571696095236792</v>
      </c>
      <c r="N361" s="87">
        <v>5964.2153999999991</v>
      </c>
      <c r="O361" s="123">
        <v>54961.985945677305</v>
      </c>
      <c r="P361" s="123">
        <v>65314.834557047187</v>
      </c>
      <c r="Q361" s="120">
        <v>16817.945663648366</v>
      </c>
      <c r="R361" s="123">
        <v>71779.931609325664</v>
      </c>
      <c r="S361" s="123">
        <v>82132.780220695553</v>
      </c>
      <c r="U361" s="7" t="s">
        <v>7586</v>
      </c>
    </row>
    <row r="362" spans="1:21" ht="16.5" thickBot="1">
      <c r="A362" s="259" t="s">
        <v>10</v>
      </c>
      <c r="B362" s="263">
        <f t="shared" si="21"/>
        <v>150</v>
      </c>
      <c r="C362" s="263" t="s">
        <v>3</v>
      </c>
      <c r="D362" s="263">
        <f t="shared" si="22"/>
        <v>400</v>
      </c>
      <c r="E362" s="263" t="s">
        <v>3</v>
      </c>
      <c r="F362" s="261">
        <f t="shared" si="23"/>
        <v>1150</v>
      </c>
      <c r="G362" s="263" t="s">
        <v>3</v>
      </c>
      <c r="H362" s="260">
        <v>8</v>
      </c>
      <c r="I362" s="262" t="s">
        <v>583</v>
      </c>
      <c r="J362" s="112">
        <v>150</v>
      </c>
      <c r="K362" s="75">
        <v>400</v>
      </c>
      <c r="L362" s="75">
        <v>1150</v>
      </c>
      <c r="M362" s="338">
        <v>26.546593788140108</v>
      </c>
      <c r="N362" s="87">
        <v>6361.8297599999996</v>
      </c>
      <c r="O362" s="123">
        <v>56508.590134575941</v>
      </c>
      <c r="P362" s="123">
        <v>67219.607966037787</v>
      </c>
      <c r="Q362" s="120">
        <v>17420.33736064834</v>
      </c>
      <c r="R362" s="123">
        <v>73928.927495224285</v>
      </c>
      <c r="S362" s="123">
        <v>84639.945326686124</v>
      </c>
      <c r="U362" s="7" t="s">
        <v>7587</v>
      </c>
    </row>
    <row r="363" spans="1:21" ht="16.5" thickBot="1">
      <c r="A363" s="259" t="s">
        <v>10</v>
      </c>
      <c r="B363" s="263">
        <f t="shared" si="21"/>
        <v>150</v>
      </c>
      <c r="C363" s="263" t="s">
        <v>3</v>
      </c>
      <c r="D363" s="263">
        <f t="shared" si="22"/>
        <v>400</v>
      </c>
      <c r="E363" s="263" t="s">
        <v>3</v>
      </c>
      <c r="F363" s="261">
        <f t="shared" si="23"/>
        <v>1200</v>
      </c>
      <c r="G363" s="263" t="s">
        <v>3</v>
      </c>
      <c r="H363" s="260">
        <v>8</v>
      </c>
      <c r="I363" s="262" t="s">
        <v>583</v>
      </c>
      <c r="J363" s="112">
        <v>150</v>
      </c>
      <c r="K363" s="75">
        <v>400</v>
      </c>
      <c r="L363" s="75">
        <v>1200</v>
      </c>
      <c r="M363" s="338">
        <v>27.71293548104342</v>
      </c>
      <c r="N363" s="87">
        <v>6759.4441199999992</v>
      </c>
      <c r="O363" s="123">
        <v>58169.778458140296</v>
      </c>
      <c r="P363" s="123">
        <v>69240.742292991607</v>
      </c>
      <c r="Q363" s="120">
        <v>18253.310975824952</v>
      </c>
      <c r="R363" s="123">
        <v>76423.089433965244</v>
      </c>
      <c r="S363" s="123">
        <v>87494.053268816555</v>
      </c>
      <c r="U363" s="7" t="s">
        <v>7588</v>
      </c>
    </row>
    <row r="364" spans="1:21" ht="16.5" thickBot="1">
      <c r="A364" s="259" t="s">
        <v>10</v>
      </c>
      <c r="B364" s="263">
        <f t="shared" si="21"/>
        <v>150</v>
      </c>
      <c r="C364" s="263" t="s">
        <v>3</v>
      </c>
      <c r="D364" s="263">
        <f t="shared" si="22"/>
        <v>400</v>
      </c>
      <c r="E364" s="263" t="s">
        <v>3</v>
      </c>
      <c r="F364" s="261">
        <f t="shared" si="23"/>
        <v>1250</v>
      </c>
      <c r="G364" s="263" t="s">
        <v>3</v>
      </c>
      <c r="H364" s="260">
        <v>8</v>
      </c>
      <c r="I364" s="262" t="s">
        <v>583</v>
      </c>
      <c r="J364" s="112">
        <v>150</v>
      </c>
      <c r="K364" s="75">
        <v>400</v>
      </c>
      <c r="L364" s="75">
        <v>1250</v>
      </c>
      <c r="M364" s="338">
        <v>29.636033173946736</v>
      </c>
      <c r="N364" s="87">
        <v>7157.0584799999997</v>
      </c>
      <c r="O364" s="123">
        <v>59711.730874424975</v>
      </c>
      <c r="P364" s="123">
        <v>71139.959212077374</v>
      </c>
      <c r="Q364" s="120">
        <v>18855.702672824929</v>
      </c>
      <c r="R364" s="123">
        <v>78567.433547249908</v>
      </c>
      <c r="S364" s="123">
        <v>89995.661884902307</v>
      </c>
      <c r="U364" s="7" t="s">
        <v>7589</v>
      </c>
    </row>
    <row r="365" spans="1:21" ht="16.5" thickBot="1">
      <c r="A365" s="259" t="s">
        <v>10</v>
      </c>
      <c r="B365" s="263">
        <f t="shared" si="21"/>
        <v>150</v>
      </c>
      <c r="C365" s="263" t="s">
        <v>3</v>
      </c>
      <c r="D365" s="263">
        <f t="shared" si="22"/>
        <v>400</v>
      </c>
      <c r="E365" s="263" t="s">
        <v>3</v>
      </c>
      <c r="F365" s="261">
        <f t="shared" si="23"/>
        <v>1300</v>
      </c>
      <c r="G365" s="263" t="s">
        <v>3</v>
      </c>
      <c r="H365" s="260">
        <v>8</v>
      </c>
      <c r="I365" s="262" t="s">
        <v>583</v>
      </c>
      <c r="J365" s="112">
        <v>150</v>
      </c>
      <c r="K365" s="75">
        <v>400</v>
      </c>
      <c r="L365" s="75">
        <v>1300</v>
      </c>
      <c r="M365" s="338">
        <v>30.629674866850053</v>
      </c>
      <c r="N365" s="87">
        <v>7554.6728399999993</v>
      </c>
      <c r="O365" s="123">
        <v>63748.811016450149</v>
      </c>
      <c r="P365" s="123">
        <v>75597.700862215876</v>
      </c>
      <c r="Q365" s="120">
        <v>19688.676288001541</v>
      </c>
      <c r="R365" s="123">
        <v>83437.487304451686</v>
      </c>
      <c r="S365" s="123">
        <v>95286.37715021742</v>
      </c>
      <c r="U365" s="7" t="s">
        <v>7590</v>
      </c>
    </row>
    <row r="366" spans="1:21" ht="16.5" thickBot="1">
      <c r="A366" s="259" t="s">
        <v>10</v>
      </c>
      <c r="B366" s="263">
        <f t="shared" si="21"/>
        <v>150</v>
      </c>
      <c r="C366" s="263" t="s">
        <v>3</v>
      </c>
      <c r="D366" s="263">
        <f t="shared" si="22"/>
        <v>400</v>
      </c>
      <c r="E366" s="263" t="s">
        <v>3</v>
      </c>
      <c r="F366" s="261">
        <f t="shared" si="23"/>
        <v>1350</v>
      </c>
      <c r="G366" s="263" t="s">
        <v>3</v>
      </c>
      <c r="H366" s="260">
        <v>8</v>
      </c>
      <c r="I366" s="262" t="s">
        <v>583</v>
      </c>
      <c r="J366" s="112">
        <v>150</v>
      </c>
      <c r="K366" s="75">
        <v>400</v>
      </c>
      <c r="L366" s="75">
        <v>1350</v>
      </c>
      <c r="M366" s="338">
        <v>31.604572559753368</v>
      </c>
      <c r="N366" s="87">
        <v>7952.2871999999998</v>
      </c>
      <c r="O366" s="123">
        <v>65559.18685850536</v>
      </c>
      <c r="P366" s="123">
        <v>77774.557656470031</v>
      </c>
      <c r="Q366" s="120">
        <v>20291.067985001515</v>
      </c>
      <c r="R366" s="123">
        <v>85850.254843506875</v>
      </c>
      <c r="S366" s="123">
        <v>98065.625641471546</v>
      </c>
      <c r="U366" s="7" t="s">
        <v>7591</v>
      </c>
    </row>
    <row r="367" spans="1:21" ht="16.5" thickBot="1">
      <c r="A367" s="259" t="s">
        <v>10</v>
      </c>
      <c r="B367" s="263">
        <f t="shared" si="21"/>
        <v>150</v>
      </c>
      <c r="C367" s="263" t="s">
        <v>3</v>
      </c>
      <c r="D367" s="263">
        <f t="shared" si="22"/>
        <v>400</v>
      </c>
      <c r="E367" s="263" t="s">
        <v>3</v>
      </c>
      <c r="F367" s="261">
        <f t="shared" si="23"/>
        <v>1400</v>
      </c>
      <c r="G367" s="263" t="s">
        <v>3</v>
      </c>
      <c r="H367" s="260">
        <v>8</v>
      </c>
      <c r="I367" s="262" t="s">
        <v>583</v>
      </c>
      <c r="J367" s="112">
        <v>150</v>
      </c>
      <c r="K367" s="75">
        <v>400</v>
      </c>
      <c r="L367" s="75">
        <v>1400</v>
      </c>
      <c r="M367" s="338">
        <v>32.598214252656689</v>
      </c>
      <c r="N367" s="87">
        <v>8349.9015600000002</v>
      </c>
      <c r="O367" s="123">
        <v>67700.257181087887</v>
      </c>
      <c r="P367" s="123">
        <v>80290.186943508248</v>
      </c>
      <c r="Q367" s="120">
        <v>21124.04160017813</v>
      </c>
      <c r="R367" s="123">
        <v>88824.298781266014</v>
      </c>
      <c r="S367" s="123">
        <v>101414.22854368637</v>
      </c>
      <c r="U367" s="7" t="s">
        <v>7592</v>
      </c>
    </row>
    <row r="368" spans="1:21" ht="16.5" thickBot="1">
      <c r="A368" s="259" t="s">
        <v>10</v>
      </c>
      <c r="B368" s="263">
        <f t="shared" si="21"/>
        <v>150</v>
      </c>
      <c r="C368" s="263" t="s">
        <v>3</v>
      </c>
      <c r="D368" s="263">
        <f t="shared" si="22"/>
        <v>400</v>
      </c>
      <c r="E368" s="263" t="s">
        <v>3</v>
      </c>
      <c r="F368" s="261">
        <f t="shared" si="23"/>
        <v>1450</v>
      </c>
      <c r="G368" s="263" t="s">
        <v>3</v>
      </c>
      <c r="H368" s="260">
        <v>8</v>
      </c>
      <c r="I368" s="262" t="s">
        <v>583</v>
      </c>
      <c r="J368" s="112">
        <v>150</v>
      </c>
      <c r="K368" s="75">
        <v>400</v>
      </c>
      <c r="L368" s="75">
        <v>1450</v>
      </c>
      <c r="M368" s="338">
        <v>33.573111945560008</v>
      </c>
      <c r="N368" s="87">
        <v>8747.5159199999998</v>
      </c>
      <c r="O368" s="123">
        <v>69510.722523911696</v>
      </c>
      <c r="P368" s="123">
        <v>82467.142314961879</v>
      </c>
      <c r="Q368" s="120">
        <v>21726.433297178104</v>
      </c>
      <c r="R368" s="123">
        <v>91237.155821089807</v>
      </c>
      <c r="S368" s="123">
        <v>104193.57561213998</v>
      </c>
      <c r="U368" s="7" t="s">
        <v>7593</v>
      </c>
    </row>
    <row r="369" spans="1:21" ht="16.5" thickBot="1">
      <c r="A369" s="259" t="s">
        <v>10</v>
      </c>
      <c r="B369" s="263">
        <f t="shared" si="21"/>
        <v>150</v>
      </c>
      <c r="C369" s="263" t="s">
        <v>3</v>
      </c>
      <c r="D369" s="263">
        <f t="shared" si="22"/>
        <v>400</v>
      </c>
      <c r="E369" s="263" t="s">
        <v>3</v>
      </c>
      <c r="F369" s="261">
        <f t="shared" si="23"/>
        <v>1500</v>
      </c>
      <c r="G369" s="263" t="s">
        <v>3</v>
      </c>
      <c r="H369" s="260">
        <v>8</v>
      </c>
      <c r="I369" s="262" t="s">
        <v>583</v>
      </c>
      <c r="J369" s="112">
        <v>150</v>
      </c>
      <c r="K369" s="75">
        <v>400</v>
      </c>
      <c r="L369" s="75">
        <v>1500</v>
      </c>
      <c r="M369" s="338">
        <v>34.52893706181932</v>
      </c>
      <c r="N369" s="87">
        <v>9145.1302799999994</v>
      </c>
      <c r="O369" s="123">
        <v>71959.009366069673</v>
      </c>
      <c r="P369" s="123">
        <v>85512.827601326222</v>
      </c>
      <c r="Q369" s="120">
        <v>22559.406912354716</v>
      </c>
      <c r="R369" s="123">
        <v>94518.416278424382</v>
      </c>
      <c r="S369" s="123">
        <v>108072.23451368095</v>
      </c>
      <c r="U369" s="7" t="s">
        <v>7594</v>
      </c>
    </row>
    <row r="370" spans="1:21" ht="16.5" thickBot="1">
      <c r="A370" s="259" t="s">
        <v>10</v>
      </c>
      <c r="B370" s="263">
        <f t="shared" si="21"/>
        <v>150</v>
      </c>
      <c r="C370" s="263" t="s">
        <v>3</v>
      </c>
      <c r="D370" s="263">
        <f t="shared" si="22"/>
        <v>400</v>
      </c>
      <c r="E370" s="263" t="s">
        <v>3</v>
      </c>
      <c r="F370" s="261">
        <f t="shared" si="23"/>
        <v>1550</v>
      </c>
      <c r="G370" s="263" t="s">
        <v>3</v>
      </c>
      <c r="H370" s="260">
        <v>8</v>
      </c>
      <c r="I370" s="262" t="s">
        <v>583</v>
      </c>
      <c r="J370" s="112">
        <v>150</v>
      </c>
      <c r="K370" s="75">
        <v>400</v>
      </c>
      <c r="L370" s="75">
        <v>1550</v>
      </c>
      <c r="M370" s="338">
        <v>35.503834754722639</v>
      </c>
      <c r="N370" s="87">
        <v>9542.744639999999</v>
      </c>
      <c r="O370" s="123">
        <v>73769.457524745914</v>
      </c>
      <c r="P370" s="123">
        <v>87689.753203771266</v>
      </c>
      <c r="Q370" s="120">
        <v>23161.79860935469</v>
      </c>
      <c r="R370" s="123">
        <v>96931.256134100608</v>
      </c>
      <c r="S370" s="123">
        <v>110851.55181312596</v>
      </c>
      <c r="U370" s="7" t="s">
        <v>7595</v>
      </c>
    </row>
    <row r="371" spans="1:21" ht="16.5" thickBot="1">
      <c r="A371" s="259" t="s">
        <v>10</v>
      </c>
      <c r="B371" s="260">
        <f t="shared" si="21"/>
        <v>150</v>
      </c>
      <c r="C371" s="260" t="s">
        <v>3</v>
      </c>
      <c r="D371" s="260">
        <f t="shared" si="22"/>
        <v>400</v>
      </c>
      <c r="E371" s="260" t="s">
        <v>3</v>
      </c>
      <c r="F371" s="261">
        <f t="shared" si="23"/>
        <v>1600</v>
      </c>
      <c r="G371" s="260" t="s">
        <v>3</v>
      </c>
      <c r="H371" s="260">
        <v>8</v>
      </c>
      <c r="I371" s="262" t="s">
        <v>583</v>
      </c>
      <c r="J371" s="112">
        <v>150</v>
      </c>
      <c r="K371" s="75">
        <v>400</v>
      </c>
      <c r="L371" s="75">
        <v>1600</v>
      </c>
      <c r="M371" s="338">
        <v>36.478732447625944</v>
      </c>
      <c r="N371" s="87">
        <v>9940.3589999999986</v>
      </c>
      <c r="O371" s="123">
        <v>77547.760633839585</v>
      </c>
      <c r="P371" s="123">
        <v>91882.584494056951</v>
      </c>
      <c r="Q371" s="120">
        <v>23764.190446748027</v>
      </c>
      <c r="R371" s="123">
        <v>101311.95108058761</v>
      </c>
      <c r="S371" s="123">
        <v>115646.77494080499</v>
      </c>
      <c r="U371" s="7" t="s">
        <v>7596</v>
      </c>
    </row>
    <row r="372" spans="1:21" ht="16.5" thickBot="1">
      <c r="A372" s="259" t="s">
        <v>10</v>
      </c>
      <c r="B372" s="263">
        <f t="shared" si="21"/>
        <v>150</v>
      </c>
      <c r="C372" s="263" t="s">
        <v>3</v>
      </c>
      <c r="D372" s="263">
        <f t="shared" si="22"/>
        <v>400</v>
      </c>
      <c r="E372" s="263" t="s">
        <v>3</v>
      </c>
      <c r="F372" s="261">
        <f t="shared" si="23"/>
        <v>1650</v>
      </c>
      <c r="G372" s="263" t="s">
        <v>3</v>
      </c>
      <c r="H372" s="260">
        <v>8</v>
      </c>
      <c r="I372" s="262" t="s">
        <v>583</v>
      </c>
      <c r="J372" s="112">
        <v>150</v>
      </c>
      <c r="K372" s="75">
        <v>400</v>
      </c>
      <c r="L372" s="75">
        <v>1650</v>
      </c>
      <c r="M372" s="338">
        <v>37.472374140529269</v>
      </c>
      <c r="N372" s="87">
        <v>10337.97336</v>
      </c>
      <c r="O372" s="123">
        <v>81580.758944145098</v>
      </c>
      <c r="P372" s="123">
        <v>96336.332788372834</v>
      </c>
      <c r="Q372" s="120">
        <v>24597.164061924639</v>
      </c>
      <c r="R372" s="123">
        <v>106177.92300606973</v>
      </c>
      <c r="S372" s="123">
        <v>120933.49685029747</v>
      </c>
      <c r="U372" s="7" t="s">
        <v>7597</v>
      </c>
    </row>
    <row r="373" spans="1:21" ht="16.5" thickBot="1">
      <c r="A373" s="259" t="s">
        <v>10</v>
      </c>
      <c r="B373" s="263">
        <f t="shared" si="21"/>
        <v>150</v>
      </c>
      <c r="C373" s="263" t="s">
        <v>3</v>
      </c>
      <c r="D373" s="263">
        <f t="shared" si="22"/>
        <v>400</v>
      </c>
      <c r="E373" s="263" t="s">
        <v>3</v>
      </c>
      <c r="F373" s="261">
        <f t="shared" si="23"/>
        <v>1700</v>
      </c>
      <c r="G373" s="263" t="s">
        <v>3</v>
      </c>
      <c r="H373" s="260">
        <v>8</v>
      </c>
      <c r="I373" s="262" t="s">
        <v>583</v>
      </c>
      <c r="J373" s="112">
        <v>150</v>
      </c>
      <c r="K373" s="75">
        <v>400</v>
      </c>
      <c r="L373" s="75">
        <v>1700</v>
      </c>
      <c r="M373" s="338">
        <v>39.39547183343258</v>
      </c>
      <c r="N373" s="87">
        <v>10735.587720000001</v>
      </c>
      <c r="O373" s="123">
        <v>83179.201978213343</v>
      </c>
      <c r="P373" s="123">
        <v>98295.402910534292</v>
      </c>
      <c r="Q373" s="120">
        <v>25199.55575892462</v>
      </c>
      <c r="R373" s="123">
        <v>108378.75773713796</v>
      </c>
      <c r="S373" s="123">
        <v>123494.95866945891</v>
      </c>
      <c r="U373" s="7" t="s">
        <v>7598</v>
      </c>
    </row>
    <row r="374" spans="1:21" ht="16.5" thickBot="1">
      <c r="A374" s="259" t="s">
        <v>10</v>
      </c>
      <c r="B374" s="263">
        <f t="shared" si="21"/>
        <v>150</v>
      </c>
      <c r="C374" s="263" t="s">
        <v>3</v>
      </c>
      <c r="D374" s="263">
        <f t="shared" si="22"/>
        <v>400</v>
      </c>
      <c r="E374" s="263" t="s">
        <v>3</v>
      </c>
      <c r="F374" s="261">
        <f t="shared" si="23"/>
        <v>1750</v>
      </c>
      <c r="G374" s="263" t="s">
        <v>3</v>
      </c>
      <c r="H374" s="260">
        <v>8</v>
      </c>
      <c r="I374" s="262" t="s">
        <v>583</v>
      </c>
      <c r="J374" s="112">
        <v>150</v>
      </c>
      <c r="K374" s="75">
        <v>400</v>
      </c>
      <c r="L374" s="75">
        <v>1750</v>
      </c>
      <c r="M374" s="338">
        <v>40.38911352633589</v>
      </c>
      <c r="N374" s="87">
        <v>11133.202079999999</v>
      </c>
      <c r="O374" s="123">
        <v>84700.940824912672</v>
      </c>
      <c r="P374" s="123">
        <v>100175.918102806</v>
      </c>
      <c r="Q374" s="120">
        <v>26032.529374101232</v>
      </c>
      <c r="R374" s="123">
        <v>110733.4701990139</v>
      </c>
      <c r="S374" s="123">
        <v>126208.44747690723</v>
      </c>
      <c r="U374" s="7" t="s">
        <v>7599</v>
      </c>
    </row>
    <row r="375" spans="1:21" ht="16.5" thickBot="1">
      <c r="A375" s="259" t="s">
        <v>10</v>
      </c>
      <c r="B375" s="263">
        <f t="shared" si="21"/>
        <v>150</v>
      </c>
      <c r="C375" s="263" t="s">
        <v>3</v>
      </c>
      <c r="D375" s="263">
        <f t="shared" si="22"/>
        <v>400</v>
      </c>
      <c r="E375" s="263" t="s">
        <v>3</v>
      </c>
      <c r="F375" s="261">
        <f t="shared" si="23"/>
        <v>1800</v>
      </c>
      <c r="G375" s="263" t="s">
        <v>3</v>
      </c>
      <c r="H375" s="260">
        <v>8</v>
      </c>
      <c r="I375" s="262" t="s">
        <v>583</v>
      </c>
      <c r="J375" s="112">
        <v>150</v>
      </c>
      <c r="K375" s="75">
        <v>400</v>
      </c>
      <c r="L375" s="75">
        <v>1800</v>
      </c>
      <c r="M375" s="338">
        <v>41.36401121923921</v>
      </c>
      <c r="N375" s="87">
        <v>11530.816439999999</v>
      </c>
      <c r="O375" s="123">
        <v>86300.615747559859</v>
      </c>
      <c r="P375" s="123">
        <v>102136.29244701461</v>
      </c>
      <c r="Q375" s="120">
        <v>26634.921071101206</v>
      </c>
      <c r="R375" s="123">
        <v>112935.53681866106</v>
      </c>
      <c r="S375" s="123">
        <v>128771.21351811581</v>
      </c>
      <c r="U375" s="7" t="s">
        <v>7600</v>
      </c>
    </row>
    <row r="376" spans="1:21" ht="16.5" thickBot="1">
      <c r="A376" s="259" t="s">
        <v>10</v>
      </c>
      <c r="B376" s="263">
        <f t="shared" si="21"/>
        <v>150</v>
      </c>
      <c r="C376" s="263" t="s">
        <v>3</v>
      </c>
      <c r="D376" s="263">
        <f t="shared" si="22"/>
        <v>400</v>
      </c>
      <c r="E376" s="263" t="s">
        <v>3</v>
      </c>
      <c r="F376" s="261">
        <f t="shared" si="23"/>
        <v>1850</v>
      </c>
      <c r="G376" s="263" t="s">
        <v>3</v>
      </c>
      <c r="H376" s="260">
        <v>8</v>
      </c>
      <c r="I376" s="262" t="s">
        <v>583</v>
      </c>
      <c r="J376" s="112">
        <v>150</v>
      </c>
      <c r="K376" s="75">
        <v>400</v>
      </c>
      <c r="L376" s="75">
        <v>1850</v>
      </c>
      <c r="M376" s="338">
        <v>42.357652912142534</v>
      </c>
      <c r="N376" s="87">
        <v>11928.430799999998</v>
      </c>
      <c r="O376" s="123">
        <v>87900.467762394488</v>
      </c>
      <c r="P376" s="123">
        <v>104096.86655693871</v>
      </c>
      <c r="Q376" s="120">
        <v>27467.894686277818</v>
      </c>
      <c r="R376" s="123">
        <v>115368.3624486723</v>
      </c>
      <c r="S376" s="123">
        <v>131564.76124321652</v>
      </c>
      <c r="U376" s="7" t="s">
        <v>7601</v>
      </c>
    </row>
    <row r="377" spans="1:21" ht="16.5" thickBot="1">
      <c r="A377" s="259" t="s">
        <v>10</v>
      </c>
      <c r="B377" s="263">
        <f t="shared" si="21"/>
        <v>150</v>
      </c>
      <c r="C377" s="263" t="s">
        <v>3</v>
      </c>
      <c r="D377" s="263">
        <f t="shared" si="22"/>
        <v>400</v>
      </c>
      <c r="E377" s="263" t="s">
        <v>3</v>
      </c>
      <c r="F377" s="261">
        <f t="shared" si="23"/>
        <v>1900</v>
      </c>
      <c r="G377" s="263" t="s">
        <v>3</v>
      </c>
      <c r="H377" s="260">
        <v>8</v>
      </c>
      <c r="I377" s="262" t="s">
        <v>583</v>
      </c>
      <c r="J377" s="112">
        <v>150</v>
      </c>
      <c r="K377" s="75">
        <v>400</v>
      </c>
      <c r="L377" s="75">
        <v>1900</v>
      </c>
      <c r="M377" s="338">
        <v>43.332550605045846</v>
      </c>
      <c r="N377" s="87">
        <v>12326.04516</v>
      </c>
      <c r="O377" s="123">
        <v>89677.401463263115</v>
      </c>
      <c r="P377" s="123">
        <v>106238.86279761381</v>
      </c>
      <c r="Q377" s="120">
        <v>28070.286383277791</v>
      </c>
      <c r="R377" s="123">
        <v>117747.68784654091</v>
      </c>
      <c r="S377" s="123">
        <v>134309.1491808916</v>
      </c>
      <c r="U377" s="7" t="s">
        <v>7602</v>
      </c>
    </row>
    <row r="378" spans="1:21" ht="16.5" thickBot="1">
      <c r="A378" s="259" t="s">
        <v>10</v>
      </c>
      <c r="B378" s="263">
        <f t="shared" si="21"/>
        <v>150</v>
      </c>
      <c r="C378" s="263" t="s">
        <v>3</v>
      </c>
      <c r="D378" s="263">
        <f t="shared" si="22"/>
        <v>400</v>
      </c>
      <c r="E378" s="263" t="s">
        <v>3</v>
      </c>
      <c r="F378" s="261">
        <f t="shared" si="23"/>
        <v>1950</v>
      </c>
      <c r="G378" s="263" t="s">
        <v>3</v>
      </c>
      <c r="H378" s="260">
        <v>8</v>
      </c>
      <c r="I378" s="262" t="s">
        <v>583</v>
      </c>
      <c r="J378" s="112">
        <v>150</v>
      </c>
      <c r="K378" s="75">
        <v>400</v>
      </c>
      <c r="L378" s="75">
        <v>1950</v>
      </c>
      <c r="M378" s="338">
        <v>44.480148297949157</v>
      </c>
      <c r="N378" s="87">
        <v>12723.659519999999</v>
      </c>
      <c r="O378" s="123">
        <v>91700.055944275126</v>
      </c>
      <c r="P378" s="123">
        <v>108632.59504505315</v>
      </c>
      <c r="Q378" s="120">
        <v>28672.678220671129</v>
      </c>
      <c r="R378" s="123">
        <v>120372.73416494625</v>
      </c>
      <c r="S378" s="123">
        <v>137305.27326572427</v>
      </c>
      <c r="U378" s="7" t="s">
        <v>7603</v>
      </c>
    </row>
    <row r="379" spans="1:21" ht="16.5" thickBot="1">
      <c r="A379" s="259" t="s">
        <v>10</v>
      </c>
      <c r="B379" s="263">
        <f t="shared" si="21"/>
        <v>150</v>
      </c>
      <c r="C379" s="263" t="s">
        <v>3</v>
      </c>
      <c r="D379" s="263">
        <f t="shared" si="22"/>
        <v>400</v>
      </c>
      <c r="E379" s="263" t="s">
        <v>3</v>
      </c>
      <c r="F379" s="261">
        <f t="shared" si="23"/>
        <v>2000</v>
      </c>
      <c r="G379" s="263" t="s">
        <v>3</v>
      </c>
      <c r="H379" s="260">
        <v>8</v>
      </c>
      <c r="I379" s="262" t="s">
        <v>583</v>
      </c>
      <c r="J379" s="112">
        <v>150</v>
      </c>
      <c r="K379" s="75">
        <v>400</v>
      </c>
      <c r="L379" s="75">
        <v>2000</v>
      </c>
      <c r="M379" s="338">
        <v>45.574508630852478</v>
      </c>
      <c r="N379" s="87">
        <v>13121.273879999997</v>
      </c>
      <c r="O379" s="123">
        <v>93514.836059485664</v>
      </c>
      <c r="P379" s="123">
        <v>111024.65631103696</v>
      </c>
      <c r="Q379" s="120">
        <v>29505.651695454384</v>
      </c>
      <c r="R379" s="123">
        <v>123020.48775494006</v>
      </c>
      <c r="S379" s="123">
        <v>140530.30800649134</v>
      </c>
      <c r="U379" s="7" t="s">
        <v>7604</v>
      </c>
    </row>
    <row r="380" spans="1:21" ht="16.5" thickBot="1">
      <c r="A380" s="259" t="s">
        <v>10</v>
      </c>
      <c r="B380" s="263">
        <f t="shared" si="21"/>
        <v>150</v>
      </c>
      <c r="C380" s="263" t="s">
        <v>3</v>
      </c>
      <c r="D380" s="263">
        <f t="shared" si="22"/>
        <v>400</v>
      </c>
      <c r="E380" s="263" t="s">
        <v>3</v>
      </c>
      <c r="F380" s="261">
        <f t="shared" si="23"/>
        <v>2050</v>
      </c>
      <c r="G380" s="263" t="s">
        <v>3</v>
      </c>
      <c r="H380" s="260">
        <v>8</v>
      </c>
      <c r="I380" s="262" t="s">
        <v>583</v>
      </c>
      <c r="J380" s="112">
        <v>150</v>
      </c>
      <c r="K380" s="75">
        <v>400</v>
      </c>
      <c r="L380" s="75">
        <v>2050</v>
      </c>
      <c r="M380" s="338">
        <v>47.497606323755782</v>
      </c>
      <c r="N380" s="87">
        <v>13518.888239999998</v>
      </c>
      <c r="O380" s="123">
        <v>97295.352940256911</v>
      </c>
      <c r="P380" s="123">
        <v>115221.46881452334</v>
      </c>
      <c r="Q380" s="120">
        <v>30108.043532847722</v>
      </c>
      <c r="R380" s="123">
        <v>127403.39647310463</v>
      </c>
      <c r="S380" s="123">
        <v>145329.51234737106</v>
      </c>
      <c r="U380" s="7" t="s">
        <v>7605</v>
      </c>
    </row>
    <row r="381" spans="1:21" ht="16.5" thickBot="1">
      <c r="A381" s="259" t="s">
        <v>10</v>
      </c>
      <c r="B381" s="260">
        <f t="shared" si="21"/>
        <v>150</v>
      </c>
      <c r="C381" s="260" t="s">
        <v>3</v>
      </c>
      <c r="D381" s="260">
        <f t="shared" si="22"/>
        <v>400</v>
      </c>
      <c r="E381" s="260" t="s">
        <v>3</v>
      </c>
      <c r="F381" s="261">
        <f t="shared" si="23"/>
        <v>2100</v>
      </c>
      <c r="G381" s="260" t="s">
        <v>3</v>
      </c>
      <c r="H381" s="260">
        <v>8</v>
      </c>
      <c r="I381" s="262" t="s">
        <v>583</v>
      </c>
      <c r="J381" s="112">
        <v>150</v>
      </c>
      <c r="K381" s="75">
        <v>400</v>
      </c>
      <c r="L381" s="75">
        <v>2100</v>
      </c>
      <c r="M381" s="338">
        <v>48.4912480166591</v>
      </c>
      <c r="N381" s="87">
        <v>13916.502599999998</v>
      </c>
      <c r="O381" s="123">
        <v>98958.287364149219</v>
      </c>
      <c r="P381" s="123">
        <v>117246.71883747964</v>
      </c>
      <c r="Q381" s="120">
        <v>30941.01700763097</v>
      </c>
      <c r="R381" s="123">
        <v>129899.30437178019</v>
      </c>
      <c r="S381" s="123">
        <v>148187.73584511061</v>
      </c>
      <c r="U381" s="7" t="s">
        <v>7606</v>
      </c>
    </row>
    <row r="382" spans="1:21" ht="16.5" thickBot="1">
      <c r="A382" s="259" t="s">
        <v>10</v>
      </c>
      <c r="B382" s="263">
        <f t="shared" si="21"/>
        <v>150</v>
      </c>
      <c r="C382" s="263" t="s">
        <v>3</v>
      </c>
      <c r="D382" s="263">
        <f t="shared" si="22"/>
        <v>400</v>
      </c>
      <c r="E382" s="263" t="s">
        <v>3</v>
      </c>
      <c r="F382" s="261">
        <f t="shared" si="23"/>
        <v>2150</v>
      </c>
      <c r="G382" s="263" t="s">
        <v>3</v>
      </c>
      <c r="H382" s="260">
        <v>8</v>
      </c>
      <c r="I382" s="262" t="s">
        <v>583</v>
      </c>
      <c r="J382" s="112">
        <v>150</v>
      </c>
      <c r="K382" s="75">
        <v>400</v>
      </c>
      <c r="L382" s="75">
        <v>2150</v>
      </c>
      <c r="M382" s="338">
        <v>49.466145709562426</v>
      </c>
      <c r="N382" s="87">
        <v>14314.116959999999</v>
      </c>
      <c r="O382" s="123">
        <v>100770.47159906746</v>
      </c>
      <c r="P382" s="123">
        <v>119424.87502284533</v>
      </c>
      <c r="Q382" s="120">
        <v>31543.408845024307</v>
      </c>
      <c r="R382" s="123">
        <v>132313.88044409177</v>
      </c>
      <c r="S382" s="123">
        <v>150968.28386786964</v>
      </c>
      <c r="U382" s="7" t="s">
        <v>7607</v>
      </c>
    </row>
    <row r="383" spans="1:21" ht="16.5" thickBot="1">
      <c r="A383" s="259" t="s">
        <v>10</v>
      </c>
      <c r="B383" s="263">
        <f t="shared" si="21"/>
        <v>150</v>
      </c>
      <c r="C383" s="263" t="s">
        <v>3</v>
      </c>
      <c r="D383" s="263">
        <f t="shared" si="22"/>
        <v>400</v>
      </c>
      <c r="E383" s="263" t="s">
        <v>3</v>
      </c>
      <c r="F383" s="261">
        <f t="shared" si="23"/>
        <v>2200</v>
      </c>
      <c r="G383" s="263" t="s">
        <v>3</v>
      </c>
      <c r="H383" s="260">
        <v>8</v>
      </c>
      <c r="I383" s="262" t="s">
        <v>583</v>
      </c>
      <c r="J383" s="112">
        <v>150</v>
      </c>
      <c r="K383" s="75">
        <v>400</v>
      </c>
      <c r="L383" s="75">
        <v>2200</v>
      </c>
      <c r="M383" s="338">
        <v>50.459787402465736</v>
      </c>
      <c r="N383" s="87">
        <v>14711.731320000001</v>
      </c>
      <c r="O383" s="123">
        <v>102582.71394981812</v>
      </c>
      <c r="P383" s="123">
        <v>121603.10210545518</v>
      </c>
      <c r="Q383" s="120">
        <v>32376.382319807555</v>
      </c>
      <c r="R383" s="123">
        <v>134959.09626962568</v>
      </c>
      <c r="S383" s="123">
        <v>153979.48442526272</v>
      </c>
      <c r="U383" s="7" t="s">
        <v>7608</v>
      </c>
    </row>
    <row r="384" spans="1:21" ht="16.5" thickBot="1">
      <c r="A384" s="259" t="s">
        <v>10</v>
      </c>
      <c r="B384" s="263">
        <f t="shared" si="21"/>
        <v>150</v>
      </c>
      <c r="C384" s="263" t="s">
        <v>3</v>
      </c>
      <c r="D384" s="263">
        <f t="shared" si="22"/>
        <v>400</v>
      </c>
      <c r="E384" s="263" t="s">
        <v>3</v>
      </c>
      <c r="F384" s="261">
        <f t="shared" si="23"/>
        <v>2250</v>
      </c>
      <c r="G384" s="263" t="s">
        <v>3</v>
      </c>
      <c r="H384" s="260">
        <v>8</v>
      </c>
      <c r="I384" s="262" t="s">
        <v>583</v>
      </c>
      <c r="J384" s="112">
        <v>150</v>
      </c>
      <c r="K384" s="75">
        <v>400</v>
      </c>
      <c r="L384" s="75">
        <v>2250</v>
      </c>
      <c r="M384" s="338">
        <v>51.434685095369055</v>
      </c>
      <c r="N384" s="87">
        <v>15109.345679999999</v>
      </c>
      <c r="O384" s="123">
        <v>104726.27979249775</v>
      </c>
      <c r="P384" s="123">
        <v>124122.11135006015</v>
      </c>
      <c r="Q384" s="120">
        <v>32978.774157200758</v>
      </c>
      <c r="R384" s="123">
        <v>137705.05394969851</v>
      </c>
      <c r="S384" s="123">
        <v>157100.88550726091</v>
      </c>
      <c r="U384" s="7" t="s">
        <v>7609</v>
      </c>
    </row>
    <row r="385" spans="1:21" ht="16.5" thickBot="1">
      <c r="A385" s="259" t="s">
        <v>10</v>
      </c>
      <c r="B385" s="263">
        <f t="shared" si="21"/>
        <v>150</v>
      </c>
      <c r="C385" s="263" t="s">
        <v>3</v>
      </c>
      <c r="D385" s="263">
        <f t="shared" si="22"/>
        <v>400</v>
      </c>
      <c r="E385" s="263" t="s">
        <v>3</v>
      </c>
      <c r="F385" s="261">
        <f t="shared" si="23"/>
        <v>2300</v>
      </c>
      <c r="G385" s="263" t="s">
        <v>3</v>
      </c>
      <c r="H385" s="260">
        <v>8</v>
      </c>
      <c r="I385" s="262" t="s">
        <v>583</v>
      </c>
      <c r="J385" s="112">
        <v>150</v>
      </c>
      <c r="K385" s="75">
        <v>400</v>
      </c>
      <c r="L385" s="75">
        <v>2300</v>
      </c>
      <c r="M385" s="338">
        <v>52.40958278827236</v>
      </c>
      <c r="N385" s="87">
        <v>15506.960039999998</v>
      </c>
      <c r="O385" s="123">
        <v>106301.70883759853</v>
      </c>
      <c r="P385" s="123">
        <v>126059.11101650189</v>
      </c>
      <c r="Q385" s="120">
        <v>33581.165854200874</v>
      </c>
      <c r="R385" s="123">
        <v>139882.8746917994</v>
      </c>
      <c r="S385" s="123">
        <v>159640.27687070277</v>
      </c>
      <c r="U385" s="7" t="s">
        <v>7610</v>
      </c>
    </row>
    <row r="386" spans="1:21" ht="16.5" thickBot="1">
      <c r="A386" s="259" t="s">
        <v>10</v>
      </c>
      <c r="B386" s="263">
        <f t="shared" si="21"/>
        <v>150</v>
      </c>
      <c r="C386" s="263" t="s">
        <v>3</v>
      </c>
      <c r="D386" s="263">
        <f t="shared" si="22"/>
        <v>400</v>
      </c>
      <c r="E386" s="263" t="s">
        <v>3</v>
      </c>
      <c r="F386" s="261">
        <f t="shared" si="23"/>
        <v>2350</v>
      </c>
      <c r="G386" s="263" t="s">
        <v>3</v>
      </c>
      <c r="H386" s="260">
        <v>8</v>
      </c>
      <c r="I386" s="262" t="s">
        <v>583</v>
      </c>
      <c r="J386" s="112">
        <v>150</v>
      </c>
      <c r="K386" s="75">
        <v>400</v>
      </c>
      <c r="L386" s="75">
        <v>2350</v>
      </c>
      <c r="M386" s="338">
        <v>53.403224481175677</v>
      </c>
      <c r="N386" s="87">
        <v>15904.5744</v>
      </c>
      <c r="O386" s="123">
        <v>107876.14036679974</v>
      </c>
      <c r="P386" s="123">
        <v>127994.93415427541</v>
      </c>
      <c r="Q386" s="120">
        <v>34414.139469377486</v>
      </c>
      <c r="R386" s="123">
        <v>142290.27983617721</v>
      </c>
      <c r="S386" s="123">
        <v>162409.07362365289</v>
      </c>
      <c r="U386" s="7" t="s">
        <v>7611</v>
      </c>
    </row>
    <row r="387" spans="1:21" ht="16.5" thickBot="1">
      <c r="A387" s="259" t="s">
        <v>10</v>
      </c>
      <c r="B387" s="263">
        <f t="shared" si="21"/>
        <v>150</v>
      </c>
      <c r="C387" s="263" t="s">
        <v>3</v>
      </c>
      <c r="D387" s="263">
        <f t="shared" si="22"/>
        <v>400</v>
      </c>
      <c r="E387" s="263" t="s">
        <v>3</v>
      </c>
      <c r="F387" s="261">
        <f t="shared" si="23"/>
        <v>2400</v>
      </c>
      <c r="G387" s="263" t="s">
        <v>3</v>
      </c>
      <c r="H387" s="260">
        <v>8</v>
      </c>
      <c r="I387" s="262" t="s">
        <v>583</v>
      </c>
      <c r="J387" s="112">
        <v>150</v>
      </c>
      <c r="K387" s="75">
        <v>400</v>
      </c>
      <c r="L387" s="75">
        <v>2400</v>
      </c>
      <c r="M387" s="338">
        <v>54.378122174079003</v>
      </c>
      <c r="N387" s="87">
        <v>16302.188759999997</v>
      </c>
      <c r="O387" s="123">
        <v>109486.74023059889</v>
      </c>
      <c r="P387" s="123">
        <v>129973.69908693206</v>
      </c>
      <c r="Q387" s="120">
        <v>35016.531306770819</v>
      </c>
      <c r="R387" s="123">
        <v>144503.2715373697</v>
      </c>
      <c r="S387" s="123">
        <v>164990.23039370286</v>
      </c>
      <c r="U387" s="7" t="s">
        <v>7612</v>
      </c>
    </row>
    <row r="388" spans="1:21" ht="16.5" thickBot="1">
      <c r="A388" s="259" t="s">
        <v>10</v>
      </c>
      <c r="B388" s="263">
        <f t="shared" si="21"/>
        <v>150</v>
      </c>
      <c r="C388" s="263" t="s">
        <v>3</v>
      </c>
      <c r="D388" s="263">
        <f t="shared" si="22"/>
        <v>400</v>
      </c>
      <c r="E388" s="263" t="s">
        <v>3</v>
      </c>
      <c r="F388" s="261">
        <f t="shared" si="23"/>
        <v>2450</v>
      </c>
      <c r="G388" s="263" t="s">
        <v>3</v>
      </c>
      <c r="H388" s="260">
        <v>8</v>
      </c>
      <c r="I388" s="262" t="s">
        <v>583</v>
      </c>
      <c r="J388" s="112">
        <v>150</v>
      </c>
      <c r="K388" s="75">
        <v>400</v>
      </c>
      <c r="L388" s="75">
        <v>2450</v>
      </c>
      <c r="M388" s="338">
        <v>56.282147290338308</v>
      </c>
      <c r="N388" s="87">
        <v>16699.80312</v>
      </c>
      <c r="O388" s="123">
        <v>111657.58901023923</v>
      </c>
      <c r="P388" s="123">
        <v>132729.02816996101</v>
      </c>
      <c r="Q388" s="120">
        <v>35849.504781554067</v>
      </c>
      <c r="R388" s="123">
        <v>147507.0937917933</v>
      </c>
      <c r="S388" s="123">
        <v>168578.53295151508</v>
      </c>
      <c r="U388" s="7" t="s">
        <v>7613</v>
      </c>
    </row>
    <row r="389" spans="1:21" ht="16.5" thickBot="1">
      <c r="A389" s="259" t="s">
        <v>10</v>
      </c>
      <c r="B389" s="263">
        <f t="shared" si="21"/>
        <v>150</v>
      </c>
      <c r="C389" s="263" t="s">
        <v>3</v>
      </c>
      <c r="D389" s="263">
        <f t="shared" si="22"/>
        <v>400</v>
      </c>
      <c r="E389" s="263" t="s">
        <v>3</v>
      </c>
      <c r="F389" s="261">
        <f t="shared" si="23"/>
        <v>2500</v>
      </c>
      <c r="G389" s="263" t="s">
        <v>3</v>
      </c>
      <c r="H389" s="260">
        <v>8</v>
      </c>
      <c r="I389" s="262" t="s">
        <v>583</v>
      </c>
      <c r="J389" s="112">
        <v>150</v>
      </c>
      <c r="K389" s="75">
        <v>400</v>
      </c>
      <c r="L389" s="75">
        <v>2500</v>
      </c>
      <c r="M389" s="338">
        <v>57.257044983241627</v>
      </c>
      <c r="N389" s="87">
        <v>17097.417479999996</v>
      </c>
      <c r="O389" s="123">
        <v>113256.10507693466</v>
      </c>
      <c r="P389" s="123">
        <v>134693.5323112816</v>
      </c>
      <c r="Q389" s="120">
        <v>36451.896618947409</v>
      </c>
      <c r="R389" s="123">
        <v>149708.00169588206</v>
      </c>
      <c r="S389" s="123">
        <v>171145.42893022901</v>
      </c>
      <c r="U389" s="7" t="s">
        <v>7614</v>
      </c>
    </row>
    <row r="390" spans="1:21" ht="16.5" thickBot="1">
      <c r="A390" s="259" t="s">
        <v>10</v>
      </c>
      <c r="B390" s="263">
        <f t="shared" si="21"/>
        <v>150</v>
      </c>
      <c r="C390" s="263" t="s">
        <v>3</v>
      </c>
      <c r="D390" s="263">
        <f t="shared" si="22"/>
        <v>400</v>
      </c>
      <c r="E390" s="263" t="s">
        <v>3</v>
      </c>
      <c r="F390" s="261">
        <f t="shared" si="23"/>
        <v>2550</v>
      </c>
      <c r="G390" s="263" t="s">
        <v>3</v>
      </c>
      <c r="H390" s="260">
        <v>8</v>
      </c>
      <c r="I390" s="262" t="s">
        <v>583</v>
      </c>
      <c r="J390" s="112">
        <v>150</v>
      </c>
      <c r="K390" s="75">
        <v>400</v>
      </c>
      <c r="L390" s="75">
        <v>2550</v>
      </c>
      <c r="M390" s="338">
        <v>58.250686676144952</v>
      </c>
      <c r="N390" s="87">
        <v>17495.03184</v>
      </c>
      <c r="O390" s="123">
        <v>118159.96925519155</v>
      </c>
      <c r="P390" s="123">
        <v>140040.24680216823</v>
      </c>
      <c r="Q390" s="120">
        <v>37284.870093730657</v>
      </c>
      <c r="R390" s="123">
        <v>155444.83934892219</v>
      </c>
      <c r="S390" s="123">
        <v>177325.11689589889</v>
      </c>
      <c r="U390" s="7" t="s">
        <v>7615</v>
      </c>
    </row>
    <row r="391" spans="1:21" ht="16.5" thickBot="1">
      <c r="A391" s="259" t="s">
        <v>10</v>
      </c>
      <c r="B391" s="260">
        <f t="shared" si="21"/>
        <v>150</v>
      </c>
      <c r="C391" s="260" t="s">
        <v>3</v>
      </c>
      <c r="D391" s="260">
        <f t="shared" si="22"/>
        <v>400</v>
      </c>
      <c r="E391" s="260" t="s">
        <v>3</v>
      </c>
      <c r="F391" s="261">
        <f t="shared" si="23"/>
        <v>2600</v>
      </c>
      <c r="G391" s="260" t="s">
        <v>3</v>
      </c>
      <c r="H391" s="260">
        <v>8</v>
      </c>
      <c r="I391" s="262" t="s">
        <v>583</v>
      </c>
      <c r="J391" s="112">
        <v>150</v>
      </c>
      <c r="K391" s="75">
        <v>400</v>
      </c>
      <c r="L391" s="75">
        <v>2600</v>
      </c>
      <c r="M391" s="338">
        <v>59.225584369048264</v>
      </c>
      <c r="N391" s="87">
        <v>17892.646199999999</v>
      </c>
      <c r="O391" s="123">
        <v>120009.05656635072</v>
      </c>
      <c r="P391" s="123">
        <v>142257.70238753778</v>
      </c>
      <c r="Q391" s="120">
        <v>37887.261931123991</v>
      </c>
      <c r="R391" s="123">
        <v>157896.31849747471</v>
      </c>
      <c r="S391" s="123">
        <v>180144.96431866178</v>
      </c>
      <c r="U391" s="7" t="s">
        <v>7616</v>
      </c>
    </row>
    <row r="392" spans="1:21" ht="16.5" thickBot="1">
      <c r="A392" s="259" t="s">
        <v>10</v>
      </c>
      <c r="B392" s="263">
        <f t="shared" si="21"/>
        <v>150</v>
      </c>
      <c r="C392" s="263" t="s">
        <v>3</v>
      </c>
      <c r="D392" s="263">
        <f t="shared" si="22"/>
        <v>400</v>
      </c>
      <c r="E392" s="263" t="s">
        <v>3</v>
      </c>
      <c r="F392" s="261">
        <f t="shared" si="23"/>
        <v>2650</v>
      </c>
      <c r="G392" s="263" t="s">
        <v>3</v>
      </c>
      <c r="H392" s="260">
        <v>8</v>
      </c>
      <c r="I392" s="262" t="s">
        <v>583</v>
      </c>
      <c r="J392" s="112">
        <v>150</v>
      </c>
      <c r="K392" s="75">
        <v>400</v>
      </c>
      <c r="L392" s="75">
        <v>2650</v>
      </c>
      <c r="M392" s="338">
        <v>60.219226061951588</v>
      </c>
      <c r="N392" s="87">
        <v>18290.260559999999</v>
      </c>
      <c r="O392" s="123">
        <v>121423.02503156479</v>
      </c>
      <c r="P392" s="123">
        <v>144029.4140730522</v>
      </c>
      <c r="Q392" s="120">
        <v>38720.235405907246</v>
      </c>
      <c r="R392" s="123">
        <v>160143.26043747202</v>
      </c>
      <c r="S392" s="123">
        <v>182749.64947895944</v>
      </c>
      <c r="U392" s="7" t="s">
        <v>7617</v>
      </c>
    </row>
    <row r="393" spans="1:21" ht="16.5" thickBot="1">
      <c r="A393" s="259" t="s">
        <v>10</v>
      </c>
      <c r="B393" s="263">
        <f t="shared" si="21"/>
        <v>150</v>
      </c>
      <c r="C393" s="263" t="s">
        <v>3</v>
      </c>
      <c r="D393" s="263">
        <f t="shared" si="22"/>
        <v>400</v>
      </c>
      <c r="E393" s="263" t="s">
        <v>3</v>
      </c>
      <c r="F393" s="261">
        <f t="shared" si="23"/>
        <v>2700</v>
      </c>
      <c r="G393" s="263" t="s">
        <v>3</v>
      </c>
      <c r="H393" s="260">
        <v>8</v>
      </c>
      <c r="I393" s="262" t="s">
        <v>583</v>
      </c>
      <c r="J393" s="112">
        <v>150</v>
      </c>
      <c r="K393" s="75">
        <v>400</v>
      </c>
      <c r="L393" s="75">
        <v>2700</v>
      </c>
      <c r="M393" s="338">
        <v>61.366823754854899</v>
      </c>
      <c r="N393" s="87">
        <v>18687.874919999998</v>
      </c>
      <c r="O393" s="123">
        <v>122957.43921578107</v>
      </c>
      <c r="P393" s="123">
        <v>145924.51098746306</v>
      </c>
      <c r="Q393" s="120">
        <v>39322.627243300587</v>
      </c>
      <c r="R393" s="123">
        <v>162280.06645908166</v>
      </c>
      <c r="S393" s="123">
        <v>185247.13823076364</v>
      </c>
      <c r="U393" s="7" t="s">
        <v>7618</v>
      </c>
    </row>
    <row r="394" spans="1:21" ht="16.5" thickBot="1">
      <c r="A394" s="259" t="s">
        <v>10</v>
      </c>
      <c r="B394" s="263">
        <f t="shared" si="21"/>
        <v>150</v>
      </c>
      <c r="C394" s="263" t="s">
        <v>3</v>
      </c>
      <c r="D394" s="263">
        <f t="shared" si="22"/>
        <v>400</v>
      </c>
      <c r="E394" s="263" t="s">
        <v>3</v>
      </c>
      <c r="F394" s="261">
        <f t="shared" si="23"/>
        <v>2750</v>
      </c>
      <c r="G394" s="263" t="s">
        <v>3</v>
      </c>
      <c r="H394" s="260">
        <v>8</v>
      </c>
      <c r="I394" s="262" t="s">
        <v>583</v>
      </c>
      <c r="J394" s="112">
        <v>150</v>
      </c>
      <c r="K394" s="75">
        <v>400</v>
      </c>
      <c r="L394" s="75">
        <v>2750</v>
      </c>
      <c r="M394" s="338">
        <v>62.341721447758218</v>
      </c>
      <c r="N394" s="87">
        <v>19085.489279999998</v>
      </c>
      <c r="O394" s="123">
        <v>124453.91879756479</v>
      </c>
      <c r="P394" s="123">
        <v>147780.74602795675</v>
      </c>
      <c r="Q394" s="120">
        <v>39925.018940300557</v>
      </c>
      <c r="R394" s="123">
        <v>164378.93773786534</v>
      </c>
      <c r="S394" s="123">
        <v>187705.76496825731</v>
      </c>
      <c r="U394" s="7" t="s">
        <v>7619</v>
      </c>
    </row>
    <row r="395" spans="1:21" ht="16.5" thickBot="1">
      <c r="A395" s="259" t="s">
        <v>10</v>
      </c>
      <c r="B395" s="263">
        <f t="shared" si="21"/>
        <v>150</v>
      </c>
      <c r="C395" s="263" t="s">
        <v>3</v>
      </c>
      <c r="D395" s="263">
        <f t="shared" si="22"/>
        <v>400</v>
      </c>
      <c r="E395" s="263" t="s">
        <v>3</v>
      </c>
      <c r="F395" s="261">
        <f t="shared" si="23"/>
        <v>2800</v>
      </c>
      <c r="G395" s="263" t="s">
        <v>3</v>
      </c>
      <c r="H395" s="260">
        <v>8</v>
      </c>
      <c r="I395" s="262" t="s">
        <v>583</v>
      </c>
      <c r="J395" s="112">
        <v>150</v>
      </c>
      <c r="K395" s="75">
        <v>400</v>
      </c>
      <c r="L395" s="75">
        <v>2800</v>
      </c>
      <c r="M395" s="338">
        <v>63.335363140661535</v>
      </c>
      <c r="N395" s="87">
        <v>19483.103640000001</v>
      </c>
      <c r="O395" s="123">
        <v>125866.64308276105</v>
      </c>
      <c r="P395" s="123">
        <v>149551.17973515528</v>
      </c>
      <c r="Q395" s="120">
        <v>40757.992555477169</v>
      </c>
      <c r="R395" s="123">
        <v>166624.63563823822</v>
      </c>
      <c r="S395" s="123">
        <v>190309.17229063244</v>
      </c>
      <c r="U395" s="7" t="s">
        <v>7620</v>
      </c>
    </row>
    <row r="396" spans="1:21" ht="16.5" thickBot="1">
      <c r="A396" s="259" t="s">
        <v>10</v>
      </c>
      <c r="B396" s="263">
        <f t="shared" si="21"/>
        <v>150</v>
      </c>
      <c r="C396" s="263" t="s">
        <v>3</v>
      </c>
      <c r="D396" s="263">
        <f t="shared" si="22"/>
        <v>400</v>
      </c>
      <c r="E396" s="263" t="s">
        <v>3</v>
      </c>
      <c r="F396" s="261">
        <f t="shared" si="23"/>
        <v>2850</v>
      </c>
      <c r="G396" s="263" t="s">
        <v>3</v>
      </c>
      <c r="H396" s="260">
        <v>8</v>
      </c>
      <c r="I396" s="262" t="s">
        <v>583</v>
      </c>
      <c r="J396" s="112">
        <v>150</v>
      </c>
      <c r="K396" s="75">
        <v>400</v>
      </c>
      <c r="L396" s="75">
        <v>2850</v>
      </c>
      <c r="M396" s="338">
        <v>65.25846083356484</v>
      </c>
      <c r="N396" s="87">
        <v>19880.717999999997</v>
      </c>
      <c r="O396" s="123">
        <v>127279.32035022019</v>
      </c>
      <c r="P396" s="123">
        <v>151321.56408847112</v>
      </c>
      <c r="Q396" s="120">
        <v>41360.384252477146</v>
      </c>
      <c r="R396" s="123">
        <v>168639.70460269734</v>
      </c>
      <c r="S396" s="123">
        <v>192681.94834094826</v>
      </c>
      <c r="U396" s="7" t="s">
        <v>7621</v>
      </c>
    </row>
    <row r="397" spans="1:21" ht="16.5" thickBot="1">
      <c r="A397" s="259" t="s">
        <v>10</v>
      </c>
      <c r="B397" s="263">
        <f t="shared" si="21"/>
        <v>150</v>
      </c>
      <c r="C397" s="263" t="s">
        <v>3</v>
      </c>
      <c r="D397" s="263">
        <f t="shared" si="22"/>
        <v>400</v>
      </c>
      <c r="E397" s="263" t="s">
        <v>3</v>
      </c>
      <c r="F397" s="261">
        <f t="shared" si="23"/>
        <v>2900</v>
      </c>
      <c r="G397" s="263" t="s">
        <v>3</v>
      </c>
      <c r="H397" s="260">
        <v>8</v>
      </c>
      <c r="I397" s="262" t="s">
        <v>583</v>
      </c>
      <c r="J397" s="112">
        <v>150</v>
      </c>
      <c r="K397" s="75">
        <v>400</v>
      </c>
      <c r="L397" s="75">
        <v>2900</v>
      </c>
      <c r="M397" s="338">
        <v>66.252102526468164</v>
      </c>
      <c r="N397" s="87">
        <v>20278.332359999997</v>
      </c>
      <c r="O397" s="123">
        <v>128691.95036127353</v>
      </c>
      <c r="P397" s="123">
        <v>153091.89895733853</v>
      </c>
      <c r="Q397" s="120">
        <v>42193.357867653758</v>
      </c>
      <c r="R397" s="123">
        <v>170885.30822892729</v>
      </c>
      <c r="S397" s="123">
        <v>195285.25682499231</v>
      </c>
      <c r="U397" s="7" t="s">
        <v>7622</v>
      </c>
    </row>
    <row r="398" spans="1:21" ht="16.5" thickBot="1">
      <c r="A398" s="259" t="s">
        <v>10</v>
      </c>
      <c r="B398" s="263">
        <f t="shared" si="21"/>
        <v>150</v>
      </c>
      <c r="C398" s="263" t="s">
        <v>3</v>
      </c>
      <c r="D398" s="263">
        <f t="shared" si="22"/>
        <v>400</v>
      </c>
      <c r="E398" s="263" t="s">
        <v>3</v>
      </c>
      <c r="F398" s="261">
        <f t="shared" si="23"/>
        <v>2950</v>
      </c>
      <c r="G398" s="263" t="s">
        <v>3</v>
      </c>
      <c r="H398" s="260">
        <v>8</v>
      </c>
      <c r="I398" s="262" t="s">
        <v>583</v>
      </c>
      <c r="J398" s="112">
        <v>150</v>
      </c>
      <c r="K398" s="75">
        <v>400</v>
      </c>
      <c r="L398" s="75">
        <v>2950</v>
      </c>
      <c r="M398" s="338">
        <v>67.227000219371476</v>
      </c>
      <c r="N398" s="87">
        <v>20675.94672</v>
      </c>
      <c r="O398" s="123">
        <v>130104.53323525541</v>
      </c>
      <c r="P398" s="123">
        <v>154862.18460288909</v>
      </c>
      <c r="Q398" s="120">
        <v>42795.749564653735</v>
      </c>
      <c r="R398" s="123">
        <v>172900.28279990915</v>
      </c>
      <c r="S398" s="123">
        <v>197657.93416754281</v>
      </c>
      <c r="U398" s="7" t="s">
        <v>7623</v>
      </c>
    </row>
    <row r="399" spans="1:21" ht="16.5" thickBot="1">
      <c r="A399" s="259" t="s">
        <v>10</v>
      </c>
      <c r="B399" s="263">
        <f t="shared" si="21"/>
        <v>150</v>
      </c>
      <c r="C399" s="263" t="s">
        <v>3</v>
      </c>
      <c r="D399" s="263">
        <f t="shared" si="22"/>
        <v>400</v>
      </c>
      <c r="E399" s="263" t="s">
        <v>3</v>
      </c>
      <c r="F399" s="261">
        <f t="shared" si="23"/>
        <v>3000</v>
      </c>
      <c r="G399" s="263" t="s">
        <v>3</v>
      </c>
      <c r="H399" s="260">
        <v>8</v>
      </c>
      <c r="I399" s="262" t="s">
        <v>583</v>
      </c>
      <c r="J399" s="146">
        <v>150</v>
      </c>
      <c r="K399" s="147">
        <v>400</v>
      </c>
      <c r="L399" s="147">
        <v>3000</v>
      </c>
      <c r="M399" s="1967">
        <v>68.220641912274786</v>
      </c>
      <c r="N399" s="148">
        <v>21073.561079999996</v>
      </c>
      <c r="O399" s="149">
        <v>133264.21013452241</v>
      </c>
      <c r="P399" s="149">
        <v>158424.27105324715</v>
      </c>
      <c r="Q399" s="159">
        <v>43628.723179830347</v>
      </c>
      <c r="R399" s="149">
        <v>176892.93331435276</v>
      </c>
      <c r="S399" s="149">
        <v>202052.99423307751</v>
      </c>
      <c r="U399" s="7" t="s">
        <v>7624</v>
      </c>
    </row>
  </sheetData>
  <mergeCells count="26">
    <mergeCell ref="A253:S253"/>
    <mergeCell ref="A254:S254"/>
    <mergeCell ref="A57:S57"/>
    <mergeCell ref="A58:S58"/>
    <mergeCell ref="A106:S106"/>
    <mergeCell ref="A107:S107"/>
    <mergeCell ref="A155:S155"/>
    <mergeCell ref="A156:S156"/>
    <mergeCell ref="A204:S204"/>
    <mergeCell ref="A205:S205"/>
    <mergeCell ref="A302:S302"/>
    <mergeCell ref="A303:S303"/>
    <mergeCell ref="A351:S351"/>
    <mergeCell ref="A352:S352"/>
    <mergeCell ref="Q4:Q5"/>
    <mergeCell ref="R4:R5"/>
    <mergeCell ref="S4:S5"/>
    <mergeCell ref="O6:S6"/>
    <mergeCell ref="A4:I6"/>
    <mergeCell ref="J4:M5"/>
    <mergeCell ref="N4:N6"/>
    <mergeCell ref="O4:O5"/>
    <mergeCell ref="P4:P5"/>
    <mergeCell ref="A9:S9"/>
    <mergeCell ref="A7:S7"/>
    <mergeCell ref="A8:S8"/>
  </mergeCells>
  <hyperlinks>
    <hyperlink ref="A1:I1" location="Главная!A1" display="Вернуться на главную страницу" xr:uid="{00000000-0004-0000-0E00-000000000000}"/>
    <hyperlink ref="A2" location="'Калькулятор теплоотдач ВКВ'!R1C1" display="Вернуться Калькулятор теплоотдач ВКВ" xr:uid="{00000000-0004-0000-0E00-000001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17">
    <tabColor rgb="FFFFC000"/>
  </sheetPr>
  <dimension ref="A1:U264"/>
  <sheetViews>
    <sheetView zoomScale="70" zoomScaleNormal="70" workbookViewId="0">
      <pane ySplit="6" topLeftCell="A7" activePane="bottomLeft" state="frozen"/>
      <selection pane="bottomLeft"/>
    </sheetView>
  </sheetViews>
  <sheetFormatPr defaultRowHeight="15"/>
  <cols>
    <col min="1" max="1" width="3.7109375" style="74" customWidth="1"/>
    <col min="2" max="2" width="6" style="74" customWidth="1"/>
    <col min="3" max="3" width="3" style="74" customWidth="1"/>
    <col min="4" max="4" width="6" style="74" customWidth="1"/>
    <col min="5" max="5" width="3" style="74" customWidth="1"/>
    <col min="6" max="6" width="7.7109375" style="74" customWidth="1"/>
    <col min="7" max="7" width="3" style="74" customWidth="1"/>
    <col min="8" max="8" width="6" style="74" customWidth="1"/>
    <col min="9" max="9" width="4.5703125" style="74" customWidth="1"/>
    <col min="10" max="12" width="11.28515625" style="74" customWidth="1"/>
    <col min="13" max="13" width="15.5703125" style="74" customWidth="1"/>
    <col min="14" max="14" width="19.140625" style="74" customWidth="1"/>
    <col min="15" max="16" width="27.7109375" style="74" customWidth="1"/>
    <col min="17" max="17" width="26.28515625" style="74" customWidth="1"/>
    <col min="18" max="19" width="27.7109375" style="74" customWidth="1"/>
    <col min="21" max="21" width="22.42578125" customWidth="1"/>
  </cols>
  <sheetData>
    <row r="1" spans="1:21" s="74" customFormat="1" ht="16.5" customHeight="1">
      <c r="A1" s="1217" t="s">
        <v>9</v>
      </c>
      <c r="B1" s="1217"/>
      <c r="C1" s="1217"/>
      <c r="D1" s="1217"/>
      <c r="E1" s="1217"/>
      <c r="F1" s="97"/>
      <c r="G1" s="1217"/>
      <c r="H1" s="1217"/>
      <c r="I1" s="1217"/>
      <c r="J1" s="7"/>
      <c r="K1" s="96"/>
      <c r="L1" s="96"/>
      <c r="M1" s="175"/>
      <c r="N1" s="7"/>
      <c r="O1" s="117"/>
      <c r="P1" s="117"/>
      <c r="Q1" s="117"/>
      <c r="R1" s="117"/>
      <c r="S1" s="117"/>
    </row>
    <row r="2" spans="1:21" s="74" customFormat="1" ht="16.5" customHeight="1">
      <c r="A2" s="956" t="s">
        <v>378</v>
      </c>
      <c r="B2" s="1217"/>
      <c r="C2" s="1217"/>
      <c r="D2" s="1217"/>
      <c r="E2" s="1217"/>
      <c r="F2" s="97"/>
      <c r="G2" s="1217"/>
      <c r="H2" s="1217"/>
      <c r="I2" s="1217"/>
      <c r="J2" s="7"/>
      <c r="K2" s="96"/>
      <c r="L2" s="96"/>
      <c r="M2" s="175"/>
      <c r="N2" s="7"/>
      <c r="O2" s="117"/>
      <c r="P2" s="117"/>
      <c r="Q2" s="117"/>
      <c r="R2" s="117"/>
      <c r="S2" s="117"/>
    </row>
    <row r="3" spans="1:21" s="74" customFormat="1" ht="13.5" customHeight="1" thickBot="1">
      <c r="A3" s="16"/>
      <c r="B3" s="16"/>
      <c r="C3" s="16"/>
      <c r="D3" s="16"/>
      <c r="E3" s="16"/>
      <c r="F3" s="109"/>
      <c r="G3" s="16"/>
      <c r="H3" s="16"/>
      <c r="I3" s="16"/>
      <c r="J3" s="16"/>
      <c r="K3" s="108"/>
      <c r="L3" s="108"/>
      <c r="M3" s="175"/>
      <c r="N3" s="7"/>
      <c r="O3" s="116"/>
      <c r="P3" s="116"/>
      <c r="Q3" s="117"/>
      <c r="R3" s="117"/>
      <c r="S3" s="117"/>
    </row>
    <row r="4" spans="1:21" s="74" customFormat="1" ht="69" customHeight="1">
      <c r="A4" s="2643" t="s">
        <v>8</v>
      </c>
      <c r="B4" s="2644"/>
      <c r="C4" s="2644"/>
      <c r="D4" s="2644"/>
      <c r="E4" s="2644"/>
      <c r="F4" s="2644"/>
      <c r="G4" s="2644"/>
      <c r="H4" s="2644"/>
      <c r="I4" s="2645"/>
      <c r="J4" s="2637" t="s">
        <v>97</v>
      </c>
      <c r="K4" s="2638"/>
      <c r="L4" s="2638"/>
      <c r="M4" s="2639"/>
      <c r="N4" s="2652" t="s">
        <v>96</v>
      </c>
      <c r="O4" s="2655" t="s">
        <v>165</v>
      </c>
      <c r="P4" s="2617" t="s">
        <v>166</v>
      </c>
      <c r="Q4" s="2655" t="s">
        <v>151</v>
      </c>
      <c r="R4" s="2630" t="s">
        <v>167</v>
      </c>
      <c r="S4" s="2590" t="s">
        <v>168</v>
      </c>
    </row>
    <row r="5" spans="1:21" s="74" customFormat="1" ht="72.75" customHeight="1" thickBot="1">
      <c r="A5" s="2646"/>
      <c r="B5" s="2647"/>
      <c r="C5" s="2647"/>
      <c r="D5" s="2647"/>
      <c r="E5" s="2647"/>
      <c r="F5" s="2647"/>
      <c r="G5" s="2647"/>
      <c r="H5" s="2647"/>
      <c r="I5" s="2648"/>
      <c r="J5" s="2640"/>
      <c r="K5" s="2641"/>
      <c r="L5" s="2641"/>
      <c r="M5" s="2642"/>
      <c r="N5" s="2653"/>
      <c r="O5" s="2656"/>
      <c r="P5" s="2618"/>
      <c r="Q5" s="2656"/>
      <c r="R5" s="2631"/>
      <c r="S5" s="2591"/>
    </row>
    <row r="6" spans="1:21" s="74" customFormat="1" ht="61.5" customHeight="1" thickBot="1">
      <c r="A6" s="2649"/>
      <c r="B6" s="2650"/>
      <c r="C6" s="2650"/>
      <c r="D6" s="2650"/>
      <c r="E6" s="2650"/>
      <c r="F6" s="2650"/>
      <c r="G6" s="2650"/>
      <c r="H6" s="2650"/>
      <c r="I6" s="2651"/>
      <c r="J6" s="1223" t="s">
        <v>0</v>
      </c>
      <c r="K6" s="115" t="s">
        <v>1</v>
      </c>
      <c r="L6" s="115" t="s">
        <v>2</v>
      </c>
      <c r="M6" s="180" t="s">
        <v>94</v>
      </c>
      <c r="N6" s="2654"/>
      <c r="O6" s="2634" t="s">
        <v>169</v>
      </c>
      <c r="P6" s="2635"/>
      <c r="Q6" s="2635"/>
      <c r="R6" s="2635"/>
      <c r="S6" s="2636"/>
    </row>
    <row r="7" spans="1:21" s="74" customFormat="1" ht="22.5" customHeight="1" thickBot="1">
      <c r="A7" s="2580" t="s">
        <v>519</v>
      </c>
      <c r="B7" s="2581"/>
      <c r="C7" s="2581"/>
      <c r="D7" s="2581"/>
      <c r="E7" s="2581"/>
      <c r="F7" s="2581"/>
      <c r="G7" s="2581"/>
      <c r="H7" s="2581"/>
      <c r="I7" s="2581"/>
      <c r="J7" s="2581"/>
      <c r="K7" s="2581"/>
      <c r="L7" s="2581"/>
      <c r="M7" s="2581"/>
      <c r="N7" s="2581"/>
      <c r="O7" s="2581"/>
      <c r="P7" s="2581"/>
      <c r="Q7" s="2581"/>
      <c r="R7" s="2581"/>
      <c r="S7" s="2582"/>
    </row>
    <row r="8" spans="1:21" s="74" customFormat="1" ht="22.5" customHeight="1" thickBot="1">
      <c r="A8" s="2624" t="s">
        <v>69</v>
      </c>
      <c r="B8" s="2625"/>
      <c r="C8" s="2625"/>
      <c r="D8" s="2625"/>
      <c r="E8" s="2625"/>
      <c r="F8" s="2625"/>
      <c r="G8" s="2625"/>
      <c r="H8" s="2625"/>
      <c r="I8" s="2625"/>
      <c r="J8" s="2625"/>
      <c r="K8" s="2625"/>
      <c r="L8" s="2625"/>
      <c r="M8" s="2625"/>
      <c r="N8" s="2625"/>
      <c r="O8" s="2625"/>
      <c r="P8" s="2625"/>
      <c r="Q8" s="2625"/>
      <c r="R8" s="2625"/>
      <c r="S8" s="2626"/>
    </row>
    <row r="9" spans="1:21" s="74" customFormat="1" ht="16.5" customHeight="1" thickBot="1">
      <c r="A9" s="2583" t="s">
        <v>137</v>
      </c>
      <c r="B9" s="2584"/>
      <c r="C9" s="2584"/>
      <c r="D9" s="2584"/>
      <c r="E9" s="2584"/>
      <c r="F9" s="2584"/>
      <c r="G9" s="2584"/>
      <c r="H9" s="2584"/>
      <c r="I9" s="2584"/>
      <c r="J9" s="2584"/>
      <c r="K9" s="2584"/>
      <c r="L9" s="2584"/>
      <c r="M9" s="2584"/>
      <c r="N9" s="2584"/>
      <c r="O9" s="2584"/>
      <c r="P9" s="2584"/>
      <c r="Q9" s="2584"/>
      <c r="R9" s="2632"/>
      <c r="S9" s="2633"/>
    </row>
    <row r="10" spans="1:21" s="74" customFormat="1" ht="16.5" customHeight="1" thickBot="1">
      <c r="A10" s="47" t="s">
        <v>35</v>
      </c>
      <c r="B10" s="48">
        <f>J10</f>
        <v>55</v>
      </c>
      <c r="C10" s="48" t="s">
        <v>3</v>
      </c>
      <c r="D10" s="48">
        <f>K10</f>
        <v>160</v>
      </c>
      <c r="E10" s="48" t="s">
        <v>3</v>
      </c>
      <c r="F10" s="110">
        <f>L10</f>
        <v>600</v>
      </c>
      <c r="G10" s="48" t="s">
        <v>3</v>
      </c>
      <c r="H10" s="48">
        <v>2</v>
      </c>
      <c r="I10" s="49" t="s">
        <v>45</v>
      </c>
      <c r="J10" s="181">
        <v>55</v>
      </c>
      <c r="K10" s="168">
        <v>160</v>
      </c>
      <c r="L10" s="168">
        <v>600</v>
      </c>
      <c r="M10" s="182">
        <v>3.4224419183571433</v>
      </c>
      <c r="N10" s="144">
        <v>28.962994500000004</v>
      </c>
      <c r="O10" s="188">
        <v>8986.7251427220017</v>
      </c>
      <c r="P10" s="183">
        <v>10385.908417908453</v>
      </c>
      <c r="Q10" s="309">
        <v>3661.4389581425257</v>
      </c>
      <c r="R10" s="312">
        <v>12648.164100864527</v>
      </c>
      <c r="S10" s="313">
        <v>14047.347376050979</v>
      </c>
      <c r="U10" s="7" t="s">
        <v>618</v>
      </c>
    </row>
    <row r="11" spans="1:21" s="74" customFormat="1" ht="16.5" customHeight="1" thickBot="1">
      <c r="A11" s="50" t="s">
        <v>35</v>
      </c>
      <c r="B11" s="51">
        <f t="shared" ref="B11:B58" si="0">J11</f>
        <v>55</v>
      </c>
      <c r="C11" s="51" t="s">
        <v>3</v>
      </c>
      <c r="D11" s="51">
        <f t="shared" ref="D11:D58" si="1">K11</f>
        <v>160</v>
      </c>
      <c r="E11" s="51" t="s">
        <v>3</v>
      </c>
      <c r="F11" s="110">
        <f t="shared" ref="F11:F58" si="2">L11</f>
        <v>650</v>
      </c>
      <c r="G11" s="51" t="s">
        <v>3</v>
      </c>
      <c r="H11" s="48">
        <v>2</v>
      </c>
      <c r="I11" s="49" t="s">
        <v>45</v>
      </c>
      <c r="J11" s="184">
        <v>55</v>
      </c>
      <c r="K11" s="113">
        <v>160</v>
      </c>
      <c r="L11" s="113">
        <v>650</v>
      </c>
      <c r="M11" s="185">
        <v>3.6575850397428571</v>
      </c>
      <c r="N11" s="87">
        <v>34.755593400000002</v>
      </c>
      <c r="O11" s="119">
        <v>9359.1227485541276</v>
      </c>
      <c r="P11" s="121">
        <v>10842.288771614627</v>
      </c>
      <c r="Q11" s="310">
        <v>3963.0726935401508</v>
      </c>
      <c r="R11" s="314">
        <v>13322.195442094278</v>
      </c>
      <c r="S11" s="315">
        <v>14805.361465154778</v>
      </c>
      <c r="U11" s="7" t="s">
        <v>619</v>
      </c>
    </row>
    <row r="12" spans="1:21" s="74" customFormat="1" ht="16.5" customHeight="1" thickBot="1">
      <c r="A12" s="50" t="s">
        <v>35</v>
      </c>
      <c r="B12" s="51">
        <f t="shared" si="0"/>
        <v>55</v>
      </c>
      <c r="C12" s="51" t="s">
        <v>3</v>
      </c>
      <c r="D12" s="51">
        <f t="shared" si="1"/>
        <v>160</v>
      </c>
      <c r="E12" s="51" t="s">
        <v>3</v>
      </c>
      <c r="F12" s="110">
        <f t="shared" si="2"/>
        <v>700</v>
      </c>
      <c r="G12" s="51" t="s">
        <v>3</v>
      </c>
      <c r="H12" s="48">
        <v>2</v>
      </c>
      <c r="I12" s="49" t="s">
        <v>45</v>
      </c>
      <c r="J12" s="184">
        <v>55</v>
      </c>
      <c r="K12" s="113">
        <v>160</v>
      </c>
      <c r="L12" s="113">
        <v>700</v>
      </c>
      <c r="M12" s="185">
        <v>3.8927281611285709</v>
      </c>
      <c r="N12" s="87">
        <v>40.548192300000004</v>
      </c>
      <c r="O12" s="119">
        <v>9731.5202139928897</v>
      </c>
      <c r="P12" s="121">
        <v>11298.669125320803</v>
      </c>
      <c r="Q12" s="310">
        <v>4264.7064289377759</v>
      </c>
      <c r="R12" s="314">
        <v>13996.226642930666</v>
      </c>
      <c r="S12" s="315">
        <v>15563.375554258579</v>
      </c>
      <c r="U12" s="7" t="s">
        <v>620</v>
      </c>
    </row>
    <row r="13" spans="1:21" s="74" customFormat="1" ht="16.5" customHeight="1" thickBot="1">
      <c r="A13" s="50" t="s">
        <v>35</v>
      </c>
      <c r="B13" s="51">
        <f t="shared" si="0"/>
        <v>55</v>
      </c>
      <c r="C13" s="51" t="s">
        <v>3</v>
      </c>
      <c r="D13" s="51">
        <f t="shared" si="1"/>
        <v>160</v>
      </c>
      <c r="E13" s="51" t="s">
        <v>3</v>
      </c>
      <c r="F13" s="110">
        <f t="shared" si="2"/>
        <v>750</v>
      </c>
      <c r="G13" s="51" t="s">
        <v>3</v>
      </c>
      <c r="H13" s="48">
        <v>2</v>
      </c>
      <c r="I13" s="49" t="s">
        <v>45</v>
      </c>
      <c r="J13" s="184">
        <v>55</v>
      </c>
      <c r="K13" s="113">
        <v>160</v>
      </c>
      <c r="L13" s="113">
        <v>750</v>
      </c>
      <c r="M13" s="185">
        <v>4.1278712825142865</v>
      </c>
      <c r="N13" s="87">
        <v>46.340791200000012</v>
      </c>
      <c r="O13" s="119">
        <v>10103.917819825016</v>
      </c>
      <c r="P13" s="121">
        <v>11755.049479026979</v>
      </c>
      <c r="Q13" s="310">
        <v>4566.3403047287638</v>
      </c>
      <c r="R13" s="314">
        <v>14670.25812455378</v>
      </c>
      <c r="S13" s="315">
        <v>16321.389783755742</v>
      </c>
      <c r="U13" s="7" t="s">
        <v>621</v>
      </c>
    </row>
    <row r="14" spans="1:21" s="74" customFormat="1" ht="16.5" customHeight="1" thickBot="1">
      <c r="A14" s="50" t="s">
        <v>35</v>
      </c>
      <c r="B14" s="51">
        <f t="shared" si="0"/>
        <v>55</v>
      </c>
      <c r="C14" s="51" t="s">
        <v>3</v>
      </c>
      <c r="D14" s="51">
        <f t="shared" si="1"/>
        <v>160</v>
      </c>
      <c r="E14" s="51" t="s">
        <v>3</v>
      </c>
      <c r="F14" s="110">
        <f t="shared" si="2"/>
        <v>800</v>
      </c>
      <c r="G14" s="51" t="s">
        <v>3</v>
      </c>
      <c r="H14" s="48">
        <v>2</v>
      </c>
      <c r="I14" s="49" t="s">
        <v>45</v>
      </c>
      <c r="J14" s="184">
        <v>55</v>
      </c>
      <c r="K14" s="113">
        <v>160</v>
      </c>
      <c r="L14" s="113">
        <v>800</v>
      </c>
      <c r="M14" s="185">
        <v>4.3630225253100008</v>
      </c>
      <c r="N14" s="87">
        <v>52.133390100000007</v>
      </c>
      <c r="O14" s="119">
        <v>10476.315285263776</v>
      </c>
      <c r="P14" s="121">
        <v>12211.429973126515</v>
      </c>
      <c r="Q14" s="310">
        <v>4867.974040126388</v>
      </c>
      <c r="R14" s="314">
        <v>15344.289325390164</v>
      </c>
      <c r="S14" s="315">
        <v>17079.404013252904</v>
      </c>
      <c r="U14" s="7" t="s">
        <v>622</v>
      </c>
    </row>
    <row r="15" spans="1:21" s="74" customFormat="1" ht="16.5" customHeight="1" thickBot="1">
      <c r="A15" s="50" t="s">
        <v>35</v>
      </c>
      <c r="B15" s="51">
        <f t="shared" si="0"/>
        <v>55</v>
      </c>
      <c r="C15" s="51" t="s">
        <v>3</v>
      </c>
      <c r="D15" s="51">
        <f t="shared" si="1"/>
        <v>160</v>
      </c>
      <c r="E15" s="51" t="s">
        <v>3</v>
      </c>
      <c r="F15" s="110">
        <f t="shared" si="2"/>
        <v>850</v>
      </c>
      <c r="G15" s="51" t="s">
        <v>3</v>
      </c>
      <c r="H15" s="48">
        <v>2</v>
      </c>
      <c r="I15" s="49" t="s">
        <v>45</v>
      </c>
      <c r="J15" s="184">
        <v>55</v>
      </c>
      <c r="K15" s="113">
        <v>160</v>
      </c>
      <c r="L15" s="113">
        <v>850</v>
      </c>
      <c r="M15" s="185">
        <v>4.5981656466957146</v>
      </c>
      <c r="N15" s="87">
        <v>57.925989000000008</v>
      </c>
      <c r="O15" s="119">
        <v>10848.712891095902</v>
      </c>
      <c r="P15" s="121">
        <v>12667.81032683269</v>
      </c>
      <c r="Q15" s="310">
        <v>5169.607775524014</v>
      </c>
      <c r="R15" s="314">
        <v>16018.320666619915</v>
      </c>
      <c r="S15" s="315">
        <v>17837.418102356703</v>
      </c>
      <c r="U15" s="7" t="s">
        <v>623</v>
      </c>
    </row>
    <row r="16" spans="1:21" s="74" customFormat="1" ht="16.5" customHeight="1" thickBot="1">
      <c r="A16" s="50" t="s">
        <v>35</v>
      </c>
      <c r="B16" s="51">
        <f t="shared" si="0"/>
        <v>55</v>
      </c>
      <c r="C16" s="51" t="s">
        <v>3</v>
      </c>
      <c r="D16" s="51">
        <f t="shared" si="1"/>
        <v>160</v>
      </c>
      <c r="E16" s="51" t="s">
        <v>3</v>
      </c>
      <c r="F16" s="110">
        <f t="shared" si="2"/>
        <v>900</v>
      </c>
      <c r="G16" s="51" t="s">
        <v>3</v>
      </c>
      <c r="H16" s="48">
        <v>2</v>
      </c>
      <c r="I16" s="49" t="s">
        <v>45</v>
      </c>
      <c r="J16" s="184">
        <v>55</v>
      </c>
      <c r="K16" s="113">
        <v>160</v>
      </c>
      <c r="L16" s="113">
        <v>900</v>
      </c>
      <c r="M16" s="185">
        <v>4.8333087680814302</v>
      </c>
      <c r="N16" s="87">
        <v>63.718587900000017</v>
      </c>
      <c r="O16" s="119">
        <v>11221.110356534664</v>
      </c>
      <c r="P16" s="121">
        <v>13124.190680538866</v>
      </c>
      <c r="Q16" s="310">
        <v>5471.241651315001</v>
      </c>
      <c r="R16" s="314">
        <v>16692.352007849666</v>
      </c>
      <c r="S16" s="315">
        <v>18595.432331853866</v>
      </c>
      <c r="U16" s="7" t="s">
        <v>624</v>
      </c>
    </row>
    <row r="17" spans="1:21" s="74" customFormat="1" ht="16.5" customHeight="1" thickBot="1">
      <c r="A17" s="50" t="s">
        <v>35</v>
      </c>
      <c r="B17" s="51">
        <f t="shared" si="0"/>
        <v>55</v>
      </c>
      <c r="C17" s="51" t="s">
        <v>3</v>
      </c>
      <c r="D17" s="51">
        <f t="shared" si="1"/>
        <v>160</v>
      </c>
      <c r="E17" s="51" t="s">
        <v>3</v>
      </c>
      <c r="F17" s="110">
        <f t="shared" si="2"/>
        <v>950</v>
      </c>
      <c r="G17" s="51" t="s">
        <v>3</v>
      </c>
      <c r="H17" s="48">
        <v>2</v>
      </c>
      <c r="I17" s="49" t="s">
        <v>45</v>
      </c>
      <c r="J17" s="184">
        <v>55</v>
      </c>
      <c r="K17" s="113">
        <v>160</v>
      </c>
      <c r="L17" s="113">
        <v>950</v>
      </c>
      <c r="M17" s="185">
        <v>5.0684518894671431</v>
      </c>
      <c r="N17" s="87">
        <v>69.511186800000004</v>
      </c>
      <c r="O17" s="119">
        <v>11593.50796236679</v>
      </c>
      <c r="P17" s="121">
        <v>13580.57103424504</v>
      </c>
      <c r="Q17" s="310">
        <v>5772.8753867126261</v>
      </c>
      <c r="R17" s="314">
        <v>17366.383349079417</v>
      </c>
      <c r="S17" s="315">
        <v>19353.446420957665</v>
      </c>
      <c r="U17" s="7" t="s">
        <v>625</v>
      </c>
    </row>
    <row r="18" spans="1:21" s="74" customFormat="1" ht="16.5" customHeight="1" thickBot="1">
      <c r="A18" s="50" t="s">
        <v>35</v>
      </c>
      <c r="B18" s="51">
        <f t="shared" si="0"/>
        <v>55</v>
      </c>
      <c r="C18" s="51" t="s">
        <v>3</v>
      </c>
      <c r="D18" s="51">
        <f t="shared" si="1"/>
        <v>160</v>
      </c>
      <c r="E18" s="51" t="s">
        <v>3</v>
      </c>
      <c r="F18" s="110">
        <f t="shared" si="2"/>
        <v>1000</v>
      </c>
      <c r="G18" s="51" t="s">
        <v>3</v>
      </c>
      <c r="H18" s="48">
        <v>2</v>
      </c>
      <c r="I18" s="49" t="s">
        <v>45</v>
      </c>
      <c r="J18" s="184">
        <v>55</v>
      </c>
      <c r="K18" s="113">
        <v>160</v>
      </c>
      <c r="L18" s="113">
        <v>1000</v>
      </c>
      <c r="M18" s="185">
        <v>5.3035950108528578</v>
      </c>
      <c r="N18" s="87">
        <v>75.30378570000002</v>
      </c>
      <c r="O18" s="119">
        <v>11965.905427805552</v>
      </c>
      <c r="P18" s="121">
        <v>14036.951387951214</v>
      </c>
      <c r="Q18" s="310">
        <v>6074.5091221102521</v>
      </c>
      <c r="R18" s="314">
        <v>18040.414549915804</v>
      </c>
      <c r="S18" s="315">
        <v>20111.460510061464</v>
      </c>
      <c r="U18" s="7" t="s">
        <v>626</v>
      </c>
    </row>
    <row r="19" spans="1:21" s="74" customFormat="1" ht="16.5" customHeight="1" thickBot="1">
      <c r="A19" s="50" t="s">
        <v>35</v>
      </c>
      <c r="B19" s="51">
        <f t="shared" si="0"/>
        <v>55</v>
      </c>
      <c r="C19" s="51" t="s">
        <v>3</v>
      </c>
      <c r="D19" s="51">
        <f t="shared" si="1"/>
        <v>160</v>
      </c>
      <c r="E19" s="51" t="s">
        <v>3</v>
      </c>
      <c r="F19" s="110">
        <f t="shared" si="2"/>
        <v>1050</v>
      </c>
      <c r="G19" s="51" t="s">
        <v>3</v>
      </c>
      <c r="H19" s="48">
        <v>2</v>
      </c>
      <c r="I19" s="49" t="s">
        <v>45</v>
      </c>
      <c r="J19" s="184">
        <v>55</v>
      </c>
      <c r="K19" s="113">
        <v>160</v>
      </c>
      <c r="L19" s="113">
        <v>1050</v>
      </c>
      <c r="M19" s="185">
        <v>5.5387381322385707</v>
      </c>
      <c r="N19" s="87">
        <v>81.096384600000007</v>
      </c>
      <c r="O19" s="119">
        <v>12338.302893244314</v>
      </c>
      <c r="P19" s="121">
        <v>14493.331741657392</v>
      </c>
      <c r="Q19" s="310">
        <v>6376.1429979012382</v>
      </c>
      <c r="R19" s="314">
        <v>18714.445891145551</v>
      </c>
      <c r="S19" s="315">
        <v>20869.474739558631</v>
      </c>
      <c r="U19" s="7" t="s">
        <v>627</v>
      </c>
    </row>
    <row r="20" spans="1:21" s="74" customFormat="1" ht="16.5" customHeight="1" thickBot="1">
      <c r="A20" s="47" t="s">
        <v>35</v>
      </c>
      <c r="B20" s="48">
        <f t="shared" si="0"/>
        <v>55</v>
      </c>
      <c r="C20" s="48" t="s">
        <v>3</v>
      </c>
      <c r="D20" s="48">
        <f t="shared" si="1"/>
        <v>160</v>
      </c>
      <c r="E20" s="48" t="s">
        <v>3</v>
      </c>
      <c r="F20" s="110">
        <f t="shared" si="2"/>
        <v>1100</v>
      </c>
      <c r="G20" s="48" t="s">
        <v>3</v>
      </c>
      <c r="H20" s="48">
        <v>2</v>
      </c>
      <c r="I20" s="49" t="s">
        <v>45</v>
      </c>
      <c r="J20" s="184">
        <v>55</v>
      </c>
      <c r="K20" s="113">
        <v>160</v>
      </c>
      <c r="L20" s="113">
        <v>1100</v>
      </c>
      <c r="M20" s="185">
        <v>5.7738812536242872</v>
      </c>
      <c r="N20" s="87">
        <v>86.888983500000009</v>
      </c>
      <c r="O20" s="119">
        <v>12710.70049907644</v>
      </c>
      <c r="P20" s="121">
        <v>14949.712095363566</v>
      </c>
      <c r="Q20" s="310">
        <v>6677.7767332988633</v>
      </c>
      <c r="R20" s="314">
        <v>19388.477232375302</v>
      </c>
      <c r="S20" s="315">
        <v>21627.48882866243</v>
      </c>
      <c r="U20" s="7" t="s">
        <v>628</v>
      </c>
    </row>
    <row r="21" spans="1:21" s="74" customFormat="1" ht="16.5" customHeight="1" thickBot="1">
      <c r="A21" s="50" t="s">
        <v>35</v>
      </c>
      <c r="B21" s="51">
        <f t="shared" si="0"/>
        <v>55</v>
      </c>
      <c r="C21" s="51" t="s">
        <v>3</v>
      </c>
      <c r="D21" s="51">
        <f t="shared" si="1"/>
        <v>160</v>
      </c>
      <c r="E21" s="51" t="s">
        <v>3</v>
      </c>
      <c r="F21" s="110">
        <f t="shared" si="2"/>
        <v>1150</v>
      </c>
      <c r="G21" s="51" t="s">
        <v>3</v>
      </c>
      <c r="H21" s="48">
        <v>2</v>
      </c>
      <c r="I21" s="49" t="s">
        <v>45</v>
      </c>
      <c r="J21" s="184">
        <v>55</v>
      </c>
      <c r="K21" s="113">
        <v>160</v>
      </c>
      <c r="L21" s="113">
        <v>1150</v>
      </c>
      <c r="M21" s="185">
        <v>6.0090243750100001</v>
      </c>
      <c r="N21" s="87">
        <v>92.681582400000025</v>
      </c>
      <c r="O21" s="119">
        <v>13083.097964515202</v>
      </c>
      <c r="P21" s="121">
        <v>15406.09244906974</v>
      </c>
      <c r="Q21" s="310">
        <v>6979.4104686964893</v>
      </c>
      <c r="R21" s="314">
        <v>20062.508433211689</v>
      </c>
      <c r="S21" s="315">
        <v>22385.502917766229</v>
      </c>
      <c r="U21" s="7" t="s">
        <v>629</v>
      </c>
    </row>
    <row r="22" spans="1:21" s="74" customFormat="1" ht="16.5" customHeight="1" thickBot="1">
      <c r="A22" s="50" t="s">
        <v>35</v>
      </c>
      <c r="B22" s="51">
        <f t="shared" si="0"/>
        <v>55</v>
      </c>
      <c r="C22" s="51" t="s">
        <v>3</v>
      </c>
      <c r="D22" s="51">
        <f t="shared" si="1"/>
        <v>160</v>
      </c>
      <c r="E22" s="51" t="s">
        <v>3</v>
      </c>
      <c r="F22" s="110">
        <f t="shared" si="2"/>
        <v>1200</v>
      </c>
      <c r="G22" s="51" t="s">
        <v>3</v>
      </c>
      <c r="H22" s="48">
        <v>2</v>
      </c>
      <c r="I22" s="49" t="s">
        <v>45</v>
      </c>
      <c r="J22" s="184">
        <v>55</v>
      </c>
      <c r="K22" s="113">
        <v>160</v>
      </c>
      <c r="L22" s="113">
        <v>1200</v>
      </c>
      <c r="M22" s="185">
        <v>6.3119674963957149</v>
      </c>
      <c r="N22" s="87">
        <v>98.474181300000012</v>
      </c>
      <c r="O22" s="119">
        <v>13499.07367006733</v>
      </c>
      <c r="P22" s="121">
        <v>15904.722640893304</v>
      </c>
      <c r="Q22" s="310">
        <v>7281.0443444874772</v>
      </c>
      <c r="R22" s="314">
        <v>20780.118014554806</v>
      </c>
      <c r="S22" s="315">
        <v>23185.766985380782</v>
      </c>
      <c r="U22" s="7" t="s">
        <v>630</v>
      </c>
    </row>
    <row r="23" spans="1:21" s="74" customFormat="1" ht="16.5" customHeight="1" thickBot="1">
      <c r="A23" s="50" t="s">
        <v>35</v>
      </c>
      <c r="B23" s="51">
        <f t="shared" si="0"/>
        <v>55</v>
      </c>
      <c r="C23" s="51" t="s">
        <v>3</v>
      </c>
      <c r="D23" s="51">
        <f t="shared" si="1"/>
        <v>160</v>
      </c>
      <c r="E23" s="51" t="s">
        <v>3</v>
      </c>
      <c r="F23" s="110">
        <f t="shared" si="2"/>
        <v>1250</v>
      </c>
      <c r="G23" s="51" t="s">
        <v>3</v>
      </c>
      <c r="H23" s="48">
        <v>2</v>
      </c>
      <c r="I23" s="49" t="s">
        <v>45</v>
      </c>
      <c r="J23" s="184">
        <v>55</v>
      </c>
      <c r="K23" s="113">
        <v>160</v>
      </c>
      <c r="L23" s="113">
        <v>1250</v>
      </c>
      <c r="M23" s="185">
        <v>6.5471106177814296</v>
      </c>
      <c r="N23" s="87">
        <v>104.26678020000001</v>
      </c>
      <c r="O23" s="119">
        <v>13871.471275899452</v>
      </c>
      <c r="P23" s="121">
        <v>16361.10299459948</v>
      </c>
      <c r="Q23" s="310">
        <v>7582.6780798851014</v>
      </c>
      <c r="R23" s="314">
        <v>21454.149355784553</v>
      </c>
      <c r="S23" s="315">
        <v>23943.781074484581</v>
      </c>
      <c r="U23" s="7" t="s">
        <v>631</v>
      </c>
    </row>
    <row r="24" spans="1:21" s="74" customFormat="1" ht="16.5" customHeight="1" thickBot="1">
      <c r="A24" s="50" t="s">
        <v>35</v>
      </c>
      <c r="B24" s="51">
        <f t="shared" si="0"/>
        <v>55</v>
      </c>
      <c r="C24" s="51" t="s">
        <v>3</v>
      </c>
      <c r="D24" s="51">
        <f t="shared" si="1"/>
        <v>160</v>
      </c>
      <c r="E24" s="51" t="s">
        <v>3</v>
      </c>
      <c r="F24" s="110">
        <f t="shared" si="2"/>
        <v>1300</v>
      </c>
      <c r="G24" s="51" t="s">
        <v>3</v>
      </c>
      <c r="H24" s="48">
        <v>2</v>
      </c>
      <c r="I24" s="49" t="s">
        <v>45</v>
      </c>
      <c r="J24" s="184">
        <v>55</v>
      </c>
      <c r="K24" s="113">
        <v>160</v>
      </c>
      <c r="L24" s="113">
        <v>1300</v>
      </c>
      <c r="M24" s="185">
        <v>6.7822537391671425</v>
      </c>
      <c r="N24" s="87">
        <v>110.05937910000002</v>
      </c>
      <c r="O24" s="119">
        <v>14243.868741338214</v>
      </c>
      <c r="P24" s="121">
        <v>16817.483348305654</v>
      </c>
      <c r="Q24" s="310">
        <v>7884.3118152827265</v>
      </c>
      <c r="R24" s="314">
        <v>22128.18055662094</v>
      </c>
      <c r="S24" s="315">
        <v>24701.79516358838</v>
      </c>
      <c r="U24" s="7" t="s">
        <v>632</v>
      </c>
    </row>
    <row r="25" spans="1:21" s="74" customFormat="1" ht="16.5" customHeight="1" thickBot="1">
      <c r="A25" s="50" t="s">
        <v>35</v>
      </c>
      <c r="B25" s="51">
        <f t="shared" si="0"/>
        <v>55</v>
      </c>
      <c r="C25" s="51" t="s">
        <v>3</v>
      </c>
      <c r="D25" s="51">
        <f t="shared" si="1"/>
        <v>160</v>
      </c>
      <c r="E25" s="51" t="s">
        <v>3</v>
      </c>
      <c r="F25" s="110">
        <f t="shared" si="2"/>
        <v>1350</v>
      </c>
      <c r="G25" s="51" t="s">
        <v>3</v>
      </c>
      <c r="H25" s="48">
        <v>2</v>
      </c>
      <c r="I25" s="49" t="s">
        <v>45</v>
      </c>
      <c r="J25" s="184">
        <v>55</v>
      </c>
      <c r="K25" s="113">
        <v>160</v>
      </c>
      <c r="L25" s="113">
        <v>1350</v>
      </c>
      <c r="M25" s="185">
        <v>7.0173968605528572</v>
      </c>
      <c r="N25" s="87">
        <v>115.85197800000002</v>
      </c>
      <c r="O25" s="119">
        <v>14616.26634717034</v>
      </c>
      <c r="P25" s="121">
        <v>17273.863702011826</v>
      </c>
      <c r="Q25" s="310">
        <v>8185.9456910737144</v>
      </c>
      <c r="R25" s="314">
        <v>22802.212038244055</v>
      </c>
      <c r="S25" s="315">
        <v>25459.809393085539</v>
      </c>
      <c r="U25" s="7" t="s">
        <v>633</v>
      </c>
    </row>
    <row r="26" spans="1:21" s="74" customFormat="1" ht="16.5" customHeight="1" thickBot="1">
      <c r="A26" s="50" t="s">
        <v>35</v>
      </c>
      <c r="B26" s="51">
        <f t="shared" si="0"/>
        <v>55</v>
      </c>
      <c r="C26" s="51" t="s">
        <v>3</v>
      </c>
      <c r="D26" s="51">
        <f t="shared" si="1"/>
        <v>160</v>
      </c>
      <c r="E26" s="51" t="s">
        <v>3</v>
      </c>
      <c r="F26" s="110">
        <f t="shared" si="2"/>
        <v>1400</v>
      </c>
      <c r="G26" s="51" t="s">
        <v>3</v>
      </c>
      <c r="H26" s="48">
        <v>2</v>
      </c>
      <c r="I26" s="49" t="s">
        <v>45</v>
      </c>
      <c r="J26" s="184">
        <v>55</v>
      </c>
      <c r="K26" s="113">
        <v>160</v>
      </c>
      <c r="L26" s="113">
        <v>1400</v>
      </c>
      <c r="M26" s="185">
        <v>7.2525399819385719</v>
      </c>
      <c r="N26" s="87">
        <v>121.64457690000002</v>
      </c>
      <c r="O26" s="119">
        <v>14988.663812609102</v>
      </c>
      <c r="P26" s="121">
        <v>17730.244055718005</v>
      </c>
      <c r="Q26" s="310">
        <v>8487.5794264713404</v>
      </c>
      <c r="R26" s="314">
        <v>23476.243239080442</v>
      </c>
      <c r="S26" s="315">
        <v>26217.823482189346</v>
      </c>
      <c r="U26" s="7" t="s">
        <v>634</v>
      </c>
    </row>
    <row r="27" spans="1:21" s="74" customFormat="1" ht="16.5" customHeight="1" thickBot="1">
      <c r="A27" s="50" t="s">
        <v>35</v>
      </c>
      <c r="B27" s="51">
        <f t="shared" si="0"/>
        <v>55</v>
      </c>
      <c r="C27" s="51" t="s">
        <v>3</v>
      </c>
      <c r="D27" s="51">
        <f t="shared" si="1"/>
        <v>160</v>
      </c>
      <c r="E27" s="51" t="s">
        <v>3</v>
      </c>
      <c r="F27" s="110">
        <f t="shared" si="2"/>
        <v>1450</v>
      </c>
      <c r="G27" s="51" t="s">
        <v>3</v>
      </c>
      <c r="H27" s="48">
        <v>2</v>
      </c>
      <c r="I27" s="49" t="s">
        <v>45</v>
      </c>
      <c r="J27" s="184">
        <v>55</v>
      </c>
      <c r="K27" s="113">
        <v>160</v>
      </c>
      <c r="L27" s="113">
        <v>1450</v>
      </c>
      <c r="M27" s="185">
        <v>7.4876831033242865</v>
      </c>
      <c r="N27" s="87">
        <v>127.43717580000003</v>
      </c>
      <c r="O27" s="119">
        <v>15361.061418441228</v>
      </c>
      <c r="P27" s="121">
        <v>18186.624409424177</v>
      </c>
      <c r="Q27" s="310">
        <v>8789.2131618689637</v>
      </c>
      <c r="R27" s="314">
        <v>24150.274580310193</v>
      </c>
      <c r="S27" s="315">
        <v>26975.837571293141</v>
      </c>
      <c r="U27" s="7" t="s">
        <v>635</v>
      </c>
    </row>
    <row r="28" spans="1:21" s="74" customFormat="1" ht="16.5" customHeight="1" thickBot="1">
      <c r="A28" s="50" t="s">
        <v>35</v>
      </c>
      <c r="B28" s="51">
        <f t="shared" si="0"/>
        <v>55</v>
      </c>
      <c r="C28" s="51" t="s">
        <v>3</v>
      </c>
      <c r="D28" s="51">
        <f t="shared" si="1"/>
        <v>160</v>
      </c>
      <c r="E28" s="51" t="s">
        <v>3</v>
      </c>
      <c r="F28" s="110">
        <f t="shared" si="2"/>
        <v>1500</v>
      </c>
      <c r="G28" s="51" t="s">
        <v>3</v>
      </c>
      <c r="H28" s="48">
        <v>2</v>
      </c>
      <c r="I28" s="49" t="s">
        <v>45</v>
      </c>
      <c r="J28" s="184">
        <v>55</v>
      </c>
      <c r="K28" s="113">
        <v>160</v>
      </c>
      <c r="L28" s="113">
        <v>1500</v>
      </c>
      <c r="M28" s="185">
        <v>7.7918129767100002</v>
      </c>
      <c r="N28" s="87">
        <v>133.22977470000001</v>
      </c>
      <c r="O28" s="119">
        <v>16245.922174104042</v>
      </c>
      <c r="P28" s="121">
        <v>19068.119936187868</v>
      </c>
      <c r="Q28" s="310">
        <v>9090.8468972665887</v>
      </c>
      <c r="R28" s="314">
        <v>25336.769071370632</v>
      </c>
      <c r="S28" s="315">
        <v>28158.966833454455</v>
      </c>
      <c r="U28" s="7" t="s">
        <v>636</v>
      </c>
    </row>
    <row r="29" spans="1:21" s="74" customFormat="1" ht="16.5" customHeight="1" thickBot="1">
      <c r="A29" s="50" t="s">
        <v>35</v>
      </c>
      <c r="B29" s="51">
        <f t="shared" si="0"/>
        <v>55</v>
      </c>
      <c r="C29" s="51" t="s">
        <v>3</v>
      </c>
      <c r="D29" s="51">
        <f t="shared" si="1"/>
        <v>160</v>
      </c>
      <c r="E29" s="51" t="s">
        <v>3</v>
      </c>
      <c r="F29" s="110">
        <f t="shared" si="2"/>
        <v>1550</v>
      </c>
      <c r="G29" s="51" t="s">
        <v>3</v>
      </c>
      <c r="H29" s="48">
        <v>2</v>
      </c>
      <c r="I29" s="49" t="s">
        <v>45</v>
      </c>
      <c r="J29" s="184">
        <v>55</v>
      </c>
      <c r="K29" s="113">
        <v>160</v>
      </c>
      <c r="L29" s="113">
        <v>1550</v>
      </c>
      <c r="M29" s="185">
        <v>8.0269560980957149</v>
      </c>
      <c r="N29" s="87">
        <v>139.02237360000001</v>
      </c>
      <c r="O29" s="119">
        <v>16618.319779936166</v>
      </c>
      <c r="P29" s="121">
        <v>19524.50028989404</v>
      </c>
      <c r="Q29" s="310">
        <v>9392.4807730575776</v>
      </c>
      <c r="R29" s="314">
        <v>26010.800552993744</v>
      </c>
      <c r="S29" s="315">
        <v>28916.981062951618</v>
      </c>
      <c r="U29" s="7" t="s">
        <v>637</v>
      </c>
    </row>
    <row r="30" spans="1:21" s="74" customFormat="1" ht="16.5" customHeight="1" thickBot="1">
      <c r="A30" s="47" t="s">
        <v>35</v>
      </c>
      <c r="B30" s="48">
        <f t="shared" si="0"/>
        <v>55</v>
      </c>
      <c r="C30" s="48" t="s">
        <v>3</v>
      </c>
      <c r="D30" s="48">
        <f t="shared" si="1"/>
        <v>160</v>
      </c>
      <c r="E30" s="48" t="s">
        <v>3</v>
      </c>
      <c r="F30" s="110">
        <f t="shared" si="2"/>
        <v>1600</v>
      </c>
      <c r="G30" s="48" t="s">
        <v>3</v>
      </c>
      <c r="H30" s="48">
        <v>2</v>
      </c>
      <c r="I30" s="49" t="s">
        <v>45</v>
      </c>
      <c r="J30" s="184">
        <v>55</v>
      </c>
      <c r="K30" s="113">
        <v>160</v>
      </c>
      <c r="L30" s="113">
        <v>1600</v>
      </c>
      <c r="M30" s="185">
        <v>8.2620992194814278</v>
      </c>
      <c r="N30" s="87">
        <v>144.81497250000001</v>
      </c>
      <c r="O30" s="119">
        <v>16990.717245374926</v>
      </c>
      <c r="P30" s="121">
        <v>19980.880643600216</v>
      </c>
      <c r="Q30" s="310">
        <v>9694.1145084552027</v>
      </c>
      <c r="R30" s="314">
        <v>26684.831753830127</v>
      </c>
      <c r="S30" s="315">
        <v>29674.995152055417</v>
      </c>
      <c r="U30" s="7" t="s">
        <v>638</v>
      </c>
    </row>
    <row r="31" spans="1:21" s="74" customFormat="1" ht="16.5" customHeight="1" thickBot="1">
      <c r="A31" s="50" t="s">
        <v>35</v>
      </c>
      <c r="B31" s="51">
        <f t="shared" si="0"/>
        <v>55</v>
      </c>
      <c r="C31" s="51" t="s">
        <v>3</v>
      </c>
      <c r="D31" s="51">
        <f t="shared" si="1"/>
        <v>160</v>
      </c>
      <c r="E31" s="51" t="s">
        <v>3</v>
      </c>
      <c r="F31" s="110">
        <f t="shared" si="2"/>
        <v>1650</v>
      </c>
      <c r="G31" s="51" t="s">
        <v>3</v>
      </c>
      <c r="H31" s="48">
        <v>2</v>
      </c>
      <c r="I31" s="49" t="s">
        <v>45</v>
      </c>
      <c r="J31" s="184">
        <v>55</v>
      </c>
      <c r="K31" s="113">
        <v>160</v>
      </c>
      <c r="L31" s="113">
        <v>1650</v>
      </c>
      <c r="M31" s="185">
        <v>8.4972423408671425</v>
      </c>
      <c r="N31" s="87">
        <v>150.60757140000004</v>
      </c>
      <c r="O31" s="119">
        <v>17363.114851207054</v>
      </c>
      <c r="P31" s="121">
        <v>20437.260997306392</v>
      </c>
      <c r="Q31" s="310">
        <v>9995.7482438528277</v>
      </c>
      <c r="R31" s="314">
        <v>27358.863095059882</v>
      </c>
      <c r="S31" s="315">
        <v>30433.00924115922</v>
      </c>
      <c r="U31" s="7" t="s">
        <v>639</v>
      </c>
    </row>
    <row r="32" spans="1:21" s="74" customFormat="1" ht="16.5" customHeight="1" thickBot="1">
      <c r="A32" s="50" t="s">
        <v>35</v>
      </c>
      <c r="B32" s="51">
        <f t="shared" si="0"/>
        <v>55</v>
      </c>
      <c r="C32" s="51" t="s">
        <v>3</v>
      </c>
      <c r="D32" s="51">
        <f t="shared" si="1"/>
        <v>160</v>
      </c>
      <c r="E32" s="51" t="s">
        <v>3</v>
      </c>
      <c r="F32" s="110">
        <f t="shared" si="2"/>
        <v>1700</v>
      </c>
      <c r="G32" s="51" t="s">
        <v>3</v>
      </c>
      <c r="H32" s="48">
        <v>2</v>
      </c>
      <c r="I32" s="49" t="s">
        <v>45</v>
      </c>
      <c r="J32" s="184">
        <v>55</v>
      </c>
      <c r="K32" s="113">
        <v>160</v>
      </c>
      <c r="L32" s="113">
        <v>1700</v>
      </c>
      <c r="M32" s="185">
        <v>8.7323854622528572</v>
      </c>
      <c r="N32" s="87">
        <v>156.40017030000004</v>
      </c>
      <c r="O32" s="119">
        <v>17735.512316645814</v>
      </c>
      <c r="P32" s="121">
        <v>20893.641351012568</v>
      </c>
      <c r="Q32" s="310">
        <v>10297.382119643815</v>
      </c>
      <c r="R32" s="314">
        <v>28032.894436289629</v>
      </c>
      <c r="S32" s="315">
        <v>31191.023470656382</v>
      </c>
      <c r="U32" s="7" t="s">
        <v>640</v>
      </c>
    </row>
    <row r="33" spans="1:21" s="74" customFormat="1" ht="16.5" customHeight="1" thickBot="1">
      <c r="A33" s="50" t="s">
        <v>35</v>
      </c>
      <c r="B33" s="51">
        <f t="shared" si="0"/>
        <v>55</v>
      </c>
      <c r="C33" s="51" t="s">
        <v>3</v>
      </c>
      <c r="D33" s="51">
        <f t="shared" si="1"/>
        <v>160</v>
      </c>
      <c r="E33" s="51" t="s">
        <v>3</v>
      </c>
      <c r="F33" s="110">
        <f t="shared" si="2"/>
        <v>1750</v>
      </c>
      <c r="G33" s="51" t="s">
        <v>3</v>
      </c>
      <c r="H33" s="48">
        <v>2</v>
      </c>
      <c r="I33" s="49" t="s">
        <v>45</v>
      </c>
      <c r="J33" s="184">
        <v>55</v>
      </c>
      <c r="K33" s="113">
        <v>160</v>
      </c>
      <c r="L33" s="113">
        <v>1750</v>
      </c>
      <c r="M33" s="185">
        <v>8.9675285836385719</v>
      </c>
      <c r="N33" s="87">
        <v>162.19276920000001</v>
      </c>
      <c r="O33" s="119">
        <v>18107.909922477942</v>
      </c>
      <c r="P33" s="121">
        <v>21350.02170471874</v>
      </c>
      <c r="Q33" s="310">
        <v>10599.01585504144</v>
      </c>
      <c r="R33" s="314">
        <v>28706.925777519384</v>
      </c>
      <c r="S33" s="315">
        <v>31949.037559760181</v>
      </c>
      <c r="U33" s="7" t="s">
        <v>641</v>
      </c>
    </row>
    <row r="34" spans="1:21" s="74" customFormat="1" ht="16.5" customHeight="1" thickBot="1">
      <c r="A34" s="50" t="s">
        <v>35</v>
      </c>
      <c r="B34" s="51">
        <f t="shared" si="0"/>
        <v>55</v>
      </c>
      <c r="C34" s="51" t="s">
        <v>3</v>
      </c>
      <c r="D34" s="51">
        <f t="shared" si="1"/>
        <v>160</v>
      </c>
      <c r="E34" s="51" t="s">
        <v>3</v>
      </c>
      <c r="F34" s="110">
        <f t="shared" si="2"/>
        <v>1800</v>
      </c>
      <c r="G34" s="51" t="s">
        <v>3</v>
      </c>
      <c r="H34" s="48">
        <v>2</v>
      </c>
      <c r="I34" s="49" t="s">
        <v>45</v>
      </c>
      <c r="J34" s="184">
        <v>55</v>
      </c>
      <c r="K34" s="113">
        <v>160</v>
      </c>
      <c r="L34" s="113">
        <v>1800</v>
      </c>
      <c r="M34" s="185">
        <v>9.2026717050242848</v>
      </c>
      <c r="N34" s="87">
        <v>167.98536810000002</v>
      </c>
      <c r="O34" s="119">
        <v>18480.307387916702</v>
      </c>
      <c r="P34" s="121">
        <v>21806.402058424919</v>
      </c>
      <c r="Q34" s="310">
        <v>10900.649590439065</v>
      </c>
      <c r="R34" s="314">
        <v>29380.956978355767</v>
      </c>
      <c r="S34" s="315">
        <v>32707.051648863984</v>
      </c>
      <c r="U34" s="7" t="s">
        <v>642</v>
      </c>
    </row>
    <row r="35" spans="1:21" s="74" customFormat="1" ht="16.5" customHeight="1" thickBot="1">
      <c r="A35" s="50" t="s">
        <v>35</v>
      </c>
      <c r="B35" s="51">
        <f t="shared" si="0"/>
        <v>55</v>
      </c>
      <c r="C35" s="51" t="s">
        <v>3</v>
      </c>
      <c r="D35" s="51">
        <f t="shared" si="1"/>
        <v>160</v>
      </c>
      <c r="E35" s="51" t="s">
        <v>3</v>
      </c>
      <c r="F35" s="110">
        <f t="shared" si="2"/>
        <v>1850</v>
      </c>
      <c r="G35" s="51" t="s">
        <v>3</v>
      </c>
      <c r="H35" s="48">
        <v>2</v>
      </c>
      <c r="I35" s="49" t="s">
        <v>45</v>
      </c>
      <c r="J35" s="184">
        <v>55</v>
      </c>
      <c r="K35" s="113">
        <v>160</v>
      </c>
      <c r="L35" s="113">
        <v>1850</v>
      </c>
      <c r="M35" s="185">
        <v>9.4378148264100012</v>
      </c>
      <c r="N35" s="87">
        <v>173.77796700000002</v>
      </c>
      <c r="O35" s="119">
        <v>18852.70499374883</v>
      </c>
      <c r="P35" s="121">
        <v>22262.782412131091</v>
      </c>
      <c r="Q35" s="310">
        <v>11202.283466230052</v>
      </c>
      <c r="R35" s="314">
        <v>30054.988459978882</v>
      </c>
      <c r="S35" s="315">
        <v>33465.065878361143</v>
      </c>
      <c r="U35" s="7" t="s">
        <v>643</v>
      </c>
    </row>
    <row r="36" spans="1:21" s="74" customFormat="1" ht="16.5" customHeight="1" thickBot="1">
      <c r="A36" s="50" t="s">
        <v>35</v>
      </c>
      <c r="B36" s="51">
        <f t="shared" si="0"/>
        <v>55</v>
      </c>
      <c r="C36" s="51" t="s">
        <v>3</v>
      </c>
      <c r="D36" s="51">
        <f t="shared" si="1"/>
        <v>160</v>
      </c>
      <c r="E36" s="51" t="s">
        <v>3</v>
      </c>
      <c r="F36" s="110">
        <f t="shared" si="2"/>
        <v>1900</v>
      </c>
      <c r="G36" s="51" t="s">
        <v>3</v>
      </c>
      <c r="H36" s="48">
        <v>2</v>
      </c>
      <c r="I36" s="49" t="s">
        <v>45</v>
      </c>
      <c r="J36" s="184">
        <v>55</v>
      </c>
      <c r="K36" s="113">
        <v>160</v>
      </c>
      <c r="L36" s="113">
        <v>1900</v>
      </c>
      <c r="M36" s="185">
        <v>9.6729579477957124</v>
      </c>
      <c r="N36" s="87">
        <v>179.57056590000002</v>
      </c>
      <c r="O36" s="119">
        <v>19225.10245918759</v>
      </c>
      <c r="P36" s="121">
        <v>22719.162765837267</v>
      </c>
      <c r="Q36" s="310">
        <v>11503.917201627679</v>
      </c>
      <c r="R36" s="314">
        <v>30729.019660815269</v>
      </c>
      <c r="S36" s="315">
        <v>34223.079967464946</v>
      </c>
      <c r="U36" s="7" t="s">
        <v>644</v>
      </c>
    </row>
    <row r="37" spans="1:21" s="74" customFormat="1" ht="16.5" customHeight="1" thickBot="1">
      <c r="A37" s="50" t="s">
        <v>35</v>
      </c>
      <c r="B37" s="51">
        <f t="shared" si="0"/>
        <v>55</v>
      </c>
      <c r="C37" s="51" t="s">
        <v>3</v>
      </c>
      <c r="D37" s="51">
        <f t="shared" si="1"/>
        <v>160</v>
      </c>
      <c r="E37" s="51" t="s">
        <v>3</v>
      </c>
      <c r="F37" s="110">
        <f t="shared" si="2"/>
        <v>1950</v>
      </c>
      <c r="G37" s="51" t="s">
        <v>3</v>
      </c>
      <c r="H37" s="48">
        <v>2</v>
      </c>
      <c r="I37" s="49" t="s">
        <v>45</v>
      </c>
      <c r="J37" s="184">
        <v>55</v>
      </c>
      <c r="K37" s="113">
        <v>160</v>
      </c>
      <c r="L37" s="113">
        <v>1950</v>
      </c>
      <c r="M37" s="185">
        <v>9.9759010691814289</v>
      </c>
      <c r="N37" s="87">
        <v>185.36316480000005</v>
      </c>
      <c r="O37" s="119">
        <v>19641.078164739716</v>
      </c>
      <c r="P37" s="121">
        <v>23217.792957660829</v>
      </c>
      <c r="Q37" s="310">
        <v>11805.550937025304</v>
      </c>
      <c r="R37" s="314">
        <v>31446.629101765022</v>
      </c>
      <c r="S37" s="315">
        <v>35023.343894686135</v>
      </c>
      <c r="U37" s="7" t="s">
        <v>645</v>
      </c>
    </row>
    <row r="38" spans="1:21" s="74" customFormat="1" ht="16.5" customHeight="1" thickBot="1">
      <c r="A38" s="50" t="s">
        <v>35</v>
      </c>
      <c r="B38" s="51">
        <f t="shared" si="0"/>
        <v>55</v>
      </c>
      <c r="C38" s="51" t="s">
        <v>3</v>
      </c>
      <c r="D38" s="51">
        <f t="shared" si="1"/>
        <v>160</v>
      </c>
      <c r="E38" s="51" t="s">
        <v>3</v>
      </c>
      <c r="F38" s="110">
        <f t="shared" si="2"/>
        <v>2000</v>
      </c>
      <c r="G38" s="51" t="s">
        <v>3</v>
      </c>
      <c r="H38" s="48">
        <v>2</v>
      </c>
      <c r="I38" s="49" t="s">
        <v>45</v>
      </c>
      <c r="J38" s="184">
        <v>55</v>
      </c>
      <c r="K38" s="113">
        <v>160</v>
      </c>
      <c r="L38" s="113">
        <v>2000</v>
      </c>
      <c r="M38" s="185">
        <v>10.302614711977144</v>
      </c>
      <c r="N38" s="87">
        <v>191.15576370000002</v>
      </c>
      <c r="O38" s="119">
        <v>20232.491521972279</v>
      </c>
      <c r="P38" s="121">
        <v>23960.418389907642</v>
      </c>
      <c r="Q38" s="310">
        <v>12107.184812816291</v>
      </c>
      <c r="R38" s="314">
        <v>32339.676334788572</v>
      </c>
      <c r="S38" s="315">
        <v>36067.603202723934</v>
      </c>
      <c r="U38" s="7" t="s">
        <v>646</v>
      </c>
    </row>
    <row r="39" spans="1:21" s="74" customFormat="1" ht="16.5" customHeight="1" thickBot="1">
      <c r="A39" s="50" t="s">
        <v>35</v>
      </c>
      <c r="B39" s="51">
        <f t="shared" si="0"/>
        <v>55</v>
      </c>
      <c r="C39" s="51" t="s">
        <v>3</v>
      </c>
      <c r="D39" s="51">
        <f t="shared" si="1"/>
        <v>160</v>
      </c>
      <c r="E39" s="51" t="s">
        <v>3</v>
      </c>
      <c r="F39" s="110">
        <f t="shared" si="2"/>
        <v>2050</v>
      </c>
      <c r="G39" s="51" t="s">
        <v>3</v>
      </c>
      <c r="H39" s="48">
        <v>2</v>
      </c>
      <c r="I39" s="49" t="s">
        <v>45</v>
      </c>
      <c r="J39" s="184">
        <v>55</v>
      </c>
      <c r="K39" s="113">
        <v>160</v>
      </c>
      <c r="L39" s="113">
        <v>2050</v>
      </c>
      <c r="M39" s="185">
        <v>10.537757833362857</v>
      </c>
      <c r="N39" s="87">
        <v>196.94836260000002</v>
      </c>
      <c r="O39" s="119">
        <v>20604.889127804407</v>
      </c>
      <c r="P39" s="121">
        <v>24416.798743613817</v>
      </c>
      <c r="Q39" s="310">
        <v>12408.818548213916</v>
      </c>
      <c r="R39" s="314">
        <v>33013.707676018326</v>
      </c>
      <c r="S39" s="315">
        <v>36825.61729182773</v>
      </c>
      <c r="U39" s="7" t="s">
        <v>647</v>
      </c>
    </row>
    <row r="40" spans="1:21" s="74" customFormat="1" ht="16.5" customHeight="1" thickBot="1">
      <c r="A40" s="47" t="s">
        <v>35</v>
      </c>
      <c r="B40" s="48">
        <f t="shared" si="0"/>
        <v>55</v>
      </c>
      <c r="C40" s="48" t="s">
        <v>3</v>
      </c>
      <c r="D40" s="48">
        <f t="shared" si="1"/>
        <v>160</v>
      </c>
      <c r="E40" s="48" t="s">
        <v>3</v>
      </c>
      <c r="F40" s="110">
        <f t="shared" si="2"/>
        <v>2100</v>
      </c>
      <c r="G40" s="48" t="s">
        <v>3</v>
      </c>
      <c r="H40" s="48">
        <v>2</v>
      </c>
      <c r="I40" s="49" t="s">
        <v>45</v>
      </c>
      <c r="J40" s="184">
        <v>55</v>
      </c>
      <c r="K40" s="113">
        <v>160</v>
      </c>
      <c r="L40" s="113">
        <v>2100</v>
      </c>
      <c r="M40" s="185">
        <v>10.772900954748572</v>
      </c>
      <c r="N40" s="87">
        <v>202.74096150000003</v>
      </c>
      <c r="O40" s="119">
        <v>20977.286593243167</v>
      </c>
      <c r="P40" s="121">
        <v>24873.179097319993</v>
      </c>
      <c r="Q40" s="310">
        <v>12710.452283611541</v>
      </c>
      <c r="R40" s="314">
        <v>33687.73887685471</v>
      </c>
      <c r="S40" s="315">
        <v>37583.631380931532</v>
      </c>
      <c r="U40" s="7" t="s">
        <v>648</v>
      </c>
    </row>
    <row r="41" spans="1:21" s="74" customFormat="1" ht="16.5" customHeight="1" thickBot="1">
      <c r="A41" s="50" t="s">
        <v>35</v>
      </c>
      <c r="B41" s="51">
        <f t="shared" si="0"/>
        <v>55</v>
      </c>
      <c r="C41" s="51" t="s">
        <v>3</v>
      </c>
      <c r="D41" s="51">
        <f t="shared" si="1"/>
        <v>160</v>
      </c>
      <c r="E41" s="51" t="s">
        <v>3</v>
      </c>
      <c r="F41" s="110">
        <f t="shared" si="2"/>
        <v>2150</v>
      </c>
      <c r="G41" s="51" t="s">
        <v>3</v>
      </c>
      <c r="H41" s="48">
        <v>2</v>
      </c>
      <c r="I41" s="49" t="s">
        <v>45</v>
      </c>
      <c r="J41" s="184">
        <v>55</v>
      </c>
      <c r="K41" s="113">
        <v>160</v>
      </c>
      <c r="L41" s="113">
        <v>2150</v>
      </c>
      <c r="M41" s="185">
        <v>11.008044076134285</v>
      </c>
      <c r="N41" s="87">
        <v>208.53356040000003</v>
      </c>
      <c r="O41" s="119">
        <v>21349.684199075295</v>
      </c>
      <c r="P41" s="121">
        <v>25329.559451026165</v>
      </c>
      <c r="Q41" s="310">
        <v>13012.086019009166</v>
      </c>
      <c r="R41" s="314">
        <v>34361.770218084464</v>
      </c>
      <c r="S41" s="315">
        <v>38341.645470035335</v>
      </c>
      <c r="U41" s="7" t="s">
        <v>649</v>
      </c>
    </row>
    <row r="42" spans="1:21" s="74" customFormat="1" ht="16.5" customHeight="1" thickBot="1">
      <c r="A42" s="50" t="s">
        <v>35</v>
      </c>
      <c r="B42" s="51">
        <f t="shared" si="0"/>
        <v>55</v>
      </c>
      <c r="C42" s="51" t="s">
        <v>3</v>
      </c>
      <c r="D42" s="51">
        <f t="shared" si="1"/>
        <v>160</v>
      </c>
      <c r="E42" s="51" t="s">
        <v>3</v>
      </c>
      <c r="F42" s="110">
        <f t="shared" si="2"/>
        <v>2200</v>
      </c>
      <c r="G42" s="51" t="s">
        <v>3</v>
      </c>
      <c r="H42" s="48">
        <v>2</v>
      </c>
      <c r="I42" s="49" t="s">
        <v>45</v>
      </c>
      <c r="J42" s="184">
        <v>55</v>
      </c>
      <c r="K42" s="113">
        <v>160</v>
      </c>
      <c r="L42" s="113">
        <v>2200</v>
      </c>
      <c r="M42" s="185">
        <v>11.243187197519999</v>
      </c>
      <c r="N42" s="87">
        <v>214.32615930000003</v>
      </c>
      <c r="O42" s="119">
        <v>21722.081664514055</v>
      </c>
      <c r="P42" s="121">
        <v>25785.939804732341</v>
      </c>
      <c r="Q42" s="310">
        <v>13313.719894800153</v>
      </c>
      <c r="R42" s="314">
        <v>35035.801559314204</v>
      </c>
      <c r="S42" s="315">
        <v>39099.659699532494</v>
      </c>
      <c r="U42" s="7" t="s">
        <v>650</v>
      </c>
    </row>
    <row r="43" spans="1:21" s="74" customFormat="1" ht="16.5" customHeight="1" thickBot="1">
      <c r="A43" s="50" t="s">
        <v>35</v>
      </c>
      <c r="B43" s="51">
        <f t="shared" si="0"/>
        <v>55</v>
      </c>
      <c r="C43" s="51" t="s">
        <v>3</v>
      </c>
      <c r="D43" s="51">
        <f t="shared" si="1"/>
        <v>160</v>
      </c>
      <c r="E43" s="51" t="s">
        <v>3</v>
      </c>
      <c r="F43" s="110">
        <f t="shared" si="2"/>
        <v>2250</v>
      </c>
      <c r="G43" s="51" t="s">
        <v>3</v>
      </c>
      <c r="H43" s="48">
        <v>2</v>
      </c>
      <c r="I43" s="49" t="s">
        <v>45</v>
      </c>
      <c r="J43" s="184">
        <v>55</v>
      </c>
      <c r="K43" s="113">
        <v>160</v>
      </c>
      <c r="L43" s="113">
        <v>2250</v>
      </c>
      <c r="M43" s="185">
        <v>11.478330318905716</v>
      </c>
      <c r="N43" s="87">
        <v>220.11875820000003</v>
      </c>
      <c r="O43" s="119">
        <v>22094.479270346183</v>
      </c>
      <c r="P43" s="121">
        <v>26242.320158438521</v>
      </c>
      <c r="Q43" s="310">
        <v>13615.353630197778</v>
      </c>
      <c r="R43" s="314">
        <v>35709.832900543959</v>
      </c>
      <c r="S43" s="315">
        <v>39857.673788636297</v>
      </c>
      <c r="U43" s="7" t="s">
        <v>651</v>
      </c>
    </row>
    <row r="44" spans="1:21" s="74" customFormat="1" ht="16.5" customHeight="1" thickBot="1">
      <c r="A44" s="50" t="s">
        <v>35</v>
      </c>
      <c r="B44" s="51">
        <f t="shared" si="0"/>
        <v>55</v>
      </c>
      <c r="C44" s="51" t="s">
        <v>3</v>
      </c>
      <c r="D44" s="51">
        <f t="shared" si="1"/>
        <v>160</v>
      </c>
      <c r="E44" s="51" t="s">
        <v>3</v>
      </c>
      <c r="F44" s="110">
        <f t="shared" si="2"/>
        <v>2300</v>
      </c>
      <c r="G44" s="51" t="s">
        <v>3</v>
      </c>
      <c r="H44" s="48">
        <v>2</v>
      </c>
      <c r="I44" s="49" t="s">
        <v>45</v>
      </c>
      <c r="J44" s="184">
        <v>55</v>
      </c>
      <c r="K44" s="113">
        <v>160</v>
      </c>
      <c r="L44" s="113">
        <v>2300</v>
      </c>
      <c r="M44" s="185">
        <v>11.713473440291429</v>
      </c>
      <c r="N44" s="87">
        <v>225.91135710000003</v>
      </c>
      <c r="O44" s="119">
        <v>22466.876735784943</v>
      </c>
      <c r="P44" s="121">
        <v>26698.700512144693</v>
      </c>
      <c r="Q44" s="310">
        <v>13916.987365595403</v>
      </c>
      <c r="R44" s="314">
        <v>36383.864101380343</v>
      </c>
      <c r="S44" s="315">
        <v>40615.6878777401</v>
      </c>
      <c r="U44" s="7" t="s">
        <v>652</v>
      </c>
    </row>
    <row r="45" spans="1:21" s="74" customFormat="1" ht="16.5" customHeight="1" thickBot="1">
      <c r="A45" s="50" t="s">
        <v>35</v>
      </c>
      <c r="B45" s="51">
        <f t="shared" si="0"/>
        <v>55</v>
      </c>
      <c r="C45" s="51" t="s">
        <v>3</v>
      </c>
      <c r="D45" s="51">
        <f t="shared" si="1"/>
        <v>160</v>
      </c>
      <c r="E45" s="51" t="s">
        <v>3</v>
      </c>
      <c r="F45" s="110">
        <f t="shared" si="2"/>
        <v>2350</v>
      </c>
      <c r="G45" s="51" t="s">
        <v>3</v>
      </c>
      <c r="H45" s="48">
        <v>2</v>
      </c>
      <c r="I45" s="49" t="s">
        <v>45</v>
      </c>
      <c r="J45" s="184">
        <v>55</v>
      </c>
      <c r="K45" s="113">
        <v>160</v>
      </c>
      <c r="L45" s="113">
        <v>2350</v>
      </c>
      <c r="M45" s="185">
        <v>11.948616561677143</v>
      </c>
      <c r="N45" s="87">
        <v>231.70395600000003</v>
      </c>
      <c r="O45" s="119">
        <v>22839.274201223703</v>
      </c>
      <c r="P45" s="121">
        <v>27155.080865850869</v>
      </c>
      <c r="Q45" s="310">
        <v>14218.62124138639</v>
      </c>
      <c r="R45" s="314">
        <v>37057.895442610097</v>
      </c>
      <c r="S45" s="315">
        <v>41373.702107237259</v>
      </c>
      <c r="U45" s="7" t="s">
        <v>653</v>
      </c>
    </row>
    <row r="46" spans="1:21" s="74" customFormat="1" ht="16.5" customHeight="1" thickBot="1">
      <c r="A46" s="50" t="s">
        <v>35</v>
      </c>
      <c r="B46" s="51">
        <f t="shared" si="0"/>
        <v>55</v>
      </c>
      <c r="C46" s="51" t="s">
        <v>3</v>
      </c>
      <c r="D46" s="51">
        <f t="shared" si="1"/>
        <v>160</v>
      </c>
      <c r="E46" s="51" t="s">
        <v>3</v>
      </c>
      <c r="F46" s="110">
        <f t="shared" si="2"/>
        <v>2400</v>
      </c>
      <c r="G46" s="51" t="s">
        <v>3</v>
      </c>
      <c r="H46" s="48">
        <v>2</v>
      </c>
      <c r="I46" s="49" t="s">
        <v>45</v>
      </c>
      <c r="J46" s="184">
        <v>55</v>
      </c>
      <c r="K46" s="113">
        <v>160</v>
      </c>
      <c r="L46" s="113">
        <v>2400</v>
      </c>
      <c r="M46" s="185">
        <v>12.18375968306286</v>
      </c>
      <c r="N46" s="87">
        <v>237.49655490000001</v>
      </c>
      <c r="O46" s="119">
        <v>23211.671807055827</v>
      </c>
      <c r="P46" s="121">
        <v>27611.461219557044</v>
      </c>
      <c r="Q46" s="310">
        <v>14520.254976784016</v>
      </c>
      <c r="R46" s="314">
        <v>37731.926783839845</v>
      </c>
      <c r="S46" s="315">
        <v>42131.716196341062</v>
      </c>
      <c r="U46" s="7" t="s">
        <v>654</v>
      </c>
    </row>
    <row r="47" spans="1:21" s="74" customFormat="1" ht="16.5" customHeight="1" thickBot="1">
      <c r="A47" s="50" t="s">
        <v>35</v>
      </c>
      <c r="B47" s="51">
        <f t="shared" si="0"/>
        <v>55</v>
      </c>
      <c r="C47" s="51" t="s">
        <v>3</v>
      </c>
      <c r="D47" s="51">
        <f t="shared" si="1"/>
        <v>160</v>
      </c>
      <c r="E47" s="51" t="s">
        <v>3</v>
      </c>
      <c r="F47" s="110">
        <f t="shared" si="2"/>
        <v>2450</v>
      </c>
      <c r="G47" s="51" t="s">
        <v>3</v>
      </c>
      <c r="H47" s="48">
        <v>2</v>
      </c>
      <c r="I47" s="49" t="s">
        <v>45</v>
      </c>
      <c r="J47" s="184">
        <v>55</v>
      </c>
      <c r="K47" s="113">
        <v>160</v>
      </c>
      <c r="L47" s="113">
        <v>2450</v>
      </c>
      <c r="M47" s="185">
        <v>12.487889556448572</v>
      </c>
      <c r="N47" s="87">
        <v>243.28915380000004</v>
      </c>
      <c r="O47" s="119">
        <v>24096.532703112003</v>
      </c>
      <c r="P47" s="121">
        <v>28492.956746320728</v>
      </c>
      <c r="Q47" s="310">
        <v>14821.888712181641</v>
      </c>
      <c r="R47" s="314">
        <v>38918.421415293647</v>
      </c>
      <c r="S47" s="315">
        <v>43314.845458502372</v>
      </c>
      <c r="U47" s="7" t="s">
        <v>655</v>
      </c>
    </row>
    <row r="48" spans="1:21" s="74" customFormat="1" ht="16.5" customHeight="1" thickBot="1">
      <c r="A48" s="50" t="s">
        <v>35</v>
      </c>
      <c r="B48" s="51">
        <f t="shared" si="0"/>
        <v>55</v>
      </c>
      <c r="C48" s="51" t="s">
        <v>3</v>
      </c>
      <c r="D48" s="51">
        <f t="shared" si="1"/>
        <v>160</v>
      </c>
      <c r="E48" s="51" t="s">
        <v>3</v>
      </c>
      <c r="F48" s="110">
        <f t="shared" si="2"/>
        <v>2500</v>
      </c>
      <c r="G48" s="51" t="s">
        <v>3</v>
      </c>
      <c r="H48" s="48">
        <v>2</v>
      </c>
      <c r="I48" s="49" t="s">
        <v>45</v>
      </c>
      <c r="J48" s="184">
        <v>55</v>
      </c>
      <c r="K48" s="113">
        <v>160</v>
      </c>
      <c r="L48" s="113">
        <v>2500</v>
      </c>
      <c r="M48" s="185">
        <v>12.723032677834286</v>
      </c>
      <c r="N48" s="87">
        <v>249.08175270000004</v>
      </c>
      <c r="O48" s="119">
        <v>24468.930168550767</v>
      </c>
      <c r="P48" s="121">
        <v>28949.337100026907</v>
      </c>
      <c r="Q48" s="310">
        <v>15123.522587972628</v>
      </c>
      <c r="R48" s="314">
        <v>39592.452756523395</v>
      </c>
      <c r="S48" s="315">
        <v>44072.859687999531</v>
      </c>
      <c r="U48" s="7" t="s">
        <v>656</v>
      </c>
    </row>
    <row r="49" spans="1:21" s="74" customFormat="1" ht="16.5" customHeight="1" thickBot="1">
      <c r="A49" s="50" t="s">
        <v>35</v>
      </c>
      <c r="B49" s="51">
        <f t="shared" si="0"/>
        <v>55</v>
      </c>
      <c r="C49" s="51" t="s">
        <v>3</v>
      </c>
      <c r="D49" s="51">
        <f t="shared" si="1"/>
        <v>160</v>
      </c>
      <c r="E49" s="51" t="s">
        <v>3</v>
      </c>
      <c r="F49" s="110">
        <f t="shared" si="2"/>
        <v>2550</v>
      </c>
      <c r="G49" s="51" t="s">
        <v>3</v>
      </c>
      <c r="H49" s="48">
        <v>2</v>
      </c>
      <c r="I49" s="49" t="s">
        <v>45</v>
      </c>
      <c r="J49" s="184">
        <v>55</v>
      </c>
      <c r="K49" s="113">
        <v>160</v>
      </c>
      <c r="L49" s="113">
        <v>2550</v>
      </c>
      <c r="M49" s="185">
        <v>12.958175799220001</v>
      </c>
      <c r="N49" s="87">
        <v>254.87435160000007</v>
      </c>
      <c r="O49" s="119">
        <v>24841.327774382891</v>
      </c>
      <c r="P49" s="121">
        <v>29405.717453733083</v>
      </c>
      <c r="Q49" s="310">
        <v>15425.156323370253</v>
      </c>
      <c r="R49" s="314">
        <v>40266.484097753142</v>
      </c>
      <c r="S49" s="315">
        <v>44830.873777103334</v>
      </c>
      <c r="U49" s="7" t="s">
        <v>657</v>
      </c>
    </row>
    <row r="50" spans="1:21" s="74" customFormat="1" ht="16.5" customHeight="1" thickBot="1">
      <c r="A50" s="47" t="s">
        <v>35</v>
      </c>
      <c r="B50" s="48">
        <f t="shared" si="0"/>
        <v>55</v>
      </c>
      <c r="C50" s="48" t="s">
        <v>3</v>
      </c>
      <c r="D50" s="48">
        <f t="shared" si="1"/>
        <v>160</v>
      </c>
      <c r="E50" s="48" t="s">
        <v>3</v>
      </c>
      <c r="F50" s="110">
        <f t="shared" si="2"/>
        <v>2600</v>
      </c>
      <c r="G50" s="48" t="s">
        <v>3</v>
      </c>
      <c r="H50" s="48">
        <v>2</v>
      </c>
      <c r="I50" s="49" t="s">
        <v>45</v>
      </c>
      <c r="J50" s="184">
        <v>55</v>
      </c>
      <c r="K50" s="113">
        <v>160</v>
      </c>
      <c r="L50" s="113">
        <v>2600</v>
      </c>
      <c r="M50" s="185">
        <v>13.193318920605716</v>
      </c>
      <c r="N50" s="87">
        <v>260.66695050000004</v>
      </c>
      <c r="O50" s="119">
        <v>25213.725239821651</v>
      </c>
      <c r="P50" s="121">
        <v>29862.097807439259</v>
      </c>
      <c r="Q50" s="310">
        <v>15726.790058767878</v>
      </c>
      <c r="R50" s="314">
        <v>40940.515298589526</v>
      </c>
      <c r="S50" s="315">
        <v>45588.887866207137</v>
      </c>
      <c r="U50" s="7" t="s">
        <v>658</v>
      </c>
    </row>
    <row r="51" spans="1:21" s="74" customFormat="1" ht="16.5" customHeight="1" thickBot="1">
      <c r="A51" s="50" t="s">
        <v>35</v>
      </c>
      <c r="B51" s="51">
        <f t="shared" si="0"/>
        <v>55</v>
      </c>
      <c r="C51" s="51" t="s">
        <v>3</v>
      </c>
      <c r="D51" s="51">
        <f t="shared" si="1"/>
        <v>160</v>
      </c>
      <c r="E51" s="51" t="s">
        <v>3</v>
      </c>
      <c r="F51" s="110">
        <f t="shared" si="2"/>
        <v>2650</v>
      </c>
      <c r="G51" s="51" t="s">
        <v>3</v>
      </c>
      <c r="H51" s="48">
        <v>2</v>
      </c>
      <c r="I51" s="49" t="s">
        <v>45</v>
      </c>
      <c r="J51" s="184">
        <v>55</v>
      </c>
      <c r="K51" s="113">
        <v>160</v>
      </c>
      <c r="L51" s="113">
        <v>2650</v>
      </c>
      <c r="M51" s="185">
        <v>13.42846204199143</v>
      </c>
      <c r="N51" s="87">
        <v>266.45954940000001</v>
      </c>
      <c r="O51" s="119">
        <v>25586.122845653779</v>
      </c>
      <c r="P51" s="121">
        <v>30318.478161145431</v>
      </c>
      <c r="Q51" s="310">
        <v>16028.423934558865</v>
      </c>
      <c r="R51" s="314">
        <v>41614.546780212644</v>
      </c>
      <c r="S51" s="315">
        <v>46346.902095704296</v>
      </c>
      <c r="U51" s="7" t="s">
        <v>659</v>
      </c>
    </row>
    <row r="52" spans="1:21" s="74" customFormat="1" ht="16.5" customHeight="1" thickBot="1">
      <c r="A52" s="50" t="s">
        <v>35</v>
      </c>
      <c r="B52" s="51">
        <f t="shared" si="0"/>
        <v>55</v>
      </c>
      <c r="C52" s="51" t="s">
        <v>3</v>
      </c>
      <c r="D52" s="51">
        <f t="shared" si="1"/>
        <v>160</v>
      </c>
      <c r="E52" s="51" t="s">
        <v>3</v>
      </c>
      <c r="F52" s="110">
        <f t="shared" si="2"/>
        <v>2700</v>
      </c>
      <c r="G52" s="51" t="s">
        <v>3</v>
      </c>
      <c r="H52" s="48">
        <v>2</v>
      </c>
      <c r="I52" s="49" t="s">
        <v>45</v>
      </c>
      <c r="J52" s="184">
        <v>55</v>
      </c>
      <c r="K52" s="113">
        <v>160</v>
      </c>
      <c r="L52" s="113">
        <v>2700</v>
      </c>
      <c r="M52" s="185">
        <v>13.731405163377147</v>
      </c>
      <c r="N52" s="87">
        <v>272.25214830000004</v>
      </c>
      <c r="O52" s="119">
        <v>26002.098551205905</v>
      </c>
      <c r="P52" s="121">
        <v>30817.108352968993</v>
      </c>
      <c r="Q52" s="310">
        <v>16330.05766995649</v>
      </c>
      <c r="R52" s="314">
        <v>42332.156221162397</v>
      </c>
      <c r="S52" s="315">
        <v>47147.166022925485</v>
      </c>
      <c r="U52" s="7" t="s">
        <v>660</v>
      </c>
    </row>
    <row r="53" spans="1:21" s="74" customFormat="1" ht="16.5" customHeight="1" thickBot="1">
      <c r="A53" s="50" t="s">
        <v>35</v>
      </c>
      <c r="B53" s="51">
        <f t="shared" si="0"/>
        <v>55</v>
      </c>
      <c r="C53" s="51" t="s">
        <v>3</v>
      </c>
      <c r="D53" s="51">
        <f t="shared" si="1"/>
        <v>160</v>
      </c>
      <c r="E53" s="51" t="s">
        <v>3</v>
      </c>
      <c r="F53" s="110">
        <f t="shared" si="2"/>
        <v>2750</v>
      </c>
      <c r="G53" s="51" t="s">
        <v>3</v>
      </c>
      <c r="H53" s="48">
        <v>2</v>
      </c>
      <c r="I53" s="49" t="s">
        <v>45</v>
      </c>
      <c r="J53" s="184">
        <v>55</v>
      </c>
      <c r="K53" s="113">
        <v>160</v>
      </c>
      <c r="L53" s="113">
        <v>2750</v>
      </c>
      <c r="M53" s="185">
        <v>13.966548284762858</v>
      </c>
      <c r="N53" s="87">
        <v>278.04474720000002</v>
      </c>
      <c r="O53" s="119">
        <v>26374.496016644669</v>
      </c>
      <c r="P53" s="121">
        <v>31273.488706675169</v>
      </c>
      <c r="Q53" s="310">
        <v>16631.691405354115</v>
      </c>
      <c r="R53" s="314">
        <v>43006.18742199878</v>
      </c>
      <c r="S53" s="315">
        <v>47905.18011202928</v>
      </c>
      <c r="U53" s="7" t="s">
        <v>661</v>
      </c>
    </row>
    <row r="54" spans="1:21" s="74" customFormat="1" ht="16.5" customHeight="1" thickBot="1">
      <c r="A54" s="50" t="s">
        <v>35</v>
      </c>
      <c r="B54" s="51">
        <f t="shared" si="0"/>
        <v>55</v>
      </c>
      <c r="C54" s="51" t="s">
        <v>3</v>
      </c>
      <c r="D54" s="51">
        <f t="shared" si="1"/>
        <v>160</v>
      </c>
      <c r="E54" s="51" t="s">
        <v>3</v>
      </c>
      <c r="F54" s="110">
        <f t="shared" si="2"/>
        <v>2800</v>
      </c>
      <c r="G54" s="51" t="s">
        <v>3</v>
      </c>
      <c r="H54" s="48">
        <v>2</v>
      </c>
      <c r="I54" s="49" t="s">
        <v>45</v>
      </c>
      <c r="J54" s="184">
        <v>55</v>
      </c>
      <c r="K54" s="113">
        <v>160</v>
      </c>
      <c r="L54" s="113">
        <v>2800</v>
      </c>
      <c r="M54" s="185">
        <v>14.201691406148573</v>
      </c>
      <c r="N54" s="87">
        <v>283.83734610000005</v>
      </c>
      <c r="O54" s="119">
        <v>26746.893622476793</v>
      </c>
      <c r="P54" s="121">
        <v>31729.869060381341</v>
      </c>
      <c r="Q54" s="310">
        <v>16933.325140751742</v>
      </c>
      <c r="R54" s="314">
        <v>43680.218763228535</v>
      </c>
      <c r="S54" s="315">
        <v>48663.194201133083</v>
      </c>
      <c r="U54" s="7" t="s">
        <v>662</v>
      </c>
    </row>
    <row r="55" spans="1:21" s="74" customFormat="1" ht="16.5" customHeight="1" thickBot="1">
      <c r="A55" s="50" t="s">
        <v>35</v>
      </c>
      <c r="B55" s="51">
        <f t="shared" si="0"/>
        <v>55</v>
      </c>
      <c r="C55" s="51" t="s">
        <v>3</v>
      </c>
      <c r="D55" s="51">
        <f t="shared" si="1"/>
        <v>160</v>
      </c>
      <c r="E55" s="51" t="s">
        <v>3</v>
      </c>
      <c r="F55" s="110">
        <f t="shared" si="2"/>
        <v>2850</v>
      </c>
      <c r="G55" s="51" t="s">
        <v>3</v>
      </c>
      <c r="H55" s="48">
        <v>2</v>
      </c>
      <c r="I55" s="49" t="s">
        <v>45</v>
      </c>
      <c r="J55" s="184">
        <v>55</v>
      </c>
      <c r="K55" s="113">
        <v>160</v>
      </c>
      <c r="L55" s="113">
        <v>2850</v>
      </c>
      <c r="M55" s="185">
        <v>14.436834527534288</v>
      </c>
      <c r="N55" s="87">
        <v>289.62994500000002</v>
      </c>
      <c r="O55" s="119">
        <v>27119.291087915557</v>
      </c>
      <c r="P55" s="121">
        <v>32186.249414087521</v>
      </c>
      <c r="Q55" s="310">
        <v>17234.959016542729</v>
      </c>
      <c r="R55" s="314">
        <v>44354.25010445829</v>
      </c>
      <c r="S55" s="315">
        <v>49421.208430630249</v>
      </c>
      <c r="U55" s="7" t="s">
        <v>663</v>
      </c>
    </row>
    <row r="56" spans="1:21" s="74" customFormat="1" ht="16.5" customHeight="1" thickBot="1">
      <c r="A56" s="50" t="s">
        <v>35</v>
      </c>
      <c r="B56" s="51">
        <f t="shared" si="0"/>
        <v>55</v>
      </c>
      <c r="C56" s="51" t="s">
        <v>3</v>
      </c>
      <c r="D56" s="51">
        <f t="shared" si="1"/>
        <v>160</v>
      </c>
      <c r="E56" s="51" t="s">
        <v>3</v>
      </c>
      <c r="F56" s="110">
        <f t="shared" si="2"/>
        <v>2900</v>
      </c>
      <c r="G56" s="51" t="s">
        <v>3</v>
      </c>
      <c r="H56" s="48">
        <v>2</v>
      </c>
      <c r="I56" s="49" t="s">
        <v>45</v>
      </c>
      <c r="J56" s="184">
        <v>55</v>
      </c>
      <c r="K56" s="113">
        <v>160</v>
      </c>
      <c r="L56" s="113">
        <v>2900</v>
      </c>
      <c r="M56" s="185">
        <v>14.671977648920002</v>
      </c>
      <c r="N56" s="87">
        <v>295.42254390000005</v>
      </c>
      <c r="O56" s="119">
        <v>27491.688553354317</v>
      </c>
      <c r="P56" s="121">
        <v>32642.629767793696</v>
      </c>
      <c r="Q56" s="310">
        <v>17536.592751940352</v>
      </c>
      <c r="R56" s="314">
        <v>45028.281305294673</v>
      </c>
      <c r="S56" s="315">
        <v>50179.222519734045</v>
      </c>
      <c r="U56" s="7" t="s">
        <v>664</v>
      </c>
    </row>
    <row r="57" spans="1:21" s="74" customFormat="1" ht="16.5" customHeight="1" thickBot="1">
      <c r="A57" s="50" t="s">
        <v>35</v>
      </c>
      <c r="B57" s="51">
        <f t="shared" si="0"/>
        <v>55</v>
      </c>
      <c r="C57" s="51" t="s">
        <v>3</v>
      </c>
      <c r="D57" s="51">
        <f t="shared" si="1"/>
        <v>160</v>
      </c>
      <c r="E57" s="51" t="s">
        <v>3</v>
      </c>
      <c r="F57" s="110">
        <f t="shared" si="2"/>
        <v>2950</v>
      </c>
      <c r="G57" s="51" t="s">
        <v>3</v>
      </c>
      <c r="H57" s="48">
        <v>2</v>
      </c>
      <c r="I57" s="49" t="s">
        <v>45</v>
      </c>
      <c r="J57" s="184">
        <v>55</v>
      </c>
      <c r="K57" s="113">
        <v>160</v>
      </c>
      <c r="L57" s="113">
        <v>2950</v>
      </c>
      <c r="M57" s="185">
        <v>14.907120770305715</v>
      </c>
      <c r="N57" s="87">
        <v>301.21514280000008</v>
      </c>
      <c r="O57" s="119">
        <v>27864.086159186445</v>
      </c>
      <c r="P57" s="121">
        <v>33099.010121499872</v>
      </c>
      <c r="Q57" s="310">
        <v>17838.226487337979</v>
      </c>
      <c r="R57" s="314">
        <v>45702.312646524428</v>
      </c>
      <c r="S57" s="315">
        <v>50937.236608837848</v>
      </c>
      <c r="U57" s="7" t="s">
        <v>665</v>
      </c>
    </row>
    <row r="58" spans="1:21" s="74" customFormat="1" ht="16.5" customHeight="1" thickBot="1">
      <c r="A58" s="52" t="s">
        <v>35</v>
      </c>
      <c r="B58" s="53">
        <f t="shared" si="0"/>
        <v>55</v>
      </c>
      <c r="C58" s="53" t="s">
        <v>3</v>
      </c>
      <c r="D58" s="53">
        <f t="shared" si="1"/>
        <v>160</v>
      </c>
      <c r="E58" s="53" t="s">
        <v>3</v>
      </c>
      <c r="F58" s="111">
        <f t="shared" si="2"/>
        <v>3000</v>
      </c>
      <c r="G58" s="53" t="s">
        <v>3</v>
      </c>
      <c r="H58" s="55">
        <v>2</v>
      </c>
      <c r="I58" s="54" t="s">
        <v>45</v>
      </c>
      <c r="J58" s="184">
        <v>55</v>
      </c>
      <c r="K58" s="157">
        <v>160</v>
      </c>
      <c r="L58" s="157">
        <v>3000</v>
      </c>
      <c r="M58" s="187">
        <v>15.142263891691432</v>
      </c>
      <c r="N58" s="148">
        <v>307.00774170000005</v>
      </c>
      <c r="O58" s="189">
        <v>28236.483624625205</v>
      </c>
      <c r="P58" s="158">
        <v>33555.390475206048</v>
      </c>
      <c r="Q58" s="311">
        <v>18139.860363128966</v>
      </c>
      <c r="R58" s="316">
        <v>46376.343987754168</v>
      </c>
      <c r="S58" s="317">
        <v>51695.250838335014</v>
      </c>
      <c r="U58" s="7" t="s">
        <v>666</v>
      </c>
    </row>
    <row r="59" spans="1:21" s="74" customFormat="1" ht="22.5" customHeight="1" thickBot="1">
      <c r="A59" s="2580" t="s">
        <v>51</v>
      </c>
      <c r="B59" s="2581"/>
      <c r="C59" s="2581"/>
      <c r="D59" s="2581"/>
      <c r="E59" s="2581"/>
      <c r="F59" s="2581"/>
      <c r="G59" s="2581"/>
      <c r="H59" s="2581"/>
      <c r="I59" s="2581"/>
      <c r="J59" s="2581"/>
      <c r="K59" s="2581"/>
      <c r="L59" s="2581"/>
      <c r="M59" s="2581"/>
      <c r="N59" s="2581"/>
      <c r="O59" s="2581"/>
      <c r="P59" s="2581"/>
      <c r="Q59" s="2581"/>
      <c r="R59" s="2657"/>
      <c r="S59" s="2658"/>
      <c r="U59" s="7"/>
    </row>
    <row r="60" spans="1:21" s="74" customFormat="1" ht="22.5" customHeight="1" thickBot="1">
      <c r="A60" s="2624" t="s">
        <v>69</v>
      </c>
      <c r="B60" s="2625"/>
      <c r="C60" s="2625"/>
      <c r="D60" s="2625"/>
      <c r="E60" s="2625"/>
      <c r="F60" s="2625"/>
      <c r="G60" s="2625"/>
      <c r="H60" s="2625"/>
      <c r="I60" s="2625"/>
      <c r="J60" s="2625"/>
      <c r="K60" s="2625"/>
      <c r="L60" s="2625"/>
      <c r="M60" s="2625"/>
      <c r="N60" s="2625"/>
      <c r="O60" s="2625"/>
      <c r="P60" s="2625"/>
      <c r="Q60" s="2625"/>
      <c r="R60" s="2625"/>
      <c r="S60" s="2626"/>
      <c r="U60" s="7"/>
    </row>
    <row r="61" spans="1:21" s="74" customFormat="1" ht="16.5" customHeight="1" thickBot="1">
      <c r="A61" s="2583" t="s">
        <v>137</v>
      </c>
      <c r="B61" s="2584"/>
      <c r="C61" s="2584"/>
      <c r="D61" s="2584"/>
      <c r="E61" s="2584"/>
      <c r="F61" s="2584"/>
      <c r="G61" s="2584"/>
      <c r="H61" s="2584"/>
      <c r="I61" s="2584"/>
      <c r="J61" s="2584"/>
      <c r="K61" s="2584"/>
      <c r="L61" s="2584"/>
      <c r="M61" s="2584"/>
      <c r="N61" s="2584"/>
      <c r="O61" s="2584"/>
      <c r="P61" s="2584"/>
      <c r="Q61" s="2584"/>
      <c r="R61" s="2584"/>
      <c r="S61" s="2585"/>
      <c r="U61" s="7"/>
    </row>
    <row r="62" spans="1:21" s="74" customFormat="1" ht="16.5" customHeight="1" thickBot="1">
      <c r="A62" s="47" t="s">
        <v>35</v>
      </c>
      <c r="B62" s="48">
        <f>J62</f>
        <v>55</v>
      </c>
      <c r="C62" s="48" t="s">
        <v>3</v>
      </c>
      <c r="D62" s="48">
        <f>K62</f>
        <v>200</v>
      </c>
      <c r="E62" s="48" t="s">
        <v>3</v>
      </c>
      <c r="F62" s="110">
        <f>L62</f>
        <v>600</v>
      </c>
      <c r="G62" s="48" t="s">
        <v>3</v>
      </c>
      <c r="H62" s="48">
        <v>2</v>
      </c>
      <c r="I62" s="49" t="s">
        <v>45</v>
      </c>
      <c r="J62" s="181">
        <v>55</v>
      </c>
      <c r="K62" s="168">
        <v>200</v>
      </c>
      <c r="L62" s="168">
        <v>600</v>
      </c>
      <c r="M62" s="182">
        <v>3.8955251297857139</v>
      </c>
      <c r="N62" s="144">
        <v>32.181104999999995</v>
      </c>
      <c r="O62" s="183">
        <v>9221.4698644901273</v>
      </c>
      <c r="P62" s="188">
        <v>10393.269382297689</v>
      </c>
      <c r="Q62" s="169">
        <v>4297.4248212816765</v>
      </c>
      <c r="R62" s="312">
        <v>13518.894685771804</v>
      </c>
      <c r="S62" s="313">
        <v>14690.694203579365</v>
      </c>
      <c r="U62" s="7" t="s">
        <v>667</v>
      </c>
    </row>
    <row r="63" spans="1:21" s="74" customFormat="1" ht="16.5" customHeight="1" thickBot="1">
      <c r="A63" s="50" t="s">
        <v>35</v>
      </c>
      <c r="B63" s="51">
        <f t="shared" ref="B63:B110" si="3">J63</f>
        <v>55</v>
      </c>
      <c r="C63" s="51" t="s">
        <v>3</v>
      </c>
      <c r="D63" s="51">
        <f t="shared" ref="D63:D110" si="4">K63</f>
        <v>200</v>
      </c>
      <c r="E63" s="51" t="s">
        <v>3</v>
      </c>
      <c r="F63" s="110">
        <f t="shared" ref="F63:F110" si="5">L63</f>
        <v>650</v>
      </c>
      <c r="G63" s="51" t="s">
        <v>3</v>
      </c>
      <c r="H63" s="48">
        <v>2</v>
      </c>
      <c r="I63" s="49" t="s">
        <v>45</v>
      </c>
      <c r="J63" s="184">
        <v>55</v>
      </c>
      <c r="K63" s="113">
        <v>200</v>
      </c>
      <c r="L63" s="113">
        <v>650</v>
      </c>
      <c r="M63" s="185">
        <v>4.1619731083142861</v>
      </c>
      <c r="N63" s="87">
        <v>38.617325999999991</v>
      </c>
      <c r="O63" s="121">
        <v>9593.5659053796026</v>
      </c>
      <c r="P63" s="119">
        <v>10849.94203498459</v>
      </c>
      <c r="Q63" s="120">
        <v>4651.2459985678888</v>
      </c>
      <c r="R63" s="314">
        <v>14244.811903947491</v>
      </c>
      <c r="S63" s="315">
        <v>15501.188033552478</v>
      </c>
      <c r="U63" s="7" t="s">
        <v>668</v>
      </c>
    </row>
    <row r="64" spans="1:21" s="74" customFormat="1" ht="16.5" customHeight="1" thickBot="1">
      <c r="A64" s="50" t="s">
        <v>35</v>
      </c>
      <c r="B64" s="51">
        <f t="shared" si="3"/>
        <v>55</v>
      </c>
      <c r="C64" s="51" t="s">
        <v>3</v>
      </c>
      <c r="D64" s="51">
        <f t="shared" si="4"/>
        <v>200</v>
      </c>
      <c r="E64" s="51" t="s">
        <v>3</v>
      </c>
      <c r="F64" s="110">
        <f t="shared" si="5"/>
        <v>700</v>
      </c>
      <c r="G64" s="51" t="s">
        <v>3</v>
      </c>
      <c r="H64" s="48">
        <v>2</v>
      </c>
      <c r="I64" s="49" t="s">
        <v>45</v>
      </c>
      <c r="J64" s="184">
        <v>55</v>
      </c>
      <c r="K64" s="113">
        <v>200</v>
      </c>
      <c r="L64" s="113">
        <v>700</v>
      </c>
      <c r="M64" s="185">
        <v>4.4284210868428566</v>
      </c>
      <c r="N64" s="87">
        <v>45.053546999999988</v>
      </c>
      <c r="O64" s="121">
        <v>9965.6619462690778</v>
      </c>
      <c r="P64" s="119">
        <v>11306.61468767149</v>
      </c>
      <c r="Q64" s="120">
        <v>5005.0671758541012</v>
      </c>
      <c r="R64" s="314">
        <v>14970.729122123179</v>
      </c>
      <c r="S64" s="315">
        <v>16311.681863525591</v>
      </c>
      <c r="U64" s="7" t="s">
        <v>669</v>
      </c>
    </row>
    <row r="65" spans="1:21" s="74" customFormat="1" ht="16.5" customHeight="1" thickBot="1">
      <c r="A65" s="50" t="s">
        <v>35</v>
      </c>
      <c r="B65" s="51">
        <f t="shared" si="3"/>
        <v>55</v>
      </c>
      <c r="C65" s="51" t="s">
        <v>3</v>
      </c>
      <c r="D65" s="51">
        <f t="shared" si="4"/>
        <v>200</v>
      </c>
      <c r="E65" s="51" t="s">
        <v>3</v>
      </c>
      <c r="F65" s="110">
        <f t="shared" si="5"/>
        <v>750</v>
      </c>
      <c r="G65" s="51" t="s">
        <v>3</v>
      </c>
      <c r="H65" s="48">
        <v>2</v>
      </c>
      <c r="I65" s="49" t="s">
        <v>45</v>
      </c>
      <c r="J65" s="184">
        <v>55</v>
      </c>
      <c r="K65" s="113">
        <v>200</v>
      </c>
      <c r="L65" s="113">
        <v>750</v>
      </c>
      <c r="M65" s="185">
        <v>4.6948690653714289</v>
      </c>
      <c r="N65" s="87">
        <v>51.489767999999998</v>
      </c>
      <c r="O65" s="121">
        <v>10337.758127551915</v>
      </c>
      <c r="P65" s="119">
        <v>11763.287199965027</v>
      </c>
      <c r="Q65" s="120">
        <v>5358.8884935336764</v>
      </c>
      <c r="R65" s="314">
        <v>15696.646621085591</v>
      </c>
      <c r="S65" s="315">
        <v>17122.175693498702</v>
      </c>
      <c r="U65" s="7" t="s">
        <v>670</v>
      </c>
    </row>
    <row r="66" spans="1:21" s="74" customFormat="1" ht="16.5" customHeight="1" thickBot="1">
      <c r="A66" s="50" t="s">
        <v>35</v>
      </c>
      <c r="B66" s="51">
        <f t="shared" si="3"/>
        <v>55</v>
      </c>
      <c r="C66" s="51" t="s">
        <v>3</v>
      </c>
      <c r="D66" s="51">
        <f t="shared" si="4"/>
        <v>200</v>
      </c>
      <c r="E66" s="51" t="s">
        <v>3</v>
      </c>
      <c r="F66" s="110">
        <f t="shared" si="5"/>
        <v>800</v>
      </c>
      <c r="G66" s="51" t="s">
        <v>3</v>
      </c>
      <c r="H66" s="48">
        <v>2</v>
      </c>
      <c r="I66" s="49" t="s">
        <v>45</v>
      </c>
      <c r="J66" s="184">
        <v>55</v>
      </c>
      <c r="K66" s="113">
        <v>200</v>
      </c>
      <c r="L66" s="113">
        <v>800</v>
      </c>
      <c r="M66" s="185">
        <v>4.96132611131</v>
      </c>
      <c r="N66" s="87">
        <v>57.925988999999994</v>
      </c>
      <c r="O66" s="121">
        <v>10709.85416844139</v>
      </c>
      <c r="P66" s="119">
        <v>12219.959852651928</v>
      </c>
      <c r="Q66" s="120">
        <v>5712.7096708198887</v>
      </c>
      <c r="R66" s="314">
        <v>16422.563839261278</v>
      </c>
      <c r="S66" s="315">
        <v>17932.669523471817</v>
      </c>
      <c r="U66" s="7" t="s">
        <v>671</v>
      </c>
    </row>
    <row r="67" spans="1:21" s="74" customFormat="1" ht="16.5" customHeight="1" thickBot="1">
      <c r="A67" s="50" t="s">
        <v>35</v>
      </c>
      <c r="B67" s="51">
        <f t="shared" si="3"/>
        <v>55</v>
      </c>
      <c r="C67" s="51" t="s">
        <v>3</v>
      </c>
      <c r="D67" s="51">
        <f t="shared" si="4"/>
        <v>200</v>
      </c>
      <c r="E67" s="51" t="s">
        <v>3</v>
      </c>
      <c r="F67" s="110">
        <f t="shared" si="5"/>
        <v>850</v>
      </c>
      <c r="G67" s="51" t="s">
        <v>3</v>
      </c>
      <c r="H67" s="48">
        <v>2</v>
      </c>
      <c r="I67" s="49" t="s">
        <v>45</v>
      </c>
      <c r="J67" s="184">
        <v>55</v>
      </c>
      <c r="K67" s="113">
        <v>200</v>
      </c>
      <c r="L67" s="113">
        <v>850</v>
      </c>
      <c r="M67" s="185">
        <v>5.2277740898385705</v>
      </c>
      <c r="N67" s="87">
        <v>64.36220999999999</v>
      </c>
      <c r="O67" s="121">
        <v>11081.950209330866</v>
      </c>
      <c r="P67" s="119">
        <v>12676.632505338826</v>
      </c>
      <c r="Q67" s="120">
        <v>6066.5308481061011</v>
      </c>
      <c r="R67" s="314">
        <v>17148.481057436966</v>
      </c>
      <c r="S67" s="315">
        <v>18743.163353444928</v>
      </c>
      <c r="U67" s="7" t="s">
        <v>672</v>
      </c>
    </row>
    <row r="68" spans="1:21" s="74" customFormat="1" ht="16.5" customHeight="1" thickBot="1">
      <c r="A68" s="50" t="s">
        <v>35</v>
      </c>
      <c r="B68" s="51">
        <f t="shared" si="3"/>
        <v>55</v>
      </c>
      <c r="C68" s="51" t="s">
        <v>3</v>
      </c>
      <c r="D68" s="51">
        <f t="shared" si="4"/>
        <v>200</v>
      </c>
      <c r="E68" s="51" t="s">
        <v>3</v>
      </c>
      <c r="F68" s="110">
        <f t="shared" si="5"/>
        <v>900</v>
      </c>
      <c r="G68" s="51" t="s">
        <v>3</v>
      </c>
      <c r="H68" s="48">
        <v>2</v>
      </c>
      <c r="I68" s="49" t="s">
        <v>45</v>
      </c>
      <c r="J68" s="184">
        <v>55</v>
      </c>
      <c r="K68" s="113">
        <v>200</v>
      </c>
      <c r="L68" s="113">
        <v>900</v>
      </c>
      <c r="M68" s="185">
        <v>5.4942220683671437</v>
      </c>
      <c r="N68" s="87">
        <v>70.798430999999994</v>
      </c>
      <c r="O68" s="121">
        <v>11454.046390613703</v>
      </c>
      <c r="P68" s="119">
        <v>13133.305158025727</v>
      </c>
      <c r="Q68" s="120">
        <v>6420.3520253923143</v>
      </c>
      <c r="R68" s="314">
        <v>17874.398416006017</v>
      </c>
      <c r="S68" s="315">
        <v>19553.657183418043</v>
      </c>
      <c r="U68" s="7" t="s">
        <v>673</v>
      </c>
    </row>
    <row r="69" spans="1:21" s="74" customFormat="1" ht="16.5" customHeight="1" thickBot="1">
      <c r="A69" s="50" t="s">
        <v>35</v>
      </c>
      <c r="B69" s="51">
        <f t="shared" si="3"/>
        <v>55</v>
      </c>
      <c r="C69" s="51" t="s">
        <v>3</v>
      </c>
      <c r="D69" s="51">
        <f t="shared" si="4"/>
        <v>200</v>
      </c>
      <c r="E69" s="51" t="s">
        <v>3</v>
      </c>
      <c r="F69" s="110">
        <f t="shared" si="5"/>
        <v>950</v>
      </c>
      <c r="G69" s="51" t="s">
        <v>3</v>
      </c>
      <c r="H69" s="48">
        <v>2</v>
      </c>
      <c r="I69" s="49" t="s">
        <v>45</v>
      </c>
      <c r="J69" s="184">
        <v>55</v>
      </c>
      <c r="K69" s="113">
        <v>200</v>
      </c>
      <c r="L69" s="113">
        <v>950</v>
      </c>
      <c r="M69" s="185">
        <v>5.760670046895715</v>
      </c>
      <c r="N69" s="87">
        <v>77.234651999999983</v>
      </c>
      <c r="O69" s="121">
        <v>11826.142431503178</v>
      </c>
      <c r="P69" s="119">
        <v>13589.977670319266</v>
      </c>
      <c r="Q69" s="120">
        <v>6774.1733430718887</v>
      </c>
      <c r="R69" s="314">
        <v>18600.315774575065</v>
      </c>
      <c r="S69" s="315">
        <v>20364.151013391154</v>
      </c>
      <c r="U69" s="7" t="s">
        <v>674</v>
      </c>
    </row>
    <row r="70" spans="1:21" s="74" customFormat="1" ht="16.5" customHeight="1" thickBot="1">
      <c r="A70" s="50" t="s">
        <v>35</v>
      </c>
      <c r="B70" s="51">
        <f t="shared" si="3"/>
        <v>55</v>
      </c>
      <c r="C70" s="51" t="s">
        <v>3</v>
      </c>
      <c r="D70" s="51">
        <f t="shared" si="4"/>
        <v>200</v>
      </c>
      <c r="E70" s="51" t="s">
        <v>3</v>
      </c>
      <c r="F70" s="110">
        <f t="shared" si="5"/>
        <v>1000</v>
      </c>
      <c r="G70" s="51" t="s">
        <v>3</v>
      </c>
      <c r="H70" s="48">
        <v>2</v>
      </c>
      <c r="I70" s="49" t="s">
        <v>45</v>
      </c>
      <c r="J70" s="184">
        <v>55</v>
      </c>
      <c r="K70" s="113">
        <v>200</v>
      </c>
      <c r="L70" s="113">
        <v>1000</v>
      </c>
      <c r="M70" s="185">
        <v>6.0271180254242864</v>
      </c>
      <c r="N70" s="87">
        <v>83.670872999999986</v>
      </c>
      <c r="O70" s="121">
        <v>12198.238472392652</v>
      </c>
      <c r="P70" s="119">
        <v>14046.650323006164</v>
      </c>
      <c r="Q70" s="120">
        <v>7127.9945203581019</v>
      </c>
      <c r="R70" s="314">
        <v>19326.232992750753</v>
      </c>
      <c r="S70" s="315">
        <v>21174.644843364265</v>
      </c>
      <c r="U70" s="7" t="s">
        <v>675</v>
      </c>
    </row>
    <row r="71" spans="1:21" s="74" customFormat="1" ht="16.5" customHeight="1" thickBot="1">
      <c r="A71" s="50" t="s">
        <v>35</v>
      </c>
      <c r="B71" s="51">
        <f t="shared" si="3"/>
        <v>55</v>
      </c>
      <c r="C71" s="51" t="s">
        <v>3</v>
      </c>
      <c r="D71" s="51">
        <f t="shared" si="4"/>
        <v>200</v>
      </c>
      <c r="E71" s="51" t="s">
        <v>3</v>
      </c>
      <c r="F71" s="110">
        <f t="shared" si="5"/>
        <v>1050</v>
      </c>
      <c r="G71" s="51" t="s">
        <v>3</v>
      </c>
      <c r="H71" s="48">
        <v>2</v>
      </c>
      <c r="I71" s="49" t="s">
        <v>45</v>
      </c>
      <c r="J71" s="184">
        <v>55</v>
      </c>
      <c r="K71" s="113">
        <v>200</v>
      </c>
      <c r="L71" s="113">
        <v>1050</v>
      </c>
      <c r="M71" s="185">
        <v>6.2935660039528578</v>
      </c>
      <c r="N71" s="87">
        <v>90.107093999999975</v>
      </c>
      <c r="O71" s="121">
        <v>12570.334513282129</v>
      </c>
      <c r="P71" s="119">
        <v>14503.322975693065</v>
      </c>
      <c r="Q71" s="120">
        <v>7481.8156976443142</v>
      </c>
      <c r="R71" s="314">
        <v>20052.150210926444</v>
      </c>
      <c r="S71" s="315">
        <v>21985.13867333738</v>
      </c>
      <c r="U71" s="7" t="s">
        <v>676</v>
      </c>
    </row>
    <row r="72" spans="1:21" s="74" customFormat="1" ht="16.5" customHeight="1" thickBot="1">
      <c r="A72" s="47" t="s">
        <v>35</v>
      </c>
      <c r="B72" s="48">
        <f t="shared" si="3"/>
        <v>55</v>
      </c>
      <c r="C72" s="48" t="s">
        <v>3</v>
      </c>
      <c r="D72" s="48">
        <f t="shared" si="4"/>
        <v>200</v>
      </c>
      <c r="E72" s="48" t="s">
        <v>3</v>
      </c>
      <c r="F72" s="110">
        <f t="shared" si="5"/>
        <v>1100</v>
      </c>
      <c r="G72" s="48" t="s">
        <v>3</v>
      </c>
      <c r="H72" s="48">
        <v>2</v>
      </c>
      <c r="I72" s="49" t="s">
        <v>45</v>
      </c>
      <c r="J72" s="184">
        <v>55</v>
      </c>
      <c r="K72" s="113">
        <v>200</v>
      </c>
      <c r="L72" s="113">
        <v>1100</v>
      </c>
      <c r="M72" s="185">
        <v>6.5600139824814292</v>
      </c>
      <c r="N72" s="87">
        <v>96.543314999999978</v>
      </c>
      <c r="O72" s="121">
        <v>12942.430694564966</v>
      </c>
      <c r="P72" s="119">
        <v>14959.995628379966</v>
      </c>
      <c r="Q72" s="120">
        <v>7835.6368749305266</v>
      </c>
      <c r="R72" s="314">
        <v>20778.067569495492</v>
      </c>
      <c r="S72" s="315">
        <v>22795.632503310491</v>
      </c>
      <c r="U72" s="7" t="s">
        <v>677</v>
      </c>
    </row>
    <row r="73" spans="1:21" s="74" customFormat="1" ht="16.5" customHeight="1" thickBot="1">
      <c r="A73" s="50" t="s">
        <v>35</v>
      </c>
      <c r="B73" s="51">
        <f t="shared" si="3"/>
        <v>55</v>
      </c>
      <c r="C73" s="51" t="s">
        <v>3</v>
      </c>
      <c r="D73" s="51">
        <f t="shared" si="4"/>
        <v>200</v>
      </c>
      <c r="E73" s="51" t="s">
        <v>3</v>
      </c>
      <c r="F73" s="110">
        <f t="shared" si="5"/>
        <v>1150</v>
      </c>
      <c r="G73" s="51" t="s">
        <v>3</v>
      </c>
      <c r="H73" s="48">
        <v>2</v>
      </c>
      <c r="I73" s="49" t="s">
        <v>45</v>
      </c>
      <c r="J73" s="184">
        <v>55</v>
      </c>
      <c r="K73" s="113">
        <v>200</v>
      </c>
      <c r="L73" s="113">
        <v>1150</v>
      </c>
      <c r="M73" s="185">
        <v>6.8264619610100006</v>
      </c>
      <c r="N73" s="87">
        <v>102.979536</v>
      </c>
      <c r="O73" s="121">
        <v>13314.526735454439</v>
      </c>
      <c r="P73" s="119">
        <v>15416.668140673502</v>
      </c>
      <c r="Q73" s="120">
        <v>8189.4580522167398</v>
      </c>
      <c r="R73" s="314">
        <v>21503.984787671179</v>
      </c>
      <c r="S73" s="315">
        <v>23606.126192890242</v>
      </c>
      <c r="U73" s="7" t="s">
        <v>678</v>
      </c>
    </row>
    <row r="74" spans="1:21" s="74" customFormat="1" ht="16.5" customHeight="1" thickBot="1">
      <c r="A74" s="50" t="s">
        <v>35</v>
      </c>
      <c r="B74" s="51">
        <f t="shared" si="3"/>
        <v>55</v>
      </c>
      <c r="C74" s="51" t="s">
        <v>3</v>
      </c>
      <c r="D74" s="51">
        <f t="shared" si="4"/>
        <v>200</v>
      </c>
      <c r="E74" s="51" t="s">
        <v>3</v>
      </c>
      <c r="F74" s="110">
        <f t="shared" si="5"/>
        <v>1200</v>
      </c>
      <c r="G74" s="51" t="s">
        <v>3</v>
      </c>
      <c r="H74" s="48">
        <v>2</v>
      </c>
      <c r="I74" s="49" t="s">
        <v>45</v>
      </c>
      <c r="J74" s="184">
        <v>55</v>
      </c>
      <c r="K74" s="113">
        <v>200</v>
      </c>
      <c r="L74" s="113">
        <v>1200</v>
      </c>
      <c r="M74" s="185">
        <v>7.1607099395385729</v>
      </c>
      <c r="N74" s="87">
        <v>109.41575699999999</v>
      </c>
      <c r="O74" s="121">
        <v>13730.201016457278</v>
      </c>
      <c r="P74" s="119">
        <v>15915.590631477791</v>
      </c>
      <c r="Q74" s="120">
        <v>8543.2793698963142</v>
      </c>
      <c r="R74" s="314">
        <v>22273.480386353593</v>
      </c>
      <c r="S74" s="315">
        <v>24458.870001374104</v>
      </c>
      <c r="U74" s="7" t="s">
        <v>679</v>
      </c>
    </row>
    <row r="75" spans="1:21" s="74" customFormat="1" ht="16.5" customHeight="1" thickBot="1">
      <c r="A75" s="50" t="s">
        <v>35</v>
      </c>
      <c r="B75" s="51">
        <f t="shared" si="3"/>
        <v>55</v>
      </c>
      <c r="C75" s="51" t="s">
        <v>3</v>
      </c>
      <c r="D75" s="51">
        <f t="shared" si="4"/>
        <v>200</v>
      </c>
      <c r="E75" s="51" t="s">
        <v>3</v>
      </c>
      <c r="F75" s="110">
        <f t="shared" si="5"/>
        <v>1250</v>
      </c>
      <c r="G75" s="51" t="s">
        <v>3</v>
      </c>
      <c r="H75" s="48">
        <v>2</v>
      </c>
      <c r="I75" s="49" t="s">
        <v>45</v>
      </c>
      <c r="J75" s="184">
        <v>55</v>
      </c>
      <c r="K75" s="113">
        <v>200</v>
      </c>
      <c r="L75" s="113">
        <v>1250</v>
      </c>
      <c r="M75" s="185">
        <v>7.4271579180671434</v>
      </c>
      <c r="N75" s="87">
        <v>115.85197799999999</v>
      </c>
      <c r="O75" s="121">
        <v>14102.297057346752</v>
      </c>
      <c r="P75" s="119">
        <v>16372.263284164692</v>
      </c>
      <c r="Q75" s="120">
        <v>8897.1005471825265</v>
      </c>
      <c r="R75" s="314">
        <v>22999.39760452928</v>
      </c>
      <c r="S75" s="315">
        <v>25269.363831347218</v>
      </c>
      <c r="U75" s="7" t="s">
        <v>680</v>
      </c>
    </row>
    <row r="76" spans="1:21" s="74" customFormat="1" ht="16.5" customHeight="1" thickBot="1">
      <c r="A76" s="50" t="s">
        <v>35</v>
      </c>
      <c r="B76" s="51">
        <f t="shared" si="3"/>
        <v>55</v>
      </c>
      <c r="C76" s="51" t="s">
        <v>3</v>
      </c>
      <c r="D76" s="51">
        <f t="shared" si="4"/>
        <v>200</v>
      </c>
      <c r="E76" s="51" t="s">
        <v>3</v>
      </c>
      <c r="F76" s="110">
        <f t="shared" si="5"/>
        <v>1300</v>
      </c>
      <c r="G76" s="51" t="s">
        <v>3</v>
      </c>
      <c r="H76" s="48">
        <v>2</v>
      </c>
      <c r="I76" s="49" t="s">
        <v>45</v>
      </c>
      <c r="J76" s="184">
        <v>55</v>
      </c>
      <c r="K76" s="113">
        <v>200</v>
      </c>
      <c r="L76" s="113">
        <v>1300</v>
      </c>
      <c r="M76" s="185">
        <v>7.6936058965957139</v>
      </c>
      <c r="N76" s="87">
        <v>122.28819899999998</v>
      </c>
      <c r="O76" s="121">
        <v>14474.393098236229</v>
      </c>
      <c r="P76" s="119">
        <v>16828.935936851591</v>
      </c>
      <c r="Q76" s="120">
        <v>9250.9217244687388</v>
      </c>
      <c r="R76" s="314">
        <v>23725.314822704968</v>
      </c>
      <c r="S76" s="315">
        <v>26079.857661320329</v>
      </c>
      <c r="U76" s="7" t="s">
        <v>681</v>
      </c>
    </row>
    <row r="77" spans="1:21" s="74" customFormat="1" ht="16.5" customHeight="1" thickBot="1">
      <c r="A77" s="50" t="s">
        <v>35</v>
      </c>
      <c r="B77" s="51">
        <f t="shared" si="3"/>
        <v>55</v>
      </c>
      <c r="C77" s="51" t="s">
        <v>3</v>
      </c>
      <c r="D77" s="51">
        <f t="shared" si="4"/>
        <v>200</v>
      </c>
      <c r="E77" s="51" t="s">
        <v>3</v>
      </c>
      <c r="F77" s="110">
        <f t="shared" si="5"/>
        <v>1350</v>
      </c>
      <c r="G77" s="51" t="s">
        <v>3</v>
      </c>
      <c r="H77" s="48">
        <v>2</v>
      </c>
      <c r="I77" s="49" t="s">
        <v>45</v>
      </c>
      <c r="J77" s="184">
        <v>55</v>
      </c>
      <c r="K77" s="113">
        <v>200</v>
      </c>
      <c r="L77" s="113">
        <v>1350</v>
      </c>
      <c r="M77" s="185">
        <v>7.9600538751242862</v>
      </c>
      <c r="N77" s="87">
        <v>128.72441999999998</v>
      </c>
      <c r="O77" s="121">
        <v>14846.489279519066</v>
      </c>
      <c r="P77" s="119">
        <v>17285.608589538489</v>
      </c>
      <c r="Q77" s="120">
        <v>9604.7429017549512</v>
      </c>
      <c r="R77" s="314">
        <v>24451.232181274019</v>
      </c>
      <c r="S77" s="315">
        <v>26890.351491293441</v>
      </c>
      <c r="U77" s="7" t="s">
        <v>682</v>
      </c>
    </row>
    <row r="78" spans="1:21" s="74" customFormat="1" ht="16.5" customHeight="1" thickBot="1">
      <c r="A78" s="50" t="s">
        <v>35</v>
      </c>
      <c r="B78" s="51">
        <f t="shared" si="3"/>
        <v>55</v>
      </c>
      <c r="C78" s="51" t="s">
        <v>3</v>
      </c>
      <c r="D78" s="51">
        <f t="shared" si="4"/>
        <v>200</v>
      </c>
      <c r="E78" s="51" t="s">
        <v>3</v>
      </c>
      <c r="F78" s="110">
        <f t="shared" si="5"/>
        <v>1400</v>
      </c>
      <c r="G78" s="51" t="s">
        <v>3</v>
      </c>
      <c r="H78" s="48">
        <v>2</v>
      </c>
      <c r="I78" s="49" t="s">
        <v>45</v>
      </c>
      <c r="J78" s="184">
        <v>55</v>
      </c>
      <c r="K78" s="113">
        <v>200</v>
      </c>
      <c r="L78" s="113">
        <v>1400</v>
      </c>
      <c r="M78" s="185">
        <v>8.2265018536528576</v>
      </c>
      <c r="N78" s="87">
        <v>135.160641</v>
      </c>
      <c r="O78" s="121">
        <v>15218.58532040854</v>
      </c>
      <c r="P78" s="119">
        <v>17742.281101832028</v>
      </c>
      <c r="Q78" s="120">
        <v>9958.5642194345273</v>
      </c>
      <c r="R78" s="314">
        <v>25177.149539843067</v>
      </c>
      <c r="S78" s="315">
        <v>27700.845321266555</v>
      </c>
      <c r="U78" s="7" t="s">
        <v>683</v>
      </c>
    </row>
    <row r="79" spans="1:21" s="74" customFormat="1" ht="16.5" customHeight="1" thickBot="1">
      <c r="A79" s="50" t="s">
        <v>35</v>
      </c>
      <c r="B79" s="51">
        <f t="shared" si="3"/>
        <v>55</v>
      </c>
      <c r="C79" s="51" t="s">
        <v>3</v>
      </c>
      <c r="D79" s="51">
        <f t="shared" si="4"/>
        <v>200</v>
      </c>
      <c r="E79" s="51" t="s">
        <v>3</v>
      </c>
      <c r="F79" s="110">
        <f t="shared" si="5"/>
        <v>1450</v>
      </c>
      <c r="G79" s="51" t="s">
        <v>3</v>
      </c>
      <c r="H79" s="48">
        <v>2</v>
      </c>
      <c r="I79" s="49" t="s">
        <v>45</v>
      </c>
      <c r="J79" s="184">
        <v>55</v>
      </c>
      <c r="K79" s="113">
        <v>200</v>
      </c>
      <c r="L79" s="113">
        <v>1450</v>
      </c>
      <c r="M79" s="185">
        <v>8.4929498321814307</v>
      </c>
      <c r="N79" s="87">
        <v>141.59686199999999</v>
      </c>
      <c r="O79" s="121">
        <v>15590.681361298017</v>
      </c>
      <c r="P79" s="119">
        <v>18198.953754518927</v>
      </c>
      <c r="Q79" s="120">
        <v>10312.38539672074</v>
      </c>
      <c r="R79" s="314">
        <v>25903.066758018758</v>
      </c>
      <c r="S79" s="315">
        <v>28511.339151239667</v>
      </c>
      <c r="U79" s="7" t="s">
        <v>684</v>
      </c>
    </row>
    <row r="80" spans="1:21" s="74" customFormat="1" ht="16.5" customHeight="1" thickBot="1">
      <c r="A80" s="50" t="s">
        <v>35</v>
      </c>
      <c r="B80" s="51">
        <f t="shared" si="3"/>
        <v>55</v>
      </c>
      <c r="C80" s="51" t="s">
        <v>3</v>
      </c>
      <c r="D80" s="51">
        <f t="shared" si="4"/>
        <v>200</v>
      </c>
      <c r="E80" s="51" t="s">
        <v>3</v>
      </c>
      <c r="F80" s="110">
        <f t="shared" si="5"/>
        <v>1500</v>
      </c>
      <c r="G80" s="51" t="s">
        <v>3</v>
      </c>
      <c r="H80" s="48">
        <v>2</v>
      </c>
      <c r="I80" s="49" t="s">
        <v>45</v>
      </c>
      <c r="J80" s="184">
        <v>55</v>
      </c>
      <c r="K80" s="113">
        <v>200</v>
      </c>
      <c r="L80" s="113">
        <v>1500</v>
      </c>
      <c r="M80" s="185">
        <v>8.8483807227099991</v>
      </c>
      <c r="N80" s="87">
        <v>148.03308299999998</v>
      </c>
      <c r="O80" s="121">
        <v>16475.240832804902</v>
      </c>
      <c r="P80" s="119">
        <v>19080.74158026334</v>
      </c>
      <c r="Q80" s="120">
        <v>10666.206574006952</v>
      </c>
      <c r="R80" s="314">
        <v>27141.447406811854</v>
      </c>
      <c r="S80" s="315">
        <v>29746.948154270292</v>
      </c>
      <c r="U80" s="7" t="s">
        <v>685</v>
      </c>
    </row>
    <row r="81" spans="1:21" s="74" customFormat="1" ht="16.5" customHeight="1" thickBot="1">
      <c r="A81" s="50" t="s">
        <v>35</v>
      </c>
      <c r="B81" s="51">
        <f t="shared" si="3"/>
        <v>55</v>
      </c>
      <c r="C81" s="51" t="s">
        <v>3</v>
      </c>
      <c r="D81" s="51">
        <f t="shared" si="4"/>
        <v>200</v>
      </c>
      <c r="E81" s="51" t="s">
        <v>3</v>
      </c>
      <c r="F81" s="110">
        <f t="shared" si="5"/>
        <v>1550</v>
      </c>
      <c r="G81" s="51" t="s">
        <v>3</v>
      </c>
      <c r="H81" s="48">
        <v>2</v>
      </c>
      <c r="I81" s="49" t="s">
        <v>45</v>
      </c>
      <c r="J81" s="184">
        <v>55</v>
      </c>
      <c r="K81" s="113">
        <v>200</v>
      </c>
      <c r="L81" s="113">
        <v>1550</v>
      </c>
      <c r="M81" s="185">
        <v>9.1148287012385705</v>
      </c>
      <c r="N81" s="87">
        <v>154.46930399999997</v>
      </c>
      <c r="O81" s="121">
        <v>16847.336873694378</v>
      </c>
      <c r="P81" s="119">
        <v>19537.414092556879</v>
      </c>
      <c r="Q81" s="120">
        <v>11020.027751293164</v>
      </c>
      <c r="R81" s="314">
        <v>27867.364624987542</v>
      </c>
      <c r="S81" s="315">
        <v>30557.441843850043</v>
      </c>
      <c r="U81" s="7" t="s">
        <v>686</v>
      </c>
    </row>
    <row r="82" spans="1:21" s="74" customFormat="1" ht="16.5" customHeight="1" thickBot="1">
      <c r="A82" s="47" t="s">
        <v>35</v>
      </c>
      <c r="B82" s="48">
        <f t="shared" si="3"/>
        <v>55</v>
      </c>
      <c r="C82" s="48" t="s">
        <v>3</v>
      </c>
      <c r="D82" s="48">
        <f t="shared" si="4"/>
        <v>200</v>
      </c>
      <c r="E82" s="48" t="s">
        <v>3</v>
      </c>
      <c r="F82" s="110">
        <f t="shared" si="5"/>
        <v>1600</v>
      </c>
      <c r="G82" s="48" t="s">
        <v>3</v>
      </c>
      <c r="H82" s="48">
        <v>2</v>
      </c>
      <c r="I82" s="49" t="s">
        <v>45</v>
      </c>
      <c r="J82" s="184">
        <v>55</v>
      </c>
      <c r="K82" s="113">
        <v>200</v>
      </c>
      <c r="L82" s="113">
        <v>1600</v>
      </c>
      <c r="M82" s="185">
        <v>9.3812766797671419</v>
      </c>
      <c r="N82" s="87">
        <v>160.90552499999998</v>
      </c>
      <c r="O82" s="121">
        <v>17219.432914583853</v>
      </c>
      <c r="P82" s="119">
        <v>19994.086745243778</v>
      </c>
      <c r="Q82" s="120">
        <v>11373.848928579377</v>
      </c>
      <c r="R82" s="314">
        <v>28593.281843163229</v>
      </c>
      <c r="S82" s="315">
        <v>31367.935673823155</v>
      </c>
      <c r="U82" s="7" t="s">
        <v>687</v>
      </c>
    </row>
    <row r="83" spans="1:21" s="74" customFormat="1" ht="16.5" customHeight="1" thickBot="1">
      <c r="A83" s="50" t="s">
        <v>35</v>
      </c>
      <c r="B83" s="51">
        <f t="shared" si="3"/>
        <v>55</v>
      </c>
      <c r="C83" s="51" t="s">
        <v>3</v>
      </c>
      <c r="D83" s="51">
        <f t="shared" si="4"/>
        <v>200</v>
      </c>
      <c r="E83" s="51" t="s">
        <v>3</v>
      </c>
      <c r="F83" s="110">
        <f t="shared" si="5"/>
        <v>1650</v>
      </c>
      <c r="G83" s="51" t="s">
        <v>3</v>
      </c>
      <c r="H83" s="48">
        <v>2</v>
      </c>
      <c r="I83" s="49" t="s">
        <v>45</v>
      </c>
      <c r="J83" s="184">
        <v>55</v>
      </c>
      <c r="K83" s="113">
        <v>200</v>
      </c>
      <c r="L83" s="113">
        <v>1650</v>
      </c>
      <c r="M83" s="185">
        <v>9.647724658295715</v>
      </c>
      <c r="N83" s="87">
        <v>167.34174599999997</v>
      </c>
      <c r="O83" s="121">
        <v>17591.529095866692</v>
      </c>
      <c r="P83" s="119">
        <v>20450.75939793068</v>
      </c>
      <c r="Q83" s="120">
        <v>11727.670246258953</v>
      </c>
      <c r="R83" s="314">
        <v>29319.199342125645</v>
      </c>
      <c r="S83" s="315">
        <v>32178.429644189633</v>
      </c>
      <c r="U83" s="7" t="s">
        <v>688</v>
      </c>
    </row>
    <row r="84" spans="1:21" s="74" customFormat="1" ht="16.5" customHeight="1" thickBot="1">
      <c r="A84" s="50" t="s">
        <v>35</v>
      </c>
      <c r="B84" s="51">
        <f t="shared" si="3"/>
        <v>55</v>
      </c>
      <c r="C84" s="51" t="s">
        <v>3</v>
      </c>
      <c r="D84" s="51">
        <f t="shared" si="4"/>
        <v>200</v>
      </c>
      <c r="E84" s="51" t="s">
        <v>3</v>
      </c>
      <c r="F84" s="110">
        <f t="shared" si="5"/>
        <v>1700</v>
      </c>
      <c r="G84" s="51" t="s">
        <v>3</v>
      </c>
      <c r="H84" s="48">
        <v>2</v>
      </c>
      <c r="I84" s="49" t="s">
        <v>45</v>
      </c>
      <c r="J84" s="184">
        <v>55</v>
      </c>
      <c r="K84" s="113">
        <v>200</v>
      </c>
      <c r="L84" s="113">
        <v>1700</v>
      </c>
      <c r="M84" s="185">
        <v>9.9141726368242864</v>
      </c>
      <c r="N84" s="87">
        <v>173.77796699999999</v>
      </c>
      <c r="O84" s="121">
        <v>17963.625136756167</v>
      </c>
      <c r="P84" s="119">
        <v>20907.432050617579</v>
      </c>
      <c r="Q84" s="120">
        <v>12081.491423545167</v>
      </c>
      <c r="R84" s="314">
        <v>30045.116560301336</v>
      </c>
      <c r="S84" s="315">
        <v>32988.923474162744</v>
      </c>
      <c r="U84" s="7" t="s">
        <v>689</v>
      </c>
    </row>
    <row r="85" spans="1:21" s="74" customFormat="1" ht="16.5" customHeight="1" thickBot="1">
      <c r="A85" s="50" t="s">
        <v>35</v>
      </c>
      <c r="B85" s="51">
        <f t="shared" si="3"/>
        <v>55</v>
      </c>
      <c r="C85" s="51" t="s">
        <v>3</v>
      </c>
      <c r="D85" s="51">
        <f t="shared" si="4"/>
        <v>200</v>
      </c>
      <c r="E85" s="51" t="s">
        <v>3</v>
      </c>
      <c r="F85" s="110">
        <f t="shared" si="5"/>
        <v>1750</v>
      </c>
      <c r="G85" s="51" t="s">
        <v>3</v>
      </c>
      <c r="H85" s="48">
        <v>2</v>
      </c>
      <c r="I85" s="49" t="s">
        <v>45</v>
      </c>
      <c r="J85" s="184">
        <v>55</v>
      </c>
      <c r="K85" s="113">
        <v>200</v>
      </c>
      <c r="L85" s="113">
        <v>1750</v>
      </c>
      <c r="M85" s="185">
        <v>10.180620615352858</v>
      </c>
      <c r="N85" s="87">
        <v>180.21418799999995</v>
      </c>
      <c r="O85" s="121">
        <v>18335.721177645642</v>
      </c>
      <c r="P85" s="119">
        <v>21364.104562911118</v>
      </c>
      <c r="Q85" s="120">
        <v>12435.312600831377</v>
      </c>
      <c r="R85" s="314">
        <v>30771.03377847702</v>
      </c>
      <c r="S85" s="315">
        <v>33799.417163742495</v>
      </c>
      <c r="U85" s="7" t="s">
        <v>690</v>
      </c>
    </row>
    <row r="86" spans="1:21" s="74" customFormat="1" ht="16.5" customHeight="1" thickBot="1">
      <c r="A86" s="50" t="s">
        <v>35</v>
      </c>
      <c r="B86" s="51">
        <f t="shared" si="3"/>
        <v>55</v>
      </c>
      <c r="C86" s="51" t="s">
        <v>3</v>
      </c>
      <c r="D86" s="51">
        <f t="shared" si="4"/>
        <v>200</v>
      </c>
      <c r="E86" s="51" t="s">
        <v>3</v>
      </c>
      <c r="F86" s="110">
        <f t="shared" si="5"/>
        <v>1800</v>
      </c>
      <c r="G86" s="51" t="s">
        <v>3</v>
      </c>
      <c r="H86" s="48">
        <v>2</v>
      </c>
      <c r="I86" s="49" t="s">
        <v>45</v>
      </c>
      <c r="J86" s="184">
        <v>55</v>
      </c>
      <c r="K86" s="113">
        <v>200</v>
      </c>
      <c r="L86" s="113">
        <v>1800</v>
      </c>
      <c r="M86" s="185">
        <v>10.447068593881429</v>
      </c>
      <c r="N86" s="87">
        <v>186.65040899999997</v>
      </c>
      <c r="O86" s="121">
        <v>18707.817358928478</v>
      </c>
      <c r="P86" s="119">
        <v>21820.77721559802</v>
      </c>
      <c r="Q86" s="120">
        <v>12789.13377811759</v>
      </c>
      <c r="R86" s="314">
        <v>31496.951137046068</v>
      </c>
      <c r="S86" s="315">
        <v>34609.91099371561</v>
      </c>
      <c r="U86" s="7" t="s">
        <v>691</v>
      </c>
    </row>
    <row r="87" spans="1:21" s="74" customFormat="1" ht="16.5" customHeight="1" thickBot="1">
      <c r="A87" s="50" t="s">
        <v>35</v>
      </c>
      <c r="B87" s="51">
        <f t="shared" si="3"/>
        <v>55</v>
      </c>
      <c r="C87" s="51" t="s">
        <v>3</v>
      </c>
      <c r="D87" s="51">
        <f t="shared" si="4"/>
        <v>200</v>
      </c>
      <c r="E87" s="51" t="s">
        <v>3</v>
      </c>
      <c r="F87" s="110">
        <f t="shared" si="5"/>
        <v>1850</v>
      </c>
      <c r="G87" s="51" t="s">
        <v>3</v>
      </c>
      <c r="H87" s="48">
        <v>2</v>
      </c>
      <c r="I87" s="49" t="s">
        <v>45</v>
      </c>
      <c r="J87" s="184">
        <v>55</v>
      </c>
      <c r="K87" s="113">
        <v>200</v>
      </c>
      <c r="L87" s="113">
        <v>1850</v>
      </c>
      <c r="M87" s="185">
        <v>10.713516572410001</v>
      </c>
      <c r="N87" s="87">
        <v>193.08662999999996</v>
      </c>
      <c r="O87" s="121">
        <v>19079.913399817953</v>
      </c>
      <c r="P87" s="119">
        <v>22277.449868284915</v>
      </c>
      <c r="Q87" s="120">
        <v>13142.955095797164</v>
      </c>
      <c r="R87" s="314">
        <v>32222.868495615119</v>
      </c>
      <c r="S87" s="315">
        <v>35420.404964082081</v>
      </c>
      <c r="U87" s="7" t="s">
        <v>692</v>
      </c>
    </row>
    <row r="88" spans="1:21" s="74" customFormat="1" ht="16.5" customHeight="1" thickBot="1">
      <c r="A88" s="50" t="s">
        <v>35</v>
      </c>
      <c r="B88" s="51">
        <f t="shared" si="3"/>
        <v>55</v>
      </c>
      <c r="C88" s="51" t="s">
        <v>3</v>
      </c>
      <c r="D88" s="51">
        <f t="shared" si="4"/>
        <v>200</v>
      </c>
      <c r="E88" s="51" t="s">
        <v>3</v>
      </c>
      <c r="F88" s="110">
        <f t="shared" si="5"/>
        <v>1900</v>
      </c>
      <c r="G88" s="51" t="s">
        <v>3</v>
      </c>
      <c r="H88" s="48">
        <v>2</v>
      </c>
      <c r="I88" s="49" t="s">
        <v>45</v>
      </c>
      <c r="J88" s="184">
        <v>55</v>
      </c>
      <c r="K88" s="113">
        <v>200</v>
      </c>
      <c r="L88" s="113">
        <v>1900</v>
      </c>
      <c r="M88" s="185">
        <v>10.979964550938572</v>
      </c>
      <c r="N88" s="87">
        <v>199.52285099999997</v>
      </c>
      <c r="O88" s="121">
        <v>19452.009440707428</v>
      </c>
      <c r="P88" s="119">
        <v>22734.122520971818</v>
      </c>
      <c r="Q88" s="120">
        <v>13496.776273083377</v>
      </c>
      <c r="R88" s="314">
        <v>32948.785713790807</v>
      </c>
      <c r="S88" s="315">
        <v>36230.898794055196</v>
      </c>
      <c r="U88" s="7" t="s">
        <v>693</v>
      </c>
    </row>
    <row r="89" spans="1:21" s="74" customFormat="1" ht="16.5" customHeight="1" thickBot="1">
      <c r="A89" s="50" t="s">
        <v>35</v>
      </c>
      <c r="B89" s="51">
        <f t="shared" si="3"/>
        <v>55</v>
      </c>
      <c r="C89" s="51" t="s">
        <v>3</v>
      </c>
      <c r="D89" s="51">
        <f t="shared" si="4"/>
        <v>200</v>
      </c>
      <c r="E89" s="51" t="s">
        <v>3</v>
      </c>
      <c r="F89" s="110">
        <f t="shared" si="5"/>
        <v>1950</v>
      </c>
      <c r="G89" s="51" t="s">
        <v>3</v>
      </c>
      <c r="H89" s="48">
        <v>2</v>
      </c>
      <c r="I89" s="49" t="s">
        <v>45</v>
      </c>
      <c r="J89" s="184">
        <v>55</v>
      </c>
      <c r="K89" s="113">
        <v>200</v>
      </c>
      <c r="L89" s="113">
        <v>1950</v>
      </c>
      <c r="M89" s="185">
        <v>11.314212529467145</v>
      </c>
      <c r="N89" s="87">
        <v>205.95907199999999</v>
      </c>
      <c r="O89" s="121">
        <v>19867.683721710266</v>
      </c>
      <c r="P89" s="119">
        <v>23233.045011776103</v>
      </c>
      <c r="Q89" s="120">
        <v>13850.597450369591</v>
      </c>
      <c r="R89" s="314">
        <v>33718.281172079856</v>
      </c>
      <c r="S89" s="315">
        <v>37083.642462145697</v>
      </c>
      <c r="U89" s="7" t="s">
        <v>694</v>
      </c>
    </row>
    <row r="90" spans="1:21" s="74" customFormat="1" ht="16.5" customHeight="1" thickBot="1">
      <c r="A90" s="50" t="s">
        <v>35</v>
      </c>
      <c r="B90" s="51">
        <f t="shared" si="3"/>
        <v>55</v>
      </c>
      <c r="C90" s="51" t="s">
        <v>3</v>
      </c>
      <c r="D90" s="51">
        <f t="shared" si="4"/>
        <v>200</v>
      </c>
      <c r="E90" s="51" t="s">
        <v>3</v>
      </c>
      <c r="F90" s="110">
        <f t="shared" si="5"/>
        <v>2000</v>
      </c>
      <c r="G90" s="51" t="s">
        <v>3</v>
      </c>
      <c r="H90" s="48">
        <v>2</v>
      </c>
      <c r="I90" s="49" t="s">
        <v>45</v>
      </c>
      <c r="J90" s="184">
        <v>55</v>
      </c>
      <c r="K90" s="113">
        <v>200</v>
      </c>
      <c r="L90" s="113">
        <v>2000</v>
      </c>
      <c r="M90" s="185">
        <v>11.672231975405714</v>
      </c>
      <c r="N90" s="87">
        <v>212.39529299999995</v>
      </c>
      <c r="O90" s="121">
        <v>20458.795654393543</v>
      </c>
      <c r="P90" s="119">
        <v>23975.962602610278</v>
      </c>
      <c r="Q90" s="120">
        <v>14204.418627655803</v>
      </c>
      <c r="R90" s="314">
        <v>34663.214282049346</v>
      </c>
      <c r="S90" s="315">
        <v>38180.381230266081</v>
      </c>
      <c r="U90" s="7" t="s">
        <v>695</v>
      </c>
    </row>
    <row r="91" spans="1:21" s="74" customFormat="1" ht="16.5" customHeight="1" thickBot="1">
      <c r="A91" s="50" t="s">
        <v>35</v>
      </c>
      <c r="B91" s="51">
        <f t="shared" si="3"/>
        <v>55</v>
      </c>
      <c r="C91" s="51" t="s">
        <v>3</v>
      </c>
      <c r="D91" s="51">
        <f t="shared" si="4"/>
        <v>200</v>
      </c>
      <c r="E91" s="51" t="s">
        <v>3</v>
      </c>
      <c r="F91" s="110">
        <f t="shared" si="5"/>
        <v>2050</v>
      </c>
      <c r="G91" s="51" t="s">
        <v>3</v>
      </c>
      <c r="H91" s="48">
        <v>2</v>
      </c>
      <c r="I91" s="49" t="s">
        <v>45</v>
      </c>
      <c r="J91" s="184">
        <v>55</v>
      </c>
      <c r="K91" s="113">
        <v>200</v>
      </c>
      <c r="L91" s="113">
        <v>2050</v>
      </c>
      <c r="M91" s="185">
        <v>11.938679953934287</v>
      </c>
      <c r="N91" s="87">
        <v>218.83151399999997</v>
      </c>
      <c r="O91" s="121">
        <v>20830.891695283015</v>
      </c>
      <c r="P91" s="119">
        <v>24432.63525529718</v>
      </c>
      <c r="Q91" s="120">
        <v>14558.239804942017</v>
      </c>
      <c r="R91" s="314">
        <v>35389.131500225034</v>
      </c>
      <c r="S91" s="315">
        <v>38990.875060239196</v>
      </c>
      <c r="U91" s="7" t="s">
        <v>696</v>
      </c>
    </row>
    <row r="92" spans="1:21" s="74" customFormat="1" ht="16.5" customHeight="1" thickBot="1">
      <c r="A92" s="47" t="s">
        <v>35</v>
      </c>
      <c r="B92" s="48">
        <f t="shared" si="3"/>
        <v>55</v>
      </c>
      <c r="C92" s="48" t="s">
        <v>3</v>
      </c>
      <c r="D92" s="48">
        <f t="shared" si="4"/>
        <v>200</v>
      </c>
      <c r="E92" s="48" t="s">
        <v>3</v>
      </c>
      <c r="F92" s="110">
        <f t="shared" si="5"/>
        <v>2100</v>
      </c>
      <c r="G92" s="48" t="s">
        <v>3</v>
      </c>
      <c r="H92" s="48">
        <v>2</v>
      </c>
      <c r="I92" s="49" t="s">
        <v>45</v>
      </c>
      <c r="J92" s="184">
        <v>55</v>
      </c>
      <c r="K92" s="113">
        <v>200</v>
      </c>
      <c r="L92" s="113">
        <v>2100</v>
      </c>
      <c r="M92" s="185">
        <v>12.205127932462858</v>
      </c>
      <c r="N92" s="87">
        <v>225.26773499999996</v>
      </c>
      <c r="O92" s="121">
        <v>21202.987876565854</v>
      </c>
      <c r="P92" s="119">
        <v>24889.307767590715</v>
      </c>
      <c r="Q92" s="120">
        <v>14912.061122621591</v>
      </c>
      <c r="R92" s="314">
        <v>36115.048999187449</v>
      </c>
      <c r="S92" s="315">
        <v>39801.36889021231</v>
      </c>
      <c r="U92" s="7" t="s">
        <v>697</v>
      </c>
    </row>
    <row r="93" spans="1:21" s="74" customFormat="1" ht="16.5" customHeight="1" thickBot="1">
      <c r="A93" s="50" t="s">
        <v>35</v>
      </c>
      <c r="B93" s="51">
        <f t="shared" si="3"/>
        <v>55</v>
      </c>
      <c r="C93" s="51" t="s">
        <v>3</v>
      </c>
      <c r="D93" s="51">
        <f t="shared" si="4"/>
        <v>200</v>
      </c>
      <c r="E93" s="51" t="s">
        <v>3</v>
      </c>
      <c r="F93" s="110">
        <f t="shared" si="5"/>
        <v>2150</v>
      </c>
      <c r="G93" s="51" t="s">
        <v>3</v>
      </c>
      <c r="H93" s="48">
        <v>2</v>
      </c>
      <c r="I93" s="49" t="s">
        <v>45</v>
      </c>
      <c r="J93" s="184">
        <v>55</v>
      </c>
      <c r="K93" s="113">
        <v>200</v>
      </c>
      <c r="L93" s="113">
        <v>2150</v>
      </c>
      <c r="M93" s="185">
        <v>12.471575910991429</v>
      </c>
      <c r="N93" s="87">
        <v>231.70395599999998</v>
      </c>
      <c r="O93" s="121">
        <v>21575.083917455329</v>
      </c>
      <c r="P93" s="119">
        <v>25345.980420277618</v>
      </c>
      <c r="Q93" s="120">
        <v>15265.882299907804</v>
      </c>
      <c r="R93" s="314">
        <v>36840.966217363137</v>
      </c>
      <c r="S93" s="315">
        <v>40611.862720185425</v>
      </c>
      <c r="U93" s="7" t="s">
        <v>698</v>
      </c>
    </row>
    <row r="94" spans="1:21" s="74" customFormat="1" ht="16.5" customHeight="1" thickBot="1">
      <c r="A94" s="50" t="s">
        <v>35</v>
      </c>
      <c r="B94" s="51">
        <f t="shared" si="3"/>
        <v>55</v>
      </c>
      <c r="C94" s="51" t="s">
        <v>3</v>
      </c>
      <c r="D94" s="51">
        <f t="shared" si="4"/>
        <v>200</v>
      </c>
      <c r="E94" s="51" t="s">
        <v>3</v>
      </c>
      <c r="F94" s="110">
        <f t="shared" si="5"/>
        <v>2200</v>
      </c>
      <c r="G94" s="51" t="s">
        <v>3</v>
      </c>
      <c r="H94" s="48">
        <v>2</v>
      </c>
      <c r="I94" s="49" t="s">
        <v>45</v>
      </c>
      <c r="J94" s="184">
        <v>55</v>
      </c>
      <c r="K94" s="113">
        <v>200</v>
      </c>
      <c r="L94" s="113">
        <v>2200</v>
      </c>
      <c r="M94" s="185">
        <v>12.738023889520001</v>
      </c>
      <c r="N94" s="87">
        <v>238.14017699999997</v>
      </c>
      <c r="O94" s="121">
        <v>21947.179958344805</v>
      </c>
      <c r="P94" s="119">
        <v>25802.653072964516</v>
      </c>
      <c r="Q94" s="120">
        <v>15619.703477194014</v>
      </c>
      <c r="R94" s="314">
        <v>37566.883435538817</v>
      </c>
      <c r="S94" s="315">
        <v>41422.356550158533</v>
      </c>
      <c r="U94" s="7" t="s">
        <v>699</v>
      </c>
    </row>
    <row r="95" spans="1:21" s="74" customFormat="1" ht="16.5" customHeight="1" thickBot="1">
      <c r="A95" s="50" t="s">
        <v>35</v>
      </c>
      <c r="B95" s="51">
        <f t="shared" si="3"/>
        <v>55</v>
      </c>
      <c r="C95" s="51" t="s">
        <v>3</v>
      </c>
      <c r="D95" s="51">
        <f t="shared" si="4"/>
        <v>200</v>
      </c>
      <c r="E95" s="51" t="s">
        <v>3</v>
      </c>
      <c r="F95" s="110">
        <f t="shared" si="5"/>
        <v>2250</v>
      </c>
      <c r="G95" s="51" t="s">
        <v>3</v>
      </c>
      <c r="H95" s="48">
        <v>2</v>
      </c>
      <c r="I95" s="49" t="s">
        <v>45</v>
      </c>
      <c r="J95" s="184">
        <v>55</v>
      </c>
      <c r="K95" s="113">
        <v>200</v>
      </c>
      <c r="L95" s="113">
        <v>2250</v>
      </c>
      <c r="M95" s="185">
        <v>13.004471868048572</v>
      </c>
      <c r="N95" s="87">
        <v>244.57639799999995</v>
      </c>
      <c r="O95" s="121">
        <v>22319.27599923428</v>
      </c>
      <c r="P95" s="119">
        <v>26259.325725651419</v>
      </c>
      <c r="Q95" s="120">
        <v>15973.524654480228</v>
      </c>
      <c r="R95" s="314">
        <v>38292.800653714512</v>
      </c>
      <c r="S95" s="315">
        <v>42232.850380131647</v>
      </c>
      <c r="U95" s="7" t="s">
        <v>700</v>
      </c>
    </row>
    <row r="96" spans="1:21" s="74" customFormat="1" ht="16.5" customHeight="1" thickBot="1">
      <c r="A96" s="50" t="s">
        <v>35</v>
      </c>
      <c r="B96" s="51">
        <f t="shared" si="3"/>
        <v>55</v>
      </c>
      <c r="C96" s="51" t="s">
        <v>3</v>
      </c>
      <c r="D96" s="51">
        <f t="shared" si="4"/>
        <v>200</v>
      </c>
      <c r="E96" s="51" t="s">
        <v>3</v>
      </c>
      <c r="F96" s="110">
        <f t="shared" si="5"/>
        <v>2300</v>
      </c>
      <c r="G96" s="51" t="s">
        <v>3</v>
      </c>
      <c r="H96" s="48">
        <v>2</v>
      </c>
      <c r="I96" s="49" t="s">
        <v>45</v>
      </c>
      <c r="J96" s="184">
        <v>55</v>
      </c>
      <c r="K96" s="113">
        <v>200</v>
      </c>
      <c r="L96" s="113">
        <v>2300</v>
      </c>
      <c r="M96" s="185">
        <v>13.270919846577144</v>
      </c>
      <c r="N96" s="87">
        <v>251.01261899999994</v>
      </c>
      <c r="O96" s="121">
        <v>22691.372180517119</v>
      </c>
      <c r="P96" s="119">
        <v>26715.998237944954</v>
      </c>
      <c r="Q96" s="120">
        <v>16327.345972159803</v>
      </c>
      <c r="R96" s="314">
        <v>39018.71815267692</v>
      </c>
      <c r="S96" s="315">
        <v>43043.344210104755</v>
      </c>
      <c r="U96" s="7" t="s">
        <v>701</v>
      </c>
    </row>
    <row r="97" spans="1:21" s="74" customFormat="1" ht="16.5" customHeight="1" thickBot="1">
      <c r="A97" s="50" t="s">
        <v>35</v>
      </c>
      <c r="B97" s="51">
        <f t="shared" si="3"/>
        <v>55</v>
      </c>
      <c r="C97" s="51" t="s">
        <v>3</v>
      </c>
      <c r="D97" s="51">
        <f t="shared" si="4"/>
        <v>200</v>
      </c>
      <c r="E97" s="51" t="s">
        <v>3</v>
      </c>
      <c r="F97" s="110">
        <f t="shared" si="5"/>
        <v>2350</v>
      </c>
      <c r="G97" s="51" t="s">
        <v>3</v>
      </c>
      <c r="H97" s="48">
        <v>2</v>
      </c>
      <c r="I97" s="49" t="s">
        <v>45</v>
      </c>
      <c r="J97" s="184">
        <v>55</v>
      </c>
      <c r="K97" s="113">
        <v>200</v>
      </c>
      <c r="L97" s="113">
        <v>2350</v>
      </c>
      <c r="M97" s="185">
        <v>13.537367825105715</v>
      </c>
      <c r="N97" s="87">
        <v>257.44883999999996</v>
      </c>
      <c r="O97" s="121">
        <v>23063.468221406591</v>
      </c>
      <c r="P97" s="119">
        <v>27172.670890631856</v>
      </c>
      <c r="Q97" s="120">
        <v>16681.167149446017</v>
      </c>
      <c r="R97" s="314">
        <v>39744.635370852608</v>
      </c>
      <c r="S97" s="315">
        <v>43853.83804007787</v>
      </c>
      <c r="U97" s="7" t="s">
        <v>702</v>
      </c>
    </row>
    <row r="98" spans="1:21" s="74" customFormat="1" ht="16.5" customHeight="1" thickBot="1">
      <c r="A98" s="50" t="s">
        <v>35</v>
      </c>
      <c r="B98" s="51">
        <f t="shared" si="3"/>
        <v>55</v>
      </c>
      <c r="C98" s="51" t="s">
        <v>3</v>
      </c>
      <c r="D98" s="51">
        <f t="shared" si="4"/>
        <v>200</v>
      </c>
      <c r="E98" s="51" t="s">
        <v>3</v>
      </c>
      <c r="F98" s="110">
        <f t="shared" si="5"/>
        <v>2400</v>
      </c>
      <c r="G98" s="51" t="s">
        <v>3</v>
      </c>
      <c r="H98" s="48">
        <v>2</v>
      </c>
      <c r="I98" s="49" t="s">
        <v>45</v>
      </c>
      <c r="J98" s="184">
        <v>55</v>
      </c>
      <c r="K98" s="113">
        <v>200</v>
      </c>
      <c r="L98" s="113">
        <v>2400</v>
      </c>
      <c r="M98" s="185">
        <v>13.803815803634286</v>
      </c>
      <c r="N98" s="87">
        <v>263.88506099999995</v>
      </c>
      <c r="O98" s="121">
        <v>23435.564262296066</v>
      </c>
      <c r="P98" s="119">
        <v>27629.343543318755</v>
      </c>
      <c r="Q98" s="120">
        <v>17034.988326732229</v>
      </c>
      <c r="R98" s="314">
        <v>40470.552589028295</v>
      </c>
      <c r="S98" s="315">
        <v>44664.331870050984</v>
      </c>
      <c r="U98" s="7" t="s">
        <v>703</v>
      </c>
    </row>
    <row r="99" spans="1:21" s="74" customFormat="1" ht="16.5" customHeight="1" thickBot="1">
      <c r="A99" s="50" t="s">
        <v>35</v>
      </c>
      <c r="B99" s="51">
        <f t="shared" si="3"/>
        <v>55</v>
      </c>
      <c r="C99" s="51" t="s">
        <v>3</v>
      </c>
      <c r="D99" s="51">
        <f t="shared" si="4"/>
        <v>200</v>
      </c>
      <c r="E99" s="51" t="s">
        <v>3</v>
      </c>
      <c r="F99" s="110">
        <f t="shared" si="5"/>
        <v>2450</v>
      </c>
      <c r="G99" s="51" t="s">
        <v>3</v>
      </c>
      <c r="H99" s="48">
        <v>2</v>
      </c>
      <c r="I99" s="49" t="s">
        <v>45</v>
      </c>
      <c r="J99" s="184">
        <v>55</v>
      </c>
      <c r="K99" s="113">
        <v>200</v>
      </c>
      <c r="L99" s="113">
        <v>2450</v>
      </c>
      <c r="M99" s="185">
        <v>14.159246694162857</v>
      </c>
      <c r="N99" s="87">
        <v>270.321282</v>
      </c>
      <c r="O99" s="121">
        <v>24320.123733802957</v>
      </c>
      <c r="P99" s="119">
        <v>28511.131228669805</v>
      </c>
      <c r="Q99" s="120">
        <v>17388.809504018442</v>
      </c>
      <c r="R99" s="314">
        <v>41708.933237821402</v>
      </c>
      <c r="S99" s="315">
        <v>45899.94073268825</v>
      </c>
      <c r="U99" s="7" t="s">
        <v>704</v>
      </c>
    </row>
    <row r="100" spans="1:21" s="74" customFormat="1" ht="16.5" customHeight="1" thickBot="1">
      <c r="A100" s="50" t="s">
        <v>35</v>
      </c>
      <c r="B100" s="51">
        <f t="shared" si="3"/>
        <v>55</v>
      </c>
      <c r="C100" s="51" t="s">
        <v>3</v>
      </c>
      <c r="D100" s="51">
        <f t="shared" si="4"/>
        <v>200</v>
      </c>
      <c r="E100" s="51" t="s">
        <v>3</v>
      </c>
      <c r="F100" s="110">
        <f t="shared" si="5"/>
        <v>2500</v>
      </c>
      <c r="G100" s="51" t="s">
        <v>3</v>
      </c>
      <c r="H100" s="48">
        <v>2</v>
      </c>
      <c r="I100" s="49" t="s">
        <v>45</v>
      </c>
      <c r="J100" s="184">
        <v>55</v>
      </c>
      <c r="K100" s="113">
        <v>200</v>
      </c>
      <c r="L100" s="113">
        <v>2500</v>
      </c>
      <c r="M100" s="185">
        <v>14.42569467269143</v>
      </c>
      <c r="N100" s="87">
        <v>276.75750299999993</v>
      </c>
      <c r="O100" s="121">
        <v>24692.219774692432</v>
      </c>
      <c r="P100" s="119">
        <v>28967.803881356704</v>
      </c>
      <c r="Q100" s="120">
        <v>17742.630681304654</v>
      </c>
      <c r="R100" s="314">
        <v>42434.85045599709</v>
      </c>
      <c r="S100" s="315">
        <v>46710.434562661358</v>
      </c>
      <c r="U100" s="7" t="s">
        <v>705</v>
      </c>
    </row>
    <row r="101" spans="1:21" s="74" customFormat="1" ht="16.5" customHeight="1" thickBot="1">
      <c r="A101" s="50" t="s">
        <v>35</v>
      </c>
      <c r="B101" s="51">
        <f t="shared" si="3"/>
        <v>55</v>
      </c>
      <c r="C101" s="51" t="s">
        <v>3</v>
      </c>
      <c r="D101" s="51">
        <f t="shared" si="4"/>
        <v>200</v>
      </c>
      <c r="E101" s="51" t="s">
        <v>3</v>
      </c>
      <c r="F101" s="110">
        <f t="shared" si="5"/>
        <v>2550</v>
      </c>
      <c r="G101" s="51" t="s">
        <v>3</v>
      </c>
      <c r="H101" s="48">
        <v>2</v>
      </c>
      <c r="I101" s="49" t="s">
        <v>45</v>
      </c>
      <c r="J101" s="184">
        <v>55</v>
      </c>
      <c r="K101" s="113">
        <v>200</v>
      </c>
      <c r="L101" s="113">
        <v>2550</v>
      </c>
      <c r="M101" s="185">
        <v>14.692142651219999</v>
      </c>
      <c r="N101" s="87">
        <v>283.19372399999997</v>
      </c>
      <c r="O101" s="121">
        <v>25064.315815581904</v>
      </c>
      <c r="P101" s="119">
        <v>29424.476534043606</v>
      </c>
      <c r="Q101" s="120">
        <v>18096.45199898423</v>
      </c>
      <c r="R101" s="314">
        <v>43160.767814566134</v>
      </c>
      <c r="S101" s="315">
        <v>47520.928533027836</v>
      </c>
      <c r="U101" s="7" t="s">
        <v>706</v>
      </c>
    </row>
    <row r="102" spans="1:21" s="74" customFormat="1" ht="16.5" customHeight="1" thickBot="1">
      <c r="A102" s="47" t="s">
        <v>35</v>
      </c>
      <c r="B102" s="48">
        <f t="shared" si="3"/>
        <v>55</v>
      </c>
      <c r="C102" s="48" t="s">
        <v>3</v>
      </c>
      <c r="D102" s="48">
        <f t="shared" si="4"/>
        <v>200</v>
      </c>
      <c r="E102" s="48" t="s">
        <v>3</v>
      </c>
      <c r="F102" s="110">
        <f t="shared" si="5"/>
        <v>2600</v>
      </c>
      <c r="G102" s="48" t="s">
        <v>3</v>
      </c>
      <c r="H102" s="48">
        <v>2</v>
      </c>
      <c r="I102" s="49" t="s">
        <v>45</v>
      </c>
      <c r="J102" s="184">
        <v>55</v>
      </c>
      <c r="K102" s="113">
        <v>200</v>
      </c>
      <c r="L102" s="113">
        <v>2600</v>
      </c>
      <c r="M102" s="185">
        <v>14.958590629748574</v>
      </c>
      <c r="N102" s="87">
        <v>289.62994499999996</v>
      </c>
      <c r="O102" s="121">
        <v>25436.411996864743</v>
      </c>
      <c r="P102" s="119">
        <v>29881.149186730505</v>
      </c>
      <c r="Q102" s="120">
        <v>18450.273176270442</v>
      </c>
      <c r="R102" s="314">
        <v>43886.685173135185</v>
      </c>
      <c r="S102" s="315">
        <v>48331.422363000951</v>
      </c>
      <c r="U102" s="7" t="s">
        <v>707</v>
      </c>
    </row>
    <row r="103" spans="1:21" s="74" customFormat="1" ht="16.5" customHeight="1" thickBot="1">
      <c r="A103" s="50" t="s">
        <v>35</v>
      </c>
      <c r="B103" s="51">
        <f t="shared" si="3"/>
        <v>55</v>
      </c>
      <c r="C103" s="51" t="s">
        <v>3</v>
      </c>
      <c r="D103" s="51">
        <f t="shared" si="4"/>
        <v>200</v>
      </c>
      <c r="E103" s="51" t="s">
        <v>3</v>
      </c>
      <c r="F103" s="110">
        <f t="shared" si="5"/>
        <v>2650</v>
      </c>
      <c r="G103" s="51" t="s">
        <v>3</v>
      </c>
      <c r="H103" s="48">
        <v>2</v>
      </c>
      <c r="I103" s="49" t="s">
        <v>45</v>
      </c>
      <c r="J103" s="184">
        <v>55</v>
      </c>
      <c r="K103" s="113">
        <v>200</v>
      </c>
      <c r="L103" s="113">
        <v>2650</v>
      </c>
      <c r="M103" s="185">
        <v>15.225038608277142</v>
      </c>
      <c r="N103" s="87">
        <v>296.06616599999995</v>
      </c>
      <c r="O103" s="121">
        <v>25808.508037754218</v>
      </c>
      <c r="P103" s="119">
        <v>30337.821699024043</v>
      </c>
      <c r="Q103" s="120">
        <v>18804.094353556655</v>
      </c>
      <c r="R103" s="314">
        <v>44612.602391310873</v>
      </c>
      <c r="S103" s="315">
        <v>49141.916052580695</v>
      </c>
      <c r="U103" s="7" t="s">
        <v>708</v>
      </c>
    </row>
    <row r="104" spans="1:21" s="74" customFormat="1" ht="16.5" customHeight="1" thickBot="1">
      <c r="A104" s="50" t="s">
        <v>35</v>
      </c>
      <c r="B104" s="51">
        <f t="shared" si="3"/>
        <v>55</v>
      </c>
      <c r="C104" s="51" t="s">
        <v>3</v>
      </c>
      <c r="D104" s="51">
        <f t="shared" si="4"/>
        <v>200</v>
      </c>
      <c r="E104" s="51" t="s">
        <v>3</v>
      </c>
      <c r="F104" s="110">
        <f t="shared" si="5"/>
        <v>2700</v>
      </c>
      <c r="G104" s="51" t="s">
        <v>3</v>
      </c>
      <c r="H104" s="48">
        <v>2</v>
      </c>
      <c r="I104" s="49" t="s">
        <v>45</v>
      </c>
      <c r="J104" s="184">
        <v>55</v>
      </c>
      <c r="K104" s="113">
        <v>200</v>
      </c>
      <c r="L104" s="113">
        <v>2700</v>
      </c>
      <c r="M104" s="185">
        <v>15.559286586805715</v>
      </c>
      <c r="N104" s="87">
        <v>302.50238699999994</v>
      </c>
      <c r="O104" s="121">
        <v>26224.182318757055</v>
      </c>
      <c r="P104" s="119">
        <v>30836.744330221696</v>
      </c>
      <c r="Q104" s="120">
        <v>19157.915530842867</v>
      </c>
      <c r="R104" s="314">
        <v>45382.097849599922</v>
      </c>
      <c r="S104" s="315">
        <v>49994.65986106456</v>
      </c>
      <c r="U104" s="7" t="s">
        <v>709</v>
      </c>
    </row>
    <row r="105" spans="1:21" s="74" customFormat="1" ht="16.5" customHeight="1" thickBot="1">
      <c r="A105" s="50" t="s">
        <v>35</v>
      </c>
      <c r="B105" s="51">
        <f t="shared" si="3"/>
        <v>55</v>
      </c>
      <c r="C105" s="51" t="s">
        <v>3</v>
      </c>
      <c r="D105" s="51">
        <f t="shared" si="4"/>
        <v>200</v>
      </c>
      <c r="E105" s="51" t="s">
        <v>3</v>
      </c>
      <c r="F105" s="110">
        <f t="shared" si="5"/>
        <v>2750</v>
      </c>
      <c r="G105" s="51" t="s">
        <v>3</v>
      </c>
      <c r="H105" s="48">
        <v>2</v>
      </c>
      <c r="I105" s="49" t="s">
        <v>45</v>
      </c>
      <c r="J105" s="184">
        <v>55</v>
      </c>
      <c r="K105" s="113">
        <v>200</v>
      </c>
      <c r="L105" s="113">
        <v>2750</v>
      </c>
      <c r="M105" s="185">
        <v>15.825734565334287</v>
      </c>
      <c r="N105" s="87">
        <v>308.93860799999993</v>
      </c>
      <c r="O105" s="121">
        <v>26596.278359646531</v>
      </c>
      <c r="P105" s="119">
        <v>31293.416842515231</v>
      </c>
      <c r="Q105" s="120">
        <v>19511.736848522443</v>
      </c>
      <c r="R105" s="314">
        <v>46108.015208168974</v>
      </c>
      <c r="S105" s="315">
        <v>50805.153691037674</v>
      </c>
      <c r="U105" s="7" t="s">
        <v>710</v>
      </c>
    </row>
    <row r="106" spans="1:21" s="74" customFormat="1" ht="16.5" customHeight="1" thickBot="1">
      <c r="A106" s="50" t="s">
        <v>35</v>
      </c>
      <c r="B106" s="51">
        <f t="shared" si="3"/>
        <v>55</v>
      </c>
      <c r="C106" s="51" t="s">
        <v>3</v>
      </c>
      <c r="D106" s="51">
        <f t="shared" si="4"/>
        <v>200</v>
      </c>
      <c r="E106" s="51" t="s">
        <v>3</v>
      </c>
      <c r="F106" s="110">
        <f t="shared" si="5"/>
        <v>2800</v>
      </c>
      <c r="G106" s="51" t="s">
        <v>3</v>
      </c>
      <c r="H106" s="48">
        <v>2</v>
      </c>
      <c r="I106" s="49" t="s">
        <v>45</v>
      </c>
      <c r="J106" s="184">
        <v>55</v>
      </c>
      <c r="K106" s="113">
        <v>200</v>
      </c>
      <c r="L106" s="113">
        <v>2800</v>
      </c>
      <c r="M106" s="185">
        <v>16.092182543862862</v>
      </c>
      <c r="N106" s="87">
        <v>315.37482899999998</v>
      </c>
      <c r="O106" s="121">
        <v>26968.374400536002</v>
      </c>
      <c r="P106" s="119">
        <v>31750.089495202134</v>
      </c>
      <c r="Q106" s="120">
        <v>19865.558025808652</v>
      </c>
      <c r="R106" s="314">
        <v>46833.932426344654</v>
      </c>
      <c r="S106" s="315">
        <v>51615.647521010789</v>
      </c>
      <c r="U106" s="7" t="s">
        <v>711</v>
      </c>
    </row>
    <row r="107" spans="1:21" s="74" customFormat="1" ht="16.5" customHeight="1" thickBot="1">
      <c r="A107" s="50" t="s">
        <v>35</v>
      </c>
      <c r="B107" s="51">
        <f t="shared" si="3"/>
        <v>55</v>
      </c>
      <c r="C107" s="51" t="s">
        <v>3</v>
      </c>
      <c r="D107" s="51">
        <f t="shared" si="4"/>
        <v>200</v>
      </c>
      <c r="E107" s="51" t="s">
        <v>3</v>
      </c>
      <c r="F107" s="110">
        <f t="shared" si="5"/>
        <v>2850</v>
      </c>
      <c r="G107" s="51" t="s">
        <v>3</v>
      </c>
      <c r="H107" s="48">
        <v>2</v>
      </c>
      <c r="I107" s="49" t="s">
        <v>45</v>
      </c>
      <c r="J107" s="184">
        <v>55</v>
      </c>
      <c r="K107" s="113">
        <v>200</v>
      </c>
      <c r="L107" s="113">
        <v>2850</v>
      </c>
      <c r="M107" s="185">
        <v>16.358630522391429</v>
      </c>
      <c r="N107" s="87">
        <v>321.81104999999997</v>
      </c>
      <c r="O107" s="121">
        <v>27340.470581818841</v>
      </c>
      <c r="P107" s="119">
        <v>32206.762147889032</v>
      </c>
      <c r="Q107" s="120">
        <v>20219.379203094868</v>
      </c>
      <c r="R107" s="314">
        <v>47559.849784913706</v>
      </c>
      <c r="S107" s="315">
        <v>52426.141350983904</v>
      </c>
      <c r="U107" s="7" t="s">
        <v>712</v>
      </c>
    </row>
    <row r="108" spans="1:21" s="74" customFormat="1" ht="16.5" customHeight="1" thickBot="1">
      <c r="A108" s="50" t="s">
        <v>35</v>
      </c>
      <c r="B108" s="51">
        <f t="shared" si="3"/>
        <v>55</v>
      </c>
      <c r="C108" s="51" t="s">
        <v>3</v>
      </c>
      <c r="D108" s="51">
        <f t="shared" si="4"/>
        <v>200</v>
      </c>
      <c r="E108" s="51" t="s">
        <v>3</v>
      </c>
      <c r="F108" s="110">
        <f t="shared" si="5"/>
        <v>2900</v>
      </c>
      <c r="G108" s="51" t="s">
        <v>3</v>
      </c>
      <c r="H108" s="48">
        <v>2</v>
      </c>
      <c r="I108" s="49" t="s">
        <v>45</v>
      </c>
      <c r="J108" s="184">
        <v>55</v>
      </c>
      <c r="K108" s="113">
        <v>200</v>
      </c>
      <c r="L108" s="113">
        <v>2900</v>
      </c>
      <c r="M108" s="185">
        <v>16.625078500919997</v>
      </c>
      <c r="N108" s="87">
        <v>328.24727099999996</v>
      </c>
      <c r="O108" s="121">
        <v>27712.56662270832</v>
      </c>
      <c r="P108" s="119">
        <v>32663.434660182571</v>
      </c>
      <c r="Q108" s="120">
        <v>20573.20038038108</v>
      </c>
      <c r="R108" s="314">
        <v>48285.767003089401</v>
      </c>
      <c r="S108" s="315">
        <v>53236.635040563648</v>
      </c>
      <c r="U108" s="7" t="s">
        <v>713</v>
      </c>
    </row>
    <row r="109" spans="1:21" s="74" customFormat="1" ht="16.5" customHeight="1" thickBot="1">
      <c r="A109" s="50" t="s">
        <v>35</v>
      </c>
      <c r="B109" s="51">
        <f t="shared" si="3"/>
        <v>55</v>
      </c>
      <c r="C109" s="51" t="s">
        <v>3</v>
      </c>
      <c r="D109" s="51">
        <f t="shared" si="4"/>
        <v>200</v>
      </c>
      <c r="E109" s="51" t="s">
        <v>3</v>
      </c>
      <c r="F109" s="110">
        <f t="shared" si="5"/>
        <v>2950</v>
      </c>
      <c r="G109" s="51" t="s">
        <v>3</v>
      </c>
      <c r="H109" s="48">
        <v>2</v>
      </c>
      <c r="I109" s="49" t="s">
        <v>45</v>
      </c>
      <c r="J109" s="184">
        <v>55</v>
      </c>
      <c r="K109" s="113">
        <v>200</v>
      </c>
      <c r="L109" s="113">
        <v>2950</v>
      </c>
      <c r="M109" s="185">
        <v>16.891526479448572</v>
      </c>
      <c r="N109" s="87">
        <v>334.68349199999994</v>
      </c>
      <c r="O109" s="121">
        <v>28084.662663597792</v>
      </c>
      <c r="P109" s="119">
        <v>33120.10731286947</v>
      </c>
      <c r="Q109" s="120">
        <v>20927.021557667293</v>
      </c>
      <c r="R109" s="314">
        <v>49011.684221265081</v>
      </c>
      <c r="S109" s="315">
        <v>54047.128870536762</v>
      </c>
      <c r="U109" s="7" t="s">
        <v>714</v>
      </c>
    </row>
    <row r="110" spans="1:21" s="74" customFormat="1" ht="16.5" customHeight="1" thickBot="1">
      <c r="A110" s="52" t="s">
        <v>35</v>
      </c>
      <c r="B110" s="53">
        <f t="shared" si="3"/>
        <v>55</v>
      </c>
      <c r="C110" s="53" t="s">
        <v>3</v>
      </c>
      <c r="D110" s="53">
        <f t="shared" si="4"/>
        <v>200</v>
      </c>
      <c r="E110" s="53" t="s">
        <v>3</v>
      </c>
      <c r="F110" s="111">
        <f t="shared" si="5"/>
        <v>3000</v>
      </c>
      <c r="G110" s="53" t="s">
        <v>3</v>
      </c>
      <c r="H110" s="55">
        <v>2</v>
      </c>
      <c r="I110" s="54" t="s">
        <v>45</v>
      </c>
      <c r="J110" s="184">
        <v>55</v>
      </c>
      <c r="K110" s="157">
        <v>200</v>
      </c>
      <c r="L110" s="157">
        <v>3000</v>
      </c>
      <c r="M110" s="187">
        <v>17.15797445797714</v>
      </c>
      <c r="N110" s="148">
        <v>341.11971299999993</v>
      </c>
      <c r="O110" s="158">
        <v>29573.158299485516</v>
      </c>
      <c r="P110" s="189">
        <v>33576.779965556372</v>
      </c>
      <c r="Q110" s="159">
        <v>21280.842875346865</v>
      </c>
      <c r="R110" s="316">
        <v>50854.001174832381</v>
      </c>
      <c r="S110" s="317">
        <v>54857.622840903234</v>
      </c>
      <c r="U110" s="7" t="s">
        <v>715</v>
      </c>
    </row>
    <row r="111" spans="1:21" s="74" customFormat="1" ht="22.5" customHeight="1" thickBot="1">
      <c r="A111" s="2580" t="s">
        <v>50</v>
      </c>
      <c r="B111" s="2581"/>
      <c r="C111" s="2581"/>
      <c r="D111" s="2581"/>
      <c r="E111" s="2581"/>
      <c r="F111" s="2581"/>
      <c r="G111" s="2581"/>
      <c r="H111" s="2581"/>
      <c r="I111" s="2581"/>
      <c r="J111" s="2581"/>
      <c r="K111" s="2581"/>
      <c r="L111" s="2581"/>
      <c r="M111" s="2581"/>
      <c r="N111" s="2581"/>
      <c r="O111" s="2581"/>
      <c r="P111" s="2581"/>
      <c r="Q111" s="2581"/>
      <c r="R111" s="2581"/>
      <c r="S111" s="2582"/>
      <c r="U111" s="7"/>
    </row>
    <row r="112" spans="1:21" s="74" customFormat="1" ht="22.5" customHeight="1" thickBot="1">
      <c r="A112" s="2624" t="s">
        <v>69</v>
      </c>
      <c r="B112" s="2625"/>
      <c r="C112" s="2625"/>
      <c r="D112" s="2625"/>
      <c r="E112" s="2625"/>
      <c r="F112" s="2625"/>
      <c r="G112" s="2625"/>
      <c r="H112" s="2625"/>
      <c r="I112" s="2625"/>
      <c r="J112" s="2625"/>
      <c r="K112" s="2625"/>
      <c r="L112" s="2625"/>
      <c r="M112" s="2625"/>
      <c r="N112" s="2625"/>
      <c r="O112" s="2625"/>
      <c r="P112" s="2625"/>
      <c r="Q112" s="2625"/>
      <c r="R112" s="2625"/>
      <c r="S112" s="2626"/>
      <c r="U112" s="7"/>
    </row>
    <row r="113" spans="1:21" s="74" customFormat="1" ht="16.5" customHeight="1" thickBot="1">
      <c r="A113" s="2583" t="s">
        <v>137</v>
      </c>
      <c r="B113" s="2584"/>
      <c r="C113" s="2584"/>
      <c r="D113" s="2584"/>
      <c r="E113" s="2584"/>
      <c r="F113" s="2584"/>
      <c r="G113" s="2584"/>
      <c r="H113" s="2584"/>
      <c r="I113" s="2584"/>
      <c r="J113" s="2584"/>
      <c r="K113" s="2584"/>
      <c r="L113" s="2584"/>
      <c r="M113" s="2584"/>
      <c r="N113" s="2584"/>
      <c r="O113" s="2584"/>
      <c r="P113" s="2584"/>
      <c r="Q113" s="2584"/>
      <c r="R113" s="2584"/>
      <c r="S113" s="2585"/>
      <c r="U113" s="7"/>
    </row>
    <row r="114" spans="1:21" s="74" customFormat="1" ht="16.5" thickBot="1">
      <c r="A114" s="47" t="s">
        <v>35</v>
      </c>
      <c r="B114" s="48">
        <f>J114</f>
        <v>55</v>
      </c>
      <c r="C114" s="48" t="s">
        <v>3</v>
      </c>
      <c r="D114" s="48">
        <f>K114</f>
        <v>260</v>
      </c>
      <c r="E114" s="48" t="s">
        <v>3</v>
      </c>
      <c r="F114" s="110">
        <f>L114</f>
        <v>600</v>
      </c>
      <c r="G114" s="48" t="s">
        <v>3</v>
      </c>
      <c r="H114" s="48">
        <v>2</v>
      </c>
      <c r="I114" s="49" t="s">
        <v>45</v>
      </c>
      <c r="J114" s="181">
        <v>55</v>
      </c>
      <c r="K114" s="168">
        <v>260</v>
      </c>
      <c r="L114" s="168">
        <v>600</v>
      </c>
      <c r="M114" s="182">
        <v>4.6051499469285719</v>
      </c>
      <c r="N114" s="143">
        <v>41.450507999999999</v>
      </c>
      <c r="O114" s="188">
        <v>9536.3290758153398</v>
      </c>
      <c r="P114" s="188">
        <v>11249.59027326469</v>
      </c>
      <c r="Q114" s="169">
        <v>5251.4036159904008</v>
      </c>
      <c r="R114" s="312">
        <v>14787.732691805741</v>
      </c>
      <c r="S114" s="313">
        <v>16500.993889255093</v>
      </c>
      <c r="U114" s="7" t="s">
        <v>716</v>
      </c>
    </row>
    <row r="115" spans="1:21" s="74" customFormat="1" ht="16.5" thickBot="1">
      <c r="A115" s="50" t="s">
        <v>35</v>
      </c>
      <c r="B115" s="51">
        <f t="shared" ref="B115:B162" si="6">J115</f>
        <v>55</v>
      </c>
      <c r="C115" s="51" t="s">
        <v>3</v>
      </c>
      <c r="D115" s="51">
        <f t="shared" ref="D115:D162" si="7">K115</f>
        <v>260</v>
      </c>
      <c r="E115" s="51" t="s">
        <v>3</v>
      </c>
      <c r="F115" s="110">
        <f t="shared" ref="F115:F162" si="8">L115</f>
        <v>650</v>
      </c>
      <c r="G115" s="51" t="s">
        <v>3</v>
      </c>
      <c r="H115" s="48">
        <v>2</v>
      </c>
      <c r="I115" s="49" t="s">
        <v>45</v>
      </c>
      <c r="J115" s="184">
        <v>55</v>
      </c>
      <c r="K115" s="113">
        <v>260</v>
      </c>
      <c r="L115" s="113">
        <v>650</v>
      </c>
      <c r="M115" s="185">
        <v>4.9185552111714292</v>
      </c>
      <c r="N115" s="75">
        <v>49.740609599999999</v>
      </c>
      <c r="O115" s="119">
        <v>9935.4396075170644</v>
      </c>
      <c r="P115" s="119">
        <v>11751.348008024665</v>
      </c>
      <c r="Q115" s="120">
        <v>5683.506026306176</v>
      </c>
      <c r="R115" s="314">
        <v>15618.945633823241</v>
      </c>
      <c r="S115" s="315">
        <v>17434.854034330841</v>
      </c>
      <c r="U115" s="7" t="s">
        <v>717</v>
      </c>
    </row>
    <row r="116" spans="1:21" s="74" customFormat="1" ht="16.5" thickBot="1">
      <c r="A116" s="50" t="s">
        <v>35</v>
      </c>
      <c r="B116" s="51">
        <f t="shared" si="6"/>
        <v>55</v>
      </c>
      <c r="C116" s="51" t="s">
        <v>3</v>
      </c>
      <c r="D116" s="51">
        <f t="shared" si="7"/>
        <v>260</v>
      </c>
      <c r="E116" s="51" t="s">
        <v>3</v>
      </c>
      <c r="F116" s="110">
        <f t="shared" si="8"/>
        <v>700</v>
      </c>
      <c r="G116" s="51" t="s">
        <v>3</v>
      </c>
      <c r="H116" s="48">
        <v>2</v>
      </c>
      <c r="I116" s="49" t="s">
        <v>45</v>
      </c>
      <c r="J116" s="184">
        <v>55</v>
      </c>
      <c r="K116" s="113">
        <v>260</v>
      </c>
      <c r="L116" s="113">
        <v>700</v>
      </c>
      <c r="M116" s="185">
        <v>5.2319604754142865</v>
      </c>
      <c r="N116" s="75">
        <v>58.030711199999992</v>
      </c>
      <c r="O116" s="119">
        <v>10334.550279612151</v>
      </c>
      <c r="P116" s="119">
        <v>12253.105742784641</v>
      </c>
      <c r="Q116" s="120">
        <v>6115.6082962285891</v>
      </c>
      <c r="R116" s="314">
        <v>16450.158575840738</v>
      </c>
      <c r="S116" s="315">
        <v>18368.71403901323</v>
      </c>
      <c r="U116" s="7" t="s">
        <v>718</v>
      </c>
    </row>
    <row r="117" spans="1:21" s="74" customFormat="1" ht="16.5" thickBot="1">
      <c r="A117" s="50" t="s">
        <v>35</v>
      </c>
      <c r="B117" s="51">
        <f t="shared" si="6"/>
        <v>55</v>
      </c>
      <c r="C117" s="51" t="s">
        <v>3</v>
      </c>
      <c r="D117" s="51">
        <f t="shared" si="7"/>
        <v>260</v>
      </c>
      <c r="E117" s="51" t="s">
        <v>3</v>
      </c>
      <c r="F117" s="110">
        <f t="shared" si="8"/>
        <v>750</v>
      </c>
      <c r="G117" s="51" t="s">
        <v>3</v>
      </c>
      <c r="H117" s="48">
        <v>2</v>
      </c>
      <c r="I117" s="49" t="s">
        <v>45</v>
      </c>
      <c r="J117" s="184">
        <v>55</v>
      </c>
      <c r="K117" s="113">
        <v>260</v>
      </c>
      <c r="L117" s="113">
        <v>750</v>
      </c>
      <c r="M117" s="185">
        <v>5.545365739657143</v>
      </c>
      <c r="N117" s="75">
        <v>66.320812799999999</v>
      </c>
      <c r="O117" s="119">
        <v>10733.660811313877</v>
      </c>
      <c r="P117" s="119">
        <v>12754.863477544615</v>
      </c>
      <c r="Q117" s="120">
        <v>6547.7107065443497</v>
      </c>
      <c r="R117" s="314">
        <v>17281.371517858228</v>
      </c>
      <c r="S117" s="315">
        <v>19302.574184088964</v>
      </c>
      <c r="U117" s="7" t="s">
        <v>719</v>
      </c>
    </row>
    <row r="118" spans="1:21" s="74" customFormat="1" ht="16.5" thickBot="1">
      <c r="A118" s="50" t="s">
        <v>35</v>
      </c>
      <c r="B118" s="51">
        <f t="shared" si="6"/>
        <v>55</v>
      </c>
      <c r="C118" s="51" t="s">
        <v>3</v>
      </c>
      <c r="D118" s="51">
        <f t="shared" si="7"/>
        <v>260</v>
      </c>
      <c r="E118" s="51" t="s">
        <v>3</v>
      </c>
      <c r="F118" s="110">
        <f t="shared" si="8"/>
        <v>800</v>
      </c>
      <c r="G118" s="51" t="s">
        <v>3</v>
      </c>
      <c r="H118" s="48">
        <v>2</v>
      </c>
      <c r="I118" s="49" t="s">
        <v>45</v>
      </c>
      <c r="J118" s="184">
        <v>55</v>
      </c>
      <c r="K118" s="113">
        <v>260</v>
      </c>
      <c r="L118" s="113">
        <v>800</v>
      </c>
      <c r="M118" s="185">
        <v>5.8587829093100012</v>
      </c>
      <c r="N118" s="75">
        <v>74.610914399999999</v>
      </c>
      <c r="O118" s="119">
        <v>11132.771343015602</v>
      </c>
      <c r="P118" s="119">
        <v>13256.62121230459</v>
      </c>
      <c r="Q118" s="120">
        <v>6979.8129764667756</v>
      </c>
      <c r="R118" s="314">
        <v>18112.584319482376</v>
      </c>
      <c r="S118" s="315">
        <v>20236.434188771367</v>
      </c>
      <c r="U118" s="7" t="s">
        <v>720</v>
      </c>
    </row>
    <row r="119" spans="1:21" s="74" customFormat="1" ht="16.5" thickBot="1">
      <c r="A119" s="50" t="s">
        <v>35</v>
      </c>
      <c r="B119" s="51">
        <f t="shared" si="6"/>
        <v>55</v>
      </c>
      <c r="C119" s="51" t="s">
        <v>3</v>
      </c>
      <c r="D119" s="51">
        <f t="shared" si="7"/>
        <v>260</v>
      </c>
      <c r="E119" s="51" t="s">
        <v>3</v>
      </c>
      <c r="F119" s="110">
        <f t="shared" si="8"/>
        <v>850</v>
      </c>
      <c r="G119" s="51" t="s">
        <v>3</v>
      </c>
      <c r="H119" s="48">
        <v>2</v>
      </c>
      <c r="I119" s="49" t="s">
        <v>45</v>
      </c>
      <c r="J119" s="184">
        <v>55</v>
      </c>
      <c r="K119" s="113">
        <v>260</v>
      </c>
      <c r="L119" s="113">
        <v>850</v>
      </c>
      <c r="M119" s="185">
        <v>6.1721881735528576</v>
      </c>
      <c r="N119" s="75">
        <v>82.901015999999998</v>
      </c>
      <c r="O119" s="119">
        <v>11531.881874717328</v>
      </c>
      <c r="P119" s="119">
        <v>13758.378947064566</v>
      </c>
      <c r="Q119" s="120">
        <v>7411.9153867825516</v>
      </c>
      <c r="R119" s="314">
        <v>18943.79726149988</v>
      </c>
      <c r="S119" s="315">
        <v>21170.294333847116</v>
      </c>
      <c r="U119" s="7" t="s">
        <v>721</v>
      </c>
    </row>
    <row r="120" spans="1:21" s="74" customFormat="1" ht="16.5" thickBot="1">
      <c r="A120" s="50" t="s">
        <v>35</v>
      </c>
      <c r="B120" s="51">
        <f t="shared" si="6"/>
        <v>55</v>
      </c>
      <c r="C120" s="51" t="s">
        <v>3</v>
      </c>
      <c r="D120" s="51">
        <f t="shared" si="7"/>
        <v>260</v>
      </c>
      <c r="E120" s="51" t="s">
        <v>3</v>
      </c>
      <c r="F120" s="110">
        <f t="shared" si="8"/>
        <v>900</v>
      </c>
      <c r="G120" s="51" t="s">
        <v>3</v>
      </c>
      <c r="H120" s="48">
        <v>2</v>
      </c>
      <c r="I120" s="49" t="s">
        <v>45</v>
      </c>
      <c r="J120" s="184">
        <v>55</v>
      </c>
      <c r="K120" s="113">
        <v>260</v>
      </c>
      <c r="L120" s="113">
        <v>900</v>
      </c>
      <c r="M120" s="185">
        <v>6.4855934377957158</v>
      </c>
      <c r="N120" s="75">
        <v>91.191117600000013</v>
      </c>
      <c r="O120" s="119">
        <v>11930.992406419051</v>
      </c>
      <c r="P120" s="119">
        <v>14260.136681824541</v>
      </c>
      <c r="Q120" s="120">
        <v>7844.0177970983268</v>
      </c>
      <c r="R120" s="314">
        <v>19775.010203517377</v>
      </c>
      <c r="S120" s="315">
        <v>22104.154478922868</v>
      </c>
      <c r="U120" s="7" t="s">
        <v>722</v>
      </c>
    </row>
    <row r="121" spans="1:21" s="74" customFormat="1" ht="16.5" thickBot="1">
      <c r="A121" s="50" t="s">
        <v>35</v>
      </c>
      <c r="B121" s="51">
        <f t="shared" si="6"/>
        <v>55</v>
      </c>
      <c r="C121" s="51" t="s">
        <v>3</v>
      </c>
      <c r="D121" s="51">
        <f t="shared" si="7"/>
        <v>260</v>
      </c>
      <c r="E121" s="51" t="s">
        <v>3</v>
      </c>
      <c r="F121" s="110">
        <f t="shared" si="8"/>
        <v>950</v>
      </c>
      <c r="G121" s="51" t="s">
        <v>3</v>
      </c>
      <c r="H121" s="48">
        <v>2</v>
      </c>
      <c r="I121" s="49" t="s">
        <v>45</v>
      </c>
      <c r="J121" s="184">
        <v>55</v>
      </c>
      <c r="K121" s="113">
        <v>260</v>
      </c>
      <c r="L121" s="113">
        <v>950</v>
      </c>
      <c r="M121" s="185">
        <v>6.7989987020385723</v>
      </c>
      <c r="N121" s="75">
        <v>99.481219199999998</v>
      </c>
      <c r="O121" s="119">
        <v>12330.102938120779</v>
      </c>
      <c r="P121" s="119">
        <v>14761.894416584515</v>
      </c>
      <c r="Q121" s="120">
        <v>8276.12006702074</v>
      </c>
      <c r="R121" s="314">
        <v>20606.223005141517</v>
      </c>
      <c r="S121" s="315">
        <v>23038.014483605257</v>
      </c>
      <c r="U121" s="7" t="s">
        <v>723</v>
      </c>
    </row>
    <row r="122" spans="1:21" s="74" customFormat="1" ht="16.5" thickBot="1">
      <c r="A122" s="50" t="s">
        <v>35</v>
      </c>
      <c r="B122" s="51">
        <f t="shared" si="6"/>
        <v>55</v>
      </c>
      <c r="C122" s="51" t="s">
        <v>3</v>
      </c>
      <c r="D122" s="51">
        <f t="shared" si="7"/>
        <v>260</v>
      </c>
      <c r="E122" s="51" t="s">
        <v>3</v>
      </c>
      <c r="F122" s="110">
        <f t="shared" si="8"/>
        <v>1000</v>
      </c>
      <c r="G122" s="51" t="s">
        <v>3</v>
      </c>
      <c r="H122" s="48">
        <v>2</v>
      </c>
      <c r="I122" s="49" t="s">
        <v>45</v>
      </c>
      <c r="J122" s="184">
        <v>55</v>
      </c>
      <c r="K122" s="113">
        <v>260</v>
      </c>
      <c r="L122" s="113">
        <v>1000</v>
      </c>
      <c r="M122" s="185">
        <v>7.1124039662814296</v>
      </c>
      <c r="N122" s="75">
        <v>107.7713208</v>
      </c>
      <c r="O122" s="119">
        <v>12729.213610215866</v>
      </c>
      <c r="P122" s="119">
        <v>15263.652151344491</v>
      </c>
      <c r="Q122" s="120">
        <v>8708.2224773365142</v>
      </c>
      <c r="R122" s="314">
        <v>21437.436087552378</v>
      </c>
      <c r="S122" s="315">
        <v>23971.874628681006</v>
      </c>
      <c r="U122" s="7" t="s">
        <v>724</v>
      </c>
    </row>
    <row r="123" spans="1:21" s="74" customFormat="1" ht="16.5" thickBot="1">
      <c r="A123" s="50" t="s">
        <v>35</v>
      </c>
      <c r="B123" s="51">
        <f t="shared" si="6"/>
        <v>55</v>
      </c>
      <c r="C123" s="51" t="s">
        <v>3</v>
      </c>
      <c r="D123" s="51">
        <f t="shared" si="7"/>
        <v>260</v>
      </c>
      <c r="E123" s="51" t="s">
        <v>3</v>
      </c>
      <c r="F123" s="110">
        <f t="shared" si="8"/>
        <v>1050</v>
      </c>
      <c r="G123" s="51" t="s">
        <v>3</v>
      </c>
      <c r="H123" s="48">
        <v>2</v>
      </c>
      <c r="I123" s="49" t="s">
        <v>45</v>
      </c>
      <c r="J123" s="184">
        <v>55</v>
      </c>
      <c r="K123" s="113">
        <v>260</v>
      </c>
      <c r="L123" s="113">
        <v>1050</v>
      </c>
      <c r="M123" s="185">
        <v>7.425809230524286</v>
      </c>
      <c r="N123" s="75">
        <v>116.06142239999998</v>
      </c>
      <c r="O123" s="119">
        <v>13128.32414191759</v>
      </c>
      <c r="P123" s="119">
        <v>15765.409886104466</v>
      </c>
      <c r="Q123" s="120">
        <v>9140.3247472589264</v>
      </c>
      <c r="R123" s="314">
        <v>22268.648889176518</v>
      </c>
      <c r="S123" s="315">
        <v>24905.73463336339</v>
      </c>
      <c r="U123" s="7" t="s">
        <v>725</v>
      </c>
    </row>
    <row r="124" spans="1:21" s="74" customFormat="1" ht="16.5" thickBot="1">
      <c r="A124" s="47" t="s">
        <v>35</v>
      </c>
      <c r="B124" s="48">
        <f t="shared" si="6"/>
        <v>55</v>
      </c>
      <c r="C124" s="48" t="s">
        <v>3</v>
      </c>
      <c r="D124" s="48">
        <f t="shared" si="7"/>
        <v>260</v>
      </c>
      <c r="E124" s="48" t="s">
        <v>3</v>
      </c>
      <c r="F124" s="110">
        <f t="shared" si="8"/>
        <v>1100</v>
      </c>
      <c r="G124" s="48" t="s">
        <v>3</v>
      </c>
      <c r="H124" s="48">
        <v>2</v>
      </c>
      <c r="I124" s="49" t="s">
        <v>45</v>
      </c>
      <c r="J124" s="184">
        <v>55</v>
      </c>
      <c r="K124" s="113">
        <v>260</v>
      </c>
      <c r="L124" s="113">
        <v>1100</v>
      </c>
      <c r="M124" s="185">
        <v>7.7392144947671433</v>
      </c>
      <c r="N124" s="75">
        <v>124.351524</v>
      </c>
      <c r="O124" s="119">
        <v>13527.434673619315</v>
      </c>
      <c r="P124" s="119">
        <v>16267.167620864442</v>
      </c>
      <c r="Q124" s="120">
        <v>9572.4271575747025</v>
      </c>
      <c r="R124" s="314">
        <v>23099.861831194015</v>
      </c>
      <c r="S124" s="315">
        <v>25839.594778439146</v>
      </c>
      <c r="U124" s="7" t="s">
        <v>726</v>
      </c>
    </row>
    <row r="125" spans="1:21" s="74" customFormat="1" ht="16.5" thickBot="1">
      <c r="A125" s="50" t="s">
        <v>35</v>
      </c>
      <c r="B125" s="51">
        <f t="shared" si="6"/>
        <v>55</v>
      </c>
      <c r="C125" s="51" t="s">
        <v>3</v>
      </c>
      <c r="D125" s="51">
        <f t="shared" si="7"/>
        <v>260</v>
      </c>
      <c r="E125" s="51" t="s">
        <v>3</v>
      </c>
      <c r="F125" s="110">
        <f t="shared" si="8"/>
        <v>1150</v>
      </c>
      <c r="G125" s="51" t="s">
        <v>3</v>
      </c>
      <c r="H125" s="48">
        <v>2</v>
      </c>
      <c r="I125" s="49" t="s">
        <v>45</v>
      </c>
      <c r="J125" s="184">
        <v>55</v>
      </c>
      <c r="K125" s="113">
        <v>260</v>
      </c>
      <c r="L125" s="113">
        <v>1150</v>
      </c>
      <c r="M125" s="185">
        <v>8.0526197590099997</v>
      </c>
      <c r="N125" s="75">
        <v>132.6416256</v>
      </c>
      <c r="O125" s="119">
        <v>13926.545205321041</v>
      </c>
      <c r="P125" s="119">
        <v>16768.925355624418</v>
      </c>
      <c r="Q125" s="120">
        <v>10004.529567890477</v>
      </c>
      <c r="R125" s="314">
        <v>23931.07477321152</v>
      </c>
      <c r="S125" s="315">
        <v>26773.454923514895</v>
      </c>
      <c r="U125" s="7" t="s">
        <v>727</v>
      </c>
    </row>
    <row r="126" spans="1:21" s="74" customFormat="1" ht="16.5" thickBot="1">
      <c r="A126" s="50" t="s">
        <v>35</v>
      </c>
      <c r="B126" s="51">
        <f t="shared" si="6"/>
        <v>55</v>
      </c>
      <c r="C126" s="51" t="s">
        <v>3</v>
      </c>
      <c r="D126" s="51">
        <f t="shared" si="7"/>
        <v>260</v>
      </c>
      <c r="E126" s="51" t="s">
        <v>3</v>
      </c>
      <c r="F126" s="110">
        <f t="shared" si="8"/>
        <v>1200</v>
      </c>
      <c r="G126" s="51" t="s">
        <v>3</v>
      </c>
      <c r="H126" s="48">
        <v>2</v>
      </c>
      <c r="I126" s="49" t="s">
        <v>45</v>
      </c>
      <c r="J126" s="184">
        <v>55</v>
      </c>
      <c r="K126" s="113">
        <v>260</v>
      </c>
      <c r="L126" s="113">
        <v>1200</v>
      </c>
      <c r="M126" s="185">
        <v>8.433825023252858</v>
      </c>
      <c r="N126" s="75">
        <v>140.93172719999998</v>
      </c>
      <c r="O126" s="119">
        <v>14369.233977136128</v>
      </c>
      <c r="P126" s="119">
        <v>17312.932928501777</v>
      </c>
      <c r="Q126" s="120">
        <v>10436.631837812891</v>
      </c>
      <c r="R126" s="314">
        <v>24805.865814949018</v>
      </c>
      <c r="S126" s="315">
        <v>27749.564766314666</v>
      </c>
      <c r="U126" s="7" t="s">
        <v>728</v>
      </c>
    </row>
    <row r="127" spans="1:21" s="74" customFormat="1" ht="16.5" thickBot="1">
      <c r="A127" s="50" t="s">
        <v>35</v>
      </c>
      <c r="B127" s="51">
        <f t="shared" si="6"/>
        <v>55</v>
      </c>
      <c r="C127" s="51" t="s">
        <v>3</v>
      </c>
      <c r="D127" s="51">
        <f t="shared" si="7"/>
        <v>260</v>
      </c>
      <c r="E127" s="51" t="s">
        <v>3</v>
      </c>
      <c r="F127" s="110">
        <f t="shared" si="8"/>
        <v>1250</v>
      </c>
      <c r="G127" s="51" t="s">
        <v>3</v>
      </c>
      <c r="H127" s="48">
        <v>2</v>
      </c>
      <c r="I127" s="49" t="s">
        <v>45</v>
      </c>
      <c r="J127" s="184">
        <v>55</v>
      </c>
      <c r="K127" s="113">
        <v>260</v>
      </c>
      <c r="L127" s="113">
        <v>1250</v>
      </c>
      <c r="M127" s="185">
        <v>8.7472302874957126</v>
      </c>
      <c r="N127" s="75">
        <v>149.2218288</v>
      </c>
      <c r="O127" s="119">
        <v>14768.344508837854</v>
      </c>
      <c r="P127" s="119">
        <v>17814.690803655114</v>
      </c>
      <c r="Q127" s="120">
        <v>10868.734248128665</v>
      </c>
      <c r="R127" s="314">
        <v>25637.078756966519</v>
      </c>
      <c r="S127" s="315">
        <v>28683.425051783779</v>
      </c>
      <c r="U127" s="7" t="s">
        <v>729</v>
      </c>
    </row>
    <row r="128" spans="1:21" s="74" customFormat="1" ht="16.5" thickBot="1">
      <c r="A128" s="50" t="s">
        <v>35</v>
      </c>
      <c r="B128" s="51">
        <f t="shared" si="6"/>
        <v>55</v>
      </c>
      <c r="C128" s="51" t="s">
        <v>3</v>
      </c>
      <c r="D128" s="51">
        <f t="shared" si="7"/>
        <v>260</v>
      </c>
      <c r="E128" s="51" t="s">
        <v>3</v>
      </c>
      <c r="F128" s="110">
        <f t="shared" si="8"/>
        <v>1300</v>
      </c>
      <c r="G128" s="51" t="s">
        <v>3</v>
      </c>
      <c r="H128" s="48">
        <v>2</v>
      </c>
      <c r="I128" s="49" t="s">
        <v>45</v>
      </c>
      <c r="J128" s="184">
        <v>55</v>
      </c>
      <c r="K128" s="113">
        <v>260</v>
      </c>
      <c r="L128" s="113">
        <v>1300</v>
      </c>
      <c r="M128" s="185">
        <v>9.0606355517385708</v>
      </c>
      <c r="N128" s="75">
        <v>157.51193039999998</v>
      </c>
      <c r="O128" s="119">
        <v>15167.455040539578</v>
      </c>
      <c r="P128" s="119">
        <v>18316.44853841509</v>
      </c>
      <c r="Q128" s="120">
        <v>11300.836518051077</v>
      </c>
      <c r="R128" s="314">
        <v>26468.291558590656</v>
      </c>
      <c r="S128" s="315">
        <v>29617.285056466168</v>
      </c>
      <c r="U128" s="7" t="s">
        <v>730</v>
      </c>
    </row>
    <row r="129" spans="1:21" s="74" customFormat="1" ht="16.5" thickBot="1">
      <c r="A129" s="50" t="s">
        <v>35</v>
      </c>
      <c r="B129" s="51">
        <f t="shared" si="6"/>
        <v>55</v>
      </c>
      <c r="C129" s="51" t="s">
        <v>3</v>
      </c>
      <c r="D129" s="51">
        <f t="shared" si="7"/>
        <v>260</v>
      </c>
      <c r="E129" s="51" t="s">
        <v>3</v>
      </c>
      <c r="F129" s="110">
        <f t="shared" si="8"/>
        <v>1350</v>
      </c>
      <c r="G129" s="51" t="s">
        <v>3</v>
      </c>
      <c r="H129" s="48">
        <v>2</v>
      </c>
      <c r="I129" s="49" t="s">
        <v>45</v>
      </c>
      <c r="J129" s="184">
        <v>55</v>
      </c>
      <c r="K129" s="113">
        <v>260</v>
      </c>
      <c r="L129" s="113">
        <v>1350</v>
      </c>
      <c r="M129" s="185">
        <v>9.374040815981429</v>
      </c>
      <c r="N129" s="75">
        <v>165.802032</v>
      </c>
      <c r="O129" s="119">
        <v>15566.565572241303</v>
      </c>
      <c r="P129" s="119">
        <v>18818.206273175067</v>
      </c>
      <c r="Q129" s="120">
        <v>11732.938928366853</v>
      </c>
      <c r="R129" s="314">
        <v>27299.504500608156</v>
      </c>
      <c r="S129" s="315">
        <v>30551.14520154192</v>
      </c>
      <c r="U129" s="7" t="s">
        <v>731</v>
      </c>
    </row>
    <row r="130" spans="1:21" s="74" customFormat="1" ht="16.5" thickBot="1">
      <c r="A130" s="50" t="s">
        <v>35</v>
      </c>
      <c r="B130" s="51">
        <f t="shared" si="6"/>
        <v>55</v>
      </c>
      <c r="C130" s="51" t="s">
        <v>3</v>
      </c>
      <c r="D130" s="51">
        <f t="shared" si="7"/>
        <v>260</v>
      </c>
      <c r="E130" s="51" t="s">
        <v>3</v>
      </c>
      <c r="F130" s="110">
        <f t="shared" si="8"/>
        <v>1400</v>
      </c>
      <c r="G130" s="51" t="s">
        <v>3</v>
      </c>
      <c r="H130" s="48">
        <v>2</v>
      </c>
      <c r="I130" s="49" t="s">
        <v>45</v>
      </c>
      <c r="J130" s="184">
        <v>55</v>
      </c>
      <c r="K130" s="113">
        <v>260</v>
      </c>
      <c r="L130" s="113">
        <v>1400</v>
      </c>
      <c r="M130" s="185">
        <v>9.6874460802242872</v>
      </c>
      <c r="N130" s="75">
        <v>174.09213360000001</v>
      </c>
      <c r="O130" s="119">
        <v>15965.67624433639</v>
      </c>
      <c r="P130" s="119">
        <v>19319.964007935039</v>
      </c>
      <c r="Q130" s="120">
        <v>12165.041338682626</v>
      </c>
      <c r="R130" s="314">
        <v>28130.717583019017</v>
      </c>
      <c r="S130" s="315">
        <v>31485.005346617665</v>
      </c>
      <c r="U130" s="7" t="s">
        <v>732</v>
      </c>
    </row>
    <row r="131" spans="1:21" s="74" customFormat="1" ht="16.5" thickBot="1">
      <c r="A131" s="50" t="s">
        <v>35</v>
      </c>
      <c r="B131" s="51">
        <f t="shared" si="6"/>
        <v>55</v>
      </c>
      <c r="C131" s="51" t="s">
        <v>3</v>
      </c>
      <c r="D131" s="51">
        <f t="shared" si="7"/>
        <v>260</v>
      </c>
      <c r="E131" s="51" t="s">
        <v>3</v>
      </c>
      <c r="F131" s="110">
        <f t="shared" si="8"/>
        <v>1450</v>
      </c>
      <c r="G131" s="51" t="s">
        <v>3</v>
      </c>
      <c r="H131" s="48">
        <v>2</v>
      </c>
      <c r="I131" s="49" t="s">
        <v>45</v>
      </c>
      <c r="J131" s="184">
        <v>55</v>
      </c>
      <c r="K131" s="113">
        <v>260</v>
      </c>
      <c r="L131" s="113">
        <v>1450</v>
      </c>
      <c r="M131" s="185">
        <v>10.000851344467144</v>
      </c>
      <c r="N131" s="75">
        <v>182.38223520000003</v>
      </c>
      <c r="O131" s="119">
        <v>16364.786776038118</v>
      </c>
      <c r="P131" s="119">
        <v>19821.721742695016</v>
      </c>
      <c r="Q131" s="120">
        <v>12597.14360860504</v>
      </c>
      <c r="R131" s="314">
        <v>28961.930384643158</v>
      </c>
      <c r="S131" s="315">
        <v>32418.865351300054</v>
      </c>
      <c r="U131" s="7" t="s">
        <v>733</v>
      </c>
    </row>
    <row r="132" spans="1:21" s="74" customFormat="1" ht="16.5" thickBot="1">
      <c r="A132" s="50" t="s">
        <v>35</v>
      </c>
      <c r="B132" s="51">
        <f t="shared" si="6"/>
        <v>55</v>
      </c>
      <c r="C132" s="51" t="s">
        <v>3</v>
      </c>
      <c r="D132" s="51">
        <f t="shared" si="7"/>
        <v>260</v>
      </c>
      <c r="E132" s="51" t="s">
        <v>3</v>
      </c>
      <c r="F132" s="110">
        <f t="shared" si="8"/>
        <v>1500</v>
      </c>
      <c r="G132" s="51" t="s">
        <v>3</v>
      </c>
      <c r="H132" s="48">
        <v>2</v>
      </c>
      <c r="I132" s="49" t="s">
        <v>45</v>
      </c>
      <c r="J132" s="184">
        <v>55</v>
      </c>
      <c r="K132" s="113">
        <v>260</v>
      </c>
      <c r="L132" s="113">
        <v>1500</v>
      </c>
      <c r="M132" s="185">
        <v>10.433233760709999</v>
      </c>
      <c r="N132" s="75">
        <v>190.67233679999998</v>
      </c>
      <c r="O132" s="119">
        <v>17323.834192313177</v>
      </c>
      <c r="P132" s="119">
        <v>20813.804699919867</v>
      </c>
      <c r="Q132" s="120">
        <v>13029.246018920816</v>
      </c>
      <c r="R132" s="314">
        <v>30353.080211233995</v>
      </c>
      <c r="S132" s="315">
        <v>33843.050718840685</v>
      </c>
      <c r="U132" s="7" t="s">
        <v>734</v>
      </c>
    </row>
    <row r="133" spans="1:21" s="74" customFormat="1" ht="16.5" thickBot="1">
      <c r="A133" s="50" t="s">
        <v>35</v>
      </c>
      <c r="B133" s="51">
        <f t="shared" si="6"/>
        <v>55</v>
      </c>
      <c r="C133" s="51" t="s">
        <v>3</v>
      </c>
      <c r="D133" s="51">
        <f t="shared" si="7"/>
        <v>260</v>
      </c>
      <c r="E133" s="51" t="s">
        <v>3</v>
      </c>
      <c r="F133" s="110">
        <f t="shared" si="8"/>
        <v>1550</v>
      </c>
      <c r="G133" s="51" t="s">
        <v>3</v>
      </c>
      <c r="H133" s="48">
        <v>2</v>
      </c>
      <c r="I133" s="49" t="s">
        <v>45</v>
      </c>
      <c r="J133" s="184">
        <v>55</v>
      </c>
      <c r="K133" s="113">
        <v>260</v>
      </c>
      <c r="L133" s="113">
        <v>1550</v>
      </c>
      <c r="M133" s="185">
        <v>10.746639024952856</v>
      </c>
      <c r="N133" s="75">
        <v>198.9624384</v>
      </c>
      <c r="O133" s="119">
        <v>17722.944864408266</v>
      </c>
      <c r="P133" s="119">
        <v>21315.562434679843</v>
      </c>
      <c r="Q133" s="120">
        <v>13461.348288843226</v>
      </c>
      <c r="R133" s="314">
        <v>31184.293153251492</v>
      </c>
      <c r="S133" s="315">
        <v>34776.910723523069</v>
      </c>
      <c r="U133" s="7" t="s">
        <v>735</v>
      </c>
    </row>
    <row r="134" spans="1:21" s="74" customFormat="1" ht="16.5" thickBot="1">
      <c r="A134" s="47" t="s">
        <v>35</v>
      </c>
      <c r="B134" s="48">
        <f t="shared" si="6"/>
        <v>55</v>
      </c>
      <c r="C134" s="48" t="s">
        <v>3</v>
      </c>
      <c r="D134" s="48">
        <f t="shared" si="7"/>
        <v>260</v>
      </c>
      <c r="E134" s="48" t="s">
        <v>3</v>
      </c>
      <c r="F134" s="110">
        <f t="shared" si="8"/>
        <v>1600</v>
      </c>
      <c r="G134" s="48" t="s">
        <v>3</v>
      </c>
      <c r="H134" s="48">
        <v>2</v>
      </c>
      <c r="I134" s="49" t="s">
        <v>45</v>
      </c>
      <c r="J134" s="184">
        <v>55</v>
      </c>
      <c r="K134" s="113">
        <v>260</v>
      </c>
      <c r="L134" s="113">
        <v>1600</v>
      </c>
      <c r="M134" s="185">
        <v>11.060044289195714</v>
      </c>
      <c r="N134" s="75">
        <v>207.25254000000001</v>
      </c>
      <c r="O134" s="119">
        <v>18122.05539610999</v>
      </c>
      <c r="P134" s="119">
        <v>21817.320169439819</v>
      </c>
      <c r="Q134" s="120">
        <v>13893.450699159002</v>
      </c>
      <c r="R134" s="314">
        <v>32015.506095268993</v>
      </c>
      <c r="S134" s="315">
        <v>35710.770868598818</v>
      </c>
      <c r="U134" s="7" t="s">
        <v>736</v>
      </c>
    </row>
    <row r="135" spans="1:21" s="74" customFormat="1" ht="16.5" thickBot="1">
      <c r="A135" s="50" t="s">
        <v>35</v>
      </c>
      <c r="B135" s="51">
        <f t="shared" si="6"/>
        <v>55</v>
      </c>
      <c r="C135" s="51" t="s">
        <v>3</v>
      </c>
      <c r="D135" s="51">
        <f t="shared" si="7"/>
        <v>260</v>
      </c>
      <c r="E135" s="51" t="s">
        <v>3</v>
      </c>
      <c r="F135" s="110">
        <f t="shared" si="8"/>
        <v>1650</v>
      </c>
      <c r="G135" s="51" t="s">
        <v>3</v>
      </c>
      <c r="H135" s="48">
        <v>2</v>
      </c>
      <c r="I135" s="49" t="s">
        <v>45</v>
      </c>
      <c r="J135" s="184">
        <v>55</v>
      </c>
      <c r="K135" s="113">
        <v>260</v>
      </c>
      <c r="L135" s="113">
        <v>1650</v>
      </c>
      <c r="M135" s="185">
        <v>11.373449553438572</v>
      </c>
      <c r="N135" s="75">
        <v>215.5426416</v>
      </c>
      <c r="O135" s="119">
        <v>18521.165927811715</v>
      </c>
      <c r="P135" s="119">
        <v>22319.077904199792</v>
      </c>
      <c r="Q135" s="120">
        <v>14325.553109474778</v>
      </c>
      <c r="R135" s="314">
        <v>32846.719037286493</v>
      </c>
      <c r="S135" s="315">
        <v>36644.631013674574</v>
      </c>
      <c r="U135" s="7" t="s">
        <v>737</v>
      </c>
    </row>
    <row r="136" spans="1:21" s="74" customFormat="1" ht="16.5" thickBot="1">
      <c r="A136" s="50" t="s">
        <v>35</v>
      </c>
      <c r="B136" s="51">
        <f t="shared" si="6"/>
        <v>55</v>
      </c>
      <c r="C136" s="51" t="s">
        <v>3</v>
      </c>
      <c r="D136" s="51">
        <f t="shared" si="7"/>
        <v>260</v>
      </c>
      <c r="E136" s="51" t="s">
        <v>3</v>
      </c>
      <c r="F136" s="110">
        <f t="shared" si="8"/>
        <v>1700</v>
      </c>
      <c r="G136" s="51" t="s">
        <v>3</v>
      </c>
      <c r="H136" s="48">
        <v>2</v>
      </c>
      <c r="I136" s="49" t="s">
        <v>45</v>
      </c>
      <c r="J136" s="184">
        <v>55</v>
      </c>
      <c r="K136" s="113">
        <v>260</v>
      </c>
      <c r="L136" s="113">
        <v>1700</v>
      </c>
      <c r="M136" s="185">
        <v>11.686854817681429</v>
      </c>
      <c r="N136" s="75">
        <v>223.83274320000001</v>
      </c>
      <c r="O136" s="119">
        <v>18920.276459513443</v>
      </c>
      <c r="P136" s="119">
        <v>22820.835638959768</v>
      </c>
      <c r="Q136" s="120">
        <v>14757.655379397189</v>
      </c>
      <c r="R136" s="314">
        <v>33677.931838910634</v>
      </c>
      <c r="S136" s="315">
        <v>37578.491018356959</v>
      </c>
      <c r="U136" s="7" t="s">
        <v>738</v>
      </c>
    </row>
    <row r="137" spans="1:21" s="74" customFormat="1" ht="16.5" thickBot="1">
      <c r="A137" s="50" t="s">
        <v>35</v>
      </c>
      <c r="B137" s="51">
        <f t="shared" si="6"/>
        <v>55</v>
      </c>
      <c r="C137" s="51" t="s">
        <v>3</v>
      </c>
      <c r="D137" s="51">
        <f t="shared" si="7"/>
        <v>260</v>
      </c>
      <c r="E137" s="51" t="s">
        <v>3</v>
      </c>
      <c r="F137" s="110">
        <f t="shared" si="8"/>
        <v>1750</v>
      </c>
      <c r="G137" s="51" t="s">
        <v>3</v>
      </c>
      <c r="H137" s="48">
        <v>2</v>
      </c>
      <c r="I137" s="49" t="s">
        <v>45</v>
      </c>
      <c r="J137" s="184">
        <v>55</v>
      </c>
      <c r="K137" s="113">
        <v>260</v>
      </c>
      <c r="L137" s="113">
        <v>1750</v>
      </c>
      <c r="M137" s="185">
        <v>12.000260081924285</v>
      </c>
      <c r="N137" s="75">
        <v>232.12284479999997</v>
      </c>
      <c r="O137" s="119">
        <v>19319.386991215168</v>
      </c>
      <c r="P137" s="119">
        <v>23322.593514113109</v>
      </c>
      <c r="Q137" s="120">
        <v>15189.757789712965</v>
      </c>
      <c r="R137" s="314">
        <v>34509.144780928131</v>
      </c>
      <c r="S137" s="315">
        <v>38512.351303826072</v>
      </c>
      <c r="U137" s="7" t="s">
        <v>739</v>
      </c>
    </row>
    <row r="138" spans="1:21" s="74" customFormat="1" ht="16.5" thickBot="1">
      <c r="A138" s="50" t="s">
        <v>35</v>
      </c>
      <c r="B138" s="51">
        <f t="shared" si="6"/>
        <v>55</v>
      </c>
      <c r="C138" s="51" t="s">
        <v>3</v>
      </c>
      <c r="D138" s="51">
        <f t="shared" si="7"/>
        <v>260</v>
      </c>
      <c r="E138" s="51" t="s">
        <v>3</v>
      </c>
      <c r="F138" s="110">
        <f t="shared" si="8"/>
        <v>1800</v>
      </c>
      <c r="G138" s="51" t="s">
        <v>3</v>
      </c>
      <c r="H138" s="48">
        <v>2</v>
      </c>
      <c r="I138" s="49" t="s">
        <v>45</v>
      </c>
      <c r="J138" s="184">
        <v>55</v>
      </c>
      <c r="K138" s="113">
        <v>260</v>
      </c>
      <c r="L138" s="113">
        <v>1800</v>
      </c>
      <c r="M138" s="185">
        <v>12.313665346167145</v>
      </c>
      <c r="N138" s="75">
        <v>240.41294639999998</v>
      </c>
      <c r="O138" s="119">
        <v>19718.497663310252</v>
      </c>
      <c r="P138" s="119">
        <v>23824.351248873081</v>
      </c>
      <c r="Q138" s="120">
        <v>15621.860059635379</v>
      </c>
      <c r="R138" s="314">
        <v>35340.357722945628</v>
      </c>
      <c r="S138" s="315">
        <v>39446.211308508457</v>
      </c>
      <c r="U138" s="7" t="s">
        <v>740</v>
      </c>
    </row>
    <row r="139" spans="1:21" s="74" customFormat="1" ht="16.5" thickBot="1">
      <c r="A139" s="50" t="s">
        <v>35</v>
      </c>
      <c r="B139" s="51">
        <f t="shared" si="6"/>
        <v>55</v>
      </c>
      <c r="C139" s="51" t="s">
        <v>3</v>
      </c>
      <c r="D139" s="51">
        <f t="shared" si="7"/>
        <v>260</v>
      </c>
      <c r="E139" s="51" t="s">
        <v>3</v>
      </c>
      <c r="F139" s="110">
        <f t="shared" si="8"/>
        <v>1850</v>
      </c>
      <c r="G139" s="51" t="s">
        <v>3</v>
      </c>
      <c r="H139" s="48">
        <v>2</v>
      </c>
      <c r="I139" s="49" t="s">
        <v>45</v>
      </c>
      <c r="J139" s="184">
        <v>55</v>
      </c>
      <c r="K139" s="113">
        <v>260</v>
      </c>
      <c r="L139" s="113">
        <v>1850</v>
      </c>
      <c r="M139" s="185">
        <v>12.627070610410001</v>
      </c>
      <c r="N139" s="75">
        <v>248.703048</v>
      </c>
      <c r="O139" s="119">
        <v>20117.608195011977</v>
      </c>
      <c r="P139" s="119">
        <v>24326.108983633054</v>
      </c>
      <c r="Q139" s="120">
        <v>16053.962469951155</v>
      </c>
      <c r="R139" s="314">
        <v>36171.570664963132</v>
      </c>
      <c r="S139" s="315">
        <v>40380.071453584213</v>
      </c>
      <c r="U139" s="7" t="s">
        <v>741</v>
      </c>
    </row>
    <row r="140" spans="1:21" s="74" customFormat="1" ht="16.5" thickBot="1">
      <c r="A140" s="50" t="s">
        <v>35</v>
      </c>
      <c r="B140" s="51">
        <f t="shared" si="6"/>
        <v>55</v>
      </c>
      <c r="C140" s="51" t="s">
        <v>3</v>
      </c>
      <c r="D140" s="51">
        <f t="shared" si="7"/>
        <v>260</v>
      </c>
      <c r="E140" s="51" t="s">
        <v>3</v>
      </c>
      <c r="F140" s="110">
        <f t="shared" si="8"/>
        <v>1900</v>
      </c>
      <c r="G140" s="51" t="s">
        <v>3</v>
      </c>
      <c r="H140" s="48">
        <v>2</v>
      </c>
      <c r="I140" s="49" t="s">
        <v>45</v>
      </c>
      <c r="J140" s="184">
        <v>55</v>
      </c>
      <c r="K140" s="113">
        <v>260</v>
      </c>
      <c r="L140" s="113">
        <v>1900</v>
      </c>
      <c r="M140" s="185">
        <v>12.940475874652858</v>
      </c>
      <c r="N140" s="75">
        <v>256.99314959999998</v>
      </c>
      <c r="O140" s="119">
        <v>20516.718726713705</v>
      </c>
      <c r="P140" s="119">
        <v>24827.866718393027</v>
      </c>
      <c r="Q140" s="120">
        <v>16486.064880266931</v>
      </c>
      <c r="R140" s="314">
        <v>37002.783606980636</v>
      </c>
      <c r="S140" s="315">
        <v>41313.931598659954</v>
      </c>
      <c r="U140" s="7" t="s">
        <v>742</v>
      </c>
    </row>
    <row r="141" spans="1:21" s="74" customFormat="1" ht="16.5" thickBot="1">
      <c r="A141" s="50" t="s">
        <v>35</v>
      </c>
      <c r="B141" s="51">
        <f t="shared" si="6"/>
        <v>55</v>
      </c>
      <c r="C141" s="51" t="s">
        <v>3</v>
      </c>
      <c r="D141" s="51">
        <f t="shared" si="7"/>
        <v>260</v>
      </c>
      <c r="E141" s="51" t="s">
        <v>3</v>
      </c>
      <c r="F141" s="110">
        <f t="shared" si="8"/>
        <v>1950</v>
      </c>
      <c r="G141" s="51" t="s">
        <v>3</v>
      </c>
      <c r="H141" s="48">
        <v>2</v>
      </c>
      <c r="I141" s="49" t="s">
        <v>45</v>
      </c>
      <c r="J141" s="184">
        <v>55</v>
      </c>
      <c r="K141" s="113">
        <v>260</v>
      </c>
      <c r="L141" s="113">
        <v>1950</v>
      </c>
      <c r="M141" s="185">
        <v>13.321681138895716</v>
      </c>
      <c r="N141" s="75">
        <v>265.2832512</v>
      </c>
      <c r="O141" s="119">
        <v>20959.407498528792</v>
      </c>
      <c r="P141" s="119">
        <v>25371.874291270393</v>
      </c>
      <c r="Q141" s="120">
        <v>16918.16715018934</v>
      </c>
      <c r="R141" s="314">
        <v>37877.574648718131</v>
      </c>
      <c r="S141" s="315">
        <v>42290.041441459733</v>
      </c>
      <c r="U141" s="7" t="s">
        <v>743</v>
      </c>
    </row>
    <row r="142" spans="1:21" s="74" customFormat="1" ht="16.5" thickBot="1">
      <c r="A142" s="50" t="s">
        <v>35</v>
      </c>
      <c r="B142" s="51">
        <f t="shared" si="6"/>
        <v>55</v>
      </c>
      <c r="C142" s="51" t="s">
        <v>3</v>
      </c>
      <c r="D142" s="51">
        <f t="shared" si="7"/>
        <v>260</v>
      </c>
      <c r="E142" s="51" t="s">
        <v>3</v>
      </c>
      <c r="F142" s="110">
        <f t="shared" si="8"/>
        <v>2000</v>
      </c>
      <c r="G142" s="51" t="s">
        <v>3</v>
      </c>
      <c r="H142" s="48">
        <v>2</v>
      </c>
      <c r="I142" s="49" t="s">
        <v>45</v>
      </c>
      <c r="J142" s="184">
        <v>55</v>
      </c>
      <c r="K142" s="113">
        <v>260</v>
      </c>
      <c r="L142" s="113">
        <v>2000</v>
      </c>
      <c r="M142" s="185">
        <v>13.726660708548572</v>
      </c>
      <c r="N142" s="75">
        <v>273.57335279999995</v>
      </c>
      <c r="O142" s="119">
        <v>21577.533922024319</v>
      </c>
      <c r="P142" s="119">
        <v>26159.877104571005</v>
      </c>
      <c r="Q142" s="120">
        <v>17350.269560505116</v>
      </c>
      <c r="R142" s="314">
        <v>38927.803482529431</v>
      </c>
      <c r="S142" s="315">
        <v>43510.146665076121</v>
      </c>
      <c r="U142" s="7" t="s">
        <v>744</v>
      </c>
    </row>
    <row r="143" spans="1:21" s="74" customFormat="1" ht="16.5" thickBot="1">
      <c r="A143" s="50" t="s">
        <v>35</v>
      </c>
      <c r="B143" s="51">
        <f t="shared" si="6"/>
        <v>55</v>
      </c>
      <c r="C143" s="51" t="s">
        <v>3</v>
      </c>
      <c r="D143" s="51">
        <f t="shared" si="7"/>
        <v>260</v>
      </c>
      <c r="E143" s="51" t="s">
        <v>3</v>
      </c>
      <c r="F143" s="110">
        <f t="shared" si="8"/>
        <v>2050</v>
      </c>
      <c r="G143" s="51" t="s">
        <v>3</v>
      </c>
      <c r="H143" s="48">
        <v>2</v>
      </c>
      <c r="I143" s="49" t="s">
        <v>45</v>
      </c>
      <c r="J143" s="184">
        <v>55</v>
      </c>
      <c r="K143" s="113">
        <v>260</v>
      </c>
      <c r="L143" s="113">
        <v>2050</v>
      </c>
      <c r="M143" s="185">
        <v>14.040065972791428</v>
      </c>
      <c r="N143" s="75">
        <v>281.86345439999997</v>
      </c>
      <c r="O143" s="119">
        <v>21976.644453726043</v>
      </c>
      <c r="P143" s="119">
        <v>26661.634839330982</v>
      </c>
      <c r="Q143" s="120">
        <v>17782.371830427528</v>
      </c>
      <c r="R143" s="314">
        <v>39759.016284153571</v>
      </c>
      <c r="S143" s="315">
        <v>44444.006669758513</v>
      </c>
      <c r="U143" s="7" t="s">
        <v>745</v>
      </c>
    </row>
    <row r="144" spans="1:21" s="74" customFormat="1" ht="16.5" thickBot="1">
      <c r="A144" s="47" t="s">
        <v>35</v>
      </c>
      <c r="B144" s="48">
        <f t="shared" si="6"/>
        <v>55</v>
      </c>
      <c r="C144" s="48" t="s">
        <v>3</v>
      </c>
      <c r="D144" s="48">
        <f t="shared" si="7"/>
        <v>260</v>
      </c>
      <c r="E144" s="48" t="s">
        <v>3</v>
      </c>
      <c r="F144" s="110">
        <f t="shared" si="8"/>
        <v>2100</v>
      </c>
      <c r="G144" s="48" t="s">
        <v>3</v>
      </c>
      <c r="H144" s="48">
        <v>2</v>
      </c>
      <c r="I144" s="49" t="s">
        <v>45</v>
      </c>
      <c r="J144" s="184">
        <v>55</v>
      </c>
      <c r="K144" s="113">
        <v>260</v>
      </c>
      <c r="L144" s="113">
        <v>2100</v>
      </c>
      <c r="M144" s="185">
        <v>14.353471237034285</v>
      </c>
      <c r="N144" s="75">
        <v>290.15355599999998</v>
      </c>
      <c r="O144" s="119">
        <v>22375.754985427768</v>
      </c>
      <c r="P144" s="119">
        <v>27163.392574090954</v>
      </c>
      <c r="Q144" s="120">
        <v>18214.474240743304</v>
      </c>
      <c r="R144" s="314">
        <v>40590.229226171068</v>
      </c>
      <c r="S144" s="315">
        <v>45377.866814834255</v>
      </c>
      <c r="U144" s="7" t="s">
        <v>746</v>
      </c>
    </row>
    <row r="145" spans="1:21" s="74" customFormat="1" ht="16.5" thickBot="1">
      <c r="A145" s="50" t="s">
        <v>35</v>
      </c>
      <c r="B145" s="51">
        <f t="shared" si="6"/>
        <v>55</v>
      </c>
      <c r="C145" s="51" t="s">
        <v>3</v>
      </c>
      <c r="D145" s="51">
        <f t="shared" si="7"/>
        <v>260</v>
      </c>
      <c r="E145" s="51" t="s">
        <v>3</v>
      </c>
      <c r="F145" s="110">
        <f t="shared" si="8"/>
        <v>2150</v>
      </c>
      <c r="G145" s="51" t="s">
        <v>3</v>
      </c>
      <c r="H145" s="48">
        <v>2</v>
      </c>
      <c r="I145" s="49" t="s">
        <v>45</v>
      </c>
      <c r="J145" s="184">
        <v>55</v>
      </c>
      <c r="K145" s="113">
        <v>260</v>
      </c>
      <c r="L145" s="113">
        <v>2150</v>
      </c>
      <c r="M145" s="185">
        <v>14.666876501277143</v>
      </c>
      <c r="N145" s="75">
        <v>298.44365759999999</v>
      </c>
      <c r="O145" s="119">
        <v>22774.865517129492</v>
      </c>
      <c r="P145" s="119">
        <v>27665.150308850931</v>
      </c>
      <c r="Q145" s="120">
        <v>18646.576510665716</v>
      </c>
      <c r="R145" s="314">
        <v>41421.442027795209</v>
      </c>
      <c r="S145" s="315">
        <v>46311.726819516647</v>
      </c>
      <c r="U145" s="7" t="s">
        <v>747</v>
      </c>
    </row>
    <row r="146" spans="1:21" s="74" customFormat="1" ht="16.5" thickBot="1">
      <c r="A146" s="50" t="s">
        <v>35</v>
      </c>
      <c r="B146" s="51">
        <f t="shared" si="6"/>
        <v>55</v>
      </c>
      <c r="C146" s="51" t="s">
        <v>3</v>
      </c>
      <c r="D146" s="51">
        <f t="shared" si="7"/>
        <v>260</v>
      </c>
      <c r="E146" s="51" t="s">
        <v>3</v>
      </c>
      <c r="F146" s="110">
        <f t="shared" si="8"/>
        <v>2200</v>
      </c>
      <c r="G146" s="51" t="s">
        <v>3</v>
      </c>
      <c r="H146" s="48">
        <v>2</v>
      </c>
      <c r="I146" s="49" t="s">
        <v>45</v>
      </c>
      <c r="J146" s="184">
        <v>55</v>
      </c>
      <c r="K146" s="113">
        <v>260</v>
      </c>
      <c r="L146" s="113">
        <v>2200</v>
      </c>
      <c r="M146" s="185">
        <v>14.980281765520003</v>
      </c>
      <c r="N146" s="75">
        <v>306.73375920000001</v>
      </c>
      <c r="O146" s="119">
        <v>23173.976048831217</v>
      </c>
      <c r="P146" s="119">
        <v>28166.908043610907</v>
      </c>
      <c r="Q146" s="120">
        <v>19078.678920981492</v>
      </c>
      <c r="R146" s="314">
        <v>42252.654969812706</v>
      </c>
      <c r="S146" s="315">
        <v>47245.586964592396</v>
      </c>
      <c r="U146" s="7" t="s">
        <v>748</v>
      </c>
    </row>
    <row r="147" spans="1:21" s="74" customFormat="1" ht="16.5" thickBot="1">
      <c r="A147" s="50" t="s">
        <v>35</v>
      </c>
      <c r="B147" s="51">
        <f t="shared" si="6"/>
        <v>55</v>
      </c>
      <c r="C147" s="51" t="s">
        <v>3</v>
      </c>
      <c r="D147" s="51">
        <f t="shared" si="7"/>
        <v>260</v>
      </c>
      <c r="E147" s="51" t="s">
        <v>3</v>
      </c>
      <c r="F147" s="110">
        <f t="shared" si="8"/>
        <v>2250</v>
      </c>
      <c r="G147" s="51" t="s">
        <v>3</v>
      </c>
      <c r="H147" s="48">
        <v>2</v>
      </c>
      <c r="I147" s="49" t="s">
        <v>45</v>
      </c>
      <c r="J147" s="184">
        <v>55</v>
      </c>
      <c r="K147" s="113">
        <v>260</v>
      </c>
      <c r="L147" s="113">
        <v>2250</v>
      </c>
      <c r="M147" s="185">
        <v>15.293687029762859</v>
      </c>
      <c r="N147" s="75">
        <v>315.02386079999997</v>
      </c>
      <c r="O147" s="119">
        <v>23573.086720926305</v>
      </c>
      <c r="P147" s="119">
        <v>28668.66577837088</v>
      </c>
      <c r="Q147" s="120">
        <v>19510.781331297265</v>
      </c>
      <c r="R147" s="314">
        <v>43083.868052223566</v>
      </c>
      <c r="S147" s="315">
        <v>48179.447109668145</v>
      </c>
      <c r="U147" s="7" t="s">
        <v>749</v>
      </c>
    </row>
    <row r="148" spans="1:21" s="74" customFormat="1" ht="16.5" thickBot="1">
      <c r="A148" s="50" t="s">
        <v>35</v>
      </c>
      <c r="B148" s="51">
        <f t="shared" si="6"/>
        <v>55</v>
      </c>
      <c r="C148" s="51" t="s">
        <v>3</v>
      </c>
      <c r="D148" s="51">
        <f t="shared" si="7"/>
        <v>260</v>
      </c>
      <c r="E148" s="51" t="s">
        <v>3</v>
      </c>
      <c r="F148" s="110">
        <f t="shared" si="8"/>
        <v>2300</v>
      </c>
      <c r="G148" s="51" t="s">
        <v>3</v>
      </c>
      <c r="H148" s="48">
        <v>2</v>
      </c>
      <c r="I148" s="49" t="s">
        <v>45</v>
      </c>
      <c r="J148" s="184">
        <v>55</v>
      </c>
      <c r="K148" s="113">
        <v>260</v>
      </c>
      <c r="L148" s="113">
        <v>2300</v>
      </c>
      <c r="M148" s="185">
        <v>15.607092294005717</v>
      </c>
      <c r="N148" s="75">
        <v>323.31396239999998</v>
      </c>
      <c r="O148" s="119">
        <v>23972.19725262803</v>
      </c>
      <c r="P148" s="119">
        <v>29170.423513130856</v>
      </c>
      <c r="Q148" s="120">
        <v>19942.883601219681</v>
      </c>
      <c r="R148" s="314">
        <v>43915.080853847714</v>
      </c>
      <c r="S148" s="315">
        <v>49113.307114350537</v>
      </c>
      <c r="U148" s="7" t="s">
        <v>750</v>
      </c>
    </row>
    <row r="149" spans="1:21" s="74" customFormat="1" ht="16.5" thickBot="1">
      <c r="A149" s="50" t="s">
        <v>35</v>
      </c>
      <c r="B149" s="51">
        <f t="shared" si="6"/>
        <v>55</v>
      </c>
      <c r="C149" s="51" t="s">
        <v>3</v>
      </c>
      <c r="D149" s="51">
        <f t="shared" si="7"/>
        <v>260</v>
      </c>
      <c r="E149" s="51" t="s">
        <v>3</v>
      </c>
      <c r="F149" s="110">
        <f t="shared" si="8"/>
        <v>2350</v>
      </c>
      <c r="G149" s="51" t="s">
        <v>3</v>
      </c>
      <c r="H149" s="48">
        <v>2</v>
      </c>
      <c r="I149" s="49" t="s">
        <v>45</v>
      </c>
      <c r="J149" s="184">
        <v>55</v>
      </c>
      <c r="K149" s="113">
        <v>260</v>
      </c>
      <c r="L149" s="113">
        <v>2350</v>
      </c>
      <c r="M149" s="185">
        <v>15.920497558248574</v>
      </c>
      <c r="N149" s="75">
        <v>331.60406399999999</v>
      </c>
      <c r="O149" s="119">
        <v>24371.307784329754</v>
      </c>
      <c r="P149" s="119">
        <v>29672.181247890832</v>
      </c>
      <c r="Q149" s="120">
        <v>20374.986011535453</v>
      </c>
      <c r="R149" s="314">
        <v>44746.293795865204</v>
      </c>
      <c r="S149" s="315">
        <v>50047.167259426285</v>
      </c>
      <c r="U149" s="7" t="s">
        <v>751</v>
      </c>
    </row>
    <row r="150" spans="1:21" s="74" customFormat="1" ht="16.5" thickBot="1">
      <c r="A150" s="50" t="s">
        <v>35</v>
      </c>
      <c r="B150" s="51">
        <f t="shared" si="6"/>
        <v>55</v>
      </c>
      <c r="C150" s="51" t="s">
        <v>3</v>
      </c>
      <c r="D150" s="51">
        <f t="shared" si="7"/>
        <v>260</v>
      </c>
      <c r="E150" s="51" t="s">
        <v>3</v>
      </c>
      <c r="F150" s="110">
        <f t="shared" si="8"/>
        <v>2400</v>
      </c>
      <c r="G150" s="51" t="s">
        <v>3</v>
      </c>
      <c r="H150" s="48">
        <v>2</v>
      </c>
      <c r="I150" s="49" t="s">
        <v>45</v>
      </c>
      <c r="J150" s="184">
        <v>55</v>
      </c>
      <c r="K150" s="113">
        <v>260</v>
      </c>
      <c r="L150" s="113">
        <v>2400</v>
      </c>
      <c r="M150" s="185">
        <v>16.23390282249143</v>
      </c>
      <c r="N150" s="75">
        <v>339.89416559999995</v>
      </c>
      <c r="O150" s="119">
        <v>24770.418316031482</v>
      </c>
      <c r="P150" s="119">
        <v>30173.938982650805</v>
      </c>
      <c r="Q150" s="120">
        <v>20807.088281457865</v>
      </c>
      <c r="R150" s="314">
        <v>45577.506597489351</v>
      </c>
      <c r="S150" s="315">
        <v>50981.02726410867</v>
      </c>
      <c r="U150" s="7" t="s">
        <v>752</v>
      </c>
    </row>
    <row r="151" spans="1:21" s="74" customFormat="1" ht="16.5" thickBot="1">
      <c r="A151" s="50" t="s">
        <v>35</v>
      </c>
      <c r="B151" s="51">
        <f t="shared" si="6"/>
        <v>55</v>
      </c>
      <c r="C151" s="51" t="s">
        <v>3</v>
      </c>
      <c r="D151" s="51">
        <f t="shared" si="7"/>
        <v>260</v>
      </c>
      <c r="E151" s="51" t="s">
        <v>3</v>
      </c>
      <c r="F151" s="110">
        <f t="shared" si="8"/>
        <v>2450</v>
      </c>
      <c r="G151" s="51" t="s">
        <v>3</v>
      </c>
      <c r="H151" s="48">
        <v>2</v>
      </c>
      <c r="I151" s="49" t="s">
        <v>45</v>
      </c>
      <c r="J151" s="184">
        <v>55</v>
      </c>
      <c r="K151" s="113">
        <v>260</v>
      </c>
      <c r="L151" s="113">
        <v>2450</v>
      </c>
      <c r="M151" s="185">
        <v>16.666285238734289</v>
      </c>
      <c r="N151" s="75">
        <v>348.18426720000002</v>
      </c>
      <c r="O151" s="119">
        <v>25729.465872699908</v>
      </c>
      <c r="P151" s="119">
        <v>31166.022080269016</v>
      </c>
      <c r="Q151" s="120">
        <v>21239.190691773641</v>
      </c>
      <c r="R151" s="314">
        <v>46968.656564473553</v>
      </c>
      <c r="S151" s="315">
        <v>52405.212772042658</v>
      </c>
      <c r="U151" s="7" t="s">
        <v>753</v>
      </c>
    </row>
    <row r="152" spans="1:21" s="74" customFormat="1" ht="16.5" thickBot="1">
      <c r="A152" s="50" t="s">
        <v>35</v>
      </c>
      <c r="B152" s="51">
        <f t="shared" si="6"/>
        <v>55</v>
      </c>
      <c r="C152" s="51" t="s">
        <v>3</v>
      </c>
      <c r="D152" s="51">
        <f t="shared" si="7"/>
        <v>260</v>
      </c>
      <c r="E152" s="51" t="s">
        <v>3</v>
      </c>
      <c r="F152" s="110">
        <f t="shared" si="8"/>
        <v>2500</v>
      </c>
      <c r="G152" s="51" t="s">
        <v>3</v>
      </c>
      <c r="H152" s="48">
        <v>2</v>
      </c>
      <c r="I152" s="49" t="s">
        <v>45</v>
      </c>
      <c r="J152" s="184">
        <v>55</v>
      </c>
      <c r="K152" s="113">
        <v>260</v>
      </c>
      <c r="L152" s="113">
        <v>2500</v>
      </c>
      <c r="M152" s="185">
        <v>16.979690502977146</v>
      </c>
      <c r="N152" s="75">
        <v>356.47436879999998</v>
      </c>
      <c r="O152" s="119">
        <v>26128.576404401629</v>
      </c>
      <c r="P152" s="119">
        <v>31667.779815028996</v>
      </c>
      <c r="Q152" s="120">
        <v>21671.293102089418</v>
      </c>
      <c r="R152" s="314">
        <v>47799.869506491043</v>
      </c>
      <c r="S152" s="315">
        <v>53339.072917118414</v>
      </c>
      <c r="U152" s="7" t="s">
        <v>754</v>
      </c>
    </row>
    <row r="153" spans="1:21" s="74" customFormat="1" ht="16.5" thickBot="1">
      <c r="A153" s="50" t="s">
        <v>35</v>
      </c>
      <c r="B153" s="51">
        <f t="shared" si="6"/>
        <v>55</v>
      </c>
      <c r="C153" s="51" t="s">
        <v>3</v>
      </c>
      <c r="D153" s="51">
        <f t="shared" si="7"/>
        <v>260</v>
      </c>
      <c r="E153" s="51" t="s">
        <v>3</v>
      </c>
      <c r="F153" s="110">
        <f t="shared" si="8"/>
        <v>2550</v>
      </c>
      <c r="G153" s="51" t="s">
        <v>3</v>
      </c>
      <c r="H153" s="48">
        <v>2</v>
      </c>
      <c r="I153" s="49" t="s">
        <v>45</v>
      </c>
      <c r="J153" s="184">
        <v>55</v>
      </c>
      <c r="K153" s="113">
        <v>260</v>
      </c>
      <c r="L153" s="113">
        <v>2550</v>
      </c>
      <c r="M153" s="185">
        <v>17.293095767220002</v>
      </c>
      <c r="N153" s="75">
        <v>364.76447040000005</v>
      </c>
      <c r="O153" s="119">
        <v>26527.686936103357</v>
      </c>
      <c r="P153" s="119">
        <v>32169.537549788969</v>
      </c>
      <c r="Q153" s="120">
        <v>22103.39537201183</v>
      </c>
      <c r="R153" s="314">
        <v>48631.08230811519</v>
      </c>
      <c r="S153" s="315">
        <v>54272.932921800799</v>
      </c>
      <c r="U153" s="7" t="s">
        <v>755</v>
      </c>
    </row>
    <row r="154" spans="1:21" s="74" customFormat="1" ht="16.5" thickBot="1">
      <c r="A154" s="47" t="s">
        <v>35</v>
      </c>
      <c r="B154" s="48">
        <f t="shared" si="6"/>
        <v>55</v>
      </c>
      <c r="C154" s="48" t="s">
        <v>3</v>
      </c>
      <c r="D154" s="48">
        <f t="shared" si="7"/>
        <v>260</v>
      </c>
      <c r="E154" s="48" t="s">
        <v>3</v>
      </c>
      <c r="F154" s="110">
        <f t="shared" si="8"/>
        <v>2600</v>
      </c>
      <c r="G154" s="48" t="s">
        <v>3</v>
      </c>
      <c r="H154" s="48">
        <v>2</v>
      </c>
      <c r="I154" s="49" t="s">
        <v>45</v>
      </c>
      <c r="J154" s="184">
        <v>55</v>
      </c>
      <c r="K154" s="113">
        <v>260</v>
      </c>
      <c r="L154" s="113">
        <v>2600</v>
      </c>
      <c r="M154" s="185">
        <v>17.606501031462859</v>
      </c>
      <c r="N154" s="75">
        <v>373.05457200000001</v>
      </c>
      <c r="O154" s="119">
        <v>26926.797467805081</v>
      </c>
      <c r="P154" s="119">
        <v>32671.295284548942</v>
      </c>
      <c r="Q154" s="120">
        <v>22535.497782327606</v>
      </c>
      <c r="R154" s="314">
        <v>49462.295250132687</v>
      </c>
      <c r="S154" s="315">
        <v>55206.793066876548</v>
      </c>
      <c r="U154" s="7" t="s">
        <v>756</v>
      </c>
    </row>
    <row r="155" spans="1:21" s="74" customFormat="1" ht="16.5" thickBot="1">
      <c r="A155" s="50" t="s">
        <v>35</v>
      </c>
      <c r="B155" s="51">
        <f t="shared" si="6"/>
        <v>55</v>
      </c>
      <c r="C155" s="51" t="s">
        <v>3</v>
      </c>
      <c r="D155" s="51">
        <f t="shared" si="7"/>
        <v>260</v>
      </c>
      <c r="E155" s="51" t="s">
        <v>3</v>
      </c>
      <c r="F155" s="110">
        <f t="shared" si="8"/>
        <v>2650</v>
      </c>
      <c r="G155" s="51" t="s">
        <v>3</v>
      </c>
      <c r="H155" s="48">
        <v>2</v>
      </c>
      <c r="I155" s="49" t="s">
        <v>45</v>
      </c>
      <c r="J155" s="184">
        <v>55</v>
      </c>
      <c r="K155" s="113">
        <v>260</v>
      </c>
      <c r="L155" s="113">
        <v>2650</v>
      </c>
      <c r="M155" s="185">
        <v>17.919906295705715</v>
      </c>
      <c r="N155" s="75">
        <v>381.34467359999996</v>
      </c>
      <c r="O155" s="119">
        <v>27325.907999506802</v>
      </c>
      <c r="P155" s="119">
        <v>33173.053019308922</v>
      </c>
      <c r="Q155" s="120">
        <v>22967.600052250018</v>
      </c>
      <c r="R155" s="314">
        <v>50293.50805175682</v>
      </c>
      <c r="S155" s="315">
        <v>56140.65307155894</v>
      </c>
      <c r="U155" s="7" t="s">
        <v>757</v>
      </c>
    </row>
    <row r="156" spans="1:21" s="74" customFormat="1" ht="16.5" thickBot="1">
      <c r="A156" s="50" t="s">
        <v>35</v>
      </c>
      <c r="B156" s="51">
        <f t="shared" si="6"/>
        <v>55</v>
      </c>
      <c r="C156" s="51" t="s">
        <v>3</v>
      </c>
      <c r="D156" s="51">
        <f t="shared" si="7"/>
        <v>260</v>
      </c>
      <c r="E156" s="51" t="s">
        <v>3</v>
      </c>
      <c r="F156" s="110">
        <f t="shared" si="8"/>
        <v>2700</v>
      </c>
      <c r="G156" s="51" t="s">
        <v>3</v>
      </c>
      <c r="H156" s="48">
        <v>2</v>
      </c>
      <c r="I156" s="49" t="s">
        <v>45</v>
      </c>
      <c r="J156" s="184">
        <v>55</v>
      </c>
      <c r="K156" s="113">
        <v>260</v>
      </c>
      <c r="L156" s="113">
        <v>2700</v>
      </c>
      <c r="M156" s="185">
        <v>18.301111559948573</v>
      </c>
      <c r="N156" s="75">
        <v>389.63477520000004</v>
      </c>
      <c r="O156" s="119">
        <v>27768.596771321896</v>
      </c>
      <c r="P156" s="119">
        <v>33717.060592186281</v>
      </c>
      <c r="Q156" s="120">
        <v>23399.70246256579</v>
      </c>
      <c r="R156" s="314">
        <v>51168.299233887687</v>
      </c>
      <c r="S156" s="315">
        <v>57116.763054752068</v>
      </c>
      <c r="U156" s="7" t="s">
        <v>758</v>
      </c>
    </row>
    <row r="157" spans="1:21" s="74" customFormat="1" ht="16.5" thickBot="1">
      <c r="A157" s="50" t="s">
        <v>35</v>
      </c>
      <c r="B157" s="51">
        <f t="shared" si="6"/>
        <v>55</v>
      </c>
      <c r="C157" s="51" t="s">
        <v>3</v>
      </c>
      <c r="D157" s="51">
        <f t="shared" si="7"/>
        <v>260</v>
      </c>
      <c r="E157" s="51" t="s">
        <v>3</v>
      </c>
      <c r="F157" s="110">
        <f t="shared" si="8"/>
        <v>2750</v>
      </c>
      <c r="G157" s="51" t="s">
        <v>3</v>
      </c>
      <c r="H157" s="48">
        <v>2</v>
      </c>
      <c r="I157" s="49" t="s">
        <v>45</v>
      </c>
      <c r="J157" s="184">
        <v>55</v>
      </c>
      <c r="K157" s="113">
        <v>260</v>
      </c>
      <c r="L157" s="113">
        <v>2750</v>
      </c>
      <c r="M157" s="185">
        <v>18.61451682419143</v>
      </c>
      <c r="N157" s="75">
        <v>397.92487679999999</v>
      </c>
      <c r="O157" s="119">
        <v>28167.707303023617</v>
      </c>
      <c r="P157" s="119">
        <v>34218.818326946253</v>
      </c>
      <c r="Q157" s="120">
        <v>23831.804872881567</v>
      </c>
      <c r="R157" s="314">
        <v>51999.512175905184</v>
      </c>
      <c r="S157" s="315">
        <v>58050.623199827824</v>
      </c>
      <c r="U157" s="7" t="s">
        <v>759</v>
      </c>
    </row>
    <row r="158" spans="1:21" s="74" customFormat="1" ht="16.5" thickBot="1">
      <c r="A158" s="50" t="s">
        <v>35</v>
      </c>
      <c r="B158" s="51">
        <f t="shared" si="6"/>
        <v>55</v>
      </c>
      <c r="C158" s="51" t="s">
        <v>3</v>
      </c>
      <c r="D158" s="51">
        <f t="shared" si="7"/>
        <v>260</v>
      </c>
      <c r="E158" s="51" t="s">
        <v>3</v>
      </c>
      <c r="F158" s="110">
        <f t="shared" si="8"/>
        <v>2800</v>
      </c>
      <c r="G158" s="51" t="s">
        <v>3</v>
      </c>
      <c r="H158" s="48">
        <v>2</v>
      </c>
      <c r="I158" s="49" t="s">
        <v>45</v>
      </c>
      <c r="J158" s="184">
        <v>55</v>
      </c>
      <c r="K158" s="113">
        <v>260</v>
      </c>
      <c r="L158" s="113">
        <v>2800</v>
      </c>
      <c r="M158" s="185">
        <v>18.927922088434286</v>
      </c>
      <c r="N158" s="75">
        <v>406.21497840000001</v>
      </c>
      <c r="O158" s="119">
        <v>28566.817975118709</v>
      </c>
      <c r="P158" s="119">
        <v>34720.576061706233</v>
      </c>
      <c r="Q158" s="120">
        <v>24263.907142803979</v>
      </c>
      <c r="R158" s="314">
        <v>52830.725117922688</v>
      </c>
      <c r="S158" s="315">
        <v>58984.483204510208</v>
      </c>
      <c r="U158" s="7" t="s">
        <v>760</v>
      </c>
    </row>
    <row r="159" spans="1:21" s="74" customFormat="1" ht="16.5" thickBot="1">
      <c r="A159" s="50" t="s">
        <v>35</v>
      </c>
      <c r="B159" s="51">
        <f t="shared" si="6"/>
        <v>55</v>
      </c>
      <c r="C159" s="51" t="s">
        <v>3</v>
      </c>
      <c r="D159" s="51">
        <f t="shared" si="7"/>
        <v>260</v>
      </c>
      <c r="E159" s="51" t="s">
        <v>3</v>
      </c>
      <c r="F159" s="110">
        <f t="shared" si="8"/>
        <v>2850</v>
      </c>
      <c r="G159" s="51" t="s">
        <v>3</v>
      </c>
      <c r="H159" s="48">
        <v>2</v>
      </c>
      <c r="I159" s="49" t="s">
        <v>45</v>
      </c>
      <c r="J159" s="184">
        <v>55</v>
      </c>
      <c r="K159" s="113">
        <v>260</v>
      </c>
      <c r="L159" s="113">
        <v>2850</v>
      </c>
      <c r="M159" s="185">
        <v>19.241327352677146</v>
      </c>
      <c r="N159" s="75">
        <v>414.50508000000002</v>
      </c>
      <c r="O159" s="119">
        <v>28965.92850682043</v>
      </c>
      <c r="P159" s="119">
        <v>35222.333796466206</v>
      </c>
      <c r="Q159" s="120">
        <v>24696.009553119755</v>
      </c>
      <c r="R159" s="314">
        <v>53661.938059940185</v>
      </c>
      <c r="S159" s="315">
        <v>59918.343349585964</v>
      </c>
      <c r="U159" s="7" t="s">
        <v>761</v>
      </c>
    </row>
    <row r="160" spans="1:21" s="74" customFormat="1" ht="16.5" thickBot="1">
      <c r="A160" s="50" t="s">
        <v>35</v>
      </c>
      <c r="B160" s="51">
        <f t="shared" si="6"/>
        <v>55</v>
      </c>
      <c r="C160" s="51" t="s">
        <v>3</v>
      </c>
      <c r="D160" s="51">
        <f t="shared" si="7"/>
        <v>260</v>
      </c>
      <c r="E160" s="51" t="s">
        <v>3</v>
      </c>
      <c r="F160" s="110">
        <f t="shared" si="8"/>
        <v>2900</v>
      </c>
      <c r="G160" s="51" t="s">
        <v>3</v>
      </c>
      <c r="H160" s="48">
        <v>2</v>
      </c>
      <c r="I160" s="49" t="s">
        <v>45</v>
      </c>
      <c r="J160" s="184">
        <v>55</v>
      </c>
      <c r="K160" s="113">
        <v>260</v>
      </c>
      <c r="L160" s="113">
        <v>2900</v>
      </c>
      <c r="M160" s="185">
        <v>19.554732616919999</v>
      </c>
      <c r="N160" s="75">
        <v>422.79518159999998</v>
      </c>
      <c r="O160" s="119">
        <v>29365.039038522154</v>
      </c>
      <c r="P160" s="119">
        <v>35724.091671619542</v>
      </c>
      <c r="Q160" s="120">
        <v>25128.111823042171</v>
      </c>
      <c r="R160" s="314">
        <v>54493.150861564325</v>
      </c>
      <c r="S160" s="315">
        <v>60852.203494661713</v>
      </c>
      <c r="U160" s="7" t="s">
        <v>762</v>
      </c>
    </row>
    <row r="161" spans="1:21" s="74" customFormat="1" ht="16.5" thickBot="1">
      <c r="A161" s="50" t="s">
        <v>35</v>
      </c>
      <c r="B161" s="51">
        <f t="shared" si="6"/>
        <v>55</v>
      </c>
      <c r="C161" s="51" t="s">
        <v>3</v>
      </c>
      <c r="D161" s="51">
        <f t="shared" si="7"/>
        <v>260</v>
      </c>
      <c r="E161" s="51" t="s">
        <v>3</v>
      </c>
      <c r="F161" s="110">
        <f t="shared" si="8"/>
        <v>2950</v>
      </c>
      <c r="G161" s="51" t="s">
        <v>3</v>
      </c>
      <c r="H161" s="48">
        <v>2</v>
      </c>
      <c r="I161" s="49" t="s">
        <v>45</v>
      </c>
      <c r="J161" s="184">
        <v>55</v>
      </c>
      <c r="K161" s="113">
        <v>260</v>
      </c>
      <c r="L161" s="113">
        <v>2950</v>
      </c>
      <c r="M161" s="185">
        <v>19.868137881162859</v>
      </c>
      <c r="N161" s="75">
        <v>431.08528319999999</v>
      </c>
      <c r="O161" s="119">
        <v>29764.149570223883</v>
      </c>
      <c r="P161" s="119">
        <v>36225.849406379515</v>
      </c>
      <c r="Q161" s="120">
        <v>25560.214233357947</v>
      </c>
      <c r="R161" s="314">
        <v>55324.363803581829</v>
      </c>
      <c r="S161" s="315">
        <v>61786.063639737462</v>
      </c>
      <c r="U161" s="7" t="s">
        <v>763</v>
      </c>
    </row>
    <row r="162" spans="1:21" s="74" customFormat="1" ht="16.5" thickBot="1">
      <c r="A162" s="52" t="s">
        <v>35</v>
      </c>
      <c r="B162" s="53">
        <f t="shared" si="6"/>
        <v>55</v>
      </c>
      <c r="C162" s="53" t="s">
        <v>3</v>
      </c>
      <c r="D162" s="53">
        <f t="shared" si="7"/>
        <v>260</v>
      </c>
      <c r="E162" s="53" t="s">
        <v>3</v>
      </c>
      <c r="F162" s="111">
        <f t="shared" si="8"/>
        <v>3000</v>
      </c>
      <c r="G162" s="53" t="s">
        <v>3</v>
      </c>
      <c r="H162" s="55">
        <v>2</v>
      </c>
      <c r="I162" s="54" t="s">
        <v>45</v>
      </c>
      <c r="J162" s="184">
        <v>55</v>
      </c>
      <c r="K162" s="157">
        <v>260</v>
      </c>
      <c r="L162" s="157">
        <v>3000</v>
      </c>
      <c r="M162" s="187">
        <v>20.181543145405715</v>
      </c>
      <c r="N162" s="147">
        <v>439.37538479999995</v>
      </c>
      <c r="O162" s="189">
        <v>30163.260101925607</v>
      </c>
      <c r="P162" s="189">
        <v>36727.607141139495</v>
      </c>
      <c r="Q162" s="159">
        <v>25992.316643673719</v>
      </c>
      <c r="R162" s="316">
        <v>56155.576745599326</v>
      </c>
      <c r="S162" s="317">
        <v>62719.923784813218</v>
      </c>
      <c r="U162" s="7" t="s">
        <v>764</v>
      </c>
    </row>
    <row r="163" spans="1:21" s="74" customFormat="1" ht="22.5" customHeight="1" thickBot="1">
      <c r="A163" s="2580" t="s">
        <v>48</v>
      </c>
      <c r="B163" s="2581"/>
      <c r="C163" s="2581"/>
      <c r="D163" s="2581"/>
      <c r="E163" s="2581"/>
      <c r="F163" s="2581"/>
      <c r="G163" s="2581"/>
      <c r="H163" s="2581"/>
      <c r="I163" s="2581"/>
      <c r="J163" s="2581"/>
      <c r="K163" s="2581"/>
      <c r="L163" s="2581"/>
      <c r="M163" s="2581"/>
      <c r="N163" s="2581"/>
      <c r="O163" s="2581"/>
      <c r="P163" s="2581"/>
      <c r="Q163" s="2581"/>
      <c r="R163" s="2581"/>
      <c r="S163" s="2582"/>
      <c r="U163" s="7"/>
    </row>
    <row r="164" spans="1:21" s="74" customFormat="1" ht="22.5" customHeight="1" thickBot="1">
      <c r="A164" s="2624" t="s">
        <v>69</v>
      </c>
      <c r="B164" s="2625"/>
      <c r="C164" s="2625"/>
      <c r="D164" s="2625"/>
      <c r="E164" s="2625"/>
      <c r="F164" s="2625"/>
      <c r="G164" s="2625"/>
      <c r="H164" s="2625"/>
      <c r="I164" s="2625"/>
      <c r="J164" s="2625"/>
      <c r="K164" s="2625"/>
      <c r="L164" s="2625"/>
      <c r="M164" s="2625"/>
      <c r="N164" s="2625"/>
      <c r="O164" s="2625"/>
      <c r="P164" s="2625"/>
      <c r="Q164" s="2625"/>
      <c r="R164" s="2625"/>
      <c r="S164" s="2626"/>
      <c r="U164" s="7"/>
    </row>
    <row r="165" spans="1:21" s="74" customFormat="1" ht="16.5" customHeight="1" thickBot="1">
      <c r="A165" s="2583" t="s">
        <v>137</v>
      </c>
      <c r="B165" s="2584"/>
      <c r="C165" s="2584"/>
      <c r="D165" s="2584"/>
      <c r="E165" s="2584"/>
      <c r="F165" s="2584"/>
      <c r="G165" s="2584"/>
      <c r="H165" s="2584"/>
      <c r="I165" s="2584"/>
      <c r="J165" s="2584"/>
      <c r="K165" s="2584"/>
      <c r="L165" s="2584"/>
      <c r="M165" s="2584"/>
      <c r="N165" s="2584"/>
      <c r="O165" s="2584"/>
      <c r="P165" s="2584"/>
      <c r="Q165" s="2584"/>
      <c r="R165" s="2584"/>
      <c r="S165" s="2585"/>
      <c r="U165" s="7"/>
    </row>
    <row r="166" spans="1:21" s="74" customFormat="1" ht="16.5" thickBot="1">
      <c r="A166" s="47" t="s">
        <v>35</v>
      </c>
      <c r="B166" s="48">
        <f>J166</f>
        <v>55</v>
      </c>
      <c r="C166" s="48" t="s">
        <v>3</v>
      </c>
      <c r="D166" s="48">
        <f>K166</f>
        <v>300</v>
      </c>
      <c r="E166" s="48" t="s">
        <v>3</v>
      </c>
      <c r="F166" s="110">
        <f>L166</f>
        <v>600</v>
      </c>
      <c r="G166" s="48" t="s">
        <v>3</v>
      </c>
      <c r="H166" s="48">
        <v>2</v>
      </c>
      <c r="I166" s="49" t="s">
        <v>45</v>
      </c>
      <c r="J166" s="181">
        <v>55</v>
      </c>
      <c r="K166" s="168">
        <v>300</v>
      </c>
      <c r="L166" s="168">
        <v>600</v>
      </c>
      <c r="M166" s="182">
        <v>5.0782331583571434</v>
      </c>
      <c r="N166" s="143">
        <v>44.533681452208086</v>
      </c>
      <c r="O166" s="183">
        <v>9992.819778704441</v>
      </c>
      <c r="P166" s="183">
        <v>11872.876012438728</v>
      </c>
      <c r="Q166" s="169">
        <v>5887.3894791295515</v>
      </c>
      <c r="R166" s="312">
        <v>15880.209257833993</v>
      </c>
      <c r="S166" s="313">
        <v>17760.26549156828</v>
      </c>
      <c r="U166" s="7" t="s">
        <v>765</v>
      </c>
    </row>
    <row r="167" spans="1:21" s="74" customFormat="1" ht="16.5" thickBot="1">
      <c r="A167" s="50" t="s">
        <v>35</v>
      </c>
      <c r="B167" s="51">
        <f t="shared" ref="B167:B214" si="9">J167</f>
        <v>55</v>
      </c>
      <c r="C167" s="51" t="s">
        <v>3</v>
      </c>
      <c r="D167" s="51">
        <f t="shared" ref="D167:D214" si="10">K167</f>
        <v>300</v>
      </c>
      <c r="E167" s="51" t="s">
        <v>3</v>
      </c>
      <c r="F167" s="110">
        <f t="shared" ref="F167:F214" si="11">L167</f>
        <v>650</v>
      </c>
      <c r="G167" s="51" t="s">
        <v>3</v>
      </c>
      <c r="H167" s="48">
        <v>2</v>
      </c>
      <c r="I167" s="49" t="s">
        <v>45</v>
      </c>
      <c r="J167" s="184">
        <v>55</v>
      </c>
      <c r="K167" s="113">
        <v>300</v>
      </c>
      <c r="L167" s="113">
        <v>650</v>
      </c>
      <c r="M167" s="185">
        <v>5.4229432797428583</v>
      </c>
      <c r="N167" s="75">
        <v>53.4404177426497</v>
      </c>
      <c r="O167" s="121">
        <v>10409.739068045927</v>
      </c>
      <c r="P167" s="121">
        <v>12404.690562176327</v>
      </c>
      <c r="Q167" s="120">
        <v>6371.6793313339131</v>
      </c>
      <c r="R167" s="314">
        <v>16781.41839937984</v>
      </c>
      <c r="S167" s="315">
        <v>18776.36989351024</v>
      </c>
      <c r="U167" s="7" t="s">
        <v>766</v>
      </c>
    </row>
    <row r="168" spans="1:21" s="74" customFormat="1" ht="16.5" thickBot="1">
      <c r="A168" s="50" t="s">
        <v>35</v>
      </c>
      <c r="B168" s="51">
        <f t="shared" si="9"/>
        <v>55</v>
      </c>
      <c r="C168" s="51" t="s">
        <v>3</v>
      </c>
      <c r="D168" s="51">
        <f t="shared" si="10"/>
        <v>300</v>
      </c>
      <c r="E168" s="51" t="s">
        <v>3</v>
      </c>
      <c r="F168" s="110">
        <f t="shared" si="11"/>
        <v>700</v>
      </c>
      <c r="G168" s="51" t="s">
        <v>3</v>
      </c>
      <c r="H168" s="48">
        <v>2</v>
      </c>
      <c r="I168" s="49" t="s">
        <v>45</v>
      </c>
      <c r="J168" s="184">
        <v>55</v>
      </c>
      <c r="K168" s="113">
        <v>300</v>
      </c>
      <c r="L168" s="113">
        <v>700</v>
      </c>
      <c r="M168" s="185">
        <v>5.7676534011285714</v>
      </c>
      <c r="N168" s="75">
        <v>62.347154033091314</v>
      </c>
      <c r="O168" s="121">
        <v>10826.658357387416</v>
      </c>
      <c r="P168" s="121">
        <v>12936.504971520564</v>
      </c>
      <c r="Q168" s="120">
        <v>6855.9690431449135</v>
      </c>
      <c r="R168" s="314">
        <v>17682.627400532328</v>
      </c>
      <c r="S168" s="315">
        <v>19792.474014665477</v>
      </c>
      <c r="U168" s="7" t="s">
        <v>767</v>
      </c>
    </row>
    <row r="169" spans="1:21" s="74" customFormat="1" ht="16.5" thickBot="1">
      <c r="A169" s="50" t="s">
        <v>35</v>
      </c>
      <c r="B169" s="51">
        <f t="shared" si="9"/>
        <v>55</v>
      </c>
      <c r="C169" s="51" t="s">
        <v>3</v>
      </c>
      <c r="D169" s="51">
        <f t="shared" si="10"/>
        <v>300</v>
      </c>
      <c r="E169" s="51" t="s">
        <v>3</v>
      </c>
      <c r="F169" s="110">
        <f t="shared" si="11"/>
        <v>750</v>
      </c>
      <c r="G169" s="51" t="s">
        <v>3</v>
      </c>
      <c r="H169" s="48">
        <v>2</v>
      </c>
      <c r="I169" s="49" t="s">
        <v>45</v>
      </c>
      <c r="J169" s="184">
        <v>55</v>
      </c>
      <c r="K169" s="113">
        <v>300</v>
      </c>
      <c r="L169" s="113">
        <v>750</v>
      </c>
      <c r="M169" s="185">
        <v>6.1123635225142863</v>
      </c>
      <c r="N169" s="75">
        <v>71.253890323532943</v>
      </c>
      <c r="O169" s="121">
        <v>11243.57750633554</v>
      </c>
      <c r="P169" s="121">
        <v>13468.319521258165</v>
      </c>
      <c r="Q169" s="120">
        <v>7340.2588953492768</v>
      </c>
      <c r="R169" s="314">
        <v>18583.836401684817</v>
      </c>
      <c r="S169" s="315">
        <v>20808.578416607441</v>
      </c>
      <c r="U169" s="7" t="s">
        <v>768</v>
      </c>
    </row>
    <row r="170" spans="1:21" s="74" customFormat="1" ht="16.5" thickBot="1">
      <c r="A170" s="50" t="s">
        <v>35</v>
      </c>
      <c r="B170" s="51">
        <f t="shared" si="9"/>
        <v>55</v>
      </c>
      <c r="C170" s="51" t="s">
        <v>3</v>
      </c>
      <c r="D170" s="51">
        <f t="shared" si="10"/>
        <v>300</v>
      </c>
      <c r="E170" s="51" t="s">
        <v>3</v>
      </c>
      <c r="F170" s="110">
        <f t="shared" si="11"/>
        <v>800</v>
      </c>
      <c r="G170" s="51" t="s">
        <v>3</v>
      </c>
      <c r="H170" s="48">
        <v>2</v>
      </c>
      <c r="I170" s="49" t="s">
        <v>45</v>
      </c>
      <c r="J170" s="184">
        <v>55</v>
      </c>
      <c r="K170" s="113">
        <v>300</v>
      </c>
      <c r="L170" s="113">
        <v>800</v>
      </c>
      <c r="M170" s="185">
        <v>6.4570874413100006</v>
      </c>
      <c r="N170" s="75">
        <v>80.160626613974557</v>
      </c>
      <c r="O170" s="121">
        <v>11660.496795677027</v>
      </c>
      <c r="P170" s="121">
        <v>14000.134070995766</v>
      </c>
      <c r="Q170" s="120">
        <v>7824.5486071602763</v>
      </c>
      <c r="R170" s="314">
        <v>19485.045402837302</v>
      </c>
      <c r="S170" s="315">
        <v>21824.682678156041</v>
      </c>
      <c r="U170" s="7" t="s">
        <v>769</v>
      </c>
    </row>
    <row r="171" spans="1:21" s="74" customFormat="1" ht="16.5" thickBot="1">
      <c r="A171" s="50" t="s">
        <v>35</v>
      </c>
      <c r="B171" s="51">
        <f t="shared" si="9"/>
        <v>55</v>
      </c>
      <c r="C171" s="51" t="s">
        <v>3</v>
      </c>
      <c r="D171" s="51">
        <f t="shared" si="10"/>
        <v>300</v>
      </c>
      <c r="E171" s="51" t="s">
        <v>3</v>
      </c>
      <c r="F171" s="110">
        <f t="shared" si="11"/>
        <v>850</v>
      </c>
      <c r="G171" s="51" t="s">
        <v>3</v>
      </c>
      <c r="H171" s="48">
        <v>2</v>
      </c>
      <c r="I171" s="49" t="s">
        <v>45</v>
      </c>
      <c r="J171" s="184">
        <v>55</v>
      </c>
      <c r="K171" s="113">
        <v>300</v>
      </c>
      <c r="L171" s="113">
        <v>850</v>
      </c>
      <c r="M171" s="185">
        <v>6.8017975626957128</v>
      </c>
      <c r="N171" s="75">
        <v>89.067362904416171</v>
      </c>
      <c r="O171" s="121">
        <v>12077.416085018514</v>
      </c>
      <c r="P171" s="121">
        <v>14531.948480340003</v>
      </c>
      <c r="Q171" s="120">
        <v>8308.8384593646388</v>
      </c>
      <c r="R171" s="314">
        <v>20386.254544383155</v>
      </c>
      <c r="S171" s="315">
        <v>22840.786939704642</v>
      </c>
      <c r="U171" s="7" t="s">
        <v>770</v>
      </c>
    </row>
    <row r="172" spans="1:21" s="74" customFormat="1" ht="16.5" thickBot="1">
      <c r="A172" s="50" t="s">
        <v>35</v>
      </c>
      <c r="B172" s="51">
        <f t="shared" si="9"/>
        <v>55</v>
      </c>
      <c r="C172" s="51" t="s">
        <v>3</v>
      </c>
      <c r="D172" s="51">
        <f t="shared" si="10"/>
        <v>300</v>
      </c>
      <c r="E172" s="51" t="s">
        <v>3</v>
      </c>
      <c r="F172" s="110">
        <f t="shared" si="11"/>
        <v>900</v>
      </c>
      <c r="G172" s="51" t="s">
        <v>3</v>
      </c>
      <c r="H172" s="48">
        <v>2</v>
      </c>
      <c r="I172" s="49" t="s">
        <v>45</v>
      </c>
      <c r="J172" s="184">
        <v>55</v>
      </c>
      <c r="K172" s="113">
        <v>300</v>
      </c>
      <c r="L172" s="113">
        <v>900</v>
      </c>
      <c r="M172" s="185">
        <v>7.1465076840814286</v>
      </c>
      <c r="N172" s="75">
        <v>97.9740991948578</v>
      </c>
      <c r="O172" s="121">
        <v>12494.33523396664</v>
      </c>
      <c r="P172" s="121">
        <v>15063.763030077602</v>
      </c>
      <c r="Q172" s="120">
        <v>8793.1281711756401</v>
      </c>
      <c r="R172" s="314">
        <v>21287.46340514228</v>
      </c>
      <c r="S172" s="315">
        <v>23856.891201253242</v>
      </c>
      <c r="U172" s="7" t="s">
        <v>771</v>
      </c>
    </row>
    <row r="173" spans="1:21" s="74" customFormat="1" ht="16.5" thickBot="1">
      <c r="A173" s="50" t="s">
        <v>35</v>
      </c>
      <c r="B173" s="51">
        <f t="shared" si="9"/>
        <v>55</v>
      </c>
      <c r="C173" s="51" t="s">
        <v>3</v>
      </c>
      <c r="D173" s="51">
        <f t="shared" si="10"/>
        <v>300</v>
      </c>
      <c r="E173" s="51" t="s">
        <v>3</v>
      </c>
      <c r="F173" s="110">
        <f t="shared" si="11"/>
        <v>950</v>
      </c>
      <c r="G173" s="51" t="s">
        <v>3</v>
      </c>
      <c r="H173" s="48">
        <v>2</v>
      </c>
      <c r="I173" s="49" t="s">
        <v>45</v>
      </c>
      <c r="J173" s="184">
        <v>55</v>
      </c>
      <c r="K173" s="113">
        <v>300</v>
      </c>
      <c r="L173" s="113">
        <v>950</v>
      </c>
      <c r="M173" s="185">
        <v>7.4912178054671426</v>
      </c>
      <c r="N173" s="75">
        <v>106.8808354852994</v>
      </c>
      <c r="O173" s="121">
        <v>12911.254523308129</v>
      </c>
      <c r="P173" s="121">
        <v>15595.577439421841</v>
      </c>
      <c r="Q173" s="120">
        <v>9277.4180233800016</v>
      </c>
      <c r="R173" s="314">
        <v>22188.672546688133</v>
      </c>
      <c r="S173" s="315">
        <v>24872.995462801842</v>
      </c>
      <c r="U173" s="7" t="s">
        <v>772</v>
      </c>
    </row>
    <row r="174" spans="1:21" s="74" customFormat="1" ht="16.5" thickBot="1">
      <c r="A174" s="50" t="s">
        <v>35</v>
      </c>
      <c r="B174" s="51">
        <f t="shared" si="9"/>
        <v>55</v>
      </c>
      <c r="C174" s="51" t="s">
        <v>3</v>
      </c>
      <c r="D174" s="51">
        <f t="shared" si="10"/>
        <v>300</v>
      </c>
      <c r="E174" s="51" t="s">
        <v>3</v>
      </c>
      <c r="F174" s="110">
        <f t="shared" si="11"/>
        <v>1000</v>
      </c>
      <c r="G174" s="51" t="s">
        <v>3</v>
      </c>
      <c r="H174" s="48">
        <v>2</v>
      </c>
      <c r="I174" s="49" t="s">
        <v>45</v>
      </c>
      <c r="J174" s="184">
        <v>55</v>
      </c>
      <c r="K174" s="113">
        <v>300</v>
      </c>
      <c r="L174" s="113">
        <v>1000</v>
      </c>
      <c r="M174" s="185">
        <v>7.8359279268528566</v>
      </c>
      <c r="N174" s="75">
        <v>115.78757177574103</v>
      </c>
      <c r="O174" s="121">
        <v>13328.173812649615</v>
      </c>
      <c r="P174" s="121">
        <v>16127.391989159441</v>
      </c>
      <c r="Q174" s="120">
        <v>9761.7077351910029</v>
      </c>
      <c r="R174" s="314">
        <v>23089.881547840618</v>
      </c>
      <c r="S174" s="315">
        <v>25889.099724350446</v>
      </c>
      <c r="U174" s="7" t="s">
        <v>773</v>
      </c>
    </row>
    <row r="175" spans="1:21" s="74" customFormat="1" ht="16.5" thickBot="1">
      <c r="A175" s="50" t="s">
        <v>35</v>
      </c>
      <c r="B175" s="51">
        <f t="shared" si="9"/>
        <v>55</v>
      </c>
      <c r="C175" s="51" t="s">
        <v>3</v>
      </c>
      <c r="D175" s="51">
        <f t="shared" si="10"/>
        <v>300</v>
      </c>
      <c r="E175" s="51" t="s">
        <v>3</v>
      </c>
      <c r="F175" s="110">
        <f t="shared" si="11"/>
        <v>1050</v>
      </c>
      <c r="G175" s="51" t="s">
        <v>3</v>
      </c>
      <c r="H175" s="48">
        <v>2</v>
      </c>
      <c r="I175" s="49" t="s">
        <v>45</v>
      </c>
      <c r="J175" s="184">
        <v>55</v>
      </c>
      <c r="K175" s="113">
        <v>300</v>
      </c>
      <c r="L175" s="113">
        <v>1050</v>
      </c>
      <c r="M175" s="185">
        <v>8.1806380482385723</v>
      </c>
      <c r="N175" s="75">
        <v>124.69430806618263</v>
      </c>
      <c r="O175" s="121">
        <v>13745.09296159774</v>
      </c>
      <c r="P175" s="121">
        <v>16659.20639850368</v>
      </c>
      <c r="Q175" s="120">
        <v>10245.997587395364</v>
      </c>
      <c r="R175" s="314">
        <v>23991.090548993103</v>
      </c>
      <c r="S175" s="315">
        <v>26905.203985899047</v>
      </c>
      <c r="U175" s="7" t="s">
        <v>774</v>
      </c>
    </row>
    <row r="176" spans="1:21" s="74" customFormat="1" ht="16.5" thickBot="1">
      <c r="A176" s="47" t="s">
        <v>35</v>
      </c>
      <c r="B176" s="48">
        <f t="shared" si="9"/>
        <v>55</v>
      </c>
      <c r="C176" s="48" t="s">
        <v>3</v>
      </c>
      <c r="D176" s="48">
        <f t="shared" si="10"/>
        <v>300</v>
      </c>
      <c r="E176" s="48" t="s">
        <v>3</v>
      </c>
      <c r="F176" s="110">
        <f t="shared" si="11"/>
        <v>1100</v>
      </c>
      <c r="G176" s="48" t="s">
        <v>3</v>
      </c>
      <c r="H176" s="48">
        <v>2</v>
      </c>
      <c r="I176" s="49" t="s">
        <v>45</v>
      </c>
      <c r="J176" s="184">
        <v>55</v>
      </c>
      <c r="K176" s="113">
        <v>300</v>
      </c>
      <c r="L176" s="113">
        <v>1100</v>
      </c>
      <c r="M176" s="185">
        <v>8.5253481696242854</v>
      </c>
      <c r="N176" s="75">
        <v>133.60104435662424</v>
      </c>
      <c r="O176" s="121">
        <v>14162.012250939228</v>
      </c>
      <c r="P176" s="121">
        <v>17191.020948241279</v>
      </c>
      <c r="Q176" s="120">
        <v>10730.287299206364</v>
      </c>
      <c r="R176" s="314">
        <v>24892.299550145592</v>
      </c>
      <c r="S176" s="315">
        <v>27921.308247447643</v>
      </c>
      <c r="U176" s="7" t="s">
        <v>775</v>
      </c>
    </row>
    <row r="177" spans="1:21" s="74" customFormat="1" ht="16.5" thickBot="1">
      <c r="A177" s="50" t="s">
        <v>35</v>
      </c>
      <c r="B177" s="51">
        <f t="shared" si="9"/>
        <v>55</v>
      </c>
      <c r="C177" s="51" t="s">
        <v>3</v>
      </c>
      <c r="D177" s="51">
        <f t="shared" si="10"/>
        <v>300</v>
      </c>
      <c r="E177" s="51" t="s">
        <v>3</v>
      </c>
      <c r="F177" s="110">
        <f t="shared" si="11"/>
        <v>1150</v>
      </c>
      <c r="G177" s="51" t="s">
        <v>3</v>
      </c>
      <c r="H177" s="48">
        <v>2</v>
      </c>
      <c r="I177" s="49" t="s">
        <v>45</v>
      </c>
      <c r="J177" s="184">
        <v>55</v>
      </c>
      <c r="K177" s="113">
        <v>300</v>
      </c>
      <c r="L177" s="113">
        <v>1150</v>
      </c>
      <c r="M177" s="185">
        <v>8.8700582910100003</v>
      </c>
      <c r="N177" s="75">
        <v>142.50778064706589</v>
      </c>
      <c r="O177" s="121">
        <v>14578.931540280717</v>
      </c>
      <c r="P177" s="121">
        <v>17722.835497978878</v>
      </c>
      <c r="Q177" s="120">
        <v>11214.577151410727</v>
      </c>
      <c r="R177" s="314">
        <v>25793.508691691444</v>
      </c>
      <c r="S177" s="315">
        <v>28937.412649389604</v>
      </c>
      <c r="U177" s="7" t="s">
        <v>776</v>
      </c>
    </row>
    <row r="178" spans="1:21" s="74" customFormat="1" ht="16.5" thickBot="1">
      <c r="A178" s="50" t="s">
        <v>35</v>
      </c>
      <c r="B178" s="51">
        <f t="shared" si="9"/>
        <v>55</v>
      </c>
      <c r="C178" s="51" t="s">
        <v>3</v>
      </c>
      <c r="D178" s="51">
        <f t="shared" si="10"/>
        <v>300</v>
      </c>
      <c r="E178" s="51" t="s">
        <v>3</v>
      </c>
      <c r="F178" s="110">
        <f t="shared" si="11"/>
        <v>1200</v>
      </c>
      <c r="G178" s="51" t="s">
        <v>3</v>
      </c>
      <c r="H178" s="48">
        <v>2</v>
      </c>
      <c r="I178" s="49" t="s">
        <v>45</v>
      </c>
      <c r="J178" s="184">
        <v>55</v>
      </c>
      <c r="K178" s="113">
        <v>300</v>
      </c>
      <c r="L178" s="113">
        <v>1200</v>
      </c>
      <c r="M178" s="185">
        <v>9.2825684123957117</v>
      </c>
      <c r="N178" s="75">
        <v>151.4145169375075</v>
      </c>
      <c r="O178" s="121">
        <v>15039.428929342203</v>
      </c>
      <c r="P178" s="121">
        <v>18296.899885833867</v>
      </c>
      <c r="Q178" s="120">
        <v>11698.866863221729</v>
      </c>
      <c r="R178" s="314">
        <v>26738.295792563931</v>
      </c>
      <c r="S178" s="315">
        <v>29995.766749055598</v>
      </c>
      <c r="U178" s="7" t="s">
        <v>777</v>
      </c>
    </row>
    <row r="179" spans="1:21" s="74" customFormat="1" ht="16.5" thickBot="1">
      <c r="A179" s="50" t="s">
        <v>35</v>
      </c>
      <c r="B179" s="51">
        <f t="shared" si="9"/>
        <v>55</v>
      </c>
      <c r="C179" s="51" t="s">
        <v>3</v>
      </c>
      <c r="D179" s="51">
        <f t="shared" si="10"/>
        <v>300</v>
      </c>
      <c r="E179" s="51" t="s">
        <v>3</v>
      </c>
      <c r="F179" s="110">
        <f t="shared" si="11"/>
        <v>1250</v>
      </c>
      <c r="G179" s="51" t="s">
        <v>3</v>
      </c>
      <c r="H179" s="48">
        <v>2</v>
      </c>
      <c r="I179" s="49" t="s">
        <v>45</v>
      </c>
      <c r="J179" s="184">
        <v>55</v>
      </c>
      <c r="K179" s="113">
        <v>300</v>
      </c>
      <c r="L179" s="113">
        <v>1250</v>
      </c>
      <c r="M179" s="185">
        <v>9.6272785337814284</v>
      </c>
      <c r="N179" s="75">
        <v>160.32125322794911</v>
      </c>
      <c r="O179" s="121">
        <v>15456.348218683692</v>
      </c>
      <c r="P179" s="121">
        <v>18828.714295178102</v>
      </c>
      <c r="Q179" s="120">
        <v>12183.156715426092</v>
      </c>
      <c r="R179" s="314">
        <v>27639.504934109784</v>
      </c>
      <c r="S179" s="315">
        <v>31011.871010604194</v>
      </c>
      <c r="U179" s="7" t="s">
        <v>778</v>
      </c>
    </row>
    <row r="180" spans="1:21" s="74" customFormat="1" ht="16.5" thickBot="1">
      <c r="A180" s="50" t="s">
        <v>35</v>
      </c>
      <c r="B180" s="51">
        <f t="shared" si="9"/>
        <v>55</v>
      </c>
      <c r="C180" s="51" t="s">
        <v>3</v>
      </c>
      <c r="D180" s="51">
        <f t="shared" si="10"/>
        <v>300</v>
      </c>
      <c r="E180" s="51" t="s">
        <v>3</v>
      </c>
      <c r="F180" s="110">
        <f t="shared" si="11"/>
        <v>1300</v>
      </c>
      <c r="G180" s="51" t="s">
        <v>3</v>
      </c>
      <c r="H180" s="48">
        <v>2</v>
      </c>
      <c r="I180" s="49" t="s">
        <v>45</v>
      </c>
      <c r="J180" s="184">
        <v>55</v>
      </c>
      <c r="K180" s="113">
        <v>300</v>
      </c>
      <c r="L180" s="113">
        <v>1300</v>
      </c>
      <c r="M180" s="185">
        <v>9.9719886551671415</v>
      </c>
      <c r="N180" s="75">
        <v>169.22798951839073</v>
      </c>
      <c r="O180" s="121">
        <v>15873.267367631817</v>
      </c>
      <c r="P180" s="121">
        <v>19360.528844915705</v>
      </c>
      <c r="Q180" s="120">
        <v>12667.44642723709</v>
      </c>
      <c r="R180" s="314">
        <v>28540.713794868905</v>
      </c>
      <c r="S180" s="315">
        <v>32027.975272152795</v>
      </c>
      <c r="U180" s="7" t="s">
        <v>779</v>
      </c>
    </row>
    <row r="181" spans="1:21" s="74" customFormat="1" ht="16.5" thickBot="1">
      <c r="A181" s="50" t="s">
        <v>35</v>
      </c>
      <c r="B181" s="51">
        <f t="shared" si="9"/>
        <v>55</v>
      </c>
      <c r="C181" s="51" t="s">
        <v>3</v>
      </c>
      <c r="D181" s="51">
        <f t="shared" si="10"/>
        <v>300</v>
      </c>
      <c r="E181" s="51" t="s">
        <v>3</v>
      </c>
      <c r="F181" s="110">
        <f t="shared" si="11"/>
        <v>1350</v>
      </c>
      <c r="G181" s="51" t="s">
        <v>3</v>
      </c>
      <c r="H181" s="48">
        <v>2</v>
      </c>
      <c r="I181" s="49" t="s">
        <v>45</v>
      </c>
      <c r="J181" s="184">
        <v>55</v>
      </c>
      <c r="K181" s="113">
        <v>300</v>
      </c>
      <c r="L181" s="113">
        <v>1350</v>
      </c>
      <c r="M181" s="185">
        <v>10.316698776552858</v>
      </c>
      <c r="N181" s="75">
        <v>178.13472580883234</v>
      </c>
      <c r="O181" s="121">
        <v>16290.186656973303</v>
      </c>
      <c r="P181" s="121">
        <v>19892.34325425994</v>
      </c>
      <c r="Q181" s="120">
        <v>13151.736279441453</v>
      </c>
      <c r="R181" s="314">
        <v>29441.922936414754</v>
      </c>
      <c r="S181" s="315">
        <v>33044.079533701391</v>
      </c>
      <c r="U181" s="7" t="s">
        <v>780</v>
      </c>
    </row>
    <row r="182" spans="1:21" s="74" customFormat="1" ht="16.5" thickBot="1">
      <c r="A182" s="50" t="s">
        <v>35</v>
      </c>
      <c r="B182" s="51">
        <f t="shared" si="9"/>
        <v>55</v>
      </c>
      <c r="C182" s="51" t="s">
        <v>3</v>
      </c>
      <c r="D182" s="51">
        <f t="shared" si="10"/>
        <v>300</v>
      </c>
      <c r="E182" s="51" t="s">
        <v>3</v>
      </c>
      <c r="F182" s="110">
        <f t="shared" si="11"/>
        <v>1400</v>
      </c>
      <c r="G182" s="51" t="s">
        <v>3</v>
      </c>
      <c r="H182" s="48">
        <v>2</v>
      </c>
      <c r="I182" s="49" t="s">
        <v>45</v>
      </c>
      <c r="J182" s="184">
        <v>55</v>
      </c>
      <c r="K182" s="113">
        <v>300</v>
      </c>
      <c r="L182" s="113">
        <v>1400</v>
      </c>
      <c r="M182" s="185">
        <v>10.661408897938571</v>
      </c>
      <c r="N182" s="75">
        <v>187.04146209927396</v>
      </c>
      <c r="O182" s="121">
        <v>16707.10594631479</v>
      </c>
      <c r="P182" s="121">
        <v>20424.157803997543</v>
      </c>
      <c r="Q182" s="120">
        <v>13636.025991252453</v>
      </c>
      <c r="R182" s="314">
        <v>30343.131937567243</v>
      </c>
      <c r="S182" s="315">
        <v>34060.183795249992</v>
      </c>
      <c r="U182" s="7" t="s">
        <v>781</v>
      </c>
    </row>
    <row r="183" spans="1:21" s="74" customFormat="1" ht="16.5" thickBot="1">
      <c r="A183" s="50" t="s">
        <v>35</v>
      </c>
      <c r="B183" s="51">
        <f t="shared" si="9"/>
        <v>55</v>
      </c>
      <c r="C183" s="51" t="s">
        <v>3</v>
      </c>
      <c r="D183" s="51">
        <f t="shared" si="10"/>
        <v>300</v>
      </c>
      <c r="E183" s="51" t="s">
        <v>3</v>
      </c>
      <c r="F183" s="110">
        <f t="shared" si="11"/>
        <v>1450</v>
      </c>
      <c r="G183" s="51" t="s">
        <v>3</v>
      </c>
      <c r="H183" s="48">
        <v>2</v>
      </c>
      <c r="I183" s="49" t="s">
        <v>45</v>
      </c>
      <c r="J183" s="184">
        <v>55</v>
      </c>
      <c r="K183" s="113">
        <v>300</v>
      </c>
      <c r="L183" s="113">
        <v>1450</v>
      </c>
      <c r="M183" s="185">
        <v>11.006119019324284</v>
      </c>
      <c r="N183" s="75">
        <v>195.9481983897156</v>
      </c>
      <c r="O183" s="121">
        <v>17124.025095262918</v>
      </c>
      <c r="P183" s="121">
        <v>20955.972213341782</v>
      </c>
      <c r="Q183" s="120">
        <v>14120.315843456816</v>
      </c>
      <c r="R183" s="314">
        <v>31244.340938719732</v>
      </c>
      <c r="S183" s="315">
        <v>35076.288056798599</v>
      </c>
      <c r="U183" s="7" t="s">
        <v>782</v>
      </c>
    </row>
    <row r="184" spans="1:21" s="74" customFormat="1" ht="16.5" thickBot="1">
      <c r="A184" s="50" t="s">
        <v>35</v>
      </c>
      <c r="B184" s="51">
        <f t="shared" si="9"/>
        <v>55</v>
      </c>
      <c r="C184" s="51" t="s">
        <v>3</v>
      </c>
      <c r="D184" s="51">
        <f t="shared" si="10"/>
        <v>300</v>
      </c>
      <c r="E184" s="51" t="s">
        <v>3</v>
      </c>
      <c r="F184" s="110">
        <f t="shared" si="11"/>
        <v>1500</v>
      </c>
      <c r="G184" s="51" t="s">
        <v>3</v>
      </c>
      <c r="H184" s="48">
        <v>2</v>
      </c>
      <c r="I184" s="49" t="s">
        <v>45</v>
      </c>
      <c r="J184" s="184">
        <v>55</v>
      </c>
      <c r="K184" s="113">
        <v>300</v>
      </c>
      <c r="L184" s="113">
        <v>1500</v>
      </c>
      <c r="M184" s="185">
        <v>11.489802452709998</v>
      </c>
      <c r="N184" s="75">
        <v>204.85493468015719</v>
      </c>
      <c r="O184" s="121">
        <v>18185.659205056993</v>
      </c>
      <c r="P184" s="121">
        <v>22052.491265849854</v>
      </c>
      <c r="Q184" s="120">
        <v>14604.605555267815</v>
      </c>
      <c r="R184" s="314">
        <v>32790.264760324804</v>
      </c>
      <c r="S184" s="315">
        <v>36657.096821117666</v>
      </c>
      <c r="U184" s="7" t="s">
        <v>783</v>
      </c>
    </row>
    <row r="185" spans="1:21" s="74" customFormat="1" ht="16.5" thickBot="1">
      <c r="A185" s="50" t="s">
        <v>35</v>
      </c>
      <c r="B185" s="51">
        <f t="shared" si="9"/>
        <v>55</v>
      </c>
      <c r="C185" s="51" t="s">
        <v>3</v>
      </c>
      <c r="D185" s="51">
        <f t="shared" si="10"/>
        <v>300</v>
      </c>
      <c r="E185" s="51" t="s">
        <v>3</v>
      </c>
      <c r="F185" s="110">
        <f t="shared" si="11"/>
        <v>1550</v>
      </c>
      <c r="G185" s="51" t="s">
        <v>3</v>
      </c>
      <c r="H185" s="48">
        <v>2</v>
      </c>
      <c r="I185" s="49" t="s">
        <v>45</v>
      </c>
      <c r="J185" s="184">
        <v>55</v>
      </c>
      <c r="K185" s="113">
        <v>300</v>
      </c>
      <c r="L185" s="113">
        <v>1550</v>
      </c>
      <c r="M185" s="185">
        <v>11.834512574095715</v>
      </c>
      <c r="N185" s="75">
        <v>213.7616709705988</v>
      </c>
      <c r="O185" s="121">
        <v>18602.57849439848</v>
      </c>
      <c r="P185" s="121">
        <v>22584.305675194093</v>
      </c>
      <c r="Q185" s="120">
        <v>15088.895407472179</v>
      </c>
      <c r="R185" s="314">
        <v>33691.47390187066</v>
      </c>
      <c r="S185" s="315">
        <v>37673.201082666274</v>
      </c>
      <c r="U185" s="7" t="s">
        <v>784</v>
      </c>
    </row>
    <row r="186" spans="1:21" s="74" customFormat="1" ht="16.5" thickBot="1">
      <c r="A186" s="47" t="s">
        <v>35</v>
      </c>
      <c r="B186" s="48">
        <f t="shared" si="9"/>
        <v>55</v>
      </c>
      <c r="C186" s="48" t="s">
        <v>3</v>
      </c>
      <c r="D186" s="48">
        <f t="shared" si="10"/>
        <v>300</v>
      </c>
      <c r="E186" s="48" t="s">
        <v>3</v>
      </c>
      <c r="F186" s="110">
        <f t="shared" si="11"/>
        <v>1600</v>
      </c>
      <c r="G186" s="48" t="s">
        <v>3</v>
      </c>
      <c r="H186" s="48">
        <v>2</v>
      </c>
      <c r="I186" s="49" t="s">
        <v>45</v>
      </c>
      <c r="J186" s="184">
        <v>55</v>
      </c>
      <c r="K186" s="113">
        <v>300</v>
      </c>
      <c r="L186" s="113">
        <v>1600</v>
      </c>
      <c r="M186" s="185">
        <v>12.179222695481428</v>
      </c>
      <c r="N186" s="75">
        <v>222.66840726104044</v>
      </c>
      <c r="O186" s="121">
        <v>19019.497783739967</v>
      </c>
      <c r="P186" s="121">
        <v>23116.120224931692</v>
      </c>
      <c r="Q186" s="120">
        <v>15573.185119283178</v>
      </c>
      <c r="R186" s="314">
        <v>34592.682903023146</v>
      </c>
      <c r="S186" s="315">
        <v>38689.305344214867</v>
      </c>
      <c r="U186" s="7" t="s">
        <v>785</v>
      </c>
    </row>
    <row r="187" spans="1:21" s="74" customFormat="1" ht="16.5" thickBot="1">
      <c r="A187" s="50" t="s">
        <v>35</v>
      </c>
      <c r="B187" s="51">
        <f t="shared" si="9"/>
        <v>55</v>
      </c>
      <c r="C187" s="51" t="s">
        <v>3</v>
      </c>
      <c r="D187" s="51">
        <f t="shared" si="10"/>
        <v>300</v>
      </c>
      <c r="E187" s="51" t="s">
        <v>3</v>
      </c>
      <c r="F187" s="110">
        <f t="shared" si="11"/>
        <v>1650</v>
      </c>
      <c r="G187" s="51" t="s">
        <v>3</v>
      </c>
      <c r="H187" s="48">
        <v>2</v>
      </c>
      <c r="I187" s="49" t="s">
        <v>45</v>
      </c>
      <c r="J187" s="184">
        <v>55</v>
      </c>
      <c r="K187" s="113">
        <v>300</v>
      </c>
      <c r="L187" s="113">
        <v>1650</v>
      </c>
      <c r="M187" s="185">
        <v>12.523932816867143</v>
      </c>
      <c r="N187" s="75">
        <v>231.57514355148206</v>
      </c>
      <c r="O187" s="121">
        <v>19436.416932688091</v>
      </c>
      <c r="P187" s="121">
        <v>23647.934634275931</v>
      </c>
      <c r="Q187" s="120">
        <v>16057.474971487542</v>
      </c>
      <c r="R187" s="314">
        <v>35493.891904175631</v>
      </c>
      <c r="S187" s="315">
        <v>39705.409605763474</v>
      </c>
      <c r="U187" s="7" t="s">
        <v>786</v>
      </c>
    </row>
    <row r="188" spans="1:21" s="74" customFormat="1" ht="16.5" thickBot="1">
      <c r="A188" s="50" t="s">
        <v>35</v>
      </c>
      <c r="B188" s="51">
        <f t="shared" si="9"/>
        <v>55</v>
      </c>
      <c r="C188" s="51" t="s">
        <v>3</v>
      </c>
      <c r="D188" s="51">
        <f t="shared" si="10"/>
        <v>300</v>
      </c>
      <c r="E188" s="51" t="s">
        <v>3</v>
      </c>
      <c r="F188" s="110">
        <f t="shared" si="11"/>
        <v>1700</v>
      </c>
      <c r="G188" s="51" t="s">
        <v>3</v>
      </c>
      <c r="H188" s="48">
        <v>2</v>
      </c>
      <c r="I188" s="49" t="s">
        <v>45</v>
      </c>
      <c r="J188" s="184">
        <v>55</v>
      </c>
      <c r="K188" s="113">
        <v>300</v>
      </c>
      <c r="L188" s="113">
        <v>1700</v>
      </c>
      <c r="M188" s="185">
        <v>12.868642938252858</v>
      </c>
      <c r="N188" s="75">
        <v>240.48187984192367</v>
      </c>
      <c r="O188" s="121">
        <v>19853.336222029578</v>
      </c>
      <c r="P188" s="121">
        <v>24179.749184013534</v>
      </c>
      <c r="Q188" s="120">
        <v>16541.764683298541</v>
      </c>
      <c r="R188" s="314">
        <v>36395.100905328116</v>
      </c>
      <c r="S188" s="315">
        <v>40721.513867312075</v>
      </c>
      <c r="U188" s="7" t="s">
        <v>787</v>
      </c>
    </row>
    <row r="189" spans="1:21" s="74" customFormat="1" ht="16.5" thickBot="1">
      <c r="A189" s="50" t="s">
        <v>35</v>
      </c>
      <c r="B189" s="51">
        <f t="shared" si="9"/>
        <v>55</v>
      </c>
      <c r="C189" s="51" t="s">
        <v>3</v>
      </c>
      <c r="D189" s="51">
        <f t="shared" si="10"/>
        <v>300</v>
      </c>
      <c r="E189" s="51" t="s">
        <v>3</v>
      </c>
      <c r="F189" s="110">
        <f t="shared" si="11"/>
        <v>1750</v>
      </c>
      <c r="G189" s="51" t="s">
        <v>3</v>
      </c>
      <c r="H189" s="48">
        <v>2</v>
      </c>
      <c r="I189" s="49" t="s">
        <v>45</v>
      </c>
      <c r="J189" s="184">
        <v>55</v>
      </c>
      <c r="K189" s="113">
        <v>300</v>
      </c>
      <c r="L189" s="113">
        <v>1750</v>
      </c>
      <c r="M189" s="185">
        <v>13.213353059638571</v>
      </c>
      <c r="N189" s="75">
        <v>249.38861613236526</v>
      </c>
      <c r="O189" s="121">
        <v>20270.255511371066</v>
      </c>
      <c r="P189" s="121">
        <v>24711.563593357765</v>
      </c>
      <c r="Q189" s="120">
        <v>17026.054535502903</v>
      </c>
      <c r="R189" s="314">
        <v>37296.310046873972</v>
      </c>
      <c r="S189" s="315">
        <v>41737.618128860668</v>
      </c>
      <c r="U189" s="7" t="s">
        <v>788</v>
      </c>
    </row>
    <row r="190" spans="1:21" s="74" customFormat="1" ht="16.5" thickBot="1">
      <c r="A190" s="50" t="s">
        <v>35</v>
      </c>
      <c r="B190" s="51">
        <f t="shared" si="9"/>
        <v>55</v>
      </c>
      <c r="C190" s="51" t="s">
        <v>3</v>
      </c>
      <c r="D190" s="51">
        <f t="shared" si="10"/>
        <v>300</v>
      </c>
      <c r="E190" s="51" t="s">
        <v>3</v>
      </c>
      <c r="F190" s="110">
        <f t="shared" si="11"/>
        <v>1800</v>
      </c>
      <c r="G190" s="51" t="s">
        <v>3</v>
      </c>
      <c r="H190" s="48">
        <v>2</v>
      </c>
      <c r="I190" s="49" t="s">
        <v>45</v>
      </c>
      <c r="J190" s="184">
        <v>55</v>
      </c>
      <c r="K190" s="113">
        <v>300</v>
      </c>
      <c r="L190" s="113">
        <v>1800</v>
      </c>
      <c r="M190" s="185">
        <v>13.558063181024286</v>
      </c>
      <c r="N190" s="75">
        <v>258.2953524228069</v>
      </c>
      <c r="O190" s="121">
        <v>20687.174660319193</v>
      </c>
      <c r="P190" s="121">
        <v>25243.378143095368</v>
      </c>
      <c r="Q190" s="120">
        <v>17510.344247313904</v>
      </c>
      <c r="R190" s="314">
        <v>38197.518907633101</v>
      </c>
      <c r="S190" s="315">
        <v>42753.722390409268</v>
      </c>
      <c r="U190" s="7" t="s">
        <v>789</v>
      </c>
    </row>
    <row r="191" spans="1:21" s="74" customFormat="1" ht="16.5" thickBot="1">
      <c r="A191" s="50" t="s">
        <v>35</v>
      </c>
      <c r="B191" s="51">
        <f t="shared" si="9"/>
        <v>55</v>
      </c>
      <c r="C191" s="51" t="s">
        <v>3</v>
      </c>
      <c r="D191" s="51">
        <f t="shared" si="10"/>
        <v>300</v>
      </c>
      <c r="E191" s="51" t="s">
        <v>3</v>
      </c>
      <c r="F191" s="110">
        <f t="shared" si="11"/>
        <v>1850</v>
      </c>
      <c r="G191" s="51" t="s">
        <v>3</v>
      </c>
      <c r="H191" s="48">
        <v>2</v>
      </c>
      <c r="I191" s="49" t="s">
        <v>45</v>
      </c>
      <c r="J191" s="184">
        <v>55</v>
      </c>
      <c r="K191" s="113">
        <v>300</v>
      </c>
      <c r="L191" s="113">
        <v>1850</v>
      </c>
      <c r="M191" s="185">
        <v>13.902773302410001</v>
      </c>
      <c r="N191" s="75">
        <v>267.20208871324849</v>
      </c>
      <c r="O191" s="121">
        <v>21104.093949660677</v>
      </c>
      <c r="P191" s="121">
        <v>25775.192692832967</v>
      </c>
      <c r="Q191" s="120">
        <v>17994.634099518265</v>
      </c>
      <c r="R191" s="314">
        <v>39098.728049178942</v>
      </c>
      <c r="S191" s="315">
        <v>43769.826792351232</v>
      </c>
      <c r="U191" s="7" t="s">
        <v>790</v>
      </c>
    </row>
    <row r="192" spans="1:21" s="74" customFormat="1" ht="16.5" thickBot="1">
      <c r="A192" s="50" t="s">
        <v>35</v>
      </c>
      <c r="B192" s="51">
        <f t="shared" si="9"/>
        <v>55</v>
      </c>
      <c r="C192" s="51" t="s">
        <v>3</v>
      </c>
      <c r="D192" s="51">
        <f t="shared" si="10"/>
        <v>300</v>
      </c>
      <c r="E192" s="51" t="s">
        <v>3</v>
      </c>
      <c r="F192" s="110">
        <f t="shared" si="11"/>
        <v>1900</v>
      </c>
      <c r="G192" s="51" t="s">
        <v>3</v>
      </c>
      <c r="H192" s="48">
        <v>2</v>
      </c>
      <c r="I192" s="49" t="s">
        <v>45</v>
      </c>
      <c r="J192" s="184">
        <v>55</v>
      </c>
      <c r="K192" s="113">
        <v>300</v>
      </c>
      <c r="L192" s="113">
        <v>1900</v>
      </c>
      <c r="M192" s="185">
        <v>14.247483423795714</v>
      </c>
      <c r="N192" s="75">
        <v>276.10882500369013</v>
      </c>
      <c r="O192" s="121">
        <v>21521.013239002168</v>
      </c>
      <c r="P192" s="121">
        <v>26307.007102177206</v>
      </c>
      <c r="Q192" s="120">
        <v>18478.923811329267</v>
      </c>
      <c r="R192" s="314">
        <v>39999.937050331435</v>
      </c>
      <c r="S192" s="315">
        <v>44785.930913506469</v>
      </c>
      <c r="U192" s="7" t="s">
        <v>791</v>
      </c>
    </row>
    <row r="193" spans="1:21" s="74" customFormat="1" ht="16.5" thickBot="1">
      <c r="A193" s="50" t="s">
        <v>35</v>
      </c>
      <c r="B193" s="51">
        <f t="shared" si="9"/>
        <v>55</v>
      </c>
      <c r="C193" s="51" t="s">
        <v>3</v>
      </c>
      <c r="D193" s="51">
        <f t="shared" si="10"/>
        <v>300</v>
      </c>
      <c r="E193" s="51" t="s">
        <v>3</v>
      </c>
      <c r="F193" s="110">
        <f t="shared" si="11"/>
        <v>1950</v>
      </c>
      <c r="G193" s="51" t="s">
        <v>3</v>
      </c>
      <c r="H193" s="48">
        <v>2</v>
      </c>
      <c r="I193" s="49" t="s">
        <v>45</v>
      </c>
      <c r="J193" s="184">
        <v>55</v>
      </c>
      <c r="K193" s="113">
        <v>300</v>
      </c>
      <c r="L193" s="113">
        <v>1950</v>
      </c>
      <c r="M193" s="185">
        <v>14.659993545181429</v>
      </c>
      <c r="N193" s="75">
        <v>285.01556129413177</v>
      </c>
      <c r="O193" s="121">
        <v>21981.510628063654</v>
      </c>
      <c r="P193" s="121">
        <v>26881.071490032191</v>
      </c>
      <c r="Q193" s="120">
        <v>18963.213663533628</v>
      </c>
      <c r="R193" s="314">
        <v>40944.724291597282</v>
      </c>
      <c r="S193" s="315">
        <v>45844.285153565819</v>
      </c>
      <c r="U193" s="7" t="s">
        <v>792</v>
      </c>
    </row>
    <row r="194" spans="1:21" s="74" customFormat="1" ht="16.5" thickBot="1">
      <c r="A194" s="50" t="s">
        <v>35</v>
      </c>
      <c r="B194" s="51">
        <f t="shared" si="9"/>
        <v>55</v>
      </c>
      <c r="C194" s="51" t="s">
        <v>3</v>
      </c>
      <c r="D194" s="51">
        <f t="shared" si="10"/>
        <v>300</v>
      </c>
      <c r="E194" s="51" t="s">
        <v>3</v>
      </c>
      <c r="F194" s="110">
        <f t="shared" si="11"/>
        <v>2000</v>
      </c>
      <c r="G194" s="51" t="s">
        <v>3</v>
      </c>
      <c r="H194" s="48">
        <v>2</v>
      </c>
      <c r="I194" s="49" t="s">
        <v>45</v>
      </c>
      <c r="J194" s="184">
        <v>55</v>
      </c>
      <c r="K194" s="113">
        <v>300</v>
      </c>
      <c r="L194" s="113">
        <v>2000</v>
      </c>
      <c r="M194" s="185">
        <v>15.096279863977145</v>
      </c>
      <c r="N194" s="75">
        <v>293.92229758457336</v>
      </c>
      <c r="O194" s="121">
        <v>22617.44566880558</v>
      </c>
      <c r="P194" s="121">
        <v>27699.13097791707</v>
      </c>
      <c r="Q194" s="120">
        <v>19447.50337534463</v>
      </c>
      <c r="R194" s="314">
        <v>42064.949044150213</v>
      </c>
      <c r="S194" s="315">
        <v>47146.634353261703</v>
      </c>
      <c r="U194" s="7" t="s">
        <v>793</v>
      </c>
    </row>
    <row r="195" spans="1:21" s="74" customFormat="1" ht="16.5" thickBot="1">
      <c r="A195" s="50" t="s">
        <v>35</v>
      </c>
      <c r="B195" s="51">
        <f t="shared" si="9"/>
        <v>55</v>
      </c>
      <c r="C195" s="51" t="s">
        <v>3</v>
      </c>
      <c r="D195" s="51">
        <f t="shared" si="10"/>
        <v>300</v>
      </c>
      <c r="E195" s="51" t="s">
        <v>3</v>
      </c>
      <c r="F195" s="110">
        <f t="shared" si="11"/>
        <v>2050</v>
      </c>
      <c r="G195" s="51" t="s">
        <v>3</v>
      </c>
      <c r="H195" s="48">
        <v>2</v>
      </c>
      <c r="I195" s="49" t="s">
        <v>45</v>
      </c>
      <c r="J195" s="184">
        <v>55</v>
      </c>
      <c r="K195" s="113">
        <v>300</v>
      </c>
      <c r="L195" s="113">
        <v>2050</v>
      </c>
      <c r="M195" s="185">
        <v>15.440989985362858</v>
      </c>
      <c r="N195" s="75">
        <v>302.829033875015</v>
      </c>
      <c r="O195" s="121">
        <v>23034.364958147064</v>
      </c>
      <c r="P195" s="121">
        <v>28230.945527654669</v>
      </c>
      <c r="Q195" s="120">
        <v>19931.793227548991</v>
      </c>
      <c r="R195" s="314">
        <v>42966.158185696055</v>
      </c>
      <c r="S195" s="315">
        <v>48162.73875520366</v>
      </c>
      <c r="U195" s="7" t="s">
        <v>794</v>
      </c>
    </row>
    <row r="196" spans="1:21" s="74" customFormat="1" ht="16.5" thickBot="1">
      <c r="A196" s="47" t="s">
        <v>35</v>
      </c>
      <c r="B196" s="48">
        <f t="shared" si="9"/>
        <v>55</v>
      </c>
      <c r="C196" s="48" t="s">
        <v>3</v>
      </c>
      <c r="D196" s="48">
        <f t="shared" si="10"/>
        <v>300</v>
      </c>
      <c r="E196" s="48" t="s">
        <v>3</v>
      </c>
      <c r="F196" s="110">
        <f t="shared" si="11"/>
        <v>2100</v>
      </c>
      <c r="G196" s="48" t="s">
        <v>3</v>
      </c>
      <c r="H196" s="48">
        <v>2</v>
      </c>
      <c r="I196" s="49" t="s">
        <v>45</v>
      </c>
      <c r="J196" s="184">
        <v>55</v>
      </c>
      <c r="K196" s="113">
        <v>300</v>
      </c>
      <c r="L196" s="113">
        <v>2100</v>
      </c>
      <c r="M196" s="185">
        <v>15.785700106748571</v>
      </c>
      <c r="N196" s="75">
        <v>311.73577016545659</v>
      </c>
      <c r="O196" s="121">
        <v>23451.284247488555</v>
      </c>
      <c r="P196" s="121">
        <v>28762.760077392268</v>
      </c>
      <c r="Q196" s="120">
        <v>20416.082939359992</v>
      </c>
      <c r="R196" s="314">
        <v>43867.367186848547</v>
      </c>
      <c r="S196" s="315">
        <v>49178.84301675226</v>
      </c>
      <c r="U196" s="7" t="s">
        <v>795</v>
      </c>
    </row>
    <row r="197" spans="1:21" s="74" customFormat="1" ht="16.5" thickBot="1">
      <c r="A197" s="50" t="s">
        <v>35</v>
      </c>
      <c r="B197" s="51">
        <f t="shared" si="9"/>
        <v>55</v>
      </c>
      <c r="C197" s="51" t="s">
        <v>3</v>
      </c>
      <c r="D197" s="51">
        <f t="shared" si="10"/>
        <v>300</v>
      </c>
      <c r="E197" s="51" t="s">
        <v>3</v>
      </c>
      <c r="F197" s="110">
        <f t="shared" si="11"/>
        <v>2150</v>
      </c>
      <c r="G197" s="51" t="s">
        <v>3</v>
      </c>
      <c r="H197" s="48">
        <v>2</v>
      </c>
      <c r="I197" s="49" t="s">
        <v>45</v>
      </c>
      <c r="J197" s="184">
        <v>55</v>
      </c>
      <c r="K197" s="113">
        <v>300</v>
      </c>
      <c r="L197" s="113">
        <v>2150</v>
      </c>
      <c r="M197" s="185">
        <v>16.130410228134288</v>
      </c>
      <c r="N197" s="75">
        <v>320.64250645589823</v>
      </c>
      <c r="O197" s="121">
        <v>23868.203396436678</v>
      </c>
      <c r="P197" s="121">
        <v>29294.574486736507</v>
      </c>
      <c r="Q197" s="120">
        <v>20900.372791564354</v>
      </c>
      <c r="R197" s="314">
        <v>44768.576188001032</v>
      </c>
      <c r="S197" s="315">
        <v>50194.94727830086</v>
      </c>
      <c r="U197" s="7" t="s">
        <v>796</v>
      </c>
    </row>
    <row r="198" spans="1:21" s="74" customFormat="1" ht="16.5" thickBot="1">
      <c r="A198" s="50" t="s">
        <v>35</v>
      </c>
      <c r="B198" s="51">
        <f t="shared" si="9"/>
        <v>55</v>
      </c>
      <c r="C198" s="51" t="s">
        <v>3</v>
      </c>
      <c r="D198" s="51">
        <f t="shared" si="10"/>
        <v>300</v>
      </c>
      <c r="E198" s="51" t="s">
        <v>3</v>
      </c>
      <c r="F198" s="110">
        <f t="shared" si="11"/>
        <v>2200</v>
      </c>
      <c r="G198" s="51" t="s">
        <v>3</v>
      </c>
      <c r="H198" s="48">
        <v>2</v>
      </c>
      <c r="I198" s="49" t="s">
        <v>45</v>
      </c>
      <c r="J198" s="184">
        <v>55</v>
      </c>
      <c r="K198" s="113">
        <v>300</v>
      </c>
      <c r="L198" s="113">
        <v>2200</v>
      </c>
      <c r="M198" s="185">
        <v>16.475120349520001</v>
      </c>
      <c r="N198" s="75">
        <v>329.54924274633987</v>
      </c>
      <c r="O198" s="121">
        <v>24285.122685778169</v>
      </c>
      <c r="P198" s="121">
        <v>29826.389036474109</v>
      </c>
      <c r="Q198" s="120">
        <v>21384.662503375355</v>
      </c>
      <c r="R198" s="314">
        <v>45669.785189153525</v>
      </c>
      <c r="S198" s="315">
        <v>51211.051539849461</v>
      </c>
      <c r="U198" s="7" t="s">
        <v>797</v>
      </c>
    </row>
    <row r="199" spans="1:21" s="74" customFormat="1" ht="16.5" thickBot="1">
      <c r="A199" s="50" t="s">
        <v>35</v>
      </c>
      <c r="B199" s="51">
        <f t="shared" si="9"/>
        <v>55</v>
      </c>
      <c r="C199" s="51" t="s">
        <v>3</v>
      </c>
      <c r="D199" s="51">
        <f t="shared" si="10"/>
        <v>300</v>
      </c>
      <c r="E199" s="51" t="s">
        <v>3</v>
      </c>
      <c r="F199" s="110">
        <f t="shared" si="11"/>
        <v>2250</v>
      </c>
      <c r="G199" s="51" t="s">
        <v>3</v>
      </c>
      <c r="H199" s="48">
        <v>2</v>
      </c>
      <c r="I199" s="49" t="s">
        <v>45</v>
      </c>
      <c r="J199" s="184">
        <v>55</v>
      </c>
      <c r="K199" s="113">
        <v>300</v>
      </c>
      <c r="L199" s="113">
        <v>2250</v>
      </c>
      <c r="M199" s="185">
        <v>16.819830470905718</v>
      </c>
      <c r="N199" s="75">
        <v>338.45597903678146</v>
      </c>
      <c r="O199" s="121">
        <v>24702.041975119653</v>
      </c>
      <c r="P199" s="121">
        <v>30358.203445818341</v>
      </c>
      <c r="Q199" s="120">
        <v>21868.952355579717</v>
      </c>
      <c r="R199" s="314">
        <v>46570.994330699366</v>
      </c>
      <c r="S199" s="315">
        <v>52227.155801398054</v>
      </c>
      <c r="U199" s="7" t="s">
        <v>798</v>
      </c>
    </row>
    <row r="200" spans="1:21" s="74" customFormat="1" ht="16.5" thickBot="1">
      <c r="A200" s="50" t="s">
        <v>35</v>
      </c>
      <c r="B200" s="51">
        <f t="shared" si="9"/>
        <v>55</v>
      </c>
      <c r="C200" s="51" t="s">
        <v>3</v>
      </c>
      <c r="D200" s="51">
        <f t="shared" si="10"/>
        <v>300</v>
      </c>
      <c r="E200" s="51" t="s">
        <v>3</v>
      </c>
      <c r="F200" s="110">
        <f t="shared" si="11"/>
        <v>2300</v>
      </c>
      <c r="G200" s="51" t="s">
        <v>3</v>
      </c>
      <c r="H200" s="48">
        <v>2</v>
      </c>
      <c r="I200" s="49" t="s">
        <v>45</v>
      </c>
      <c r="J200" s="184">
        <v>55</v>
      </c>
      <c r="K200" s="113">
        <v>300</v>
      </c>
      <c r="L200" s="113">
        <v>2300</v>
      </c>
      <c r="M200" s="185">
        <v>17.164540592291427</v>
      </c>
      <c r="N200" s="75">
        <v>347.36271532722304</v>
      </c>
      <c r="O200" s="121">
        <v>25118.961124067777</v>
      </c>
      <c r="P200" s="121">
        <v>30890.017995555947</v>
      </c>
      <c r="Q200" s="120">
        <v>22353.242067390718</v>
      </c>
      <c r="R200" s="314">
        <v>47472.203191458495</v>
      </c>
      <c r="S200" s="315">
        <v>53243.260062946661</v>
      </c>
      <c r="U200" s="7" t="s">
        <v>799</v>
      </c>
    </row>
    <row r="201" spans="1:21" s="74" customFormat="1" ht="16.5" thickBot="1">
      <c r="A201" s="50" t="s">
        <v>35</v>
      </c>
      <c r="B201" s="51">
        <f t="shared" si="9"/>
        <v>55</v>
      </c>
      <c r="C201" s="51" t="s">
        <v>3</v>
      </c>
      <c r="D201" s="51">
        <f t="shared" si="10"/>
        <v>300</v>
      </c>
      <c r="E201" s="51" t="s">
        <v>3</v>
      </c>
      <c r="F201" s="110">
        <f t="shared" si="11"/>
        <v>2350</v>
      </c>
      <c r="G201" s="51" t="s">
        <v>3</v>
      </c>
      <c r="H201" s="48">
        <v>2</v>
      </c>
      <c r="I201" s="49" t="s">
        <v>45</v>
      </c>
      <c r="J201" s="184">
        <v>55</v>
      </c>
      <c r="K201" s="113">
        <v>300</v>
      </c>
      <c r="L201" s="113">
        <v>2350</v>
      </c>
      <c r="M201" s="185">
        <v>17.509250713677144</v>
      </c>
      <c r="N201" s="75">
        <v>356.26945161766469</v>
      </c>
      <c r="O201" s="121">
        <v>25535.880413409268</v>
      </c>
      <c r="P201" s="121">
        <v>31421.832404900179</v>
      </c>
      <c r="Q201" s="120">
        <v>22837.53191959508</v>
      </c>
      <c r="R201" s="314">
        <v>48373.412333004351</v>
      </c>
      <c r="S201" s="315">
        <v>54259.364324495255</v>
      </c>
      <c r="U201" s="7" t="s">
        <v>800</v>
      </c>
    </row>
    <row r="202" spans="1:21" s="74" customFormat="1" ht="16.5" thickBot="1">
      <c r="A202" s="50" t="s">
        <v>35</v>
      </c>
      <c r="B202" s="51">
        <f t="shared" si="9"/>
        <v>55</v>
      </c>
      <c r="C202" s="51" t="s">
        <v>3</v>
      </c>
      <c r="D202" s="51">
        <f t="shared" si="10"/>
        <v>300</v>
      </c>
      <c r="E202" s="51" t="s">
        <v>3</v>
      </c>
      <c r="F202" s="110">
        <f t="shared" si="11"/>
        <v>2400</v>
      </c>
      <c r="G202" s="51" t="s">
        <v>3</v>
      </c>
      <c r="H202" s="48">
        <v>2</v>
      </c>
      <c r="I202" s="49" t="s">
        <v>45</v>
      </c>
      <c r="J202" s="184">
        <v>55</v>
      </c>
      <c r="K202" s="113">
        <v>300</v>
      </c>
      <c r="L202" s="113">
        <v>2400</v>
      </c>
      <c r="M202" s="185">
        <v>17.85396083506286</v>
      </c>
      <c r="N202" s="75">
        <v>365.17618790810627</v>
      </c>
      <c r="O202" s="121">
        <v>25952.799702750759</v>
      </c>
      <c r="P202" s="121">
        <v>31953.646954637781</v>
      </c>
      <c r="Q202" s="120">
        <v>23321.821631406081</v>
      </c>
      <c r="R202" s="314">
        <v>49274.621334156836</v>
      </c>
      <c r="S202" s="315">
        <v>55275.468586043862</v>
      </c>
      <c r="U202" s="7" t="s">
        <v>801</v>
      </c>
    </row>
    <row r="203" spans="1:21" s="74" customFormat="1" ht="16.5" thickBot="1">
      <c r="A203" s="50" t="s">
        <v>35</v>
      </c>
      <c r="B203" s="51">
        <f t="shared" si="9"/>
        <v>55</v>
      </c>
      <c r="C203" s="51" t="s">
        <v>3</v>
      </c>
      <c r="D203" s="51">
        <f t="shared" si="10"/>
        <v>300</v>
      </c>
      <c r="E203" s="51" t="s">
        <v>3</v>
      </c>
      <c r="F203" s="110">
        <f t="shared" si="11"/>
        <v>2450</v>
      </c>
      <c r="G203" s="51" t="s">
        <v>3</v>
      </c>
      <c r="H203" s="48">
        <v>2</v>
      </c>
      <c r="I203" s="49" t="s">
        <v>45</v>
      </c>
      <c r="J203" s="184">
        <v>55</v>
      </c>
      <c r="K203" s="113">
        <v>300</v>
      </c>
      <c r="L203" s="113">
        <v>2450</v>
      </c>
      <c r="M203" s="185">
        <v>18.337644268448575</v>
      </c>
      <c r="N203" s="75">
        <v>374.08292419854791</v>
      </c>
      <c r="O203" s="121">
        <v>27014.43381254483</v>
      </c>
      <c r="P203" s="121">
        <v>33050.165866752497</v>
      </c>
      <c r="Q203" s="120">
        <v>23806.111483610443</v>
      </c>
      <c r="R203" s="314">
        <v>50820.545296155273</v>
      </c>
      <c r="S203" s="315">
        <v>56856.277350362943</v>
      </c>
      <c r="U203" s="7" t="s">
        <v>802</v>
      </c>
    </row>
    <row r="204" spans="1:21" s="74" customFormat="1" ht="16.5" thickBot="1">
      <c r="A204" s="50" t="s">
        <v>35</v>
      </c>
      <c r="B204" s="51">
        <f t="shared" si="9"/>
        <v>55</v>
      </c>
      <c r="C204" s="51" t="s">
        <v>3</v>
      </c>
      <c r="D204" s="51">
        <f t="shared" si="10"/>
        <v>300</v>
      </c>
      <c r="E204" s="51" t="s">
        <v>3</v>
      </c>
      <c r="F204" s="110">
        <f t="shared" si="11"/>
        <v>2500</v>
      </c>
      <c r="G204" s="51" t="s">
        <v>3</v>
      </c>
      <c r="H204" s="48">
        <v>2</v>
      </c>
      <c r="I204" s="49" t="s">
        <v>45</v>
      </c>
      <c r="J204" s="184">
        <v>55</v>
      </c>
      <c r="K204" s="113">
        <v>300</v>
      </c>
      <c r="L204" s="113">
        <v>2500</v>
      </c>
      <c r="M204" s="185">
        <v>18.682354389834288</v>
      </c>
      <c r="N204" s="75">
        <v>382.9896604889895</v>
      </c>
      <c r="O204" s="121">
        <v>27431.353101886321</v>
      </c>
      <c r="P204" s="121">
        <v>33581.9804164901</v>
      </c>
      <c r="Q204" s="120">
        <v>24290.401195421444</v>
      </c>
      <c r="R204" s="314">
        <v>51721.754297307765</v>
      </c>
      <c r="S204" s="315">
        <v>57872.381611911544</v>
      </c>
      <c r="U204" s="7" t="s">
        <v>803</v>
      </c>
    </row>
    <row r="205" spans="1:21" s="74" customFormat="1" ht="16.5" thickBot="1">
      <c r="A205" s="50" t="s">
        <v>35</v>
      </c>
      <c r="B205" s="51">
        <f t="shared" si="9"/>
        <v>55</v>
      </c>
      <c r="C205" s="51" t="s">
        <v>3</v>
      </c>
      <c r="D205" s="51">
        <f t="shared" si="10"/>
        <v>300</v>
      </c>
      <c r="E205" s="51" t="s">
        <v>3</v>
      </c>
      <c r="F205" s="110">
        <f t="shared" si="11"/>
        <v>2550</v>
      </c>
      <c r="G205" s="51" t="s">
        <v>3</v>
      </c>
      <c r="H205" s="48">
        <v>2</v>
      </c>
      <c r="I205" s="49" t="s">
        <v>45</v>
      </c>
      <c r="J205" s="184">
        <v>55</v>
      </c>
      <c r="K205" s="113">
        <v>300</v>
      </c>
      <c r="L205" s="113">
        <v>2550</v>
      </c>
      <c r="M205" s="185">
        <v>19.027064511220004</v>
      </c>
      <c r="N205" s="75">
        <v>391.8963967794312</v>
      </c>
      <c r="O205" s="121">
        <v>27848.272250834445</v>
      </c>
      <c r="P205" s="121">
        <v>34113.794825834331</v>
      </c>
      <c r="Q205" s="120">
        <v>24774.691047625805</v>
      </c>
      <c r="R205" s="314">
        <v>52622.96329846025</v>
      </c>
      <c r="S205" s="315">
        <v>58888.485873460137</v>
      </c>
      <c r="U205" s="7" t="s">
        <v>804</v>
      </c>
    </row>
    <row r="206" spans="1:21" s="74" customFormat="1" ht="16.5" thickBot="1">
      <c r="A206" s="47" t="s">
        <v>35</v>
      </c>
      <c r="B206" s="48">
        <f t="shared" si="9"/>
        <v>55</v>
      </c>
      <c r="C206" s="48" t="s">
        <v>3</v>
      </c>
      <c r="D206" s="48">
        <f t="shared" si="10"/>
        <v>300</v>
      </c>
      <c r="E206" s="48" t="s">
        <v>3</v>
      </c>
      <c r="F206" s="110">
        <f t="shared" si="11"/>
        <v>2600</v>
      </c>
      <c r="G206" s="48" t="s">
        <v>3</v>
      </c>
      <c r="H206" s="48">
        <v>2</v>
      </c>
      <c r="I206" s="49" t="s">
        <v>45</v>
      </c>
      <c r="J206" s="184">
        <v>55</v>
      </c>
      <c r="K206" s="113">
        <v>300</v>
      </c>
      <c r="L206" s="113">
        <v>2600</v>
      </c>
      <c r="M206" s="185">
        <v>19.371774632605717</v>
      </c>
      <c r="N206" s="75">
        <v>400.80313306987279</v>
      </c>
      <c r="O206" s="121">
        <v>28265.191540175929</v>
      </c>
      <c r="P206" s="121">
        <v>34645.609375571934</v>
      </c>
      <c r="Q206" s="120">
        <v>25258.980759436807</v>
      </c>
      <c r="R206" s="314">
        <v>53524.172299612736</v>
      </c>
      <c r="S206" s="315">
        <v>59904.590135008737</v>
      </c>
      <c r="U206" s="7" t="s">
        <v>805</v>
      </c>
    </row>
    <row r="207" spans="1:21" s="74" customFormat="1" ht="16.5" thickBot="1">
      <c r="A207" s="50" t="s">
        <v>35</v>
      </c>
      <c r="B207" s="51">
        <f t="shared" si="9"/>
        <v>55</v>
      </c>
      <c r="C207" s="51" t="s">
        <v>3</v>
      </c>
      <c r="D207" s="51">
        <f t="shared" si="10"/>
        <v>300</v>
      </c>
      <c r="E207" s="51" t="s">
        <v>3</v>
      </c>
      <c r="F207" s="110">
        <f t="shared" si="11"/>
        <v>2650</v>
      </c>
      <c r="G207" s="51" t="s">
        <v>3</v>
      </c>
      <c r="H207" s="48">
        <v>2</v>
      </c>
      <c r="I207" s="49" t="s">
        <v>45</v>
      </c>
      <c r="J207" s="184">
        <v>55</v>
      </c>
      <c r="K207" s="113">
        <v>300</v>
      </c>
      <c r="L207" s="113">
        <v>2650</v>
      </c>
      <c r="M207" s="185">
        <v>19.716484753991431</v>
      </c>
      <c r="N207" s="75">
        <v>409.70986936031437</v>
      </c>
      <c r="O207" s="121">
        <v>28682.11082951742</v>
      </c>
      <c r="P207" s="121">
        <v>35177.423784916165</v>
      </c>
      <c r="Q207" s="120">
        <v>25743.270611641168</v>
      </c>
      <c r="R207" s="314">
        <v>54425.381441158592</v>
      </c>
      <c r="S207" s="315">
        <v>60920.69439655733</v>
      </c>
      <c r="U207" s="7" t="s">
        <v>806</v>
      </c>
    </row>
    <row r="208" spans="1:21" s="74" customFormat="1" ht="16.5" thickBot="1">
      <c r="A208" s="50" t="s">
        <v>35</v>
      </c>
      <c r="B208" s="51">
        <f t="shared" si="9"/>
        <v>55</v>
      </c>
      <c r="C208" s="51" t="s">
        <v>3</v>
      </c>
      <c r="D208" s="51">
        <f t="shared" si="10"/>
        <v>300</v>
      </c>
      <c r="E208" s="51" t="s">
        <v>3</v>
      </c>
      <c r="F208" s="110">
        <f t="shared" si="11"/>
        <v>2700</v>
      </c>
      <c r="G208" s="51" t="s">
        <v>3</v>
      </c>
      <c r="H208" s="48">
        <v>2</v>
      </c>
      <c r="I208" s="49" t="s">
        <v>45</v>
      </c>
      <c r="J208" s="184">
        <v>55</v>
      </c>
      <c r="K208" s="113">
        <v>300</v>
      </c>
      <c r="L208" s="113">
        <v>2700</v>
      </c>
      <c r="M208" s="185">
        <v>20.128994875377142</v>
      </c>
      <c r="N208" s="75">
        <v>418.61660565075601</v>
      </c>
      <c r="O208" s="121">
        <v>29142.608218578906</v>
      </c>
      <c r="P208" s="121">
        <v>35751.488172771154</v>
      </c>
      <c r="Q208" s="120">
        <v>26227.56032345217</v>
      </c>
      <c r="R208" s="314">
        <v>55370.168542031075</v>
      </c>
      <c r="S208" s="315">
        <v>61979.048496223324</v>
      </c>
      <c r="U208" s="7" t="s">
        <v>807</v>
      </c>
    </row>
    <row r="209" spans="1:21" s="74" customFormat="1" ht="16.5" thickBot="1">
      <c r="A209" s="50" t="s">
        <v>35</v>
      </c>
      <c r="B209" s="51">
        <f t="shared" si="9"/>
        <v>55</v>
      </c>
      <c r="C209" s="51" t="s">
        <v>3</v>
      </c>
      <c r="D209" s="51">
        <f t="shared" si="10"/>
        <v>300</v>
      </c>
      <c r="E209" s="51" t="s">
        <v>3</v>
      </c>
      <c r="F209" s="110">
        <f t="shared" si="11"/>
        <v>2750</v>
      </c>
      <c r="G209" s="51" t="s">
        <v>3</v>
      </c>
      <c r="H209" s="48">
        <v>2</v>
      </c>
      <c r="I209" s="49" t="s">
        <v>45</v>
      </c>
      <c r="J209" s="184">
        <v>55</v>
      </c>
      <c r="K209" s="113">
        <v>300</v>
      </c>
      <c r="L209" s="113">
        <v>2750</v>
      </c>
      <c r="M209" s="185">
        <v>20.473704996762855</v>
      </c>
      <c r="N209" s="75">
        <v>427.5233419411976</v>
      </c>
      <c r="O209" s="121">
        <v>29559.527507920393</v>
      </c>
      <c r="P209" s="121">
        <v>36283.302722508757</v>
      </c>
      <c r="Q209" s="120">
        <v>26711.850175656393</v>
      </c>
      <c r="R209" s="314">
        <v>56271.377683576786</v>
      </c>
      <c r="S209" s="315">
        <v>62995.15289816515</v>
      </c>
      <c r="U209" s="7" t="s">
        <v>808</v>
      </c>
    </row>
    <row r="210" spans="1:21" s="74" customFormat="1" ht="16.5" thickBot="1">
      <c r="A210" s="50" t="s">
        <v>35</v>
      </c>
      <c r="B210" s="51">
        <f t="shared" si="9"/>
        <v>55</v>
      </c>
      <c r="C210" s="51" t="s">
        <v>3</v>
      </c>
      <c r="D210" s="51">
        <f t="shared" si="10"/>
        <v>300</v>
      </c>
      <c r="E210" s="51" t="s">
        <v>3</v>
      </c>
      <c r="F210" s="110">
        <f t="shared" si="11"/>
        <v>2800</v>
      </c>
      <c r="G210" s="51" t="s">
        <v>3</v>
      </c>
      <c r="H210" s="48">
        <v>2</v>
      </c>
      <c r="I210" s="49" t="s">
        <v>45</v>
      </c>
      <c r="J210" s="184">
        <v>55</v>
      </c>
      <c r="K210" s="113">
        <v>300</v>
      </c>
      <c r="L210" s="113">
        <v>2800</v>
      </c>
      <c r="M210" s="185">
        <v>20.818415118148579</v>
      </c>
      <c r="N210" s="75">
        <v>436.4300782316393</v>
      </c>
      <c r="O210" s="121">
        <v>29976.44665686852</v>
      </c>
      <c r="P210" s="121">
        <v>36815.11727224636</v>
      </c>
      <c r="Q210" s="120">
        <v>27196.140027860896</v>
      </c>
      <c r="R210" s="314">
        <v>57172.586684729416</v>
      </c>
      <c r="S210" s="315">
        <v>64011.25730010726</v>
      </c>
      <c r="U210" s="7" t="s">
        <v>809</v>
      </c>
    </row>
    <row r="211" spans="1:21" s="74" customFormat="1" ht="16.5" thickBot="1">
      <c r="A211" s="50" t="s">
        <v>35</v>
      </c>
      <c r="B211" s="51">
        <f t="shared" si="9"/>
        <v>55</v>
      </c>
      <c r="C211" s="51" t="s">
        <v>3</v>
      </c>
      <c r="D211" s="51">
        <f t="shared" si="10"/>
        <v>300</v>
      </c>
      <c r="E211" s="51" t="s">
        <v>3</v>
      </c>
      <c r="F211" s="110">
        <f t="shared" si="11"/>
        <v>2850</v>
      </c>
      <c r="G211" s="51" t="s">
        <v>3</v>
      </c>
      <c r="H211" s="48">
        <v>2</v>
      </c>
      <c r="I211" s="49" t="s">
        <v>45</v>
      </c>
      <c r="J211" s="184">
        <v>55</v>
      </c>
      <c r="K211" s="113">
        <v>300</v>
      </c>
      <c r="L211" s="113">
        <v>2850</v>
      </c>
      <c r="M211" s="185">
        <v>21.163125239534285</v>
      </c>
      <c r="N211" s="75">
        <v>445.33681452208089</v>
      </c>
      <c r="O211" s="121">
        <v>30393.365946210008</v>
      </c>
      <c r="P211" s="121">
        <v>37346.931681590591</v>
      </c>
      <c r="Q211" s="120">
        <v>27680.42973967189</v>
      </c>
      <c r="R211" s="314">
        <v>58073.795685881894</v>
      </c>
      <c r="S211" s="315">
        <v>65027.361421262482</v>
      </c>
      <c r="U211" s="7" t="s">
        <v>810</v>
      </c>
    </row>
    <row r="212" spans="1:21" s="74" customFormat="1" ht="16.5" thickBot="1">
      <c r="A212" s="50" t="s">
        <v>35</v>
      </c>
      <c r="B212" s="51">
        <f t="shared" si="9"/>
        <v>55</v>
      </c>
      <c r="C212" s="51" t="s">
        <v>3</v>
      </c>
      <c r="D212" s="51">
        <f t="shared" si="10"/>
        <v>300</v>
      </c>
      <c r="E212" s="51" t="s">
        <v>3</v>
      </c>
      <c r="F212" s="110">
        <f t="shared" si="11"/>
        <v>2900</v>
      </c>
      <c r="G212" s="51" t="s">
        <v>3</v>
      </c>
      <c r="H212" s="48">
        <v>2</v>
      </c>
      <c r="I212" s="49" t="s">
        <v>45</v>
      </c>
      <c r="J212" s="184">
        <v>55</v>
      </c>
      <c r="K212" s="113">
        <v>300</v>
      </c>
      <c r="L212" s="113">
        <v>2900</v>
      </c>
      <c r="M212" s="185">
        <v>21.507835360920001</v>
      </c>
      <c r="N212" s="75">
        <v>454.24355081252241</v>
      </c>
      <c r="O212" s="121">
        <v>30810.285235551491</v>
      </c>
      <c r="P212" s="121">
        <v>37878.746231328194</v>
      </c>
      <c r="Q212" s="120">
        <v>28164.719591876255</v>
      </c>
      <c r="R212" s="314">
        <v>58975.004827427751</v>
      </c>
      <c r="S212" s="315">
        <v>66043.465823204446</v>
      </c>
      <c r="U212" s="7" t="s">
        <v>811</v>
      </c>
    </row>
    <row r="213" spans="1:21" s="74" customFormat="1" ht="16.5" thickBot="1">
      <c r="A213" s="50" t="s">
        <v>35</v>
      </c>
      <c r="B213" s="51">
        <f t="shared" si="9"/>
        <v>55</v>
      </c>
      <c r="C213" s="51" t="s">
        <v>3</v>
      </c>
      <c r="D213" s="51">
        <f t="shared" si="10"/>
        <v>300</v>
      </c>
      <c r="E213" s="51" t="s">
        <v>3</v>
      </c>
      <c r="F213" s="110">
        <f t="shared" si="11"/>
        <v>2950</v>
      </c>
      <c r="G213" s="51" t="s">
        <v>3</v>
      </c>
      <c r="H213" s="48">
        <v>2</v>
      </c>
      <c r="I213" s="49" t="s">
        <v>45</v>
      </c>
      <c r="J213" s="184">
        <v>55</v>
      </c>
      <c r="K213" s="113">
        <v>300</v>
      </c>
      <c r="L213" s="113">
        <v>2950</v>
      </c>
      <c r="M213" s="185">
        <v>21.852545482305715</v>
      </c>
      <c r="N213" s="75">
        <v>463.15028710296411</v>
      </c>
      <c r="O213" s="121">
        <v>31227.204384499619</v>
      </c>
      <c r="P213" s="121">
        <v>38410.560640672433</v>
      </c>
      <c r="Q213" s="120">
        <v>28649.009303687253</v>
      </c>
      <c r="R213" s="314">
        <v>59876.213688186872</v>
      </c>
      <c r="S213" s="315">
        <v>67059.569944359682</v>
      </c>
      <c r="U213" s="7" t="s">
        <v>812</v>
      </c>
    </row>
    <row r="214" spans="1:21" s="74" customFormat="1" ht="16.5" thickBot="1">
      <c r="A214" s="52" t="s">
        <v>35</v>
      </c>
      <c r="B214" s="53">
        <f t="shared" si="9"/>
        <v>55</v>
      </c>
      <c r="C214" s="53" t="s">
        <v>3</v>
      </c>
      <c r="D214" s="53">
        <f t="shared" si="10"/>
        <v>300</v>
      </c>
      <c r="E214" s="53" t="s">
        <v>3</v>
      </c>
      <c r="F214" s="111">
        <f t="shared" si="11"/>
        <v>3000</v>
      </c>
      <c r="G214" s="53" t="s">
        <v>3</v>
      </c>
      <c r="H214" s="55">
        <v>2</v>
      </c>
      <c r="I214" s="54" t="s">
        <v>45</v>
      </c>
      <c r="J214" s="184">
        <v>55</v>
      </c>
      <c r="K214" s="157">
        <v>300</v>
      </c>
      <c r="L214" s="157">
        <v>3000</v>
      </c>
      <c r="M214" s="187">
        <v>22.197255603691431</v>
      </c>
      <c r="N214" s="147">
        <v>472.0570233934057</v>
      </c>
      <c r="O214" s="158">
        <v>31644.123673841106</v>
      </c>
      <c r="P214" s="158">
        <v>38942.375190410035</v>
      </c>
      <c r="Q214" s="159">
        <v>29133.299155891618</v>
      </c>
      <c r="R214" s="316">
        <v>60777.422829732721</v>
      </c>
      <c r="S214" s="317">
        <v>68075.674346301646</v>
      </c>
      <c r="U214" s="7" t="s">
        <v>813</v>
      </c>
    </row>
    <row r="215" spans="1:21" s="74" customFormat="1" ht="16.5" customHeight="1" thickBot="1">
      <c r="A215" s="2583" t="s">
        <v>138</v>
      </c>
      <c r="B215" s="2584"/>
      <c r="C215" s="2584"/>
      <c r="D215" s="2584"/>
      <c r="E215" s="2584"/>
      <c r="F215" s="2584"/>
      <c r="G215" s="2584"/>
      <c r="H215" s="2584"/>
      <c r="I215" s="2584"/>
      <c r="J215" s="2584"/>
      <c r="K215" s="2584"/>
      <c r="L215" s="2584"/>
      <c r="M215" s="2584"/>
      <c r="N215" s="2584"/>
      <c r="O215" s="2584"/>
      <c r="P215" s="2584"/>
      <c r="Q215" s="2584"/>
      <c r="R215" s="2584"/>
      <c r="S215" s="2585"/>
      <c r="U215" s="7"/>
    </row>
    <row r="216" spans="1:21" s="74" customFormat="1" ht="16.5" thickBot="1">
      <c r="A216" s="47" t="s">
        <v>35</v>
      </c>
      <c r="B216" s="48">
        <f>J216</f>
        <v>55</v>
      </c>
      <c r="C216" s="48" t="s">
        <v>3</v>
      </c>
      <c r="D216" s="48">
        <f>K216</f>
        <v>300</v>
      </c>
      <c r="E216" s="48" t="s">
        <v>3</v>
      </c>
      <c r="F216" s="110">
        <f>L216</f>
        <v>600</v>
      </c>
      <c r="G216" s="48" t="s">
        <v>3</v>
      </c>
      <c r="H216" s="48">
        <v>4</v>
      </c>
      <c r="I216" s="49" t="s">
        <v>45</v>
      </c>
      <c r="J216" s="181">
        <v>55</v>
      </c>
      <c r="K216" s="168">
        <v>300</v>
      </c>
      <c r="L216" s="168">
        <v>600</v>
      </c>
      <c r="M216" s="182">
        <v>5.6452510258571431</v>
      </c>
      <c r="N216" s="143">
        <v>59.640239999999999</v>
      </c>
      <c r="O216" s="183">
        <v>12225.285674858365</v>
      </c>
      <c r="P216" s="183">
        <v>14058.202169659391</v>
      </c>
      <c r="Q216" s="169">
        <v>5887.3894791295515</v>
      </c>
      <c r="R216" s="312">
        <v>18112.675153987919</v>
      </c>
      <c r="S216" s="313">
        <v>19945.591648788941</v>
      </c>
      <c r="U216" s="7" t="s">
        <v>814</v>
      </c>
    </row>
    <row r="217" spans="1:21" s="74" customFormat="1" ht="16.5" thickBot="1">
      <c r="A217" s="50" t="s">
        <v>35</v>
      </c>
      <c r="B217" s="51">
        <f t="shared" ref="B217:B264" si="12">J217</f>
        <v>55</v>
      </c>
      <c r="C217" s="51" t="s">
        <v>3</v>
      </c>
      <c r="D217" s="51">
        <f t="shared" ref="D217:D264" si="13">K217</f>
        <v>300</v>
      </c>
      <c r="E217" s="51" t="s">
        <v>3</v>
      </c>
      <c r="F217" s="110">
        <f t="shared" ref="F217:F264" si="14">L217</f>
        <v>650</v>
      </c>
      <c r="G217" s="51" t="s">
        <v>3</v>
      </c>
      <c r="H217" s="48">
        <v>4</v>
      </c>
      <c r="I217" s="49" t="s">
        <v>45</v>
      </c>
      <c r="J217" s="184">
        <v>55</v>
      </c>
      <c r="K217" s="113">
        <v>300</v>
      </c>
      <c r="L217" s="113">
        <v>650</v>
      </c>
      <c r="M217" s="185">
        <v>6.0324004543428575</v>
      </c>
      <c r="N217" s="75">
        <v>71.568287999999995</v>
      </c>
      <c r="O217" s="121">
        <v>12839.699957456027</v>
      </c>
      <c r="P217" s="121">
        <v>14783.234348077878</v>
      </c>
      <c r="Q217" s="120">
        <v>6371.6793313339131</v>
      </c>
      <c r="R217" s="314">
        <v>19211.37928878994</v>
      </c>
      <c r="S217" s="315">
        <v>21154.913679411791</v>
      </c>
      <c r="U217" s="7" t="s">
        <v>815</v>
      </c>
    </row>
    <row r="218" spans="1:21" s="74" customFormat="1" ht="16.5" thickBot="1">
      <c r="A218" s="50" t="s">
        <v>35</v>
      </c>
      <c r="B218" s="51">
        <f t="shared" si="12"/>
        <v>55</v>
      </c>
      <c r="C218" s="51" t="s">
        <v>3</v>
      </c>
      <c r="D218" s="51">
        <f t="shared" si="13"/>
        <v>300</v>
      </c>
      <c r="E218" s="51" t="s">
        <v>3</v>
      </c>
      <c r="F218" s="110">
        <f t="shared" si="14"/>
        <v>700</v>
      </c>
      <c r="G218" s="51" t="s">
        <v>3</v>
      </c>
      <c r="H218" s="48">
        <v>4</v>
      </c>
      <c r="I218" s="49" t="s">
        <v>45</v>
      </c>
      <c r="J218" s="184">
        <v>55</v>
      </c>
      <c r="K218" s="113">
        <v>300</v>
      </c>
      <c r="L218" s="113">
        <v>700</v>
      </c>
      <c r="M218" s="185">
        <v>6.419549882828572</v>
      </c>
      <c r="N218" s="75">
        <v>83.496335999999999</v>
      </c>
      <c r="O218" s="121">
        <v>13454.114240053692</v>
      </c>
      <c r="P218" s="121">
        <v>15508.266386103003</v>
      </c>
      <c r="Q218" s="120">
        <v>6855.9690431449135</v>
      </c>
      <c r="R218" s="314">
        <v>20310.083283198604</v>
      </c>
      <c r="S218" s="315">
        <v>22364.235429247918</v>
      </c>
      <c r="U218" s="7" t="s">
        <v>816</v>
      </c>
    </row>
    <row r="219" spans="1:21" s="74" customFormat="1" ht="16.5" thickBot="1">
      <c r="A219" s="50" t="s">
        <v>35</v>
      </c>
      <c r="B219" s="51">
        <f t="shared" si="12"/>
        <v>55</v>
      </c>
      <c r="C219" s="51" t="s">
        <v>3</v>
      </c>
      <c r="D219" s="51">
        <f t="shared" si="13"/>
        <v>300</v>
      </c>
      <c r="E219" s="51" t="s">
        <v>3</v>
      </c>
      <c r="F219" s="110">
        <f t="shared" si="14"/>
        <v>750</v>
      </c>
      <c r="G219" s="51" t="s">
        <v>3</v>
      </c>
      <c r="H219" s="48">
        <v>4</v>
      </c>
      <c r="I219" s="49" t="s">
        <v>45</v>
      </c>
      <c r="J219" s="184">
        <v>55</v>
      </c>
      <c r="K219" s="113">
        <v>300</v>
      </c>
      <c r="L219" s="113">
        <v>750</v>
      </c>
      <c r="M219" s="185">
        <v>6.8066993113142855</v>
      </c>
      <c r="N219" s="75">
        <v>95.424384000000003</v>
      </c>
      <c r="O219" s="121">
        <v>14068.528522651353</v>
      </c>
      <c r="P219" s="121">
        <v>16233.298424128128</v>
      </c>
      <c r="Q219" s="120">
        <v>7340.2588953492768</v>
      </c>
      <c r="R219" s="314">
        <v>21408.787418000629</v>
      </c>
      <c r="S219" s="315">
        <v>23573.557319477404</v>
      </c>
      <c r="U219" s="7" t="s">
        <v>817</v>
      </c>
    </row>
    <row r="220" spans="1:21" s="74" customFormat="1" ht="16.5" thickBot="1">
      <c r="A220" s="50" t="s">
        <v>35</v>
      </c>
      <c r="B220" s="51">
        <f t="shared" si="12"/>
        <v>55</v>
      </c>
      <c r="C220" s="51" t="s">
        <v>3</v>
      </c>
      <c r="D220" s="51">
        <f t="shared" si="13"/>
        <v>300</v>
      </c>
      <c r="E220" s="51" t="s">
        <v>3</v>
      </c>
      <c r="F220" s="110">
        <f t="shared" si="14"/>
        <v>800</v>
      </c>
      <c r="G220" s="51" t="s">
        <v>3</v>
      </c>
      <c r="H220" s="48">
        <v>4</v>
      </c>
      <c r="I220" s="49" t="s">
        <v>45</v>
      </c>
      <c r="J220" s="184">
        <v>55</v>
      </c>
      <c r="K220" s="113">
        <v>300</v>
      </c>
      <c r="L220" s="113">
        <v>800</v>
      </c>
      <c r="M220" s="185">
        <v>7.1938625372100002</v>
      </c>
      <c r="N220" s="75">
        <v>107.35243199999999</v>
      </c>
      <c r="O220" s="121">
        <v>14682.942945642379</v>
      </c>
      <c r="P220" s="121">
        <v>16958.330462153255</v>
      </c>
      <c r="Q220" s="120">
        <v>7824.5486071602763</v>
      </c>
      <c r="R220" s="314">
        <v>22507.491552802654</v>
      </c>
      <c r="S220" s="315">
        <v>24782.879069313531</v>
      </c>
      <c r="U220" s="7" t="s">
        <v>818</v>
      </c>
    </row>
    <row r="221" spans="1:21" s="74" customFormat="1" ht="16.5" thickBot="1">
      <c r="A221" s="50" t="s">
        <v>35</v>
      </c>
      <c r="B221" s="51">
        <f t="shared" si="12"/>
        <v>55</v>
      </c>
      <c r="C221" s="51" t="s">
        <v>3</v>
      </c>
      <c r="D221" s="51">
        <f t="shared" si="13"/>
        <v>300</v>
      </c>
      <c r="E221" s="51" t="s">
        <v>3</v>
      </c>
      <c r="F221" s="110">
        <f t="shared" si="14"/>
        <v>850</v>
      </c>
      <c r="G221" s="51" t="s">
        <v>3</v>
      </c>
      <c r="H221" s="48">
        <v>4</v>
      </c>
      <c r="I221" s="49" t="s">
        <v>45</v>
      </c>
      <c r="J221" s="184">
        <v>55</v>
      </c>
      <c r="K221" s="113">
        <v>300</v>
      </c>
      <c r="L221" s="113">
        <v>850</v>
      </c>
      <c r="M221" s="185">
        <v>7.5810119656957138</v>
      </c>
      <c r="N221" s="75">
        <v>119.28048</v>
      </c>
      <c r="O221" s="121">
        <v>15297.35722824004</v>
      </c>
      <c r="P221" s="121">
        <v>17683.36250017838</v>
      </c>
      <c r="Q221" s="120">
        <v>8308.8384593646388</v>
      </c>
      <c r="R221" s="314">
        <v>23606.195687604679</v>
      </c>
      <c r="S221" s="315">
        <v>25992.200959543021</v>
      </c>
      <c r="U221" s="7" t="s">
        <v>819</v>
      </c>
    </row>
    <row r="222" spans="1:21" s="74" customFormat="1" ht="16.5" thickBot="1">
      <c r="A222" s="50" t="s">
        <v>35</v>
      </c>
      <c r="B222" s="51">
        <f t="shared" si="12"/>
        <v>55</v>
      </c>
      <c r="C222" s="51" t="s">
        <v>3</v>
      </c>
      <c r="D222" s="51">
        <f t="shared" si="13"/>
        <v>300</v>
      </c>
      <c r="E222" s="51" t="s">
        <v>3</v>
      </c>
      <c r="F222" s="110">
        <f t="shared" si="14"/>
        <v>900</v>
      </c>
      <c r="G222" s="51" t="s">
        <v>3</v>
      </c>
      <c r="H222" s="48">
        <v>4</v>
      </c>
      <c r="I222" s="49" t="s">
        <v>45</v>
      </c>
      <c r="J222" s="184">
        <v>55</v>
      </c>
      <c r="K222" s="113">
        <v>300</v>
      </c>
      <c r="L222" s="113">
        <v>900</v>
      </c>
      <c r="M222" s="185">
        <v>7.9681613941814282</v>
      </c>
      <c r="N222" s="75">
        <v>131.208528</v>
      </c>
      <c r="O222" s="121">
        <v>15911.771510837701</v>
      </c>
      <c r="P222" s="121">
        <v>18408.394538203505</v>
      </c>
      <c r="Q222" s="120">
        <v>8793.1281711756401</v>
      </c>
      <c r="R222" s="314">
        <v>24704.89968201334</v>
      </c>
      <c r="S222" s="315">
        <v>27201.522709379147</v>
      </c>
      <c r="U222" s="7" t="s">
        <v>820</v>
      </c>
    </row>
    <row r="223" spans="1:21" s="74" customFormat="1" ht="16.5" thickBot="1">
      <c r="A223" s="50" t="s">
        <v>35</v>
      </c>
      <c r="B223" s="51">
        <f t="shared" si="12"/>
        <v>55</v>
      </c>
      <c r="C223" s="51" t="s">
        <v>3</v>
      </c>
      <c r="D223" s="51">
        <f t="shared" si="13"/>
        <v>300</v>
      </c>
      <c r="E223" s="51" t="s">
        <v>3</v>
      </c>
      <c r="F223" s="110">
        <f t="shared" si="14"/>
        <v>950</v>
      </c>
      <c r="G223" s="51" t="s">
        <v>3</v>
      </c>
      <c r="H223" s="48">
        <v>4</v>
      </c>
      <c r="I223" s="49" t="s">
        <v>45</v>
      </c>
      <c r="J223" s="184">
        <v>55</v>
      </c>
      <c r="K223" s="113">
        <v>300</v>
      </c>
      <c r="L223" s="113">
        <v>950</v>
      </c>
      <c r="M223" s="185">
        <v>8.3553108226671426</v>
      </c>
      <c r="N223" s="75">
        <v>143.13657599999999</v>
      </c>
      <c r="O223" s="121">
        <v>16526.185793435365</v>
      </c>
      <c r="P223" s="121">
        <v>19133.42657622863</v>
      </c>
      <c r="Q223" s="120">
        <v>9277.4180233800016</v>
      </c>
      <c r="R223" s="314">
        <v>25803.603816815368</v>
      </c>
      <c r="S223" s="315">
        <v>28410.84459960863</v>
      </c>
      <c r="U223" s="7" t="s">
        <v>821</v>
      </c>
    </row>
    <row r="224" spans="1:21" s="74" customFormat="1" ht="16.5" thickBot="1">
      <c r="A224" s="50" t="s">
        <v>35</v>
      </c>
      <c r="B224" s="51">
        <f t="shared" si="12"/>
        <v>55</v>
      </c>
      <c r="C224" s="51" t="s">
        <v>3</v>
      </c>
      <c r="D224" s="51">
        <f t="shared" si="13"/>
        <v>300</v>
      </c>
      <c r="E224" s="51" t="s">
        <v>3</v>
      </c>
      <c r="F224" s="110">
        <f t="shared" si="14"/>
        <v>1000</v>
      </c>
      <c r="G224" s="51" t="s">
        <v>3</v>
      </c>
      <c r="H224" s="48">
        <v>4</v>
      </c>
      <c r="I224" s="49" t="s">
        <v>45</v>
      </c>
      <c r="J224" s="184">
        <v>55</v>
      </c>
      <c r="K224" s="113">
        <v>300</v>
      </c>
      <c r="L224" s="113">
        <v>1000</v>
      </c>
      <c r="M224" s="185">
        <v>8.7424602511528562</v>
      </c>
      <c r="N224" s="75">
        <v>155.06462400000001</v>
      </c>
      <c r="O224" s="121">
        <v>17140.600076033028</v>
      </c>
      <c r="P224" s="121">
        <v>19858.458614253756</v>
      </c>
      <c r="Q224" s="120">
        <v>9761.7077351910029</v>
      </c>
      <c r="R224" s="314">
        <v>26902.307811224033</v>
      </c>
      <c r="S224" s="315">
        <v>29620.166349444757</v>
      </c>
      <c r="U224" s="7" t="s">
        <v>822</v>
      </c>
    </row>
    <row r="225" spans="1:21" s="74" customFormat="1" ht="16.5" thickBot="1">
      <c r="A225" s="50" t="s">
        <v>35</v>
      </c>
      <c r="B225" s="51">
        <f t="shared" si="12"/>
        <v>55</v>
      </c>
      <c r="C225" s="51" t="s">
        <v>3</v>
      </c>
      <c r="D225" s="51">
        <f t="shared" si="13"/>
        <v>300</v>
      </c>
      <c r="E225" s="51" t="s">
        <v>3</v>
      </c>
      <c r="F225" s="110">
        <f t="shared" si="14"/>
        <v>1050</v>
      </c>
      <c r="G225" s="51" t="s">
        <v>3</v>
      </c>
      <c r="H225" s="48">
        <v>4</v>
      </c>
      <c r="I225" s="49" t="s">
        <v>45</v>
      </c>
      <c r="J225" s="184">
        <v>55</v>
      </c>
      <c r="K225" s="113">
        <v>300</v>
      </c>
      <c r="L225" s="113">
        <v>1050</v>
      </c>
      <c r="M225" s="185">
        <v>9.1296096796385715</v>
      </c>
      <c r="N225" s="75">
        <v>166.992672</v>
      </c>
      <c r="O225" s="121">
        <v>17755.014358630691</v>
      </c>
      <c r="P225" s="121">
        <v>20583.490652278881</v>
      </c>
      <c r="Q225" s="120">
        <v>10245.997587395364</v>
      </c>
      <c r="R225" s="314">
        <v>28001.011946026054</v>
      </c>
      <c r="S225" s="315">
        <v>30829.488239674247</v>
      </c>
      <c r="U225" s="7" t="s">
        <v>823</v>
      </c>
    </row>
    <row r="226" spans="1:21" s="74" customFormat="1" ht="16.5" thickBot="1">
      <c r="A226" s="47" t="s">
        <v>35</v>
      </c>
      <c r="B226" s="48">
        <f t="shared" si="12"/>
        <v>55</v>
      </c>
      <c r="C226" s="48" t="s">
        <v>3</v>
      </c>
      <c r="D226" s="48">
        <f t="shared" si="13"/>
        <v>300</v>
      </c>
      <c r="E226" s="48" t="s">
        <v>3</v>
      </c>
      <c r="F226" s="110">
        <f t="shared" si="14"/>
        <v>1100</v>
      </c>
      <c r="G226" s="48" t="s">
        <v>3</v>
      </c>
      <c r="H226" s="48">
        <v>4</v>
      </c>
      <c r="I226" s="49" t="s">
        <v>45</v>
      </c>
      <c r="J226" s="184">
        <v>55</v>
      </c>
      <c r="K226" s="113">
        <v>300</v>
      </c>
      <c r="L226" s="113">
        <v>1100</v>
      </c>
      <c r="M226" s="185">
        <v>9.5167591081242868</v>
      </c>
      <c r="N226" s="75">
        <v>178.92071999999999</v>
      </c>
      <c r="O226" s="121">
        <v>18369.428641228355</v>
      </c>
      <c r="P226" s="121">
        <v>21308.522690304002</v>
      </c>
      <c r="Q226" s="120">
        <v>10730.287299206364</v>
      </c>
      <c r="R226" s="314">
        <v>29099.715940434719</v>
      </c>
      <c r="S226" s="315">
        <v>32038.809989510366</v>
      </c>
      <c r="U226" s="7" t="s">
        <v>824</v>
      </c>
    </row>
    <row r="227" spans="1:21" s="74" customFormat="1" ht="16.5" thickBot="1">
      <c r="A227" s="50" t="s">
        <v>35</v>
      </c>
      <c r="B227" s="51">
        <f t="shared" si="12"/>
        <v>55</v>
      </c>
      <c r="C227" s="51" t="s">
        <v>3</v>
      </c>
      <c r="D227" s="51">
        <f t="shared" si="13"/>
        <v>300</v>
      </c>
      <c r="E227" s="51" t="s">
        <v>3</v>
      </c>
      <c r="F227" s="110">
        <f t="shared" si="14"/>
        <v>1150</v>
      </c>
      <c r="G227" s="51" t="s">
        <v>3</v>
      </c>
      <c r="H227" s="48">
        <v>4</v>
      </c>
      <c r="I227" s="49" t="s">
        <v>45</v>
      </c>
      <c r="J227" s="184">
        <v>55</v>
      </c>
      <c r="K227" s="113">
        <v>300</v>
      </c>
      <c r="L227" s="113">
        <v>1150</v>
      </c>
      <c r="M227" s="185">
        <v>9.9039085366100004</v>
      </c>
      <c r="N227" s="75">
        <v>190.84876800000001</v>
      </c>
      <c r="O227" s="121">
        <v>18983.843064219378</v>
      </c>
      <c r="P227" s="121">
        <v>22033.554868722491</v>
      </c>
      <c r="Q227" s="120">
        <v>11214.577151410727</v>
      </c>
      <c r="R227" s="314">
        <v>30198.420215630103</v>
      </c>
      <c r="S227" s="315">
        <v>33248.13202013322</v>
      </c>
      <c r="U227" s="7" t="s">
        <v>825</v>
      </c>
    </row>
    <row r="228" spans="1:21" s="74" customFormat="1" ht="16.5" thickBot="1">
      <c r="A228" s="50" t="s">
        <v>35</v>
      </c>
      <c r="B228" s="51">
        <f t="shared" si="12"/>
        <v>55</v>
      </c>
      <c r="C228" s="51" t="s">
        <v>3</v>
      </c>
      <c r="D228" s="51">
        <f t="shared" si="13"/>
        <v>300</v>
      </c>
      <c r="E228" s="51" t="s">
        <v>3</v>
      </c>
      <c r="F228" s="110">
        <f t="shared" si="14"/>
        <v>1200</v>
      </c>
      <c r="G228" s="51" t="s">
        <v>3</v>
      </c>
      <c r="H228" s="48">
        <v>4</v>
      </c>
      <c r="I228" s="49" t="s">
        <v>45</v>
      </c>
      <c r="J228" s="184">
        <v>55</v>
      </c>
      <c r="K228" s="113">
        <v>300</v>
      </c>
      <c r="L228" s="113">
        <v>1200</v>
      </c>
      <c r="M228" s="185">
        <v>10.426657965095714</v>
      </c>
      <c r="N228" s="75">
        <v>202.776816</v>
      </c>
      <c r="O228" s="121">
        <v>19671.553913511041</v>
      </c>
      <c r="P228" s="121">
        <v>22829.649393864154</v>
      </c>
      <c r="Q228" s="120">
        <v>11698.866863221729</v>
      </c>
      <c r="R228" s="314">
        <v>31370.420776732768</v>
      </c>
      <c r="S228" s="315">
        <v>34528.516257085881</v>
      </c>
      <c r="U228" s="7" t="s">
        <v>826</v>
      </c>
    </row>
    <row r="229" spans="1:21" s="74" customFormat="1" ht="16.5" thickBot="1">
      <c r="A229" s="50" t="s">
        <v>35</v>
      </c>
      <c r="B229" s="51">
        <f t="shared" si="12"/>
        <v>55</v>
      </c>
      <c r="C229" s="51" t="s">
        <v>3</v>
      </c>
      <c r="D229" s="51">
        <f t="shared" si="13"/>
        <v>300</v>
      </c>
      <c r="E229" s="51" t="s">
        <v>3</v>
      </c>
      <c r="F229" s="110">
        <f t="shared" si="14"/>
        <v>1250</v>
      </c>
      <c r="G229" s="51" t="s">
        <v>3</v>
      </c>
      <c r="H229" s="48">
        <v>4</v>
      </c>
      <c r="I229" s="49" t="s">
        <v>45</v>
      </c>
      <c r="J229" s="184">
        <v>55</v>
      </c>
      <c r="K229" s="113">
        <v>300</v>
      </c>
      <c r="L229" s="113">
        <v>1250</v>
      </c>
      <c r="M229" s="185">
        <v>10.813807393581428</v>
      </c>
      <c r="N229" s="75">
        <v>214.70486399999999</v>
      </c>
      <c r="O229" s="121">
        <v>20285.968336502068</v>
      </c>
      <c r="P229" s="121">
        <v>23554.681431889279</v>
      </c>
      <c r="Q229" s="120">
        <v>12183.156715426092</v>
      </c>
      <c r="R229" s="314">
        <v>32469.12505192816</v>
      </c>
      <c r="S229" s="315">
        <v>35737.838147315371</v>
      </c>
      <c r="U229" s="7" t="s">
        <v>827</v>
      </c>
    </row>
    <row r="230" spans="1:21" s="74" customFormat="1" ht="16.5" thickBot="1">
      <c r="A230" s="50" t="s">
        <v>35</v>
      </c>
      <c r="B230" s="51">
        <f t="shared" si="12"/>
        <v>55</v>
      </c>
      <c r="C230" s="51" t="s">
        <v>3</v>
      </c>
      <c r="D230" s="51">
        <f t="shared" si="13"/>
        <v>300</v>
      </c>
      <c r="E230" s="51" t="s">
        <v>3</v>
      </c>
      <c r="F230" s="110">
        <f t="shared" si="14"/>
        <v>1300</v>
      </c>
      <c r="G230" s="51" t="s">
        <v>3</v>
      </c>
      <c r="H230" s="48">
        <v>4</v>
      </c>
      <c r="I230" s="49" t="s">
        <v>45</v>
      </c>
      <c r="J230" s="184">
        <v>55</v>
      </c>
      <c r="K230" s="113">
        <v>300</v>
      </c>
      <c r="L230" s="113">
        <v>1300</v>
      </c>
      <c r="M230" s="185">
        <v>11.200956822067141</v>
      </c>
      <c r="N230" s="75">
        <v>226.63291199999998</v>
      </c>
      <c r="O230" s="121">
        <v>20900.382619099728</v>
      </c>
      <c r="P230" s="121">
        <v>24279.713469914404</v>
      </c>
      <c r="Q230" s="120">
        <v>12667.44642723709</v>
      </c>
      <c r="R230" s="314">
        <v>33567.829046336818</v>
      </c>
      <c r="S230" s="315">
        <v>36947.15989715149</v>
      </c>
      <c r="U230" s="7" t="s">
        <v>828</v>
      </c>
    </row>
    <row r="231" spans="1:21" s="74" customFormat="1" ht="16.5" thickBot="1">
      <c r="A231" s="50" t="s">
        <v>35</v>
      </c>
      <c r="B231" s="51">
        <f t="shared" si="12"/>
        <v>55</v>
      </c>
      <c r="C231" s="51" t="s">
        <v>3</v>
      </c>
      <c r="D231" s="51">
        <f t="shared" si="13"/>
        <v>300</v>
      </c>
      <c r="E231" s="51" t="s">
        <v>3</v>
      </c>
      <c r="F231" s="110">
        <f t="shared" si="14"/>
        <v>1350</v>
      </c>
      <c r="G231" s="51" t="s">
        <v>3</v>
      </c>
      <c r="H231" s="48">
        <v>4</v>
      </c>
      <c r="I231" s="49" t="s">
        <v>45</v>
      </c>
      <c r="J231" s="184">
        <v>55</v>
      </c>
      <c r="K231" s="113">
        <v>300</v>
      </c>
      <c r="L231" s="113">
        <v>1350</v>
      </c>
      <c r="M231" s="185">
        <v>11.588106250552858</v>
      </c>
      <c r="N231" s="75">
        <v>238.56095999999999</v>
      </c>
      <c r="O231" s="121">
        <v>21514.796901697391</v>
      </c>
      <c r="P231" s="121">
        <v>25004.745507939529</v>
      </c>
      <c r="Q231" s="120">
        <v>13151.736279441453</v>
      </c>
      <c r="R231" s="314">
        <v>34666.533181138846</v>
      </c>
      <c r="S231" s="315">
        <v>38156.481787380981</v>
      </c>
      <c r="U231" s="7" t="s">
        <v>829</v>
      </c>
    </row>
    <row r="232" spans="1:21" s="74" customFormat="1" ht="16.5" thickBot="1">
      <c r="A232" s="50" t="s">
        <v>35</v>
      </c>
      <c r="B232" s="51">
        <f t="shared" si="12"/>
        <v>55</v>
      </c>
      <c r="C232" s="51" t="s">
        <v>3</v>
      </c>
      <c r="D232" s="51">
        <f t="shared" si="13"/>
        <v>300</v>
      </c>
      <c r="E232" s="51" t="s">
        <v>3</v>
      </c>
      <c r="F232" s="110">
        <f t="shared" si="14"/>
        <v>1400</v>
      </c>
      <c r="G232" s="51" t="s">
        <v>3</v>
      </c>
      <c r="H232" s="48">
        <v>4</v>
      </c>
      <c r="I232" s="49" t="s">
        <v>45</v>
      </c>
      <c r="J232" s="184">
        <v>55</v>
      </c>
      <c r="K232" s="113">
        <v>300</v>
      </c>
      <c r="L232" s="113">
        <v>1400</v>
      </c>
      <c r="M232" s="185">
        <v>11.975255679038572</v>
      </c>
      <c r="N232" s="75">
        <v>250.48900800000001</v>
      </c>
      <c r="O232" s="121">
        <v>22129.211184295054</v>
      </c>
      <c r="P232" s="121">
        <v>25729.777545964655</v>
      </c>
      <c r="Q232" s="120">
        <v>13636.025991252453</v>
      </c>
      <c r="R232" s="314">
        <v>35765.237175547503</v>
      </c>
      <c r="S232" s="315">
        <v>39365.803537217107</v>
      </c>
      <c r="U232" s="7" t="s">
        <v>830</v>
      </c>
    </row>
    <row r="233" spans="1:21" s="74" customFormat="1" ht="16.5" thickBot="1">
      <c r="A233" s="50" t="s">
        <v>35</v>
      </c>
      <c r="B233" s="51">
        <f t="shared" si="12"/>
        <v>55</v>
      </c>
      <c r="C233" s="51" t="s">
        <v>3</v>
      </c>
      <c r="D233" s="51">
        <f t="shared" si="13"/>
        <v>300</v>
      </c>
      <c r="E233" s="51" t="s">
        <v>3</v>
      </c>
      <c r="F233" s="110">
        <f t="shared" si="14"/>
        <v>1450</v>
      </c>
      <c r="G233" s="51" t="s">
        <v>3</v>
      </c>
      <c r="H233" s="48">
        <v>4</v>
      </c>
      <c r="I233" s="49" t="s">
        <v>45</v>
      </c>
      <c r="J233" s="184">
        <v>55</v>
      </c>
      <c r="K233" s="113">
        <v>300</v>
      </c>
      <c r="L233" s="113">
        <v>1450</v>
      </c>
      <c r="M233" s="185">
        <v>12.362405107524285</v>
      </c>
      <c r="N233" s="75">
        <v>262.417056</v>
      </c>
      <c r="O233" s="121">
        <v>22743.625466892718</v>
      </c>
      <c r="P233" s="121">
        <v>26454.809724383143</v>
      </c>
      <c r="Q233" s="120">
        <v>14120.315843456816</v>
      </c>
      <c r="R233" s="314">
        <v>36863.941310349532</v>
      </c>
      <c r="S233" s="315">
        <v>40575.125567839961</v>
      </c>
      <c r="U233" s="7" t="s">
        <v>831</v>
      </c>
    </row>
    <row r="234" spans="1:21" s="74" customFormat="1" ht="16.5" thickBot="1">
      <c r="A234" s="50" t="s">
        <v>35</v>
      </c>
      <c r="B234" s="51">
        <f t="shared" si="12"/>
        <v>55</v>
      </c>
      <c r="C234" s="51" t="s">
        <v>3</v>
      </c>
      <c r="D234" s="51">
        <f t="shared" si="13"/>
        <v>300</v>
      </c>
      <c r="E234" s="51" t="s">
        <v>3</v>
      </c>
      <c r="F234" s="110">
        <f t="shared" si="14"/>
        <v>1500</v>
      </c>
      <c r="G234" s="51" t="s">
        <v>3</v>
      </c>
      <c r="H234" s="48">
        <v>4</v>
      </c>
      <c r="I234" s="49" t="s">
        <v>45</v>
      </c>
      <c r="J234" s="184">
        <v>55</v>
      </c>
      <c r="K234" s="113">
        <v>300</v>
      </c>
      <c r="L234" s="113">
        <v>1500</v>
      </c>
      <c r="M234" s="185">
        <v>12.88852784801</v>
      </c>
      <c r="N234" s="75">
        <v>274.34510399999999</v>
      </c>
      <c r="O234" s="121">
        <v>24002.754710336332</v>
      </c>
      <c r="P234" s="121">
        <v>27744.546124785382</v>
      </c>
      <c r="Q234" s="120">
        <v>14604.605555267815</v>
      </c>
      <c r="R234" s="314">
        <v>38607.360265604148</v>
      </c>
      <c r="S234" s="315">
        <v>42349.151680053197</v>
      </c>
      <c r="U234" s="7" t="s">
        <v>832</v>
      </c>
    </row>
    <row r="235" spans="1:21" s="74" customFormat="1" ht="16.5" thickBot="1">
      <c r="A235" s="50" t="s">
        <v>35</v>
      </c>
      <c r="B235" s="51">
        <f t="shared" si="12"/>
        <v>55</v>
      </c>
      <c r="C235" s="51" t="s">
        <v>3</v>
      </c>
      <c r="D235" s="51">
        <f t="shared" si="13"/>
        <v>300</v>
      </c>
      <c r="E235" s="51" t="s">
        <v>3</v>
      </c>
      <c r="F235" s="110">
        <f t="shared" si="14"/>
        <v>1550</v>
      </c>
      <c r="G235" s="51" t="s">
        <v>3</v>
      </c>
      <c r="H235" s="48">
        <v>4</v>
      </c>
      <c r="I235" s="49" t="s">
        <v>45</v>
      </c>
      <c r="J235" s="184">
        <v>55</v>
      </c>
      <c r="K235" s="113">
        <v>300</v>
      </c>
      <c r="L235" s="113">
        <v>1550</v>
      </c>
      <c r="M235" s="185">
        <v>13.275677276495717</v>
      </c>
      <c r="N235" s="75">
        <v>286.27315199999998</v>
      </c>
      <c r="O235" s="121">
        <v>24617.168992933992</v>
      </c>
      <c r="P235" s="121">
        <v>28469.578162810507</v>
      </c>
      <c r="Q235" s="120">
        <v>15088.895407472179</v>
      </c>
      <c r="R235" s="314">
        <v>39706.064400406169</v>
      </c>
      <c r="S235" s="315">
        <v>43558.473570282687</v>
      </c>
      <c r="U235" s="7" t="s">
        <v>833</v>
      </c>
    </row>
    <row r="236" spans="1:21" s="74" customFormat="1" ht="16.5" thickBot="1">
      <c r="A236" s="47" t="s">
        <v>35</v>
      </c>
      <c r="B236" s="48">
        <f t="shared" si="12"/>
        <v>55</v>
      </c>
      <c r="C236" s="48" t="s">
        <v>3</v>
      </c>
      <c r="D236" s="48">
        <f t="shared" si="13"/>
        <v>300</v>
      </c>
      <c r="E236" s="48" t="s">
        <v>3</v>
      </c>
      <c r="F236" s="110">
        <f t="shared" si="14"/>
        <v>1600</v>
      </c>
      <c r="G236" s="48" t="s">
        <v>3</v>
      </c>
      <c r="H236" s="48">
        <v>4</v>
      </c>
      <c r="I236" s="49" t="s">
        <v>45</v>
      </c>
      <c r="J236" s="184">
        <v>55</v>
      </c>
      <c r="K236" s="113">
        <v>300</v>
      </c>
      <c r="L236" s="113">
        <v>1600</v>
      </c>
      <c r="M236" s="185">
        <v>13.66282670498143</v>
      </c>
      <c r="N236" s="75">
        <v>298.20119999999997</v>
      </c>
      <c r="O236" s="121">
        <v>25231.583275531655</v>
      </c>
      <c r="P236" s="121">
        <v>29194.610200835632</v>
      </c>
      <c r="Q236" s="120">
        <v>15573.185119283178</v>
      </c>
      <c r="R236" s="314">
        <v>40804.768394814833</v>
      </c>
      <c r="S236" s="315">
        <v>44767.795320118807</v>
      </c>
      <c r="U236" s="7" t="s">
        <v>834</v>
      </c>
    </row>
    <row r="237" spans="1:21" s="74" customFormat="1" ht="16.5" thickBot="1">
      <c r="A237" s="50" t="s">
        <v>35</v>
      </c>
      <c r="B237" s="51">
        <f t="shared" si="12"/>
        <v>55</v>
      </c>
      <c r="C237" s="51" t="s">
        <v>3</v>
      </c>
      <c r="D237" s="51">
        <f t="shared" si="13"/>
        <v>300</v>
      </c>
      <c r="E237" s="51" t="s">
        <v>3</v>
      </c>
      <c r="F237" s="110">
        <f t="shared" si="14"/>
        <v>1650</v>
      </c>
      <c r="G237" s="51" t="s">
        <v>3</v>
      </c>
      <c r="H237" s="48">
        <v>4</v>
      </c>
      <c r="I237" s="49" t="s">
        <v>45</v>
      </c>
      <c r="J237" s="184">
        <v>55</v>
      </c>
      <c r="K237" s="113">
        <v>300</v>
      </c>
      <c r="L237" s="113">
        <v>1650</v>
      </c>
      <c r="M237" s="185">
        <v>14.049976133467144</v>
      </c>
      <c r="N237" s="75">
        <v>310.12924800000002</v>
      </c>
      <c r="O237" s="121">
        <v>25845.997558129318</v>
      </c>
      <c r="P237" s="121">
        <v>29919.642379254117</v>
      </c>
      <c r="Q237" s="120">
        <v>16057.474971487542</v>
      </c>
      <c r="R237" s="314">
        <v>41903.472529616862</v>
      </c>
      <c r="S237" s="315">
        <v>45977.117350741661</v>
      </c>
      <c r="U237" s="7" t="s">
        <v>835</v>
      </c>
    </row>
    <row r="238" spans="1:21" s="74" customFormat="1" ht="16.5" thickBot="1">
      <c r="A238" s="50" t="s">
        <v>35</v>
      </c>
      <c r="B238" s="51">
        <f t="shared" si="12"/>
        <v>55</v>
      </c>
      <c r="C238" s="51" t="s">
        <v>3</v>
      </c>
      <c r="D238" s="51">
        <f t="shared" si="13"/>
        <v>300</v>
      </c>
      <c r="E238" s="51" t="s">
        <v>3</v>
      </c>
      <c r="F238" s="110">
        <f t="shared" si="14"/>
        <v>1700</v>
      </c>
      <c r="G238" s="51" t="s">
        <v>3</v>
      </c>
      <c r="H238" s="48">
        <v>4</v>
      </c>
      <c r="I238" s="49" t="s">
        <v>45</v>
      </c>
      <c r="J238" s="184">
        <v>55</v>
      </c>
      <c r="K238" s="113">
        <v>300</v>
      </c>
      <c r="L238" s="113">
        <v>1700</v>
      </c>
      <c r="M238" s="185">
        <v>14.437125561952858</v>
      </c>
      <c r="N238" s="75">
        <v>322.05729600000001</v>
      </c>
      <c r="O238" s="121">
        <v>26460.411981120342</v>
      </c>
      <c r="P238" s="121">
        <v>30644.674417279242</v>
      </c>
      <c r="Q238" s="120">
        <v>16541.764683298541</v>
      </c>
      <c r="R238" s="314">
        <v>43002.176664418883</v>
      </c>
      <c r="S238" s="315">
        <v>47186.439100577787</v>
      </c>
      <c r="U238" s="7" t="s">
        <v>836</v>
      </c>
    </row>
    <row r="239" spans="1:21" s="74" customFormat="1" ht="16.5" thickBot="1">
      <c r="A239" s="50" t="s">
        <v>35</v>
      </c>
      <c r="B239" s="51">
        <f t="shared" si="12"/>
        <v>55</v>
      </c>
      <c r="C239" s="51" t="s">
        <v>3</v>
      </c>
      <c r="D239" s="51">
        <f t="shared" si="13"/>
        <v>300</v>
      </c>
      <c r="E239" s="51" t="s">
        <v>3</v>
      </c>
      <c r="F239" s="110">
        <f t="shared" si="14"/>
        <v>1750</v>
      </c>
      <c r="G239" s="51" t="s">
        <v>3</v>
      </c>
      <c r="H239" s="48">
        <v>4</v>
      </c>
      <c r="I239" s="49" t="s">
        <v>45</v>
      </c>
      <c r="J239" s="184">
        <v>55</v>
      </c>
      <c r="K239" s="113">
        <v>300</v>
      </c>
      <c r="L239" s="113">
        <v>1750</v>
      </c>
      <c r="M239" s="185">
        <v>14.824274990438573</v>
      </c>
      <c r="N239" s="75">
        <v>333.985344</v>
      </c>
      <c r="O239" s="121">
        <v>27074.826263718005</v>
      </c>
      <c r="P239" s="121">
        <v>31369.706455304367</v>
      </c>
      <c r="Q239" s="120">
        <v>17026.054535502903</v>
      </c>
      <c r="R239" s="314">
        <v>44100.880799220904</v>
      </c>
      <c r="S239" s="315">
        <v>48395.76099080727</v>
      </c>
      <c r="U239" s="7" t="s">
        <v>837</v>
      </c>
    </row>
    <row r="240" spans="1:21" s="74" customFormat="1" ht="16.5" thickBot="1">
      <c r="A240" s="50" t="s">
        <v>35</v>
      </c>
      <c r="B240" s="51">
        <f t="shared" si="12"/>
        <v>55</v>
      </c>
      <c r="C240" s="51" t="s">
        <v>3</v>
      </c>
      <c r="D240" s="51">
        <f t="shared" si="13"/>
        <v>300</v>
      </c>
      <c r="E240" s="51" t="s">
        <v>3</v>
      </c>
      <c r="F240" s="110">
        <f t="shared" si="14"/>
        <v>1800</v>
      </c>
      <c r="G240" s="51" t="s">
        <v>3</v>
      </c>
      <c r="H240" s="48">
        <v>4</v>
      </c>
      <c r="I240" s="49" t="s">
        <v>45</v>
      </c>
      <c r="J240" s="184">
        <v>55</v>
      </c>
      <c r="K240" s="113">
        <v>300</v>
      </c>
      <c r="L240" s="113">
        <v>1800</v>
      </c>
      <c r="M240" s="185">
        <v>15.211424418924285</v>
      </c>
      <c r="N240" s="75">
        <v>345.91339199999999</v>
      </c>
      <c r="O240" s="121">
        <v>27689.240546315672</v>
      </c>
      <c r="P240" s="121">
        <v>32094.738493329492</v>
      </c>
      <c r="Q240" s="120">
        <v>17510.344247313904</v>
      </c>
      <c r="R240" s="314">
        <v>45199.584793629576</v>
      </c>
      <c r="S240" s="315">
        <v>49605.082740643396</v>
      </c>
      <c r="U240" s="7" t="s">
        <v>838</v>
      </c>
    </row>
    <row r="241" spans="1:21" s="74" customFormat="1" ht="16.5" thickBot="1">
      <c r="A241" s="50" t="s">
        <v>35</v>
      </c>
      <c r="B241" s="51">
        <f t="shared" si="12"/>
        <v>55</v>
      </c>
      <c r="C241" s="51" t="s">
        <v>3</v>
      </c>
      <c r="D241" s="51">
        <f t="shared" si="13"/>
        <v>300</v>
      </c>
      <c r="E241" s="51" t="s">
        <v>3</v>
      </c>
      <c r="F241" s="110">
        <f t="shared" si="14"/>
        <v>1850</v>
      </c>
      <c r="G241" s="51" t="s">
        <v>3</v>
      </c>
      <c r="H241" s="48">
        <v>4</v>
      </c>
      <c r="I241" s="49" t="s">
        <v>45</v>
      </c>
      <c r="J241" s="184">
        <v>55</v>
      </c>
      <c r="K241" s="113">
        <v>300</v>
      </c>
      <c r="L241" s="113">
        <v>1850</v>
      </c>
      <c r="M241" s="185">
        <v>15.598573847410002</v>
      </c>
      <c r="N241" s="75">
        <v>357.84143999999998</v>
      </c>
      <c r="O241" s="121">
        <v>28303.654828913332</v>
      </c>
      <c r="P241" s="121">
        <v>32819.770531354618</v>
      </c>
      <c r="Q241" s="120">
        <v>17994.634099518265</v>
      </c>
      <c r="R241" s="314">
        <v>46298.288928431597</v>
      </c>
      <c r="S241" s="315">
        <v>50814.404630872887</v>
      </c>
      <c r="U241" s="7" t="s">
        <v>839</v>
      </c>
    </row>
    <row r="242" spans="1:21" s="74" customFormat="1" ht="16.5" thickBot="1">
      <c r="A242" s="50" t="s">
        <v>35</v>
      </c>
      <c r="B242" s="51">
        <f t="shared" si="12"/>
        <v>55</v>
      </c>
      <c r="C242" s="51" t="s">
        <v>3</v>
      </c>
      <c r="D242" s="51">
        <f t="shared" si="13"/>
        <v>300</v>
      </c>
      <c r="E242" s="51" t="s">
        <v>3</v>
      </c>
      <c r="F242" s="110">
        <f t="shared" si="14"/>
        <v>1900</v>
      </c>
      <c r="G242" s="51" t="s">
        <v>3</v>
      </c>
      <c r="H242" s="48">
        <v>4</v>
      </c>
      <c r="I242" s="49" t="s">
        <v>45</v>
      </c>
      <c r="J242" s="184">
        <v>55</v>
      </c>
      <c r="K242" s="113">
        <v>300</v>
      </c>
      <c r="L242" s="113">
        <v>1900</v>
      </c>
      <c r="M242" s="185">
        <v>15.985723275895715</v>
      </c>
      <c r="N242" s="75">
        <v>369.76948800000002</v>
      </c>
      <c r="O242" s="121">
        <v>28918.069111510995</v>
      </c>
      <c r="P242" s="121">
        <v>33544.802569379746</v>
      </c>
      <c r="Q242" s="120">
        <v>18478.923811329267</v>
      </c>
      <c r="R242" s="314">
        <v>47396.992922840262</v>
      </c>
      <c r="S242" s="315">
        <v>52023.726380709013</v>
      </c>
      <c r="U242" s="7" t="s">
        <v>840</v>
      </c>
    </row>
    <row r="243" spans="1:21" s="74" customFormat="1" ht="16.5" thickBot="1">
      <c r="A243" s="50" t="s">
        <v>35</v>
      </c>
      <c r="B243" s="51">
        <f t="shared" si="12"/>
        <v>55</v>
      </c>
      <c r="C243" s="51" t="s">
        <v>3</v>
      </c>
      <c r="D243" s="51">
        <f t="shared" si="13"/>
        <v>300</v>
      </c>
      <c r="E243" s="51" t="s">
        <v>3</v>
      </c>
      <c r="F243" s="110">
        <f t="shared" si="14"/>
        <v>1950</v>
      </c>
      <c r="G243" s="51" t="s">
        <v>3</v>
      </c>
      <c r="H243" s="48">
        <v>4</v>
      </c>
      <c r="I243" s="49" t="s">
        <v>45</v>
      </c>
      <c r="J243" s="184">
        <v>55</v>
      </c>
      <c r="K243" s="113">
        <v>300</v>
      </c>
      <c r="L243" s="113">
        <v>1950</v>
      </c>
      <c r="M243" s="185">
        <v>16.508472704381429</v>
      </c>
      <c r="N243" s="75">
        <v>381.69753600000001</v>
      </c>
      <c r="O243" s="121">
        <v>29605.780101196018</v>
      </c>
      <c r="P243" s="121">
        <v>34340.897234914766</v>
      </c>
      <c r="Q243" s="120">
        <v>18963.213663533628</v>
      </c>
      <c r="R243" s="314">
        <v>48568.993764729647</v>
      </c>
      <c r="S243" s="315">
        <v>53304.110898448394</v>
      </c>
      <c r="U243" s="7" t="s">
        <v>841</v>
      </c>
    </row>
    <row r="244" spans="1:21" s="74" customFormat="1" ht="16.5" thickBot="1">
      <c r="A244" s="50" t="s">
        <v>35</v>
      </c>
      <c r="B244" s="51">
        <f t="shared" si="12"/>
        <v>55</v>
      </c>
      <c r="C244" s="51" t="s">
        <v>3</v>
      </c>
      <c r="D244" s="51">
        <f t="shared" si="13"/>
        <v>300</v>
      </c>
      <c r="E244" s="51" t="s">
        <v>3</v>
      </c>
      <c r="F244" s="110">
        <f t="shared" si="14"/>
        <v>2000</v>
      </c>
      <c r="G244" s="51" t="s">
        <v>3</v>
      </c>
      <c r="H244" s="48">
        <v>4</v>
      </c>
      <c r="I244" s="49" t="s">
        <v>45</v>
      </c>
      <c r="J244" s="184">
        <v>55</v>
      </c>
      <c r="K244" s="113">
        <v>300</v>
      </c>
      <c r="L244" s="113">
        <v>2000</v>
      </c>
      <c r="M244" s="185">
        <v>16.987198330277145</v>
      </c>
      <c r="N244" s="75">
        <v>393.62558399999995</v>
      </c>
      <c r="O244" s="121">
        <v>30439.21027558748</v>
      </c>
      <c r="P244" s="121">
        <v>35352.174211087171</v>
      </c>
      <c r="Q244" s="120">
        <v>19447.50337534463</v>
      </c>
      <c r="R244" s="314">
        <v>49886.713650932114</v>
      </c>
      <c r="S244" s="315">
        <v>54799.677586431804</v>
      </c>
      <c r="U244" s="7" t="s">
        <v>842</v>
      </c>
    </row>
    <row r="245" spans="1:21" s="74" customFormat="1" ht="16.5" thickBot="1">
      <c r="A245" s="50" t="s">
        <v>35</v>
      </c>
      <c r="B245" s="51">
        <f t="shared" si="12"/>
        <v>55</v>
      </c>
      <c r="C245" s="51" t="s">
        <v>3</v>
      </c>
      <c r="D245" s="51">
        <f t="shared" si="13"/>
        <v>300</v>
      </c>
      <c r="E245" s="51" t="s">
        <v>3</v>
      </c>
      <c r="F245" s="110">
        <f t="shared" si="14"/>
        <v>2050</v>
      </c>
      <c r="G245" s="51" t="s">
        <v>3</v>
      </c>
      <c r="H245" s="48">
        <v>4</v>
      </c>
      <c r="I245" s="49" t="s">
        <v>45</v>
      </c>
      <c r="J245" s="184">
        <v>55</v>
      </c>
      <c r="K245" s="113">
        <v>300</v>
      </c>
      <c r="L245" s="113">
        <v>2050</v>
      </c>
      <c r="M245" s="185">
        <v>17.374347758762855</v>
      </c>
      <c r="N245" s="75">
        <v>405.55363199999999</v>
      </c>
      <c r="O245" s="121">
        <v>31053.624558185147</v>
      </c>
      <c r="P245" s="121">
        <v>36077.206249112292</v>
      </c>
      <c r="Q245" s="120">
        <v>19931.793227548991</v>
      </c>
      <c r="R245" s="314">
        <v>50985.417785734142</v>
      </c>
      <c r="S245" s="315">
        <v>56008.99947666128</v>
      </c>
      <c r="U245" s="7" t="s">
        <v>843</v>
      </c>
    </row>
    <row r="246" spans="1:21" s="74" customFormat="1" ht="16.5" thickBot="1">
      <c r="A246" s="47" t="s">
        <v>35</v>
      </c>
      <c r="B246" s="48">
        <f t="shared" si="12"/>
        <v>55</v>
      </c>
      <c r="C246" s="48" t="s">
        <v>3</v>
      </c>
      <c r="D246" s="48">
        <f t="shared" si="13"/>
        <v>300</v>
      </c>
      <c r="E246" s="48" t="s">
        <v>3</v>
      </c>
      <c r="F246" s="110">
        <f t="shared" si="14"/>
        <v>2100</v>
      </c>
      <c r="G246" s="48" t="s">
        <v>3</v>
      </c>
      <c r="H246" s="48">
        <v>4</v>
      </c>
      <c r="I246" s="49" t="s">
        <v>45</v>
      </c>
      <c r="J246" s="184">
        <v>55</v>
      </c>
      <c r="K246" s="113">
        <v>300</v>
      </c>
      <c r="L246" s="113">
        <v>2100</v>
      </c>
      <c r="M246" s="185">
        <v>17.761497187248573</v>
      </c>
      <c r="N246" s="75">
        <v>417.48167999999998</v>
      </c>
      <c r="O246" s="121">
        <v>31668.038840782807</v>
      </c>
      <c r="P246" s="121">
        <v>36802.238287137421</v>
      </c>
      <c r="Q246" s="120">
        <v>20416.082939359992</v>
      </c>
      <c r="R246" s="314">
        <v>52084.121780142799</v>
      </c>
      <c r="S246" s="315">
        <v>57218.321226497414</v>
      </c>
      <c r="U246" s="7" t="s">
        <v>844</v>
      </c>
    </row>
    <row r="247" spans="1:21" s="74" customFormat="1" ht="16.5" thickBot="1">
      <c r="A247" s="50" t="s">
        <v>35</v>
      </c>
      <c r="B247" s="51">
        <f t="shared" si="12"/>
        <v>55</v>
      </c>
      <c r="C247" s="51" t="s">
        <v>3</v>
      </c>
      <c r="D247" s="51">
        <f t="shared" si="13"/>
        <v>300</v>
      </c>
      <c r="E247" s="51" t="s">
        <v>3</v>
      </c>
      <c r="F247" s="110">
        <f t="shared" si="14"/>
        <v>2150</v>
      </c>
      <c r="G247" s="51" t="s">
        <v>3</v>
      </c>
      <c r="H247" s="48">
        <v>4</v>
      </c>
      <c r="I247" s="49" t="s">
        <v>45</v>
      </c>
      <c r="J247" s="184">
        <v>55</v>
      </c>
      <c r="K247" s="113">
        <v>300</v>
      </c>
      <c r="L247" s="113">
        <v>2150</v>
      </c>
      <c r="M247" s="185">
        <v>18.148646615734286</v>
      </c>
      <c r="N247" s="75">
        <v>429.40972799999997</v>
      </c>
      <c r="O247" s="121">
        <v>32282.45312338047</v>
      </c>
      <c r="P247" s="121">
        <v>37527.270465555906</v>
      </c>
      <c r="Q247" s="120">
        <v>20900.372791564354</v>
      </c>
      <c r="R247" s="314">
        <v>53182.825914944828</v>
      </c>
      <c r="S247" s="315">
        <v>58427.64325712026</v>
      </c>
      <c r="U247" s="7" t="s">
        <v>845</v>
      </c>
    </row>
    <row r="248" spans="1:21" s="74" customFormat="1" ht="16.5" thickBot="1">
      <c r="A248" s="50" t="s">
        <v>35</v>
      </c>
      <c r="B248" s="51">
        <f t="shared" si="12"/>
        <v>55</v>
      </c>
      <c r="C248" s="51" t="s">
        <v>3</v>
      </c>
      <c r="D248" s="51">
        <f t="shared" si="13"/>
        <v>300</v>
      </c>
      <c r="E248" s="51" t="s">
        <v>3</v>
      </c>
      <c r="F248" s="110">
        <f t="shared" si="14"/>
        <v>2200</v>
      </c>
      <c r="G248" s="51" t="s">
        <v>3</v>
      </c>
      <c r="H248" s="48">
        <v>4</v>
      </c>
      <c r="I248" s="49" t="s">
        <v>45</v>
      </c>
      <c r="J248" s="184">
        <v>55</v>
      </c>
      <c r="K248" s="113">
        <v>300</v>
      </c>
      <c r="L248" s="113">
        <v>2200</v>
      </c>
      <c r="M248" s="185">
        <v>18.53579604422</v>
      </c>
      <c r="N248" s="75">
        <v>441.33777600000002</v>
      </c>
      <c r="O248" s="121">
        <v>32896.867546371497</v>
      </c>
      <c r="P248" s="121">
        <v>38252.302503581035</v>
      </c>
      <c r="Q248" s="120">
        <v>21384.662503375355</v>
      </c>
      <c r="R248" s="314">
        <v>54281.530049746856</v>
      </c>
      <c r="S248" s="315">
        <v>59636.965006956394</v>
      </c>
      <c r="U248" s="7" t="s">
        <v>846</v>
      </c>
    </row>
    <row r="249" spans="1:21" s="74" customFormat="1" ht="16.5" thickBot="1">
      <c r="A249" s="50" t="s">
        <v>35</v>
      </c>
      <c r="B249" s="51">
        <f t="shared" si="12"/>
        <v>55</v>
      </c>
      <c r="C249" s="51" t="s">
        <v>3</v>
      </c>
      <c r="D249" s="51">
        <f t="shared" si="13"/>
        <v>300</v>
      </c>
      <c r="E249" s="51" t="s">
        <v>3</v>
      </c>
      <c r="F249" s="110">
        <f t="shared" si="14"/>
        <v>2250</v>
      </c>
      <c r="G249" s="51" t="s">
        <v>3</v>
      </c>
      <c r="H249" s="48">
        <v>4</v>
      </c>
      <c r="I249" s="49" t="s">
        <v>45</v>
      </c>
      <c r="J249" s="184">
        <v>55</v>
      </c>
      <c r="K249" s="113">
        <v>300</v>
      </c>
      <c r="L249" s="113">
        <v>2250</v>
      </c>
      <c r="M249" s="185">
        <v>18.922945472705717</v>
      </c>
      <c r="N249" s="75">
        <v>453.26582399999995</v>
      </c>
      <c r="O249" s="121">
        <v>33511.281828969157</v>
      </c>
      <c r="P249" s="121">
        <v>38977.334541606164</v>
      </c>
      <c r="Q249" s="120">
        <v>21868.952355579717</v>
      </c>
      <c r="R249" s="314">
        <v>55380.23418454887</v>
      </c>
      <c r="S249" s="315">
        <v>60846.286897185884</v>
      </c>
      <c r="U249" s="7" t="s">
        <v>847</v>
      </c>
    </row>
    <row r="250" spans="1:21" s="74" customFormat="1" ht="16.5" thickBot="1">
      <c r="A250" s="50" t="s">
        <v>35</v>
      </c>
      <c r="B250" s="51">
        <f t="shared" si="12"/>
        <v>55</v>
      </c>
      <c r="C250" s="51" t="s">
        <v>3</v>
      </c>
      <c r="D250" s="51">
        <f t="shared" si="13"/>
        <v>300</v>
      </c>
      <c r="E250" s="51" t="s">
        <v>3</v>
      </c>
      <c r="F250" s="110">
        <f t="shared" si="14"/>
        <v>2300</v>
      </c>
      <c r="G250" s="51" t="s">
        <v>3</v>
      </c>
      <c r="H250" s="48">
        <v>4</v>
      </c>
      <c r="I250" s="49" t="s">
        <v>45</v>
      </c>
      <c r="J250" s="184">
        <v>55</v>
      </c>
      <c r="K250" s="113">
        <v>300</v>
      </c>
      <c r="L250" s="113">
        <v>2300</v>
      </c>
      <c r="M250" s="185">
        <v>19.310094901191427</v>
      </c>
      <c r="N250" s="75">
        <v>465.193872</v>
      </c>
      <c r="O250" s="121">
        <v>34125.696111566816</v>
      </c>
      <c r="P250" s="121">
        <v>39702.366579631285</v>
      </c>
      <c r="Q250" s="120">
        <v>22353.242067390718</v>
      </c>
      <c r="R250" s="314">
        <v>56478.938178957535</v>
      </c>
      <c r="S250" s="315">
        <v>62055.608647022003</v>
      </c>
      <c r="U250" s="7" t="s">
        <v>848</v>
      </c>
    </row>
    <row r="251" spans="1:21" s="74" customFormat="1" ht="16.5" thickBot="1">
      <c r="A251" s="50" t="s">
        <v>35</v>
      </c>
      <c r="B251" s="51">
        <f t="shared" si="12"/>
        <v>55</v>
      </c>
      <c r="C251" s="51" t="s">
        <v>3</v>
      </c>
      <c r="D251" s="51">
        <f t="shared" si="13"/>
        <v>300</v>
      </c>
      <c r="E251" s="51" t="s">
        <v>3</v>
      </c>
      <c r="F251" s="110">
        <f t="shared" si="14"/>
        <v>2350</v>
      </c>
      <c r="G251" s="51" t="s">
        <v>3</v>
      </c>
      <c r="H251" s="48">
        <v>4</v>
      </c>
      <c r="I251" s="49" t="s">
        <v>45</v>
      </c>
      <c r="J251" s="184">
        <v>55</v>
      </c>
      <c r="K251" s="113">
        <v>300</v>
      </c>
      <c r="L251" s="113">
        <v>2350</v>
      </c>
      <c r="M251" s="185">
        <v>19.697244329677144</v>
      </c>
      <c r="N251" s="75">
        <v>477.12191999999999</v>
      </c>
      <c r="O251" s="121">
        <v>34740.110394164483</v>
      </c>
      <c r="P251" s="121">
        <v>40427.398617656414</v>
      </c>
      <c r="Q251" s="120">
        <v>22837.53191959508</v>
      </c>
      <c r="R251" s="314">
        <v>57577.642313759563</v>
      </c>
      <c r="S251" s="315">
        <v>63264.930537251494</v>
      </c>
      <c r="U251" s="7" t="s">
        <v>849</v>
      </c>
    </row>
    <row r="252" spans="1:21" s="74" customFormat="1" ht="16.5" thickBot="1">
      <c r="A252" s="50" t="s">
        <v>35</v>
      </c>
      <c r="B252" s="51">
        <f t="shared" si="12"/>
        <v>55</v>
      </c>
      <c r="C252" s="51" t="s">
        <v>3</v>
      </c>
      <c r="D252" s="51">
        <f t="shared" si="13"/>
        <v>300</v>
      </c>
      <c r="E252" s="51" t="s">
        <v>3</v>
      </c>
      <c r="F252" s="110">
        <f t="shared" si="14"/>
        <v>2400</v>
      </c>
      <c r="G252" s="51" t="s">
        <v>3</v>
      </c>
      <c r="H252" s="48">
        <v>4</v>
      </c>
      <c r="I252" s="49" t="s">
        <v>45</v>
      </c>
      <c r="J252" s="184">
        <v>55</v>
      </c>
      <c r="K252" s="113">
        <v>300</v>
      </c>
      <c r="L252" s="113">
        <v>2400</v>
      </c>
      <c r="M252" s="185">
        <v>20.084393758162857</v>
      </c>
      <c r="N252" s="75">
        <v>489.04996799999992</v>
      </c>
      <c r="O252" s="121">
        <v>35354.52467676215</v>
      </c>
      <c r="P252" s="121">
        <v>41152.430655681535</v>
      </c>
      <c r="Q252" s="120">
        <v>23321.821631406081</v>
      </c>
      <c r="R252" s="314">
        <v>58676.346308168228</v>
      </c>
      <c r="S252" s="315">
        <v>64474.252287087613</v>
      </c>
      <c r="U252" s="7" t="s">
        <v>850</v>
      </c>
    </row>
    <row r="253" spans="1:21" s="74" customFormat="1" ht="16.5" thickBot="1">
      <c r="A253" s="50" t="s">
        <v>35</v>
      </c>
      <c r="B253" s="51">
        <f t="shared" si="12"/>
        <v>55</v>
      </c>
      <c r="C253" s="51" t="s">
        <v>3</v>
      </c>
      <c r="D253" s="51">
        <f t="shared" si="13"/>
        <v>300</v>
      </c>
      <c r="E253" s="51" t="s">
        <v>3</v>
      </c>
      <c r="F253" s="110">
        <f t="shared" si="14"/>
        <v>2450</v>
      </c>
      <c r="G253" s="51" t="s">
        <v>3</v>
      </c>
      <c r="H253" s="48">
        <v>4</v>
      </c>
      <c r="I253" s="49" t="s">
        <v>45</v>
      </c>
      <c r="J253" s="184">
        <v>55</v>
      </c>
      <c r="K253" s="113">
        <v>300</v>
      </c>
      <c r="L253" s="113">
        <v>2450</v>
      </c>
      <c r="M253" s="185">
        <v>20.610516498648572</v>
      </c>
      <c r="N253" s="75">
        <v>500.97801600000003</v>
      </c>
      <c r="O253" s="121">
        <v>36613.653920205754</v>
      </c>
      <c r="P253" s="121">
        <v>42442.167196477138</v>
      </c>
      <c r="Q253" s="120">
        <v>23806.111483610443</v>
      </c>
      <c r="R253" s="314">
        <v>60419.7654038162</v>
      </c>
      <c r="S253" s="315">
        <v>66248.278680087577</v>
      </c>
      <c r="U253" s="7" t="s">
        <v>851</v>
      </c>
    </row>
    <row r="254" spans="1:21" s="74" customFormat="1" ht="16.5" thickBot="1">
      <c r="A254" s="50" t="s">
        <v>35</v>
      </c>
      <c r="B254" s="51">
        <f t="shared" si="12"/>
        <v>55</v>
      </c>
      <c r="C254" s="51" t="s">
        <v>3</v>
      </c>
      <c r="D254" s="51">
        <f t="shared" si="13"/>
        <v>300</v>
      </c>
      <c r="E254" s="51" t="s">
        <v>3</v>
      </c>
      <c r="F254" s="110">
        <f t="shared" si="14"/>
        <v>2500</v>
      </c>
      <c r="G254" s="51" t="s">
        <v>3</v>
      </c>
      <c r="H254" s="48">
        <v>4</v>
      </c>
      <c r="I254" s="49" t="s">
        <v>45</v>
      </c>
      <c r="J254" s="184">
        <v>55</v>
      </c>
      <c r="K254" s="113">
        <v>300</v>
      </c>
      <c r="L254" s="113">
        <v>2500</v>
      </c>
      <c r="M254" s="185">
        <v>20.997665927134285</v>
      </c>
      <c r="N254" s="75">
        <v>512.90606400000001</v>
      </c>
      <c r="O254" s="121">
        <v>37228.068202803421</v>
      </c>
      <c r="P254" s="121">
        <v>43167.199234502259</v>
      </c>
      <c r="Q254" s="120">
        <v>24290.401195421444</v>
      </c>
      <c r="R254" s="314">
        <v>61518.469398224865</v>
      </c>
      <c r="S254" s="315">
        <v>67457.60042992371</v>
      </c>
      <c r="U254" s="7" t="s">
        <v>852</v>
      </c>
    </row>
    <row r="255" spans="1:21" s="74" customFormat="1" ht="16.5" thickBot="1">
      <c r="A255" s="50" t="s">
        <v>35</v>
      </c>
      <c r="B255" s="51">
        <f t="shared" si="12"/>
        <v>55</v>
      </c>
      <c r="C255" s="51" t="s">
        <v>3</v>
      </c>
      <c r="D255" s="51">
        <f t="shared" si="13"/>
        <v>300</v>
      </c>
      <c r="E255" s="51" t="s">
        <v>3</v>
      </c>
      <c r="F255" s="110">
        <f t="shared" si="14"/>
        <v>2550</v>
      </c>
      <c r="G255" s="51" t="s">
        <v>3</v>
      </c>
      <c r="H255" s="48">
        <v>4</v>
      </c>
      <c r="I255" s="49" t="s">
        <v>45</v>
      </c>
      <c r="J255" s="184">
        <v>55</v>
      </c>
      <c r="K255" s="113">
        <v>300</v>
      </c>
      <c r="L255" s="113">
        <v>2550</v>
      </c>
      <c r="M255" s="185">
        <v>21.384815355620002</v>
      </c>
      <c r="N255" s="75">
        <v>524.834112</v>
      </c>
      <c r="O255" s="121">
        <v>37842.482485401088</v>
      </c>
      <c r="P255" s="121">
        <v>43892.231272527388</v>
      </c>
      <c r="Q255" s="120">
        <v>24774.691047625805</v>
      </c>
      <c r="R255" s="314">
        <v>62617.173533026893</v>
      </c>
      <c r="S255" s="315">
        <v>68666.922320153186</v>
      </c>
      <c r="U255" s="7" t="s">
        <v>853</v>
      </c>
    </row>
    <row r="256" spans="1:21" s="74" customFormat="1" ht="16.5" thickBot="1">
      <c r="A256" s="47" t="s">
        <v>35</v>
      </c>
      <c r="B256" s="48">
        <f t="shared" si="12"/>
        <v>55</v>
      </c>
      <c r="C256" s="48" t="s">
        <v>3</v>
      </c>
      <c r="D256" s="48">
        <f t="shared" si="13"/>
        <v>300</v>
      </c>
      <c r="E256" s="48" t="s">
        <v>3</v>
      </c>
      <c r="F256" s="110">
        <f t="shared" si="14"/>
        <v>2600</v>
      </c>
      <c r="G256" s="48" t="s">
        <v>3</v>
      </c>
      <c r="H256" s="48">
        <v>4</v>
      </c>
      <c r="I256" s="49" t="s">
        <v>45</v>
      </c>
      <c r="J256" s="184">
        <v>55</v>
      </c>
      <c r="K256" s="113">
        <v>300</v>
      </c>
      <c r="L256" s="113">
        <v>2600</v>
      </c>
      <c r="M256" s="185">
        <v>21.77196478410572</v>
      </c>
      <c r="N256" s="75">
        <v>536.76215999999999</v>
      </c>
      <c r="O256" s="121">
        <v>38456.896767998747</v>
      </c>
      <c r="P256" s="121">
        <v>44617.263310552509</v>
      </c>
      <c r="Q256" s="120">
        <v>25258.980759436807</v>
      </c>
      <c r="R256" s="314">
        <v>63715.877527435558</v>
      </c>
      <c r="S256" s="315">
        <v>69876.24406998932</v>
      </c>
      <c r="U256" s="7" t="s">
        <v>854</v>
      </c>
    </row>
    <row r="257" spans="1:21" s="74" customFormat="1" ht="16.5" thickBot="1">
      <c r="A257" s="50" t="s">
        <v>35</v>
      </c>
      <c r="B257" s="51">
        <f t="shared" si="12"/>
        <v>55</v>
      </c>
      <c r="C257" s="51" t="s">
        <v>3</v>
      </c>
      <c r="D257" s="51">
        <f t="shared" si="13"/>
        <v>300</v>
      </c>
      <c r="E257" s="51" t="s">
        <v>3</v>
      </c>
      <c r="F257" s="110">
        <f t="shared" si="14"/>
        <v>2650</v>
      </c>
      <c r="G257" s="51" t="s">
        <v>3</v>
      </c>
      <c r="H257" s="48">
        <v>4</v>
      </c>
      <c r="I257" s="49" t="s">
        <v>45</v>
      </c>
      <c r="J257" s="184">
        <v>55</v>
      </c>
      <c r="K257" s="113">
        <v>300</v>
      </c>
      <c r="L257" s="113">
        <v>2650</v>
      </c>
      <c r="M257" s="185">
        <v>22.159114212591426</v>
      </c>
      <c r="N257" s="75">
        <v>548.69020799999998</v>
      </c>
      <c r="O257" s="121">
        <v>39071.311050596407</v>
      </c>
      <c r="P257" s="121">
        <v>45342.295348577638</v>
      </c>
      <c r="Q257" s="120">
        <v>25743.270611641168</v>
      </c>
      <c r="R257" s="314">
        <v>64814.581662237571</v>
      </c>
      <c r="S257" s="315">
        <v>71085.56596021881</v>
      </c>
      <c r="U257" s="7" t="s">
        <v>855</v>
      </c>
    </row>
    <row r="258" spans="1:21" s="74" customFormat="1" ht="16.5" thickBot="1">
      <c r="A258" s="50" t="s">
        <v>35</v>
      </c>
      <c r="B258" s="51">
        <f t="shared" si="12"/>
        <v>55</v>
      </c>
      <c r="C258" s="51" t="s">
        <v>3</v>
      </c>
      <c r="D258" s="51">
        <f t="shared" si="13"/>
        <v>300</v>
      </c>
      <c r="E258" s="51" t="s">
        <v>3</v>
      </c>
      <c r="F258" s="110">
        <f t="shared" si="14"/>
        <v>2700</v>
      </c>
      <c r="G258" s="51" t="s">
        <v>3</v>
      </c>
      <c r="H258" s="48">
        <v>4</v>
      </c>
      <c r="I258" s="49" t="s">
        <v>45</v>
      </c>
      <c r="J258" s="184">
        <v>55</v>
      </c>
      <c r="K258" s="113">
        <v>300</v>
      </c>
      <c r="L258" s="113">
        <v>2700</v>
      </c>
      <c r="M258" s="185">
        <v>22.681863641077143</v>
      </c>
      <c r="N258" s="75">
        <v>560.61825599999997</v>
      </c>
      <c r="O258" s="121">
        <v>39759.02204028143</v>
      </c>
      <c r="P258" s="121">
        <v>46138.390014112658</v>
      </c>
      <c r="Q258" s="120">
        <v>26227.56032345217</v>
      </c>
      <c r="R258" s="314">
        <v>65986.5823637336</v>
      </c>
      <c r="S258" s="315">
        <v>72365.950337564835</v>
      </c>
      <c r="U258" s="7" t="s">
        <v>856</v>
      </c>
    </row>
    <row r="259" spans="1:21" s="74" customFormat="1" ht="16.5" thickBot="1">
      <c r="A259" s="50" t="s">
        <v>35</v>
      </c>
      <c r="B259" s="51">
        <f t="shared" si="12"/>
        <v>55</v>
      </c>
      <c r="C259" s="51" t="s">
        <v>3</v>
      </c>
      <c r="D259" s="51">
        <f t="shared" si="13"/>
        <v>300</v>
      </c>
      <c r="E259" s="51" t="s">
        <v>3</v>
      </c>
      <c r="F259" s="110">
        <f t="shared" si="14"/>
        <v>2750</v>
      </c>
      <c r="G259" s="51" t="s">
        <v>3</v>
      </c>
      <c r="H259" s="48">
        <v>4</v>
      </c>
      <c r="I259" s="49" t="s">
        <v>45</v>
      </c>
      <c r="J259" s="184">
        <v>55</v>
      </c>
      <c r="K259" s="113">
        <v>300</v>
      </c>
      <c r="L259" s="113">
        <v>2750</v>
      </c>
      <c r="M259" s="185">
        <v>23.06901306956286</v>
      </c>
      <c r="N259" s="75">
        <v>572.54630399999996</v>
      </c>
      <c r="O259" s="121">
        <v>40373.436322879097</v>
      </c>
      <c r="P259" s="121">
        <v>46863.422052137787</v>
      </c>
      <c r="Q259" s="120">
        <v>26711.850175656393</v>
      </c>
      <c r="R259" s="314">
        <v>67085.286498535483</v>
      </c>
      <c r="S259" s="315">
        <v>73575.272227794179</v>
      </c>
      <c r="U259" s="7" t="s">
        <v>857</v>
      </c>
    </row>
    <row r="260" spans="1:21" s="74" customFormat="1" ht="16.5" thickBot="1">
      <c r="A260" s="50" t="s">
        <v>35</v>
      </c>
      <c r="B260" s="51">
        <f t="shared" si="12"/>
        <v>55</v>
      </c>
      <c r="C260" s="51" t="s">
        <v>3</v>
      </c>
      <c r="D260" s="51">
        <f t="shared" si="13"/>
        <v>300</v>
      </c>
      <c r="E260" s="51" t="s">
        <v>3</v>
      </c>
      <c r="F260" s="110">
        <f t="shared" si="14"/>
        <v>2800</v>
      </c>
      <c r="G260" s="51" t="s">
        <v>3</v>
      </c>
      <c r="H260" s="48">
        <v>4</v>
      </c>
      <c r="I260" s="49" t="s">
        <v>45</v>
      </c>
      <c r="J260" s="184">
        <v>55</v>
      </c>
      <c r="K260" s="113">
        <v>300</v>
      </c>
      <c r="L260" s="113">
        <v>2800</v>
      </c>
      <c r="M260" s="185">
        <v>23.456162498048574</v>
      </c>
      <c r="N260" s="75">
        <v>584.47435200000007</v>
      </c>
      <c r="O260" s="121">
        <v>40987.850745870121</v>
      </c>
      <c r="P260" s="121">
        <v>47588.454090162908</v>
      </c>
      <c r="Q260" s="120">
        <v>27196.140027860896</v>
      </c>
      <c r="R260" s="314">
        <v>68183.990773731013</v>
      </c>
      <c r="S260" s="315">
        <v>74784.594118023801</v>
      </c>
      <c r="U260" s="7" t="s">
        <v>858</v>
      </c>
    </row>
    <row r="261" spans="1:21" s="74" customFormat="1" ht="16.5" thickBot="1">
      <c r="A261" s="50" t="s">
        <v>35</v>
      </c>
      <c r="B261" s="51">
        <f t="shared" si="12"/>
        <v>55</v>
      </c>
      <c r="C261" s="51" t="s">
        <v>3</v>
      </c>
      <c r="D261" s="51">
        <f t="shared" si="13"/>
        <v>300</v>
      </c>
      <c r="E261" s="51" t="s">
        <v>3</v>
      </c>
      <c r="F261" s="110">
        <f t="shared" si="14"/>
        <v>2850</v>
      </c>
      <c r="G261" s="51" t="s">
        <v>3</v>
      </c>
      <c r="H261" s="48">
        <v>4</v>
      </c>
      <c r="I261" s="49" t="s">
        <v>45</v>
      </c>
      <c r="J261" s="184">
        <v>55</v>
      </c>
      <c r="K261" s="113">
        <v>300</v>
      </c>
      <c r="L261" s="113">
        <v>2850</v>
      </c>
      <c r="M261" s="185">
        <v>23.843311926534287</v>
      </c>
      <c r="N261" s="75">
        <v>596.40239999999994</v>
      </c>
      <c r="O261" s="121">
        <v>41602.265028467787</v>
      </c>
      <c r="P261" s="121">
        <v>48313.486128188037</v>
      </c>
      <c r="Q261" s="120">
        <v>27680.42973967189</v>
      </c>
      <c r="R261" s="314">
        <v>69282.694768139685</v>
      </c>
      <c r="S261" s="315">
        <v>75993.915867859934</v>
      </c>
      <c r="U261" s="7" t="s">
        <v>859</v>
      </c>
    </row>
    <row r="262" spans="1:21" s="74" customFormat="1" ht="16.5" thickBot="1">
      <c r="A262" s="50" t="s">
        <v>35</v>
      </c>
      <c r="B262" s="51">
        <f t="shared" si="12"/>
        <v>55</v>
      </c>
      <c r="C262" s="51" t="s">
        <v>3</v>
      </c>
      <c r="D262" s="51">
        <f t="shared" si="13"/>
        <v>300</v>
      </c>
      <c r="E262" s="51" t="s">
        <v>3</v>
      </c>
      <c r="F262" s="110">
        <f t="shared" si="14"/>
        <v>2900</v>
      </c>
      <c r="G262" s="51" t="s">
        <v>3</v>
      </c>
      <c r="H262" s="48">
        <v>4</v>
      </c>
      <c r="I262" s="49" t="s">
        <v>45</v>
      </c>
      <c r="J262" s="184">
        <v>55</v>
      </c>
      <c r="K262" s="113">
        <v>300</v>
      </c>
      <c r="L262" s="113">
        <v>2900</v>
      </c>
      <c r="M262" s="185">
        <v>24.230461355020001</v>
      </c>
      <c r="N262" s="75">
        <v>608.33044799999993</v>
      </c>
      <c r="O262" s="121">
        <v>42216.679311065447</v>
      </c>
      <c r="P262" s="121">
        <v>49038.518166213158</v>
      </c>
      <c r="Q262" s="120">
        <v>28164.719591876255</v>
      </c>
      <c r="R262" s="314">
        <v>70381.398902941699</v>
      </c>
      <c r="S262" s="315">
        <v>77203.23775808941</v>
      </c>
      <c r="U262" s="7" t="s">
        <v>860</v>
      </c>
    </row>
    <row r="263" spans="1:21" s="74" customFormat="1" ht="16.5" thickBot="1">
      <c r="A263" s="50" t="s">
        <v>35</v>
      </c>
      <c r="B263" s="51">
        <f t="shared" si="12"/>
        <v>55</v>
      </c>
      <c r="C263" s="51" t="s">
        <v>3</v>
      </c>
      <c r="D263" s="51">
        <f t="shared" si="13"/>
        <v>300</v>
      </c>
      <c r="E263" s="51" t="s">
        <v>3</v>
      </c>
      <c r="F263" s="110">
        <f t="shared" si="14"/>
        <v>2950</v>
      </c>
      <c r="G263" s="51" t="s">
        <v>3</v>
      </c>
      <c r="H263" s="48">
        <v>4</v>
      </c>
      <c r="I263" s="49" t="s">
        <v>45</v>
      </c>
      <c r="J263" s="184">
        <v>55</v>
      </c>
      <c r="K263" s="113">
        <v>300</v>
      </c>
      <c r="L263" s="113">
        <v>2950</v>
      </c>
      <c r="M263" s="185">
        <v>24.617610783505718</v>
      </c>
      <c r="N263" s="75">
        <v>620.25849600000004</v>
      </c>
      <c r="O263" s="121">
        <v>42831.093593663107</v>
      </c>
      <c r="P263" s="121">
        <v>49763.550204238287</v>
      </c>
      <c r="Q263" s="120">
        <v>28649.009303687253</v>
      </c>
      <c r="R263" s="314">
        <v>71480.102897350356</v>
      </c>
      <c r="S263" s="315">
        <v>78412.559507925544</v>
      </c>
      <c r="U263" s="7" t="s">
        <v>861</v>
      </c>
    </row>
    <row r="264" spans="1:21" s="74" customFormat="1" ht="16.5" thickBot="1">
      <c r="A264" s="50" t="s">
        <v>35</v>
      </c>
      <c r="B264" s="51">
        <f t="shared" si="12"/>
        <v>55</v>
      </c>
      <c r="C264" s="51" t="s">
        <v>3</v>
      </c>
      <c r="D264" s="51">
        <f t="shared" si="13"/>
        <v>300</v>
      </c>
      <c r="E264" s="51" t="s">
        <v>3</v>
      </c>
      <c r="F264" s="110">
        <f t="shared" si="14"/>
        <v>3000</v>
      </c>
      <c r="G264" s="51" t="s">
        <v>3</v>
      </c>
      <c r="H264" s="48">
        <v>4</v>
      </c>
      <c r="I264" s="49" t="s">
        <v>45</v>
      </c>
      <c r="J264" s="186">
        <v>55</v>
      </c>
      <c r="K264" s="157">
        <v>300</v>
      </c>
      <c r="L264" s="157">
        <v>3000</v>
      </c>
      <c r="M264" s="187">
        <v>25.004760211991432</v>
      </c>
      <c r="N264" s="147">
        <v>632.18654399999991</v>
      </c>
      <c r="O264" s="158">
        <v>43445.507876260774</v>
      </c>
      <c r="P264" s="158">
        <v>50488.582242263408</v>
      </c>
      <c r="Q264" s="159">
        <v>29133.299155891618</v>
      </c>
      <c r="R264" s="316">
        <v>72578.807032152399</v>
      </c>
      <c r="S264" s="317">
        <v>79621.881398155034</v>
      </c>
      <c r="U264" s="7" t="s">
        <v>862</v>
      </c>
    </row>
  </sheetData>
  <mergeCells count="22">
    <mergeCell ref="A215:S215"/>
    <mergeCell ref="A165:S165"/>
    <mergeCell ref="A61:S61"/>
    <mergeCell ref="A163:S163"/>
    <mergeCell ref="A59:S59"/>
    <mergeCell ref="A60:S60"/>
    <mergeCell ref="A112:S112"/>
    <mergeCell ref="A164:S164"/>
    <mergeCell ref="A111:S111"/>
    <mergeCell ref="A113:S113"/>
    <mergeCell ref="R4:R5"/>
    <mergeCell ref="S4:S5"/>
    <mergeCell ref="A7:S7"/>
    <mergeCell ref="A8:S8"/>
    <mergeCell ref="A9:S9"/>
    <mergeCell ref="O6:S6"/>
    <mergeCell ref="J4:M5"/>
    <mergeCell ref="A4:I6"/>
    <mergeCell ref="N4:N6"/>
    <mergeCell ref="O4:O5"/>
    <mergeCell ref="P4:P5"/>
    <mergeCell ref="Q4:Q5"/>
  </mergeCells>
  <hyperlinks>
    <hyperlink ref="A1:I1" location="Главная!A1" display="Вернуться на главную страницу" xr:uid="{00000000-0004-0000-0F00-000000000000}"/>
    <hyperlink ref="A2" location="'Калькулятор теплоотдач ВК'!R1C1" display="Вернуться Калькулятор теплоотдач ВК" xr:uid="{00000000-0004-0000-0F00-000001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8">
    <tabColor rgb="FFFFC000"/>
  </sheetPr>
  <dimension ref="A1:U264"/>
  <sheetViews>
    <sheetView zoomScale="70" zoomScaleNormal="70" workbookViewId="0">
      <pane ySplit="6" topLeftCell="A7" activePane="bottomLeft" state="frozen"/>
      <selection pane="bottomLeft" activeCell="O10" sqref="O10"/>
    </sheetView>
  </sheetViews>
  <sheetFormatPr defaultRowHeight="15"/>
  <cols>
    <col min="1" max="1" width="3.7109375" style="74" customWidth="1"/>
    <col min="2" max="2" width="6" style="74" customWidth="1"/>
    <col min="3" max="3" width="3" style="74" customWidth="1"/>
    <col min="4" max="4" width="6" style="74" customWidth="1"/>
    <col min="5" max="5" width="3" style="74" customWidth="1"/>
    <col min="6" max="6" width="7.7109375" style="74" customWidth="1"/>
    <col min="7" max="7" width="3" style="74" customWidth="1"/>
    <col min="8" max="8" width="6" style="74" customWidth="1"/>
    <col min="9" max="9" width="4.5703125" style="74" customWidth="1"/>
    <col min="10" max="12" width="11.28515625" style="74" customWidth="1"/>
    <col min="13" max="13" width="15.5703125" style="74" customWidth="1"/>
    <col min="14" max="14" width="19.140625" style="74" customWidth="1"/>
    <col min="15" max="16" width="27.7109375" style="74" customWidth="1"/>
    <col min="17" max="17" width="26.28515625" style="74" customWidth="1"/>
    <col min="18" max="19" width="27.7109375" style="74" customWidth="1"/>
    <col min="21" max="21" width="22.42578125" customWidth="1"/>
  </cols>
  <sheetData>
    <row r="1" spans="1:21" s="74" customFormat="1" ht="16.5" customHeight="1">
      <c r="A1" s="1217" t="s">
        <v>9</v>
      </c>
      <c r="B1" s="1217"/>
      <c r="C1" s="1217"/>
      <c r="D1" s="1217"/>
      <c r="E1" s="1217"/>
      <c r="F1" s="97"/>
      <c r="G1" s="1217"/>
      <c r="H1" s="1217"/>
      <c r="I1" s="1217"/>
      <c r="J1" s="7"/>
      <c r="K1" s="96"/>
      <c r="L1" s="96"/>
      <c r="M1" s="175"/>
      <c r="N1" s="7"/>
      <c r="O1" s="117"/>
      <c r="P1" s="117"/>
      <c r="Q1" s="117"/>
      <c r="R1" s="117"/>
      <c r="S1" s="117"/>
    </row>
    <row r="2" spans="1:21" s="74" customFormat="1" ht="16.5" customHeight="1">
      <c r="A2" s="956" t="s">
        <v>378</v>
      </c>
      <c r="B2" s="1217"/>
      <c r="C2" s="1217"/>
      <c r="D2" s="1217"/>
      <c r="E2" s="1217"/>
      <c r="F2" s="97"/>
      <c r="G2" s="1217"/>
      <c r="H2" s="1217"/>
      <c r="I2" s="1217"/>
      <c r="J2" s="7"/>
      <c r="K2" s="96"/>
      <c r="L2" s="96"/>
      <c r="M2" s="175"/>
      <c r="N2" s="7"/>
      <c r="O2" s="117"/>
      <c r="P2" s="117"/>
      <c r="Q2" s="117"/>
      <c r="R2" s="117"/>
      <c r="S2" s="117"/>
    </row>
    <row r="3" spans="1:21" s="74" customFormat="1" ht="13.5" customHeight="1" thickBot="1">
      <c r="A3" s="16"/>
      <c r="B3" s="16"/>
      <c r="C3" s="16"/>
      <c r="D3" s="16"/>
      <c r="E3" s="16"/>
      <c r="F3" s="109"/>
      <c r="G3" s="16"/>
      <c r="H3" s="16"/>
      <c r="I3" s="16"/>
      <c r="J3" s="16"/>
      <c r="K3" s="108"/>
      <c r="L3" s="108"/>
      <c r="M3" s="175"/>
      <c r="N3" s="7"/>
      <c r="O3" s="116"/>
      <c r="P3" s="116"/>
      <c r="Q3" s="117"/>
      <c r="R3" s="117"/>
      <c r="S3" s="117"/>
    </row>
    <row r="4" spans="1:21" s="74" customFormat="1" ht="69" customHeight="1">
      <c r="A4" s="2643" t="s">
        <v>8</v>
      </c>
      <c r="B4" s="2644"/>
      <c r="C4" s="2644"/>
      <c r="D4" s="2644"/>
      <c r="E4" s="2644"/>
      <c r="F4" s="2644"/>
      <c r="G4" s="2644"/>
      <c r="H4" s="2644"/>
      <c r="I4" s="2645"/>
      <c r="J4" s="2637" t="s">
        <v>97</v>
      </c>
      <c r="K4" s="2638"/>
      <c r="L4" s="2638"/>
      <c r="M4" s="2639"/>
      <c r="N4" s="2652" t="s">
        <v>96</v>
      </c>
      <c r="O4" s="2655" t="s">
        <v>165</v>
      </c>
      <c r="P4" s="2617" t="s">
        <v>166</v>
      </c>
      <c r="Q4" s="2655" t="s">
        <v>151</v>
      </c>
      <c r="R4" s="2630" t="s">
        <v>167</v>
      </c>
      <c r="S4" s="2590" t="s">
        <v>168</v>
      </c>
    </row>
    <row r="5" spans="1:21" s="74" customFormat="1" ht="72.75" customHeight="1" thickBot="1">
      <c r="A5" s="2646"/>
      <c r="B5" s="2647"/>
      <c r="C5" s="2647"/>
      <c r="D5" s="2647"/>
      <c r="E5" s="2647"/>
      <c r="F5" s="2647"/>
      <c r="G5" s="2647"/>
      <c r="H5" s="2647"/>
      <c r="I5" s="2648"/>
      <c r="J5" s="2640"/>
      <c r="K5" s="2641"/>
      <c r="L5" s="2641"/>
      <c r="M5" s="2642"/>
      <c r="N5" s="2653"/>
      <c r="O5" s="2656"/>
      <c r="P5" s="2618"/>
      <c r="Q5" s="2656"/>
      <c r="R5" s="2631"/>
      <c r="S5" s="2591"/>
    </row>
    <row r="6" spans="1:21" s="74" customFormat="1" ht="61.5" customHeight="1" thickBot="1">
      <c r="A6" s="2649"/>
      <c r="B6" s="2650"/>
      <c r="C6" s="2650"/>
      <c r="D6" s="2650"/>
      <c r="E6" s="2650"/>
      <c r="F6" s="2650"/>
      <c r="G6" s="2650"/>
      <c r="H6" s="2650"/>
      <c r="I6" s="2651"/>
      <c r="J6" s="1223" t="s">
        <v>0</v>
      </c>
      <c r="K6" s="115" t="s">
        <v>1</v>
      </c>
      <c r="L6" s="115" t="s">
        <v>2</v>
      </c>
      <c r="M6" s="180" t="s">
        <v>94</v>
      </c>
      <c r="N6" s="2654"/>
      <c r="O6" s="2634" t="s">
        <v>169</v>
      </c>
      <c r="P6" s="2635"/>
      <c r="Q6" s="2635"/>
      <c r="R6" s="2635"/>
      <c r="S6" s="2636"/>
    </row>
    <row r="7" spans="1:21" s="74" customFormat="1" ht="22.5" customHeight="1" thickBot="1">
      <c r="A7" s="2580" t="s">
        <v>519</v>
      </c>
      <c r="B7" s="2581"/>
      <c r="C7" s="2581"/>
      <c r="D7" s="2581"/>
      <c r="E7" s="2581"/>
      <c r="F7" s="2581"/>
      <c r="G7" s="2581"/>
      <c r="H7" s="2581"/>
      <c r="I7" s="2581"/>
      <c r="J7" s="2581"/>
      <c r="K7" s="2581"/>
      <c r="L7" s="2581"/>
      <c r="M7" s="2581"/>
      <c r="N7" s="2581"/>
      <c r="O7" s="2581"/>
      <c r="P7" s="2581"/>
      <c r="Q7" s="2581"/>
      <c r="R7" s="2581"/>
      <c r="S7" s="2582"/>
    </row>
    <row r="8" spans="1:21" s="74" customFormat="1" ht="22.5" customHeight="1" thickBot="1">
      <c r="A8" s="2624" t="s">
        <v>69</v>
      </c>
      <c r="B8" s="2625"/>
      <c r="C8" s="2625"/>
      <c r="D8" s="2625"/>
      <c r="E8" s="2625"/>
      <c r="F8" s="2625"/>
      <c r="G8" s="2625"/>
      <c r="H8" s="2625"/>
      <c r="I8" s="2625"/>
      <c r="J8" s="2625"/>
      <c r="K8" s="2625"/>
      <c r="L8" s="2625"/>
      <c r="M8" s="2625"/>
      <c r="N8" s="2625"/>
      <c r="O8" s="2625"/>
      <c r="P8" s="2625"/>
      <c r="Q8" s="2625"/>
      <c r="R8" s="2625"/>
      <c r="S8" s="2626"/>
    </row>
    <row r="9" spans="1:21" s="74" customFormat="1" ht="16.5" customHeight="1" thickBot="1">
      <c r="A9" s="2583" t="s">
        <v>134</v>
      </c>
      <c r="B9" s="2584"/>
      <c r="C9" s="2584"/>
      <c r="D9" s="2584"/>
      <c r="E9" s="2584"/>
      <c r="F9" s="2584"/>
      <c r="G9" s="2584"/>
      <c r="H9" s="2584"/>
      <c r="I9" s="2584"/>
      <c r="J9" s="2584"/>
      <c r="K9" s="2584"/>
      <c r="L9" s="2584"/>
      <c r="M9" s="2584"/>
      <c r="N9" s="2584"/>
      <c r="O9" s="2584"/>
      <c r="P9" s="2584"/>
      <c r="Q9" s="2584"/>
      <c r="R9" s="2632"/>
      <c r="S9" s="2633"/>
    </row>
    <row r="10" spans="1:21" s="74" customFormat="1" ht="16.5" customHeight="1" thickBot="1">
      <c r="A10" s="47" t="s">
        <v>35</v>
      </c>
      <c r="B10" s="48">
        <f>J10</f>
        <v>65</v>
      </c>
      <c r="C10" s="48" t="s">
        <v>3</v>
      </c>
      <c r="D10" s="48">
        <f>K10</f>
        <v>160</v>
      </c>
      <c r="E10" s="48" t="s">
        <v>3</v>
      </c>
      <c r="F10" s="110">
        <f>L10</f>
        <v>600</v>
      </c>
      <c r="G10" s="48" t="s">
        <v>3</v>
      </c>
      <c r="H10" s="48">
        <v>2</v>
      </c>
      <c r="I10" s="49" t="s">
        <v>45</v>
      </c>
      <c r="J10" s="181">
        <v>65</v>
      </c>
      <c r="K10" s="168">
        <v>160</v>
      </c>
      <c r="L10" s="168">
        <v>600</v>
      </c>
      <c r="M10" s="182">
        <v>3.6502647342121435</v>
      </c>
      <c r="N10" s="144">
        <v>45.595844999999997</v>
      </c>
      <c r="O10" s="188">
        <v>9459.710661771227</v>
      </c>
      <c r="P10" s="183">
        <v>10932.535309749977</v>
      </c>
      <c r="Q10" s="309">
        <v>3661.4389581425257</v>
      </c>
      <c r="R10" s="312">
        <v>13121.149619913753</v>
      </c>
      <c r="S10" s="313">
        <v>14593.974267892503</v>
      </c>
      <c r="U10" s="7" t="s">
        <v>863</v>
      </c>
    </row>
    <row r="11" spans="1:21" s="74" customFormat="1" ht="16.5" customHeight="1" thickBot="1">
      <c r="A11" s="50" t="s">
        <v>35</v>
      </c>
      <c r="B11" s="51">
        <f t="shared" ref="B11:B58" si="0">J11</f>
        <v>65</v>
      </c>
      <c r="C11" s="51" t="s">
        <v>3</v>
      </c>
      <c r="D11" s="51">
        <f t="shared" ref="D11:D58" si="1">K11</f>
        <v>160</v>
      </c>
      <c r="E11" s="51" t="s">
        <v>3</v>
      </c>
      <c r="F11" s="110">
        <f t="shared" ref="F11:F58" si="2">L11</f>
        <v>650</v>
      </c>
      <c r="G11" s="51" t="s">
        <v>3</v>
      </c>
      <c r="H11" s="48">
        <v>2</v>
      </c>
      <c r="I11" s="49" t="s">
        <v>45</v>
      </c>
      <c r="J11" s="184">
        <v>65</v>
      </c>
      <c r="K11" s="113">
        <v>160</v>
      </c>
      <c r="L11" s="113">
        <v>650</v>
      </c>
      <c r="M11" s="185">
        <v>3.9212046658778572</v>
      </c>
      <c r="N11" s="87">
        <v>54.715013999999996</v>
      </c>
      <c r="O11" s="119">
        <v>9851.7081637618885</v>
      </c>
      <c r="P11" s="121">
        <v>11412.935563846277</v>
      </c>
      <c r="Q11" s="310">
        <v>3963.0726935401508</v>
      </c>
      <c r="R11" s="314">
        <v>13814.780857302039</v>
      </c>
      <c r="S11" s="315">
        <v>15376.008257386427</v>
      </c>
      <c r="U11" s="7" t="s">
        <v>864</v>
      </c>
    </row>
    <row r="12" spans="1:21" s="74" customFormat="1" ht="16.5" customHeight="1" thickBot="1">
      <c r="A12" s="50" t="s">
        <v>35</v>
      </c>
      <c r="B12" s="51">
        <f t="shared" si="0"/>
        <v>65</v>
      </c>
      <c r="C12" s="51" t="s">
        <v>3</v>
      </c>
      <c r="D12" s="51">
        <f t="shared" si="1"/>
        <v>160</v>
      </c>
      <c r="E12" s="51" t="s">
        <v>3</v>
      </c>
      <c r="F12" s="110">
        <f t="shared" si="2"/>
        <v>700</v>
      </c>
      <c r="G12" s="51" t="s">
        <v>3</v>
      </c>
      <c r="H12" s="48">
        <v>2</v>
      </c>
      <c r="I12" s="49" t="s">
        <v>45</v>
      </c>
      <c r="J12" s="184">
        <v>65</v>
      </c>
      <c r="K12" s="113">
        <v>160</v>
      </c>
      <c r="L12" s="113">
        <v>700</v>
      </c>
      <c r="M12" s="185">
        <v>4.1921445975435709</v>
      </c>
      <c r="N12" s="87">
        <v>63.834182999999989</v>
      </c>
      <c r="O12" s="119">
        <v>10243.70552535919</v>
      </c>
      <c r="P12" s="121">
        <v>11893.33595833594</v>
      </c>
      <c r="Q12" s="310">
        <v>4264.7064289377759</v>
      </c>
      <c r="R12" s="314">
        <v>14508.411954296966</v>
      </c>
      <c r="S12" s="315">
        <v>16158.042387273716</v>
      </c>
      <c r="U12" s="7" t="s">
        <v>865</v>
      </c>
    </row>
    <row r="13" spans="1:21" s="74" customFormat="1" ht="16.5" customHeight="1" thickBot="1">
      <c r="A13" s="50" t="s">
        <v>35</v>
      </c>
      <c r="B13" s="51">
        <f t="shared" si="0"/>
        <v>65</v>
      </c>
      <c r="C13" s="51" t="s">
        <v>3</v>
      </c>
      <c r="D13" s="51">
        <f t="shared" si="1"/>
        <v>160</v>
      </c>
      <c r="E13" s="51" t="s">
        <v>3</v>
      </c>
      <c r="F13" s="110">
        <f t="shared" si="2"/>
        <v>750</v>
      </c>
      <c r="G13" s="51" t="s">
        <v>3</v>
      </c>
      <c r="H13" s="48">
        <v>2</v>
      </c>
      <c r="I13" s="49" t="s">
        <v>45</v>
      </c>
      <c r="J13" s="184">
        <v>65</v>
      </c>
      <c r="K13" s="113">
        <v>160</v>
      </c>
      <c r="L13" s="113">
        <v>750</v>
      </c>
      <c r="M13" s="185">
        <v>4.4630845292092856</v>
      </c>
      <c r="N13" s="87">
        <v>72.953351999999995</v>
      </c>
      <c r="O13" s="119">
        <v>10635.702886956489</v>
      </c>
      <c r="P13" s="121">
        <v>12373.736352825601</v>
      </c>
      <c r="Q13" s="310">
        <v>4566.3403047287638</v>
      </c>
      <c r="R13" s="314">
        <v>15202.043191685254</v>
      </c>
      <c r="S13" s="315">
        <v>16940.076657554364</v>
      </c>
      <c r="U13" s="7" t="s">
        <v>866</v>
      </c>
    </row>
    <row r="14" spans="1:21" s="74" customFormat="1" ht="16.5" customHeight="1" thickBot="1">
      <c r="A14" s="50" t="s">
        <v>35</v>
      </c>
      <c r="B14" s="51">
        <f t="shared" si="0"/>
        <v>65</v>
      </c>
      <c r="C14" s="51" t="s">
        <v>3</v>
      </c>
      <c r="D14" s="51">
        <f t="shared" si="1"/>
        <v>160</v>
      </c>
      <c r="E14" s="51" t="s">
        <v>3</v>
      </c>
      <c r="F14" s="110">
        <f t="shared" si="2"/>
        <v>800</v>
      </c>
      <c r="G14" s="51" t="s">
        <v>3</v>
      </c>
      <c r="H14" s="48">
        <v>2</v>
      </c>
      <c r="I14" s="49" t="s">
        <v>45</v>
      </c>
      <c r="J14" s="184">
        <v>65</v>
      </c>
      <c r="K14" s="113">
        <v>160</v>
      </c>
      <c r="L14" s="113">
        <v>800</v>
      </c>
      <c r="M14" s="185">
        <v>4.7340244608750002</v>
      </c>
      <c r="N14" s="87">
        <v>82.072520999999995</v>
      </c>
      <c r="O14" s="119">
        <v>11027.700388947153</v>
      </c>
      <c r="P14" s="121">
        <v>12854.136747315266</v>
      </c>
      <c r="Q14" s="310">
        <v>4867.974040126388</v>
      </c>
      <c r="R14" s="314">
        <v>15895.674429073541</v>
      </c>
      <c r="S14" s="315">
        <v>17722.110787441656</v>
      </c>
      <c r="U14" s="7" t="s">
        <v>867</v>
      </c>
    </row>
    <row r="15" spans="1:21" s="74" customFormat="1" ht="16.5" customHeight="1" thickBot="1">
      <c r="A15" s="50" t="s">
        <v>35</v>
      </c>
      <c r="B15" s="51">
        <f t="shared" si="0"/>
        <v>65</v>
      </c>
      <c r="C15" s="51" t="s">
        <v>3</v>
      </c>
      <c r="D15" s="51">
        <f t="shared" si="1"/>
        <v>160</v>
      </c>
      <c r="E15" s="51" t="s">
        <v>3</v>
      </c>
      <c r="F15" s="110">
        <f t="shared" si="2"/>
        <v>850</v>
      </c>
      <c r="G15" s="51" t="s">
        <v>3</v>
      </c>
      <c r="H15" s="48">
        <v>2</v>
      </c>
      <c r="I15" s="49" t="s">
        <v>45</v>
      </c>
      <c r="J15" s="184">
        <v>65</v>
      </c>
      <c r="K15" s="113">
        <v>160</v>
      </c>
      <c r="L15" s="113">
        <v>850</v>
      </c>
      <c r="M15" s="185">
        <v>5.0049643925407139</v>
      </c>
      <c r="N15" s="87">
        <v>91.191689999999994</v>
      </c>
      <c r="O15" s="119">
        <v>11419.697750544452</v>
      </c>
      <c r="P15" s="121">
        <v>13334.537141804927</v>
      </c>
      <c r="Q15" s="310">
        <v>5169.607775524014</v>
      </c>
      <c r="R15" s="314">
        <v>16589.305526068467</v>
      </c>
      <c r="S15" s="315">
        <v>18504.14491732894</v>
      </c>
      <c r="U15" s="7" t="s">
        <v>868</v>
      </c>
    </row>
    <row r="16" spans="1:21" s="74" customFormat="1" ht="16.5" customHeight="1" thickBot="1">
      <c r="A16" s="50" t="s">
        <v>35</v>
      </c>
      <c r="B16" s="51">
        <f t="shared" si="0"/>
        <v>65</v>
      </c>
      <c r="C16" s="51" t="s">
        <v>3</v>
      </c>
      <c r="D16" s="51">
        <f t="shared" si="1"/>
        <v>160</v>
      </c>
      <c r="E16" s="51" t="s">
        <v>3</v>
      </c>
      <c r="F16" s="110">
        <f t="shared" si="2"/>
        <v>900</v>
      </c>
      <c r="G16" s="51" t="s">
        <v>3</v>
      </c>
      <c r="H16" s="48">
        <v>2</v>
      </c>
      <c r="I16" s="49" t="s">
        <v>45</v>
      </c>
      <c r="J16" s="184">
        <v>65</v>
      </c>
      <c r="K16" s="113">
        <v>160</v>
      </c>
      <c r="L16" s="113">
        <v>900</v>
      </c>
      <c r="M16" s="185">
        <v>5.2759043242064294</v>
      </c>
      <c r="N16" s="87">
        <v>100.31085900000001</v>
      </c>
      <c r="O16" s="119">
        <v>11811.695112141753</v>
      </c>
      <c r="P16" s="121">
        <v>13814.93753629459</v>
      </c>
      <c r="Q16" s="310">
        <v>5471.241651315001</v>
      </c>
      <c r="R16" s="314">
        <v>17282.936763456753</v>
      </c>
      <c r="S16" s="315">
        <v>19286.179187609592</v>
      </c>
      <c r="U16" s="7" t="s">
        <v>869</v>
      </c>
    </row>
    <row r="17" spans="1:21" s="74" customFormat="1" ht="16.5" customHeight="1" thickBot="1">
      <c r="A17" s="50" t="s">
        <v>35</v>
      </c>
      <c r="B17" s="51">
        <f t="shared" si="0"/>
        <v>65</v>
      </c>
      <c r="C17" s="51" t="s">
        <v>3</v>
      </c>
      <c r="D17" s="51">
        <f t="shared" si="1"/>
        <v>160</v>
      </c>
      <c r="E17" s="51" t="s">
        <v>3</v>
      </c>
      <c r="F17" s="110">
        <f t="shared" si="2"/>
        <v>950</v>
      </c>
      <c r="G17" s="51" t="s">
        <v>3</v>
      </c>
      <c r="H17" s="48">
        <v>2</v>
      </c>
      <c r="I17" s="49" t="s">
        <v>45</v>
      </c>
      <c r="J17" s="184">
        <v>65</v>
      </c>
      <c r="K17" s="113">
        <v>160</v>
      </c>
      <c r="L17" s="113">
        <v>950</v>
      </c>
      <c r="M17" s="185">
        <v>5.5468442558721422</v>
      </c>
      <c r="N17" s="87">
        <v>109.43002799999999</v>
      </c>
      <c r="O17" s="119">
        <v>12203.692473739051</v>
      </c>
      <c r="P17" s="121">
        <v>14295.337930784252</v>
      </c>
      <c r="Q17" s="310">
        <v>5772.8753867126261</v>
      </c>
      <c r="R17" s="314">
        <v>17976.567860451676</v>
      </c>
      <c r="S17" s="315">
        <v>20068.213317496877</v>
      </c>
      <c r="U17" s="7" t="s">
        <v>870</v>
      </c>
    </row>
    <row r="18" spans="1:21" s="74" customFormat="1" ht="16.5" customHeight="1" thickBot="1">
      <c r="A18" s="50" t="s">
        <v>35</v>
      </c>
      <c r="B18" s="51">
        <f t="shared" si="0"/>
        <v>65</v>
      </c>
      <c r="C18" s="51" t="s">
        <v>3</v>
      </c>
      <c r="D18" s="51">
        <f t="shared" si="1"/>
        <v>160</v>
      </c>
      <c r="E18" s="51" t="s">
        <v>3</v>
      </c>
      <c r="F18" s="110">
        <f t="shared" si="2"/>
        <v>1000</v>
      </c>
      <c r="G18" s="51" t="s">
        <v>3</v>
      </c>
      <c r="H18" s="48">
        <v>2</v>
      </c>
      <c r="I18" s="49" t="s">
        <v>45</v>
      </c>
      <c r="J18" s="184">
        <v>65</v>
      </c>
      <c r="K18" s="113">
        <v>160</v>
      </c>
      <c r="L18" s="113">
        <v>1000</v>
      </c>
      <c r="M18" s="185">
        <v>5.8177841875378586</v>
      </c>
      <c r="N18" s="87">
        <v>118.54919699999999</v>
      </c>
      <c r="O18" s="119">
        <v>12595.689975729714</v>
      </c>
      <c r="P18" s="121">
        <v>14775.738184880553</v>
      </c>
      <c r="Q18" s="310">
        <v>6074.5091221102521</v>
      </c>
      <c r="R18" s="314">
        <v>18670.199097839966</v>
      </c>
      <c r="S18" s="315">
        <v>20850.247306990805</v>
      </c>
      <c r="U18" s="7" t="s">
        <v>871</v>
      </c>
    </row>
    <row r="19" spans="1:21" s="74" customFormat="1" ht="16.5" customHeight="1" thickBot="1">
      <c r="A19" s="50" t="s">
        <v>35</v>
      </c>
      <c r="B19" s="51">
        <f t="shared" si="0"/>
        <v>65</v>
      </c>
      <c r="C19" s="51" t="s">
        <v>3</v>
      </c>
      <c r="D19" s="51">
        <f t="shared" si="1"/>
        <v>160</v>
      </c>
      <c r="E19" s="51" t="s">
        <v>3</v>
      </c>
      <c r="F19" s="110">
        <f t="shared" si="2"/>
        <v>1050</v>
      </c>
      <c r="G19" s="51" t="s">
        <v>3</v>
      </c>
      <c r="H19" s="48">
        <v>2</v>
      </c>
      <c r="I19" s="49" t="s">
        <v>45</v>
      </c>
      <c r="J19" s="184">
        <v>65</v>
      </c>
      <c r="K19" s="113">
        <v>160</v>
      </c>
      <c r="L19" s="113">
        <v>1050</v>
      </c>
      <c r="M19" s="185">
        <v>6.0887241192035715</v>
      </c>
      <c r="N19" s="87">
        <v>127.66836599999998</v>
      </c>
      <c r="O19" s="119">
        <v>12987.687337327015</v>
      </c>
      <c r="P19" s="121">
        <v>15256.138579370216</v>
      </c>
      <c r="Q19" s="310">
        <v>6376.1429979012382</v>
      </c>
      <c r="R19" s="314">
        <v>19363.830335228253</v>
      </c>
      <c r="S19" s="315">
        <v>21632.281577271453</v>
      </c>
      <c r="U19" s="7" t="s">
        <v>872</v>
      </c>
    </row>
    <row r="20" spans="1:21" s="74" customFormat="1" ht="16.5" customHeight="1" thickBot="1">
      <c r="A20" s="47" t="s">
        <v>35</v>
      </c>
      <c r="B20" s="48">
        <f t="shared" si="0"/>
        <v>65</v>
      </c>
      <c r="C20" s="48" t="s">
        <v>3</v>
      </c>
      <c r="D20" s="48">
        <f t="shared" si="1"/>
        <v>160</v>
      </c>
      <c r="E20" s="48" t="s">
        <v>3</v>
      </c>
      <c r="F20" s="110">
        <f t="shared" si="2"/>
        <v>1100</v>
      </c>
      <c r="G20" s="48" t="s">
        <v>3</v>
      </c>
      <c r="H20" s="48">
        <v>2</v>
      </c>
      <c r="I20" s="49" t="s">
        <v>45</v>
      </c>
      <c r="J20" s="184">
        <v>65</v>
      </c>
      <c r="K20" s="113">
        <v>160</v>
      </c>
      <c r="L20" s="113">
        <v>1100</v>
      </c>
      <c r="M20" s="185">
        <v>6.3596640508692861</v>
      </c>
      <c r="N20" s="87">
        <v>136.78753499999999</v>
      </c>
      <c r="O20" s="119">
        <v>13379.684698924315</v>
      </c>
      <c r="P20" s="121">
        <v>15736.538973859877</v>
      </c>
      <c r="Q20" s="310">
        <v>6677.7767332988633</v>
      </c>
      <c r="R20" s="314">
        <v>20057.461432223179</v>
      </c>
      <c r="S20" s="315">
        <v>22414.315707158741</v>
      </c>
      <c r="U20" s="7" t="s">
        <v>873</v>
      </c>
    </row>
    <row r="21" spans="1:21" s="74" customFormat="1" ht="16.5" customHeight="1" thickBot="1">
      <c r="A21" s="50" t="s">
        <v>35</v>
      </c>
      <c r="B21" s="51">
        <f t="shared" si="0"/>
        <v>65</v>
      </c>
      <c r="C21" s="51" t="s">
        <v>3</v>
      </c>
      <c r="D21" s="51">
        <f t="shared" si="1"/>
        <v>160</v>
      </c>
      <c r="E21" s="51" t="s">
        <v>3</v>
      </c>
      <c r="F21" s="110">
        <f t="shared" si="2"/>
        <v>1150</v>
      </c>
      <c r="G21" s="51" t="s">
        <v>3</v>
      </c>
      <c r="H21" s="48">
        <v>2</v>
      </c>
      <c r="I21" s="49" t="s">
        <v>45</v>
      </c>
      <c r="J21" s="184">
        <v>65</v>
      </c>
      <c r="K21" s="113">
        <v>160</v>
      </c>
      <c r="L21" s="113">
        <v>1150</v>
      </c>
      <c r="M21" s="185">
        <v>6.6306039825350007</v>
      </c>
      <c r="N21" s="87">
        <v>145.90670399999999</v>
      </c>
      <c r="O21" s="119">
        <v>13771.682060521616</v>
      </c>
      <c r="P21" s="121">
        <v>16216.939368349542</v>
      </c>
      <c r="Q21" s="310">
        <v>6979.4104686964893</v>
      </c>
      <c r="R21" s="314">
        <v>20751.092529218105</v>
      </c>
      <c r="S21" s="315">
        <v>23196.349837046029</v>
      </c>
      <c r="U21" s="7" t="s">
        <v>874</v>
      </c>
    </row>
    <row r="22" spans="1:21" s="74" customFormat="1" ht="16.5" customHeight="1" thickBot="1">
      <c r="A22" s="50" t="s">
        <v>35</v>
      </c>
      <c r="B22" s="51">
        <f t="shared" si="0"/>
        <v>65</v>
      </c>
      <c r="C22" s="51" t="s">
        <v>3</v>
      </c>
      <c r="D22" s="51">
        <f t="shared" si="1"/>
        <v>160</v>
      </c>
      <c r="E22" s="51" t="s">
        <v>3</v>
      </c>
      <c r="F22" s="110">
        <f t="shared" si="2"/>
        <v>1200</v>
      </c>
      <c r="G22" s="51" t="s">
        <v>3</v>
      </c>
      <c r="H22" s="48">
        <v>2</v>
      </c>
      <c r="I22" s="49" t="s">
        <v>45</v>
      </c>
      <c r="J22" s="184">
        <v>65</v>
      </c>
      <c r="K22" s="113">
        <v>160</v>
      </c>
      <c r="L22" s="113">
        <v>1200</v>
      </c>
      <c r="M22" s="185">
        <v>6.9407939142007145</v>
      </c>
      <c r="N22" s="87">
        <v>155.02587299999999</v>
      </c>
      <c r="O22" s="119">
        <v>14209.55126859544</v>
      </c>
      <c r="P22" s="121">
        <v>16741.813291425227</v>
      </c>
      <c r="Q22" s="310">
        <v>7281.0443444874772</v>
      </c>
      <c r="R22" s="314">
        <v>21490.595613082918</v>
      </c>
      <c r="S22" s="315">
        <v>24022.857635912704</v>
      </c>
      <c r="U22" s="7" t="s">
        <v>875</v>
      </c>
    </row>
    <row r="23" spans="1:21" s="74" customFormat="1" ht="16.5" customHeight="1" thickBot="1">
      <c r="A23" s="50" t="s">
        <v>35</v>
      </c>
      <c r="B23" s="51">
        <f t="shared" si="0"/>
        <v>65</v>
      </c>
      <c r="C23" s="51" t="s">
        <v>3</v>
      </c>
      <c r="D23" s="51">
        <f t="shared" si="1"/>
        <v>160</v>
      </c>
      <c r="E23" s="51" t="s">
        <v>3</v>
      </c>
      <c r="F23" s="110">
        <f t="shared" si="2"/>
        <v>1250</v>
      </c>
      <c r="G23" s="51" t="s">
        <v>3</v>
      </c>
      <c r="H23" s="48">
        <v>2</v>
      </c>
      <c r="I23" s="49" t="s">
        <v>45</v>
      </c>
      <c r="J23" s="184">
        <v>65</v>
      </c>
      <c r="K23" s="113">
        <v>160</v>
      </c>
      <c r="L23" s="113">
        <v>1250</v>
      </c>
      <c r="M23" s="185">
        <v>7.21173384586643</v>
      </c>
      <c r="N23" s="87">
        <v>164.14504199999999</v>
      </c>
      <c r="O23" s="119">
        <v>14601.548630192739</v>
      </c>
      <c r="P23" s="121">
        <v>17222.213685914892</v>
      </c>
      <c r="Q23" s="310">
        <v>7582.6780798851014</v>
      </c>
      <c r="R23" s="314">
        <v>22184.226710077841</v>
      </c>
      <c r="S23" s="315">
        <v>24804.891765799992</v>
      </c>
      <c r="U23" s="7" t="s">
        <v>876</v>
      </c>
    </row>
    <row r="24" spans="1:21" s="74" customFormat="1" ht="16.5" customHeight="1" thickBot="1">
      <c r="A24" s="50" t="s">
        <v>35</v>
      </c>
      <c r="B24" s="51">
        <f t="shared" si="0"/>
        <v>65</v>
      </c>
      <c r="C24" s="51" t="s">
        <v>3</v>
      </c>
      <c r="D24" s="51">
        <f t="shared" si="1"/>
        <v>160</v>
      </c>
      <c r="E24" s="51" t="s">
        <v>3</v>
      </c>
      <c r="F24" s="110">
        <f t="shared" si="2"/>
        <v>1300</v>
      </c>
      <c r="G24" s="51" t="s">
        <v>3</v>
      </c>
      <c r="H24" s="48">
        <v>2</v>
      </c>
      <c r="I24" s="49" t="s">
        <v>45</v>
      </c>
      <c r="J24" s="184">
        <v>65</v>
      </c>
      <c r="K24" s="113">
        <v>160</v>
      </c>
      <c r="L24" s="113">
        <v>1300</v>
      </c>
      <c r="M24" s="185">
        <v>7.4826737775321428</v>
      </c>
      <c r="N24" s="87">
        <v>173.26421099999999</v>
      </c>
      <c r="O24" s="119">
        <v>14993.546132183403</v>
      </c>
      <c r="P24" s="121">
        <v>17702.614080404554</v>
      </c>
      <c r="Q24" s="310">
        <v>7884.3118152827265</v>
      </c>
      <c r="R24" s="314">
        <v>22877.857947466131</v>
      </c>
      <c r="S24" s="315">
        <v>25586.92589568728</v>
      </c>
      <c r="U24" s="7" t="s">
        <v>877</v>
      </c>
    </row>
    <row r="25" spans="1:21" s="74" customFormat="1" ht="16.5" customHeight="1" thickBot="1">
      <c r="A25" s="50" t="s">
        <v>35</v>
      </c>
      <c r="B25" s="51">
        <f t="shared" si="0"/>
        <v>65</v>
      </c>
      <c r="C25" s="51" t="s">
        <v>3</v>
      </c>
      <c r="D25" s="51">
        <f t="shared" si="1"/>
        <v>160</v>
      </c>
      <c r="E25" s="51" t="s">
        <v>3</v>
      </c>
      <c r="F25" s="110">
        <f t="shared" si="2"/>
        <v>1350</v>
      </c>
      <c r="G25" s="51" t="s">
        <v>3</v>
      </c>
      <c r="H25" s="48">
        <v>2</v>
      </c>
      <c r="I25" s="49" t="s">
        <v>45</v>
      </c>
      <c r="J25" s="184">
        <v>65</v>
      </c>
      <c r="K25" s="113">
        <v>160</v>
      </c>
      <c r="L25" s="113">
        <v>1350</v>
      </c>
      <c r="M25" s="185">
        <v>7.7536137091978574</v>
      </c>
      <c r="N25" s="87">
        <v>182.38337999999999</v>
      </c>
      <c r="O25" s="119">
        <v>15385.543493780704</v>
      </c>
      <c r="P25" s="121">
        <v>18183.014474894218</v>
      </c>
      <c r="Q25" s="310">
        <v>8185.9456910737144</v>
      </c>
      <c r="R25" s="314">
        <v>23571.489184854418</v>
      </c>
      <c r="S25" s="315">
        <v>26368.960165967932</v>
      </c>
      <c r="U25" s="7" t="s">
        <v>878</v>
      </c>
    </row>
    <row r="26" spans="1:21" s="74" customFormat="1" ht="16.5" customHeight="1" thickBot="1">
      <c r="A26" s="50" t="s">
        <v>35</v>
      </c>
      <c r="B26" s="51">
        <f t="shared" si="0"/>
        <v>65</v>
      </c>
      <c r="C26" s="51" t="s">
        <v>3</v>
      </c>
      <c r="D26" s="51">
        <f t="shared" si="1"/>
        <v>160</v>
      </c>
      <c r="E26" s="51" t="s">
        <v>3</v>
      </c>
      <c r="F26" s="110">
        <f t="shared" si="2"/>
        <v>1400</v>
      </c>
      <c r="G26" s="51" t="s">
        <v>3</v>
      </c>
      <c r="H26" s="48">
        <v>2</v>
      </c>
      <c r="I26" s="49" t="s">
        <v>45</v>
      </c>
      <c r="J26" s="184">
        <v>65</v>
      </c>
      <c r="K26" s="113">
        <v>160</v>
      </c>
      <c r="L26" s="113">
        <v>1400</v>
      </c>
      <c r="M26" s="185">
        <v>8.0245536408635711</v>
      </c>
      <c r="N26" s="87">
        <v>191.50254899999999</v>
      </c>
      <c r="O26" s="119">
        <v>15777.540855378003</v>
      </c>
      <c r="P26" s="121">
        <v>18663.41486938388</v>
      </c>
      <c r="Q26" s="310">
        <v>8487.5794264713404</v>
      </c>
      <c r="R26" s="314">
        <v>24265.120281849344</v>
      </c>
      <c r="S26" s="315">
        <v>27150.99429585522</v>
      </c>
      <c r="U26" s="7" t="s">
        <v>879</v>
      </c>
    </row>
    <row r="27" spans="1:21" s="74" customFormat="1" ht="16.5" customHeight="1" thickBot="1">
      <c r="A27" s="50" t="s">
        <v>35</v>
      </c>
      <c r="B27" s="51">
        <f t="shared" si="0"/>
        <v>65</v>
      </c>
      <c r="C27" s="51" t="s">
        <v>3</v>
      </c>
      <c r="D27" s="51">
        <f t="shared" si="1"/>
        <v>160</v>
      </c>
      <c r="E27" s="51" t="s">
        <v>3</v>
      </c>
      <c r="F27" s="110">
        <f t="shared" si="2"/>
        <v>1450</v>
      </c>
      <c r="G27" s="51" t="s">
        <v>3</v>
      </c>
      <c r="H27" s="48">
        <v>2</v>
      </c>
      <c r="I27" s="49" t="s">
        <v>45</v>
      </c>
      <c r="J27" s="184">
        <v>65</v>
      </c>
      <c r="K27" s="113">
        <v>160</v>
      </c>
      <c r="L27" s="113">
        <v>1450</v>
      </c>
      <c r="M27" s="185">
        <v>8.2954935725292867</v>
      </c>
      <c r="N27" s="87">
        <v>200.62171800000002</v>
      </c>
      <c r="O27" s="119">
        <v>16169.538216975305</v>
      </c>
      <c r="P27" s="121">
        <v>19143.815123480177</v>
      </c>
      <c r="Q27" s="310">
        <v>8789.2131618689637</v>
      </c>
      <c r="R27" s="314">
        <v>24958.751378844267</v>
      </c>
      <c r="S27" s="315">
        <v>27933.028285349141</v>
      </c>
      <c r="U27" s="7" t="s">
        <v>880</v>
      </c>
    </row>
    <row r="28" spans="1:21" s="74" customFormat="1" ht="16.5" customHeight="1" thickBot="1">
      <c r="A28" s="50" t="s">
        <v>35</v>
      </c>
      <c r="B28" s="51">
        <f t="shared" si="0"/>
        <v>65</v>
      </c>
      <c r="C28" s="51" t="s">
        <v>3</v>
      </c>
      <c r="D28" s="51">
        <f t="shared" si="1"/>
        <v>160</v>
      </c>
      <c r="E28" s="51" t="s">
        <v>3</v>
      </c>
      <c r="F28" s="110">
        <f t="shared" si="2"/>
        <v>1500</v>
      </c>
      <c r="G28" s="51" t="s">
        <v>3</v>
      </c>
      <c r="H28" s="48">
        <v>2</v>
      </c>
      <c r="I28" s="49" t="s">
        <v>45</v>
      </c>
      <c r="J28" s="184">
        <v>65</v>
      </c>
      <c r="K28" s="113">
        <v>160</v>
      </c>
      <c r="L28" s="113">
        <v>1500</v>
      </c>
      <c r="M28" s="185">
        <v>8.638195932995</v>
      </c>
      <c r="N28" s="87">
        <v>209.74088699999996</v>
      </c>
      <c r="O28" s="119">
        <v>17100.970820420065</v>
      </c>
      <c r="P28" s="121">
        <v>20071.705181208978</v>
      </c>
      <c r="Q28" s="310">
        <v>9090.8468972665887</v>
      </c>
      <c r="R28" s="314">
        <v>26191.817717686652</v>
      </c>
      <c r="S28" s="315">
        <v>29162.552078475564</v>
      </c>
      <c r="U28" s="7" t="s">
        <v>881</v>
      </c>
    </row>
    <row r="29" spans="1:21" s="74" customFormat="1" ht="16.5" customHeight="1" thickBot="1">
      <c r="A29" s="50" t="s">
        <v>35</v>
      </c>
      <c r="B29" s="51">
        <f t="shared" si="0"/>
        <v>65</v>
      </c>
      <c r="C29" s="51" t="s">
        <v>3</v>
      </c>
      <c r="D29" s="51">
        <f t="shared" si="1"/>
        <v>160</v>
      </c>
      <c r="E29" s="51" t="s">
        <v>3</v>
      </c>
      <c r="F29" s="110">
        <f t="shared" si="2"/>
        <v>1550</v>
      </c>
      <c r="G29" s="51" t="s">
        <v>3</v>
      </c>
      <c r="H29" s="48">
        <v>2</v>
      </c>
      <c r="I29" s="49" t="s">
        <v>45</v>
      </c>
      <c r="J29" s="184">
        <v>65</v>
      </c>
      <c r="K29" s="113">
        <v>160</v>
      </c>
      <c r="L29" s="113">
        <v>1550</v>
      </c>
      <c r="M29" s="185">
        <v>8.9091358646607155</v>
      </c>
      <c r="N29" s="87">
        <v>218.86005599999999</v>
      </c>
      <c r="O29" s="119">
        <v>17492.968182017365</v>
      </c>
      <c r="P29" s="121">
        <v>20552.105575698642</v>
      </c>
      <c r="Q29" s="310">
        <v>9392.4807730575776</v>
      </c>
      <c r="R29" s="314">
        <v>26885.448955074942</v>
      </c>
      <c r="S29" s="315">
        <v>29944.58634875622</v>
      </c>
      <c r="U29" s="7" t="s">
        <v>882</v>
      </c>
    </row>
    <row r="30" spans="1:21" s="74" customFormat="1" ht="16.5" customHeight="1" thickBot="1">
      <c r="A30" s="47" t="s">
        <v>35</v>
      </c>
      <c r="B30" s="48">
        <f t="shared" si="0"/>
        <v>65</v>
      </c>
      <c r="C30" s="48" t="s">
        <v>3</v>
      </c>
      <c r="D30" s="48">
        <f t="shared" si="1"/>
        <v>160</v>
      </c>
      <c r="E30" s="48" t="s">
        <v>3</v>
      </c>
      <c r="F30" s="110">
        <f t="shared" si="2"/>
        <v>1600</v>
      </c>
      <c r="G30" s="48" t="s">
        <v>3</v>
      </c>
      <c r="H30" s="48">
        <v>2</v>
      </c>
      <c r="I30" s="49" t="s">
        <v>45</v>
      </c>
      <c r="J30" s="184">
        <v>65</v>
      </c>
      <c r="K30" s="113">
        <v>160</v>
      </c>
      <c r="L30" s="113">
        <v>1600</v>
      </c>
      <c r="M30" s="185">
        <v>9.1800757963264292</v>
      </c>
      <c r="N30" s="87">
        <v>227.97922499999999</v>
      </c>
      <c r="O30" s="119">
        <v>17884.965543614664</v>
      </c>
      <c r="P30" s="121">
        <v>21032.505970188304</v>
      </c>
      <c r="Q30" s="310">
        <v>9694.1145084552027</v>
      </c>
      <c r="R30" s="314">
        <v>27579.080052069869</v>
      </c>
      <c r="S30" s="315">
        <v>30726.620478643505</v>
      </c>
      <c r="U30" s="7" t="s">
        <v>883</v>
      </c>
    </row>
    <row r="31" spans="1:21" s="74" customFormat="1" ht="16.5" customHeight="1" thickBot="1">
      <c r="A31" s="50" t="s">
        <v>35</v>
      </c>
      <c r="B31" s="51">
        <f t="shared" si="0"/>
        <v>65</v>
      </c>
      <c r="C31" s="51" t="s">
        <v>3</v>
      </c>
      <c r="D31" s="51">
        <f t="shared" si="1"/>
        <v>160</v>
      </c>
      <c r="E31" s="51" t="s">
        <v>3</v>
      </c>
      <c r="F31" s="110">
        <f t="shared" si="2"/>
        <v>1650</v>
      </c>
      <c r="G31" s="51" t="s">
        <v>3</v>
      </c>
      <c r="H31" s="48">
        <v>2</v>
      </c>
      <c r="I31" s="49" t="s">
        <v>45</v>
      </c>
      <c r="J31" s="184">
        <v>65</v>
      </c>
      <c r="K31" s="113">
        <v>160</v>
      </c>
      <c r="L31" s="113">
        <v>1650</v>
      </c>
      <c r="M31" s="185">
        <v>9.451015727992143</v>
      </c>
      <c r="N31" s="87">
        <v>237.09839399999998</v>
      </c>
      <c r="O31" s="119">
        <v>18276.962905211967</v>
      </c>
      <c r="P31" s="121">
        <v>21512.906364677969</v>
      </c>
      <c r="Q31" s="310">
        <v>9995.7482438528277</v>
      </c>
      <c r="R31" s="314">
        <v>28272.711149064795</v>
      </c>
      <c r="S31" s="315">
        <v>31508.654608530796</v>
      </c>
      <c r="U31" s="7" t="s">
        <v>884</v>
      </c>
    </row>
    <row r="32" spans="1:21" s="74" customFormat="1" ht="16.5" customHeight="1" thickBot="1">
      <c r="A32" s="50" t="s">
        <v>35</v>
      </c>
      <c r="B32" s="51">
        <f t="shared" si="0"/>
        <v>65</v>
      </c>
      <c r="C32" s="51" t="s">
        <v>3</v>
      </c>
      <c r="D32" s="51">
        <f t="shared" si="1"/>
        <v>160</v>
      </c>
      <c r="E32" s="51" t="s">
        <v>3</v>
      </c>
      <c r="F32" s="110">
        <f t="shared" si="2"/>
        <v>1700</v>
      </c>
      <c r="G32" s="51" t="s">
        <v>3</v>
      </c>
      <c r="H32" s="48">
        <v>2</v>
      </c>
      <c r="I32" s="49" t="s">
        <v>45</v>
      </c>
      <c r="J32" s="184">
        <v>65</v>
      </c>
      <c r="K32" s="113">
        <v>160</v>
      </c>
      <c r="L32" s="113">
        <v>1700</v>
      </c>
      <c r="M32" s="185">
        <v>9.7219556596578585</v>
      </c>
      <c r="N32" s="87">
        <v>246.21756300000001</v>
      </c>
      <c r="O32" s="119">
        <v>18668.96040720263</v>
      </c>
      <c r="P32" s="121">
        <v>21993.306618774266</v>
      </c>
      <c r="Q32" s="310">
        <v>10297.382119643815</v>
      </c>
      <c r="R32" s="314">
        <v>28966.342526846445</v>
      </c>
      <c r="S32" s="315">
        <v>32290.688738418081</v>
      </c>
      <c r="U32" s="7" t="s">
        <v>885</v>
      </c>
    </row>
    <row r="33" spans="1:21" s="74" customFormat="1" ht="16.5" customHeight="1" thickBot="1">
      <c r="A33" s="50" t="s">
        <v>35</v>
      </c>
      <c r="B33" s="51">
        <f t="shared" si="0"/>
        <v>65</v>
      </c>
      <c r="C33" s="51" t="s">
        <v>3</v>
      </c>
      <c r="D33" s="51">
        <f t="shared" si="1"/>
        <v>160</v>
      </c>
      <c r="E33" s="51" t="s">
        <v>3</v>
      </c>
      <c r="F33" s="110">
        <f t="shared" si="2"/>
        <v>1750</v>
      </c>
      <c r="G33" s="51" t="s">
        <v>3</v>
      </c>
      <c r="H33" s="48">
        <v>2</v>
      </c>
      <c r="I33" s="49" t="s">
        <v>45</v>
      </c>
      <c r="J33" s="184">
        <v>65</v>
      </c>
      <c r="K33" s="113">
        <v>160</v>
      </c>
      <c r="L33" s="113">
        <v>1750</v>
      </c>
      <c r="M33" s="185">
        <v>9.9928955913235722</v>
      </c>
      <c r="N33" s="87">
        <v>255.33673199999996</v>
      </c>
      <c r="O33" s="119">
        <v>19060.95776879993</v>
      </c>
      <c r="P33" s="121">
        <v>22473.707013263927</v>
      </c>
      <c r="Q33" s="310">
        <v>10599.01585504144</v>
      </c>
      <c r="R33" s="314">
        <v>29659.973623841368</v>
      </c>
      <c r="S33" s="315">
        <v>33072.722868305369</v>
      </c>
      <c r="U33" s="7" t="s">
        <v>886</v>
      </c>
    </row>
    <row r="34" spans="1:21" s="74" customFormat="1" ht="16.5" customHeight="1" thickBot="1">
      <c r="A34" s="50" t="s">
        <v>35</v>
      </c>
      <c r="B34" s="51">
        <f t="shared" si="0"/>
        <v>65</v>
      </c>
      <c r="C34" s="51" t="s">
        <v>3</v>
      </c>
      <c r="D34" s="51">
        <f t="shared" si="1"/>
        <v>160</v>
      </c>
      <c r="E34" s="51" t="s">
        <v>3</v>
      </c>
      <c r="F34" s="110">
        <f t="shared" si="2"/>
        <v>1800</v>
      </c>
      <c r="G34" s="51" t="s">
        <v>3</v>
      </c>
      <c r="H34" s="48">
        <v>2</v>
      </c>
      <c r="I34" s="49" t="s">
        <v>45</v>
      </c>
      <c r="J34" s="184">
        <v>65</v>
      </c>
      <c r="K34" s="113">
        <v>160</v>
      </c>
      <c r="L34" s="113">
        <v>1800</v>
      </c>
      <c r="M34" s="185">
        <v>10.263835522989286</v>
      </c>
      <c r="N34" s="87">
        <v>264.45590099999998</v>
      </c>
      <c r="O34" s="119">
        <v>19452.955130397229</v>
      </c>
      <c r="P34" s="121">
        <v>22954.107407753592</v>
      </c>
      <c r="Q34" s="310">
        <v>10900.649590439065</v>
      </c>
      <c r="R34" s="314">
        <v>30353.604720836294</v>
      </c>
      <c r="S34" s="315">
        <v>33854.756998192657</v>
      </c>
      <c r="U34" s="7" t="s">
        <v>887</v>
      </c>
    </row>
    <row r="35" spans="1:21" s="74" customFormat="1" ht="16.5" customHeight="1" thickBot="1">
      <c r="A35" s="50" t="s">
        <v>35</v>
      </c>
      <c r="B35" s="51">
        <f t="shared" si="0"/>
        <v>65</v>
      </c>
      <c r="C35" s="51" t="s">
        <v>3</v>
      </c>
      <c r="D35" s="51">
        <f t="shared" si="1"/>
        <v>160</v>
      </c>
      <c r="E35" s="51" t="s">
        <v>3</v>
      </c>
      <c r="F35" s="110">
        <f t="shared" si="2"/>
        <v>1850</v>
      </c>
      <c r="G35" s="51" t="s">
        <v>3</v>
      </c>
      <c r="H35" s="48">
        <v>2</v>
      </c>
      <c r="I35" s="49" t="s">
        <v>45</v>
      </c>
      <c r="J35" s="184">
        <v>65</v>
      </c>
      <c r="K35" s="113">
        <v>160</v>
      </c>
      <c r="L35" s="113">
        <v>1850</v>
      </c>
      <c r="M35" s="185">
        <v>10.534775454655001</v>
      </c>
      <c r="N35" s="87">
        <v>273.57506999999998</v>
      </c>
      <c r="O35" s="119">
        <v>19844.952632387893</v>
      </c>
      <c r="P35" s="121">
        <v>23434.507802243254</v>
      </c>
      <c r="Q35" s="310">
        <v>11202.283466230052</v>
      </c>
      <c r="R35" s="314">
        <v>31047.236098617945</v>
      </c>
      <c r="S35" s="315">
        <v>34636.791268473302</v>
      </c>
      <c r="U35" s="7" t="s">
        <v>888</v>
      </c>
    </row>
    <row r="36" spans="1:21" s="74" customFormat="1" ht="16.5" customHeight="1" thickBot="1">
      <c r="A36" s="50" t="s">
        <v>35</v>
      </c>
      <c r="B36" s="51">
        <f t="shared" si="0"/>
        <v>65</v>
      </c>
      <c r="C36" s="51" t="s">
        <v>3</v>
      </c>
      <c r="D36" s="51">
        <f t="shared" si="1"/>
        <v>160</v>
      </c>
      <c r="E36" s="51" t="s">
        <v>3</v>
      </c>
      <c r="F36" s="110">
        <f t="shared" si="2"/>
        <v>1900</v>
      </c>
      <c r="G36" s="51" t="s">
        <v>3</v>
      </c>
      <c r="H36" s="48">
        <v>2</v>
      </c>
      <c r="I36" s="49" t="s">
        <v>45</v>
      </c>
      <c r="J36" s="184">
        <v>65</v>
      </c>
      <c r="K36" s="113">
        <v>160</v>
      </c>
      <c r="L36" s="113">
        <v>1900</v>
      </c>
      <c r="M36" s="185">
        <v>10.805715386320713</v>
      </c>
      <c r="N36" s="87">
        <v>282.69423899999998</v>
      </c>
      <c r="O36" s="119">
        <v>20236.949993985192</v>
      </c>
      <c r="P36" s="121">
        <v>23914.908196732918</v>
      </c>
      <c r="Q36" s="310">
        <v>11503.917201627679</v>
      </c>
      <c r="R36" s="314">
        <v>31740.867195612871</v>
      </c>
      <c r="S36" s="315">
        <v>35418.825398360597</v>
      </c>
      <c r="U36" s="7" t="s">
        <v>889</v>
      </c>
    </row>
    <row r="37" spans="1:21" s="74" customFormat="1" ht="16.5" customHeight="1" thickBot="1">
      <c r="A37" s="50" t="s">
        <v>35</v>
      </c>
      <c r="B37" s="51">
        <f t="shared" si="0"/>
        <v>65</v>
      </c>
      <c r="C37" s="51" t="s">
        <v>3</v>
      </c>
      <c r="D37" s="51">
        <f t="shared" si="1"/>
        <v>160</v>
      </c>
      <c r="E37" s="51" t="s">
        <v>3</v>
      </c>
      <c r="F37" s="110">
        <f t="shared" si="2"/>
        <v>1950</v>
      </c>
      <c r="G37" s="51" t="s">
        <v>3</v>
      </c>
      <c r="H37" s="48">
        <v>2</v>
      </c>
      <c r="I37" s="49" t="s">
        <v>45</v>
      </c>
      <c r="J37" s="184">
        <v>65</v>
      </c>
      <c r="K37" s="113">
        <v>160</v>
      </c>
      <c r="L37" s="113">
        <v>1950</v>
      </c>
      <c r="M37" s="185">
        <v>11.11590531798643</v>
      </c>
      <c r="N37" s="87">
        <v>291.81340799999998</v>
      </c>
      <c r="O37" s="119">
        <v>20674.819202059018</v>
      </c>
      <c r="P37" s="121">
        <v>24439.782119808606</v>
      </c>
      <c r="Q37" s="310">
        <v>11805.550937025304</v>
      </c>
      <c r="R37" s="314">
        <v>32480.37013908432</v>
      </c>
      <c r="S37" s="315">
        <v>36245.333056833908</v>
      </c>
      <c r="U37" s="7" t="s">
        <v>890</v>
      </c>
    </row>
    <row r="38" spans="1:21" s="74" customFormat="1" ht="16.5" customHeight="1" thickBot="1">
      <c r="A38" s="50" t="s">
        <v>35</v>
      </c>
      <c r="B38" s="51">
        <f t="shared" si="0"/>
        <v>65</v>
      </c>
      <c r="C38" s="51" t="s">
        <v>3</v>
      </c>
      <c r="D38" s="51">
        <f t="shared" si="1"/>
        <v>160</v>
      </c>
      <c r="E38" s="51" t="s">
        <v>3</v>
      </c>
      <c r="F38" s="110">
        <f t="shared" si="2"/>
        <v>2000</v>
      </c>
      <c r="G38" s="51" t="s">
        <v>3</v>
      </c>
      <c r="H38" s="48">
        <v>2</v>
      </c>
      <c r="I38" s="49" t="s">
        <v>45</v>
      </c>
      <c r="J38" s="184">
        <v>65</v>
      </c>
      <c r="K38" s="113">
        <v>160</v>
      </c>
      <c r="L38" s="113">
        <v>2000</v>
      </c>
      <c r="M38" s="185">
        <v>11.478407649652144</v>
      </c>
      <c r="N38" s="87">
        <v>300.93257699999998</v>
      </c>
      <c r="O38" s="119">
        <v>21297.359592871544</v>
      </c>
      <c r="P38" s="121">
        <v>25221.493064175418</v>
      </c>
      <c r="Q38" s="310">
        <v>12107.184812816291</v>
      </c>
      <c r="R38" s="314">
        <v>33404.544405687833</v>
      </c>
      <c r="S38" s="315">
        <v>37328.677876991707</v>
      </c>
      <c r="U38" s="7" t="s">
        <v>891</v>
      </c>
    </row>
    <row r="39" spans="1:21" s="74" customFormat="1" ht="16.5" customHeight="1" thickBot="1">
      <c r="A39" s="50" t="s">
        <v>35</v>
      </c>
      <c r="B39" s="51">
        <f t="shared" si="0"/>
        <v>65</v>
      </c>
      <c r="C39" s="51" t="s">
        <v>3</v>
      </c>
      <c r="D39" s="51">
        <f t="shared" si="1"/>
        <v>160</v>
      </c>
      <c r="E39" s="51" t="s">
        <v>3</v>
      </c>
      <c r="F39" s="110">
        <f t="shared" si="2"/>
        <v>2050</v>
      </c>
      <c r="G39" s="51" t="s">
        <v>3</v>
      </c>
      <c r="H39" s="48">
        <v>2</v>
      </c>
      <c r="I39" s="49" t="s">
        <v>45</v>
      </c>
      <c r="J39" s="184">
        <v>65</v>
      </c>
      <c r="K39" s="113">
        <v>160</v>
      </c>
      <c r="L39" s="113">
        <v>2050</v>
      </c>
      <c r="M39" s="185">
        <v>11.749347581317856</v>
      </c>
      <c r="N39" s="87">
        <v>310.05174599999998</v>
      </c>
      <c r="O39" s="119">
        <v>21689.35695446884</v>
      </c>
      <c r="P39" s="121">
        <v>25701.893458665083</v>
      </c>
      <c r="Q39" s="310">
        <v>12408.818548213916</v>
      </c>
      <c r="R39" s="314">
        <v>34098.17550268276</v>
      </c>
      <c r="S39" s="315">
        <v>38110.712006878995</v>
      </c>
      <c r="U39" s="7" t="s">
        <v>892</v>
      </c>
    </row>
    <row r="40" spans="1:21" s="74" customFormat="1" ht="16.5" customHeight="1" thickBot="1">
      <c r="A40" s="47" t="s">
        <v>35</v>
      </c>
      <c r="B40" s="48">
        <f t="shared" si="0"/>
        <v>65</v>
      </c>
      <c r="C40" s="48" t="s">
        <v>3</v>
      </c>
      <c r="D40" s="48">
        <f t="shared" si="1"/>
        <v>160</v>
      </c>
      <c r="E40" s="48" t="s">
        <v>3</v>
      </c>
      <c r="F40" s="110">
        <f t="shared" si="2"/>
        <v>2100</v>
      </c>
      <c r="G40" s="48" t="s">
        <v>3</v>
      </c>
      <c r="H40" s="48">
        <v>2</v>
      </c>
      <c r="I40" s="49" t="s">
        <v>45</v>
      </c>
      <c r="J40" s="184">
        <v>65</v>
      </c>
      <c r="K40" s="113">
        <v>160</v>
      </c>
      <c r="L40" s="113">
        <v>2100</v>
      </c>
      <c r="M40" s="185">
        <v>12.020287512983568</v>
      </c>
      <c r="N40" s="87">
        <v>319.17091499999998</v>
      </c>
      <c r="O40" s="119">
        <v>22081.354316066143</v>
      </c>
      <c r="P40" s="121">
        <v>26182.293853154741</v>
      </c>
      <c r="Q40" s="310">
        <v>12710.452283611541</v>
      </c>
      <c r="R40" s="314">
        <v>34791.806599677686</v>
      </c>
      <c r="S40" s="315">
        <v>38892.746136766284</v>
      </c>
      <c r="U40" s="7" t="s">
        <v>893</v>
      </c>
    </row>
    <row r="41" spans="1:21" s="74" customFormat="1" ht="16.5" customHeight="1" thickBot="1">
      <c r="A41" s="50" t="s">
        <v>35</v>
      </c>
      <c r="B41" s="51">
        <f t="shared" si="0"/>
        <v>65</v>
      </c>
      <c r="C41" s="51" t="s">
        <v>3</v>
      </c>
      <c r="D41" s="51">
        <f t="shared" si="1"/>
        <v>160</v>
      </c>
      <c r="E41" s="51" t="s">
        <v>3</v>
      </c>
      <c r="F41" s="110">
        <f t="shared" si="2"/>
        <v>2150</v>
      </c>
      <c r="G41" s="51" t="s">
        <v>3</v>
      </c>
      <c r="H41" s="48">
        <v>2</v>
      </c>
      <c r="I41" s="49" t="s">
        <v>45</v>
      </c>
      <c r="J41" s="184">
        <v>65</v>
      </c>
      <c r="K41" s="113">
        <v>160</v>
      </c>
      <c r="L41" s="113">
        <v>2150</v>
      </c>
      <c r="M41" s="185">
        <v>12.291227444649284</v>
      </c>
      <c r="N41" s="87">
        <v>328.29008399999998</v>
      </c>
      <c r="O41" s="119">
        <v>22473.351677663442</v>
      </c>
      <c r="P41" s="121">
        <v>26662.694107251042</v>
      </c>
      <c r="Q41" s="310">
        <v>13012.086019009166</v>
      </c>
      <c r="R41" s="314">
        <v>35485.437696672612</v>
      </c>
      <c r="S41" s="315">
        <v>39674.780126260208</v>
      </c>
      <c r="U41" s="7" t="s">
        <v>894</v>
      </c>
    </row>
    <row r="42" spans="1:21" s="74" customFormat="1" ht="16.5" customHeight="1" thickBot="1">
      <c r="A42" s="50" t="s">
        <v>35</v>
      </c>
      <c r="B42" s="51">
        <f t="shared" si="0"/>
        <v>65</v>
      </c>
      <c r="C42" s="51" t="s">
        <v>3</v>
      </c>
      <c r="D42" s="51">
        <f t="shared" si="1"/>
        <v>160</v>
      </c>
      <c r="E42" s="51" t="s">
        <v>3</v>
      </c>
      <c r="F42" s="110">
        <f t="shared" si="2"/>
        <v>2200</v>
      </c>
      <c r="G42" s="51" t="s">
        <v>3</v>
      </c>
      <c r="H42" s="48">
        <v>2</v>
      </c>
      <c r="I42" s="49" t="s">
        <v>45</v>
      </c>
      <c r="J42" s="184">
        <v>65</v>
      </c>
      <c r="K42" s="113">
        <v>160</v>
      </c>
      <c r="L42" s="113">
        <v>2200</v>
      </c>
      <c r="M42" s="185">
        <v>12.562167376314997</v>
      </c>
      <c r="N42" s="87">
        <v>337.40925299999998</v>
      </c>
      <c r="O42" s="119">
        <v>22865.349179654106</v>
      </c>
      <c r="P42" s="121">
        <v>27143.094501740707</v>
      </c>
      <c r="Q42" s="310">
        <v>13313.719894800153</v>
      </c>
      <c r="R42" s="314">
        <v>36179.069074454259</v>
      </c>
      <c r="S42" s="315">
        <v>40456.81439654086</v>
      </c>
      <c r="U42" s="7" t="s">
        <v>895</v>
      </c>
    </row>
    <row r="43" spans="1:21" s="74" customFormat="1" ht="16.5" customHeight="1" thickBot="1">
      <c r="A43" s="50" t="s">
        <v>35</v>
      </c>
      <c r="B43" s="51">
        <f t="shared" si="0"/>
        <v>65</v>
      </c>
      <c r="C43" s="51" t="s">
        <v>3</v>
      </c>
      <c r="D43" s="51">
        <f t="shared" si="1"/>
        <v>160</v>
      </c>
      <c r="E43" s="51" t="s">
        <v>3</v>
      </c>
      <c r="F43" s="110">
        <f t="shared" si="2"/>
        <v>2250</v>
      </c>
      <c r="G43" s="51" t="s">
        <v>3</v>
      </c>
      <c r="H43" s="48">
        <v>2</v>
      </c>
      <c r="I43" s="49" t="s">
        <v>45</v>
      </c>
      <c r="J43" s="184">
        <v>65</v>
      </c>
      <c r="K43" s="113">
        <v>160</v>
      </c>
      <c r="L43" s="113">
        <v>2250</v>
      </c>
      <c r="M43" s="185">
        <v>12.833107307980715</v>
      </c>
      <c r="N43" s="87">
        <v>346.52842199999998</v>
      </c>
      <c r="O43" s="119">
        <v>23257.346541251405</v>
      </c>
      <c r="P43" s="121">
        <v>27623.494896230368</v>
      </c>
      <c r="Q43" s="310">
        <v>13615.353630197778</v>
      </c>
      <c r="R43" s="314">
        <v>36872.700171449185</v>
      </c>
      <c r="S43" s="315">
        <v>41238.848526428148</v>
      </c>
      <c r="U43" s="7" t="s">
        <v>896</v>
      </c>
    </row>
    <row r="44" spans="1:21" s="74" customFormat="1" ht="16.5" customHeight="1" thickBot="1">
      <c r="A44" s="50" t="s">
        <v>35</v>
      </c>
      <c r="B44" s="51">
        <f t="shared" si="0"/>
        <v>65</v>
      </c>
      <c r="C44" s="51" t="s">
        <v>3</v>
      </c>
      <c r="D44" s="51">
        <f t="shared" si="1"/>
        <v>160</v>
      </c>
      <c r="E44" s="51" t="s">
        <v>3</v>
      </c>
      <c r="F44" s="110">
        <f t="shared" si="2"/>
        <v>2300</v>
      </c>
      <c r="G44" s="51" t="s">
        <v>3</v>
      </c>
      <c r="H44" s="48">
        <v>2</v>
      </c>
      <c r="I44" s="49" t="s">
        <v>45</v>
      </c>
      <c r="J44" s="184">
        <v>65</v>
      </c>
      <c r="K44" s="113">
        <v>160</v>
      </c>
      <c r="L44" s="113">
        <v>2300</v>
      </c>
      <c r="M44" s="185">
        <v>13.104047239646427</v>
      </c>
      <c r="N44" s="87">
        <v>355.64759099999998</v>
      </c>
      <c r="O44" s="119">
        <v>23649.343902848708</v>
      </c>
      <c r="P44" s="121">
        <v>28103.895290720033</v>
      </c>
      <c r="Q44" s="310">
        <v>13916.987365595403</v>
      </c>
      <c r="R44" s="314">
        <v>37566.331268444112</v>
      </c>
      <c r="S44" s="315">
        <v>42020.882656315436</v>
      </c>
      <c r="U44" s="7" t="s">
        <v>897</v>
      </c>
    </row>
    <row r="45" spans="1:21" s="74" customFormat="1" ht="16.5" customHeight="1" thickBot="1">
      <c r="A45" s="50" t="s">
        <v>35</v>
      </c>
      <c r="B45" s="51">
        <f t="shared" si="0"/>
        <v>65</v>
      </c>
      <c r="C45" s="51" t="s">
        <v>3</v>
      </c>
      <c r="D45" s="51">
        <f t="shared" si="1"/>
        <v>160</v>
      </c>
      <c r="E45" s="51" t="s">
        <v>3</v>
      </c>
      <c r="F45" s="110">
        <f t="shared" si="2"/>
        <v>2350</v>
      </c>
      <c r="G45" s="51" t="s">
        <v>3</v>
      </c>
      <c r="H45" s="48">
        <v>2</v>
      </c>
      <c r="I45" s="49" t="s">
        <v>45</v>
      </c>
      <c r="J45" s="184">
        <v>65</v>
      </c>
      <c r="K45" s="113">
        <v>160</v>
      </c>
      <c r="L45" s="113">
        <v>2350</v>
      </c>
      <c r="M45" s="185">
        <v>13.374987171312142</v>
      </c>
      <c r="N45" s="87">
        <v>364.76675999999998</v>
      </c>
      <c r="O45" s="119">
        <v>24041.341264446008</v>
      </c>
      <c r="P45" s="121">
        <v>28584.295685209694</v>
      </c>
      <c r="Q45" s="310">
        <v>14218.62124138639</v>
      </c>
      <c r="R45" s="314">
        <v>38259.962505832402</v>
      </c>
      <c r="S45" s="315">
        <v>42802.916926596081</v>
      </c>
      <c r="U45" s="7" t="s">
        <v>898</v>
      </c>
    </row>
    <row r="46" spans="1:21" s="74" customFormat="1" ht="16.5" customHeight="1" thickBot="1">
      <c r="A46" s="50" t="s">
        <v>35</v>
      </c>
      <c r="B46" s="51">
        <f t="shared" si="0"/>
        <v>65</v>
      </c>
      <c r="C46" s="51" t="s">
        <v>3</v>
      </c>
      <c r="D46" s="51">
        <f t="shared" si="1"/>
        <v>160</v>
      </c>
      <c r="E46" s="51" t="s">
        <v>3</v>
      </c>
      <c r="F46" s="110">
        <f t="shared" si="2"/>
        <v>2400</v>
      </c>
      <c r="G46" s="51" t="s">
        <v>3</v>
      </c>
      <c r="H46" s="48">
        <v>2</v>
      </c>
      <c r="I46" s="49" t="s">
        <v>45</v>
      </c>
      <c r="J46" s="184">
        <v>65</v>
      </c>
      <c r="K46" s="113">
        <v>160</v>
      </c>
      <c r="L46" s="113">
        <v>2400</v>
      </c>
      <c r="M46" s="185">
        <v>13.645927102977854</v>
      </c>
      <c r="N46" s="87">
        <v>373.88592899999992</v>
      </c>
      <c r="O46" s="119">
        <v>24433.338766436671</v>
      </c>
      <c r="P46" s="121">
        <v>29064.696079699355</v>
      </c>
      <c r="Q46" s="310">
        <v>14520.254976784016</v>
      </c>
      <c r="R46" s="314">
        <v>38953.593743220685</v>
      </c>
      <c r="S46" s="315">
        <v>43584.951056483369</v>
      </c>
      <c r="U46" s="7" t="s">
        <v>899</v>
      </c>
    </row>
    <row r="47" spans="1:21" s="74" customFormat="1" ht="16.5" customHeight="1" thickBot="1">
      <c r="A47" s="50" t="s">
        <v>35</v>
      </c>
      <c r="B47" s="51">
        <f t="shared" si="0"/>
        <v>65</v>
      </c>
      <c r="C47" s="51" t="s">
        <v>3</v>
      </c>
      <c r="D47" s="51">
        <f t="shared" si="1"/>
        <v>160</v>
      </c>
      <c r="E47" s="51" t="s">
        <v>3</v>
      </c>
      <c r="F47" s="110">
        <f t="shared" si="2"/>
        <v>2450</v>
      </c>
      <c r="G47" s="51" t="s">
        <v>3</v>
      </c>
      <c r="H47" s="48">
        <v>2</v>
      </c>
      <c r="I47" s="49" t="s">
        <v>45</v>
      </c>
      <c r="J47" s="184">
        <v>65</v>
      </c>
      <c r="K47" s="113">
        <v>160</v>
      </c>
      <c r="L47" s="113">
        <v>2450</v>
      </c>
      <c r="M47" s="185">
        <v>13.988629463443569</v>
      </c>
      <c r="N47" s="87">
        <v>383.00509799999998</v>
      </c>
      <c r="O47" s="119">
        <v>25364.771229488066</v>
      </c>
      <c r="P47" s="121">
        <v>29992.585997034796</v>
      </c>
      <c r="Q47" s="310">
        <v>14821.888712181641</v>
      </c>
      <c r="R47" s="314">
        <v>40186.659941669706</v>
      </c>
      <c r="S47" s="315">
        <v>44814.474709216433</v>
      </c>
      <c r="U47" s="7" t="s">
        <v>900</v>
      </c>
    </row>
    <row r="48" spans="1:21" s="74" customFormat="1" ht="16.5" customHeight="1" thickBot="1">
      <c r="A48" s="50" t="s">
        <v>35</v>
      </c>
      <c r="B48" s="51">
        <f t="shared" si="0"/>
        <v>65</v>
      </c>
      <c r="C48" s="51" t="s">
        <v>3</v>
      </c>
      <c r="D48" s="51">
        <f t="shared" si="1"/>
        <v>160</v>
      </c>
      <c r="E48" s="51" t="s">
        <v>3</v>
      </c>
      <c r="F48" s="110">
        <f t="shared" si="2"/>
        <v>2500</v>
      </c>
      <c r="G48" s="51" t="s">
        <v>3</v>
      </c>
      <c r="H48" s="48">
        <v>2</v>
      </c>
      <c r="I48" s="49" t="s">
        <v>45</v>
      </c>
      <c r="J48" s="184">
        <v>65</v>
      </c>
      <c r="K48" s="113">
        <v>160</v>
      </c>
      <c r="L48" s="113">
        <v>2500</v>
      </c>
      <c r="M48" s="185">
        <v>14.259569395109283</v>
      </c>
      <c r="N48" s="87">
        <v>392.12426699999997</v>
      </c>
      <c r="O48" s="119">
        <v>25756.768591085369</v>
      </c>
      <c r="P48" s="121">
        <v>30472.986391524457</v>
      </c>
      <c r="Q48" s="310">
        <v>15123.522587972628</v>
      </c>
      <c r="R48" s="314">
        <v>40880.291179057996</v>
      </c>
      <c r="S48" s="315">
        <v>45596.508979497085</v>
      </c>
      <c r="U48" s="7" t="s">
        <v>901</v>
      </c>
    </row>
    <row r="49" spans="1:21" s="74" customFormat="1" ht="16.5" customHeight="1" thickBot="1">
      <c r="A49" s="50" t="s">
        <v>35</v>
      </c>
      <c r="B49" s="51">
        <f t="shared" si="0"/>
        <v>65</v>
      </c>
      <c r="C49" s="51" t="s">
        <v>3</v>
      </c>
      <c r="D49" s="51">
        <f t="shared" si="1"/>
        <v>160</v>
      </c>
      <c r="E49" s="51" t="s">
        <v>3</v>
      </c>
      <c r="F49" s="110">
        <f t="shared" si="2"/>
        <v>2550</v>
      </c>
      <c r="G49" s="51" t="s">
        <v>3</v>
      </c>
      <c r="H49" s="48">
        <v>2</v>
      </c>
      <c r="I49" s="49" t="s">
        <v>45</v>
      </c>
      <c r="J49" s="184">
        <v>65</v>
      </c>
      <c r="K49" s="113">
        <v>160</v>
      </c>
      <c r="L49" s="113">
        <v>2550</v>
      </c>
      <c r="M49" s="185">
        <v>14.530509326775</v>
      </c>
      <c r="N49" s="87">
        <v>401.24343600000003</v>
      </c>
      <c r="O49" s="119">
        <v>26148.765952682668</v>
      </c>
      <c r="P49" s="121">
        <v>30953.386786014118</v>
      </c>
      <c r="Q49" s="310">
        <v>15425.156323370253</v>
      </c>
      <c r="R49" s="314">
        <v>41573.922276052923</v>
      </c>
      <c r="S49" s="315">
        <v>46378.543109384373</v>
      </c>
      <c r="U49" s="7" t="s">
        <v>902</v>
      </c>
    </row>
    <row r="50" spans="1:21" s="74" customFormat="1" ht="16.5" customHeight="1" thickBot="1">
      <c r="A50" s="47" t="s">
        <v>35</v>
      </c>
      <c r="B50" s="48">
        <f t="shared" si="0"/>
        <v>65</v>
      </c>
      <c r="C50" s="48" t="s">
        <v>3</v>
      </c>
      <c r="D50" s="48">
        <f t="shared" si="1"/>
        <v>160</v>
      </c>
      <c r="E50" s="48" t="s">
        <v>3</v>
      </c>
      <c r="F50" s="110">
        <f t="shared" si="2"/>
        <v>2600</v>
      </c>
      <c r="G50" s="48" t="s">
        <v>3</v>
      </c>
      <c r="H50" s="48">
        <v>2</v>
      </c>
      <c r="I50" s="49" t="s">
        <v>45</v>
      </c>
      <c r="J50" s="184">
        <v>65</v>
      </c>
      <c r="K50" s="113">
        <v>160</v>
      </c>
      <c r="L50" s="113">
        <v>2600</v>
      </c>
      <c r="M50" s="185">
        <v>14.801449258440716</v>
      </c>
      <c r="N50" s="87">
        <v>410.36260499999997</v>
      </c>
      <c r="O50" s="119">
        <v>26540.763454673332</v>
      </c>
      <c r="P50" s="121">
        <v>31433.787180503783</v>
      </c>
      <c r="Q50" s="310">
        <v>15726.790058767878</v>
      </c>
      <c r="R50" s="314">
        <v>42267.553513441206</v>
      </c>
      <c r="S50" s="315">
        <v>47160.577239271661</v>
      </c>
      <c r="U50" s="7" t="s">
        <v>903</v>
      </c>
    </row>
    <row r="51" spans="1:21" s="74" customFormat="1" ht="16.5" customHeight="1" thickBot="1">
      <c r="A51" s="50" t="s">
        <v>35</v>
      </c>
      <c r="B51" s="51">
        <f t="shared" si="0"/>
        <v>65</v>
      </c>
      <c r="C51" s="51" t="s">
        <v>3</v>
      </c>
      <c r="D51" s="51">
        <f t="shared" si="1"/>
        <v>160</v>
      </c>
      <c r="E51" s="51" t="s">
        <v>3</v>
      </c>
      <c r="F51" s="110">
        <f t="shared" si="2"/>
        <v>2650</v>
      </c>
      <c r="G51" s="51" t="s">
        <v>3</v>
      </c>
      <c r="H51" s="48">
        <v>2</v>
      </c>
      <c r="I51" s="49" t="s">
        <v>45</v>
      </c>
      <c r="J51" s="184">
        <v>65</v>
      </c>
      <c r="K51" s="113">
        <v>160</v>
      </c>
      <c r="L51" s="113">
        <v>2650</v>
      </c>
      <c r="M51" s="185">
        <v>15.07238919010643</v>
      </c>
      <c r="N51" s="87">
        <v>419.48177399999992</v>
      </c>
      <c r="O51" s="119">
        <v>26932.760816270631</v>
      </c>
      <c r="P51" s="121">
        <v>31914.187574993444</v>
      </c>
      <c r="Q51" s="310">
        <v>16028.423934558865</v>
      </c>
      <c r="R51" s="314">
        <v>42961.184750829496</v>
      </c>
      <c r="S51" s="315">
        <v>47942.611509552313</v>
      </c>
      <c r="U51" s="7" t="s">
        <v>904</v>
      </c>
    </row>
    <row r="52" spans="1:21" s="74" customFormat="1" ht="16.5" customHeight="1" thickBot="1">
      <c r="A52" s="50" t="s">
        <v>35</v>
      </c>
      <c r="B52" s="51">
        <f t="shared" si="0"/>
        <v>65</v>
      </c>
      <c r="C52" s="51" t="s">
        <v>3</v>
      </c>
      <c r="D52" s="51">
        <f t="shared" si="1"/>
        <v>160</v>
      </c>
      <c r="E52" s="51" t="s">
        <v>3</v>
      </c>
      <c r="F52" s="110">
        <f t="shared" si="2"/>
        <v>2700</v>
      </c>
      <c r="G52" s="51" t="s">
        <v>3</v>
      </c>
      <c r="H52" s="48">
        <v>2</v>
      </c>
      <c r="I52" s="49" t="s">
        <v>45</v>
      </c>
      <c r="J52" s="184">
        <v>65</v>
      </c>
      <c r="K52" s="113">
        <v>160</v>
      </c>
      <c r="L52" s="113">
        <v>2700</v>
      </c>
      <c r="M52" s="185">
        <v>15.382579121772144</v>
      </c>
      <c r="N52" s="87">
        <v>428.60094299999997</v>
      </c>
      <c r="O52" s="119">
        <v>27370.630024344457</v>
      </c>
      <c r="P52" s="121">
        <v>32439.061498069132</v>
      </c>
      <c r="Q52" s="310">
        <v>16330.05766995649</v>
      </c>
      <c r="R52" s="314">
        <v>43700.687694300948</v>
      </c>
      <c r="S52" s="315">
        <v>48769.119168025623</v>
      </c>
      <c r="U52" s="7" t="s">
        <v>905</v>
      </c>
    </row>
    <row r="53" spans="1:21" s="74" customFormat="1" ht="16.5" customHeight="1" thickBot="1">
      <c r="A53" s="50" t="s">
        <v>35</v>
      </c>
      <c r="B53" s="51">
        <f t="shared" si="0"/>
        <v>65</v>
      </c>
      <c r="C53" s="51" t="s">
        <v>3</v>
      </c>
      <c r="D53" s="51">
        <f t="shared" si="1"/>
        <v>160</v>
      </c>
      <c r="E53" s="51" t="s">
        <v>3</v>
      </c>
      <c r="F53" s="110">
        <f t="shared" si="2"/>
        <v>2750</v>
      </c>
      <c r="G53" s="51" t="s">
        <v>3</v>
      </c>
      <c r="H53" s="48">
        <v>2</v>
      </c>
      <c r="I53" s="49" t="s">
        <v>45</v>
      </c>
      <c r="J53" s="184">
        <v>65</v>
      </c>
      <c r="K53" s="113">
        <v>160</v>
      </c>
      <c r="L53" s="113">
        <v>2750</v>
      </c>
      <c r="M53" s="185">
        <v>15.653519053437858</v>
      </c>
      <c r="N53" s="87">
        <v>437.72011199999997</v>
      </c>
      <c r="O53" s="119">
        <v>27762.627385941752</v>
      </c>
      <c r="P53" s="121">
        <v>32919.461892558793</v>
      </c>
      <c r="Q53" s="310">
        <v>16631.691405354115</v>
      </c>
      <c r="R53" s="314">
        <v>44394.318791295867</v>
      </c>
      <c r="S53" s="315">
        <v>49551.153297912912</v>
      </c>
      <c r="U53" s="7" t="s">
        <v>906</v>
      </c>
    </row>
    <row r="54" spans="1:21" s="74" customFormat="1" ht="16.5" customHeight="1" thickBot="1">
      <c r="A54" s="50" t="s">
        <v>35</v>
      </c>
      <c r="B54" s="51">
        <f t="shared" si="0"/>
        <v>65</v>
      </c>
      <c r="C54" s="51" t="s">
        <v>3</v>
      </c>
      <c r="D54" s="51">
        <f t="shared" si="1"/>
        <v>160</v>
      </c>
      <c r="E54" s="51" t="s">
        <v>3</v>
      </c>
      <c r="F54" s="110">
        <f t="shared" si="2"/>
        <v>2800</v>
      </c>
      <c r="G54" s="51" t="s">
        <v>3</v>
      </c>
      <c r="H54" s="48">
        <v>2</v>
      </c>
      <c r="I54" s="49" t="s">
        <v>45</v>
      </c>
      <c r="J54" s="184">
        <v>65</v>
      </c>
      <c r="K54" s="113">
        <v>160</v>
      </c>
      <c r="L54" s="113">
        <v>2800</v>
      </c>
      <c r="M54" s="185">
        <v>15.924458985103572</v>
      </c>
      <c r="N54" s="87">
        <v>446.83928100000003</v>
      </c>
      <c r="O54" s="119">
        <v>28154.624747539059</v>
      </c>
      <c r="P54" s="121">
        <v>33399.862287048461</v>
      </c>
      <c r="Q54" s="310">
        <v>16933.325140751742</v>
      </c>
      <c r="R54" s="314">
        <v>45087.949888290801</v>
      </c>
      <c r="S54" s="315">
        <v>50333.187427800207</v>
      </c>
      <c r="U54" s="7" t="s">
        <v>907</v>
      </c>
    </row>
    <row r="55" spans="1:21" s="74" customFormat="1" ht="16.5" customHeight="1" thickBot="1">
      <c r="A55" s="50" t="s">
        <v>35</v>
      </c>
      <c r="B55" s="51">
        <f t="shared" si="0"/>
        <v>65</v>
      </c>
      <c r="C55" s="51" t="s">
        <v>3</v>
      </c>
      <c r="D55" s="51">
        <f t="shared" si="1"/>
        <v>160</v>
      </c>
      <c r="E55" s="51" t="s">
        <v>3</v>
      </c>
      <c r="F55" s="110">
        <f t="shared" si="2"/>
        <v>2850</v>
      </c>
      <c r="G55" s="51" t="s">
        <v>3</v>
      </c>
      <c r="H55" s="48">
        <v>2</v>
      </c>
      <c r="I55" s="49" t="s">
        <v>45</v>
      </c>
      <c r="J55" s="184">
        <v>65</v>
      </c>
      <c r="K55" s="113">
        <v>160</v>
      </c>
      <c r="L55" s="113">
        <v>2850</v>
      </c>
      <c r="M55" s="185">
        <v>16.195398916769285</v>
      </c>
      <c r="N55" s="87">
        <v>455.95844999999997</v>
      </c>
      <c r="O55" s="119">
        <v>28546.622249529722</v>
      </c>
      <c r="P55" s="121">
        <v>33880.262541144759</v>
      </c>
      <c r="Q55" s="310">
        <v>17234.959016542729</v>
      </c>
      <c r="R55" s="314">
        <v>45781.581266072448</v>
      </c>
      <c r="S55" s="315">
        <v>51115.221557687488</v>
      </c>
      <c r="U55" s="7" t="s">
        <v>908</v>
      </c>
    </row>
    <row r="56" spans="1:21" s="74" customFormat="1" ht="16.5" customHeight="1" thickBot="1">
      <c r="A56" s="50" t="s">
        <v>35</v>
      </c>
      <c r="B56" s="51">
        <f t="shared" si="0"/>
        <v>65</v>
      </c>
      <c r="C56" s="51" t="s">
        <v>3</v>
      </c>
      <c r="D56" s="51">
        <f t="shared" si="1"/>
        <v>160</v>
      </c>
      <c r="E56" s="51" t="s">
        <v>3</v>
      </c>
      <c r="F56" s="110">
        <f t="shared" si="2"/>
        <v>2900</v>
      </c>
      <c r="G56" s="51" t="s">
        <v>3</v>
      </c>
      <c r="H56" s="48">
        <v>2</v>
      </c>
      <c r="I56" s="49" t="s">
        <v>45</v>
      </c>
      <c r="J56" s="184">
        <v>65</v>
      </c>
      <c r="K56" s="113">
        <v>160</v>
      </c>
      <c r="L56" s="113">
        <v>2900</v>
      </c>
      <c r="M56" s="185">
        <v>16.466338848435001</v>
      </c>
      <c r="N56" s="87">
        <v>465.07761899999991</v>
      </c>
      <c r="O56" s="119">
        <v>28938.619611127018</v>
      </c>
      <c r="P56" s="121">
        <v>34360.66293563442</v>
      </c>
      <c r="Q56" s="310">
        <v>17536.592751940352</v>
      </c>
      <c r="R56" s="314">
        <v>46475.212363067374</v>
      </c>
      <c r="S56" s="315">
        <v>51897.255687574769</v>
      </c>
      <c r="U56" s="7" t="s">
        <v>909</v>
      </c>
    </row>
    <row r="57" spans="1:21" s="74" customFormat="1" ht="16.5" customHeight="1" thickBot="1">
      <c r="A57" s="50" t="s">
        <v>35</v>
      </c>
      <c r="B57" s="51">
        <f t="shared" si="0"/>
        <v>65</v>
      </c>
      <c r="C57" s="51" t="s">
        <v>3</v>
      </c>
      <c r="D57" s="51">
        <f t="shared" si="1"/>
        <v>160</v>
      </c>
      <c r="E57" s="51" t="s">
        <v>3</v>
      </c>
      <c r="F57" s="110">
        <f t="shared" si="2"/>
        <v>2950</v>
      </c>
      <c r="G57" s="51" t="s">
        <v>3</v>
      </c>
      <c r="H57" s="48">
        <v>2</v>
      </c>
      <c r="I57" s="49" t="s">
        <v>45</v>
      </c>
      <c r="J57" s="184">
        <v>65</v>
      </c>
      <c r="K57" s="113">
        <v>160</v>
      </c>
      <c r="L57" s="113">
        <v>2950</v>
      </c>
      <c r="M57" s="185">
        <v>16.737278780100716</v>
      </c>
      <c r="N57" s="87">
        <v>474.19678799999997</v>
      </c>
      <c r="O57" s="119">
        <v>29330.616972724318</v>
      </c>
      <c r="P57" s="121">
        <v>34841.063330124081</v>
      </c>
      <c r="Q57" s="310">
        <v>17838.226487337979</v>
      </c>
      <c r="R57" s="314">
        <v>47168.8434600623</v>
      </c>
      <c r="S57" s="315">
        <v>52679.289817462064</v>
      </c>
      <c r="U57" s="7" t="s">
        <v>910</v>
      </c>
    </row>
    <row r="58" spans="1:21" s="74" customFormat="1" ht="16.5" customHeight="1" thickBot="1">
      <c r="A58" s="52" t="s">
        <v>35</v>
      </c>
      <c r="B58" s="53">
        <f t="shared" si="0"/>
        <v>65</v>
      </c>
      <c r="C58" s="53" t="s">
        <v>3</v>
      </c>
      <c r="D58" s="53">
        <f t="shared" si="1"/>
        <v>160</v>
      </c>
      <c r="E58" s="53" t="s">
        <v>3</v>
      </c>
      <c r="F58" s="111">
        <f t="shared" si="2"/>
        <v>3000</v>
      </c>
      <c r="G58" s="53" t="s">
        <v>3</v>
      </c>
      <c r="H58" s="55">
        <v>2</v>
      </c>
      <c r="I58" s="54" t="s">
        <v>45</v>
      </c>
      <c r="J58" s="184">
        <v>65</v>
      </c>
      <c r="K58" s="157">
        <v>160</v>
      </c>
      <c r="L58" s="157">
        <v>3000</v>
      </c>
      <c r="M58" s="187">
        <v>17.008218711766428</v>
      </c>
      <c r="N58" s="148">
        <v>483.31595699999997</v>
      </c>
      <c r="O58" s="189">
        <v>29722.614334321617</v>
      </c>
      <c r="P58" s="158">
        <v>35321.463724613743</v>
      </c>
      <c r="Q58" s="311">
        <v>18139.860363128966</v>
      </c>
      <c r="R58" s="316">
        <v>47862.474697450583</v>
      </c>
      <c r="S58" s="317">
        <v>53461.324087742709</v>
      </c>
      <c r="U58" s="7" t="s">
        <v>911</v>
      </c>
    </row>
    <row r="59" spans="1:21" s="74" customFormat="1" ht="22.5" customHeight="1" thickBot="1">
      <c r="A59" s="2580" t="s">
        <v>51</v>
      </c>
      <c r="B59" s="2581"/>
      <c r="C59" s="2581"/>
      <c r="D59" s="2581"/>
      <c r="E59" s="2581"/>
      <c r="F59" s="2581"/>
      <c r="G59" s="2581"/>
      <c r="H59" s="2581"/>
      <c r="I59" s="2581"/>
      <c r="J59" s="2581"/>
      <c r="K59" s="2581"/>
      <c r="L59" s="2581"/>
      <c r="M59" s="2581"/>
      <c r="N59" s="2581"/>
      <c r="O59" s="2581"/>
      <c r="P59" s="2581"/>
      <c r="Q59" s="2581"/>
      <c r="R59" s="2657"/>
      <c r="S59" s="2658"/>
      <c r="U59" s="7"/>
    </row>
    <row r="60" spans="1:21" s="74" customFormat="1" ht="22.5" customHeight="1" thickBot="1">
      <c r="A60" s="2624" t="s">
        <v>69</v>
      </c>
      <c r="B60" s="2625"/>
      <c r="C60" s="2625"/>
      <c r="D60" s="2625"/>
      <c r="E60" s="2625"/>
      <c r="F60" s="2625"/>
      <c r="G60" s="2625"/>
      <c r="H60" s="2625"/>
      <c r="I60" s="2625"/>
      <c r="J60" s="2625"/>
      <c r="K60" s="2625"/>
      <c r="L60" s="2625"/>
      <c r="M60" s="2625"/>
      <c r="N60" s="2625"/>
      <c r="O60" s="2625"/>
      <c r="P60" s="2625"/>
      <c r="Q60" s="2625"/>
      <c r="R60" s="2625"/>
      <c r="S60" s="2626"/>
      <c r="U60" s="7"/>
    </row>
    <row r="61" spans="1:21" s="74" customFormat="1" ht="16.5" customHeight="1" thickBot="1">
      <c r="A61" s="2583" t="s">
        <v>134</v>
      </c>
      <c r="B61" s="2584"/>
      <c r="C61" s="2584"/>
      <c r="D61" s="2584"/>
      <c r="E61" s="2584"/>
      <c r="F61" s="2584"/>
      <c r="G61" s="2584"/>
      <c r="H61" s="2584"/>
      <c r="I61" s="2584"/>
      <c r="J61" s="2584"/>
      <c r="K61" s="2584"/>
      <c r="L61" s="2584"/>
      <c r="M61" s="2584"/>
      <c r="N61" s="2584"/>
      <c r="O61" s="2584"/>
      <c r="P61" s="2584"/>
      <c r="Q61" s="2584"/>
      <c r="R61" s="2584"/>
      <c r="S61" s="2585"/>
      <c r="U61" s="7"/>
    </row>
    <row r="62" spans="1:21" s="74" customFormat="1" ht="16.5" customHeight="1" thickBot="1">
      <c r="A62" s="47" t="s">
        <v>35</v>
      </c>
      <c r="B62" s="48">
        <f>J62</f>
        <v>65</v>
      </c>
      <c r="C62" s="48" t="s">
        <v>3</v>
      </c>
      <c r="D62" s="48">
        <f>K62</f>
        <v>200</v>
      </c>
      <c r="E62" s="48" t="s">
        <v>3</v>
      </c>
      <c r="F62" s="110">
        <f>L62</f>
        <v>600</v>
      </c>
      <c r="G62" s="48" t="s">
        <v>3</v>
      </c>
      <c r="H62" s="48">
        <v>2</v>
      </c>
      <c r="I62" s="49" t="s">
        <v>45</v>
      </c>
      <c r="J62" s="181">
        <v>65</v>
      </c>
      <c r="K62" s="168">
        <v>200</v>
      </c>
      <c r="L62" s="168">
        <v>600</v>
      </c>
      <c r="M62" s="182">
        <v>4.140734651640714</v>
      </c>
      <c r="N62" s="144">
        <v>50.662049999999994</v>
      </c>
      <c r="O62" s="183">
        <v>9706.8104206194403</v>
      </c>
      <c r="P62" s="188">
        <v>10940.283619426353</v>
      </c>
      <c r="Q62" s="169">
        <v>4297.4248212816765</v>
      </c>
      <c r="R62" s="312">
        <v>14004.235241901117</v>
      </c>
      <c r="S62" s="313">
        <v>15237.708440708029</v>
      </c>
      <c r="U62" s="7" t="s">
        <v>912</v>
      </c>
    </row>
    <row r="63" spans="1:21" s="74" customFormat="1" ht="16.5" customHeight="1" thickBot="1">
      <c r="A63" s="50" t="s">
        <v>35</v>
      </c>
      <c r="B63" s="51">
        <f t="shared" ref="B63:B110" si="3">J63</f>
        <v>65</v>
      </c>
      <c r="C63" s="51" t="s">
        <v>3</v>
      </c>
      <c r="D63" s="51">
        <f t="shared" ref="D63:D110" si="4">K63</f>
        <v>200</v>
      </c>
      <c r="E63" s="51" t="s">
        <v>3</v>
      </c>
      <c r="F63" s="110">
        <f t="shared" ref="F63:F110" si="5">L63</f>
        <v>650</v>
      </c>
      <c r="G63" s="51" t="s">
        <v>3</v>
      </c>
      <c r="H63" s="48">
        <v>2</v>
      </c>
      <c r="I63" s="49" t="s">
        <v>45</v>
      </c>
      <c r="J63" s="184">
        <v>65</v>
      </c>
      <c r="K63" s="113">
        <v>200</v>
      </c>
      <c r="L63" s="113">
        <v>650</v>
      </c>
      <c r="M63" s="185">
        <v>4.4436079904492853</v>
      </c>
      <c r="N63" s="87">
        <v>60.794459999999987</v>
      </c>
      <c r="O63" s="121">
        <v>10098.490493217489</v>
      </c>
      <c r="P63" s="119">
        <v>11420.991615773251</v>
      </c>
      <c r="Q63" s="120">
        <v>4651.2459985678888</v>
      </c>
      <c r="R63" s="314">
        <v>14749.736491785377</v>
      </c>
      <c r="S63" s="315">
        <v>16072.23761434114</v>
      </c>
      <c r="U63" s="7" t="s">
        <v>913</v>
      </c>
    </row>
    <row r="64" spans="1:21" s="74" customFormat="1" ht="16.5" customHeight="1" thickBot="1">
      <c r="A64" s="50" t="s">
        <v>35</v>
      </c>
      <c r="B64" s="51">
        <f t="shared" si="3"/>
        <v>65</v>
      </c>
      <c r="C64" s="51" t="s">
        <v>3</v>
      </c>
      <c r="D64" s="51">
        <f t="shared" si="4"/>
        <v>200</v>
      </c>
      <c r="E64" s="51" t="s">
        <v>3</v>
      </c>
      <c r="F64" s="110">
        <f t="shared" si="5"/>
        <v>700</v>
      </c>
      <c r="G64" s="51" t="s">
        <v>3</v>
      </c>
      <c r="H64" s="48">
        <v>2</v>
      </c>
      <c r="I64" s="49" t="s">
        <v>45</v>
      </c>
      <c r="J64" s="184">
        <v>65</v>
      </c>
      <c r="K64" s="113">
        <v>200</v>
      </c>
      <c r="L64" s="113">
        <v>700</v>
      </c>
      <c r="M64" s="185">
        <v>4.7464813292578558</v>
      </c>
      <c r="N64" s="87">
        <v>70.92686999999998</v>
      </c>
      <c r="O64" s="121">
        <v>10490.170565815539</v>
      </c>
      <c r="P64" s="119">
        <v>11901.699612120152</v>
      </c>
      <c r="Q64" s="120">
        <v>5005.0671758541012</v>
      </c>
      <c r="R64" s="314">
        <v>15495.23774166964</v>
      </c>
      <c r="S64" s="315">
        <v>16906.766787974251</v>
      </c>
      <c r="U64" s="7" t="s">
        <v>914</v>
      </c>
    </row>
    <row r="65" spans="1:21" s="74" customFormat="1" ht="16.5" customHeight="1" thickBot="1">
      <c r="A65" s="50" t="s">
        <v>35</v>
      </c>
      <c r="B65" s="51">
        <f t="shared" si="3"/>
        <v>65</v>
      </c>
      <c r="C65" s="51" t="s">
        <v>3</v>
      </c>
      <c r="D65" s="51">
        <f t="shared" si="4"/>
        <v>200</v>
      </c>
      <c r="E65" s="51" t="s">
        <v>3</v>
      </c>
      <c r="F65" s="110">
        <f t="shared" si="5"/>
        <v>750</v>
      </c>
      <c r="G65" s="51" t="s">
        <v>3</v>
      </c>
      <c r="H65" s="48">
        <v>2</v>
      </c>
      <c r="I65" s="49" t="s">
        <v>45</v>
      </c>
      <c r="J65" s="184">
        <v>65</v>
      </c>
      <c r="K65" s="113">
        <v>200</v>
      </c>
      <c r="L65" s="113">
        <v>750</v>
      </c>
      <c r="M65" s="185">
        <v>5.0493546680664281</v>
      </c>
      <c r="N65" s="87">
        <v>81.059280000000001</v>
      </c>
      <c r="O65" s="121">
        <v>10881.850638413591</v>
      </c>
      <c r="P65" s="119">
        <v>12382.407608467052</v>
      </c>
      <c r="Q65" s="120">
        <v>5358.8884935336764</v>
      </c>
      <c r="R65" s="314">
        <v>16240.739131947266</v>
      </c>
      <c r="S65" s="315">
        <v>17741.296102000728</v>
      </c>
      <c r="U65" s="7" t="s">
        <v>915</v>
      </c>
    </row>
    <row r="66" spans="1:21" s="74" customFormat="1" ht="16.5" customHeight="1" thickBot="1">
      <c r="A66" s="50" t="s">
        <v>35</v>
      </c>
      <c r="B66" s="51">
        <f t="shared" si="3"/>
        <v>65</v>
      </c>
      <c r="C66" s="51" t="s">
        <v>3</v>
      </c>
      <c r="D66" s="51">
        <f t="shared" si="4"/>
        <v>200</v>
      </c>
      <c r="E66" s="51" t="s">
        <v>3</v>
      </c>
      <c r="F66" s="110">
        <f t="shared" si="5"/>
        <v>800</v>
      </c>
      <c r="G66" s="51" t="s">
        <v>3</v>
      </c>
      <c r="H66" s="48">
        <v>2</v>
      </c>
      <c r="I66" s="49" t="s">
        <v>45</v>
      </c>
      <c r="J66" s="184">
        <v>65</v>
      </c>
      <c r="K66" s="113">
        <v>200</v>
      </c>
      <c r="L66" s="113">
        <v>800</v>
      </c>
      <c r="M66" s="185">
        <v>5.3522280068750003</v>
      </c>
      <c r="N66" s="87">
        <v>91.191689999999994</v>
      </c>
      <c r="O66" s="121">
        <v>11273.530711011639</v>
      </c>
      <c r="P66" s="119">
        <v>12863.115604813955</v>
      </c>
      <c r="Q66" s="120">
        <v>5712.7096708198887</v>
      </c>
      <c r="R66" s="314">
        <v>16986.240381831529</v>
      </c>
      <c r="S66" s="315">
        <v>18575.825275633844</v>
      </c>
      <c r="U66" s="7" t="s">
        <v>916</v>
      </c>
    </row>
    <row r="67" spans="1:21" s="74" customFormat="1" ht="16.5" customHeight="1" thickBot="1">
      <c r="A67" s="50" t="s">
        <v>35</v>
      </c>
      <c r="B67" s="51">
        <f t="shared" si="3"/>
        <v>65</v>
      </c>
      <c r="C67" s="51" t="s">
        <v>3</v>
      </c>
      <c r="D67" s="51">
        <f t="shared" si="4"/>
        <v>200</v>
      </c>
      <c r="E67" s="51" t="s">
        <v>3</v>
      </c>
      <c r="F67" s="110">
        <f t="shared" si="5"/>
        <v>850</v>
      </c>
      <c r="G67" s="51" t="s">
        <v>3</v>
      </c>
      <c r="H67" s="48">
        <v>2</v>
      </c>
      <c r="I67" s="49" t="s">
        <v>45</v>
      </c>
      <c r="J67" s="184">
        <v>65</v>
      </c>
      <c r="K67" s="113">
        <v>200</v>
      </c>
      <c r="L67" s="113">
        <v>850</v>
      </c>
      <c r="M67" s="185">
        <v>5.6551013456835717</v>
      </c>
      <c r="N67" s="87">
        <v>101.32409999999999</v>
      </c>
      <c r="O67" s="121">
        <v>11665.210783609691</v>
      </c>
      <c r="P67" s="119">
        <v>13343.823741554215</v>
      </c>
      <c r="Q67" s="120">
        <v>6066.5308481061011</v>
      </c>
      <c r="R67" s="314">
        <v>17731.741631715791</v>
      </c>
      <c r="S67" s="315">
        <v>19410.354589660317</v>
      </c>
      <c r="U67" s="7" t="s">
        <v>917</v>
      </c>
    </row>
    <row r="68" spans="1:21" s="74" customFormat="1" ht="16.5" customHeight="1" thickBot="1">
      <c r="A68" s="50" t="s">
        <v>35</v>
      </c>
      <c r="B68" s="51">
        <f t="shared" si="3"/>
        <v>65</v>
      </c>
      <c r="C68" s="51" t="s">
        <v>3</v>
      </c>
      <c r="D68" s="51">
        <f t="shared" si="4"/>
        <v>200</v>
      </c>
      <c r="E68" s="51" t="s">
        <v>3</v>
      </c>
      <c r="F68" s="110">
        <f t="shared" si="5"/>
        <v>900</v>
      </c>
      <c r="G68" s="51" t="s">
        <v>3</v>
      </c>
      <c r="H68" s="48">
        <v>2</v>
      </c>
      <c r="I68" s="49" t="s">
        <v>45</v>
      </c>
      <c r="J68" s="184">
        <v>65</v>
      </c>
      <c r="K68" s="113">
        <v>200</v>
      </c>
      <c r="L68" s="113">
        <v>900</v>
      </c>
      <c r="M68" s="185">
        <v>5.9579746844921448</v>
      </c>
      <c r="N68" s="87">
        <v>111.45650999999999</v>
      </c>
      <c r="O68" s="121">
        <v>12056.890856207741</v>
      </c>
      <c r="P68" s="119">
        <v>13824.531737901116</v>
      </c>
      <c r="Q68" s="120">
        <v>6420.3520253923143</v>
      </c>
      <c r="R68" s="314">
        <v>18477.242881600054</v>
      </c>
      <c r="S68" s="315">
        <v>20244.88376329343</v>
      </c>
      <c r="U68" s="7" t="s">
        <v>918</v>
      </c>
    </row>
    <row r="69" spans="1:21" s="74" customFormat="1" ht="16.5" customHeight="1" thickBot="1">
      <c r="A69" s="50" t="s">
        <v>35</v>
      </c>
      <c r="B69" s="51">
        <f t="shared" si="3"/>
        <v>65</v>
      </c>
      <c r="C69" s="51" t="s">
        <v>3</v>
      </c>
      <c r="D69" s="51">
        <f t="shared" si="4"/>
        <v>200</v>
      </c>
      <c r="E69" s="51" t="s">
        <v>3</v>
      </c>
      <c r="F69" s="110">
        <f t="shared" si="5"/>
        <v>950</v>
      </c>
      <c r="G69" s="51" t="s">
        <v>3</v>
      </c>
      <c r="H69" s="48">
        <v>2</v>
      </c>
      <c r="I69" s="49" t="s">
        <v>45</v>
      </c>
      <c r="J69" s="184">
        <v>65</v>
      </c>
      <c r="K69" s="113">
        <v>200</v>
      </c>
      <c r="L69" s="113">
        <v>950</v>
      </c>
      <c r="M69" s="185">
        <v>6.2608480233007144</v>
      </c>
      <c r="N69" s="87">
        <v>121.58891999999997</v>
      </c>
      <c r="O69" s="121">
        <v>12448.57092880579</v>
      </c>
      <c r="P69" s="119">
        <v>14305.239734248016</v>
      </c>
      <c r="Q69" s="120">
        <v>6774.1733430718887</v>
      </c>
      <c r="R69" s="314">
        <v>19222.74427187768</v>
      </c>
      <c r="S69" s="315">
        <v>21079.413077319907</v>
      </c>
      <c r="U69" s="7" t="s">
        <v>919</v>
      </c>
    </row>
    <row r="70" spans="1:21" s="74" customFormat="1" ht="16.5" customHeight="1" thickBot="1">
      <c r="A70" s="50" t="s">
        <v>35</v>
      </c>
      <c r="B70" s="51">
        <f t="shared" si="3"/>
        <v>65</v>
      </c>
      <c r="C70" s="51" t="s">
        <v>3</v>
      </c>
      <c r="D70" s="51">
        <f t="shared" si="4"/>
        <v>200</v>
      </c>
      <c r="E70" s="51" t="s">
        <v>3</v>
      </c>
      <c r="F70" s="110">
        <f t="shared" si="5"/>
        <v>1000</v>
      </c>
      <c r="G70" s="51" t="s">
        <v>3</v>
      </c>
      <c r="H70" s="48">
        <v>2</v>
      </c>
      <c r="I70" s="49" t="s">
        <v>45</v>
      </c>
      <c r="J70" s="184">
        <v>65</v>
      </c>
      <c r="K70" s="113">
        <v>200</v>
      </c>
      <c r="L70" s="113">
        <v>1000</v>
      </c>
      <c r="M70" s="185">
        <v>6.5637213621092858</v>
      </c>
      <c r="N70" s="87">
        <v>131.72132999999999</v>
      </c>
      <c r="O70" s="121">
        <v>12840.25100140384</v>
      </c>
      <c r="P70" s="119">
        <v>14785.947730594915</v>
      </c>
      <c r="Q70" s="120">
        <v>7127.9945203581019</v>
      </c>
      <c r="R70" s="314">
        <v>19968.245521761943</v>
      </c>
      <c r="S70" s="315">
        <v>21913.942250953016</v>
      </c>
      <c r="U70" s="7" t="s">
        <v>920</v>
      </c>
    </row>
    <row r="71" spans="1:21" s="74" customFormat="1" ht="16.5" customHeight="1" thickBot="1">
      <c r="A71" s="50" t="s">
        <v>35</v>
      </c>
      <c r="B71" s="51">
        <f t="shared" si="3"/>
        <v>65</v>
      </c>
      <c r="C71" s="51" t="s">
        <v>3</v>
      </c>
      <c r="D71" s="51">
        <f t="shared" si="4"/>
        <v>200</v>
      </c>
      <c r="E71" s="51" t="s">
        <v>3</v>
      </c>
      <c r="F71" s="110">
        <f t="shared" si="5"/>
        <v>1050</v>
      </c>
      <c r="G71" s="51" t="s">
        <v>3</v>
      </c>
      <c r="H71" s="48">
        <v>2</v>
      </c>
      <c r="I71" s="49" t="s">
        <v>45</v>
      </c>
      <c r="J71" s="184">
        <v>65</v>
      </c>
      <c r="K71" s="113">
        <v>200</v>
      </c>
      <c r="L71" s="113">
        <v>1050</v>
      </c>
      <c r="M71" s="185">
        <v>6.8665947009178563</v>
      </c>
      <c r="N71" s="87">
        <v>141.85373999999996</v>
      </c>
      <c r="O71" s="121">
        <v>13231.93107400189</v>
      </c>
      <c r="P71" s="119">
        <v>15266.655726941817</v>
      </c>
      <c r="Q71" s="120">
        <v>7481.8156976443142</v>
      </c>
      <c r="R71" s="314">
        <v>20713.746771646205</v>
      </c>
      <c r="S71" s="315">
        <v>22748.471424586132</v>
      </c>
      <c r="U71" s="7" t="s">
        <v>921</v>
      </c>
    </row>
    <row r="72" spans="1:21" s="74" customFormat="1" ht="16.5" customHeight="1" thickBot="1">
      <c r="A72" s="47" t="s">
        <v>35</v>
      </c>
      <c r="B72" s="48">
        <f t="shared" si="3"/>
        <v>65</v>
      </c>
      <c r="C72" s="48" t="s">
        <v>3</v>
      </c>
      <c r="D72" s="48">
        <f t="shared" si="4"/>
        <v>200</v>
      </c>
      <c r="E72" s="48" t="s">
        <v>3</v>
      </c>
      <c r="F72" s="110">
        <f t="shared" si="5"/>
        <v>1100</v>
      </c>
      <c r="G72" s="48" t="s">
        <v>3</v>
      </c>
      <c r="H72" s="48">
        <v>2</v>
      </c>
      <c r="I72" s="49" t="s">
        <v>45</v>
      </c>
      <c r="J72" s="184">
        <v>65</v>
      </c>
      <c r="K72" s="113">
        <v>200</v>
      </c>
      <c r="L72" s="113">
        <v>1100</v>
      </c>
      <c r="M72" s="185">
        <v>7.1694680397264285</v>
      </c>
      <c r="N72" s="87">
        <v>151.98614999999998</v>
      </c>
      <c r="O72" s="121">
        <v>13623.61114659994</v>
      </c>
      <c r="P72" s="119">
        <v>15747.363723288716</v>
      </c>
      <c r="Q72" s="120">
        <v>7835.6368749305266</v>
      </c>
      <c r="R72" s="314">
        <v>21459.248021530468</v>
      </c>
      <c r="S72" s="315">
        <v>23583.000598219242</v>
      </c>
      <c r="U72" s="7" t="s">
        <v>922</v>
      </c>
    </row>
    <row r="73" spans="1:21" s="74" customFormat="1" ht="16.5" customHeight="1" thickBot="1">
      <c r="A73" s="50" t="s">
        <v>35</v>
      </c>
      <c r="B73" s="51">
        <f t="shared" si="3"/>
        <v>65</v>
      </c>
      <c r="C73" s="51" t="s">
        <v>3</v>
      </c>
      <c r="D73" s="51">
        <f t="shared" si="4"/>
        <v>200</v>
      </c>
      <c r="E73" s="51" t="s">
        <v>3</v>
      </c>
      <c r="F73" s="110">
        <f t="shared" si="5"/>
        <v>1150</v>
      </c>
      <c r="G73" s="51" t="s">
        <v>3</v>
      </c>
      <c r="H73" s="48">
        <v>2</v>
      </c>
      <c r="I73" s="49" t="s">
        <v>45</v>
      </c>
      <c r="J73" s="184">
        <v>65</v>
      </c>
      <c r="K73" s="113">
        <v>200</v>
      </c>
      <c r="L73" s="113">
        <v>1150</v>
      </c>
      <c r="M73" s="185">
        <v>7.4723413785349999</v>
      </c>
      <c r="N73" s="87">
        <v>162.11856</v>
      </c>
      <c r="O73" s="121">
        <v>14015.291359591352</v>
      </c>
      <c r="P73" s="119">
        <v>16228.071719635616</v>
      </c>
      <c r="Q73" s="120">
        <v>8189.4580522167398</v>
      </c>
      <c r="R73" s="314">
        <v>22204.749411808094</v>
      </c>
      <c r="S73" s="315">
        <v>24417.529771852358</v>
      </c>
      <c r="U73" s="7" t="s">
        <v>923</v>
      </c>
    </row>
    <row r="74" spans="1:21" s="74" customFormat="1" ht="16.5" customHeight="1" thickBot="1">
      <c r="A74" s="50" t="s">
        <v>35</v>
      </c>
      <c r="B74" s="51">
        <f t="shared" si="3"/>
        <v>65</v>
      </c>
      <c r="C74" s="51" t="s">
        <v>3</v>
      </c>
      <c r="D74" s="51">
        <f t="shared" si="4"/>
        <v>200</v>
      </c>
      <c r="E74" s="51" t="s">
        <v>3</v>
      </c>
      <c r="F74" s="110">
        <f t="shared" si="5"/>
        <v>1200</v>
      </c>
      <c r="G74" s="51" t="s">
        <v>3</v>
      </c>
      <c r="H74" s="48">
        <v>2</v>
      </c>
      <c r="I74" s="49" t="s">
        <v>45</v>
      </c>
      <c r="J74" s="184">
        <v>65</v>
      </c>
      <c r="K74" s="113">
        <v>200</v>
      </c>
      <c r="L74" s="113">
        <v>1200</v>
      </c>
      <c r="M74" s="185">
        <v>7.8144647173435713</v>
      </c>
      <c r="N74" s="87">
        <v>172.25096999999997</v>
      </c>
      <c r="O74" s="121">
        <v>14452.843138272565</v>
      </c>
      <c r="P74" s="119">
        <v>16753.253384961903</v>
      </c>
      <c r="Q74" s="120">
        <v>8543.2793698963142</v>
      </c>
      <c r="R74" s="314">
        <v>22996.122508168879</v>
      </c>
      <c r="S74" s="315">
        <v>25296.532754858217</v>
      </c>
      <c r="U74" s="7" t="s">
        <v>924</v>
      </c>
    </row>
    <row r="75" spans="1:21" s="74" customFormat="1" ht="16.5" customHeight="1" thickBot="1">
      <c r="A75" s="50" t="s">
        <v>35</v>
      </c>
      <c r="B75" s="51">
        <f t="shared" si="3"/>
        <v>65</v>
      </c>
      <c r="C75" s="51" t="s">
        <v>3</v>
      </c>
      <c r="D75" s="51">
        <f t="shared" si="4"/>
        <v>200</v>
      </c>
      <c r="E75" s="51" t="s">
        <v>3</v>
      </c>
      <c r="F75" s="110">
        <f t="shared" si="5"/>
        <v>1250</v>
      </c>
      <c r="G75" s="51" t="s">
        <v>3</v>
      </c>
      <c r="H75" s="48">
        <v>2</v>
      </c>
      <c r="I75" s="49" t="s">
        <v>45</v>
      </c>
      <c r="J75" s="184">
        <v>65</v>
      </c>
      <c r="K75" s="113">
        <v>200</v>
      </c>
      <c r="L75" s="113">
        <v>1250</v>
      </c>
      <c r="M75" s="185">
        <v>8.1173380561521427</v>
      </c>
      <c r="N75" s="87">
        <v>182.38337999999999</v>
      </c>
      <c r="O75" s="121">
        <v>14844.523210870615</v>
      </c>
      <c r="P75" s="119">
        <v>17233.961381308804</v>
      </c>
      <c r="Q75" s="120">
        <v>8897.1005471825265</v>
      </c>
      <c r="R75" s="314">
        <v>23741.623758053142</v>
      </c>
      <c r="S75" s="315">
        <v>26131.06192849133</v>
      </c>
      <c r="U75" s="7" t="s">
        <v>925</v>
      </c>
    </row>
    <row r="76" spans="1:21" s="74" customFormat="1" ht="16.5" customHeight="1" thickBot="1">
      <c r="A76" s="50" t="s">
        <v>35</v>
      </c>
      <c r="B76" s="51">
        <f t="shared" si="3"/>
        <v>65</v>
      </c>
      <c r="C76" s="51" t="s">
        <v>3</v>
      </c>
      <c r="D76" s="51">
        <f t="shared" si="4"/>
        <v>200</v>
      </c>
      <c r="E76" s="51" t="s">
        <v>3</v>
      </c>
      <c r="F76" s="110">
        <f t="shared" si="5"/>
        <v>1300</v>
      </c>
      <c r="G76" s="51" t="s">
        <v>3</v>
      </c>
      <c r="H76" s="48">
        <v>2</v>
      </c>
      <c r="I76" s="49" t="s">
        <v>45</v>
      </c>
      <c r="J76" s="184">
        <v>65</v>
      </c>
      <c r="K76" s="113">
        <v>200</v>
      </c>
      <c r="L76" s="113">
        <v>1300</v>
      </c>
      <c r="M76" s="185">
        <v>8.4202113949607131</v>
      </c>
      <c r="N76" s="87">
        <v>192.51578999999995</v>
      </c>
      <c r="O76" s="121">
        <v>15236.203283468667</v>
      </c>
      <c r="P76" s="119">
        <v>17714.669377655704</v>
      </c>
      <c r="Q76" s="120">
        <v>9250.9217244687388</v>
      </c>
      <c r="R76" s="314">
        <v>24487.125007937408</v>
      </c>
      <c r="S76" s="315">
        <v>26965.591102124443</v>
      </c>
      <c r="U76" s="7" t="s">
        <v>926</v>
      </c>
    </row>
    <row r="77" spans="1:21" s="74" customFormat="1" ht="16.5" customHeight="1" thickBot="1">
      <c r="A77" s="50" t="s">
        <v>35</v>
      </c>
      <c r="B77" s="51">
        <f t="shared" si="3"/>
        <v>65</v>
      </c>
      <c r="C77" s="51" t="s">
        <v>3</v>
      </c>
      <c r="D77" s="51">
        <f t="shared" si="4"/>
        <v>200</v>
      </c>
      <c r="E77" s="51" t="s">
        <v>3</v>
      </c>
      <c r="F77" s="110">
        <f t="shared" si="5"/>
        <v>1350</v>
      </c>
      <c r="G77" s="51" t="s">
        <v>3</v>
      </c>
      <c r="H77" s="48">
        <v>2</v>
      </c>
      <c r="I77" s="49" t="s">
        <v>45</v>
      </c>
      <c r="J77" s="184">
        <v>65</v>
      </c>
      <c r="K77" s="113">
        <v>200</v>
      </c>
      <c r="L77" s="113">
        <v>1350</v>
      </c>
      <c r="M77" s="185">
        <v>8.7230847337692854</v>
      </c>
      <c r="N77" s="87">
        <v>202.64819999999997</v>
      </c>
      <c r="O77" s="121">
        <v>15627.883356066717</v>
      </c>
      <c r="P77" s="119">
        <v>18195.377374002604</v>
      </c>
      <c r="Q77" s="120">
        <v>9604.7429017549512</v>
      </c>
      <c r="R77" s="314">
        <v>25232.62625782167</v>
      </c>
      <c r="S77" s="315">
        <v>27800.120275757556</v>
      </c>
      <c r="U77" s="7" t="s">
        <v>927</v>
      </c>
    </row>
    <row r="78" spans="1:21" s="74" customFormat="1" ht="16.5" customHeight="1" thickBot="1">
      <c r="A78" s="50" t="s">
        <v>35</v>
      </c>
      <c r="B78" s="51">
        <f t="shared" si="3"/>
        <v>65</v>
      </c>
      <c r="C78" s="51" t="s">
        <v>3</v>
      </c>
      <c r="D78" s="51">
        <f t="shared" si="4"/>
        <v>200</v>
      </c>
      <c r="E78" s="51" t="s">
        <v>3</v>
      </c>
      <c r="F78" s="110">
        <f t="shared" si="5"/>
        <v>1400</v>
      </c>
      <c r="G78" s="51" t="s">
        <v>3</v>
      </c>
      <c r="H78" s="48">
        <v>2</v>
      </c>
      <c r="I78" s="49" t="s">
        <v>45</v>
      </c>
      <c r="J78" s="184">
        <v>65</v>
      </c>
      <c r="K78" s="113">
        <v>200</v>
      </c>
      <c r="L78" s="113">
        <v>1400</v>
      </c>
      <c r="M78" s="185">
        <v>9.0259580725778576</v>
      </c>
      <c r="N78" s="87">
        <v>212.78061</v>
      </c>
      <c r="O78" s="121">
        <v>16019.563428664766</v>
      </c>
      <c r="P78" s="119">
        <v>18676.085370349501</v>
      </c>
      <c r="Q78" s="120">
        <v>9958.5642194345273</v>
      </c>
      <c r="R78" s="314">
        <v>25978.127648099293</v>
      </c>
      <c r="S78" s="315">
        <v>28634.649589784029</v>
      </c>
      <c r="U78" s="7" t="s">
        <v>928</v>
      </c>
    </row>
    <row r="79" spans="1:21" s="74" customFormat="1" ht="16.5" customHeight="1" thickBot="1">
      <c r="A79" s="50" t="s">
        <v>35</v>
      </c>
      <c r="B79" s="51">
        <f t="shared" si="3"/>
        <v>65</v>
      </c>
      <c r="C79" s="51" t="s">
        <v>3</v>
      </c>
      <c r="D79" s="51">
        <f t="shared" si="4"/>
        <v>200</v>
      </c>
      <c r="E79" s="51" t="s">
        <v>3</v>
      </c>
      <c r="F79" s="110">
        <f t="shared" si="5"/>
        <v>1450</v>
      </c>
      <c r="G79" s="51" t="s">
        <v>3</v>
      </c>
      <c r="H79" s="48">
        <v>2</v>
      </c>
      <c r="I79" s="49" t="s">
        <v>45</v>
      </c>
      <c r="J79" s="184">
        <v>65</v>
      </c>
      <c r="K79" s="113">
        <v>200</v>
      </c>
      <c r="L79" s="113">
        <v>1450</v>
      </c>
      <c r="M79" s="185">
        <v>9.3288314113864299</v>
      </c>
      <c r="N79" s="87">
        <v>222.91301999999999</v>
      </c>
      <c r="O79" s="121">
        <v>16411.243641656176</v>
      </c>
      <c r="P79" s="119">
        <v>19156.793507089766</v>
      </c>
      <c r="Q79" s="120">
        <v>10312.38539672074</v>
      </c>
      <c r="R79" s="314">
        <v>26723.629038376916</v>
      </c>
      <c r="S79" s="315">
        <v>29469.178903810505</v>
      </c>
      <c r="U79" s="7" t="s">
        <v>929</v>
      </c>
    </row>
    <row r="80" spans="1:21" s="74" customFormat="1" ht="16.5" customHeight="1" thickBot="1">
      <c r="A80" s="50" t="s">
        <v>35</v>
      </c>
      <c r="B80" s="51">
        <f t="shared" si="3"/>
        <v>65</v>
      </c>
      <c r="C80" s="51" t="s">
        <v>3</v>
      </c>
      <c r="D80" s="51">
        <f t="shared" si="4"/>
        <v>200</v>
      </c>
      <c r="E80" s="51" t="s">
        <v>3</v>
      </c>
      <c r="F80" s="110">
        <f t="shared" si="5"/>
        <v>1500</v>
      </c>
      <c r="G80" s="51" t="s">
        <v>3</v>
      </c>
      <c r="H80" s="48">
        <v>2</v>
      </c>
      <c r="I80" s="49" t="s">
        <v>45</v>
      </c>
      <c r="J80" s="184">
        <v>65</v>
      </c>
      <c r="K80" s="113">
        <v>200</v>
      </c>
      <c r="L80" s="113">
        <v>1500</v>
      </c>
      <c r="M80" s="185">
        <v>9.7242678829950009</v>
      </c>
      <c r="N80" s="87">
        <v>233.04542999999995</v>
      </c>
      <c r="O80" s="121">
        <v>17342.358815708329</v>
      </c>
      <c r="P80" s="119">
        <v>20084.991026282441</v>
      </c>
      <c r="Q80" s="120">
        <v>10666.206574006952</v>
      </c>
      <c r="R80" s="314">
        <v>28008.565389715281</v>
      </c>
      <c r="S80" s="315">
        <v>30751.197600289393</v>
      </c>
      <c r="U80" s="7" t="s">
        <v>930</v>
      </c>
    </row>
    <row r="81" spans="1:21" s="74" customFormat="1" ht="16.5" customHeight="1" thickBot="1">
      <c r="A81" s="50" t="s">
        <v>35</v>
      </c>
      <c r="B81" s="51">
        <f t="shared" si="3"/>
        <v>65</v>
      </c>
      <c r="C81" s="51" t="s">
        <v>3</v>
      </c>
      <c r="D81" s="51">
        <f t="shared" si="4"/>
        <v>200</v>
      </c>
      <c r="E81" s="51" t="s">
        <v>3</v>
      </c>
      <c r="F81" s="110">
        <f t="shared" si="5"/>
        <v>1550</v>
      </c>
      <c r="G81" s="51" t="s">
        <v>3</v>
      </c>
      <c r="H81" s="48">
        <v>2</v>
      </c>
      <c r="I81" s="49" t="s">
        <v>45</v>
      </c>
      <c r="J81" s="184">
        <v>65</v>
      </c>
      <c r="K81" s="113">
        <v>200</v>
      </c>
      <c r="L81" s="113">
        <v>1550</v>
      </c>
      <c r="M81" s="185">
        <v>10.027141221803571</v>
      </c>
      <c r="N81" s="87">
        <v>243.17783999999995</v>
      </c>
      <c r="O81" s="121">
        <v>17734.038888306379</v>
      </c>
      <c r="P81" s="119">
        <v>20565.699163022702</v>
      </c>
      <c r="Q81" s="120">
        <v>11020.027751293164</v>
      </c>
      <c r="R81" s="314">
        <v>28754.066639599543</v>
      </c>
      <c r="S81" s="315">
        <v>31585.726914315866</v>
      </c>
      <c r="U81" s="7" t="s">
        <v>931</v>
      </c>
    </row>
    <row r="82" spans="1:21" s="74" customFormat="1" ht="16.5" customHeight="1" thickBot="1">
      <c r="A82" s="47" t="s">
        <v>35</v>
      </c>
      <c r="B82" s="48">
        <f t="shared" si="3"/>
        <v>65</v>
      </c>
      <c r="C82" s="48" t="s">
        <v>3</v>
      </c>
      <c r="D82" s="48">
        <f t="shared" si="4"/>
        <v>200</v>
      </c>
      <c r="E82" s="48" t="s">
        <v>3</v>
      </c>
      <c r="F82" s="110">
        <f t="shared" si="5"/>
        <v>1600</v>
      </c>
      <c r="G82" s="48" t="s">
        <v>3</v>
      </c>
      <c r="H82" s="48">
        <v>2</v>
      </c>
      <c r="I82" s="49" t="s">
        <v>45</v>
      </c>
      <c r="J82" s="184">
        <v>65</v>
      </c>
      <c r="K82" s="113">
        <v>200</v>
      </c>
      <c r="L82" s="113">
        <v>1600</v>
      </c>
      <c r="M82" s="185">
        <v>10.330014560612142</v>
      </c>
      <c r="N82" s="87">
        <v>253.31024999999997</v>
      </c>
      <c r="O82" s="121">
        <v>18125.718960904429</v>
      </c>
      <c r="P82" s="119">
        <v>21046.407159369606</v>
      </c>
      <c r="Q82" s="120">
        <v>11373.848928579377</v>
      </c>
      <c r="R82" s="314">
        <v>29499.567889483806</v>
      </c>
      <c r="S82" s="315">
        <v>32420.256087948983</v>
      </c>
      <c r="U82" s="7" t="s">
        <v>932</v>
      </c>
    </row>
    <row r="83" spans="1:21" s="74" customFormat="1" ht="16.5" customHeight="1" thickBot="1">
      <c r="A83" s="50" t="s">
        <v>35</v>
      </c>
      <c r="B83" s="51">
        <f t="shared" si="3"/>
        <v>65</v>
      </c>
      <c r="C83" s="51" t="s">
        <v>3</v>
      </c>
      <c r="D83" s="51">
        <f t="shared" si="4"/>
        <v>200</v>
      </c>
      <c r="E83" s="51" t="s">
        <v>3</v>
      </c>
      <c r="F83" s="110">
        <f t="shared" si="5"/>
        <v>1650</v>
      </c>
      <c r="G83" s="51" t="s">
        <v>3</v>
      </c>
      <c r="H83" s="48">
        <v>2</v>
      </c>
      <c r="I83" s="49" t="s">
        <v>45</v>
      </c>
      <c r="J83" s="184">
        <v>65</v>
      </c>
      <c r="K83" s="113">
        <v>200</v>
      </c>
      <c r="L83" s="113">
        <v>1650</v>
      </c>
      <c r="M83" s="185">
        <v>10.632887899420714</v>
      </c>
      <c r="N83" s="87">
        <v>263.44265999999999</v>
      </c>
      <c r="O83" s="121">
        <v>18517.399033502479</v>
      </c>
      <c r="P83" s="119">
        <v>21527.115155716503</v>
      </c>
      <c r="Q83" s="120">
        <v>11727.670246258953</v>
      </c>
      <c r="R83" s="314">
        <v>30245.069279761432</v>
      </c>
      <c r="S83" s="315">
        <v>33254.78540197546</v>
      </c>
      <c r="U83" s="7" t="s">
        <v>933</v>
      </c>
    </row>
    <row r="84" spans="1:21" s="74" customFormat="1" ht="16.5" customHeight="1" thickBot="1">
      <c r="A84" s="50" t="s">
        <v>35</v>
      </c>
      <c r="B84" s="51">
        <f t="shared" si="3"/>
        <v>65</v>
      </c>
      <c r="C84" s="51" t="s">
        <v>3</v>
      </c>
      <c r="D84" s="51">
        <f t="shared" si="4"/>
        <v>200</v>
      </c>
      <c r="E84" s="51" t="s">
        <v>3</v>
      </c>
      <c r="F84" s="110">
        <f t="shared" si="5"/>
        <v>1700</v>
      </c>
      <c r="G84" s="51" t="s">
        <v>3</v>
      </c>
      <c r="H84" s="48">
        <v>2</v>
      </c>
      <c r="I84" s="49" t="s">
        <v>45</v>
      </c>
      <c r="J84" s="184">
        <v>65</v>
      </c>
      <c r="K84" s="113">
        <v>200</v>
      </c>
      <c r="L84" s="113">
        <v>1700</v>
      </c>
      <c r="M84" s="185">
        <v>10.935761238229285</v>
      </c>
      <c r="N84" s="87">
        <v>273.57506999999998</v>
      </c>
      <c r="O84" s="121">
        <v>18909.079106100529</v>
      </c>
      <c r="P84" s="119">
        <v>22007.823152063404</v>
      </c>
      <c r="Q84" s="120">
        <v>12081.491423545167</v>
      </c>
      <c r="R84" s="314">
        <v>30990.570529645694</v>
      </c>
      <c r="S84" s="315">
        <v>34089.314575608572</v>
      </c>
      <c r="U84" s="7" t="s">
        <v>934</v>
      </c>
    </row>
    <row r="85" spans="1:21" s="74" customFormat="1" ht="16.5" customHeight="1" thickBot="1">
      <c r="A85" s="50" t="s">
        <v>35</v>
      </c>
      <c r="B85" s="51">
        <f t="shared" si="3"/>
        <v>65</v>
      </c>
      <c r="C85" s="51" t="s">
        <v>3</v>
      </c>
      <c r="D85" s="51">
        <f t="shared" si="4"/>
        <v>200</v>
      </c>
      <c r="E85" s="51" t="s">
        <v>3</v>
      </c>
      <c r="F85" s="110">
        <f t="shared" si="5"/>
        <v>1750</v>
      </c>
      <c r="G85" s="51" t="s">
        <v>3</v>
      </c>
      <c r="H85" s="48">
        <v>2</v>
      </c>
      <c r="I85" s="49" t="s">
        <v>45</v>
      </c>
      <c r="J85" s="184">
        <v>65</v>
      </c>
      <c r="K85" s="113">
        <v>200</v>
      </c>
      <c r="L85" s="113">
        <v>1750</v>
      </c>
      <c r="M85" s="185">
        <v>11.238634577037857</v>
      </c>
      <c r="N85" s="87">
        <v>283.70747999999992</v>
      </c>
      <c r="O85" s="121">
        <v>19300.759178698579</v>
      </c>
      <c r="P85" s="119">
        <v>22488.531148410304</v>
      </c>
      <c r="Q85" s="120">
        <v>12435.312600831377</v>
      </c>
      <c r="R85" s="314">
        <v>31736.071779529957</v>
      </c>
      <c r="S85" s="315">
        <v>34923.843749241685</v>
      </c>
      <c r="U85" s="7" t="s">
        <v>935</v>
      </c>
    </row>
    <row r="86" spans="1:21" s="74" customFormat="1" ht="16.5" customHeight="1" thickBot="1">
      <c r="A86" s="50" t="s">
        <v>35</v>
      </c>
      <c r="B86" s="51">
        <f t="shared" si="3"/>
        <v>65</v>
      </c>
      <c r="C86" s="51" t="s">
        <v>3</v>
      </c>
      <c r="D86" s="51">
        <f t="shared" si="4"/>
        <v>200</v>
      </c>
      <c r="E86" s="51" t="s">
        <v>3</v>
      </c>
      <c r="F86" s="110">
        <f t="shared" si="5"/>
        <v>1800</v>
      </c>
      <c r="G86" s="51" t="s">
        <v>3</v>
      </c>
      <c r="H86" s="48">
        <v>2</v>
      </c>
      <c r="I86" s="49" t="s">
        <v>45</v>
      </c>
      <c r="J86" s="184">
        <v>65</v>
      </c>
      <c r="K86" s="113">
        <v>200</v>
      </c>
      <c r="L86" s="113">
        <v>1800</v>
      </c>
      <c r="M86" s="185">
        <v>11.541507915846429</v>
      </c>
      <c r="N86" s="87">
        <v>293.83988999999997</v>
      </c>
      <c r="O86" s="121">
        <v>19692.43925129663</v>
      </c>
      <c r="P86" s="119">
        <v>22969.239144757204</v>
      </c>
      <c r="Q86" s="120">
        <v>12789.13377811759</v>
      </c>
      <c r="R86" s="314">
        <v>32481.573029414219</v>
      </c>
      <c r="S86" s="315">
        <v>35758.372922874798</v>
      </c>
      <c r="U86" s="7" t="s">
        <v>936</v>
      </c>
    </row>
    <row r="87" spans="1:21" s="74" customFormat="1" ht="16.5" customHeight="1" thickBot="1">
      <c r="A87" s="50" t="s">
        <v>35</v>
      </c>
      <c r="B87" s="51">
        <f t="shared" si="3"/>
        <v>65</v>
      </c>
      <c r="C87" s="51" t="s">
        <v>3</v>
      </c>
      <c r="D87" s="51">
        <f t="shared" si="4"/>
        <v>200</v>
      </c>
      <c r="E87" s="51" t="s">
        <v>3</v>
      </c>
      <c r="F87" s="110">
        <f t="shared" si="5"/>
        <v>1850</v>
      </c>
      <c r="G87" s="51" t="s">
        <v>3</v>
      </c>
      <c r="H87" s="48">
        <v>2</v>
      </c>
      <c r="I87" s="49" t="s">
        <v>45</v>
      </c>
      <c r="J87" s="184">
        <v>65</v>
      </c>
      <c r="K87" s="113">
        <v>200</v>
      </c>
      <c r="L87" s="113">
        <v>1850</v>
      </c>
      <c r="M87" s="185">
        <v>11.844381254655</v>
      </c>
      <c r="N87" s="87">
        <v>303.97229999999996</v>
      </c>
      <c r="O87" s="121">
        <v>20084.11932389468</v>
      </c>
      <c r="P87" s="119">
        <v>23449.947141104105</v>
      </c>
      <c r="Q87" s="120">
        <v>13142.955095797164</v>
      </c>
      <c r="R87" s="314">
        <v>33227.074419691846</v>
      </c>
      <c r="S87" s="315">
        <v>36592.902236901267</v>
      </c>
      <c r="U87" s="7" t="s">
        <v>937</v>
      </c>
    </row>
    <row r="88" spans="1:21" s="74" customFormat="1" ht="16.5" customHeight="1" thickBot="1">
      <c r="A88" s="50" t="s">
        <v>35</v>
      </c>
      <c r="B88" s="51">
        <f t="shared" si="3"/>
        <v>65</v>
      </c>
      <c r="C88" s="51" t="s">
        <v>3</v>
      </c>
      <c r="D88" s="51">
        <f t="shared" si="4"/>
        <v>200</v>
      </c>
      <c r="E88" s="51" t="s">
        <v>3</v>
      </c>
      <c r="F88" s="110">
        <f t="shared" si="5"/>
        <v>1900</v>
      </c>
      <c r="G88" s="51" t="s">
        <v>3</v>
      </c>
      <c r="H88" s="48">
        <v>2</v>
      </c>
      <c r="I88" s="49" t="s">
        <v>45</v>
      </c>
      <c r="J88" s="184">
        <v>65</v>
      </c>
      <c r="K88" s="113">
        <v>200</v>
      </c>
      <c r="L88" s="113">
        <v>1900</v>
      </c>
      <c r="M88" s="185">
        <v>12.14725459346357</v>
      </c>
      <c r="N88" s="87">
        <v>314.10470999999995</v>
      </c>
      <c r="O88" s="121">
        <v>20475.799396492726</v>
      </c>
      <c r="P88" s="119">
        <v>23930.655277844369</v>
      </c>
      <c r="Q88" s="120">
        <v>13496.776273083377</v>
      </c>
      <c r="R88" s="314">
        <v>33972.575669576101</v>
      </c>
      <c r="S88" s="315">
        <v>37427.431550927744</v>
      </c>
      <c r="U88" s="7" t="s">
        <v>938</v>
      </c>
    </row>
    <row r="89" spans="1:21" s="74" customFormat="1" ht="16.5" customHeight="1" thickBot="1">
      <c r="A89" s="50" t="s">
        <v>35</v>
      </c>
      <c r="B89" s="51">
        <f t="shared" si="3"/>
        <v>65</v>
      </c>
      <c r="C89" s="51" t="s">
        <v>3</v>
      </c>
      <c r="D89" s="51">
        <f t="shared" si="4"/>
        <v>200</v>
      </c>
      <c r="E89" s="51" t="s">
        <v>3</v>
      </c>
      <c r="F89" s="110">
        <f t="shared" si="5"/>
        <v>1950</v>
      </c>
      <c r="G89" s="51" t="s">
        <v>3</v>
      </c>
      <c r="H89" s="48">
        <v>2</v>
      </c>
      <c r="I89" s="49" t="s">
        <v>45</v>
      </c>
      <c r="J89" s="184">
        <v>65</v>
      </c>
      <c r="K89" s="113">
        <v>200</v>
      </c>
      <c r="L89" s="113">
        <v>1950</v>
      </c>
      <c r="M89" s="185">
        <v>12.489377932272145</v>
      </c>
      <c r="N89" s="87">
        <v>324.23712</v>
      </c>
      <c r="O89" s="121">
        <v>20913.351315567303</v>
      </c>
      <c r="P89" s="119">
        <v>24455.836802777292</v>
      </c>
      <c r="Q89" s="120">
        <v>13850.597450369591</v>
      </c>
      <c r="R89" s="314">
        <v>34763.94876593689</v>
      </c>
      <c r="S89" s="315">
        <v>38306.434253146886</v>
      </c>
      <c r="U89" s="7" t="s">
        <v>939</v>
      </c>
    </row>
    <row r="90" spans="1:21" s="74" customFormat="1" ht="16.5" customHeight="1" thickBot="1">
      <c r="A90" s="50" t="s">
        <v>35</v>
      </c>
      <c r="B90" s="51">
        <f t="shared" si="3"/>
        <v>65</v>
      </c>
      <c r="C90" s="51" t="s">
        <v>3</v>
      </c>
      <c r="D90" s="51">
        <f t="shared" si="4"/>
        <v>200</v>
      </c>
      <c r="E90" s="51" t="s">
        <v>3</v>
      </c>
      <c r="F90" s="110">
        <f t="shared" si="5"/>
        <v>2000</v>
      </c>
      <c r="G90" s="51" t="s">
        <v>3</v>
      </c>
      <c r="H90" s="48">
        <v>2</v>
      </c>
      <c r="I90" s="49" t="s">
        <v>45</v>
      </c>
      <c r="J90" s="184">
        <v>65</v>
      </c>
      <c r="K90" s="113">
        <v>200</v>
      </c>
      <c r="L90" s="113">
        <v>2000</v>
      </c>
      <c r="M90" s="185">
        <v>12.883813671080713</v>
      </c>
      <c r="N90" s="87">
        <v>334.36952999999994</v>
      </c>
      <c r="O90" s="121">
        <v>21535.57441738058</v>
      </c>
      <c r="P90" s="119">
        <v>25237.85534900134</v>
      </c>
      <c r="Q90" s="120">
        <v>14204.418627655803</v>
      </c>
      <c r="R90" s="314">
        <v>35739.993045036383</v>
      </c>
      <c r="S90" s="315">
        <v>39442.273976657147</v>
      </c>
      <c r="U90" s="7" t="s">
        <v>940</v>
      </c>
    </row>
    <row r="91" spans="1:21" s="74" customFormat="1" ht="16.5" customHeight="1" thickBot="1">
      <c r="A91" s="50" t="s">
        <v>35</v>
      </c>
      <c r="B91" s="51">
        <f t="shared" si="3"/>
        <v>65</v>
      </c>
      <c r="C91" s="51" t="s">
        <v>3</v>
      </c>
      <c r="D91" s="51">
        <f t="shared" si="4"/>
        <v>200</v>
      </c>
      <c r="E91" s="51" t="s">
        <v>3</v>
      </c>
      <c r="F91" s="110">
        <f t="shared" si="5"/>
        <v>2050</v>
      </c>
      <c r="G91" s="51" t="s">
        <v>3</v>
      </c>
      <c r="H91" s="48">
        <v>2</v>
      </c>
      <c r="I91" s="49" t="s">
        <v>45</v>
      </c>
      <c r="J91" s="184">
        <v>65</v>
      </c>
      <c r="K91" s="113">
        <v>200</v>
      </c>
      <c r="L91" s="113">
        <v>2050</v>
      </c>
      <c r="M91" s="185">
        <v>13.186687009889285</v>
      </c>
      <c r="N91" s="87">
        <v>344.50193999999993</v>
      </c>
      <c r="O91" s="121">
        <v>21927.25448997863</v>
      </c>
      <c r="P91" s="119">
        <v>25718.563345348244</v>
      </c>
      <c r="Q91" s="120">
        <v>14558.239804942017</v>
      </c>
      <c r="R91" s="314">
        <v>36485.494294920645</v>
      </c>
      <c r="S91" s="315">
        <v>40276.80315029026</v>
      </c>
      <c r="U91" s="7" t="s">
        <v>941</v>
      </c>
    </row>
    <row r="92" spans="1:21" s="74" customFormat="1" ht="16.5" customHeight="1" thickBot="1">
      <c r="A92" s="47" t="s">
        <v>35</v>
      </c>
      <c r="B92" s="48">
        <f t="shared" si="3"/>
        <v>65</v>
      </c>
      <c r="C92" s="48" t="s">
        <v>3</v>
      </c>
      <c r="D92" s="48">
        <f t="shared" si="4"/>
        <v>200</v>
      </c>
      <c r="E92" s="48" t="s">
        <v>3</v>
      </c>
      <c r="F92" s="110">
        <f t="shared" si="5"/>
        <v>2100</v>
      </c>
      <c r="G92" s="48" t="s">
        <v>3</v>
      </c>
      <c r="H92" s="48">
        <v>2</v>
      </c>
      <c r="I92" s="49" t="s">
        <v>45</v>
      </c>
      <c r="J92" s="184">
        <v>65</v>
      </c>
      <c r="K92" s="113">
        <v>200</v>
      </c>
      <c r="L92" s="113">
        <v>2100</v>
      </c>
      <c r="M92" s="185">
        <v>13.489560348697857</v>
      </c>
      <c r="N92" s="87">
        <v>354.63434999999993</v>
      </c>
      <c r="O92" s="121">
        <v>22318.93456257668</v>
      </c>
      <c r="P92" s="119">
        <v>26199.271341695145</v>
      </c>
      <c r="Q92" s="120">
        <v>14912.061122621591</v>
      </c>
      <c r="R92" s="314">
        <v>37230.995685198272</v>
      </c>
      <c r="S92" s="315">
        <v>41111.332464316736</v>
      </c>
      <c r="U92" s="7" t="s">
        <v>942</v>
      </c>
    </row>
    <row r="93" spans="1:21" s="74" customFormat="1" ht="16.5" customHeight="1" thickBot="1">
      <c r="A93" s="50" t="s">
        <v>35</v>
      </c>
      <c r="B93" s="51">
        <f t="shared" si="3"/>
        <v>65</v>
      </c>
      <c r="C93" s="51" t="s">
        <v>3</v>
      </c>
      <c r="D93" s="51">
        <f t="shared" si="4"/>
        <v>200</v>
      </c>
      <c r="E93" s="51" t="s">
        <v>3</v>
      </c>
      <c r="F93" s="110">
        <f t="shared" si="5"/>
        <v>2150</v>
      </c>
      <c r="G93" s="51" t="s">
        <v>3</v>
      </c>
      <c r="H93" s="48">
        <v>2</v>
      </c>
      <c r="I93" s="49" t="s">
        <v>45</v>
      </c>
      <c r="J93" s="184">
        <v>65</v>
      </c>
      <c r="K93" s="113">
        <v>200</v>
      </c>
      <c r="L93" s="113">
        <v>2150</v>
      </c>
      <c r="M93" s="185">
        <v>13.792433687506428</v>
      </c>
      <c r="N93" s="87">
        <v>364.76675999999998</v>
      </c>
      <c r="O93" s="121">
        <v>22710.61463517473</v>
      </c>
      <c r="P93" s="119">
        <v>26679.979478435409</v>
      </c>
      <c r="Q93" s="120">
        <v>15265.882299907804</v>
      </c>
      <c r="R93" s="314">
        <v>37976.496935082534</v>
      </c>
      <c r="S93" s="315">
        <v>41945.861778343213</v>
      </c>
      <c r="U93" s="7" t="s">
        <v>943</v>
      </c>
    </row>
    <row r="94" spans="1:21" s="74" customFormat="1" ht="16.5" customHeight="1" thickBot="1">
      <c r="A94" s="50" t="s">
        <v>35</v>
      </c>
      <c r="B94" s="51">
        <f t="shared" si="3"/>
        <v>65</v>
      </c>
      <c r="C94" s="51" t="s">
        <v>3</v>
      </c>
      <c r="D94" s="51">
        <f t="shared" si="4"/>
        <v>200</v>
      </c>
      <c r="E94" s="51" t="s">
        <v>3</v>
      </c>
      <c r="F94" s="110">
        <f t="shared" si="5"/>
        <v>2200</v>
      </c>
      <c r="G94" s="51" t="s">
        <v>3</v>
      </c>
      <c r="H94" s="48">
        <v>2</v>
      </c>
      <c r="I94" s="49" t="s">
        <v>45</v>
      </c>
      <c r="J94" s="184">
        <v>65</v>
      </c>
      <c r="K94" s="113">
        <v>200</v>
      </c>
      <c r="L94" s="113">
        <v>2200</v>
      </c>
      <c r="M94" s="185">
        <v>14.095307026315</v>
      </c>
      <c r="N94" s="87">
        <v>374.89916999999997</v>
      </c>
      <c r="O94" s="121">
        <v>23102.29470777278</v>
      </c>
      <c r="P94" s="119">
        <v>27160.687474782306</v>
      </c>
      <c r="Q94" s="120">
        <v>15619.703477194014</v>
      </c>
      <c r="R94" s="314">
        <v>38721.998184966797</v>
      </c>
      <c r="S94" s="315">
        <v>42780.390951976318</v>
      </c>
      <c r="U94" s="7" t="s">
        <v>944</v>
      </c>
    </row>
    <row r="95" spans="1:21" s="74" customFormat="1" ht="16.5" customHeight="1" thickBot="1">
      <c r="A95" s="50" t="s">
        <v>35</v>
      </c>
      <c r="B95" s="51">
        <f t="shared" si="3"/>
        <v>65</v>
      </c>
      <c r="C95" s="51" t="s">
        <v>3</v>
      </c>
      <c r="D95" s="51">
        <f t="shared" si="4"/>
        <v>200</v>
      </c>
      <c r="E95" s="51" t="s">
        <v>3</v>
      </c>
      <c r="F95" s="110">
        <f t="shared" si="5"/>
        <v>2250</v>
      </c>
      <c r="G95" s="51" t="s">
        <v>3</v>
      </c>
      <c r="H95" s="48">
        <v>2</v>
      </c>
      <c r="I95" s="49" t="s">
        <v>45</v>
      </c>
      <c r="J95" s="184">
        <v>65</v>
      </c>
      <c r="K95" s="113">
        <v>200</v>
      </c>
      <c r="L95" s="113">
        <v>2250</v>
      </c>
      <c r="M95" s="185">
        <v>14.39818036512357</v>
      </c>
      <c r="N95" s="87">
        <v>385.03157999999991</v>
      </c>
      <c r="O95" s="121">
        <v>23493.974780370831</v>
      </c>
      <c r="P95" s="119">
        <v>27641.395471129206</v>
      </c>
      <c r="Q95" s="120">
        <v>15973.524654480228</v>
      </c>
      <c r="R95" s="314">
        <v>39467.499434851059</v>
      </c>
      <c r="S95" s="315">
        <v>43614.920125609438</v>
      </c>
      <c r="U95" s="7" t="s">
        <v>945</v>
      </c>
    </row>
    <row r="96" spans="1:21" s="74" customFormat="1" ht="16.5" customHeight="1" thickBot="1">
      <c r="A96" s="50" t="s">
        <v>35</v>
      </c>
      <c r="B96" s="51">
        <f t="shared" si="3"/>
        <v>65</v>
      </c>
      <c r="C96" s="51" t="s">
        <v>3</v>
      </c>
      <c r="D96" s="51">
        <f t="shared" si="4"/>
        <v>200</v>
      </c>
      <c r="E96" s="51" t="s">
        <v>3</v>
      </c>
      <c r="F96" s="110">
        <f t="shared" si="5"/>
        <v>2300</v>
      </c>
      <c r="G96" s="51" t="s">
        <v>3</v>
      </c>
      <c r="H96" s="48">
        <v>2</v>
      </c>
      <c r="I96" s="49" t="s">
        <v>45</v>
      </c>
      <c r="J96" s="184">
        <v>65</v>
      </c>
      <c r="K96" s="113">
        <v>200</v>
      </c>
      <c r="L96" s="113">
        <v>2300</v>
      </c>
      <c r="M96" s="185">
        <v>14.701053703932143</v>
      </c>
      <c r="N96" s="87">
        <v>395.16398999999996</v>
      </c>
      <c r="O96" s="121">
        <v>23885.654852968881</v>
      </c>
      <c r="P96" s="119">
        <v>28122.103467476107</v>
      </c>
      <c r="Q96" s="120">
        <v>16327.345972159803</v>
      </c>
      <c r="R96" s="314">
        <v>40213.000825128685</v>
      </c>
      <c r="S96" s="315">
        <v>44449.449439635908</v>
      </c>
      <c r="U96" s="7" t="s">
        <v>946</v>
      </c>
    </row>
    <row r="97" spans="1:21" s="74" customFormat="1" ht="16.5" customHeight="1" thickBot="1">
      <c r="A97" s="50" t="s">
        <v>35</v>
      </c>
      <c r="B97" s="51">
        <f t="shared" si="3"/>
        <v>65</v>
      </c>
      <c r="C97" s="51" t="s">
        <v>3</v>
      </c>
      <c r="D97" s="51">
        <f t="shared" si="4"/>
        <v>200</v>
      </c>
      <c r="E97" s="51" t="s">
        <v>3</v>
      </c>
      <c r="F97" s="110">
        <f t="shared" si="5"/>
        <v>2350</v>
      </c>
      <c r="G97" s="51" t="s">
        <v>3</v>
      </c>
      <c r="H97" s="48">
        <v>2</v>
      </c>
      <c r="I97" s="49" t="s">
        <v>45</v>
      </c>
      <c r="J97" s="184">
        <v>65</v>
      </c>
      <c r="K97" s="113">
        <v>200</v>
      </c>
      <c r="L97" s="113">
        <v>2350</v>
      </c>
      <c r="M97" s="185">
        <v>15.003927042740713</v>
      </c>
      <c r="N97" s="87">
        <v>405.29639999999995</v>
      </c>
      <c r="O97" s="121">
        <v>24277.334925566931</v>
      </c>
      <c r="P97" s="119">
        <v>28602.811463823004</v>
      </c>
      <c r="Q97" s="120">
        <v>16681.167149446017</v>
      </c>
      <c r="R97" s="314">
        <v>40958.502075012948</v>
      </c>
      <c r="S97" s="315">
        <v>45283.978613269021</v>
      </c>
      <c r="U97" s="7" t="s">
        <v>947</v>
      </c>
    </row>
    <row r="98" spans="1:21" s="74" customFormat="1" ht="16.5" customHeight="1" thickBot="1">
      <c r="A98" s="50" t="s">
        <v>35</v>
      </c>
      <c r="B98" s="51">
        <f t="shared" si="3"/>
        <v>65</v>
      </c>
      <c r="C98" s="51" t="s">
        <v>3</v>
      </c>
      <c r="D98" s="51">
        <f t="shared" si="4"/>
        <v>200</v>
      </c>
      <c r="E98" s="51" t="s">
        <v>3</v>
      </c>
      <c r="F98" s="110">
        <f t="shared" si="5"/>
        <v>2400</v>
      </c>
      <c r="G98" s="51" t="s">
        <v>3</v>
      </c>
      <c r="H98" s="48">
        <v>2</v>
      </c>
      <c r="I98" s="49" t="s">
        <v>45</v>
      </c>
      <c r="J98" s="184">
        <v>65</v>
      </c>
      <c r="K98" s="113">
        <v>200</v>
      </c>
      <c r="L98" s="113">
        <v>2400</v>
      </c>
      <c r="M98" s="185">
        <v>15.306800381549285</v>
      </c>
      <c r="N98" s="87">
        <v>415.42880999999988</v>
      </c>
      <c r="O98" s="121">
        <v>24669.014998164981</v>
      </c>
      <c r="P98" s="119">
        <v>29083.519460169904</v>
      </c>
      <c r="Q98" s="120">
        <v>17034.988326732229</v>
      </c>
      <c r="R98" s="314">
        <v>41704.00332489721</v>
      </c>
      <c r="S98" s="315">
        <v>46118.507786902133</v>
      </c>
      <c r="U98" s="7" t="s">
        <v>948</v>
      </c>
    </row>
    <row r="99" spans="1:21" s="74" customFormat="1" ht="16.5" customHeight="1" thickBot="1">
      <c r="A99" s="50" t="s">
        <v>35</v>
      </c>
      <c r="B99" s="51">
        <f t="shared" si="3"/>
        <v>65</v>
      </c>
      <c r="C99" s="51" t="s">
        <v>3</v>
      </c>
      <c r="D99" s="51">
        <f t="shared" si="4"/>
        <v>200</v>
      </c>
      <c r="E99" s="51" t="s">
        <v>3</v>
      </c>
      <c r="F99" s="110">
        <f t="shared" si="5"/>
        <v>2450</v>
      </c>
      <c r="G99" s="51" t="s">
        <v>3</v>
      </c>
      <c r="H99" s="48">
        <v>2</v>
      </c>
      <c r="I99" s="49" t="s">
        <v>45</v>
      </c>
      <c r="J99" s="184">
        <v>65</v>
      </c>
      <c r="K99" s="113">
        <v>200</v>
      </c>
      <c r="L99" s="113">
        <v>2450</v>
      </c>
      <c r="M99" s="185">
        <v>15.702236853157856</v>
      </c>
      <c r="N99" s="87">
        <v>425.56121999999999</v>
      </c>
      <c r="O99" s="121">
        <v>25600.13017221713</v>
      </c>
      <c r="P99" s="119">
        <v>30011.717119755944</v>
      </c>
      <c r="Q99" s="120">
        <v>17388.809504018442</v>
      </c>
      <c r="R99" s="314">
        <v>42988.939676235575</v>
      </c>
      <c r="S99" s="315">
        <v>47400.526623774385</v>
      </c>
      <c r="U99" s="7" t="s">
        <v>949</v>
      </c>
    </row>
    <row r="100" spans="1:21" s="74" customFormat="1" ht="16.5" customHeight="1" thickBot="1">
      <c r="A100" s="50" t="s">
        <v>35</v>
      </c>
      <c r="B100" s="51">
        <f t="shared" si="3"/>
        <v>65</v>
      </c>
      <c r="C100" s="51" t="s">
        <v>3</v>
      </c>
      <c r="D100" s="51">
        <f t="shared" si="4"/>
        <v>200</v>
      </c>
      <c r="E100" s="51" t="s">
        <v>3</v>
      </c>
      <c r="F100" s="110">
        <f t="shared" si="5"/>
        <v>2500</v>
      </c>
      <c r="G100" s="51" t="s">
        <v>3</v>
      </c>
      <c r="H100" s="48">
        <v>2</v>
      </c>
      <c r="I100" s="49" t="s">
        <v>45</v>
      </c>
      <c r="J100" s="184">
        <v>65</v>
      </c>
      <c r="K100" s="113">
        <v>200</v>
      </c>
      <c r="L100" s="113">
        <v>2500</v>
      </c>
      <c r="M100" s="185">
        <v>16.005110191966427</v>
      </c>
      <c r="N100" s="87">
        <v>435.69362999999993</v>
      </c>
      <c r="O100" s="121">
        <v>25991.810385208544</v>
      </c>
      <c r="P100" s="119">
        <v>30492.425116102848</v>
      </c>
      <c r="Q100" s="120">
        <v>17742.630681304654</v>
      </c>
      <c r="R100" s="314">
        <v>43734.441066513202</v>
      </c>
      <c r="S100" s="315">
        <v>48235.055797407505</v>
      </c>
      <c r="U100" s="7" t="s">
        <v>950</v>
      </c>
    </row>
    <row r="101" spans="1:21" s="74" customFormat="1" ht="16.5" customHeight="1" thickBot="1">
      <c r="A101" s="50" t="s">
        <v>35</v>
      </c>
      <c r="B101" s="51">
        <f t="shared" si="3"/>
        <v>65</v>
      </c>
      <c r="C101" s="51" t="s">
        <v>3</v>
      </c>
      <c r="D101" s="51">
        <f t="shared" si="4"/>
        <v>200</v>
      </c>
      <c r="E101" s="51" t="s">
        <v>3</v>
      </c>
      <c r="F101" s="110">
        <f t="shared" si="5"/>
        <v>2550</v>
      </c>
      <c r="G101" s="51" t="s">
        <v>3</v>
      </c>
      <c r="H101" s="48">
        <v>2</v>
      </c>
      <c r="I101" s="49" t="s">
        <v>45</v>
      </c>
      <c r="J101" s="184">
        <v>65</v>
      </c>
      <c r="K101" s="113">
        <v>200</v>
      </c>
      <c r="L101" s="113">
        <v>2550</v>
      </c>
      <c r="M101" s="185">
        <v>16.307983530774997</v>
      </c>
      <c r="N101" s="87">
        <v>445.82603999999998</v>
      </c>
      <c r="O101" s="121">
        <v>26383.490457806591</v>
      </c>
      <c r="P101" s="119">
        <v>30973.133112449745</v>
      </c>
      <c r="Q101" s="120">
        <v>18096.45199898423</v>
      </c>
      <c r="R101" s="314">
        <v>44479.942456790821</v>
      </c>
      <c r="S101" s="315">
        <v>49069.585111433975</v>
      </c>
      <c r="U101" s="7" t="s">
        <v>951</v>
      </c>
    </row>
    <row r="102" spans="1:21" s="74" customFormat="1" ht="16.5" customHeight="1" thickBot="1">
      <c r="A102" s="47" t="s">
        <v>35</v>
      </c>
      <c r="B102" s="48">
        <f t="shared" si="3"/>
        <v>65</v>
      </c>
      <c r="C102" s="48" t="s">
        <v>3</v>
      </c>
      <c r="D102" s="48">
        <f t="shared" si="4"/>
        <v>200</v>
      </c>
      <c r="E102" s="48" t="s">
        <v>3</v>
      </c>
      <c r="F102" s="110">
        <f t="shared" si="5"/>
        <v>2600</v>
      </c>
      <c r="G102" s="48" t="s">
        <v>3</v>
      </c>
      <c r="H102" s="48">
        <v>2</v>
      </c>
      <c r="I102" s="49" t="s">
        <v>45</v>
      </c>
      <c r="J102" s="184">
        <v>65</v>
      </c>
      <c r="K102" s="113">
        <v>200</v>
      </c>
      <c r="L102" s="113">
        <v>2600</v>
      </c>
      <c r="M102" s="185">
        <v>16.610856869583571</v>
      </c>
      <c r="N102" s="87">
        <v>455.95844999999997</v>
      </c>
      <c r="O102" s="121">
        <v>26775.170530404641</v>
      </c>
      <c r="P102" s="119">
        <v>31453.841249190009</v>
      </c>
      <c r="Q102" s="120">
        <v>18450.273176270442</v>
      </c>
      <c r="R102" s="314">
        <v>45225.443706675083</v>
      </c>
      <c r="S102" s="315">
        <v>49904.114425460451</v>
      </c>
      <c r="U102" s="7" t="s">
        <v>952</v>
      </c>
    </row>
    <row r="103" spans="1:21" s="74" customFormat="1" ht="16.5" customHeight="1" thickBot="1">
      <c r="A103" s="50" t="s">
        <v>35</v>
      </c>
      <c r="B103" s="51">
        <f t="shared" si="3"/>
        <v>65</v>
      </c>
      <c r="C103" s="51" t="s">
        <v>3</v>
      </c>
      <c r="D103" s="51">
        <f t="shared" si="4"/>
        <v>200</v>
      </c>
      <c r="E103" s="51" t="s">
        <v>3</v>
      </c>
      <c r="F103" s="110">
        <f t="shared" si="5"/>
        <v>2650</v>
      </c>
      <c r="G103" s="51" t="s">
        <v>3</v>
      </c>
      <c r="H103" s="48">
        <v>2</v>
      </c>
      <c r="I103" s="49" t="s">
        <v>45</v>
      </c>
      <c r="J103" s="184">
        <v>65</v>
      </c>
      <c r="K103" s="113">
        <v>200</v>
      </c>
      <c r="L103" s="113">
        <v>2650</v>
      </c>
      <c r="M103" s="185">
        <v>16.913730208392142</v>
      </c>
      <c r="N103" s="87">
        <v>466.09085999999991</v>
      </c>
      <c r="O103" s="121">
        <v>27166.850603002691</v>
      </c>
      <c r="P103" s="119">
        <v>31934.549245536909</v>
      </c>
      <c r="Q103" s="120">
        <v>18804.094353556655</v>
      </c>
      <c r="R103" s="314">
        <v>45970.944956559346</v>
      </c>
      <c r="S103" s="315">
        <v>50738.643599093564</v>
      </c>
      <c r="U103" s="7" t="s">
        <v>953</v>
      </c>
    </row>
    <row r="104" spans="1:21" s="74" customFormat="1" ht="16.5" customHeight="1" thickBot="1">
      <c r="A104" s="50" t="s">
        <v>35</v>
      </c>
      <c r="B104" s="51">
        <f t="shared" si="3"/>
        <v>65</v>
      </c>
      <c r="C104" s="51" t="s">
        <v>3</v>
      </c>
      <c r="D104" s="51">
        <f t="shared" si="4"/>
        <v>200</v>
      </c>
      <c r="E104" s="51" t="s">
        <v>3</v>
      </c>
      <c r="F104" s="110">
        <f t="shared" si="5"/>
        <v>2700</v>
      </c>
      <c r="G104" s="51" t="s">
        <v>3</v>
      </c>
      <c r="H104" s="48">
        <v>2</v>
      </c>
      <c r="I104" s="49" t="s">
        <v>45</v>
      </c>
      <c r="J104" s="184">
        <v>65</v>
      </c>
      <c r="K104" s="113">
        <v>200</v>
      </c>
      <c r="L104" s="113">
        <v>2700</v>
      </c>
      <c r="M104" s="185">
        <v>17.255853547200715</v>
      </c>
      <c r="N104" s="87">
        <v>476.22326999999996</v>
      </c>
      <c r="O104" s="121">
        <v>27604.402381683904</v>
      </c>
      <c r="P104" s="119">
        <v>32459.730770469829</v>
      </c>
      <c r="Q104" s="120">
        <v>19157.915530842867</v>
      </c>
      <c r="R104" s="314">
        <v>46762.317912526771</v>
      </c>
      <c r="S104" s="315">
        <v>51617.646301312692</v>
      </c>
      <c r="U104" s="7" t="s">
        <v>954</v>
      </c>
    </row>
    <row r="105" spans="1:21" s="74" customFormat="1" ht="16.5" customHeight="1" thickBot="1">
      <c r="A105" s="50" t="s">
        <v>35</v>
      </c>
      <c r="B105" s="51">
        <f t="shared" si="3"/>
        <v>65</v>
      </c>
      <c r="C105" s="51" t="s">
        <v>3</v>
      </c>
      <c r="D105" s="51">
        <f t="shared" si="4"/>
        <v>200</v>
      </c>
      <c r="E105" s="51" t="s">
        <v>3</v>
      </c>
      <c r="F105" s="110">
        <f t="shared" si="5"/>
        <v>2750</v>
      </c>
      <c r="G105" s="51" t="s">
        <v>3</v>
      </c>
      <c r="H105" s="48">
        <v>2</v>
      </c>
      <c r="I105" s="49" t="s">
        <v>45</v>
      </c>
      <c r="J105" s="184">
        <v>65</v>
      </c>
      <c r="K105" s="113">
        <v>200</v>
      </c>
      <c r="L105" s="113">
        <v>2750</v>
      </c>
      <c r="M105" s="185">
        <v>17.558726886009282</v>
      </c>
      <c r="N105" s="87">
        <v>486.35567999999989</v>
      </c>
      <c r="O105" s="121">
        <v>27996.082454281954</v>
      </c>
      <c r="P105" s="119">
        <v>32940.438766816733</v>
      </c>
      <c r="Q105" s="120">
        <v>19511.736848522443</v>
      </c>
      <c r="R105" s="314">
        <v>47507.819302804397</v>
      </c>
      <c r="S105" s="315">
        <v>52452.175615339176</v>
      </c>
      <c r="U105" s="7" t="s">
        <v>955</v>
      </c>
    </row>
    <row r="106" spans="1:21" s="74" customFormat="1" ht="16.5" customHeight="1" thickBot="1">
      <c r="A106" s="50" t="s">
        <v>35</v>
      </c>
      <c r="B106" s="51">
        <f t="shared" si="3"/>
        <v>65</v>
      </c>
      <c r="C106" s="51" t="s">
        <v>3</v>
      </c>
      <c r="D106" s="51">
        <f t="shared" si="4"/>
        <v>200</v>
      </c>
      <c r="E106" s="51" t="s">
        <v>3</v>
      </c>
      <c r="F106" s="110">
        <f t="shared" si="5"/>
        <v>2800</v>
      </c>
      <c r="G106" s="51" t="s">
        <v>3</v>
      </c>
      <c r="H106" s="48">
        <v>2</v>
      </c>
      <c r="I106" s="49" t="s">
        <v>45</v>
      </c>
      <c r="J106" s="184">
        <v>65</v>
      </c>
      <c r="K106" s="113">
        <v>200</v>
      </c>
      <c r="L106" s="113">
        <v>2800</v>
      </c>
      <c r="M106" s="185">
        <v>17.861600224817856</v>
      </c>
      <c r="N106" s="87">
        <v>496.48809</v>
      </c>
      <c r="O106" s="121">
        <v>28387.762667273371</v>
      </c>
      <c r="P106" s="119">
        <v>33421.14690355699</v>
      </c>
      <c r="Q106" s="120">
        <v>19865.558025808652</v>
      </c>
      <c r="R106" s="314">
        <v>48253.320693082023</v>
      </c>
      <c r="S106" s="315">
        <v>53286.704929365646</v>
      </c>
      <c r="U106" s="7" t="s">
        <v>956</v>
      </c>
    </row>
    <row r="107" spans="1:21" s="74" customFormat="1" ht="16.5" customHeight="1" thickBot="1">
      <c r="A107" s="50" t="s">
        <v>35</v>
      </c>
      <c r="B107" s="51">
        <f t="shared" si="3"/>
        <v>65</v>
      </c>
      <c r="C107" s="51" t="s">
        <v>3</v>
      </c>
      <c r="D107" s="51">
        <f t="shared" si="4"/>
        <v>200</v>
      </c>
      <c r="E107" s="51" t="s">
        <v>3</v>
      </c>
      <c r="F107" s="110">
        <f t="shared" si="5"/>
        <v>2850</v>
      </c>
      <c r="G107" s="51" t="s">
        <v>3</v>
      </c>
      <c r="H107" s="48">
        <v>2</v>
      </c>
      <c r="I107" s="49" t="s">
        <v>45</v>
      </c>
      <c r="J107" s="184">
        <v>65</v>
      </c>
      <c r="K107" s="113">
        <v>200</v>
      </c>
      <c r="L107" s="113">
        <v>2850</v>
      </c>
      <c r="M107" s="185">
        <v>18.164473563626427</v>
      </c>
      <c r="N107" s="87">
        <v>506.62049999999994</v>
      </c>
      <c r="O107" s="121">
        <v>28779.442739871422</v>
      </c>
      <c r="P107" s="119">
        <v>33901.854899903898</v>
      </c>
      <c r="Q107" s="120">
        <v>20219.379203094868</v>
      </c>
      <c r="R107" s="314">
        <v>48998.821942966286</v>
      </c>
      <c r="S107" s="315">
        <v>54121.234102998766</v>
      </c>
      <c r="U107" s="7" t="s">
        <v>957</v>
      </c>
    </row>
    <row r="108" spans="1:21" s="74" customFormat="1" ht="16.5" customHeight="1" thickBot="1">
      <c r="A108" s="50" t="s">
        <v>35</v>
      </c>
      <c r="B108" s="51">
        <f t="shared" si="3"/>
        <v>65</v>
      </c>
      <c r="C108" s="51" t="s">
        <v>3</v>
      </c>
      <c r="D108" s="51">
        <f t="shared" si="4"/>
        <v>200</v>
      </c>
      <c r="E108" s="51" t="s">
        <v>3</v>
      </c>
      <c r="F108" s="110">
        <f t="shared" si="5"/>
        <v>2900</v>
      </c>
      <c r="G108" s="51" t="s">
        <v>3</v>
      </c>
      <c r="H108" s="48">
        <v>2</v>
      </c>
      <c r="I108" s="49" t="s">
        <v>45</v>
      </c>
      <c r="J108" s="184">
        <v>65</v>
      </c>
      <c r="K108" s="113">
        <v>200</v>
      </c>
      <c r="L108" s="113">
        <v>2900</v>
      </c>
      <c r="M108" s="185">
        <v>18.467346902435001</v>
      </c>
      <c r="N108" s="87">
        <v>516.75290999999993</v>
      </c>
      <c r="O108" s="121">
        <v>29171.122812469472</v>
      </c>
      <c r="P108" s="119">
        <v>34382.562896250798</v>
      </c>
      <c r="Q108" s="120">
        <v>20573.20038038108</v>
      </c>
      <c r="R108" s="314">
        <v>49744.323192850556</v>
      </c>
      <c r="S108" s="315">
        <v>54955.763276631878</v>
      </c>
      <c r="U108" s="7" t="s">
        <v>958</v>
      </c>
    </row>
    <row r="109" spans="1:21" s="74" customFormat="1" ht="16.5" customHeight="1" thickBot="1">
      <c r="A109" s="50" t="s">
        <v>35</v>
      </c>
      <c r="B109" s="51">
        <f t="shared" si="3"/>
        <v>65</v>
      </c>
      <c r="C109" s="51" t="s">
        <v>3</v>
      </c>
      <c r="D109" s="51">
        <f t="shared" si="4"/>
        <v>200</v>
      </c>
      <c r="E109" s="51" t="s">
        <v>3</v>
      </c>
      <c r="F109" s="110">
        <f t="shared" si="5"/>
        <v>2950</v>
      </c>
      <c r="G109" s="51" t="s">
        <v>3</v>
      </c>
      <c r="H109" s="48">
        <v>2</v>
      </c>
      <c r="I109" s="49" t="s">
        <v>45</v>
      </c>
      <c r="J109" s="184">
        <v>65</v>
      </c>
      <c r="K109" s="113">
        <v>200</v>
      </c>
      <c r="L109" s="113">
        <v>2950</v>
      </c>
      <c r="M109" s="185">
        <v>18.770220241243571</v>
      </c>
      <c r="N109" s="87">
        <v>526.88531999999998</v>
      </c>
      <c r="O109" s="121">
        <v>29562.802885067518</v>
      </c>
      <c r="P109" s="119">
        <v>34863.270892597699</v>
      </c>
      <c r="Q109" s="120">
        <v>20927.021557667293</v>
      </c>
      <c r="R109" s="314">
        <v>50489.824442734811</v>
      </c>
      <c r="S109" s="315">
        <v>55790.292450264991</v>
      </c>
      <c r="U109" s="7" t="s">
        <v>959</v>
      </c>
    </row>
    <row r="110" spans="1:21" s="74" customFormat="1" ht="16.5" customHeight="1" thickBot="1">
      <c r="A110" s="52" t="s">
        <v>35</v>
      </c>
      <c r="B110" s="53">
        <f t="shared" si="3"/>
        <v>65</v>
      </c>
      <c r="C110" s="53" t="s">
        <v>3</v>
      </c>
      <c r="D110" s="53">
        <f t="shared" si="4"/>
        <v>200</v>
      </c>
      <c r="E110" s="53" t="s">
        <v>3</v>
      </c>
      <c r="F110" s="111">
        <f t="shared" si="5"/>
        <v>3000</v>
      </c>
      <c r="G110" s="53" t="s">
        <v>3</v>
      </c>
      <c r="H110" s="55">
        <v>2</v>
      </c>
      <c r="I110" s="54" t="s">
        <v>45</v>
      </c>
      <c r="J110" s="184">
        <v>65</v>
      </c>
      <c r="K110" s="157">
        <v>200</v>
      </c>
      <c r="L110" s="157">
        <v>3000</v>
      </c>
      <c r="M110" s="187">
        <v>19.073093580052142</v>
      </c>
      <c r="N110" s="148">
        <v>537.01772999999991</v>
      </c>
      <c r="O110" s="158">
        <v>31129.640263524045</v>
      </c>
      <c r="P110" s="189">
        <v>35343.978888944592</v>
      </c>
      <c r="Q110" s="159">
        <v>21280.842875346865</v>
      </c>
      <c r="R110" s="316">
        <v>52410.483138870914</v>
      </c>
      <c r="S110" s="317">
        <v>56624.821764291453</v>
      </c>
      <c r="U110" s="7" t="s">
        <v>960</v>
      </c>
    </row>
    <row r="111" spans="1:21" s="74" customFormat="1" ht="22.5" customHeight="1" thickBot="1">
      <c r="A111" s="2621" t="s">
        <v>50</v>
      </c>
      <c r="B111" s="2622"/>
      <c r="C111" s="2622"/>
      <c r="D111" s="2622"/>
      <c r="E111" s="2622"/>
      <c r="F111" s="2622"/>
      <c r="G111" s="2622"/>
      <c r="H111" s="2622"/>
      <c r="I111" s="2622"/>
      <c r="J111" s="2622"/>
      <c r="K111" s="2622"/>
      <c r="L111" s="2622"/>
      <c r="M111" s="2622"/>
      <c r="N111" s="2622"/>
      <c r="O111" s="2622"/>
      <c r="P111" s="2622"/>
      <c r="Q111" s="2622"/>
      <c r="R111" s="2622"/>
      <c r="S111" s="2623"/>
      <c r="U111" s="7"/>
    </row>
    <row r="112" spans="1:21" s="74" customFormat="1" ht="22.5" customHeight="1" thickBot="1">
      <c r="A112" s="2624" t="s">
        <v>69</v>
      </c>
      <c r="B112" s="2625"/>
      <c r="C112" s="2625"/>
      <c r="D112" s="2625"/>
      <c r="E112" s="2625"/>
      <c r="F112" s="2625"/>
      <c r="G112" s="2625"/>
      <c r="H112" s="2625"/>
      <c r="I112" s="2625"/>
      <c r="J112" s="2625"/>
      <c r="K112" s="2625"/>
      <c r="L112" s="2625"/>
      <c r="M112" s="2625"/>
      <c r="N112" s="2625"/>
      <c r="O112" s="2625"/>
      <c r="P112" s="2625"/>
      <c r="Q112" s="2625"/>
      <c r="R112" s="2625"/>
      <c r="S112" s="2626"/>
      <c r="U112" s="7"/>
    </row>
    <row r="113" spans="1:21" s="74" customFormat="1" ht="16.5" customHeight="1" thickBot="1">
      <c r="A113" s="2583" t="s">
        <v>134</v>
      </c>
      <c r="B113" s="2584"/>
      <c r="C113" s="2584"/>
      <c r="D113" s="2584"/>
      <c r="E113" s="2584"/>
      <c r="F113" s="2584"/>
      <c r="G113" s="2584"/>
      <c r="H113" s="2584"/>
      <c r="I113" s="2584"/>
      <c r="J113" s="2584"/>
      <c r="K113" s="2584"/>
      <c r="L113" s="2584"/>
      <c r="M113" s="2584"/>
      <c r="N113" s="2584"/>
      <c r="O113" s="2584"/>
      <c r="P113" s="2584"/>
      <c r="Q113" s="2584"/>
      <c r="R113" s="2584"/>
      <c r="S113" s="2585"/>
      <c r="U113" s="7"/>
    </row>
    <row r="114" spans="1:21" s="74" customFormat="1" ht="16.5" thickBot="1">
      <c r="A114" s="47" t="s">
        <v>35</v>
      </c>
      <c r="B114" s="48">
        <f>J114</f>
        <v>65</v>
      </c>
      <c r="C114" s="48" t="s">
        <v>3</v>
      </c>
      <c r="D114" s="48">
        <f>K114</f>
        <v>260</v>
      </c>
      <c r="E114" s="48" t="s">
        <v>3</v>
      </c>
      <c r="F114" s="110">
        <f>L114</f>
        <v>600</v>
      </c>
      <c r="G114" s="48" t="s">
        <v>3</v>
      </c>
      <c r="H114" s="48">
        <v>2</v>
      </c>
      <c r="I114" s="49" t="s">
        <v>45</v>
      </c>
      <c r="J114" s="181">
        <v>65</v>
      </c>
      <c r="K114" s="168">
        <v>260</v>
      </c>
      <c r="L114" s="168">
        <v>600</v>
      </c>
      <c r="M114" s="182">
        <v>4.876439527783571</v>
      </c>
      <c r="N114" s="143">
        <v>65.254679999999993</v>
      </c>
      <c r="O114" s="188">
        <v>10038.241102880702</v>
      </c>
      <c r="P114" s="188">
        <v>11841.673868409827</v>
      </c>
      <c r="Q114" s="169">
        <v>5251.4036159904008</v>
      </c>
      <c r="R114" s="312">
        <v>15289.644718871103</v>
      </c>
      <c r="S114" s="313">
        <v>17093.07748440023</v>
      </c>
      <c r="U114" s="7" t="s">
        <v>961</v>
      </c>
    </row>
    <row r="115" spans="1:21" s="74" customFormat="1" ht="16.5" thickBot="1">
      <c r="A115" s="50" t="s">
        <v>35</v>
      </c>
      <c r="B115" s="51">
        <f t="shared" ref="B115:B162" si="6">J115</f>
        <v>65</v>
      </c>
      <c r="C115" s="51" t="s">
        <v>3</v>
      </c>
      <c r="D115" s="51">
        <f t="shared" ref="D115:D162" si="7">K115</f>
        <v>260</v>
      </c>
      <c r="E115" s="51" t="s">
        <v>3</v>
      </c>
      <c r="F115" s="110">
        <f t="shared" ref="F115:F162" si="8">L115</f>
        <v>650</v>
      </c>
      <c r="G115" s="51" t="s">
        <v>3</v>
      </c>
      <c r="H115" s="48">
        <v>2</v>
      </c>
      <c r="I115" s="49" t="s">
        <v>45</v>
      </c>
      <c r="J115" s="184">
        <v>65</v>
      </c>
      <c r="K115" s="113">
        <v>260</v>
      </c>
      <c r="L115" s="113">
        <v>650</v>
      </c>
      <c r="M115" s="185">
        <v>5.2272129773064284</v>
      </c>
      <c r="N115" s="75">
        <v>78.305615999999986</v>
      </c>
      <c r="O115" s="119">
        <v>10458.357570266402</v>
      </c>
      <c r="P115" s="119">
        <v>12369.84001583614</v>
      </c>
      <c r="Q115" s="120">
        <v>5683.506026306176</v>
      </c>
      <c r="R115" s="314">
        <v>16141.863596572577</v>
      </c>
      <c r="S115" s="315">
        <v>18053.346042142315</v>
      </c>
      <c r="U115" s="7" t="s">
        <v>962</v>
      </c>
    </row>
    <row r="116" spans="1:21" s="74" customFormat="1" ht="16.5" thickBot="1">
      <c r="A116" s="50" t="s">
        <v>35</v>
      </c>
      <c r="B116" s="51">
        <f t="shared" si="6"/>
        <v>65</v>
      </c>
      <c r="C116" s="51" t="s">
        <v>3</v>
      </c>
      <c r="D116" s="51">
        <f t="shared" si="7"/>
        <v>260</v>
      </c>
      <c r="E116" s="51" t="s">
        <v>3</v>
      </c>
      <c r="F116" s="110">
        <f t="shared" si="8"/>
        <v>700</v>
      </c>
      <c r="G116" s="51" t="s">
        <v>3</v>
      </c>
      <c r="H116" s="48">
        <v>2</v>
      </c>
      <c r="I116" s="49" t="s">
        <v>45</v>
      </c>
      <c r="J116" s="184">
        <v>65</v>
      </c>
      <c r="K116" s="113">
        <v>260</v>
      </c>
      <c r="L116" s="113">
        <v>700</v>
      </c>
      <c r="M116" s="185">
        <v>5.5779864268292858</v>
      </c>
      <c r="N116" s="75">
        <v>91.356551999999979</v>
      </c>
      <c r="O116" s="119">
        <v>10878.47389725874</v>
      </c>
      <c r="P116" s="119">
        <v>12898.006022869091</v>
      </c>
      <c r="Q116" s="120">
        <v>6115.6082962285891</v>
      </c>
      <c r="R116" s="314">
        <v>16994.082193487331</v>
      </c>
      <c r="S116" s="315">
        <v>19013.61431909768</v>
      </c>
      <c r="U116" s="7" t="s">
        <v>963</v>
      </c>
    </row>
    <row r="117" spans="1:21" s="74" customFormat="1" ht="16.5" thickBot="1">
      <c r="A117" s="50" t="s">
        <v>35</v>
      </c>
      <c r="B117" s="51">
        <f t="shared" si="6"/>
        <v>65</v>
      </c>
      <c r="C117" s="51" t="s">
        <v>3</v>
      </c>
      <c r="D117" s="51">
        <f t="shared" si="7"/>
        <v>260</v>
      </c>
      <c r="E117" s="51" t="s">
        <v>3</v>
      </c>
      <c r="F117" s="110">
        <f t="shared" si="8"/>
        <v>750</v>
      </c>
      <c r="G117" s="51" t="s">
        <v>3</v>
      </c>
      <c r="H117" s="48">
        <v>2</v>
      </c>
      <c r="I117" s="49" t="s">
        <v>45</v>
      </c>
      <c r="J117" s="184">
        <v>65</v>
      </c>
      <c r="K117" s="113">
        <v>260</v>
      </c>
      <c r="L117" s="113">
        <v>750</v>
      </c>
      <c r="M117" s="185">
        <v>5.9287598763521423</v>
      </c>
      <c r="N117" s="75">
        <v>104.407488</v>
      </c>
      <c r="O117" s="119">
        <v>11298.590224251078</v>
      </c>
      <c r="P117" s="119">
        <v>13426.17202990204</v>
      </c>
      <c r="Q117" s="120">
        <v>6547.7107065443497</v>
      </c>
      <c r="R117" s="314">
        <v>17846.300930795427</v>
      </c>
      <c r="S117" s="315">
        <v>19973.88273644639</v>
      </c>
      <c r="U117" s="7" t="s">
        <v>964</v>
      </c>
    </row>
    <row r="118" spans="1:21" s="74" customFormat="1" ht="16.5" thickBot="1">
      <c r="A118" s="50" t="s">
        <v>35</v>
      </c>
      <c r="B118" s="51">
        <f t="shared" si="6"/>
        <v>65</v>
      </c>
      <c r="C118" s="51" t="s">
        <v>3</v>
      </c>
      <c r="D118" s="51">
        <f t="shared" si="7"/>
        <v>260</v>
      </c>
      <c r="E118" s="51" t="s">
        <v>3</v>
      </c>
      <c r="F118" s="110">
        <f t="shared" si="8"/>
        <v>800</v>
      </c>
      <c r="G118" s="51" t="s">
        <v>3</v>
      </c>
      <c r="H118" s="48">
        <v>2</v>
      </c>
      <c r="I118" s="49" t="s">
        <v>45</v>
      </c>
      <c r="J118" s="184">
        <v>65</v>
      </c>
      <c r="K118" s="113">
        <v>260</v>
      </c>
      <c r="L118" s="113">
        <v>800</v>
      </c>
      <c r="M118" s="185">
        <v>6.2795333258750006</v>
      </c>
      <c r="N118" s="75">
        <v>117.45842399999999</v>
      </c>
      <c r="O118" s="119">
        <v>11718.706691636777</v>
      </c>
      <c r="P118" s="119">
        <v>13954.338036934978</v>
      </c>
      <c r="Q118" s="120">
        <v>6979.8129764667756</v>
      </c>
      <c r="R118" s="314">
        <v>18698.519668103552</v>
      </c>
      <c r="S118" s="315">
        <v>20934.151013401752</v>
      </c>
      <c r="U118" s="7" t="s">
        <v>965</v>
      </c>
    </row>
    <row r="119" spans="1:21" s="74" customFormat="1" ht="16.5" thickBot="1">
      <c r="A119" s="50" t="s">
        <v>35</v>
      </c>
      <c r="B119" s="51">
        <f t="shared" si="6"/>
        <v>65</v>
      </c>
      <c r="C119" s="51" t="s">
        <v>3</v>
      </c>
      <c r="D119" s="51">
        <f t="shared" si="7"/>
        <v>260</v>
      </c>
      <c r="E119" s="51" t="s">
        <v>3</v>
      </c>
      <c r="F119" s="110">
        <f t="shared" si="8"/>
        <v>850</v>
      </c>
      <c r="G119" s="51" t="s">
        <v>3</v>
      </c>
      <c r="H119" s="48">
        <v>2</v>
      </c>
      <c r="I119" s="49" t="s">
        <v>45</v>
      </c>
      <c r="J119" s="184">
        <v>65</v>
      </c>
      <c r="K119" s="113">
        <v>260</v>
      </c>
      <c r="L119" s="113">
        <v>850</v>
      </c>
      <c r="M119" s="185">
        <v>6.6303067753978571</v>
      </c>
      <c r="N119" s="75">
        <v>130.50935999999999</v>
      </c>
      <c r="O119" s="119">
        <v>12138.823018629113</v>
      </c>
      <c r="P119" s="119">
        <v>14482.504184361302</v>
      </c>
      <c r="Q119" s="120">
        <v>7411.9153867825516</v>
      </c>
      <c r="R119" s="314">
        <v>19550.738405411663</v>
      </c>
      <c r="S119" s="315">
        <v>21894.419571143851</v>
      </c>
      <c r="U119" s="7" t="s">
        <v>966</v>
      </c>
    </row>
    <row r="120" spans="1:21" s="74" customFormat="1" ht="16.5" thickBot="1">
      <c r="A120" s="50" t="s">
        <v>35</v>
      </c>
      <c r="B120" s="51">
        <f t="shared" si="6"/>
        <v>65</v>
      </c>
      <c r="C120" s="51" t="s">
        <v>3</v>
      </c>
      <c r="D120" s="51">
        <f t="shared" si="7"/>
        <v>260</v>
      </c>
      <c r="E120" s="51" t="s">
        <v>3</v>
      </c>
      <c r="F120" s="110">
        <f t="shared" si="8"/>
        <v>900</v>
      </c>
      <c r="G120" s="51" t="s">
        <v>3</v>
      </c>
      <c r="H120" s="48">
        <v>2</v>
      </c>
      <c r="I120" s="49" t="s">
        <v>45</v>
      </c>
      <c r="J120" s="184">
        <v>65</v>
      </c>
      <c r="K120" s="113">
        <v>260</v>
      </c>
      <c r="L120" s="113">
        <v>900</v>
      </c>
      <c r="M120" s="185">
        <v>6.9810802249207153</v>
      </c>
      <c r="N120" s="75">
        <v>143.56029599999999</v>
      </c>
      <c r="O120" s="119">
        <v>12558.939345621453</v>
      </c>
      <c r="P120" s="119">
        <v>15010.670191394252</v>
      </c>
      <c r="Q120" s="120">
        <v>7844.0177970983268</v>
      </c>
      <c r="R120" s="314">
        <v>20402.957142719781</v>
      </c>
      <c r="S120" s="315">
        <v>22854.68798849258</v>
      </c>
      <c r="U120" s="7" t="s">
        <v>967</v>
      </c>
    </row>
    <row r="121" spans="1:21" s="74" customFormat="1" ht="16.5" thickBot="1">
      <c r="A121" s="50" t="s">
        <v>35</v>
      </c>
      <c r="B121" s="51">
        <f t="shared" si="6"/>
        <v>65</v>
      </c>
      <c r="C121" s="51" t="s">
        <v>3</v>
      </c>
      <c r="D121" s="51">
        <f t="shared" si="7"/>
        <v>260</v>
      </c>
      <c r="E121" s="51" t="s">
        <v>3</v>
      </c>
      <c r="F121" s="110">
        <f t="shared" si="8"/>
        <v>950</v>
      </c>
      <c r="G121" s="51" t="s">
        <v>3</v>
      </c>
      <c r="H121" s="48">
        <v>2</v>
      </c>
      <c r="I121" s="49" t="s">
        <v>45</v>
      </c>
      <c r="J121" s="184">
        <v>65</v>
      </c>
      <c r="K121" s="113">
        <v>260</v>
      </c>
      <c r="L121" s="113">
        <v>950</v>
      </c>
      <c r="M121" s="185">
        <v>7.3318536744435718</v>
      </c>
      <c r="N121" s="75">
        <v>156.61123199999997</v>
      </c>
      <c r="O121" s="119">
        <v>12979.055813007153</v>
      </c>
      <c r="P121" s="119">
        <v>15538.836198427203</v>
      </c>
      <c r="Q121" s="120">
        <v>8276.12006702074</v>
      </c>
      <c r="R121" s="314">
        <v>21255.175880027891</v>
      </c>
      <c r="S121" s="315">
        <v>23814.956265447945</v>
      </c>
      <c r="U121" s="7" t="s">
        <v>968</v>
      </c>
    </row>
    <row r="122" spans="1:21" s="74" customFormat="1" ht="16.5" thickBot="1">
      <c r="A122" s="50" t="s">
        <v>35</v>
      </c>
      <c r="B122" s="51">
        <f t="shared" si="6"/>
        <v>65</v>
      </c>
      <c r="C122" s="51" t="s">
        <v>3</v>
      </c>
      <c r="D122" s="51">
        <f t="shared" si="7"/>
        <v>260</v>
      </c>
      <c r="E122" s="51" t="s">
        <v>3</v>
      </c>
      <c r="F122" s="110">
        <f t="shared" si="8"/>
        <v>1000</v>
      </c>
      <c r="G122" s="51" t="s">
        <v>3</v>
      </c>
      <c r="H122" s="48">
        <v>2</v>
      </c>
      <c r="I122" s="49" t="s">
        <v>45</v>
      </c>
      <c r="J122" s="184">
        <v>65</v>
      </c>
      <c r="K122" s="113">
        <v>260</v>
      </c>
      <c r="L122" s="113">
        <v>1000</v>
      </c>
      <c r="M122" s="185">
        <v>7.6826271239664283</v>
      </c>
      <c r="N122" s="75">
        <v>169.66216799999998</v>
      </c>
      <c r="O122" s="119">
        <v>13399.172139999489</v>
      </c>
      <c r="P122" s="119">
        <v>16067.002205460152</v>
      </c>
      <c r="Q122" s="120">
        <v>8708.2224773365142</v>
      </c>
      <c r="R122" s="314">
        <v>22107.394617336002</v>
      </c>
      <c r="S122" s="315">
        <v>24775.224682796666</v>
      </c>
      <c r="U122" s="7" t="s">
        <v>969</v>
      </c>
    </row>
    <row r="123" spans="1:21" s="74" customFormat="1" ht="16.5" thickBot="1">
      <c r="A123" s="50" t="s">
        <v>35</v>
      </c>
      <c r="B123" s="51">
        <f t="shared" si="6"/>
        <v>65</v>
      </c>
      <c r="C123" s="51" t="s">
        <v>3</v>
      </c>
      <c r="D123" s="51">
        <f t="shared" si="7"/>
        <v>260</v>
      </c>
      <c r="E123" s="51" t="s">
        <v>3</v>
      </c>
      <c r="F123" s="110">
        <f t="shared" si="8"/>
        <v>1050</v>
      </c>
      <c r="G123" s="51" t="s">
        <v>3</v>
      </c>
      <c r="H123" s="48">
        <v>2</v>
      </c>
      <c r="I123" s="49" t="s">
        <v>45</v>
      </c>
      <c r="J123" s="184">
        <v>65</v>
      </c>
      <c r="K123" s="113">
        <v>260</v>
      </c>
      <c r="L123" s="113">
        <v>1050</v>
      </c>
      <c r="M123" s="185">
        <v>8.0334005734892848</v>
      </c>
      <c r="N123" s="75">
        <v>182.71310399999996</v>
      </c>
      <c r="O123" s="119">
        <v>13819.28860738519</v>
      </c>
      <c r="P123" s="119">
        <v>16595.168352886467</v>
      </c>
      <c r="Q123" s="120">
        <v>9140.3247472589264</v>
      </c>
      <c r="R123" s="314">
        <v>22959.613354644116</v>
      </c>
      <c r="S123" s="315">
        <v>25735.493100145395</v>
      </c>
      <c r="U123" s="7" t="s">
        <v>970</v>
      </c>
    </row>
    <row r="124" spans="1:21" s="74" customFormat="1" ht="16.5" thickBot="1">
      <c r="A124" s="47" t="s">
        <v>35</v>
      </c>
      <c r="B124" s="48">
        <f t="shared" si="6"/>
        <v>65</v>
      </c>
      <c r="C124" s="48" t="s">
        <v>3</v>
      </c>
      <c r="D124" s="48">
        <f t="shared" si="7"/>
        <v>260</v>
      </c>
      <c r="E124" s="48" t="s">
        <v>3</v>
      </c>
      <c r="F124" s="110">
        <f t="shared" si="8"/>
        <v>1100</v>
      </c>
      <c r="G124" s="48" t="s">
        <v>3</v>
      </c>
      <c r="H124" s="48">
        <v>2</v>
      </c>
      <c r="I124" s="49" t="s">
        <v>45</v>
      </c>
      <c r="J124" s="184">
        <v>65</v>
      </c>
      <c r="K124" s="113">
        <v>260</v>
      </c>
      <c r="L124" s="113">
        <v>1100</v>
      </c>
      <c r="M124" s="185">
        <v>8.3841740230121431</v>
      </c>
      <c r="N124" s="75">
        <v>195.76403999999997</v>
      </c>
      <c r="O124" s="119">
        <v>14239.40493437753</v>
      </c>
      <c r="P124" s="119">
        <v>17123.334359919416</v>
      </c>
      <c r="Q124" s="120">
        <v>9572.4271575747025</v>
      </c>
      <c r="R124" s="314">
        <v>23811.83209195223</v>
      </c>
      <c r="S124" s="315">
        <v>26695.761517494117</v>
      </c>
      <c r="U124" s="7" t="s">
        <v>971</v>
      </c>
    </row>
    <row r="125" spans="1:21" s="74" customFormat="1" ht="16.5" thickBot="1">
      <c r="A125" s="50" t="s">
        <v>35</v>
      </c>
      <c r="B125" s="51">
        <f t="shared" si="6"/>
        <v>65</v>
      </c>
      <c r="C125" s="51" t="s">
        <v>3</v>
      </c>
      <c r="D125" s="51">
        <f t="shared" si="7"/>
        <v>260</v>
      </c>
      <c r="E125" s="51" t="s">
        <v>3</v>
      </c>
      <c r="F125" s="110">
        <f t="shared" si="8"/>
        <v>1150</v>
      </c>
      <c r="G125" s="51" t="s">
        <v>3</v>
      </c>
      <c r="H125" s="48">
        <v>2</v>
      </c>
      <c r="I125" s="49" t="s">
        <v>45</v>
      </c>
      <c r="J125" s="184">
        <v>65</v>
      </c>
      <c r="K125" s="113">
        <v>260</v>
      </c>
      <c r="L125" s="113">
        <v>1150</v>
      </c>
      <c r="M125" s="185">
        <v>8.7349474725349996</v>
      </c>
      <c r="N125" s="75">
        <v>208.814976</v>
      </c>
      <c r="O125" s="119">
        <v>14659.521261369866</v>
      </c>
      <c r="P125" s="119">
        <v>17651.500366952365</v>
      </c>
      <c r="Q125" s="120">
        <v>10004.529567890477</v>
      </c>
      <c r="R125" s="314">
        <v>24664.050829260341</v>
      </c>
      <c r="S125" s="315">
        <v>27656.029934842842</v>
      </c>
      <c r="U125" s="7" t="s">
        <v>972</v>
      </c>
    </row>
    <row r="126" spans="1:21" s="74" customFormat="1" ht="16.5" thickBot="1">
      <c r="A126" s="50" t="s">
        <v>35</v>
      </c>
      <c r="B126" s="51">
        <f t="shared" si="6"/>
        <v>65</v>
      </c>
      <c r="C126" s="51" t="s">
        <v>3</v>
      </c>
      <c r="D126" s="51">
        <f t="shared" si="7"/>
        <v>260</v>
      </c>
      <c r="E126" s="51" t="s">
        <v>3</v>
      </c>
      <c r="F126" s="110">
        <f t="shared" si="8"/>
        <v>1200</v>
      </c>
      <c r="G126" s="51" t="s">
        <v>3</v>
      </c>
      <c r="H126" s="48">
        <v>2</v>
      </c>
      <c r="I126" s="49" t="s">
        <v>45</v>
      </c>
      <c r="J126" s="184">
        <v>65</v>
      </c>
      <c r="K126" s="113">
        <v>260</v>
      </c>
      <c r="L126" s="113">
        <v>1200</v>
      </c>
      <c r="M126" s="185">
        <v>9.124970922057857</v>
      </c>
      <c r="N126" s="75">
        <v>221.86591199999998</v>
      </c>
      <c r="O126" s="119">
        <v>15125.509434838586</v>
      </c>
      <c r="P126" s="119">
        <v>18224.140042964704</v>
      </c>
      <c r="Q126" s="120">
        <v>10436.631837812891</v>
      </c>
      <c r="R126" s="314">
        <v>25562.141272651475</v>
      </c>
      <c r="S126" s="315">
        <v>28660.771880777596</v>
      </c>
      <c r="U126" s="7" t="s">
        <v>973</v>
      </c>
    </row>
    <row r="127" spans="1:21" s="74" customFormat="1" ht="16.5" thickBot="1">
      <c r="A127" s="50" t="s">
        <v>35</v>
      </c>
      <c r="B127" s="51">
        <f t="shared" si="6"/>
        <v>65</v>
      </c>
      <c r="C127" s="51" t="s">
        <v>3</v>
      </c>
      <c r="D127" s="51">
        <f t="shared" si="7"/>
        <v>260</v>
      </c>
      <c r="E127" s="51" t="s">
        <v>3</v>
      </c>
      <c r="F127" s="110">
        <f t="shared" si="8"/>
        <v>1250</v>
      </c>
      <c r="G127" s="51" t="s">
        <v>3</v>
      </c>
      <c r="H127" s="48">
        <v>2</v>
      </c>
      <c r="I127" s="49" t="s">
        <v>45</v>
      </c>
      <c r="J127" s="184">
        <v>65</v>
      </c>
      <c r="K127" s="113">
        <v>260</v>
      </c>
      <c r="L127" s="113">
        <v>1250</v>
      </c>
      <c r="M127" s="185">
        <v>9.4757443715807135</v>
      </c>
      <c r="N127" s="75">
        <v>234.91684799999999</v>
      </c>
      <c r="O127" s="119">
        <v>15545.625761831065</v>
      </c>
      <c r="P127" s="119">
        <v>18752.306049997653</v>
      </c>
      <c r="Q127" s="120">
        <v>10868.734248128665</v>
      </c>
      <c r="R127" s="314">
        <v>26414.360009959732</v>
      </c>
      <c r="S127" s="315">
        <v>29621.040298126318</v>
      </c>
      <c r="U127" s="7" t="s">
        <v>974</v>
      </c>
    </row>
    <row r="128" spans="1:21" s="74" customFormat="1" ht="16.5" thickBot="1">
      <c r="A128" s="50" t="s">
        <v>35</v>
      </c>
      <c r="B128" s="51">
        <f t="shared" si="6"/>
        <v>65</v>
      </c>
      <c r="C128" s="51" t="s">
        <v>3</v>
      </c>
      <c r="D128" s="51">
        <f t="shared" si="7"/>
        <v>260</v>
      </c>
      <c r="E128" s="51" t="s">
        <v>3</v>
      </c>
      <c r="F128" s="110">
        <f t="shared" si="8"/>
        <v>1300</v>
      </c>
      <c r="G128" s="51" t="s">
        <v>3</v>
      </c>
      <c r="H128" s="48">
        <v>2</v>
      </c>
      <c r="I128" s="49" t="s">
        <v>45</v>
      </c>
      <c r="J128" s="184">
        <v>65</v>
      </c>
      <c r="K128" s="113">
        <v>260</v>
      </c>
      <c r="L128" s="113">
        <v>1300</v>
      </c>
      <c r="M128" s="185">
        <v>9.8265178211035717</v>
      </c>
      <c r="N128" s="75">
        <v>247.96778399999997</v>
      </c>
      <c r="O128" s="119">
        <v>15965.742229216767</v>
      </c>
      <c r="P128" s="119">
        <v>19280.472057030605</v>
      </c>
      <c r="Q128" s="120">
        <v>11300.836518051077</v>
      </c>
      <c r="R128" s="314">
        <v>27266.578747267842</v>
      </c>
      <c r="S128" s="315">
        <v>30581.308575081683</v>
      </c>
      <c r="U128" s="7" t="s">
        <v>975</v>
      </c>
    </row>
    <row r="129" spans="1:21" s="74" customFormat="1" ht="16.5" thickBot="1">
      <c r="A129" s="50" t="s">
        <v>35</v>
      </c>
      <c r="B129" s="51">
        <f t="shared" si="6"/>
        <v>65</v>
      </c>
      <c r="C129" s="51" t="s">
        <v>3</v>
      </c>
      <c r="D129" s="51">
        <f t="shared" si="7"/>
        <v>260</v>
      </c>
      <c r="E129" s="51" t="s">
        <v>3</v>
      </c>
      <c r="F129" s="110">
        <f t="shared" si="8"/>
        <v>1350</v>
      </c>
      <c r="G129" s="51" t="s">
        <v>3</v>
      </c>
      <c r="H129" s="48">
        <v>2</v>
      </c>
      <c r="I129" s="49" t="s">
        <v>45</v>
      </c>
      <c r="J129" s="184">
        <v>65</v>
      </c>
      <c r="K129" s="113">
        <v>260</v>
      </c>
      <c r="L129" s="113">
        <v>1350</v>
      </c>
      <c r="M129" s="185">
        <v>10.177291270626428</v>
      </c>
      <c r="N129" s="75">
        <v>261.01871999999997</v>
      </c>
      <c r="O129" s="119">
        <v>16385.858556209103</v>
      </c>
      <c r="P129" s="119">
        <v>19808.638064063554</v>
      </c>
      <c r="Q129" s="120">
        <v>11732.938928366853</v>
      </c>
      <c r="R129" s="314">
        <v>28118.797484575956</v>
      </c>
      <c r="S129" s="315">
        <v>31541.576992430408</v>
      </c>
      <c r="U129" s="7" t="s">
        <v>976</v>
      </c>
    </row>
    <row r="130" spans="1:21" s="74" customFormat="1" ht="16.5" thickBot="1">
      <c r="A130" s="50" t="s">
        <v>35</v>
      </c>
      <c r="B130" s="51">
        <f t="shared" si="6"/>
        <v>65</v>
      </c>
      <c r="C130" s="51" t="s">
        <v>3</v>
      </c>
      <c r="D130" s="51">
        <f t="shared" si="7"/>
        <v>260</v>
      </c>
      <c r="E130" s="51" t="s">
        <v>3</v>
      </c>
      <c r="F130" s="110">
        <f t="shared" si="8"/>
        <v>1400</v>
      </c>
      <c r="G130" s="51" t="s">
        <v>3</v>
      </c>
      <c r="H130" s="48">
        <v>2</v>
      </c>
      <c r="I130" s="49" t="s">
        <v>45</v>
      </c>
      <c r="J130" s="184">
        <v>65</v>
      </c>
      <c r="K130" s="113">
        <v>260</v>
      </c>
      <c r="L130" s="113">
        <v>1400</v>
      </c>
      <c r="M130" s="185">
        <v>10.528064720149287</v>
      </c>
      <c r="N130" s="75">
        <v>274.06965600000001</v>
      </c>
      <c r="O130" s="119">
        <v>16805.974883201441</v>
      </c>
      <c r="P130" s="119">
        <v>20336.804211489867</v>
      </c>
      <c r="Q130" s="120">
        <v>12165.041338682626</v>
      </c>
      <c r="R130" s="314">
        <v>28971.016221884067</v>
      </c>
      <c r="S130" s="315">
        <v>32501.845550172493</v>
      </c>
      <c r="U130" s="7" t="s">
        <v>977</v>
      </c>
    </row>
    <row r="131" spans="1:21" s="74" customFormat="1" ht="16.5" thickBot="1">
      <c r="A131" s="50" t="s">
        <v>35</v>
      </c>
      <c r="B131" s="51">
        <f t="shared" si="6"/>
        <v>65</v>
      </c>
      <c r="C131" s="51" t="s">
        <v>3</v>
      </c>
      <c r="D131" s="51">
        <f t="shared" si="7"/>
        <v>260</v>
      </c>
      <c r="E131" s="51" t="s">
        <v>3</v>
      </c>
      <c r="F131" s="110">
        <f t="shared" si="8"/>
        <v>1450</v>
      </c>
      <c r="G131" s="51" t="s">
        <v>3</v>
      </c>
      <c r="H131" s="48">
        <v>2</v>
      </c>
      <c r="I131" s="49" t="s">
        <v>45</v>
      </c>
      <c r="J131" s="184">
        <v>65</v>
      </c>
      <c r="K131" s="113">
        <v>260</v>
      </c>
      <c r="L131" s="113">
        <v>1450</v>
      </c>
      <c r="M131" s="185">
        <v>10.878838169672143</v>
      </c>
      <c r="N131" s="75">
        <v>287.12059199999999</v>
      </c>
      <c r="O131" s="119">
        <v>17226.091350587139</v>
      </c>
      <c r="P131" s="119">
        <v>20864.970218522816</v>
      </c>
      <c r="Q131" s="120">
        <v>12597.14360860504</v>
      </c>
      <c r="R131" s="314">
        <v>29823.234959192181</v>
      </c>
      <c r="S131" s="315">
        <v>33462.113827127854</v>
      </c>
      <c r="U131" s="7" t="s">
        <v>978</v>
      </c>
    </row>
    <row r="132" spans="1:21" s="74" customFormat="1" ht="16.5" thickBot="1">
      <c r="A132" s="50" t="s">
        <v>35</v>
      </c>
      <c r="B132" s="51">
        <f t="shared" si="6"/>
        <v>65</v>
      </c>
      <c r="C132" s="51" t="s">
        <v>3</v>
      </c>
      <c r="D132" s="51">
        <f t="shared" si="7"/>
        <v>260</v>
      </c>
      <c r="E132" s="51" t="s">
        <v>3</v>
      </c>
      <c r="F132" s="110">
        <f t="shared" si="8"/>
        <v>1500</v>
      </c>
      <c r="G132" s="51" t="s">
        <v>3</v>
      </c>
      <c r="H132" s="48">
        <v>2</v>
      </c>
      <c r="I132" s="49" t="s">
        <v>45</v>
      </c>
      <c r="J132" s="184">
        <v>65</v>
      </c>
      <c r="K132" s="113">
        <v>260</v>
      </c>
      <c r="L132" s="113">
        <v>1500</v>
      </c>
      <c r="M132" s="185">
        <v>11.353375807995</v>
      </c>
      <c r="N132" s="75">
        <v>300.17152799999997</v>
      </c>
      <c r="O132" s="119">
        <v>18235.614954055276</v>
      </c>
      <c r="P132" s="119">
        <v>21909.268134735306</v>
      </c>
      <c r="Q132" s="120">
        <v>13029.246018920816</v>
      </c>
      <c r="R132" s="314">
        <v>31264.860972976094</v>
      </c>
      <c r="S132" s="315">
        <v>34938.51415365612</v>
      </c>
      <c r="U132" s="7" t="s">
        <v>979</v>
      </c>
    </row>
    <row r="133" spans="1:21" s="74" customFormat="1" ht="16.5" thickBot="1">
      <c r="A133" s="50" t="s">
        <v>35</v>
      </c>
      <c r="B133" s="51">
        <f t="shared" si="6"/>
        <v>65</v>
      </c>
      <c r="C133" s="51" t="s">
        <v>3</v>
      </c>
      <c r="D133" s="51">
        <f t="shared" si="7"/>
        <v>260</v>
      </c>
      <c r="E133" s="51" t="s">
        <v>3</v>
      </c>
      <c r="F133" s="110">
        <f t="shared" si="8"/>
        <v>1550</v>
      </c>
      <c r="G133" s="51" t="s">
        <v>3</v>
      </c>
      <c r="H133" s="48">
        <v>2</v>
      </c>
      <c r="I133" s="49" t="s">
        <v>45</v>
      </c>
      <c r="J133" s="184">
        <v>65</v>
      </c>
      <c r="K133" s="113">
        <v>260</v>
      </c>
      <c r="L133" s="113">
        <v>1550</v>
      </c>
      <c r="M133" s="185">
        <v>11.704149257517855</v>
      </c>
      <c r="N133" s="75">
        <v>313.22246399999995</v>
      </c>
      <c r="O133" s="119">
        <v>18655.731421440978</v>
      </c>
      <c r="P133" s="119">
        <v>22437.434141768255</v>
      </c>
      <c r="Q133" s="120">
        <v>13461.348288843226</v>
      </c>
      <c r="R133" s="314">
        <v>32117.079710284204</v>
      </c>
      <c r="S133" s="315">
        <v>35898.782430611478</v>
      </c>
      <c r="U133" s="7" t="s">
        <v>980</v>
      </c>
    </row>
    <row r="134" spans="1:21" s="74" customFormat="1" ht="16.5" thickBot="1">
      <c r="A134" s="47" t="s">
        <v>35</v>
      </c>
      <c r="B134" s="48">
        <f t="shared" si="6"/>
        <v>65</v>
      </c>
      <c r="C134" s="48" t="s">
        <v>3</v>
      </c>
      <c r="D134" s="48">
        <f t="shared" si="7"/>
        <v>260</v>
      </c>
      <c r="E134" s="48" t="s">
        <v>3</v>
      </c>
      <c r="F134" s="110">
        <f t="shared" si="8"/>
        <v>1600</v>
      </c>
      <c r="G134" s="48" t="s">
        <v>3</v>
      </c>
      <c r="H134" s="48">
        <v>2</v>
      </c>
      <c r="I134" s="49" t="s">
        <v>45</v>
      </c>
      <c r="J134" s="184">
        <v>65</v>
      </c>
      <c r="K134" s="113">
        <v>260</v>
      </c>
      <c r="L134" s="113">
        <v>1600</v>
      </c>
      <c r="M134" s="185">
        <v>12.054922707040713</v>
      </c>
      <c r="N134" s="75">
        <v>326.27339999999998</v>
      </c>
      <c r="O134" s="119">
        <v>19075.847748433316</v>
      </c>
      <c r="P134" s="119">
        <v>22965.600289194568</v>
      </c>
      <c r="Q134" s="120">
        <v>13893.450699159002</v>
      </c>
      <c r="R134" s="314">
        <v>32969.298447592315</v>
      </c>
      <c r="S134" s="315">
        <v>36859.050988353571</v>
      </c>
      <c r="U134" s="7" t="s">
        <v>981</v>
      </c>
    </row>
    <row r="135" spans="1:21" s="74" customFormat="1" ht="16.5" thickBot="1">
      <c r="A135" s="50" t="s">
        <v>35</v>
      </c>
      <c r="B135" s="51">
        <f t="shared" si="6"/>
        <v>65</v>
      </c>
      <c r="C135" s="51" t="s">
        <v>3</v>
      </c>
      <c r="D135" s="51">
        <f t="shared" si="7"/>
        <v>260</v>
      </c>
      <c r="E135" s="51" t="s">
        <v>3</v>
      </c>
      <c r="F135" s="110">
        <f t="shared" si="8"/>
        <v>1650</v>
      </c>
      <c r="G135" s="51" t="s">
        <v>3</v>
      </c>
      <c r="H135" s="48">
        <v>2</v>
      </c>
      <c r="I135" s="49" t="s">
        <v>45</v>
      </c>
      <c r="J135" s="184">
        <v>65</v>
      </c>
      <c r="K135" s="113">
        <v>260</v>
      </c>
      <c r="L135" s="113">
        <v>1650</v>
      </c>
      <c r="M135" s="185">
        <v>12.405696156563572</v>
      </c>
      <c r="N135" s="75">
        <v>339.32433599999996</v>
      </c>
      <c r="O135" s="119">
        <v>19495.964075425654</v>
      </c>
      <c r="P135" s="119">
        <v>23493.766296227521</v>
      </c>
      <c r="Q135" s="120">
        <v>14325.553109474778</v>
      </c>
      <c r="R135" s="314">
        <v>33821.517184900433</v>
      </c>
      <c r="S135" s="315">
        <v>37819.319405702299</v>
      </c>
      <c r="U135" s="7" t="s">
        <v>982</v>
      </c>
    </row>
    <row r="136" spans="1:21" s="74" customFormat="1" ht="16.5" thickBot="1">
      <c r="A136" s="50" t="s">
        <v>35</v>
      </c>
      <c r="B136" s="51">
        <f t="shared" si="6"/>
        <v>65</v>
      </c>
      <c r="C136" s="51" t="s">
        <v>3</v>
      </c>
      <c r="D136" s="51">
        <f t="shared" si="7"/>
        <v>260</v>
      </c>
      <c r="E136" s="51" t="s">
        <v>3</v>
      </c>
      <c r="F136" s="110">
        <f t="shared" si="8"/>
        <v>1700</v>
      </c>
      <c r="G136" s="51" t="s">
        <v>3</v>
      </c>
      <c r="H136" s="48">
        <v>2</v>
      </c>
      <c r="I136" s="49" t="s">
        <v>45</v>
      </c>
      <c r="J136" s="184">
        <v>65</v>
      </c>
      <c r="K136" s="113">
        <v>260</v>
      </c>
      <c r="L136" s="113">
        <v>1700</v>
      </c>
      <c r="M136" s="185">
        <v>12.756469606086428</v>
      </c>
      <c r="N136" s="75">
        <v>352.375272</v>
      </c>
      <c r="O136" s="119">
        <v>19916.080542811356</v>
      </c>
      <c r="P136" s="119">
        <v>24021.932303260466</v>
      </c>
      <c r="Q136" s="120">
        <v>14757.655379397189</v>
      </c>
      <c r="R136" s="314">
        <v>34673.735922208543</v>
      </c>
      <c r="S136" s="315">
        <v>38779.587682657657</v>
      </c>
      <c r="U136" s="7" t="s">
        <v>983</v>
      </c>
    </row>
    <row r="137" spans="1:21" s="74" customFormat="1" ht="16.5" thickBot="1">
      <c r="A137" s="50" t="s">
        <v>35</v>
      </c>
      <c r="B137" s="51">
        <f t="shared" si="6"/>
        <v>65</v>
      </c>
      <c r="C137" s="51" t="s">
        <v>3</v>
      </c>
      <c r="D137" s="51">
        <f t="shared" si="7"/>
        <v>260</v>
      </c>
      <c r="E137" s="51" t="s">
        <v>3</v>
      </c>
      <c r="F137" s="110">
        <f t="shared" si="8"/>
        <v>1750</v>
      </c>
      <c r="G137" s="51" t="s">
        <v>3</v>
      </c>
      <c r="H137" s="48">
        <v>2</v>
      </c>
      <c r="I137" s="49" t="s">
        <v>45</v>
      </c>
      <c r="J137" s="184">
        <v>65</v>
      </c>
      <c r="K137" s="113">
        <v>260</v>
      </c>
      <c r="L137" s="113">
        <v>1750</v>
      </c>
      <c r="M137" s="185">
        <v>13.107243055609285</v>
      </c>
      <c r="N137" s="75">
        <v>365.42620799999992</v>
      </c>
      <c r="O137" s="119">
        <v>20336.196869803694</v>
      </c>
      <c r="P137" s="119">
        <v>24550.098310293415</v>
      </c>
      <c r="Q137" s="120">
        <v>15189.757789712965</v>
      </c>
      <c r="R137" s="314">
        <v>35525.954659516661</v>
      </c>
      <c r="S137" s="315">
        <v>39739.856100006378</v>
      </c>
      <c r="U137" s="7" t="s">
        <v>984</v>
      </c>
    </row>
    <row r="138" spans="1:21" s="74" customFormat="1" ht="16.5" thickBot="1">
      <c r="A138" s="50" t="s">
        <v>35</v>
      </c>
      <c r="B138" s="51">
        <f t="shared" si="6"/>
        <v>65</v>
      </c>
      <c r="C138" s="51" t="s">
        <v>3</v>
      </c>
      <c r="D138" s="51">
        <f t="shared" si="7"/>
        <v>260</v>
      </c>
      <c r="E138" s="51" t="s">
        <v>3</v>
      </c>
      <c r="F138" s="110">
        <f t="shared" si="8"/>
        <v>1800</v>
      </c>
      <c r="G138" s="51" t="s">
        <v>3</v>
      </c>
      <c r="H138" s="48">
        <v>2</v>
      </c>
      <c r="I138" s="49" t="s">
        <v>45</v>
      </c>
      <c r="J138" s="184">
        <v>65</v>
      </c>
      <c r="K138" s="113">
        <v>260</v>
      </c>
      <c r="L138" s="113">
        <v>1800</v>
      </c>
      <c r="M138" s="185">
        <v>13.458016505132143</v>
      </c>
      <c r="N138" s="75">
        <v>378.47714399999995</v>
      </c>
      <c r="O138" s="119">
        <v>20756.313196796029</v>
      </c>
      <c r="P138" s="119">
        <v>25078.264457719728</v>
      </c>
      <c r="Q138" s="120">
        <v>15621.860059635379</v>
      </c>
      <c r="R138" s="314">
        <v>36378.173256431408</v>
      </c>
      <c r="S138" s="315">
        <v>40700.124517355107</v>
      </c>
      <c r="U138" s="7" t="s">
        <v>985</v>
      </c>
    </row>
    <row r="139" spans="1:21" s="74" customFormat="1" ht="16.5" thickBot="1">
      <c r="A139" s="50" t="s">
        <v>35</v>
      </c>
      <c r="B139" s="51">
        <f t="shared" si="6"/>
        <v>65</v>
      </c>
      <c r="C139" s="51" t="s">
        <v>3</v>
      </c>
      <c r="D139" s="51">
        <f t="shared" si="7"/>
        <v>260</v>
      </c>
      <c r="E139" s="51" t="s">
        <v>3</v>
      </c>
      <c r="F139" s="110">
        <f t="shared" si="8"/>
        <v>1850</v>
      </c>
      <c r="G139" s="51" t="s">
        <v>3</v>
      </c>
      <c r="H139" s="48">
        <v>2</v>
      </c>
      <c r="I139" s="49" t="s">
        <v>45</v>
      </c>
      <c r="J139" s="184">
        <v>65</v>
      </c>
      <c r="K139" s="113">
        <v>260</v>
      </c>
      <c r="L139" s="113">
        <v>1850</v>
      </c>
      <c r="M139" s="185">
        <v>13.808789954654999</v>
      </c>
      <c r="N139" s="75">
        <v>391.52807999999993</v>
      </c>
      <c r="O139" s="119">
        <v>21176.429664181731</v>
      </c>
      <c r="P139" s="119">
        <v>25606.430464752681</v>
      </c>
      <c r="Q139" s="120">
        <v>16053.962469951155</v>
      </c>
      <c r="R139" s="314">
        <v>37230.392134132882</v>
      </c>
      <c r="S139" s="315">
        <v>41660.392934703836</v>
      </c>
      <c r="U139" s="7" t="s">
        <v>986</v>
      </c>
    </row>
    <row r="140" spans="1:21" s="74" customFormat="1" ht="16.5" thickBot="1">
      <c r="A140" s="50" t="s">
        <v>35</v>
      </c>
      <c r="B140" s="51">
        <f t="shared" si="6"/>
        <v>65</v>
      </c>
      <c r="C140" s="51" t="s">
        <v>3</v>
      </c>
      <c r="D140" s="51">
        <f t="shared" si="7"/>
        <v>260</v>
      </c>
      <c r="E140" s="51" t="s">
        <v>3</v>
      </c>
      <c r="F140" s="110">
        <f t="shared" si="8"/>
        <v>1900</v>
      </c>
      <c r="G140" s="51" t="s">
        <v>3</v>
      </c>
      <c r="H140" s="48">
        <v>2</v>
      </c>
      <c r="I140" s="49" t="s">
        <v>45</v>
      </c>
      <c r="J140" s="184">
        <v>65</v>
      </c>
      <c r="K140" s="113">
        <v>260</v>
      </c>
      <c r="L140" s="113">
        <v>1900</v>
      </c>
      <c r="M140" s="185">
        <v>14.159563404177856</v>
      </c>
      <c r="N140" s="75">
        <v>404.57901599999997</v>
      </c>
      <c r="O140" s="119">
        <v>21596.545991174065</v>
      </c>
      <c r="P140" s="119">
        <v>26134.59647178563</v>
      </c>
      <c r="Q140" s="120">
        <v>16486.064880266931</v>
      </c>
      <c r="R140" s="314">
        <v>38082.610871440993</v>
      </c>
      <c r="S140" s="315">
        <v>42620.661352052557</v>
      </c>
      <c r="U140" s="7" t="s">
        <v>987</v>
      </c>
    </row>
    <row r="141" spans="1:21" s="74" customFormat="1" ht="16.5" thickBot="1">
      <c r="A141" s="50" t="s">
        <v>35</v>
      </c>
      <c r="B141" s="51">
        <f t="shared" si="6"/>
        <v>65</v>
      </c>
      <c r="C141" s="51" t="s">
        <v>3</v>
      </c>
      <c r="D141" s="51">
        <f t="shared" si="7"/>
        <v>260</v>
      </c>
      <c r="E141" s="51" t="s">
        <v>3</v>
      </c>
      <c r="F141" s="110">
        <f t="shared" si="8"/>
        <v>1950</v>
      </c>
      <c r="G141" s="51" t="s">
        <v>3</v>
      </c>
      <c r="H141" s="48">
        <v>2</v>
      </c>
      <c r="I141" s="49" t="s">
        <v>45</v>
      </c>
      <c r="J141" s="184">
        <v>65</v>
      </c>
      <c r="K141" s="113">
        <v>260</v>
      </c>
      <c r="L141" s="113">
        <v>1950</v>
      </c>
      <c r="M141" s="185">
        <v>14.549586853700715</v>
      </c>
      <c r="N141" s="75">
        <v>417.629952</v>
      </c>
      <c r="O141" s="119">
        <v>22062.53416464293</v>
      </c>
      <c r="P141" s="119">
        <v>26707.236147797968</v>
      </c>
      <c r="Q141" s="120">
        <v>16918.16715018934</v>
      </c>
      <c r="R141" s="314">
        <v>38980.701314832273</v>
      </c>
      <c r="S141" s="315">
        <v>43625.403297987308</v>
      </c>
      <c r="U141" s="7" t="s">
        <v>988</v>
      </c>
    </row>
    <row r="142" spans="1:21" s="74" customFormat="1" ht="16.5" thickBot="1">
      <c r="A142" s="50" t="s">
        <v>35</v>
      </c>
      <c r="B142" s="51">
        <f t="shared" si="6"/>
        <v>65</v>
      </c>
      <c r="C142" s="51" t="s">
        <v>3</v>
      </c>
      <c r="D142" s="51">
        <f t="shared" si="7"/>
        <v>260</v>
      </c>
      <c r="E142" s="51" t="s">
        <v>3</v>
      </c>
      <c r="F142" s="110">
        <f t="shared" si="8"/>
        <v>2000</v>
      </c>
      <c r="G142" s="51" t="s">
        <v>3</v>
      </c>
      <c r="H142" s="48">
        <v>2</v>
      </c>
      <c r="I142" s="49" t="s">
        <v>45</v>
      </c>
      <c r="J142" s="184">
        <v>65</v>
      </c>
      <c r="K142" s="113">
        <v>260</v>
      </c>
      <c r="L142" s="113">
        <v>2000</v>
      </c>
      <c r="M142" s="185">
        <v>14.991922703223572</v>
      </c>
      <c r="N142" s="75">
        <v>430.68088799999992</v>
      </c>
      <c r="O142" s="119">
        <v>22713.193520850491</v>
      </c>
      <c r="P142" s="119">
        <v>27536.712704708068</v>
      </c>
      <c r="Q142" s="120">
        <v>17350.269560505116</v>
      </c>
      <c r="R142" s="314">
        <v>40063.463081355607</v>
      </c>
      <c r="S142" s="315">
        <v>44886.982265213184</v>
      </c>
      <c r="U142" s="7" t="s">
        <v>989</v>
      </c>
    </row>
    <row r="143" spans="1:21" s="74" customFormat="1" ht="16.5" thickBot="1">
      <c r="A143" s="50" t="s">
        <v>35</v>
      </c>
      <c r="B143" s="51">
        <f t="shared" si="6"/>
        <v>65</v>
      </c>
      <c r="C143" s="51" t="s">
        <v>3</v>
      </c>
      <c r="D143" s="51">
        <f t="shared" si="7"/>
        <v>260</v>
      </c>
      <c r="E143" s="51" t="s">
        <v>3</v>
      </c>
      <c r="F143" s="110">
        <f t="shared" si="8"/>
        <v>2050</v>
      </c>
      <c r="G143" s="51" t="s">
        <v>3</v>
      </c>
      <c r="H143" s="48">
        <v>2</v>
      </c>
      <c r="I143" s="49" t="s">
        <v>45</v>
      </c>
      <c r="J143" s="184">
        <v>65</v>
      </c>
      <c r="K143" s="113">
        <v>260</v>
      </c>
      <c r="L143" s="113">
        <v>2050</v>
      </c>
      <c r="M143" s="185">
        <v>15.342696152746427</v>
      </c>
      <c r="N143" s="75">
        <v>443.73182399999996</v>
      </c>
      <c r="O143" s="119">
        <v>23133.309988236193</v>
      </c>
      <c r="P143" s="119">
        <v>28064.878711741021</v>
      </c>
      <c r="Q143" s="120">
        <v>17782.371830427528</v>
      </c>
      <c r="R143" s="314">
        <v>40915.681818663725</v>
      </c>
      <c r="S143" s="315">
        <v>45847.250542168549</v>
      </c>
      <c r="U143" s="7" t="s">
        <v>990</v>
      </c>
    </row>
    <row r="144" spans="1:21" s="74" customFormat="1" ht="16.5" thickBot="1">
      <c r="A144" s="47" t="s">
        <v>35</v>
      </c>
      <c r="B144" s="48">
        <f t="shared" si="6"/>
        <v>65</v>
      </c>
      <c r="C144" s="48" t="s">
        <v>3</v>
      </c>
      <c r="D144" s="48">
        <f t="shared" si="7"/>
        <v>260</v>
      </c>
      <c r="E144" s="48" t="s">
        <v>3</v>
      </c>
      <c r="F144" s="110">
        <f t="shared" si="8"/>
        <v>2100</v>
      </c>
      <c r="G144" s="48" t="s">
        <v>3</v>
      </c>
      <c r="H144" s="48">
        <v>2</v>
      </c>
      <c r="I144" s="49" t="s">
        <v>45</v>
      </c>
      <c r="J144" s="184">
        <v>65</v>
      </c>
      <c r="K144" s="113">
        <v>260</v>
      </c>
      <c r="L144" s="113">
        <v>2100</v>
      </c>
      <c r="M144" s="185">
        <v>15.693469602269284</v>
      </c>
      <c r="N144" s="75">
        <v>456.78275999999994</v>
      </c>
      <c r="O144" s="119">
        <v>23553.426315228528</v>
      </c>
      <c r="P144" s="119">
        <v>28593.04471877397</v>
      </c>
      <c r="Q144" s="120">
        <v>18214.474240743304</v>
      </c>
      <c r="R144" s="314">
        <v>41767.900555971835</v>
      </c>
      <c r="S144" s="315">
        <v>46807.518959517271</v>
      </c>
      <c r="U144" s="7" t="s">
        <v>991</v>
      </c>
    </row>
    <row r="145" spans="1:21" s="74" customFormat="1" ht="16.5" thickBot="1">
      <c r="A145" s="50" t="s">
        <v>35</v>
      </c>
      <c r="B145" s="51">
        <f t="shared" si="6"/>
        <v>65</v>
      </c>
      <c r="C145" s="51" t="s">
        <v>3</v>
      </c>
      <c r="D145" s="51">
        <f t="shared" si="7"/>
        <v>260</v>
      </c>
      <c r="E145" s="51" t="s">
        <v>3</v>
      </c>
      <c r="F145" s="110">
        <f t="shared" si="8"/>
        <v>2150</v>
      </c>
      <c r="G145" s="51" t="s">
        <v>3</v>
      </c>
      <c r="H145" s="48">
        <v>2</v>
      </c>
      <c r="I145" s="49" t="s">
        <v>45</v>
      </c>
      <c r="J145" s="184">
        <v>65</v>
      </c>
      <c r="K145" s="113">
        <v>260</v>
      </c>
      <c r="L145" s="113">
        <v>2150</v>
      </c>
      <c r="M145" s="185">
        <v>16.044243051792144</v>
      </c>
      <c r="N145" s="75">
        <v>469.83369599999997</v>
      </c>
      <c r="O145" s="119">
        <v>23973.542642220869</v>
      </c>
      <c r="P145" s="119">
        <v>29121.210866200283</v>
      </c>
      <c r="Q145" s="120">
        <v>18646.576510665716</v>
      </c>
      <c r="R145" s="314">
        <v>42620.119152886589</v>
      </c>
      <c r="S145" s="315">
        <v>47767.787376865999</v>
      </c>
      <c r="U145" s="7" t="s">
        <v>992</v>
      </c>
    </row>
    <row r="146" spans="1:21" s="74" customFormat="1" ht="16.5" thickBot="1">
      <c r="A146" s="50" t="s">
        <v>35</v>
      </c>
      <c r="B146" s="51">
        <f t="shared" si="6"/>
        <v>65</v>
      </c>
      <c r="C146" s="51" t="s">
        <v>3</v>
      </c>
      <c r="D146" s="51">
        <f t="shared" si="7"/>
        <v>260</v>
      </c>
      <c r="E146" s="51" t="s">
        <v>3</v>
      </c>
      <c r="F146" s="110">
        <f t="shared" si="8"/>
        <v>2200</v>
      </c>
      <c r="G146" s="51" t="s">
        <v>3</v>
      </c>
      <c r="H146" s="48">
        <v>2</v>
      </c>
      <c r="I146" s="49" t="s">
        <v>45</v>
      </c>
      <c r="J146" s="184">
        <v>65</v>
      </c>
      <c r="K146" s="113">
        <v>260</v>
      </c>
      <c r="L146" s="113">
        <v>2200</v>
      </c>
      <c r="M146" s="185">
        <v>16.395016501314998</v>
      </c>
      <c r="N146" s="75">
        <v>482.88463199999995</v>
      </c>
      <c r="O146" s="119">
        <v>24393.659109606568</v>
      </c>
      <c r="P146" s="119">
        <v>29649.376873233228</v>
      </c>
      <c r="Q146" s="120">
        <v>19078.678920981492</v>
      </c>
      <c r="R146" s="314">
        <v>43472.338030588056</v>
      </c>
      <c r="S146" s="315">
        <v>48728.055794214721</v>
      </c>
      <c r="U146" s="7" t="s">
        <v>993</v>
      </c>
    </row>
    <row r="147" spans="1:21" s="74" customFormat="1" ht="16.5" thickBot="1">
      <c r="A147" s="50" t="s">
        <v>35</v>
      </c>
      <c r="B147" s="51">
        <f t="shared" si="6"/>
        <v>65</v>
      </c>
      <c r="C147" s="51" t="s">
        <v>3</v>
      </c>
      <c r="D147" s="51">
        <f t="shared" si="7"/>
        <v>260</v>
      </c>
      <c r="E147" s="51" t="s">
        <v>3</v>
      </c>
      <c r="F147" s="110">
        <f t="shared" si="8"/>
        <v>2250</v>
      </c>
      <c r="G147" s="51" t="s">
        <v>3</v>
      </c>
      <c r="H147" s="48">
        <v>2</v>
      </c>
      <c r="I147" s="49" t="s">
        <v>45</v>
      </c>
      <c r="J147" s="184">
        <v>65</v>
      </c>
      <c r="K147" s="113">
        <v>260</v>
      </c>
      <c r="L147" s="113">
        <v>2250</v>
      </c>
      <c r="M147" s="185">
        <v>16.745789950837857</v>
      </c>
      <c r="N147" s="75">
        <v>495.93556799999993</v>
      </c>
      <c r="O147" s="119">
        <v>24813.775436598906</v>
      </c>
      <c r="P147" s="119">
        <v>30177.542880266185</v>
      </c>
      <c r="Q147" s="120">
        <v>19510.781331297265</v>
      </c>
      <c r="R147" s="314">
        <v>44324.556767896167</v>
      </c>
      <c r="S147" s="315">
        <v>49688.324211563449</v>
      </c>
      <c r="U147" s="7" t="s">
        <v>994</v>
      </c>
    </row>
    <row r="148" spans="1:21" s="74" customFormat="1" ht="16.5" thickBot="1">
      <c r="A148" s="50" t="s">
        <v>35</v>
      </c>
      <c r="B148" s="51">
        <f t="shared" si="6"/>
        <v>65</v>
      </c>
      <c r="C148" s="51" t="s">
        <v>3</v>
      </c>
      <c r="D148" s="51">
        <f t="shared" si="7"/>
        <v>260</v>
      </c>
      <c r="E148" s="51" t="s">
        <v>3</v>
      </c>
      <c r="F148" s="110">
        <f t="shared" si="8"/>
        <v>2300</v>
      </c>
      <c r="G148" s="51" t="s">
        <v>3</v>
      </c>
      <c r="H148" s="48">
        <v>2</v>
      </c>
      <c r="I148" s="49" t="s">
        <v>45</v>
      </c>
      <c r="J148" s="184">
        <v>65</v>
      </c>
      <c r="K148" s="113">
        <v>260</v>
      </c>
      <c r="L148" s="113">
        <v>2300</v>
      </c>
      <c r="M148" s="185">
        <v>17.096563400360715</v>
      </c>
      <c r="N148" s="75">
        <v>508.98650399999991</v>
      </c>
      <c r="O148" s="119">
        <v>25233.891763591106</v>
      </c>
      <c r="P148" s="119">
        <v>30705.709027692497</v>
      </c>
      <c r="Q148" s="120">
        <v>19942.883601219681</v>
      </c>
      <c r="R148" s="314">
        <v>45176.77536481079</v>
      </c>
      <c r="S148" s="315">
        <v>50648.592628912178</v>
      </c>
      <c r="U148" s="7" t="s">
        <v>995</v>
      </c>
    </row>
    <row r="149" spans="1:21" s="74" customFormat="1" ht="16.5" thickBot="1">
      <c r="A149" s="50" t="s">
        <v>35</v>
      </c>
      <c r="B149" s="51">
        <f t="shared" si="6"/>
        <v>65</v>
      </c>
      <c r="C149" s="51" t="s">
        <v>3</v>
      </c>
      <c r="D149" s="51">
        <f t="shared" si="7"/>
        <v>260</v>
      </c>
      <c r="E149" s="51" t="s">
        <v>3</v>
      </c>
      <c r="F149" s="110">
        <f t="shared" si="8"/>
        <v>2350</v>
      </c>
      <c r="G149" s="51" t="s">
        <v>3</v>
      </c>
      <c r="H149" s="48">
        <v>2</v>
      </c>
      <c r="I149" s="49" t="s">
        <v>45</v>
      </c>
      <c r="J149" s="184">
        <v>65</v>
      </c>
      <c r="K149" s="113">
        <v>260</v>
      </c>
      <c r="L149" s="113">
        <v>2350</v>
      </c>
      <c r="M149" s="185">
        <v>17.44733684988357</v>
      </c>
      <c r="N149" s="75">
        <v>522.03743999999995</v>
      </c>
      <c r="O149" s="119">
        <v>25654.008230976942</v>
      </c>
      <c r="P149" s="119">
        <v>31233.875034725443</v>
      </c>
      <c r="Q149" s="120">
        <v>20374.986011535453</v>
      </c>
      <c r="R149" s="314">
        <v>46028.994242512395</v>
      </c>
      <c r="S149" s="315">
        <v>51608.861046260892</v>
      </c>
      <c r="U149" s="7" t="s">
        <v>996</v>
      </c>
    </row>
    <row r="150" spans="1:21" s="74" customFormat="1" ht="16.5" thickBot="1">
      <c r="A150" s="50" t="s">
        <v>35</v>
      </c>
      <c r="B150" s="51">
        <f t="shared" si="6"/>
        <v>65</v>
      </c>
      <c r="C150" s="51" t="s">
        <v>3</v>
      </c>
      <c r="D150" s="51">
        <f t="shared" si="7"/>
        <v>260</v>
      </c>
      <c r="E150" s="51" t="s">
        <v>3</v>
      </c>
      <c r="F150" s="110">
        <f t="shared" si="8"/>
        <v>2400</v>
      </c>
      <c r="G150" s="51" t="s">
        <v>3</v>
      </c>
      <c r="H150" s="48">
        <v>2</v>
      </c>
      <c r="I150" s="49" t="s">
        <v>45</v>
      </c>
      <c r="J150" s="184">
        <v>65</v>
      </c>
      <c r="K150" s="113">
        <v>260</v>
      </c>
      <c r="L150" s="113">
        <v>2400</v>
      </c>
      <c r="M150" s="185">
        <v>17.798110299406424</v>
      </c>
      <c r="N150" s="75">
        <v>535.08837599999993</v>
      </c>
      <c r="O150" s="119">
        <v>26074.12455796928</v>
      </c>
      <c r="P150" s="119">
        <v>31762.041041758392</v>
      </c>
      <c r="Q150" s="120">
        <v>20807.088281457865</v>
      </c>
      <c r="R150" s="314">
        <v>46881.212839427142</v>
      </c>
      <c r="S150" s="315">
        <v>52569.129323216257</v>
      </c>
      <c r="U150" s="7" t="s">
        <v>997</v>
      </c>
    </row>
    <row r="151" spans="1:21" s="74" customFormat="1" ht="16.5" thickBot="1">
      <c r="A151" s="50" t="s">
        <v>35</v>
      </c>
      <c r="B151" s="51">
        <f t="shared" si="6"/>
        <v>65</v>
      </c>
      <c r="C151" s="51" t="s">
        <v>3</v>
      </c>
      <c r="D151" s="51">
        <f t="shared" si="7"/>
        <v>260</v>
      </c>
      <c r="E151" s="51" t="s">
        <v>3</v>
      </c>
      <c r="F151" s="110">
        <f t="shared" si="8"/>
        <v>2450</v>
      </c>
      <c r="G151" s="51" t="s">
        <v>3</v>
      </c>
      <c r="H151" s="48">
        <v>2</v>
      </c>
      <c r="I151" s="49" t="s">
        <v>45</v>
      </c>
      <c r="J151" s="184">
        <v>65</v>
      </c>
      <c r="K151" s="113">
        <v>260</v>
      </c>
      <c r="L151" s="113">
        <v>2450</v>
      </c>
      <c r="M151" s="185">
        <v>18.272647937729285</v>
      </c>
      <c r="N151" s="75">
        <v>548.13931200000002</v>
      </c>
      <c r="O151" s="119">
        <v>27083.648301830781</v>
      </c>
      <c r="P151" s="119">
        <v>32806.338957970882</v>
      </c>
      <c r="Q151" s="120">
        <v>21239.190691773641</v>
      </c>
      <c r="R151" s="314">
        <v>48322.838993604426</v>
      </c>
      <c r="S151" s="315">
        <v>54045.529649744523</v>
      </c>
      <c r="U151" s="7" t="s">
        <v>998</v>
      </c>
    </row>
    <row r="152" spans="1:21" s="74" customFormat="1" ht="16.5" thickBot="1">
      <c r="A152" s="50" t="s">
        <v>35</v>
      </c>
      <c r="B152" s="51">
        <f t="shared" si="6"/>
        <v>65</v>
      </c>
      <c r="C152" s="51" t="s">
        <v>3</v>
      </c>
      <c r="D152" s="51">
        <f t="shared" si="7"/>
        <v>260</v>
      </c>
      <c r="E152" s="51" t="s">
        <v>3</v>
      </c>
      <c r="F152" s="110">
        <f t="shared" si="8"/>
        <v>2500</v>
      </c>
      <c r="G152" s="51" t="s">
        <v>3</v>
      </c>
      <c r="H152" s="48">
        <v>2</v>
      </c>
      <c r="I152" s="49" t="s">
        <v>45</v>
      </c>
      <c r="J152" s="184">
        <v>65</v>
      </c>
      <c r="K152" s="113">
        <v>260</v>
      </c>
      <c r="L152" s="113">
        <v>2500</v>
      </c>
      <c r="M152" s="185">
        <v>18.623421387252144</v>
      </c>
      <c r="N152" s="75">
        <v>561.19024799999988</v>
      </c>
      <c r="O152" s="119">
        <v>27503.764628823119</v>
      </c>
      <c r="P152" s="119">
        <v>33334.504965003835</v>
      </c>
      <c r="Q152" s="120">
        <v>21671.293102089418</v>
      </c>
      <c r="R152" s="314">
        <v>49175.057730912536</v>
      </c>
      <c r="S152" s="315">
        <v>55005.798067093252</v>
      </c>
      <c r="U152" s="7" t="s">
        <v>999</v>
      </c>
    </row>
    <row r="153" spans="1:21" s="74" customFormat="1" ht="16.5" thickBot="1">
      <c r="A153" s="50" t="s">
        <v>35</v>
      </c>
      <c r="B153" s="51">
        <f t="shared" si="6"/>
        <v>65</v>
      </c>
      <c r="C153" s="51" t="s">
        <v>3</v>
      </c>
      <c r="D153" s="51">
        <f t="shared" si="7"/>
        <v>260</v>
      </c>
      <c r="E153" s="51" t="s">
        <v>3</v>
      </c>
      <c r="F153" s="110">
        <f t="shared" si="8"/>
        <v>2550</v>
      </c>
      <c r="G153" s="51" t="s">
        <v>3</v>
      </c>
      <c r="H153" s="48">
        <v>2</v>
      </c>
      <c r="I153" s="49" t="s">
        <v>45</v>
      </c>
      <c r="J153" s="184">
        <v>65</v>
      </c>
      <c r="K153" s="113">
        <v>260</v>
      </c>
      <c r="L153" s="113">
        <v>2550</v>
      </c>
      <c r="M153" s="185">
        <v>18.974194836774998</v>
      </c>
      <c r="N153" s="75">
        <v>574.24118399999998</v>
      </c>
      <c r="O153" s="119">
        <v>27923.880955815453</v>
      </c>
      <c r="P153" s="119">
        <v>33862.671112430144</v>
      </c>
      <c r="Q153" s="120">
        <v>22103.39537201183</v>
      </c>
      <c r="R153" s="314">
        <v>50027.276327827283</v>
      </c>
      <c r="S153" s="315">
        <v>55966.066484441973</v>
      </c>
      <c r="U153" s="7" t="s">
        <v>1000</v>
      </c>
    </row>
    <row r="154" spans="1:21" s="74" customFormat="1" ht="16.5" thickBot="1">
      <c r="A154" s="47" t="s">
        <v>35</v>
      </c>
      <c r="B154" s="48">
        <f t="shared" si="6"/>
        <v>65</v>
      </c>
      <c r="C154" s="48" t="s">
        <v>3</v>
      </c>
      <c r="D154" s="48">
        <f t="shared" si="7"/>
        <v>260</v>
      </c>
      <c r="E154" s="48" t="s">
        <v>3</v>
      </c>
      <c r="F154" s="110">
        <f t="shared" si="8"/>
        <v>2600</v>
      </c>
      <c r="G154" s="48" t="s">
        <v>3</v>
      </c>
      <c r="H154" s="48">
        <v>2</v>
      </c>
      <c r="I154" s="49" t="s">
        <v>45</v>
      </c>
      <c r="J154" s="184">
        <v>65</v>
      </c>
      <c r="K154" s="113">
        <v>260</v>
      </c>
      <c r="L154" s="113">
        <v>2600</v>
      </c>
      <c r="M154" s="185">
        <v>19.32496828629786</v>
      </c>
      <c r="N154" s="75">
        <v>587.29211999999995</v>
      </c>
      <c r="O154" s="119">
        <v>28343.997423201155</v>
      </c>
      <c r="P154" s="119">
        <v>34390.837119463096</v>
      </c>
      <c r="Q154" s="120">
        <v>22535.497782327606</v>
      </c>
      <c r="R154" s="314">
        <v>50879.495205528758</v>
      </c>
      <c r="S154" s="315">
        <v>56926.334901790702</v>
      </c>
      <c r="U154" s="7" t="s">
        <v>1001</v>
      </c>
    </row>
    <row r="155" spans="1:21" s="74" customFormat="1" ht="16.5" thickBot="1">
      <c r="A155" s="50" t="s">
        <v>35</v>
      </c>
      <c r="B155" s="51">
        <f t="shared" si="6"/>
        <v>65</v>
      </c>
      <c r="C155" s="51" t="s">
        <v>3</v>
      </c>
      <c r="D155" s="51">
        <f t="shared" si="7"/>
        <v>260</v>
      </c>
      <c r="E155" s="51" t="s">
        <v>3</v>
      </c>
      <c r="F155" s="110">
        <f t="shared" si="8"/>
        <v>2650</v>
      </c>
      <c r="G155" s="51" t="s">
        <v>3</v>
      </c>
      <c r="H155" s="48">
        <v>2</v>
      </c>
      <c r="I155" s="49" t="s">
        <v>45</v>
      </c>
      <c r="J155" s="184">
        <v>65</v>
      </c>
      <c r="K155" s="113">
        <v>260</v>
      </c>
      <c r="L155" s="113">
        <v>2650</v>
      </c>
      <c r="M155" s="185">
        <v>19.675741735820715</v>
      </c>
      <c r="N155" s="75">
        <v>600.34305599999993</v>
      </c>
      <c r="O155" s="119">
        <v>28764.113750193494</v>
      </c>
      <c r="P155" s="119">
        <v>34919.003126496042</v>
      </c>
      <c r="Q155" s="120">
        <v>22967.600052250018</v>
      </c>
      <c r="R155" s="314">
        <v>51731.713802443512</v>
      </c>
      <c r="S155" s="315">
        <v>57886.60317874606</v>
      </c>
      <c r="U155" s="7" t="s">
        <v>1002</v>
      </c>
    </row>
    <row r="156" spans="1:21" s="74" customFormat="1" ht="16.5" thickBot="1">
      <c r="A156" s="50" t="s">
        <v>35</v>
      </c>
      <c r="B156" s="51">
        <f t="shared" si="6"/>
        <v>65</v>
      </c>
      <c r="C156" s="51" t="s">
        <v>3</v>
      </c>
      <c r="D156" s="51">
        <f t="shared" si="7"/>
        <v>260</v>
      </c>
      <c r="E156" s="51" t="s">
        <v>3</v>
      </c>
      <c r="F156" s="110">
        <f t="shared" si="8"/>
        <v>2700</v>
      </c>
      <c r="G156" s="51" t="s">
        <v>3</v>
      </c>
      <c r="H156" s="48">
        <v>2</v>
      </c>
      <c r="I156" s="49" t="s">
        <v>45</v>
      </c>
      <c r="J156" s="184">
        <v>65</v>
      </c>
      <c r="K156" s="113">
        <v>260</v>
      </c>
      <c r="L156" s="113">
        <v>2700</v>
      </c>
      <c r="M156" s="185">
        <v>20.065765185343572</v>
      </c>
      <c r="N156" s="75">
        <v>613.39399199999991</v>
      </c>
      <c r="O156" s="119">
        <v>29230.101923662354</v>
      </c>
      <c r="P156" s="119">
        <v>35491.642802508381</v>
      </c>
      <c r="Q156" s="120">
        <v>23399.70246256579</v>
      </c>
      <c r="R156" s="314">
        <v>52629.804386228148</v>
      </c>
      <c r="S156" s="315">
        <v>58891.345265074167</v>
      </c>
      <c r="U156" s="7" t="s">
        <v>1003</v>
      </c>
    </row>
    <row r="157" spans="1:21" s="74" customFormat="1" ht="16.5" thickBot="1">
      <c r="A157" s="50" t="s">
        <v>35</v>
      </c>
      <c r="B157" s="51">
        <f t="shared" si="6"/>
        <v>65</v>
      </c>
      <c r="C157" s="51" t="s">
        <v>3</v>
      </c>
      <c r="D157" s="51">
        <f t="shared" si="7"/>
        <v>260</v>
      </c>
      <c r="E157" s="51" t="s">
        <v>3</v>
      </c>
      <c r="F157" s="110">
        <f t="shared" si="8"/>
        <v>2750</v>
      </c>
      <c r="G157" s="51" t="s">
        <v>3</v>
      </c>
      <c r="H157" s="48">
        <v>2</v>
      </c>
      <c r="I157" s="49" t="s">
        <v>45</v>
      </c>
      <c r="J157" s="184">
        <v>65</v>
      </c>
      <c r="K157" s="113">
        <v>260</v>
      </c>
      <c r="L157" s="113">
        <v>2750</v>
      </c>
      <c r="M157" s="185">
        <v>20.416538634866431</v>
      </c>
      <c r="N157" s="75">
        <v>626.44492799999989</v>
      </c>
      <c r="O157" s="119">
        <v>29650.218250654696</v>
      </c>
      <c r="P157" s="119">
        <v>36019.808809541333</v>
      </c>
      <c r="Q157" s="120">
        <v>23831.804872881567</v>
      </c>
      <c r="R157" s="314">
        <v>53482.023123536259</v>
      </c>
      <c r="S157" s="315">
        <v>59851.613682422903</v>
      </c>
      <c r="U157" s="7" t="s">
        <v>1004</v>
      </c>
    </row>
    <row r="158" spans="1:21" s="74" customFormat="1" ht="16.5" thickBot="1">
      <c r="A158" s="50" t="s">
        <v>35</v>
      </c>
      <c r="B158" s="51">
        <f t="shared" si="6"/>
        <v>65</v>
      </c>
      <c r="C158" s="51" t="s">
        <v>3</v>
      </c>
      <c r="D158" s="51">
        <f t="shared" si="7"/>
        <v>260</v>
      </c>
      <c r="E158" s="51" t="s">
        <v>3</v>
      </c>
      <c r="F158" s="110">
        <f t="shared" si="8"/>
        <v>2800</v>
      </c>
      <c r="G158" s="51" t="s">
        <v>3</v>
      </c>
      <c r="H158" s="48">
        <v>2</v>
      </c>
      <c r="I158" s="49" t="s">
        <v>45</v>
      </c>
      <c r="J158" s="184">
        <v>65</v>
      </c>
      <c r="K158" s="113">
        <v>260</v>
      </c>
      <c r="L158" s="113">
        <v>2800</v>
      </c>
      <c r="M158" s="185">
        <v>20.767312084389289</v>
      </c>
      <c r="N158" s="75">
        <v>639.49586399999998</v>
      </c>
      <c r="O158" s="119">
        <v>30070.334577647031</v>
      </c>
      <c r="P158" s="119">
        <v>36547.974816574286</v>
      </c>
      <c r="Q158" s="120">
        <v>24263.907142803979</v>
      </c>
      <c r="R158" s="314">
        <v>54334.241720451013</v>
      </c>
      <c r="S158" s="315">
        <v>60811.881959378268</v>
      </c>
      <c r="U158" s="7" t="s">
        <v>1005</v>
      </c>
    </row>
    <row r="159" spans="1:21" s="74" customFormat="1" ht="16.5" thickBot="1">
      <c r="A159" s="50" t="s">
        <v>35</v>
      </c>
      <c r="B159" s="51">
        <f t="shared" si="6"/>
        <v>65</v>
      </c>
      <c r="C159" s="51" t="s">
        <v>3</v>
      </c>
      <c r="D159" s="51">
        <f t="shared" si="7"/>
        <v>260</v>
      </c>
      <c r="E159" s="51" t="s">
        <v>3</v>
      </c>
      <c r="F159" s="110">
        <f t="shared" si="8"/>
        <v>2850</v>
      </c>
      <c r="G159" s="51" t="s">
        <v>3</v>
      </c>
      <c r="H159" s="48">
        <v>2</v>
      </c>
      <c r="I159" s="49" t="s">
        <v>45</v>
      </c>
      <c r="J159" s="184">
        <v>65</v>
      </c>
      <c r="K159" s="113">
        <v>260</v>
      </c>
      <c r="L159" s="113">
        <v>2850</v>
      </c>
      <c r="M159" s="185">
        <v>21.118085533912144</v>
      </c>
      <c r="N159" s="75">
        <v>652.54679999999996</v>
      </c>
      <c r="O159" s="119">
        <v>30490.451045032733</v>
      </c>
      <c r="P159" s="119">
        <v>37076.140964000595</v>
      </c>
      <c r="Q159" s="120">
        <v>24696.009553119755</v>
      </c>
      <c r="R159" s="314">
        <v>55186.460598152487</v>
      </c>
      <c r="S159" s="315">
        <v>61772.150517120346</v>
      </c>
      <c r="U159" s="7" t="s">
        <v>1006</v>
      </c>
    </row>
    <row r="160" spans="1:21" s="74" customFormat="1" ht="16.5" thickBot="1">
      <c r="A160" s="50" t="s">
        <v>35</v>
      </c>
      <c r="B160" s="51">
        <f t="shared" si="6"/>
        <v>65</v>
      </c>
      <c r="C160" s="51" t="s">
        <v>3</v>
      </c>
      <c r="D160" s="51">
        <f t="shared" si="7"/>
        <v>260</v>
      </c>
      <c r="E160" s="51" t="s">
        <v>3</v>
      </c>
      <c r="F160" s="110">
        <f t="shared" si="8"/>
        <v>2900</v>
      </c>
      <c r="G160" s="51" t="s">
        <v>3</v>
      </c>
      <c r="H160" s="48">
        <v>2</v>
      </c>
      <c r="I160" s="49" t="s">
        <v>45</v>
      </c>
      <c r="J160" s="184">
        <v>65</v>
      </c>
      <c r="K160" s="113">
        <v>260</v>
      </c>
      <c r="L160" s="113">
        <v>2900</v>
      </c>
      <c r="M160" s="185">
        <v>21.468858983434998</v>
      </c>
      <c r="N160" s="75">
        <v>665.59773599999994</v>
      </c>
      <c r="O160" s="119">
        <v>30910.567372025067</v>
      </c>
      <c r="P160" s="119">
        <v>37604.306971033548</v>
      </c>
      <c r="Q160" s="120">
        <v>25128.111823042171</v>
      </c>
      <c r="R160" s="314">
        <v>56038.679195067234</v>
      </c>
      <c r="S160" s="315">
        <v>62732.418794075718</v>
      </c>
      <c r="U160" s="7" t="s">
        <v>1007</v>
      </c>
    </row>
    <row r="161" spans="1:21" s="74" customFormat="1" ht="16.5" thickBot="1">
      <c r="A161" s="50" t="s">
        <v>35</v>
      </c>
      <c r="B161" s="51">
        <f t="shared" si="6"/>
        <v>65</v>
      </c>
      <c r="C161" s="51" t="s">
        <v>3</v>
      </c>
      <c r="D161" s="51">
        <f t="shared" si="7"/>
        <v>260</v>
      </c>
      <c r="E161" s="51" t="s">
        <v>3</v>
      </c>
      <c r="F161" s="110">
        <f t="shared" si="8"/>
        <v>2950</v>
      </c>
      <c r="G161" s="51" t="s">
        <v>3</v>
      </c>
      <c r="H161" s="48">
        <v>2</v>
      </c>
      <c r="I161" s="49" t="s">
        <v>45</v>
      </c>
      <c r="J161" s="184">
        <v>65</v>
      </c>
      <c r="K161" s="113">
        <v>260</v>
      </c>
      <c r="L161" s="113">
        <v>2950</v>
      </c>
      <c r="M161" s="185">
        <v>21.81963243295786</v>
      </c>
      <c r="N161" s="75">
        <v>678.64867199999992</v>
      </c>
      <c r="O161" s="119">
        <v>31330.683699017409</v>
      </c>
      <c r="P161" s="119">
        <v>38132.472978066493</v>
      </c>
      <c r="Q161" s="120">
        <v>25560.214233357947</v>
      </c>
      <c r="R161" s="314">
        <v>56890.897932375359</v>
      </c>
      <c r="S161" s="315">
        <v>63692.68721142444</v>
      </c>
      <c r="U161" s="7" t="s">
        <v>1008</v>
      </c>
    </row>
    <row r="162" spans="1:21" s="74" customFormat="1" ht="16.5" thickBot="1">
      <c r="A162" s="52" t="s">
        <v>35</v>
      </c>
      <c r="B162" s="53">
        <f t="shared" si="6"/>
        <v>65</v>
      </c>
      <c r="C162" s="53" t="s">
        <v>3</v>
      </c>
      <c r="D162" s="53">
        <f t="shared" si="7"/>
        <v>260</v>
      </c>
      <c r="E162" s="53" t="s">
        <v>3</v>
      </c>
      <c r="F162" s="111">
        <f t="shared" si="8"/>
        <v>3000</v>
      </c>
      <c r="G162" s="53" t="s">
        <v>3</v>
      </c>
      <c r="H162" s="55">
        <v>2</v>
      </c>
      <c r="I162" s="54" t="s">
        <v>45</v>
      </c>
      <c r="J162" s="184">
        <v>65</v>
      </c>
      <c r="K162" s="157">
        <v>260</v>
      </c>
      <c r="L162" s="157">
        <v>3000</v>
      </c>
      <c r="M162" s="187">
        <v>22.170405882480715</v>
      </c>
      <c r="N162" s="147">
        <v>691.6996079999999</v>
      </c>
      <c r="O162" s="189">
        <v>31750.800166403107</v>
      </c>
      <c r="P162" s="189">
        <v>38660.638985099446</v>
      </c>
      <c r="Q162" s="159">
        <v>25992.316643673719</v>
      </c>
      <c r="R162" s="316">
        <v>57743.116810076826</v>
      </c>
      <c r="S162" s="317">
        <v>64652.955628773168</v>
      </c>
      <c r="U162" s="7" t="s">
        <v>1009</v>
      </c>
    </row>
    <row r="163" spans="1:21" s="74" customFormat="1" ht="22.5" customHeight="1" thickBot="1">
      <c r="A163" s="2621" t="s">
        <v>48</v>
      </c>
      <c r="B163" s="2622"/>
      <c r="C163" s="2622"/>
      <c r="D163" s="2622"/>
      <c r="E163" s="2622"/>
      <c r="F163" s="2622"/>
      <c r="G163" s="2622"/>
      <c r="H163" s="2622"/>
      <c r="I163" s="2622"/>
      <c r="J163" s="2622"/>
      <c r="K163" s="2622"/>
      <c r="L163" s="2622"/>
      <c r="M163" s="2622"/>
      <c r="N163" s="2622"/>
      <c r="O163" s="2622"/>
      <c r="P163" s="2622"/>
      <c r="Q163" s="2622"/>
      <c r="R163" s="2622"/>
      <c r="S163" s="2623"/>
      <c r="U163" s="7"/>
    </row>
    <row r="164" spans="1:21" s="74" customFormat="1" ht="22.5" customHeight="1" thickBot="1">
      <c r="A164" s="2624" t="s">
        <v>69</v>
      </c>
      <c r="B164" s="2625"/>
      <c r="C164" s="2625"/>
      <c r="D164" s="2625"/>
      <c r="E164" s="2625"/>
      <c r="F164" s="2625"/>
      <c r="G164" s="2625"/>
      <c r="H164" s="2625"/>
      <c r="I164" s="2625"/>
      <c r="J164" s="2625"/>
      <c r="K164" s="2625"/>
      <c r="L164" s="2625"/>
      <c r="M164" s="2625"/>
      <c r="N164" s="2625"/>
      <c r="O164" s="2625"/>
      <c r="P164" s="2625"/>
      <c r="Q164" s="2625"/>
      <c r="R164" s="2625"/>
      <c r="S164" s="2626"/>
      <c r="U164" s="7"/>
    </row>
    <row r="165" spans="1:21" s="74" customFormat="1" ht="16.5" thickBot="1">
      <c r="A165" s="2583" t="s">
        <v>134</v>
      </c>
      <c r="B165" s="2584"/>
      <c r="C165" s="2584"/>
      <c r="D165" s="2584"/>
      <c r="E165" s="2584"/>
      <c r="F165" s="2584"/>
      <c r="G165" s="2584"/>
      <c r="H165" s="2584"/>
      <c r="I165" s="2584"/>
      <c r="J165" s="2584"/>
      <c r="K165" s="2584"/>
      <c r="L165" s="2584"/>
      <c r="M165" s="2584"/>
      <c r="N165" s="2584"/>
      <c r="O165" s="2584"/>
      <c r="P165" s="2584"/>
      <c r="Q165" s="2584"/>
      <c r="R165" s="2584"/>
      <c r="S165" s="2585"/>
      <c r="U165" s="7"/>
    </row>
    <row r="166" spans="1:21" s="74" customFormat="1" ht="16.5" thickBot="1">
      <c r="A166" s="47" t="s">
        <v>35</v>
      </c>
      <c r="B166" s="48">
        <f>J166</f>
        <v>65</v>
      </c>
      <c r="C166" s="48" t="s">
        <v>3</v>
      </c>
      <c r="D166" s="48">
        <f>K166</f>
        <v>300</v>
      </c>
      <c r="E166" s="48" t="s">
        <v>3</v>
      </c>
      <c r="F166" s="110">
        <f>L166</f>
        <v>600</v>
      </c>
      <c r="G166" s="48" t="s">
        <v>3</v>
      </c>
      <c r="H166" s="48">
        <v>2</v>
      </c>
      <c r="I166" s="49" t="s">
        <v>45</v>
      </c>
      <c r="J166" s="181">
        <v>65</v>
      </c>
      <c r="K166" s="168">
        <v>300</v>
      </c>
      <c r="L166" s="168">
        <v>600</v>
      </c>
      <c r="M166" s="182">
        <v>5.3669094452121424</v>
      </c>
      <c r="N166" s="143">
        <v>70.108456388176805</v>
      </c>
      <c r="O166" s="183">
        <v>10518.757696922978</v>
      </c>
      <c r="P166" s="183">
        <v>12497.764201452339</v>
      </c>
      <c r="Q166" s="169">
        <v>5887.3894791295515</v>
      </c>
      <c r="R166" s="312">
        <v>16406.147176052531</v>
      </c>
      <c r="S166" s="313">
        <v>18385.153680581891</v>
      </c>
      <c r="U166" s="7" t="s">
        <v>1010</v>
      </c>
    </row>
    <row r="167" spans="1:21" s="74" customFormat="1" ht="16.5" thickBot="1">
      <c r="A167" s="50" t="s">
        <v>35</v>
      </c>
      <c r="B167" s="51">
        <f t="shared" ref="B167:B214" si="9">J167</f>
        <v>65</v>
      </c>
      <c r="C167" s="51" t="s">
        <v>3</v>
      </c>
      <c r="D167" s="51">
        <f t="shared" ref="D167:D214" si="10">K167</f>
        <v>300</v>
      </c>
      <c r="E167" s="51" t="s">
        <v>3</v>
      </c>
      <c r="F167" s="110">
        <f t="shared" ref="F167:F214" si="11">L167</f>
        <v>650</v>
      </c>
      <c r="G167" s="51" t="s">
        <v>3</v>
      </c>
      <c r="H167" s="48">
        <v>2</v>
      </c>
      <c r="I167" s="49" t="s">
        <v>45</v>
      </c>
      <c r="J167" s="184">
        <v>65</v>
      </c>
      <c r="K167" s="113">
        <v>300</v>
      </c>
      <c r="L167" s="113">
        <v>650</v>
      </c>
      <c r="M167" s="185">
        <v>5.7496163018778574</v>
      </c>
      <c r="N167" s="75">
        <v>84.13014766581216</v>
      </c>
      <c r="O167" s="121">
        <v>10957.620093794665</v>
      </c>
      <c r="P167" s="121">
        <v>13057.568975871565</v>
      </c>
      <c r="Q167" s="120">
        <v>6371.6793313339131</v>
      </c>
      <c r="R167" s="314">
        <v>17329.299425128578</v>
      </c>
      <c r="S167" s="315">
        <v>19429.248307205478</v>
      </c>
      <c r="U167" s="7" t="s">
        <v>1011</v>
      </c>
    </row>
    <row r="168" spans="1:21" s="74" customFormat="1" ht="16.5" thickBot="1">
      <c r="A168" s="50" t="s">
        <v>35</v>
      </c>
      <c r="B168" s="51">
        <f t="shared" si="9"/>
        <v>65</v>
      </c>
      <c r="C168" s="51" t="s">
        <v>3</v>
      </c>
      <c r="D168" s="51">
        <f t="shared" si="10"/>
        <v>300</v>
      </c>
      <c r="E168" s="51" t="s">
        <v>3</v>
      </c>
      <c r="F168" s="110">
        <f t="shared" si="11"/>
        <v>700</v>
      </c>
      <c r="G168" s="51" t="s">
        <v>3</v>
      </c>
      <c r="H168" s="48">
        <v>2</v>
      </c>
      <c r="I168" s="49" t="s">
        <v>45</v>
      </c>
      <c r="J168" s="184">
        <v>65</v>
      </c>
      <c r="K168" s="113">
        <v>300</v>
      </c>
      <c r="L168" s="113">
        <v>700</v>
      </c>
      <c r="M168" s="185">
        <v>6.1323231585435716</v>
      </c>
      <c r="N168" s="75">
        <v>98.151838943447515</v>
      </c>
      <c r="O168" s="121">
        <v>11396.482444514815</v>
      </c>
      <c r="P168" s="121">
        <v>13617.37375029079</v>
      </c>
      <c r="Q168" s="120">
        <v>6855.9690431449135</v>
      </c>
      <c r="R168" s="314">
        <v>18252.451487659728</v>
      </c>
      <c r="S168" s="315">
        <v>20473.342793435702</v>
      </c>
      <c r="U168" s="7" t="s">
        <v>1012</v>
      </c>
    </row>
    <row r="169" spans="1:21" s="74" customFormat="1" ht="16.5" thickBot="1">
      <c r="A169" s="50" t="s">
        <v>35</v>
      </c>
      <c r="B169" s="51">
        <f t="shared" si="9"/>
        <v>65</v>
      </c>
      <c r="C169" s="51" t="s">
        <v>3</v>
      </c>
      <c r="D169" s="51">
        <f t="shared" si="10"/>
        <v>300</v>
      </c>
      <c r="E169" s="51" t="s">
        <v>3</v>
      </c>
      <c r="F169" s="110">
        <f t="shared" si="11"/>
        <v>750</v>
      </c>
      <c r="G169" s="51" t="s">
        <v>3</v>
      </c>
      <c r="H169" s="48">
        <v>2</v>
      </c>
      <c r="I169" s="49" t="s">
        <v>45</v>
      </c>
      <c r="J169" s="184">
        <v>65</v>
      </c>
      <c r="K169" s="113">
        <v>300</v>
      </c>
      <c r="L169" s="113">
        <v>750</v>
      </c>
      <c r="M169" s="185">
        <v>6.5150300152092857</v>
      </c>
      <c r="N169" s="75">
        <v>112.1735302210829</v>
      </c>
      <c r="O169" s="121">
        <v>11835.344795234963</v>
      </c>
      <c r="P169" s="121">
        <v>14177.178384316654</v>
      </c>
      <c r="Q169" s="120">
        <v>7340.2588953492768</v>
      </c>
      <c r="R169" s="314">
        <v>19175.603690584241</v>
      </c>
      <c r="S169" s="315">
        <v>21517.43727966593</v>
      </c>
      <c r="U169" s="7" t="s">
        <v>1013</v>
      </c>
    </row>
    <row r="170" spans="1:21" s="74" customFormat="1" ht="16.5" thickBot="1">
      <c r="A170" s="50" t="s">
        <v>35</v>
      </c>
      <c r="B170" s="51">
        <f t="shared" si="9"/>
        <v>65</v>
      </c>
      <c r="C170" s="51" t="s">
        <v>3</v>
      </c>
      <c r="D170" s="51">
        <f t="shared" si="10"/>
        <v>300</v>
      </c>
      <c r="E170" s="51" t="s">
        <v>3</v>
      </c>
      <c r="F170" s="110">
        <f t="shared" si="11"/>
        <v>800</v>
      </c>
      <c r="G170" s="51" t="s">
        <v>3</v>
      </c>
      <c r="H170" s="48">
        <v>2</v>
      </c>
      <c r="I170" s="49" t="s">
        <v>45</v>
      </c>
      <c r="J170" s="184">
        <v>65</v>
      </c>
      <c r="K170" s="113">
        <v>300</v>
      </c>
      <c r="L170" s="113">
        <v>800</v>
      </c>
      <c r="M170" s="185">
        <v>6.8977368718749998</v>
      </c>
      <c r="N170" s="75">
        <v>126.19522149871825</v>
      </c>
      <c r="O170" s="121">
        <v>12274.207145955115</v>
      </c>
      <c r="P170" s="121">
        <v>14736.983158735879</v>
      </c>
      <c r="Q170" s="120">
        <v>7824.5486071602763</v>
      </c>
      <c r="R170" s="314">
        <v>20098.755753115391</v>
      </c>
      <c r="S170" s="315">
        <v>22561.531765896154</v>
      </c>
      <c r="U170" s="7" t="s">
        <v>1014</v>
      </c>
    </row>
    <row r="171" spans="1:21" s="74" customFormat="1" ht="16.5" thickBot="1">
      <c r="A171" s="50" t="s">
        <v>35</v>
      </c>
      <c r="B171" s="51">
        <f t="shared" si="9"/>
        <v>65</v>
      </c>
      <c r="C171" s="51" t="s">
        <v>3</v>
      </c>
      <c r="D171" s="51">
        <f t="shared" si="10"/>
        <v>300</v>
      </c>
      <c r="E171" s="51" t="s">
        <v>3</v>
      </c>
      <c r="F171" s="110">
        <f t="shared" si="11"/>
        <v>850</v>
      </c>
      <c r="G171" s="51" t="s">
        <v>3</v>
      </c>
      <c r="H171" s="48">
        <v>2</v>
      </c>
      <c r="I171" s="49" t="s">
        <v>45</v>
      </c>
      <c r="J171" s="184">
        <v>65</v>
      </c>
      <c r="K171" s="113">
        <v>300</v>
      </c>
      <c r="L171" s="113">
        <v>850</v>
      </c>
      <c r="M171" s="185">
        <v>7.280443728540714</v>
      </c>
      <c r="N171" s="75">
        <v>140.21691277635361</v>
      </c>
      <c r="O171" s="121">
        <v>12713.069496675265</v>
      </c>
      <c r="P171" s="121">
        <v>15296.787933155105</v>
      </c>
      <c r="Q171" s="120">
        <v>8308.8384593646388</v>
      </c>
      <c r="R171" s="314">
        <v>21021.907956039904</v>
      </c>
      <c r="S171" s="315">
        <v>23605.626392519742</v>
      </c>
      <c r="U171" s="7" t="s">
        <v>1015</v>
      </c>
    </row>
    <row r="172" spans="1:21" s="74" customFormat="1" ht="16.5" thickBot="1">
      <c r="A172" s="50" t="s">
        <v>35</v>
      </c>
      <c r="B172" s="51">
        <f t="shared" si="9"/>
        <v>65</v>
      </c>
      <c r="C172" s="51" t="s">
        <v>3</v>
      </c>
      <c r="D172" s="51">
        <f t="shared" si="10"/>
        <v>300</v>
      </c>
      <c r="E172" s="51" t="s">
        <v>3</v>
      </c>
      <c r="F172" s="110">
        <f t="shared" si="11"/>
        <v>900</v>
      </c>
      <c r="G172" s="51" t="s">
        <v>3</v>
      </c>
      <c r="H172" s="48">
        <v>2</v>
      </c>
      <c r="I172" s="49" t="s">
        <v>45</v>
      </c>
      <c r="J172" s="184">
        <v>65</v>
      </c>
      <c r="K172" s="113">
        <v>300</v>
      </c>
      <c r="L172" s="113">
        <v>900</v>
      </c>
      <c r="M172" s="185">
        <v>7.663150585206429</v>
      </c>
      <c r="N172" s="75">
        <v>154.23860405398898</v>
      </c>
      <c r="O172" s="121">
        <v>13151.931847395415</v>
      </c>
      <c r="P172" s="121">
        <v>15856.592567180965</v>
      </c>
      <c r="Q172" s="120">
        <v>8793.1281711756401</v>
      </c>
      <c r="R172" s="314">
        <v>21945.060018571057</v>
      </c>
      <c r="S172" s="315">
        <v>24649.720738356606</v>
      </c>
      <c r="U172" s="7" t="s">
        <v>1016</v>
      </c>
    </row>
    <row r="173" spans="1:21" s="74" customFormat="1" ht="16.5" thickBot="1">
      <c r="A173" s="50" t="s">
        <v>35</v>
      </c>
      <c r="B173" s="51">
        <f t="shared" si="9"/>
        <v>65</v>
      </c>
      <c r="C173" s="51" t="s">
        <v>3</v>
      </c>
      <c r="D173" s="51">
        <f t="shared" si="10"/>
        <v>300</v>
      </c>
      <c r="E173" s="51" t="s">
        <v>3</v>
      </c>
      <c r="F173" s="110">
        <f t="shared" si="11"/>
        <v>950</v>
      </c>
      <c r="G173" s="51" t="s">
        <v>3</v>
      </c>
      <c r="H173" s="48">
        <v>2</v>
      </c>
      <c r="I173" s="49" t="s">
        <v>45</v>
      </c>
      <c r="J173" s="184">
        <v>65</v>
      </c>
      <c r="K173" s="113">
        <v>300</v>
      </c>
      <c r="L173" s="113">
        <v>950</v>
      </c>
      <c r="M173" s="185">
        <v>8.0458574418721422</v>
      </c>
      <c r="N173" s="75">
        <v>168.26029533162432</v>
      </c>
      <c r="O173" s="121">
        <v>13590.794198115565</v>
      </c>
      <c r="P173" s="121">
        <v>16416.39734160019</v>
      </c>
      <c r="Q173" s="120">
        <v>9277.4180233800016</v>
      </c>
      <c r="R173" s="314">
        <v>22868.212221495567</v>
      </c>
      <c r="S173" s="315">
        <v>25693.81536498019</v>
      </c>
      <c r="U173" s="7" t="s">
        <v>1017</v>
      </c>
    </row>
    <row r="174" spans="1:21" s="74" customFormat="1" ht="16.5" thickBot="1">
      <c r="A174" s="50" t="s">
        <v>35</v>
      </c>
      <c r="B174" s="51">
        <f t="shared" si="9"/>
        <v>65</v>
      </c>
      <c r="C174" s="51" t="s">
        <v>3</v>
      </c>
      <c r="D174" s="51">
        <f t="shared" si="10"/>
        <v>300</v>
      </c>
      <c r="E174" s="51" t="s">
        <v>3</v>
      </c>
      <c r="F174" s="110">
        <f t="shared" si="11"/>
        <v>1000</v>
      </c>
      <c r="G174" s="51" t="s">
        <v>3</v>
      </c>
      <c r="H174" s="48">
        <v>2</v>
      </c>
      <c r="I174" s="49" t="s">
        <v>45</v>
      </c>
      <c r="J174" s="184">
        <v>65</v>
      </c>
      <c r="K174" s="113">
        <v>300</v>
      </c>
      <c r="L174" s="113">
        <v>1000</v>
      </c>
      <c r="M174" s="185">
        <v>8.4285642985378573</v>
      </c>
      <c r="N174" s="75">
        <v>182.28198660925969</v>
      </c>
      <c r="O174" s="121">
        <v>14029.656548835714</v>
      </c>
      <c r="P174" s="121">
        <v>16976.202116019416</v>
      </c>
      <c r="Q174" s="120">
        <v>9761.7077351910029</v>
      </c>
      <c r="R174" s="314">
        <v>23791.364284026717</v>
      </c>
      <c r="S174" s="315">
        <v>26737.909851210417</v>
      </c>
      <c r="U174" s="7" t="s">
        <v>1018</v>
      </c>
    </row>
    <row r="175" spans="1:21" s="74" customFormat="1" ht="16.5" thickBot="1">
      <c r="A175" s="50" t="s">
        <v>35</v>
      </c>
      <c r="B175" s="51">
        <f t="shared" si="9"/>
        <v>65</v>
      </c>
      <c r="C175" s="51" t="s">
        <v>3</v>
      </c>
      <c r="D175" s="51">
        <f t="shared" si="10"/>
        <v>300</v>
      </c>
      <c r="E175" s="51" t="s">
        <v>3</v>
      </c>
      <c r="F175" s="110">
        <f t="shared" si="11"/>
        <v>1050</v>
      </c>
      <c r="G175" s="51" t="s">
        <v>3</v>
      </c>
      <c r="H175" s="48">
        <v>2</v>
      </c>
      <c r="I175" s="49" t="s">
        <v>45</v>
      </c>
      <c r="J175" s="184">
        <v>65</v>
      </c>
      <c r="K175" s="113">
        <v>300</v>
      </c>
      <c r="L175" s="113">
        <v>1050</v>
      </c>
      <c r="M175" s="185">
        <v>8.8112711552035705</v>
      </c>
      <c r="N175" s="75">
        <v>196.30367788689503</v>
      </c>
      <c r="O175" s="121">
        <v>14468.518899555866</v>
      </c>
      <c r="P175" s="121">
        <v>17536.006750045279</v>
      </c>
      <c r="Q175" s="120">
        <v>10245.997587395364</v>
      </c>
      <c r="R175" s="314">
        <v>24714.51648695123</v>
      </c>
      <c r="S175" s="315">
        <v>27782.004337440645</v>
      </c>
      <c r="U175" s="7" t="s">
        <v>1019</v>
      </c>
    </row>
    <row r="176" spans="1:21" s="74" customFormat="1" ht="16.5" thickBot="1">
      <c r="A176" s="47" t="s">
        <v>35</v>
      </c>
      <c r="B176" s="48">
        <f t="shared" si="9"/>
        <v>65</v>
      </c>
      <c r="C176" s="48" t="s">
        <v>3</v>
      </c>
      <c r="D176" s="48">
        <f t="shared" si="10"/>
        <v>300</v>
      </c>
      <c r="E176" s="48" t="s">
        <v>3</v>
      </c>
      <c r="F176" s="110">
        <f t="shared" si="11"/>
        <v>1100</v>
      </c>
      <c r="G176" s="48" t="s">
        <v>3</v>
      </c>
      <c r="H176" s="48">
        <v>2</v>
      </c>
      <c r="I176" s="49" t="s">
        <v>45</v>
      </c>
      <c r="J176" s="184">
        <v>65</v>
      </c>
      <c r="K176" s="113">
        <v>300</v>
      </c>
      <c r="L176" s="113">
        <v>1100</v>
      </c>
      <c r="M176" s="185">
        <v>9.1939780118692855</v>
      </c>
      <c r="N176" s="75">
        <v>210.3253691645304</v>
      </c>
      <c r="O176" s="121">
        <v>14907.381250276017</v>
      </c>
      <c r="P176" s="121">
        <v>18095.811524464501</v>
      </c>
      <c r="Q176" s="120">
        <v>10730.287299206364</v>
      </c>
      <c r="R176" s="314">
        <v>25637.668549482383</v>
      </c>
      <c r="S176" s="315">
        <v>28826.098823670865</v>
      </c>
      <c r="U176" s="7" t="s">
        <v>1020</v>
      </c>
    </row>
    <row r="177" spans="1:21" s="74" customFormat="1" ht="16.5" thickBot="1">
      <c r="A177" s="50" t="s">
        <v>35</v>
      </c>
      <c r="B177" s="51">
        <f t="shared" si="9"/>
        <v>65</v>
      </c>
      <c r="C177" s="51" t="s">
        <v>3</v>
      </c>
      <c r="D177" s="51">
        <f t="shared" si="10"/>
        <v>300</v>
      </c>
      <c r="E177" s="51" t="s">
        <v>3</v>
      </c>
      <c r="F177" s="110">
        <f t="shared" si="11"/>
        <v>1150</v>
      </c>
      <c r="G177" s="51" t="s">
        <v>3</v>
      </c>
      <c r="H177" s="48">
        <v>2</v>
      </c>
      <c r="I177" s="49" t="s">
        <v>45</v>
      </c>
      <c r="J177" s="184">
        <v>65</v>
      </c>
      <c r="K177" s="113">
        <v>300</v>
      </c>
      <c r="L177" s="113">
        <v>1150</v>
      </c>
      <c r="M177" s="185">
        <v>9.5766848685350006</v>
      </c>
      <c r="N177" s="75">
        <v>224.3470604421658</v>
      </c>
      <c r="O177" s="121">
        <v>15346.243600996166</v>
      </c>
      <c r="P177" s="121">
        <v>18655.616298883728</v>
      </c>
      <c r="Q177" s="120">
        <v>11214.577151410727</v>
      </c>
      <c r="R177" s="314">
        <v>26560.820752406893</v>
      </c>
      <c r="S177" s="315">
        <v>29870.193450294457</v>
      </c>
      <c r="U177" s="7" t="s">
        <v>1021</v>
      </c>
    </row>
    <row r="178" spans="1:21" s="74" customFormat="1" ht="16.5" thickBot="1">
      <c r="A178" s="50" t="s">
        <v>35</v>
      </c>
      <c r="B178" s="51">
        <f t="shared" si="9"/>
        <v>65</v>
      </c>
      <c r="C178" s="51" t="s">
        <v>3</v>
      </c>
      <c r="D178" s="51">
        <f t="shared" si="10"/>
        <v>300</v>
      </c>
      <c r="E178" s="51" t="s">
        <v>3</v>
      </c>
      <c r="F178" s="110">
        <f t="shared" si="11"/>
        <v>1200</v>
      </c>
      <c r="G178" s="51" t="s">
        <v>3</v>
      </c>
      <c r="H178" s="48">
        <v>2</v>
      </c>
      <c r="I178" s="49" t="s">
        <v>45</v>
      </c>
      <c r="J178" s="184">
        <v>65</v>
      </c>
      <c r="K178" s="113">
        <v>300</v>
      </c>
      <c r="L178" s="113">
        <v>1200</v>
      </c>
      <c r="M178" s="185">
        <v>9.9986417252007129</v>
      </c>
      <c r="N178" s="75">
        <v>238.36875171980114</v>
      </c>
      <c r="O178" s="121">
        <v>15830.97779819284</v>
      </c>
      <c r="P178" s="121">
        <v>19259.894601888976</v>
      </c>
      <c r="Q178" s="120">
        <v>11698.866863221729</v>
      </c>
      <c r="R178" s="314">
        <v>27529.844661414569</v>
      </c>
      <c r="S178" s="315">
        <v>30958.761465110707</v>
      </c>
      <c r="U178" s="7" t="s">
        <v>1022</v>
      </c>
    </row>
    <row r="179" spans="1:21" s="74" customFormat="1" ht="16.5" thickBot="1">
      <c r="A179" s="50" t="s">
        <v>35</v>
      </c>
      <c r="B179" s="51">
        <f t="shared" si="9"/>
        <v>65</v>
      </c>
      <c r="C179" s="51" t="s">
        <v>3</v>
      </c>
      <c r="D179" s="51">
        <f t="shared" si="10"/>
        <v>300</v>
      </c>
      <c r="E179" s="51" t="s">
        <v>3</v>
      </c>
      <c r="F179" s="110">
        <f t="shared" si="11"/>
        <v>1250</v>
      </c>
      <c r="G179" s="51" t="s">
        <v>3</v>
      </c>
      <c r="H179" s="48">
        <v>2</v>
      </c>
      <c r="I179" s="49" t="s">
        <v>45</v>
      </c>
      <c r="J179" s="184">
        <v>65</v>
      </c>
      <c r="K179" s="113">
        <v>300</v>
      </c>
      <c r="L179" s="113">
        <v>1250</v>
      </c>
      <c r="M179" s="185">
        <v>10.38134858186643</v>
      </c>
      <c r="N179" s="75">
        <v>252.39044299743651</v>
      </c>
      <c r="O179" s="121">
        <v>16269.84014891299</v>
      </c>
      <c r="P179" s="121">
        <v>19819.699235914843</v>
      </c>
      <c r="Q179" s="120">
        <v>12183.156715426092</v>
      </c>
      <c r="R179" s="314">
        <v>28452.996864339082</v>
      </c>
      <c r="S179" s="315">
        <v>32002.855951340935</v>
      </c>
      <c r="U179" s="7" t="s">
        <v>1023</v>
      </c>
    </row>
    <row r="180" spans="1:21" s="74" customFormat="1" ht="16.5" thickBot="1">
      <c r="A180" s="50" t="s">
        <v>35</v>
      </c>
      <c r="B180" s="51">
        <f t="shared" si="9"/>
        <v>65</v>
      </c>
      <c r="C180" s="51" t="s">
        <v>3</v>
      </c>
      <c r="D180" s="51">
        <f t="shared" si="10"/>
        <v>300</v>
      </c>
      <c r="E180" s="51" t="s">
        <v>3</v>
      </c>
      <c r="F180" s="110">
        <f t="shared" si="11"/>
        <v>1300</v>
      </c>
      <c r="G180" s="51" t="s">
        <v>3</v>
      </c>
      <c r="H180" s="48">
        <v>2</v>
      </c>
      <c r="I180" s="49" t="s">
        <v>45</v>
      </c>
      <c r="J180" s="184">
        <v>65</v>
      </c>
      <c r="K180" s="113">
        <v>300</v>
      </c>
      <c r="L180" s="113">
        <v>1300</v>
      </c>
      <c r="M180" s="185">
        <v>10.764055438532143</v>
      </c>
      <c r="N180" s="75">
        <v>266.41213427507182</v>
      </c>
      <c r="O180" s="121">
        <v>16708.702499633142</v>
      </c>
      <c r="P180" s="121">
        <v>20379.504010334069</v>
      </c>
      <c r="Q180" s="120">
        <v>12667.44642723709</v>
      </c>
      <c r="R180" s="314">
        <v>29376.148926870232</v>
      </c>
      <c r="S180" s="315">
        <v>33046.950437571155</v>
      </c>
      <c r="U180" s="7" t="s">
        <v>1024</v>
      </c>
    </row>
    <row r="181" spans="1:21" s="74" customFormat="1" ht="16.5" thickBot="1">
      <c r="A181" s="50" t="s">
        <v>35</v>
      </c>
      <c r="B181" s="51">
        <f t="shared" si="9"/>
        <v>65</v>
      </c>
      <c r="C181" s="51" t="s">
        <v>3</v>
      </c>
      <c r="D181" s="51">
        <f t="shared" si="10"/>
        <v>300</v>
      </c>
      <c r="E181" s="51" t="s">
        <v>3</v>
      </c>
      <c r="F181" s="110">
        <f t="shared" si="11"/>
        <v>1350</v>
      </c>
      <c r="G181" s="51" t="s">
        <v>3</v>
      </c>
      <c r="H181" s="48">
        <v>2</v>
      </c>
      <c r="I181" s="49" t="s">
        <v>45</v>
      </c>
      <c r="J181" s="184">
        <v>65</v>
      </c>
      <c r="K181" s="113">
        <v>300</v>
      </c>
      <c r="L181" s="113">
        <v>1350</v>
      </c>
      <c r="M181" s="185">
        <v>11.146762295197858</v>
      </c>
      <c r="N181" s="75">
        <v>280.43382555270722</v>
      </c>
      <c r="O181" s="121">
        <v>17147.56485035329</v>
      </c>
      <c r="P181" s="121">
        <v>20939.308784753292</v>
      </c>
      <c r="Q181" s="120">
        <v>13151.736279441453</v>
      </c>
      <c r="R181" s="314">
        <v>30299.301129794745</v>
      </c>
      <c r="S181" s="315">
        <v>34091.045064194746</v>
      </c>
      <c r="U181" s="7" t="s">
        <v>1025</v>
      </c>
    </row>
    <row r="182" spans="1:21" s="74" customFormat="1" ht="16.5" thickBot="1">
      <c r="A182" s="50" t="s">
        <v>35</v>
      </c>
      <c r="B182" s="51">
        <f t="shared" si="9"/>
        <v>65</v>
      </c>
      <c r="C182" s="51" t="s">
        <v>3</v>
      </c>
      <c r="D182" s="51">
        <f t="shared" si="10"/>
        <v>300</v>
      </c>
      <c r="E182" s="51" t="s">
        <v>3</v>
      </c>
      <c r="F182" s="110">
        <f t="shared" si="11"/>
        <v>1400</v>
      </c>
      <c r="G182" s="51" t="s">
        <v>3</v>
      </c>
      <c r="H182" s="48">
        <v>2</v>
      </c>
      <c r="I182" s="49" t="s">
        <v>45</v>
      </c>
      <c r="J182" s="184">
        <v>65</v>
      </c>
      <c r="K182" s="113">
        <v>300</v>
      </c>
      <c r="L182" s="113">
        <v>1400</v>
      </c>
      <c r="M182" s="185">
        <v>11.529469151863571</v>
      </c>
      <c r="N182" s="75">
        <v>294.45551683034262</v>
      </c>
      <c r="O182" s="121">
        <v>17586.427201073442</v>
      </c>
      <c r="P182" s="121">
        <v>21499.113418779154</v>
      </c>
      <c r="Q182" s="120">
        <v>13636.025991252453</v>
      </c>
      <c r="R182" s="314">
        <v>31222.453192325895</v>
      </c>
      <c r="S182" s="315">
        <v>35135.13941003161</v>
      </c>
      <c r="U182" s="7" t="s">
        <v>1026</v>
      </c>
    </row>
    <row r="183" spans="1:21" s="74" customFormat="1" ht="16.5" thickBot="1">
      <c r="A183" s="50" t="s">
        <v>35</v>
      </c>
      <c r="B183" s="51">
        <f t="shared" si="9"/>
        <v>65</v>
      </c>
      <c r="C183" s="51" t="s">
        <v>3</v>
      </c>
      <c r="D183" s="51">
        <f t="shared" si="10"/>
        <v>300</v>
      </c>
      <c r="E183" s="51" t="s">
        <v>3</v>
      </c>
      <c r="F183" s="110">
        <f t="shared" si="11"/>
        <v>1450</v>
      </c>
      <c r="G183" s="51" t="s">
        <v>3</v>
      </c>
      <c r="H183" s="48">
        <v>2</v>
      </c>
      <c r="I183" s="49" t="s">
        <v>45</v>
      </c>
      <c r="J183" s="184">
        <v>65</v>
      </c>
      <c r="K183" s="113">
        <v>300</v>
      </c>
      <c r="L183" s="113">
        <v>1450</v>
      </c>
      <c r="M183" s="185">
        <v>11.912176008529286</v>
      </c>
      <c r="N183" s="75">
        <v>308.47720810797796</v>
      </c>
      <c r="O183" s="121">
        <v>18025.28955179359</v>
      </c>
      <c r="P183" s="121">
        <v>22058.91819319838</v>
      </c>
      <c r="Q183" s="120">
        <v>14120.315843456816</v>
      </c>
      <c r="R183" s="314">
        <v>32145.605395250408</v>
      </c>
      <c r="S183" s="315">
        <v>36179.234036655194</v>
      </c>
      <c r="U183" s="7" t="s">
        <v>1027</v>
      </c>
    </row>
    <row r="184" spans="1:21" s="74" customFormat="1" ht="16.5" thickBot="1">
      <c r="A184" s="50" t="s">
        <v>35</v>
      </c>
      <c r="B184" s="51">
        <f t="shared" si="9"/>
        <v>65</v>
      </c>
      <c r="C184" s="51" t="s">
        <v>3</v>
      </c>
      <c r="D184" s="51">
        <f t="shared" si="10"/>
        <v>300</v>
      </c>
      <c r="E184" s="51" t="s">
        <v>3</v>
      </c>
      <c r="F184" s="110">
        <f t="shared" si="11"/>
        <v>1500</v>
      </c>
      <c r="G184" s="51" t="s">
        <v>3</v>
      </c>
      <c r="H184" s="48">
        <v>2</v>
      </c>
      <c r="I184" s="49" t="s">
        <v>45</v>
      </c>
      <c r="J184" s="184">
        <v>65</v>
      </c>
      <c r="K184" s="113">
        <v>300</v>
      </c>
      <c r="L184" s="113">
        <v>1500</v>
      </c>
      <c r="M184" s="185">
        <v>12.439447757994998</v>
      </c>
      <c r="N184" s="75">
        <v>322.4988993856133</v>
      </c>
      <c r="O184" s="121">
        <v>19142.799237109128</v>
      </c>
      <c r="P184" s="121">
        <v>23213.148604835969</v>
      </c>
      <c r="Q184" s="120">
        <v>14604.605555267815</v>
      </c>
      <c r="R184" s="314">
        <v>33747.404792376939</v>
      </c>
      <c r="S184" s="315">
        <v>37817.754160103781</v>
      </c>
      <c r="U184" s="7" t="s">
        <v>1028</v>
      </c>
    </row>
    <row r="185" spans="1:21" s="74" customFormat="1" ht="16.5" thickBot="1">
      <c r="A185" s="50" t="s">
        <v>35</v>
      </c>
      <c r="B185" s="51">
        <f t="shared" si="9"/>
        <v>65</v>
      </c>
      <c r="C185" s="51" t="s">
        <v>3</v>
      </c>
      <c r="D185" s="51">
        <f t="shared" si="10"/>
        <v>300</v>
      </c>
      <c r="E185" s="51" t="s">
        <v>3</v>
      </c>
      <c r="F185" s="110">
        <f t="shared" si="11"/>
        <v>1550</v>
      </c>
      <c r="G185" s="51" t="s">
        <v>3</v>
      </c>
      <c r="H185" s="48">
        <v>2</v>
      </c>
      <c r="I185" s="49" t="s">
        <v>45</v>
      </c>
      <c r="J185" s="184">
        <v>65</v>
      </c>
      <c r="K185" s="113">
        <v>300</v>
      </c>
      <c r="L185" s="113">
        <v>1550</v>
      </c>
      <c r="M185" s="185">
        <v>12.822154614660715</v>
      </c>
      <c r="N185" s="75">
        <v>336.52059066324864</v>
      </c>
      <c r="O185" s="121">
        <v>19581.66158782928</v>
      </c>
      <c r="P185" s="121">
        <v>23772.953379255196</v>
      </c>
      <c r="Q185" s="120">
        <v>15088.895407472179</v>
      </c>
      <c r="R185" s="314">
        <v>34670.556995301456</v>
      </c>
      <c r="S185" s="315">
        <v>38861.848786727372</v>
      </c>
      <c r="U185" s="7" t="s">
        <v>1029</v>
      </c>
    </row>
    <row r="186" spans="1:21" s="74" customFormat="1" ht="16.5" thickBot="1">
      <c r="A186" s="47" t="s">
        <v>35</v>
      </c>
      <c r="B186" s="48">
        <f t="shared" si="9"/>
        <v>65</v>
      </c>
      <c r="C186" s="48" t="s">
        <v>3</v>
      </c>
      <c r="D186" s="48">
        <f t="shared" si="10"/>
        <v>300</v>
      </c>
      <c r="E186" s="48" t="s">
        <v>3</v>
      </c>
      <c r="F186" s="110">
        <f t="shared" si="11"/>
        <v>1600</v>
      </c>
      <c r="G186" s="48" t="s">
        <v>3</v>
      </c>
      <c r="H186" s="48">
        <v>2</v>
      </c>
      <c r="I186" s="49" t="s">
        <v>45</v>
      </c>
      <c r="J186" s="184">
        <v>65</v>
      </c>
      <c r="K186" s="113">
        <v>300</v>
      </c>
      <c r="L186" s="113">
        <v>1600</v>
      </c>
      <c r="M186" s="185">
        <v>13.204861471326428</v>
      </c>
      <c r="N186" s="75">
        <v>350.54228194088404</v>
      </c>
      <c r="O186" s="121">
        <v>20020.523938549428</v>
      </c>
      <c r="P186" s="121">
        <v>24332.758153674418</v>
      </c>
      <c r="Q186" s="120">
        <v>15573.185119283178</v>
      </c>
      <c r="R186" s="314">
        <v>35593.709057832602</v>
      </c>
      <c r="S186" s="315">
        <v>39905.943272957593</v>
      </c>
      <c r="U186" s="7" t="s">
        <v>1030</v>
      </c>
    </row>
    <row r="187" spans="1:21" s="74" customFormat="1" ht="16.5" thickBot="1">
      <c r="A187" s="50" t="s">
        <v>35</v>
      </c>
      <c r="B187" s="51">
        <f t="shared" si="9"/>
        <v>65</v>
      </c>
      <c r="C187" s="51" t="s">
        <v>3</v>
      </c>
      <c r="D187" s="51">
        <f t="shared" si="10"/>
        <v>300</v>
      </c>
      <c r="E187" s="51" t="s">
        <v>3</v>
      </c>
      <c r="F187" s="110">
        <f t="shared" si="11"/>
        <v>1650</v>
      </c>
      <c r="G187" s="51" t="s">
        <v>3</v>
      </c>
      <c r="H187" s="48">
        <v>2</v>
      </c>
      <c r="I187" s="49" t="s">
        <v>45</v>
      </c>
      <c r="J187" s="184">
        <v>65</v>
      </c>
      <c r="K187" s="113">
        <v>300</v>
      </c>
      <c r="L187" s="113">
        <v>1650</v>
      </c>
      <c r="M187" s="185">
        <v>13.587568327992143</v>
      </c>
      <c r="N187" s="75">
        <v>364.56397321851938</v>
      </c>
      <c r="O187" s="121">
        <v>20459.38628926958</v>
      </c>
      <c r="P187" s="121">
        <v>24892.562787700281</v>
      </c>
      <c r="Q187" s="120">
        <v>16057.474971487542</v>
      </c>
      <c r="R187" s="314">
        <v>36516.861260757119</v>
      </c>
      <c r="S187" s="315">
        <v>40950.03775918782</v>
      </c>
      <c r="U187" s="7" t="s">
        <v>1031</v>
      </c>
    </row>
    <row r="188" spans="1:21" s="74" customFormat="1" ht="16.5" thickBot="1">
      <c r="A188" s="50" t="s">
        <v>35</v>
      </c>
      <c r="B188" s="51">
        <f t="shared" si="9"/>
        <v>65</v>
      </c>
      <c r="C188" s="51" t="s">
        <v>3</v>
      </c>
      <c r="D188" s="51">
        <f t="shared" si="10"/>
        <v>300</v>
      </c>
      <c r="E188" s="51" t="s">
        <v>3</v>
      </c>
      <c r="F188" s="110">
        <f t="shared" si="11"/>
        <v>1700</v>
      </c>
      <c r="G188" s="51" t="s">
        <v>3</v>
      </c>
      <c r="H188" s="48">
        <v>2</v>
      </c>
      <c r="I188" s="49" t="s">
        <v>45</v>
      </c>
      <c r="J188" s="184">
        <v>65</v>
      </c>
      <c r="K188" s="113">
        <v>300</v>
      </c>
      <c r="L188" s="113">
        <v>1700</v>
      </c>
      <c r="M188" s="185">
        <v>13.970275184657858</v>
      </c>
      <c r="N188" s="75">
        <v>378.58566449615478</v>
      </c>
      <c r="O188" s="121">
        <v>20898.248639989728</v>
      </c>
      <c r="P188" s="121">
        <v>25452.367562119507</v>
      </c>
      <c r="Q188" s="120">
        <v>16541.764683298541</v>
      </c>
      <c r="R188" s="314">
        <v>37440.013323288265</v>
      </c>
      <c r="S188" s="315">
        <v>41994.132245418048</v>
      </c>
      <c r="U188" s="7" t="s">
        <v>1032</v>
      </c>
    </row>
    <row r="189" spans="1:21" s="74" customFormat="1" ht="16.5" thickBot="1">
      <c r="A189" s="50" t="s">
        <v>35</v>
      </c>
      <c r="B189" s="51">
        <f t="shared" si="9"/>
        <v>65</v>
      </c>
      <c r="C189" s="51" t="s">
        <v>3</v>
      </c>
      <c r="D189" s="51">
        <f t="shared" si="10"/>
        <v>300</v>
      </c>
      <c r="E189" s="51" t="s">
        <v>3</v>
      </c>
      <c r="F189" s="110">
        <f t="shared" si="11"/>
        <v>1750</v>
      </c>
      <c r="G189" s="51" t="s">
        <v>3</v>
      </c>
      <c r="H189" s="48">
        <v>2</v>
      </c>
      <c r="I189" s="49" t="s">
        <v>45</v>
      </c>
      <c r="J189" s="184">
        <v>65</v>
      </c>
      <c r="K189" s="113">
        <v>300</v>
      </c>
      <c r="L189" s="113">
        <v>1750</v>
      </c>
      <c r="M189" s="185">
        <v>14.352982041323571</v>
      </c>
      <c r="N189" s="75">
        <v>392.60735577379006</v>
      </c>
      <c r="O189" s="121">
        <v>21337.11099070988</v>
      </c>
      <c r="P189" s="121">
        <v>26012.17233653873</v>
      </c>
      <c r="Q189" s="120">
        <v>17026.054535502903</v>
      </c>
      <c r="R189" s="314">
        <v>38363.165526212782</v>
      </c>
      <c r="S189" s="315">
        <v>43038.226872041632</v>
      </c>
      <c r="U189" s="7" t="s">
        <v>1033</v>
      </c>
    </row>
    <row r="190" spans="1:21" s="74" customFormat="1" ht="16.5" thickBot="1">
      <c r="A190" s="50" t="s">
        <v>35</v>
      </c>
      <c r="B190" s="51">
        <f t="shared" si="9"/>
        <v>65</v>
      </c>
      <c r="C190" s="51" t="s">
        <v>3</v>
      </c>
      <c r="D190" s="51">
        <f t="shared" si="10"/>
        <v>300</v>
      </c>
      <c r="E190" s="51" t="s">
        <v>3</v>
      </c>
      <c r="F190" s="110">
        <f t="shared" si="11"/>
        <v>1800</v>
      </c>
      <c r="G190" s="51" t="s">
        <v>3</v>
      </c>
      <c r="H190" s="48">
        <v>2</v>
      </c>
      <c r="I190" s="49" t="s">
        <v>45</v>
      </c>
      <c r="J190" s="184">
        <v>65</v>
      </c>
      <c r="K190" s="113">
        <v>300</v>
      </c>
      <c r="L190" s="113">
        <v>1800</v>
      </c>
      <c r="M190" s="185">
        <v>14.735688897989284</v>
      </c>
      <c r="N190" s="75">
        <v>406.62904705142546</v>
      </c>
      <c r="O190" s="121">
        <v>21775.973341430028</v>
      </c>
      <c r="P190" s="121">
        <v>26571.976970564592</v>
      </c>
      <c r="Q190" s="120">
        <v>17510.344247313904</v>
      </c>
      <c r="R190" s="314">
        <v>39286.317588743928</v>
      </c>
      <c r="S190" s="315">
        <v>44082.321217878496</v>
      </c>
      <c r="U190" s="7" t="s">
        <v>1034</v>
      </c>
    </row>
    <row r="191" spans="1:21" s="74" customFormat="1" ht="16.5" thickBot="1">
      <c r="A191" s="50" t="s">
        <v>35</v>
      </c>
      <c r="B191" s="51">
        <f t="shared" si="9"/>
        <v>65</v>
      </c>
      <c r="C191" s="51" t="s">
        <v>3</v>
      </c>
      <c r="D191" s="51">
        <f t="shared" si="10"/>
        <v>300</v>
      </c>
      <c r="E191" s="51" t="s">
        <v>3</v>
      </c>
      <c r="F191" s="110">
        <f t="shared" si="11"/>
        <v>1850</v>
      </c>
      <c r="G191" s="51" t="s">
        <v>3</v>
      </c>
      <c r="H191" s="48">
        <v>2</v>
      </c>
      <c r="I191" s="49" t="s">
        <v>45</v>
      </c>
      <c r="J191" s="184">
        <v>65</v>
      </c>
      <c r="K191" s="113">
        <v>300</v>
      </c>
      <c r="L191" s="113">
        <v>1850</v>
      </c>
      <c r="M191" s="185">
        <v>15.118395754655001</v>
      </c>
      <c r="N191" s="75">
        <v>420.6507383290608</v>
      </c>
      <c r="O191" s="121">
        <v>22214.83569215018</v>
      </c>
      <c r="P191" s="121">
        <v>27131.781744983818</v>
      </c>
      <c r="Q191" s="120">
        <v>17994.634099518265</v>
      </c>
      <c r="R191" s="314">
        <v>40209.469791668445</v>
      </c>
      <c r="S191" s="315">
        <v>45126.415844502088</v>
      </c>
      <c r="U191" s="7" t="s">
        <v>1035</v>
      </c>
    </row>
    <row r="192" spans="1:21" s="74" customFormat="1" ht="16.5" thickBot="1">
      <c r="A192" s="50" t="s">
        <v>35</v>
      </c>
      <c r="B192" s="51">
        <f t="shared" si="9"/>
        <v>65</v>
      </c>
      <c r="C192" s="51" t="s">
        <v>3</v>
      </c>
      <c r="D192" s="51">
        <f t="shared" si="10"/>
        <v>300</v>
      </c>
      <c r="E192" s="51" t="s">
        <v>3</v>
      </c>
      <c r="F192" s="110">
        <f t="shared" si="11"/>
        <v>1900</v>
      </c>
      <c r="G192" s="51" t="s">
        <v>3</v>
      </c>
      <c r="H192" s="48">
        <v>2</v>
      </c>
      <c r="I192" s="49" t="s">
        <v>45</v>
      </c>
      <c r="J192" s="184">
        <v>65</v>
      </c>
      <c r="K192" s="113">
        <v>300</v>
      </c>
      <c r="L192" s="113">
        <v>1900</v>
      </c>
      <c r="M192" s="185">
        <v>15.501102611320714</v>
      </c>
      <c r="N192" s="75">
        <v>434.6724296066962</v>
      </c>
      <c r="O192" s="121">
        <v>22653.698042870332</v>
      </c>
      <c r="P192" s="121">
        <v>27691.586519403045</v>
      </c>
      <c r="Q192" s="120">
        <v>18478.923811329267</v>
      </c>
      <c r="R192" s="314">
        <v>41132.621854199599</v>
      </c>
      <c r="S192" s="315">
        <v>46170.510330732315</v>
      </c>
      <c r="U192" s="7" t="s">
        <v>1036</v>
      </c>
    </row>
    <row r="193" spans="1:21" s="74" customFormat="1" ht="16.5" thickBot="1">
      <c r="A193" s="50" t="s">
        <v>35</v>
      </c>
      <c r="B193" s="51">
        <f t="shared" si="9"/>
        <v>65</v>
      </c>
      <c r="C193" s="51" t="s">
        <v>3</v>
      </c>
      <c r="D193" s="51">
        <f t="shared" si="10"/>
        <v>300</v>
      </c>
      <c r="E193" s="51" t="s">
        <v>3</v>
      </c>
      <c r="F193" s="110">
        <f t="shared" si="11"/>
        <v>1950</v>
      </c>
      <c r="G193" s="51" t="s">
        <v>3</v>
      </c>
      <c r="H193" s="48">
        <v>2</v>
      </c>
      <c r="I193" s="49" t="s">
        <v>45</v>
      </c>
      <c r="J193" s="184">
        <v>65</v>
      </c>
      <c r="K193" s="113">
        <v>300</v>
      </c>
      <c r="L193" s="113">
        <v>1950</v>
      </c>
      <c r="M193" s="185">
        <v>15.923059467986429</v>
      </c>
      <c r="N193" s="75">
        <v>448.6941208843316</v>
      </c>
      <c r="O193" s="121">
        <v>23138.432240067006</v>
      </c>
      <c r="P193" s="121">
        <v>28295.864822408297</v>
      </c>
      <c r="Q193" s="120">
        <v>18963.213663533628</v>
      </c>
      <c r="R193" s="314">
        <v>42101.645903600634</v>
      </c>
      <c r="S193" s="315">
        <v>47259.078485941922</v>
      </c>
      <c r="U193" s="7" t="s">
        <v>1037</v>
      </c>
    </row>
    <row r="194" spans="1:21" s="74" customFormat="1" ht="16.5" thickBot="1">
      <c r="A194" s="50" t="s">
        <v>35</v>
      </c>
      <c r="B194" s="51">
        <f t="shared" si="9"/>
        <v>65</v>
      </c>
      <c r="C194" s="51" t="s">
        <v>3</v>
      </c>
      <c r="D194" s="51">
        <f t="shared" si="10"/>
        <v>300</v>
      </c>
      <c r="E194" s="51" t="s">
        <v>3</v>
      </c>
      <c r="F194" s="110">
        <f t="shared" si="11"/>
        <v>2000</v>
      </c>
      <c r="G194" s="51" t="s">
        <v>3</v>
      </c>
      <c r="H194" s="48">
        <v>2</v>
      </c>
      <c r="I194" s="49" t="s">
        <v>45</v>
      </c>
      <c r="J194" s="184">
        <v>65</v>
      </c>
      <c r="K194" s="113">
        <v>300</v>
      </c>
      <c r="L194" s="113">
        <v>2000</v>
      </c>
      <c r="M194" s="185">
        <v>16.397328724652141</v>
      </c>
      <c r="N194" s="75">
        <v>462.71581216196688</v>
      </c>
      <c r="O194" s="121">
        <v>23807.837620002381</v>
      </c>
      <c r="P194" s="121">
        <v>29156.980006311307</v>
      </c>
      <c r="Q194" s="120">
        <v>19447.50337534463</v>
      </c>
      <c r="R194" s="314">
        <v>43255.340995347011</v>
      </c>
      <c r="S194" s="315">
        <v>48604.48338165594</v>
      </c>
      <c r="U194" s="7" t="s">
        <v>1038</v>
      </c>
    </row>
    <row r="195" spans="1:21" s="74" customFormat="1" ht="16.5" thickBot="1">
      <c r="A195" s="50" t="s">
        <v>35</v>
      </c>
      <c r="B195" s="51">
        <f t="shared" si="9"/>
        <v>65</v>
      </c>
      <c r="C195" s="51" t="s">
        <v>3</v>
      </c>
      <c r="D195" s="51">
        <f t="shared" si="10"/>
        <v>300</v>
      </c>
      <c r="E195" s="51" t="s">
        <v>3</v>
      </c>
      <c r="F195" s="110">
        <f t="shared" si="11"/>
        <v>2050</v>
      </c>
      <c r="G195" s="51" t="s">
        <v>3</v>
      </c>
      <c r="H195" s="48">
        <v>2</v>
      </c>
      <c r="I195" s="49" t="s">
        <v>45</v>
      </c>
      <c r="J195" s="184">
        <v>65</v>
      </c>
      <c r="K195" s="113">
        <v>300</v>
      </c>
      <c r="L195" s="113">
        <v>2050</v>
      </c>
      <c r="M195" s="185">
        <v>16.780035581317858</v>
      </c>
      <c r="N195" s="75">
        <v>476.73750343960228</v>
      </c>
      <c r="O195" s="121">
        <v>24246.69997072253</v>
      </c>
      <c r="P195" s="121">
        <v>29716.784780730533</v>
      </c>
      <c r="Q195" s="120">
        <v>19931.793227548991</v>
      </c>
      <c r="R195" s="314">
        <v>44178.493198271521</v>
      </c>
      <c r="S195" s="315">
        <v>49648.578008279525</v>
      </c>
      <c r="U195" s="7" t="s">
        <v>1039</v>
      </c>
    </row>
    <row r="196" spans="1:21" s="74" customFormat="1" ht="16.5" thickBot="1">
      <c r="A196" s="47" t="s">
        <v>35</v>
      </c>
      <c r="B196" s="48">
        <f t="shared" si="9"/>
        <v>65</v>
      </c>
      <c r="C196" s="48" t="s">
        <v>3</v>
      </c>
      <c r="D196" s="48">
        <f t="shared" si="10"/>
        <v>300</v>
      </c>
      <c r="E196" s="48" t="s">
        <v>3</v>
      </c>
      <c r="F196" s="110">
        <f t="shared" si="11"/>
        <v>2100</v>
      </c>
      <c r="G196" s="48" t="s">
        <v>3</v>
      </c>
      <c r="H196" s="48">
        <v>2</v>
      </c>
      <c r="I196" s="49" t="s">
        <v>45</v>
      </c>
      <c r="J196" s="184">
        <v>65</v>
      </c>
      <c r="K196" s="113">
        <v>300</v>
      </c>
      <c r="L196" s="113">
        <v>2100</v>
      </c>
      <c r="M196" s="185">
        <v>17.162742437983574</v>
      </c>
      <c r="N196" s="75">
        <v>490.75919471723762</v>
      </c>
      <c r="O196" s="121">
        <v>24685.562321442678</v>
      </c>
      <c r="P196" s="121">
        <v>30276.58955514976</v>
      </c>
      <c r="Q196" s="120">
        <v>20416.082939359992</v>
      </c>
      <c r="R196" s="314">
        <v>45101.645260802674</v>
      </c>
      <c r="S196" s="315">
        <v>50692.672494509752</v>
      </c>
      <c r="U196" s="7" t="s">
        <v>1040</v>
      </c>
    </row>
    <row r="197" spans="1:21" s="74" customFormat="1" ht="16.5" thickBot="1">
      <c r="A197" s="50" t="s">
        <v>35</v>
      </c>
      <c r="B197" s="51">
        <f t="shared" si="9"/>
        <v>65</v>
      </c>
      <c r="C197" s="51" t="s">
        <v>3</v>
      </c>
      <c r="D197" s="51">
        <f t="shared" si="10"/>
        <v>300</v>
      </c>
      <c r="E197" s="51" t="s">
        <v>3</v>
      </c>
      <c r="F197" s="110">
        <f t="shared" si="11"/>
        <v>2150</v>
      </c>
      <c r="G197" s="51" t="s">
        <v>3</v>
      </c>
      <c r="H197" s="48">
        <v>2</v>
      </c>
      <c r="I197" s="49" t="s">
        <v>45</v>
      </c>
      <c r="J197" s="184">
        <v>65</v>
      </c>
      <c r="K197" s="113">
        <v>300</v>
      </c>
      <c r="L197" s="113">
        <v>2150</v>
      </c>
      <c r="M197" s="185">
        <v>17.545449294649288</v>
      </c>
      <c r="N197" s="75">
        <v>504.78088599487302</v>
      </c>
      <c r="O197" s="121">
        <v>25124.424672162833</v>
      </c>
      <c r="P197" s="121">
        <v>30836.394189175619</v>
      </c>
      <c r="Q197" s="120">
        <v>20900.372791564354</v>
      </c>
      <c r="R197" s="314">
        <v>46024.797463727184</v>
      </c>
      <c r="S197" s="315">
        <v>51736.766980739972</v>
      </c>
      <c r="U197" s="7" t="s">
        <v>1041</v>
      </c>
    </row>
    <row r="198" spans="1:21" s="74" customFormat="1" ht="16.5" thickBot="1">
      <c r="A198" s="50" t="s">
        <v>35</v>
      </c>
      <c r="B198" s="51">
        <f t="shared" si="9"/>
        <v>65</v>
      </c>
      <c r="C198" s="51" t="s">
        <v>3</v>
      </c>
      <c r="D198" s="51">
        <f t="shared" si="10"/>
        <v>300</v>
      </c>
      <c r="E198" s="51" t="s">
        <v>3</v>
      </c>
      <c r="F198" s="110">
        <f t="shared" si="11"/>
        <v>2200</v>
      </c>
      <c r="G198" s="51" t="s">
        <v>3</v>
      </c>
      <c r="H198" s="48">
        <v>2</v>
      </c>
      <c r="I198" s="49" t="s">
        <v>45</v>
      </c>
      <c r="J198" s="184">
        <v>65</v>
      </c>
      <c r="K198" s="113">
        <v>300</v>
      </c>
      <c r="L198" s="113">
        <v>2200</v>
      </c>
      <c r="M198" s="185">
        <v>17.928156151315001</v>
      </c>
      <c r="N198" s="75">
        <v>518.80257727250842</v>
      </c>
      <c r="O198" s="121">
        <v>25563.287022882982</v>
      </c>
      <c r="P198" s="121">
        <v>31396.198963594845</v>
      </c>
      <c r="Q198" s="120">
        <v>21384.662503375355</v>
      </c>
      <c r="R198" s="314">
        <v>46947.949526258337</v>
      </c>
      <c r="S198" s="315">
        <v>52780.8614669702</v>
      </c>
      <c r="U198" s="7" t="s">
        <v>1042</v>
      </c>
    </row>
    <row r="199" spans="1:21" s="74" customFormat="1" ht="16.5" thickBot="1">
      <c r="A199" s="50" t="s">
        <v>35</v>
      </c>
      <c r="B199" s="51">
        <f t="shared" si="9"/>
        <v>65</v>
      </c>
      <c r="C199" s="51" t="s">
        <v>3</v>
      </c>
      <c r="D199" s="51">
        <f t="shared" si="10"/>
        <v>300</v>
      </c>
      <c r="E199" s="51" t="s">
        <v>3</v>
      </c>
      <c r="F199" s="110">
        <f t="shared" si="11"/>
        <v>2250</v>
      </c>
      <c r="G199" s="51" t="s">
        <v>3</v>
      </c>
      <c r="H199" s="48">
        <v>2</v>
      </c>
      <c r="I199" s="49" t="s">
        <v>45</v>
      </c>
      <c r="J199" s="184">
        <v>65</v>
      </c>
      <c r="K199" s="113">
        <v>300</v>
      </c>
      <c r="L199" s="113">
        <v>2250</v>
      </c>
      <c r="M199" s="185">
        <v>18.310863007980718</v>
      </c>
      <c r="N199" s="75">
        <v>532.82426855014364</v>
      </c>
      <c r="O199" s="121">
        <v>26002.14937360313</v>
      </c>
      <c r="P199" s="121">
        <v>31956.003597620707</v>
      </c>
      <c r="Q199" s="120">
        <v>21868.952355579717</v>
      </c>
      <c r="R199" s="314">
        <v>47871.101729182847</v>
      </c>
      <c r="S199" s="315">
        <v>53824.95595320042</v>
      </c>
      <c r="U199" s="7" t="s">
        <v>1043</v>
      </c>
    </row>
    <row r="200" spans="1:21" s="74" customFormat="1" ht="16.5" thickBot="1">
      <c r="A200" s="50" t="s">
        <v>35</v>
      </c>
      <c r="B200" s="51">
        <f t="shared" si="9"/>
        <v>65</v>
      </c>
      <c r="C200" s="51" t="s">
        <v>3</v>
      </c>
      <c r="D200" s="51">
        <f t="shared" si="10"/>
        <v>300</v>
      </c>
      <c r="E200" s="51" t="s">
        <v>3</v>
      </c>
      <c r="F200" s="110">
        <f t="shared" si="11"/>
        <v>2300</v>
      </c>
      <c r="G200" s="51" t="s">
        <v>3</v>
      </c>
      <c r="H200" s="48">
        <v>2</v>
      </c>
      <c r="I200" s="49" t="s">
        <v>45</v>
      </c>
      <c r="J200" s="184">
        <v>65</v>
      </c>
      <c r="K200" s="113">
        <v>300</v>
      </c>
      <c r="L200" s="113">
        <v>2300</v>
      </c>
      <c r="M200" s="185">
        <v>18.693569864646427</v>
      </c>
      <c r="N200" s="75">
        <v>546.8459598277791</v>
      </c>
      <c r="O200" s="121">
        <v>26441.011724323278</v>
      </c>
      <c r="P200" s="121">
        <v>32515.80837203993</v>
      </c>
      <c r="Q200" s="120">
        <v>22353.242067390718</v>
      </c>
      <c r="R200" s="314">
        <v>48794.253791714</v>
      </c>
      <c r="S200" s="315">
        <v>54869.050439430648</v>
      </c>
      <c r="U200" s="7" t="s">
        <v>1044</v>
      </c>
    </row>
    <row r="201" spans="1:21" s="74" customFormat="1" ht="16.5" thickBot="1">
      <c r="A201" s="50" t="s">
        <v>35</v>
      </c>
      <c r="B201" s="51">
        <f t="shared" si="9"/>
        <v>65</v>
      </c>
      <c r="C201" s="51" t="s">
        <v>3</v>
      </c>
      <c r="D201" s="51">
        <f t="shared" si="10"/>
        <v>300</v>
      </c>
      <c r="E201" s="51" t="s">
        <v>3</v>
      </c>
      <c r="F201" s="110">
        <f t="shared" si="11"/>
        <v>2350</v>
      </c>
      <c r="G201" s="51" t="s">
        <v>3</v>
      </c>
      <c r="H201" s="48">
        <v>2</v>
      </c>
      <c r="I201" s="49" t="s">
        <v>45</v>
      </c>
      <c r="J201" s="184">
        <v>65</v>
      </c>
      <c r="K201" s="113">
        <v>300</v>
      </c>
      <c r="L201" s="113">
        <v>2350</v>
      </c>
      <c r="M201" s="185">
        <v>19.076276721312144</v>
      </c>
      <c r="N201" s="75">
        <v>560.86765110541444</v>
      </c>
      <c r="O201" s="121">
        <v>26879.874075043434</v>
      </c>
      <c r="P201" s="121">
        <v>33075.61314645916</v>
      </c>
      <c r="Q201" s="120">
        <v>22837.53191959508</v>
      </c>
      <c r="R201" s="314">
        <v>49717.40599463851</v>
      </c>
      <c r="S201" s="315">
        <v>55913.14506605424</v>
      </c>
      <c r="U201" s="7" t="s">
        <v>1045</v>
      </c>
    </row>
    <row r="202" spans="1:21" s="74" customFormat="1" ht="16.5" thickBot="1">
      <c r="A202" s="50" t="s">
        <v>35</v>
      </c>
      <c r="B202" s="51">
        <f t="shared" si="9"/>
        <v>65</v>
      </c>
      <c r="C202" s="51" t="s">
        <v>3</v>
      </c>
      <c r="D202" s="51">
        <f t="shared" si="10"/>
        <v>300</v>
      </c>
      <c r="E202" s="51" t="s">
        <v>3</v>
      </c>
      <c r="F202" s="110">
        <f t="shared" si="11"/>
        <v>2400</v>
      </c>
      <c r="G202" s="51" t="s">
        <v>3</v>
      </c>
      <c r="H202" s="48">
        <v>2</v>
      </c>
      <c r="I202" s="49" t="s">
        <v>45</v>
      </c>
      <c r="J202" s="184">
        <v>65</v>
      </c>
      <c r="K202" s="113">
        <v>300</v>
      </c>
      <c r="L202" s="113">
        <v>2400</v>
      </c>
      <c r="M202" s="185">
        <v>19.458983577977854</v>
      </c>
      <c r="N202" s="75">
        <v>574.88934238304978</v>
      </c>
      <c r="O202" s="121">
        <v>27318.736425763582</v>
      </c>
      <c r="P202" s="121">
        <v>33635.417780485019</v>
      </c>
      <c r="Q202" s="120">
        <v>23321.821631406081</v>
      </c>
      <c r="R202" s="314">
        <v>50640.558057169663</v>
      </c>
      <c r="S202" s="315">
        <v>56957.239411891103</v>
      </c>
      <c r="U202" s="7" t="s">
        <v>1046</v>
      </c>
    </row>
    <row r="203" spans="1:21" s="74" customFormat="1" ht="16.5" thickBot="1">
      <c r="A203" s="50" t="s">
        <v>35</v>
      </c>
      <c r="B203" s="51">
        <f t="shared" si="9"/>
        <v>65</v>
      </c>
      <c r="C203" s="51" t="s">
        <v>3</v>
      </c>
      <c r="D203" s="51">
        <f t="shared" si="10"/>
        <v>300</v>
      </c>
      <c r="E203" s="51" t="s">
        <v>3</v>
      </c>
      <c r="F203" s="110">
        <f t="shared" si="11"/>
        <v>2450</v>
      </c>
      <c r="G203" s="51" t="s">
        <v>3</v>
      </c>
      <c r="H203" s="48">
        <v>2</v>
      </c>
      <c r="I203" s="49" t="s">
        <v>45</v>
      </c>
      <c r="J203" s="184">
        <v>65</v>
      </c>
      <c r="K203" s="113">
        <v>300</v>
      </c>
      <c r="L203" s="113">
        <v>2450</v>
      </c>
      <c r="M203" s="185">
        <v>19.986255327443573</v>
      </c>
      <c r="N203" s="75">
        <v>588.91103366068523</v>
      </c>
      <c r="O203" s="121">
        <v>28436.246111079119</v>
      </c>
      <c r="P203" s="121">
        <v>34789.648332515972</v>
      </c>
      <c r="Q203" s="120">
        <v>23806.111483610443</v>
      </c>
      <c r="R203" s="314">
        <v>52242.357594689558</v>
      </c>
      <c r="S203" s="315">
        <v>58595.759816126418</v>
      </c>
      <c r="U203" s="7" t="s">
        <v>1047</v>
      </c>
    </row>
    <row r="204" spans="1:21" s="74" customFormat="1" ht="16.5" thickBot="1">
      <c r="A204" s="50" t="s">
        <v>35</v>
      </c>
      <c r="B204" s="51">
        <f t="shared" si="9"/>
        <v>65</v>
      </c>
      <c r="C204" s="51" t="s">
        <v>3</v>
      </c>
      <c r="D204" s="51">
        <f t="shared" si="10"/>
        <v>300</v>
      </c>
      <c r="E204" s="51" t="s">
        <v>3</v>
      </c>
      <c r="F204" s="110">
        <f t="shared" si="11"/>
        <v>2500</v>
      </c>
      <c r="G204" s="51" t="s">
        <v>3</v>
      </c>
      <c r="H204" s="48">
        <v>2</v>
      </c>
      <c r="I204" s="49" t="s">
        <v>45</v>
      </c>
      <c r="J204" s="184">
        <v>65</v>
      </c>
      <c r="K204" s="113">
        <v>300</v>
      </c>
      <c r="L204" s="113">
        <v>2500</v>
      </c>
      <c r="M204" s="185">
        <v>20.368962184109286</v>
      </c>
      <c r="N204" s="75">
        <v>602.93272493832046</v>
      </c>
      <c r="O204" s="121">
        <v>28875.108461799267</v>
      </c>
      <c r="P204" s="121">
        <v>35349.45296654183</v>
      </c>
      <c r="Q204" s="120">
        <v>24290.401195421444</v>
      </c>
      <c r="R204" s="314">
        <v>53165.509657220711</v>
      </c>
      <c r="S204" s="315">
        <v>59639.854161963274</v>
      </c>
      <c r="U204" s="7" t="s">
        <v>1048</v>
      </c>
    </row>
    <row r="205" spans="1:21" s="74" customFormat="1" ht="16.5" thickBot="1">
      <c r="A205" s="50" t="s">
        <v>35</v>
      </c>
      <c r="B205" s="51">
        <f t="shared" si="9"/>
        <v>65</v>
      </c>
      <c r="C205" s="51" t="s">
        <v>3</v>
      </c>
      <c r="D205" s="51">
        <f t="shared" si="10"/>
        <v>300</v>
      </c>
      <c r="E205" s="51" t="s">
        <v>3</v>
      </c>
      <c r="F205" s="110">
        <f t="shared" si="11"/>
        <v>2550</v>
      </c>
      <c r="G205" s="51" t="s">
        <v>3</v>
      </c>
      <c r="H205" s="48">
        <v>2</v>
      </c>
      <c r="I205" s="49" t="s">
        <v>45</v>
      </c>
      <c r="J205" s="184">
        <v>65</v>
      </c>
      <c r="K205" s="113">
        <v>300</v>
      </c>
      <c r="L205" s="113">
        <v>2550</v>
      </c>
      <c r="M205" s="185">
        <v>20.751669040774999</v>
      </c>
      <c r="N205" s="75">
        <v>616.95441621595592</v>
      </c>
      <c r="O205" s="121">
        <v>29313.970812519416</v>
      </c>
      <c r="P205" s="121">
        <v>35909.257740961053</v>
      </c>
      <c r="Q205" s="120">
        <v>24774.691047625805</v>
      </c>
      <c r="R205" s="314">
        <v>54088.661860145221</v>
      </c>
      <c r="S205" s="315">
        <v>60683.948788586858</v>
      </c>
      <c r="U205" s="7" t="s">
        <v>1049</v>
      </c>
    </row>
    <row r="206" spans="1:21" s="74" customFormat="1" ht="16.5" thickBot="1">
      <c r="A206" s="47" t="s">
        <v>35</v>
      </c>
      <c r="B206" s="48">
        <f t="shared" si="9"/>
        <v>65</v>
      </c>
      <c r="C206" s="48" t="s">
        <v>3</v>
      </c>
      <c r="D206" s="48">
        <f t="shared" si="10"/>
        <v>300</v>
      </c>
      <c r="E206" s="48" t="s">
        <v>3</v>
      </c>
      <c r="F206" s="110">
        <f t="shared" si="11"/>
        <v>2600</v>
      </c>
      <c r="G206" s="48" t="s">
        <v>3</v>
      </c>
      <c r="H206" s="48">
        <v>2</v>
      </c>
      <c r="I206" s="49" t="s">
        <v>45</v>
      </c>
      <c r="J206" s="184">
        <v>65</v>
      </c>
      <c r="K206" s="113">
        <v>300</v>
      </c>
      <c r="L206" s="113">
        <v>2600</v>
      </c>
      <c r="M206" s="185">
        <v>21.134375897440712</v>
      </c>
      <c r="N206" s="75">
        <v>630.97610749359126</v>
      </c>
      <c r="O206" s="121">
        <v>29752.833163239571</v>
      </c>
      <c r="P206" s="121">
        <v>36469.062515380283</v>
      </c>
      <c r="Q206" s="120">
        <v>25258.980759436807</v>
      </c>
      <c r="R206" s="314">
        <v>55011.813922676374</v>
      </c>
      <c r="S206" s="315">
        <v>61728.043274817086</v>
      </c>
      <c r="U206" s="7" t="s">
        <v>1050</v>
      </c>
    </row>
    <row r="207" spans="1:21" s="74" customFormat="1" ht="16.5" thickBot="1">
      <c r="A207" s="50" t="s">
        <v>35</v>
      </c>
      <c r="B207" s="51">
        <f t="shared" si="9"/>
        <v>65</v>
      </c>
      <c r="C207" s="51" t="s">
        <v>3</v>
      </c>
      <c r="D207" s="51">
        <f t="shared" si="10"/>
        <v>300</v>
      </c>
      <c r="E207" s="51" t="s">
        <v>3</v>
      </c>
      <c r="F207" s="110">
        <f t="shared" si="11"/>
        <v>2650</v>
      </c>
      <c r="G207" s="51" t="s">
        <v>3</v>
      </c>
      <c r="H207" s="48">
        <v>2</v>
      </c>
      <c r="I207" s="49" t="s">
        <v>45</v>
      </c>
      <c r="J207" s="184">
        <v>65</v>
      </c>
      <c r="K207" s="113">
        <v>300</v>
      </c>
      <c r="L207" s="113">
        <v>2650</v>
      </c>
      <c r="M207" s="185">
        <v>21.517082754106433</v>
      </c>
      <c r="N207" s="75">
        <v>644.9977987712266</v>
      </c>
      <c r="O207" s="121">
        <v>30191.695513959719</v>
      </c>
      <c r="P207" s="121">
        <v>37028.867149406149</v>
      </c>
      <c r="Q207" s="120">
        <v>25743.270611641168</v>
      </c>
      <c r="R207" s="314">
        <v>55934.966125600884</v>
      </c>
      <c r="S207" s="315">
        <v>62772.137761047314</v>
      </c>
      <c r="U207" s="7" t="s">
        <v>1051</v>
      </c>
    </row>
    <row r="208" spans="1:21" s="74" customFormat="1" ht="16.5" thickBot="1">
      <c r="A208" s="50" t="s">
        <v>35</v>
      </c>
      <c r="B208" s="51">
        <f t="shared" si="9"/>
        <v>65</v>
      </c>
      <c r="C208" s="51" t="s">
        <v>3</v>
      </c>
      <c r="D208" s="51">
        <f t="shared" si="10"/>
        <v>300</v>
      </c>
      <c r="E208" s="51" t="s">
        <v>3</v>
      </c>
      <c r="F208" s="110">
        <f t="shared" si="11"/>
        <v>2700</v>
      </c>
      <c r="G208" s="51" t="s">
        <v>3</v>
      </c>
      <c r="H208" s="48">
        <v>2</v>
      </c>
      <c r="I208" s="49" t="s">
        <v>45</v>
      </c>
      <c r="J208" s="184">
        <v>65</v>
      </c>
      <c r="K208" s="113">
        <v>300</v>
      </c>
      <c r="L208" s="113">
        <v>2700</v>
      </c>
      <c r="M208" s="185">
        <v>21.939039610772145</v>
      </c>
      <c r="N208" s="75">
        <v>659.01949004886194</v>
      </c>
      <c r="O208" s="121">
        <v>30676.429711156394</v>
      </c>
      <c r="P208" s="121">
        <v>37633.145452411394</v>
      </c>
      <c r="Q208" s="120">
        <v>26227.56032345217</v>
      </c>
      <c r="R208" s="314">
        <v>56903.990034608563</v>
      </c>
      <c r="S208" s="315">
        <v>63860.705775863564</v>
      </c>
      <c r="U208" s="7" t="s">
        <v>1052</v>
      </c>
    </row>
    <row r="209" spans="1:21" s="74" customFormat="1" ht="16.5" thickBot="1">
      <c r="A209" s="50" t="s">
        <v>35</v>
      </c>
      <c r="B209" s="51">
        <f t="shared" si="9"/>
        <v>65</v>
      </c>
      <c r="C209" s="51" t="s">
        <v>3</v>
      </c>
      <c r="D209" s="51">
        <f t="shared" si="10"/>
        <v>300</v>
      </c>
      <c r="E209" s="51" t="s">
        <v>3</v>
      </c>
      <c r="F209" s="110">
        <f t="shared" si="11"/>
        <v>2750</v>
      </c>
      <c r="G209" s="51" t="s">
        <v>3</v>
      </c>
      <c r="H209" s="48">
        <v>2</v>
      </c>
      <c r="I209" s="49" t="s">
        <v>45</v>
      </c>
      <c r="J209" s="184">
        <v>65</v>
      </c>
      <c r="K209" s="113">
        <v>300</v>
      </c>
      <c r="L209" s="113">
        <v>2750</v>
      </c>
      <c r="M209" s="185">
        <v>22.321746467437855</v>
      </c>
      <c r="N209" s="75">
        <v>673.04118132649728</v>
      </c>
      <c r="O209" s="121">
        <v>31115.292061876542</v>
      </c>
      <c r="P209" s="121">
        <v>38192.950226830617</v>
      </c>
      <c r="Q209" s="120">
        <v>26711.850175656393</v>
      </c>
      <c r="R209" s="314">
        <v>57827.142237532935</v>
      </c>
      <c r="S209" s="315">
        <v>64904.80040248701</v>
      </c>
      <c r="U209" s="7" t="s">
        <v>1053</v>
      </c>
    </row>
    <row r="210" spans="1:21" s="74" customFormat="1" ht="16.5" thickBot="1">
      <c r="A210" s="50" t="s">
        <v>35</v>
      </c>
      <c r="B210" s="51">
        <f t="shared" si="9"/>
        <v>65</v>
      </c>
      <c r="C210" s="51" t="s">
        <v>3</v>
      </c>
      <c r="D210" s="51">
        <f t="shared" si="10"/>
        <v>300</v>
      </c>
      <c r="E210" s="51" t="s">
        <v>3</v>
      </c>
      <c r="F210" s="110">
        <f t="shared" si="11"/>
        <v>2800</v>
      </c>
      <c r="G210" s="51" t="s">
        <v>3</v>
      </c>
      <c r="H210" s="48">
        <v>2</v>
      </c>
      <c r="I210" s="49" t="s">
        <v>45</v>
      </c>
      <c r="J210" s="184">
        <v>65</v>
      </c>
      <c r="K210" s="113">
        <v>300</v>
      </c>
      <c r="L210" s="113">
        <v>2800</v>
      </c>
      <c r="M210" s="185">
        <v>22.704453324103575</v>
      </c>
      <c r="N210" s="75">
        <v>687.06287260413274</v>
      </c>
      <c r="O210" s="121">
        <v>31554.154412596694</v>
      </c>
      <c r="P210" s="121">
        <v>38752.755001249847</v>
      </c>
      <c r="Q210" s="120">
        <v>27196.140027860896</v>
      </c>
      <c r="R210" s="314">
        <v>58750.29444045759</v>
      </c>
      <c r="S210" s="315">
        <v>65948.895029110747</v>
      </c>
      <c r="U210" s="7" t="s">
        <v>1054</v>
      </c>
    </row>
    <row r="211" spans="1:21" s="74" customFormat="1" ht="16.5" thickBot="1">
      <c r="A211" s="50" t="s">
        <v>35</v>
      </c>
      <c r="B211" s="51">
        <f t="shared" si="9"/>
        <v>65</v>
      </c>
      <c r="C211" s="51" t="s">
        <v>3</v>
      </c>
      <c r="D211" s="51">
        <f t="shared" si="10"/>
        <v>300</v>
      </c>
      <c r="E211" s="51" t="s">
        <v>3</v>
      </c>
      <c r="F211" s="110">
        <f t="shared" si="11"/>
        <v>2850</v>
      </c>
      <c r="G211" s="51" t="s">
        <v>3</v>
      </c>
      <c r="H211" s="48">
        <v>2</v>
      </c>
      <c r="I211" s="49" t="s">
        <v>45</v>
      </c>
      <c r="J211" s="184">
        <v>65</v>
      </c>
      <c r="K211" s="113">
        <v>300</v>
      </c>
      <c r="L211" s="113">
        <v>2850</v>
      </c>
      <c r="M211" s="185">
        <v>23.087160180769285</v>
      </c>
      <c r="N211" s="75">
        <v>701.08456388176808</v>
      </c>
      <c r="O211" s="121">
        <v>31993.016763316846</v>
      </c>
      <c r="P211" s="121">
        <v>39312.559635275706</v>
      </c>
      <c r="Q211" s="120">
        <v>27680.42973967189</v>
      </c>
      <c r="R211" s="314">
        <v>59673.446502988736</v>
      </c>
      <c r="S211" s="315">
        <v>66992.989374947589</v>
      </c>
      <c r="U211" s="7" t="s">
        <v>1055</v>
      </c>
    </row>
    <row r="212" spans="1:21" s="74" customFormat="1" ht="16.5" thickBot="1">
      <c r="A212" s="50" t="s">
        <v>35</v>
      </c>
      <c r="B212" s="51">
        <f t="shared" si="9"/>
        <v>65</v>
      </c>
      <c r="C212" s="51" t="s">
        <v>3</v>
      </c>
      <c r="D212" s="51">
        <f t="shared" si="10"/>
        <v>300</v>
      </c>
      <c r="E212" s="51" t="s">
        <v>3</v>
      </c>
      <c r="F212" s="110">
        <f t="shared" si="11"/>
        <v>2900</v>
      </c>
      <c r="G212" s="51" t="s">
        <v>3</v>
      </c>
      <c r="H212" s="48">
        <v>2</v>
      </c>
      <c r="I212" s="49" t="s">
        <v>45</v>
      </c>
      <c r="J212" s="184">
        <v>65</v>
      </c>
      <c r="K212" s="113">
        <v>300</v>
      </c>
      <c r="L212" s="113">
        <v>2900</v>
      </c>
      <c r="M212" s="185">
        <v>23.469867037434998</v>
      </c>
      <c r="N212" s="75">
        <v>715.1062551594033</v>
      </c>
      <c r="O212" s="121">
        <v>32431.879114036994</v>
      </c>
      <c r="P212" s="121">
        <v>39872.364409694928</v>
      </c>
      <c r="Q212" s="120">
        <v>28164.719591876255</v>
      </c>
      <c r="R212" s="314">
        <v>60596.598705913246</v>
      </c>
      <c r="S212" s="315">
        <v>68037.084001571187</v>
      </c>
      <c r="U212" s="7" t="s">
        <v>1056</v>
      </c>
    </row>
    <row r="213" spans="1:21" s="74" customFormat="1" ht="16.5" thickBot="1">
      <c r="A213" s="50" t="s">
        <v>35</v>
      </c>
      <c r="B213" s="51">
        <f t="shared" si="9"/>
        <v>65</v>
      </c>
      <c r="C213" s="51" t="s">
        <v>3</v>
      </c>
      <c r="D213" s="51">
        <f t="shared" si="10"/>
        <v>300</v>
      </c>
      <c r="E213" s="51" t="s">
        <v>3</v>
      </c>
      <c r="F213" s="110">
        <f t="shared" si="11"/>
        <v>2950</v>
      </c>
      <c r="G213" s="51" t="s">
        <v>3</v>
      </c>
      <c r="H213" s="48">
        <v>2</v>
      </c>
      <c r="I213" s="49" t="s">
        <v>45</v>
      </c>
      <c r="J213" s="184">
        <v>65</v>
      </c>
      <c r="K213" s="113">
        <v>300</v>
      </c>
      <c r="L213" s="113">
        <v>2950</v>
      </c>
      <c r="M213" s="185">
        <v>23.852573894100711</v>
      </c>
      <c r="N213" s="75">
        <v>729.12794643703876</v>
      </c>
      <c r="O213" s="121">
        <v>32870.74146475715</v>
      </c>
      <c r="P213" s="121">
        <v>40432.169184114158</v>
      </c>
      <c r="Q213" s="120">
        <v>28649.009303687253</v>
      </c>
      <c r="R213" s="314">
        <v>61519.750768444399</v>
      </c>
      <c r="S213" s="315">
        <v>69081.178487801415</v>
      </c>
      <c r="U213" s="7" t="s">
        <v>1057</v>
      </c>
    </row>
    <row r="214" spans="1:21" s="74" customFormat="1" ht="16.5" thickBot="1">
      <c r="A214" s="52" t="s">
        <v>35</v>
      </c>
      <c r="B214" s="53">
        <f t="shared" si="9"/>
        <v>65</v>
      </c>
      <c r="C214" s="53" t="s">
        <v>3</v>
      </c>
      <c r="D214" s="53">
        <f t="shared" si="10"/>
        <v>300</v>
      </c>
      <c r="E214" s="53" t="s">
        <v>3</v>
      </c>
      <c r="F214" s="111">
        <f t="shared" si="11"/>
        <v>3000</v>
      </c>
      <c r="G214" s="53" t="s">
        <v>3</v>
      </c>
      <c r="H214" s="55">
        <v>2</v>
      </c>
      <c r="I214" s="54" t="s">
        <v>45</v>
      </c>
      <c r="J214" s="184">
        <v>65</v>
      </c>
      <c r="K214" s="157">
        <v>300</v>
      </c>
      <c r="L214" s="157">
        <v>3000</v>
      </c>
      <c r="M214" s="187">
        <v>24.235280750766428</v>
      </c>
      <c r="N214" s="147">
        <v>743.1496377146741</v>
      </c>
      <c r="O214" s="158">
        <v>33309.603815477298</v>
      </c>
      <c r="P214" s="158">
        <v>40991.973818140017</v>
      </c>
      <c r="Q214" s="159">
        <v>29133.299155891618</v>
      </c>
      <c r="R214" s="316">
        <v>62442.902971368916</v>
      </c>
      <c r="S214" s="317">
        <v>70125.272974031628</v>
      </c>
      <c r="U214" s="7" t="s">
        <v>1058</v>
      </c>
    </row>
    <row r="215" spans="1:21" s="74" customFormat="1" ht="16.5" thickBot="1">
      <c r="A215" s="2583" t="s">
        <v>135</v>
      </c>
      <c r="B215" s="2584"/>
      <c r="C215" s="2584"/>
      <c r="D215" s="2584"/>
      <c r="E215" s="2584"/>
      <c r="F215" s="2584"/>
      <c r="G215" s="2584"/>
      <c r="H215" s="2584"/>
      <c r="I215" s="2584"/>
      <c r="J215" s="2584"/>
      <c r="K215" s="2584"/>
      <c r="L215" s="2584"/>
      <c r="M215" s="2584"/>
      <c r="N215" s="2584"/>
      <c r="O215" s="2584"/>
      <c r="P215" s="2584"/>
      <c r="Q215" s="2584"/>
      <c r="R215" s="2584"/>
      <c r="S215" s="2585"/>
      <c r="U215" s="7"/>
    </row>
    <row r="216" spans="1:21" s="74" customFormat="1" ht="16.5" thickBot="1">
      <c r="A216" s="47" t="s">
        <v>35</v>
      </c>
      <c r="B216" s="48">
        <f>J216</f>
        <v>65</v>
      </c>
      <c r="C216" s="48" t="s">
        <v>3</v>
      </c>
      <c r="D216" s="48">
        <f>K216</f>
        <v>300</v>
      </c>
      <c r="E216" s="48" t="s">
        <v>3</v>
      </c>
      <c r="F216" s="110">
        <f>L216</f>
        <v>600</v>
      </c>
      <c r="G216" s="48" t="s">
        <v>3</v>
      </c>
      <c r="H216" s="48">
        <v>4</v>
      </c>
      <c r="I216" s="49" t="s">
        <v>45</v>
      </c>
      <c r="J216" s="181">
        <v>65</v>
      </c>
      <c r="K216" s="168">
        <v>300</v>
      </c>
      <c r="L216" s="168">
        <v>600</v>
      </c>
      <c r="M216" s="182">
        <v>5.8744232328671435</v>
      </c>
      <c r="N216" s="143">
        <v>93.8904</v>
      </c>
      <c r="O216" s="183">
        <v>12868.721792565302</v>
      </c>
      <c r="P216" s="183">
        <v>14798.107620901128</v>
      </c>
      <c r="Q216" s="169">
        <v>5887.3894791295515</v>
      </c>
      <c r="R216" s="312">
        <v>18756.111271694856</v>
      </c>
      <c r="S216" s="313">
        <v>20685.49710003068</v>
      </c>
      <c r="U216" s="7" t="s">
        <v>1059</v>
      </c>
    </row>
    <row r="217" spans="1:21" s="74" customFormat="1" ht="16.5" thickBot="1">
      <c r="A217" s="50" t="s">
        <v>35</v>
      </c>
      <c r="B217" s="51">
        <f t="shared" ref="B217:B264" si="12">J217</f>
        <v>65</v>
      </c>
      <c r="C217" s="51" t="s">
        <v>3</v>
      </c>
      <c r="D217" s="51">
        <f t="shared" ref="D217:D264" si="13">K217</f>
        <v>300</v>
      </c>
      <c r="E217" s="51" t="s">
        <v>3</v>
      </c>
      <c r="F217" s="110">
        <f t="shared" ref="F217:F264" si="14">L217</f>
        <v>650</v>
      </c>
      <c r="G217" s="51" t="s">
        <v>3</v>
      </c>
      <c r="H217" s="48">
        <v>4</v>
      </c>
      <c r="I217" s="49" t="s">
        <v>45</v>
      </c>
      <c r="J217" s="184">
        <v>65</v>
      </c>
      <c r="K217" s="113">
        <v>300</v>
      </c>
      <c r="L217" s="113">
        <v>650</v>
      </c>
      <c r="M217" s="185">
        <v>6.3237524794128577</v>
      </c>
      <c r="N217" s="75">
        <v>112.66848</v>
      </c>
      <c r="O217" s="121">
        <v>13515.473720707765</v>
      </c>
      <c r="P217" s="121">
        <v>15561.299276820566</v>
      </c>
      <c r="Q217" s="120">
        <v>6371.6793313339131</v>
      </c>
      <c r="R217" s="314">
        <v>19887.153052041678</v>
      </c>
      <c r="S217" s="315">
        <v>21932.978608154481</v>
      </c>
      <c r="U217" s="7" t="s">
        <v>1060</v>
      </c>
    </row>
    <row r="218" spans="1:21" s="74" customFormat="1" ht="16.5" thickBot="1">
      <c r="A218" s="50" t="s">
        <v>35</v>
      </c>
      <c r="B218" s="51">
        <f t="shared" si="12"/>
        <v>65</v>
      </c>
      <c r="C218" s="51" t="s">
        <v>3</v>
      </c>
      <c r="D218" s="51">
        <f t="shared" si="13"/>
        <v>300</v>
      </c>
      <c r="E218" s="51" t="s">
        <v>3</v>
      </c>
      <c r="F218" s="110">
        <f t="shared" si="14"/>
        <v>700</v>
      </c>
      <c r="G218" s="51" t="s">
        <v>3</v>
      </c>
      <c r="H218" s="48">
        <v>4</v>
      </c>
      <c r="I218" s="49" t="s">
        <v>45</v>
      </c>
      <c r="J218" s="184">
        <v>65</v>
      </c>
      <c r="K218" s="113">
        <v>300</v>
      </c>
      <c r="L218" s="113">
        <v>700</v>
      </c>
      <c r="M218" s="185">
        <v>6.7730817259585718</v>
      </c>
      <c r="N218" s="75">
        <v>131.44656000000001</v>
      </c>
      <c r="O218" s="121">
        <v>14162.225508456866</v>
      </c>
      <c r="P218" s="121">
        <v>16324.490932740004</v>
      </c>
      <c r="Q218" s="120">
        <v>6855.9690431449135</v>
      </c>
      <c r="R218" s="314">
        <v>21018.19455160178</v>
      </c>
      <c r="S218" s="315">
        <v>23180.459975884918</v>
      </c>
      <c r="U218" s="7" t="s">
        <v>1061</v>
      </c>
    </row>
    <row r="219" spans="1:21" s="74" customFormat="1" ht="16.5" thickBot="1">
      <c r="A219" s="50" t="s">
        <v>35</v>
      </c>
      <c r="B219" s="51">
        <f t="shared" si="12"/>
        <v>65</v>
      </c>
      <c r="C219" s="51" t="s">
        <v>3</v>
      </c>
      <c r="D219" s="51">
        <f t="shared" si="13"/>
        <v>300</v>
      </c>
      <c r="E219" s="51" t="s">
        <v>3</v>
      </c>
      <c r="F219" s="110">
        <f t="shared" si="14"/>
        <v>750</v>
      </c>
      <c r="G219" s="51" t="s">
        <v>3</v>
      </c>
      <c r="H219" s="48">
        <v>4</v>
      </c>
      <c r="I219" s="49" t="s">
        <v>45</v>
      </c>
      <c r="J219" s="184">
        <v>65</v>
      </c>
      <c r="K219" s="113">
        <v>300</v>
      </c>
      <c r="L219" s="113">
        <v>750</v>
      </c>
      <c r="M219" s="185">
        <v>7.2224109725042851</v>
      </c>
      <c r="N219" s="75">
        <v>150.22463999999999</v>
      </c>
      <c r="O219" s="121">
        <v>14808.977436599329</v>
      </c>
      <c r="P219" s="121">
        <v>17087.682448266078</v>
      </c>
      <c r="Q219" s="120">
        <v>7340.2588953492768</v>
      </c>
      <c r="R219" s="314">
        <v>22149.236331948607</v>
      </c>
      <c r="S219" s="315">
        <v>24427.941343615355</v>
      </c>
      <c r="U219" s="7" t="s">
        <v>1062</v>
      </c>
    </row>
    <row r="220" spans="1:21" s="74" customFormat="1" ht="16.5" thickBot="1">
      <c r="A220" s="50" t="s">
        <v>35</v>
      </c>
      <c r="B220" s="51">
        <f t="shared" si="12"/>
        <v>65</v>
      </c>
      <c r="C220" s="51" t="s">
        <v>3</v>
      </c>
      <c r="D220" s="51">
        <f t="shared" si="13"/>
        <v>300</v>
      </c>
      <c r="E220" s="51" t="s">
        <v>3</v>
      </c>
      <c r="F220" s="110">
        <f t="shared" si="14"/>
        <v>800</v>
      </c>
      <c r="G220" s="51" t="s">
        <v>3</v>
      </c>
      <c r="H220" s="48">
        <v>4</v>
      </c>
      <c r="I220" s="49" t="s">
        <v>45</v>
      </c>
      <c r="J220" s="184">
        <v>65</v>
      </c>
      <c r="K220" s="113">
        <v>300</v>
      </c>
      <c r="L220" s="113">
        <v>800</v>
      </c>
      <c r="M220" s="185">
        <v>7.6717402190499993</v>
      </c>
      <c r="N220" s="75">
        <v>169.00272000000001</v>
      </c>
      <c r="O220" s="121">
        <v>15455.729364741792</v>
      </c>
      <c r="P220" s="121">
        <v>17850.874104185517</v>
      </c>
      <c r="Q220" s="120">
        <v>7824.5486071602763</v>
      </c>
      <c r="R220" s="314">
        <v>23280.277971902069</v>
      </c>
      <c r="S220" s="315">
        <v>25675.422711345793</v>
      </c>
      <c r="U220" s="7" t="s">
        <v>1063</v>
      </c>
    </row>
    <row r="221" spans="1:21" s="74" customFormat="1" ht="16.5" thickBot="1">
      <c r="A221" s="50" t="s">
        <v>35</v>
      </c>
      <c r="B221" s="51">
        <f t="shared" si="12"/>
        <v>65</v>
      </c>
      <c r="C221" s="51" t="s">
        <v>3</v>
      </c>
      <c r="D221" s="51">
        <f t="shared" si="13"/>
        <v>300</v>
      </c>
      <c r="E221" s="51" t="s">
        <v>3</v>
      </c>
      <c r="F221" s="110">
        <f t="shared" si="14"/>
        <v>850</v>
      </c>
      <c r="G221" s="51" t="s">
        <v>3</v>
      </c>
      <c r="H221" s="48">
        <v>4</v>
      </c>
      <c r="I221" s="49" t="s">
        <v>45</v>
      </c>
      <c r="J221" s="184">
        <v>65</v>
      </c>
      <c r="K221" s="113">
        <v>300</v>
      </c>
      <c r="L221" s="113">
        <v>850</v>
      </c>
      <c r="M221" s="185">
        <v>8.1210694655957134</v>
      </c>
      <c r="N221" s="75">
        <v>187.7808</v>
      </c>
      <c r="O221" s="121">
        <v>16102.481292884253</v>
      </c>
      <c r="P221" s="121">
        <v>18614.065760104953</v>
      </c>
      <c r="Q221" s="120">
        <v>8308.8384593646388</v>
      </c>
      <c r="R221" s="314">
        <v>24411.319752248892</v>
      </c>
      <c r="S221" s="315">
        <v>26922.904219469594</v>
      </c>
      <c r="U221" s="7" t="s">
        <v>1064</v>
      </c>
    </row>
    <row r="222" spans="1:21" s="74" customFormat="1" ht="16.5" thickBot="1">
      <c r="A222" s="50" t="s">
        <v>35</v>
      </c>
      <c r="B222" s="51">
        <f t="shared" si="12"/>
        <v>65</v>
      </c>
      <c r="C222" s="51" t="s">
        <v>3</v>
      </c>
      <c r="D222" s="51">
        <f t="shared" si="13"/>
        <v>300</v>
      </c>
      <c r="E222" s="51" t="s">
        <v>3</v>
      </c>
      <c r="F222" s="110">
        <f t="shared" si="14"/>
        <v>900</v>
      </c>
      <c r="G222" s="51" t="s">
        <v>3</v>
      </c>
      <c r="H222" s="48">
        <v>4</v>
      </c>
      <c r="I222" s="49" t="s">
        <v>45</v>
      </c>
      <c r="J222" s="184">
        <v>65</v>
      </c>
      <c r="K222" s="113">
        <v>300</v>
      </c>
      <c r="L222" s="113">
        <v>900</v>
      </c>
      <c r="M222" s="185">
        <v>8.5703987121414293</v>
      </c>
      <c r="N222" s="75">
        <v>206.55888000000002</v>
      </c>
      <c r="O222" s="121">
        <v>16749.233080633352</v>
      </c>
      <c r="P222" s="121">
        <v>19377.257416024389</v>
      </c>
      <c r="Q222" s="120">
        <v>8793.1281711756401</v>
      </c>
      <c r="R222" s="314">
        <v>25542.361251808994</v>
      </c>
      <c r="S222" s="315">
        <v>28170.385587200028</v>
      </c>
      <c r="U222" s="7" t="s">
        <v>1065</v>
      </c>
    </row>
    <row r="223" spans="1:21" s="74" customFormat="1" ht="16.5" thickBot="1">
      <c r="A223" s="50" t="s">
        <v>35</v>
      </c>
      <c r="B223" s="51">
        <f t="shared" si="12"/>
        <v>65</v>
      </c>
      <c r="C223" s="51" t="s">
        <v>3</v>
      </c>
      <c r="D223" s="51">
        <f t="shared" si="13"/>
        <v>300</v>
      </c>
      <c r="E223" s="51" t="s">
        <v>3</v>
      </c>
      <c r="F223" s="110">
        <f t="shared" si="14"/>
        <v>950</v>
      </c>
      <c r="G223" s="51" t="s">
        <v>3</v>
      </c>
      <c r="H223" s="48">
        <v>4</v>
      </c>
      <c r="I223" s="49" t="s">
        <v>45</v>
      </c>
      <c r="J223" s="184">
        <v>65</v>
      </c>
      <c r="K223" s="113">
        <v>300</v>
      </c>
      <c r="L223" s="113">
        <v>950</v>
      </c>
      <c r="M223" s="185">
        <v>9.0197279586871417</v>
      </c>
      <c r="N223" s="75">
        <v>225.33696</v>
      </c>
      <c r="O223" s="121">
        <v>17395.985008775813</v>
      </c>
      <c r="P223" s="121">
        <v>20140.449071943829</v>
      </c>
      <c r="Q223" s="120">
        <v>9277.4180233800016</v>
      </c>
      <c r="R223" s="314">
        <v>26673.403032155817</v>
      </c>
      <c r="S223" s="315">
        <v>29417.867095323832</v>
      </c>
      <c r="U223" s="7" t="s">
        <v>1066</v>
      </c>
    </row>
    <row r="224" spans="1:21" s="74" customFormat="1" ht="16.5" thickBot="1">
      <c r="A224" s="50" t="s">
        <v>35</v>
      </c>
      <c r="B224" s="51">
        <f t="shared" si="12"/>
        <v>65</v>
      </c>
      <c r="C224" s="51" t="s">
        <v>3</v>
      </c>
      <c r="D224" s="51">
        <f t="shared" si="13"/>
        <v>300</v>
      </c>
      <c r="E224" s="51" t="s">
        <v>3</v>
      </c>
      <c r="F224" s="110">
        <f t="shared" si="14"/>
        <v>1000</v>
      </c>
      <c r="G224" s="51" t="s">
        <v>3</v>
      </c>
      <c r="H224" s="48">
        <v>4</v>
      </c>
      <c r="I224" s="49" t="s">
        <v>45</v>
      </c>
      <c r="J224" s="184">
        <v>65</v>
      </c>
      <c r="K224" s="113">
        <v>300</v>
      </c>
      <c r="L224" s="113">
        <v>1000</v>
      </c>
      <c r="M224" s="185">
        <v>9.4690572052328559</v>
      </c>
      <c r="N224" s="75">
        <v>244.11503999999999</v>
      </c>
      <c r="O224" s="121">
        <v>18042.736936918282</v>
      </c>
      <c r="P224" s="121">
        <v>20903.640727863269</v>
      </c>
      <c r="Q224" s="120">
        <v>9761.7077351910029</v>
      </c>
      <c r="R224" s="314">
        <v>27804.444672109283</v>
      </c>
      <c r="S224" s="315">
        <v>30665.348463054273</v>
      </c>
      <c r="U224" s="7" t="s">
        <v>1067</v>
      </c>
    </row>
    <row r="225" spans="1:21" s="74" customFormat="1" ht="16.5" thickBot="1">
      <c r="A225" s="50" t="s">
        <v>35</v>
      </c>
      <c r="B225" s="51">
        <f t="shared" si="12"/>
        <v>65</v>
      </c>
      <c r="C225" s="51" t="s">
        <v>3</v>
      </c>
      <c r="D225" s="51">
        <f t="shared" si="13"/>
        <v>300</v>
      </c>
      <c r="E225" s="51" t="s">
        <v>3</v>
      </c>
      <c r="F225" s="110">
        <f t="shared" si="14"/>
        <v>1050</v>
      </c>
      <c r="G225" s="51" t="s">
        <v>3</v>
      </c>
      <c r="H225" s="48">
        <v>4</v>
      </c>
      <c r="I225" s="49" t="s">
        <v>45</v>
      </c>
      <c r="J225" s="184">
        <v>65</v>
      </c>
      <c r="K225" s="113">
        <v>300</v>
      </c>
      <c r="L225" s="113">
        <v>1050</v>
      </c>
      <c r="M225" s="185">
        <v>9.91838645177857</v>
      </c>
      <c r="N225" s="75">
        <v>262.89312000000001</v>
      </c>
      <c r="O225" s="121">
        <v>18689.488865060743</v>
      </c>
      <c r="P225" s="121">
        <v>21666.832383782705</v>
      </c>
      <c r="Q225" s="120">
        <v>10245.997587395364</v>
      </c>
      <c r="R225" s="314">
        <v>28935.486452456105</v>
      </c>
      <c r="S225" s="315">
        <v>31912.829971178071</v>
      </c>
      <c r="U225" s="7" t="s">
        <v>1068</v>
      </c>
    </row>
    <row r="226" spans="1:21" s="74" customFormat="1" ht="16.5" thickBot="1">
      <c r="A226" s="47" t="s">
        <v>35</v>
      </c>
      <c r="B226" s="48">
        <f t="shared" si="12"/>
        <v>65</v>
      </c>
      <c r="C226" s="48" t="s">
        <v>3</v>
      </c>
      <c r="D226" s="48">
        <f t="shared" si="13"/>
        <v>300</v>
      </c>
      <c r="E226" s="48" t="s">
        <v>3</v>
      </c>
      <c r="F226" s="110">
        <f t="shared" si="14"/>
        <v>1100</v>
      </c>
      <c r="G226" s="48" t="s">
        <v>3</v>
      </c>
      <c r="H226" s="48">
        <v>4</v>
      </c>
      <c r="I226" s="49" t="s">
        <v>45</v>
      </c>
      <c r="J226" s="184">
        <v>65</v>
      </c>
      <c r="K226" s="113">
        <v>300</v>
      </c>
      <c r="L226" s="113">
        <v>1100</v>
      </c>
      <c r="M226" s="185">
        <v>10.367715698324284</v>
      </c>
      <c r="N226" s="75">
        <v>281.6712</v>
      </c>
      <c r="O226" s="121">
        <v>19336.240793203204</v>
      </c>
      <c r="P226" s="121">
        <v>22430.023899308781</v>
      </c>
      <c r="Q226" s="120">
        <v>10730.287299206364</v>
      </c>
      <c r="R226" s="314">
        <v>30066.528092409568</v>
      </c>
      <c r="S226" s="315">
        <v>33160.311198515148</v>
      </c>
      <c r="U226" s="7" t="s">
        <v>1069</v>
      </c>
    </row>
    <row r="227" spans="1:21" s="74" customFormat="1" ht="16.5" thickBot="1">
      <c r="A227" s="50" t="s">
        <v>35</v>
      </c>
      <c r="B227" s="51">
        <f t="shared" si="12"/>
        <v>65</v>
      </c>
      <c r="C227" s="51" t="s">
        <v>3</v>
      </c>
      <c r="D227" s="51">
        <f t="shared" si="13"/>
        <v>300</v>
      </c>
      <c r="E227" s="51" t="s">
        <v>3</v>
      </c>
      <c r="F227" s="110">
        <f t="shared" si="14"/>
        <v>1150</v>
      </c>
      <c r="G227" s="51" t="s">
        <v>3</v>
      </c>
      <c r="H227" s="48">
        <v>4</v>
      </c>
      <c r="I227" s="49" t="s">
        <v>45</v>
      </c>
      <c r="J227" s="184">
        <v>65</v>
      </c>
      <c r="K227" s="113">
        <v>300</v>
      </c>
      <c r="L227" s="113">
        <v>1150</v>
      </c>
      <c r="M227" s="185">
        <v>10.817044944869998</v>
      </c>
      <c r="N227" s="75">
        <v>300.44927999999999</v>
      </c>
      <c r="O227" s="121">
        <v>19982.992580952305</v>
      </c>
      <c r="P227" s="121">
        <v>23193.215555228217</v>
      </c>
      <c r="Q227" s="120">
        <v>11214.577151410727</v>
      </c>
      <c r="R227" s="314">
        <v>31197.56973236303</v>
      </c>
      <c r="S227" s="315">
        <v>34407.792706638946</v>
      </c>
      <c r="U227" s="7" t="s">
        <v>1070</v>
      </c>
    </row>
    <row r="228" spans="1:21" s="74" customFormat="1" ht="16.5" thickBot="1">
      <c r="A228" s="50" t="s">
        <v>35</v>
      </c>
      <c r="B228" s="51">
        <f t="shared" si="12"/>
        <v>65</v>
      </c>
      <c r="C228" s="51" t="s">
        <v>3</v>
      </c>
      <c r="D228" s="51">
        <f t="shared" si="13"/>
        <v>300</v>
      </c>
      <c r="E228" s="51" t="s">
        <v>3</v>
      </c>
      <c r="F228" s="110">
        <f t="shared" si="14"/>
        <v>1200</v>
      </c>
      <c r="G228" s="51" t="s">
        <v>3</v>
      </c>
      <c r="H228" s="48">
        <v>4</v>
      </c>
      <c r="I228" s="49" t="s">
        <v>45</v>
      </c>
      <c r="J228" s="184">
        <v>65</v>
      </c>
      <c r="K228" s="113">
        <v>300</v>
      </c>
      <c r="L228" s="113">
        <v>1200</v>
      </c>
      <c r="M228" s="185">
        <v>11.344874191415713</v>
      </c>
      <c r="N228" s="75">
        <v>319.22735999999998</v>
      </c>
      <c r="O228" s="121">
        <v>20706.898944996905</v>
      </c>
      <c r="P228" s="121">
        <v>24031.209917834556</v>
      </c>
      <c r="Q228" s="120">
        <v>11698.866863221729</v>
      </c>
      <c r="R228" s="314">
        <v>32405.765808218632</v>
      </c>
      <c r="S228" s="315">
        <v>35730.076781056283</v>
      </c>
      <c r="U228" s="7" t="s">
        <v>1071</v>
      </c>
    </row>
    <row r="229" spans="1:21" s="74" customFormat="1" ht="16.5" thickBot="1">
      <c r="A229" s="50" t="s">
        <v>35</v>
      </c>
      <c r="B229" s="51">
        <f t="shared" si="12"/>
        <v>65</v>
      </c>
      <c r="C229" s="51" t="s">
        <v>3</v>
      </c>
      <c r="D229" s="51">
        <f t="shared" si="13"/>
        <v>300</v>
      </c>
      <c r="E229" s="51" t="s">
        <v>3</v>
      </c>
      <c r="F229" s="110">
        <f t="shared" si="14"/>
        <v>1250</v>
      </c>
      <c r="G229" s="51" t="s">
        <v>3</v>
      </c>
      <c r="H229" s="48">
        <v>4</v>
      </c>
      <c r="I229" s="49" t="s">
        <v>45</v>
      </c>
      <c r="J229" s="184">
        <v>65</v>
      </c>
      <c r="K229" s="113">
        <v>300</v>
      </c>
      <c r="L229" s="113">
        <v>1250</v>
      </c>
      <c r="M229" s="185">
        <v>11.794203437961428</v>
      </c>
      <c r="N229" s="75">
        <v>338.00544000000002</v>
      </c>
      <c r="O229" s="121">
        <v>21353.650873139366</v>
      </c>
      <c r="P229" s="121">
        <v>24794.401573753992</v>
      </c>
      <c r="Q229" s="120">
        <v>12183.156715426092</v>
      </c>
      <c r="R229" s="314">
        <v>33536.807588565454</v>
      </c>
      <c r="S229" s="315">
        <v>36977.558289180088</v>
      </c>
      <c r="U229" s="7" t="s">
        <v>1072</v>
      </c>
    </row>
    <row r="230" spans="1:21" s="74" customFormat="1" ht="16.5" thickBot="1">
      <c r="A230" s="50" t="s">
        <v>35</v>
      </c>
      <c r="B230" s="51">
        <f t="shared" si="12"/>
        <v>65</v>
      </c>
      <c r="C230" s="51" t="s">
        <v>3</v>
      </c>
      <c r="D230" s="51">
        <f t="shared" si="13"/>
        <v>300</v>
      </c>
      <c r="E230" s="51" t="s">
        <v>3</v>
      </c>
      <c r="F230" s="110">
        <f t="shared" si="14"/>
        <v>1300</v>
      </c>
      <c r="G230" s="51" t="s">
        <v>3</v>
      </c>
      <c r="H230" s="48">
        <v>4</v>
      </c>
      <c r="I230" s="49" t="s">
        <v>45</v>
      </c>
      <c r="J230" s="184">
        <v>65</v>
      </c>
      <c r="K230" s="113">
        <v>300</v>
      </c>
      <c r="L230" s="113">
        <v>1300</v>
      </c>
      <c r="M230" s="185">
        <v>12.243532684507143</v>
      </c>
      <c r="N230" s="75">
        <v>356.78352000000001</v>
      </c>
      <c r="O230" s="121">
        <v>22000.402660888467</v>
      </c>
      <c r="P230" s="121">
        <v>25557.593089280068</v>
      </c>
      <c r="Q230" s="120">
        <v>12667.44642723709</v>
      </c>
      <c r="R230" s="314">
        <v>34667.849088125557</v>
      </c>
      <c r="S230" s="315">
        <v>38225.039516517158</v>
      </c>
      <c r="U230" s="7" t="s">
        <v>1073</v>
      </c>
    </row>
    <row r="231" spans="1:21" s="74" customFormat="1" ht="16.5" thickBot="1">
      <c r="A231" s="50" t="s">
        <v>35</v>
      </c>
      <c r="B231" s="51">
        <f t="shared" si="12"/>
        <v>65</v>
      </c>
      <c r="C231" s="51" t="s">
        <v>3</v>
      </c>
      <c r="D231" s="51">
        <f t="shared" si="13"/>
        <v>300</v>
      </c>
      <c r="E231" s="51" t="s">
        <v>3</v>
      </c>
      <c r="F231" s="110">
        <f t="shared" si="14"/>
        <v>1350</v>
      </c>
      <c r="G231" s="51" t="s">
        <v>3</v>
      </c>
      <c r="H231" s="48">
        <v>4</v>
      </c>
      <c r="I231" s="49" t="s">
        <v>45</v>
      </c>
      <c r="J231" s="184">
        <v>65</v>
      </c>
      <c r="K231" s="113">
        <v>300</v>
      </c>
      <c r="L231" s="113">
        <v>1350</v>
      </c>
      <c r="M231" s="185">
        <v>12.692861931052857</v>
      </c>
      <c r="N231" s="75">
        <v>375.5616</v>
      </c>
      <c r="O231" s="121">
        <v>22647.154589030928</v>
      </c>
      <c r="P231" s="121">
        <v>26320.784745199504</v>
      </c>
      <c r="Q231" s="120">
        <v>13151.736279441453</v>
      </c>
      <c r="R231" s="314">
        <v>35798.890868472379</v>
      </c>
      <c r="S231" s="315">
        <v>39472.521024640955</v>
      </c>
      <c r="U231" s="7" t="s">
        <v>1074</v>
      </c>
    </row>
    <row r="232" spans="1:21" s="74" customFormat="1" ht="16.5" thickBot="1">
      <c r="A232" s="50" t="s">
        <v>35</v>
      </c>
      <c r="B232" s="51">
        <f t="shared" si="12"/>
        <v>65</v>
      </c>
      <c r="C232" s="51" t="s">
        <v>3</v>
      </c>
      <c r="D232" s="51">
        <f t="shared" si="13"/>
        <v>300</v>
      </c>
      <c r="E232" s="51" t="s">
        <v>3</v>
      </c>
      <c r="F232" s="110">
        <f t="shared" si="14"/>
        <v>1400</v>
      </c>
      <c r="G232" s="51" t="s">
        <v>3</v>
      </c>
      <c r="H232" s="48">
        <v>4</v>
      </c>
      <c r="I232" s="49" t="s">
        <v>45</v>
      </c>
      <c r="J232" s="184">
        <v>65</v>
      </c>
      <c r="K232" s="113">
        <v>300</v>
      </c>
      <c r="L232" s="113">
        <v>1400</v>
      </c>
      <c r="M232" s="185">
        <v>13.142191177598573</v>
      </c>
      <c r="N232" s="75">
        <v>394.33967999999999</v>
      </c>
      <c r="O232" s="121">
        <v>23293.906517173393</v>
      </c>
      <c r="P232" s="121">
        <v>27083.976401118944</v>
      </c>
      <c r="Q232" s="120">
        <v>13636.025991252453</v>
      </c>
      <c r="R232" s="314">
        <v>36929.932508425845</v>
      </c>
      <c r="S232" s="315">
        <v>40720.002392371396</v>
      </c>
      <c r="U232" s="7" t="s">
        <v>1075</v>
      </c>
    </row>
    <row r="233" spans="1:21" s="74" customFormat="1" ht="16.5" thickBot="1">
      <c r="A233" s="50" t="s">
        <v>35</v>
      </c>
      <c r="B233" s="51">
        <f t="shared" si="12"/>
        <v>65</v>
      </c>
      <c r="C233" s="51" t="s">
        <v>3</v>
      </c>
      <c r="D233" s="51">
        <f t="shared" si="13"/>
        <v>300</v>
      </c>
      <c r="E233" s="51" t="s">
        <v>3</v>
      </c>
      <c r="F233" s="110">
        <f t="shared" si="14"/>
        <v>1450</v>
      </c>
      <c r="G233" s="51" t="s">
        <v>3</v>
      </c>
      <c r="H233" s="48">
        <v>4</v>
      </c>
      <c r="I233" s="49" t="s">
        <v>45</v>
      </c>
      <c r="J233" s="184">
        <v>65</v>
      </c>
      <c r="K233" s="113">
        <v>300</v>
      </c>
      <c r="L233" s="113">
        <v>1450</v>
      </c>
      <c r="M233" s="185">
        <v>13.591520424144285</v>
      </c>
      <c r="N233" s="75">
        <v>413.11776000000003</v>
      </c>
      <c r="O233" s="121">
        <v>23940.658445315854</v>
      </c>
      <c r="P233" s="121">
        <v>27847.16805703838</v>
      </c>
      <c r="Q233" s="120">
        <v>14120.315843456816</v>
      </c>
      <c r="R233" s="314">
        <v>38060.974288772668</v>
      </c>
      <c r="S233" s="315">
        <v>41967.483900495194</v>
      </c>
      <c r="U233" s="7" t="s">
        <v>1076</v>
      </c>
    </row>
    <row r="234" spans="1:21" s="74" customFormat="1" ht="16.5" thickBot="1">
      <c r="A234" s="50" t="s">
        <v>35</v>
      </c>
      <c r="B234" s="51">
        <f t="shared" si="12"/>
        <v>65</v>
      </c>
      <c r="C234" s="51" t="s">
        <v>3</v>
      </c>
      <c r="D234" s="51">
        <f t="shared" si="13"/>
        <v>300</v>
      </c>
      <c r="E234" s="51" t="s">
        <v>3</v>
      </c>
      <c r="F234" s="110">
        <f t="shared" si="14"/>
        <v>1500</v>
      </c>
      <c r="G234" s="51" t="s">
        <v>3</v>
      </c>
      <c r="H234" s="48">
        <v>4</v>
      </c>
      <c r="I234" s="49" t="s">
        <v>45</v>
      </c>
      <c r="J234" s="184">
        <v>65</v>
      </c>
      <c r="K234" s="113">
        <v>300</v>
      </c>
      <c r="L234" s="113">
        <v>1500</v>
      </c>
      <c r="M234" s="185">
        <v>14.185414563489999</v>
      </c>
      <c r="N234" s="75">
        <v>431.89583999999996</v>
      </c>
      <c r="O234" s="121">
        <v>25266.05756766034</v>
      </c>
      <c r="P234" s="121">
        <v>29204.785490569546</v>
      </c>
      <c r="Q234" s="120">
        <v>14604.605555267815</v>
      </c>
      <c r="R234" s="314">
        <v>39870.663122928156</v>
      </c>
      <c r="S234" s="315">
        <v>43809.391045837358</v>
      </c>
      <c r="U234" s="7" t="s">
        <v>1077</v>
      </c>
    </row>
    <row r="235" spans="1:21" s="74" customFormat="1" ht="16.5" thickBot="1">
      <c r="A235" s="50" t="s">
        <v>35</v>
      </c>
      <c r="B235" s="51">
        <f t="shared" si="12"/>
        <v>65</v>
      </c>
      <c r="C235" s="51" t="s">
        <v>3</v>
      </c>
      <c r="D235" s="51">
        <f t="shared" si="13"/>
        <v>300</v>
      </c>
      <c r="E235" s="51" t="s">
        <v>3</v>
      </c>
      <c r="F235" s="110">
        <f t="shared" si="14"/>
        <v>1550</v>
      </c>
      <c r="G235" s="51" t="s">
        <v>3</v>
      </c>
      <c r="H235" s="48">
        <v>4</v>
      </c>
      <c r="I235" s="49" t="s">
        <v>45</v>
      </c>
      <c r="J235" s="184">
        <v>65</v>
      </c>
      <c r="K235" s="113">
        <v>300</v>
      </c>
      <c r="L235" s="113">
        <v>1550</v>
      </c>
      <c r="M235" s="185">
        <v>14.634743810035715</v>
      </c>
      <c r="N235" s="75">
        <v>450.67392000000001</v>
      </c>
      <c r="O235" s="121">
        <v>25912.809495802805</v>
      </c>
      <c r="P235" s="121">
        <v>29967.977006095618</v>
      </c>
      <c r="Q235" s="120">
        <v>15088.895407472179</v>
      </c>
      <c r="R235" s="314">
        <v>41001.704903274986</v>
      </c>
      <c r="S235" s="315">
        <v>45056.872413567799</v>
      </c>
      <c r="U235" s="7" t="s">
        <v>1078</v>
      </c>
    </row>
    <row r="236" spans="1:21" s="74" customFormat="1" ht="16.5" thickBot="1">
      <c r="A236" s="47" t="s">
        <v>35</v>
      </c>
      <c r="B236" s="48">
        <f t="shared" si="12"/>
        <v>65</v>
      </c>
      <c r="C236" s="48" t="s">
        <v>3</v>
      </c>
      <c r="D236" s="48">
        <f t="shared" si="13"/>
        <v>300</v>
      </c>
      <c r="E236" s="48" t="s">
        <v>3</v>
      </c>
      <c r="F236" s="110">
        <f t="shared" si="14"/>
        <v>1600</v>
      </c>
      <c r="G236" s="48" t="s">
        <v>3</v>
      </c>
      <c r="H236" s="48">
        <v>4</v>
      </c>
      <c r="I236" s="49" t="s">
        <v>45</v>
      </c>
      <c r="J236" s="184">
        <v>65</v>
      </c>
      <c r="K236" s="113">
        <v>300</v>
      </c>
      <c r="L236" s="113">
        <v>1600</v>
      </c>
      <c r="M236" s="185">
        <v>15.084073056581428</v>
      </c>
      <c r="N236" s="75">
        <v>469.452</v>
      </c>
      <c r="O236" s="121">
        <v>26559.561423945266</v>
      </c>
      <c r="P236" s="121">
        <v>30731.168662015058</v>
      </c>
      <c r="Q236" s="120">
        <v>15573.185119283178</v>
      </c>
      <c r="R236" s="314">
        <v>42132.746543228444</v>
      </c>
      <c r="S236" s="315">
        <v>46304.353781298239</v>
      </c>
      <c r="U236" s="7" t="s">
        <v>1079</v>
      </c>
    </row>
    <row r="237" spans="1:21" s="74" customFormat="1" ht="16.5" thickBot="1">
      <c r="A237" s="50" t="s">
        <v>35</v>
      </c>
      <c r="B237" s="51">
        <f t="shared" si="12"/>
        <v>65</v>
      </c>
      <c r="C237" s="51" t="s">
        <v>3</v>
      </c>
      <c r="D237" s="51">
        <f t="shared" si="13"/>
        <v>300</v>
      </c>
      <c r="E237" s="51" t="s">
        <v>3</v>
      </c>
      <c r="F237" s="110">
        <f t="shared" si="14"/>
        <v>1650</v>
      </c>
      <c r="G237" s="51" t="s">
        <v>3</v>
      </c>
      <c r="H237" s="48">
        <v>4</v>
      </c>
      <c r="I237" s="49" t="s">
        <v>45</v>
      </c>
      <c r="J237" s="184">
        <v>65</v>
      </c>
      <c r="K237" s="113">
        <v>300</v>
      </c>
      <c r="L237" s="113">
        <v>1650</v>
      </c>
      <c r="M237" s="185">
        <v>15.533402303127142</v>
      </c>
      <c r="N237" s="75">
        <v>488.23007999999999</v>
      </c>
      <c r="O237" s="121">
        <v>27206.313211694367</v>
      </c>
      <c r="P237" s="121">
        <v>31494.360317934494</v>
      </c>
      <c r="Q237" s="120">
        <v>16057.474971487542</v>
      </c>
      <c r="R237" s="314">
        <v>43263.78818318191</v>
      </c>
      <c r="S237" s="315">
        <v>47551.835289422037</v>
      </c>
      <c r="U237" s="7" t="s">
        <v>1080</v>
      </c>
    </row>
    <row r="238" spans="1:21" s="74" customFormat="1" ht="16.5" thickBot="1">
      <c r="A238" s="50" t="s">
        <v>35</v>
      </c>
      <c r="B238" s="51">
        <f t="shared" si="12"/>
        <v>65</v>
      </c>
      <c r="C238" s="51" t="s">
        <v>3</v>
      </c>
      <c r="D238" s="51">
        <f t="shared" si="13"/>
        <v>300</v>
      </c>
      <c r="E238" s="51" t="s">
        <v>3</v>
      </c>
      <c r="F238" s="110">
        <f t="shared" si="14"/>
        <v>1700</v>
      </c>
      <c r="G238" s="51" t="s">
        <v>3</v>
      </c>
      <c r="H238" s="48">
        <v>4</v>
      </c>
      <c r="I238" s="49" t="s">
        <v>45</v>
      </c>
      <c r="J238" s="184">
        <v>65</v>
      </c>
      <c r="K238" s="113">
        <v>300</v>
      </c>
      <c r="L238" s="113">
        <v>1700</v>
      </c>
      <c r="M238" s="185">
        <v>15.982731549672859</v>
      </c>
      <c r="N238" s="75">
        <v>507.00816000000003</v>
      </c>
      <c r="O238" s="121">
        <v>27853.065139836832</v>
      </c>
      <c r="P238" s="121">
        <v>32257.55197385393</v>
      </c>
      <c r="Q238" s="120">
        <v>16541.764683298541</v>
      </c>
      <c r="R238" s="314">
        <v>44394.829823135369</v>
      </c>
      <c r="S238" s="315">
        <v>48799.316657152471</v>
      </c>
      <c r="U238" s="7" t="s">
        <v>1081</v>
      </c>
    </row>
    <row r="239" spans="1:21" s="74" customFormat="1" ht="16.5" thickBot="1">
      <c r="A239" s="50" t="s">
        <v>35</v>
      </c>
      <c r="B239" s="51">
        <f t="shared" si="12"/>
        <v>65</v>
      </c>
      <c r="C239" s="51" t="s">
        <v>3</v>
      </c>
      <c r="D239" s="51">
        <f t="shared" si="13"/>
        <v>300</v>
      </c>
      <c r="E239" s="51" t="s">
        <v>3</v>
      </c>
      <c r="F239" s="110">
        <f t="shared" si="14"/>
        <v>1750</v>
      </c>
      <c r="G239" s="51" t="s">
        <v>3</v>
      </c>
      <c r="H239" s="48">
        <v>4</v>
      </c>
      <c r="I239" s="49" t="s">
        <v>45</v>
      </c>
      <c r="J239" s="184">
        <v>65</v>
      </c>
      <c r="K239" s="113">
        <v>300</v>
      </c>
      <c r="L239" s="113">
        <v>1750</v>
      </c>
      <c r="M239" s="185">
        <v>16.432060796218572</v>
      </c>
      <c r="N239" s="75">
        <v>525.78624000000002</v>
      </c>
      <c r="O239" s="121">
        <v>28499.817067979293</v>
      </c>
      <c r="P239" s="121">
        <v>33020.743629773373</v>
      </c>
      <c r="Q239" s="120">
        <v>17026.054535502903</v>
      </c>
      <c r="R239" s="314">
        <v>45525.871603482199</v>
      </c>
      <c r="S239" s="315">
        <v>50046.798165276276</v>
      </c>
      <c r="U239" s="7" t="s">
        <v>1082</v>
      </c>
    </row>
    <row r="240" spans="1:21" s="74" customFormat="1" ht="16.5" thickBot="1">
      <c r="A240" s="50" t="s">
        <v>35</v>
      </c>
      <c r="B240" s="51">
        <f t="shared" si="12"/>
        <v>65</v>
      </c>
      <c r="C240" s="51" t="s">
        <v>3</v>
      </c>
      <c r="D240" s="51">
        <f t="shared" si="13"/>
        <v>300</v>
      </c>
      <c r="E240" s="51" t="s">
        <v>3</v>
      </c>
      <c r="F240" s="110">
        <f t="shared" si="14"/>
        <v>1800</v>
      </c>
      <c r="G240" s="51" t="s">
        <v>3</v>
      </c>
      <c r="H240" s="48">
        <v>4</v>
      </c>
      <c r="I240" s="49" t="s">
        <v>45</v>
      </c>
      <c r="J240" s="184">
        <v>65</v>
      </c>
      <c r="K240" s="113">
        <v>300</v>
      </c>
      <c r="L240" s="113">
        <v>1800</v>
      </c>
      <c r="M240" s="185">
        <v>16.881390042764284</v>
      </c>
      <c r="N240" s="75">
        <v>544.56431999999995</v>
      </c>
      <c r="O240" s="121">
        <v>29146.568996121758</v>
      </c>
      <c r="P240" s="121">
        <v>33783.935285692671</v>
      </c>
      <c r="Q240" s="120">
        <v>17510.344247313904</v>
      </c>
      <c r="R240" s="314">
        <v>46656.913243435658</v>
      </c>
      <c r="S240" s="315">
        <v>51294.279533006571</v>
      </c>
      <c r="U240" s="7" t="s">
        <v>1083</v>
      </c>
    </row>
    <row r="241" spans="1:21" s="74" customFormat="1" ht="16.5" thickBot="1">
      <c r="A241" s="50" t="s">
        <v>35</v>
      </c>
      <c r="B241" s="51">
        <f t="shared" si="12"/>
        <v>65</v>
      </c>
      <c r="C241" s="51" t="s">
        <v>3</v>
      </c>
      <c r="D241" s="51">
        <f t="shared" si="13"/>
        <v>300</v>
      </c>
      <c r="E241" s="51" t="s">
        <v>3</v>
      </c>
      <c r="F241" s="110">
        <f t="shared" si="14"/>
        <v>1850</v>
      </c>
      <c r="G241" s="51" t="s">
        <v>3</v>
      </c>
      <c r="H241" s="48">
        <v>4</v>
      </c>
      <c r="I241" s="49" t="s">
        <v>45</v>
      </c>
      <c r="J241" s="184">
        <v>65</v>
      </c>
      <c r="K241" s="113">
        <v>300</v>
      </c>
      <c r="L241" s="113">
        <v>1850</v>
      </c>
      <c r="M241" s="185">
        <v>17.33071928931</v>
      </c>
      <c r="N241" s="75">
        <v>563.3424</v>
      </c>
      <c r="O241" s="121">
        <v>29793.320924264219</v>
      </c>
      <c r="P241" s="121">
        <v>34547.126801218881</v>
      </c>
      <c r="Q241" s="120">
        <v>17994.634099518265</v>
      </c>
      <c r="R241" s="314">
        <v>47787.955023782488</v>
      </c>
      <c r="S241" s="315">
        <v>52541.76090073715</v>
      </c>
      <c r="U241" s="7" t="s">
        <v>1084</v>
      </c>
    </row>
    <row r="242" spans="1:21" s="74" customFormat="1" ht="16.5" thickBot="1">
      <c r="A242" s="50" t="s">
        <v>35</v>
      </c>
      <c r="B242" s="51">
        <f t="shared" si="12"/>
        <v>65</v>
      </c>
      <c r="C242" s="51" t="s">
        <v>3</v>
      </c>
      <c r="D242" s="51">
        <f t="shared" si="13"/>
        <v>300</v>
      </c>
      <c r="E242" s="51" t="s">
        <v>3</v>
      </c>
      <c r="F242" s="110">
        <f t="shared" si="14"/>
        <v>1900</v>
      </c>
      <c r="G242" s="51" t="s">
        <v>3</v>
      </c>
      <c r="H242" s="48">
        <v>4</v>
      </c>
      <c r="I242" s="49" t="s">
        <v>45</v>
      </c>
      <c r="J242" s="184">
        <v>65</v>
      </c>
      <c r="K242" s="113">
        <v>300</v>
      </c>
      <c r="L242" s="113">
        <v>1900</v>
      </c>
      <c r="M242" s="185">
        <v>17.780048535855716</v>
      </c>
      <c r="N242" s="75">
        <v>582.12048000000004</v>
      </c>
      <c r="O242" s="121">
        <v>30440.07271201332</v>
      </c>
      <c r="P242" s="121">
        <v>35310.318457138317</v>
      </c>
      <c r="Q242" s="120">
        <v>18478.923811329267</v>
      </c>
      <c r="R242" s="314">
        <v>48918.99652334259</v>
      </c>
      <c r="S242" s="315">
        <v>53789.242268467584</v>
      </c>
      <c r="U242" s="7" t="s">
        <v>1085</v>
      </c>
    </row>
    <row r="243" spans="1:21" s="74" customFormat="1" ht="16.5" thickBot="1">
      <c r="A243" s="50" t="s">
        <v>35</v>
      </c>
      <c r="B243" s="51">
        <f t="shared" si="12"/>
        <v>65</v>
      </c>
      <c r="C243" s="51" t="s">
        <v>3</v>
      </c>
      <c r="D243" s="51">
        <f t="shared" si="13"/>
        <v>300</v>
      </c>
      <c r="E243" s="51" t="s">
        <v>3</v>
      </c>
      <c r="F243" s="110">
        <f t="shared" si="14"/>
        <v>1950</v>
      </c>
      <c r="G243" s="51" t="s">
        <v>3</v>
      </c>
      <c r="H243" s="48">
        <v>4</v>
      </c>
      <c r="I243" s="49" t="s">
        <v>45</v>
      </c>
      <c r="J243" s="184">
        <v>65</v>
      </c>
      <c r="K243" s="113">
        <v>300</v>
      </c>
      <c r="L243" s="113">
        <v>1950</v>
      </c>
      <c r="M243" s="185">
        <v>18.30787778240143</v>
      </c>
      <c r="N243" s="75">
        <v>600.89855999999997</v>
      </c>
      <c r="O243" s="121">
        <v>31163.979076057916</v>
      </c>
      <c r="P243" s="121">
        <v>36148.312819744657</v>
      </c>
      <c r="Q243" s="120">
        <v>18963.213663533628</v>
      </c>
      <c r="R243" s="314">
        <v>50127.192739591541</v>
      </c>
      <c r="S243" s="315">
        <v>55111.526483278285</v>
      </c>
      <c r="U243" s="7" t="s">
        <v>1086</v>
      </c>
    </row>
    <row r="244" spans="1:21" s="74" customFormat="1" ht="16.5" thickBot="1">
      <c r="A244" s="50" t="s">
        <v>35</v>
      </c>
      <c r="B244" s="51">
        <f t="shared" si="12"/>
        <v>65</v>
      </c>
      <c r="C244" s="51" t="s">
        <v>3</v>
      </c>
      <c r="D244" s="51">
        <f t="shared" si="13"/>
        <v>300</v>
      </c>
      <c r="E244" s="51" t="s">
        <v>3</v>
      </c>
      <c r="F244" s="110">
        <f t="shared" si="14"/>
        <v>2000</v>
      </c>
      <c r="G244" s="51" t="s">
        <v>3</v>
      </c>
      <c r="H244" s="48">
        <v>4</v>
      </c>
      <c r="I244" s="49" t="s">
        <v>45</v>
      </c>
      <c r="J244" s="184">
        <v>65</v>
      </c>
      <c r="K244" s="113">
        <v>300</v>
      </c>
      <c r="L244" s="113">
        <v>2000</v>
      </c>
      <c r="M244" s="185">
        <v>18.848769428947143</v>
      </c>
      <c r="N244" s="75">
        <v>619.67664000000002</v>
      </c>
      <c r="O244" s="121">
        <v>32041.273893022244</v>
      </c>
      <c r="P244" s="121">
        <v>37212.815025541247</v>
      </c>
      <c r="Q244" s="120">
        <v>19447.50337534463</v>
      </c>
      <c r="R244" s="314">
        <v>51488.777268366874</v>
      </c>
      <c r="S244" s="315">
        <v>56660.318400885881</v>
      </c>
      <c r="U244" s="7" t="s">
        <v>1087</v>
      </c>
    </row>
    <row r="245" spans="1:21" s="74" customFormat="1" ht="16.5" thickBot="1">
      <c r="A245" s="50" t="s">
        <v>35</v>
      </c>
      <c r="B245" s="51">
        <f t="shared" si="12"/>
        <v>65</v>
      </c>
      <c r="C245" s="51" t="s">
        <v>3</v>
      </c>
      <c r="D245" s="51">
        <f t="shared" si="13"/>
        <v>300</v>
      </c>
      <c r="E245" s="51" t="s">
        <v>3</v>
      </c>
      <c r="F245" s="110">
        <f t="shared" si="14"/>
        <v>2050</v>
      </c>
      <c r="G245" s="51" t="s">
        <v>3</v>
      </c>
      <c r="H245" s="48">
        <v>4</v>
      </c>
      <c r="I245" s="49" t="s">
        <v>45</v>
      </c>
      <c r="J245" s="184">
        <v>65</v>
      </c>
      <c r="K245" s="113">
        <v>300</v>
      </c>
      <c r="L245" s="113">
        <v>2050</v>
      </c>
      <c r="M245" s="185">
        <v>19.298098675492856</v>
      </c>
      <c r="N245" s="75">
        <v>638.45471999999995</v>
      </c>
      <c r="O245" s="121">
        <v>32688.025821164705</v>
      </c>
      <c r="P245" s="121">
        <v>37976.006681460683</v>
      </c>
      <c r="Q245" s="120">
        <v>19931.793227548991</v>
      </c>
      <c r="R245" s="314">
        <v>52619.819048713696</v>
      </c>
      <c r="S245" s="315">
        <v>57907.799909009671</v>
      </c>
      <c r="U245" s="7" t="s">
        <v>1088</v>
      </c>
    </row>
    <row r="246" spans="1:21" s="74" customFormat="1" ht="16.5" thickBot="1">
      <c r="A246" s="47" t="s">
        <v>35</v>
      </c>
      <c r="B246" s="48">
        <f t="shared" si="12"/>
        <v>65</v>
      </c>
      <c r="C246" s="48" t="s">
        <v>3</v>
      </c>
      <c r="D246" s="48">
        <f t="shared" si="13"/>
        <v>300</v>
      </c>
      <c r="E246" s="48" t="s">
        <v>3</v>
      </c>
      <c r="F246" s="110">
        <f t="shared" si="14"/>
        <v>2100</v>
      </c>
      <c r="G246" s="48" t="s">
        <v>3</v>
      </c>
      <c r="H246" s="48">
        <v>4</v>
      </c>
      <c r="I246" s="49" t="s">
        <v>45</v>
      </c>
      <c r="J246" s="184">
        <v>65</v>
      </c>
      <c r="K246" s="113">
        <v>300</v>
      </c>
      <c r="L246" s="113">
        <v>2100</v>
      </c>
      <c r="M246" s="185">
        <v>19.747427922038568</v>
      </c>
      <c r="N246" s="75">
        <v>657.2328</v>
      </c>
      <c r="O246" s="121">
        <v>33334.77774930717</v>
      </c>
      <c r="P246" s="121">
        <v>38739.198196986763</v>
      </c>
      <c r="Q246" s="120">
        <v>20416.082939359992</v>
      </c>
      <c r="R246" s="314">
        <v>53750.860688667162</v>
      </c>
      <c r="S246" s="315">
        <v>59155.281136346755</v>
      </c>
      <c r="U246" s="7" t="s">
        <v>1089</v>
      </c>
    </row>
    <row r="247" spans="1:21" s="74" customFormat="1" ht="16.5" thickBot="1">
      <c r="A247" s="50" t="s">
        <v>35</v>
      </c>
      <c r="B247" s="51">
        <f t="shared" si="12"/>
        <v>65</v>
      </c>
      <c r="C247" s="51" t="s">
        <v>3</v>
      </c>
      <c r="D247" s="51">
        <f t="shared" si="13"/>
        <v>300</v>
      </c>
      <c r="E247" s="51" t="s">
        <v>3</v>
      </c>
      <c r="F247" s="110">
        <f t="shared" si="14"/>
        <v>2150</v>
      </c>
      <c r="G247" s="51" t="s">
        <v>3</v>
      </c>
      <c r="H247" s="48">
        <v>4</v>
      </c>
      <c r="I247" s="49" t="s">
        <v>45</v>
      </c>
      <c r="J247" s="184">
        <v>65</v>
      </c>
      <c r="K247" s="113">
        <v>300</v>
      </c>
      <c r="L247" s="113">
        <v>2150</v>
      </c>
      <c r="M247" s="185">
        <v>20.196757168584288</v>
      </c>
      <c r="N247" s="75">
        <v>676.01088000000004</v>
      </c>
      <c r="O247" s="121">
        <v>33981.529677449631</v>
      </c>
      <c r="P247" s="121">
        <v>39502.389852906192</v>
      </c>
      <c r="Q247" s="120">
        <v>20900.372791564354</v>
      </c>
      <c r="R247" s="314">
        <v>54881.902469013985</v>
      </c>
      <c r="S247" s="315">
        <v>60402.762644470546</v>
      </c>
      <c r="U247" s="7" t="s">
        <v>1090</v>
      </c>
    </row>
    <row r="248" spans="1:21" s="74" customFormat="1" ht="16.5" thickBot="1">
      <c r="A248" s="50" t="s">
        <v>35</v>
      </c>
      <c r="B248" s="51">
        <f t="shared" si="12"/>
        <v>65</v>
      </c>
      <c r="C248" s="51" t="s">
        <v>3</v>
      </c>
      <c r="D248" s="51">
        <f t="shared" si="13"/>
        <v>300</v>
      </c>
      <c r="E248" s="51" t="s">
        <v>3</v>
      </c>
      <c r="F248" s="110">
        <f t="shared" si="14"/>
        <v>2200</v>
      </c>
      <c r="G248" s="51" t="s">
        <v>3</v>
      </c>
      <c r="H248" s="48">
        <v>4</v>
      </c>
      <c r="I248" s="49" t="s">
        <v>45</v>
      </c>
      <c r="J248" s="184">
        <v>65</v>
      </c>
      <c r="K248" s="113">
        <v>300</v>
      </c>
      <c r="L248" s="113">
        <v>2200</v>
      </c>
      <c r="M248" s="185">
        <v>20.64608641513</v>
      </c>
      <c r="N248" s="75">
        <v>694.78895999999997</v>
      </c>
      <c r="O248" s="121">
        <v>34628.281605592099</v>
      </c>
      <c r="P248" s="121">
        <v>40265.581508825628</v>
      </c>
      <c r="Q248" s="120">
        <v>21384.662503375355</v>
      </c>
      <c r="R248" s="314">
        <v>56012.944108967451</v>
      </c>
      <c r="S248" s="315">
        <v>61650.244012200987</v>
      </c>
      <c r="U248" s="7" t="s">
        <v>1091</v>
      </c>
    </row>
    <row r="249" spans="1:21" s="74" customFormat="1" ht="16.5" thickBot="1">
      <c r="A249" s="50" t="s">
        <v>35</v>
      </c>
      <c r="B249" s="51">
        <f t="shared" si="12"/>
        <v>65</v>
      </c>
      <c r="C249" s="51" t="s">
        <v>3</v>
      </c>
      <c r="D249" s="51">
        <f t="shared" si="13"/>
        <v>300</v>
      </c>
      <c r="E249" s="51" t="s">
        <v>3</v>
      </c>
      <c r="F249" s="110">
        <f t="shared" si="14"/>
        <v>2250</v>
      </c>
      <c r="G249" s="51" t="s">
        <v>3</v>
      </c>
      <c r="H249" s="48">
        <v>4</v>
      </c>
      <c r="I249" s="49" t="s">
        <v>45</v>
      </c>
      <c r="J249" s="184">
        <v>65</v>
      </c>
      <c r="K249" s="113">
        <v>300</v>
      </c>
      <c r="L249" s="113">
        <v>2250</v>
      </c>
      <c r="M249" s="185">
        <v>21.095415661675716</v>
      </c>
      <c r="N249" s="75">
        <v>713.56704000000002</v>
      </c>
      <c r="O249" s="121">
        <v>35275.033393341197</v>
      </c>
      <c r="P249" s="121">
        <v>41028.773164745071</v>
      </c>
      <c r="Q249" s="120">
        <v>21868.952355579717</v>
      </c>
      <c r="R249" s="314">
        <v>57143.98574892091</v>
      </c>
      <c r="S249" s="315">
        <v>62897.725520324791</v>
      </c>
      <c r="U249" s="7" t="s">
        <v>1092</v>
      </c>
    </row>
    <row r="250" spans="1:21" s="74" customFormat="1" ht="16.5" thickBot="1">
      <c r="A250" s="50" t="s">
        <v>35</v>
      </c>
      <c r="B250" s="51">
        <f t="shared" si="12"/>
        <v>65</v>
      </c>
      <c r="C250" s="51" t="s">
        <v>3</v>
      </c>
      <c r="D250" s="51">
        <f t="shared" si="13"/>
        <v>300</v>
      </c>
      <c r="E250" s="51" t="s">
        <v>3</v>
      </c>
      <c r="F250" s="110">
        <f t="shared" si="14"/>
        <v>2300</v>
      </c>
      <c r="G250" s="51" t="s">
        <v>3</v>
      </c>
      <c r="H250" s="48">
        <v>4</v>
      </c>
      <c r="I250" s="49" t="s">
        <v>45</v>
      </c>
      <c r="J250" s="184">
        <v>65</v>
      </c>
      <c r="K250" s="113">
        <v>300</v>
      </c>
      <c r="L250" s="113">
        <v>2300</v>
      </c>
      <c r="M250" s="185">
        <v>21.544744908221432</v>
      </c>
      <c r="N250" s="75">
        <v>732.34511999999995</v>
      </c>
      <c r="O250" s="121">
        <v>35921.785321483658</v>
      </c>
      <c r="P250" s="121">
        <v>41791.964820664507</v>
      </c>
      <c r="Q250" s="120">
        <v>22353.242067390718</v>
      </c>
      <c r="R250" s="314">
        <v>58275.027388874376</v>
      </c>
      <c r="S250" s="315">
        <v>64145.206888055225</v>
      </c>
      <c r="U250" s="7" t="s">
        <v>1093</v>
      </c>
    </row>
    <row r="251" spans="1:21" s="74" customFormat="1" ht="16.5" thickBot="1">
      <c r="A251" s="50" t="s">
        <v>35</v>
      </c>
      <c r="B251" s="51">
        <f t="shared" si="12"/>
        <v>65</v>
      </c>
      <c r="C251" s="51" t="s">
        <v>3</v>
      </c>
      <c r="D251" s="51">
        <f t="shared" si="13"/>
        <v>300</v>
      </c>
      <c r="E251" s="51" t="s">
        <v>3</v>
      </c>
      <c r="F251" s="110">
        <f t="shared" si="14"/>
        <v>2350</v>
      </c>
      <c r="G251" s="51" t="s">
        <v>3</v>
      </c>
      <c r="H251" s="48">
        <v>4</v>
      </c>
      <c r="I251" s="49" t="s">
        <v>45</v>
      </c>
      <c r="J251" s="184">
        <v>65</v>
      </c>
      <c r="K251" s="113">
        <v>300</v>
      </c>
      <c r="L251" s="113">
        <v>2350</v>
      </c>
      <c r="M251" s="185">
        <v>21.994074154767144</v>
      </c>
      <c r="N251" s="75">
        <v>751.1232</v>
      </c>
      <c r="O251" s="121">
        <v>36568.537249626119</v>
      </c>
      <c r="P251" s="121">
        <v>42555.15647658395</v>
      </c>
      <c r="Q251" s="120">
        <v>22837.53191959508</v>
      </c>
      <c r="R251" s="314">
        <v>59406.069169221199</v>
      </c>
      <c r="S251" s="315">
        <v>65392.68839617903</v>
      </c>
      <c r="U251" s="7" t="s">
        <v>1094</v>
      </c>
    </row>
    <row r="252" spans="1:21" s="74" customFormat="1" ht="16.5" thickBot="1">
      <c r="A252" s="50" t="s">
        <v>35</v>
      </c>
      <c r="B252" s="51">
        <f t="shared" si="12"/>
        <v>65</v>
      </c>
      <c r="C252" s="51" t="s">
        <v>3</v>
      </c>
      <c r="D252" s="51">
        <f t="shared" si="13"/>
        <v>300</v>
      </c>
      <c r="E252" s="51" t="s">
        <v>3</v>
      </c>
      <c r="F252" s="110">
        <f t="shared" si="14"/>
        <v>2400</v>
      </c>
      <c r="G252" s="51" t="s">
        <v>3</v>
      </c>
      <c r="H252" s="48">
        <v>4</v>
      </c>
      <c r="I252" s="49" t="s">
        <v>45</v>
      </c>
      <c r="J252" s="184">
        <v>65</v>
      </c>
      <c r="K252" s="113">
        <v>300</v>
      </c>
      <c r="L252" s="113">
        <v>2400</v>
      </c>
      <c r="M252" s="185">
        <v>22.443403401312853</v>
      </c>
      <c r="N252" s="75">
        <v>769.90127999999993</v>
      </c>
      <c r="O252" s="121">
        <v>37215.28917776858</v>
      </c>
      <c r="P252" s="121">
        <v>43318.347992110022</v>
      </c>
      <c r="Q252" s="120">
        <v>23321.821631406081</v>
      </c>
      <c r="R252" s="314">
        <v>60537.110809174657</v>
      </c>
      <c r="S252" s="315">
        <v>66640.169623516107</v>
      </c>
      <c r="U252" s="7" t="s">
        <v>1095</v>
      </c>
    </row>
    <row r="253" spans="1:21" s="74" customFormat="1" ht="16.5" thickBot="1">
      <c r="A253" s="50" t="s">
        <v>35</v>
      </c>
      <c r="B253" s="51">
        <f t="shared" si="12"/>
        <v>65</v>
      </c>
      <c r="C253" s="51" t="s">
        <v>3</v>
      </c>
      <c r="D253" s="51">
        <f t="shared" si="13"/>
        <v>300</v>
      </c>
      <c r="E253" s="51" t="s">
        <v>3</v>
      </c>
      <c r="F253" s="110">
        <f t="shared" si="14"/>
        <v>2450</v>
      </c>
      <c r="G253" s="51" t="s">
        <v>3</v>
      </c>
      <c r="H253" s="48">
        <v>4</v>
      </c>
      <c r="I253" s="49" t="s">
        <v>45</v>
      </c>
      <c r="J253" s="184">
        <v>65</v>
      </c>
      <c r="K253" s="113">
        <v>300</v>
      </c>
      <c r="L253" s="113">
        <v>2450</v>
      </c>
      <c r="M253" s="185">
        <v>23.037297540658567</v>
      </c>
      <c r="N253" s="75">
        <v>788.67935999999997</v>
      </c>
      <c r="O253" s="121">
        <v>38540.68830011307</v>
      </c>
      <c r="P253" s="121">
        <v>44675.965425641189</v>
      </c>
      <c r="Q253" s="120">
        <v>23806.111483610443</v>
      </c>
      <c r="R253" s="314">
        <v>62346.799783723516</v>
      </c>
      <c r="S253" s="315">
        <v>68482.076909251628</v>
      </c>
      <c r="U253" s="7" t="s">
        <v>1096</v>
      </c>
    </row>
    <row r="254" spans="1:21" s="74" customFormat="1" ht="16.5" thickBot="1">
      <c r="A254" s="50" t="s">
        <v>35</v>
      </c>
      <c r="B254" s="51">
        <f t="shared" si="12"/>
        <v>65</v>
      </c>
      <c r="C254" s="51" t="s">
        <v>3</v>
      </c>
      <c r="D254" s="51">
        <f t="shared" si="13"/>
        <v>300</v>
      </c>
      <c r="E254" s="51" t="s">
        <v>3</v>
      </c>
      <c r="F254" s="110">
        <f t="shared" si="14"/>
        <v>2500</v>
      </c>
      <c r="G254" s="51" t="s">
        <v>3</v>
      </c>
      <c r="H254" s="48">
        <v>4</v>
      </c>
      <c r="I254" s="49" t="s">
        <v>45</v>
      </c>
      <c r="J254" s="184">
        <v>65</v>
      </c>
      <c r="K254" s="113">
        <v>300</v>
      </c>
      <c r="L254" s="113">
        <v>2500</v>
      </c>
      <c r="M254" s="185">
        <v>23.486626787204287</v>
      </c>
      <c r="N254" s="75">
        <v>807.45744000000002</v>
      </c>
      <c r="O254" s="121">
        <v>39187.440228255531</v>
      </c>
      <c r="P254" s="121">
        <v>45439.157081560625</v>
      </c>
      <c r="Q254" s="120">
        <v>24290.401195421444</v>
      </c>
      <c r="R254" s="314">
        <v>63477.841423676975</v>
      </c>
      <c r="S254" s="315">
        <v>69729.558276982076</v>
      </c>
      <c r="U254" s="7" t="s">
        <v>1097</v>
      </c>
    </row>
    <row r="255" spans="1:21" s="74" customFormat="1" ht="16.5" thickBot="1">
      <c r="A255" s="50" t="s">
        <v>35</v>
      </c>
      <c r="B255" s="51">
        <f t="shared" si="12"/>
        <v>65</v>
      </c>
      <c r="C255" s="51" t="s">
        <v>3</v>
      </c>
      <c r="D255" s="51">
        <f t="shared" si="13"/>
        <v>300</v>
      </c>
      <c r="E255" s="51" t="s">
        <v>3</v>
      </c>
      <c r="F255" s="110">
        <f t="shared" si="14"/>
        <v>2550</v>
      </c>
      <c r="G255" s="51" t="s">
        <v>3</v>
      </c>
      <c r="H255" s="48">
        <v>4</v>
      </c>
      <c r="I255" s="49" t="s">
        <v>45</v>
      </c>
      <c r="J255" s="184">
        <v>65</v>
      </c>
      <c r="K255" s="113">
        <v>300</v>
      </c>
      <c r="L255" s="113">
        <v>2550</v>
      </c>
      <c r="M255" s="185">
        <v>23.935956033749996</v>
      </c>
      <c r="N255" s="75">
        <v>826.23552000000007</v>
      </c>
      <c r="O255" s="121">
        <v>39834.192156397992</v>
      </c>
      <c r="P255" s="121">
        <v>46202.348737480061</v>
      </c>
      <c r="Q255" s="120">
        <v>24774.691047625805</v>
      </c>
      <c r="R255" s="314">
        <v>64608.883204023798</v>
      </c>
      <c r="S255" s="315">
        <v>70977.039785105866</v>
      </c>
      <c r="U255" s="7" t="s">
        <v>1098</v>
      </c>
    </row>
    <row r="256" spans="1:21" s="74" customFormat="1" ht="16.5" thickBot="1">
      <c r="A256" s="47" t="s">
        <v>35</v>
      </c>
      <c r="B256" s="48">
        <f t="shared" si="12"/>
        <v>65</v>
      </c>
      <c r="C256" s="48" t="s">
        <v>3</v>
      </c>
      <c r="D256" s="48">
        <f t="shared" si="13"/>
        <v>300</v>
      </c>
      <c r="E256" s="48" t="s">
        <v>3</v>
      </c>
      <c r="F256" s="110">
        <f t="shared" si="14"/>
        <v>2600</v>
      </c>
      <c r="G256" s="48" t="s">
        <v>3</v>
      </c>
      <c r="H256" s="48">
        <v>4</v>
      </c>
      <c r="I256" s="49" t="s">
        <v>45</v>
      </c>
      <c r="J256" s="184">
        <v>65</v>
      </c>
      <c r="K256" s="113">
        <v>300</v>
      </c>
      <c r="L256" s="113">
        <v>2600</v>
      </c>
      <c r="M256" s="185">
        <v>24.385285280295715</v>
      </c>
      <c r="N256" s="75">
        <v>845.0136</v>
      </c>
      <c r="O256" s="121">
        <v>40480.943944147097</v>
      </c>
      <c r="P256" s="121">
        <v>46965.540393399497</v>
      </c>
      <c r="Q256" s="120">
        <v>25258.980759436807</v>
      </c>
      <c r="R256" s="314">
        <v>65739.924703583907</v>
      </c>
      <c r="S256" s="315">
        <v>72224.5211528363</v>
      </c>
      <c r="U256" s="7" t="s">
        <v>1099</v>
      </c>
    </row>
    <row r="257" spans="1:21" s="74" customFormat="1" ht="16.5" thickBot="1">
      <c r="A257" s="50" t="s">
        <v>35</v>
      </c>
      <c r="B257" s="51">
        <f t="shared" si="12"/>
        <v>65</v>
      </c>
      <c r="C257" s="51" t="s">
        <v>3</v>
      </c>
      <c r="D257" s="51">
        <f t="shared" si="13"/>
        <v>300</v>
      </c>
      <c r="E257" s="51" t="s">
        <v>3</v>
      </c>
      <c r="F257" s="110">
        <f t="shared" si="14"/>
        <v>2650</v>
      </c>
      <c r="G257" s="51" t="s">
        <v>3</v>
      </c>
      <c r="H257" s="48">
        <v>4</v>
      </c>
      <c r="I257" s="49" t="s">
        <v>45</v>
      </c>
      <c r="J257" s="184">
        <v>65</v>
      </c>
      <c r="K257" s="113">
        <v>300</v>
      </c>
      <c r="L257" s="113">
        <v>2650</v>
      </c>
      <c r="M257" s="185">
        <v>24.834614526841431</v>
      </c>
      <c r="N257" s="75">
        <v>863.79167999999993</v>
      </c>
      <c r="O257" s="121">
        <v>41127.695872289558</v>
      </c>
      <c r="P257" s="121">
        <v>47728.731908925576</v>
      </c>
      <c r="Q257" s="120">
        <v>25743.270611641168</v>
      </c>
      <c r="R257" s="314">
        <v>66870.966483930722</v>
      </c>
      <c r="S257" s="315">
        <v>73472.002520566748</v>
      </c>
      <c r="U257" s="7" t="s">
        <v>1100</v>
      </c>
    </row>
    <row r="258" spans="1:21" s="74" customFormat="1" ht="16.5" thickBot="1">
      <c r="A258" s="50" t="s">
        <v>35</v>
      </c>
      <c r="B258" s="51">
        <f t="shared" si="12"/>
        <v>65</v>
      </c>
      <c r="C258" s="51" t="s">
        <v>3</v>
      </c>
      <c r="D258" s="51">
        <f t="shared" si="13"/>
        <v>300</v>
      </c>
      <c r="E258" s="51" t="s">
        <v>3</v>
      </c>
      <c r="F258" s="110">
        <f t="shared" si="14"/>
        <v>2700</v>
      </c>
      <c r="G258" s="51" t="s">
        <v>3</v>
      </c>
      <c r="H258" s="48">
        <v>4</v>
      </c>
      <c r="I258" s="49" t="s">
        <v>45</v>
      </c>
      <c r="J258" s="184">
        <v>65</v>
      </c>
      <c r="K258" s="113">
        <v>300</v>
      </c>
      <c r="L258" s="113">
        <v>2700</v>
      </c>
      <c r="M258" s="185">
        <v>25.362443773387142</v>
      </c>
      <c r="N258" s="75">
        <v>882.56975999999997</v>
      </c>
      <c r="O258" s="121">
        <v>41851.602236334162</v>
      </c>
      <c r="P258" s="121">
        <v>48566.726271531916</v>
      </c>
      <c r="Q258" s="120">
        <v>26227.56032345217</v>
      </c>
      <c r="R258" s="314">
        <v>68079.162559786331</v>
      </c>
      <c r="S258" s="315">
        <v>74794.286594984093</v>
      </c>
      <c r="U258" s="7" t="s">
        <v>1101</v>
      </c>
    </row>
    <row r="259" spans="1:21" s="74" customFormat="1" ht="16.5" thickBot="1">
      <c r="A259" s="50" t="s">
        <v>35</v>
      </c>
      <c r="B259" s="51">
        <f t="shared" si="12"/>
        <v>65</v>
      </c>
      <c r="C259" s="51" t="s">
        <v>3</v>
      </c>
      <c r="D259" s="51">
        <f t="shared" si="13"/>
        <v>300</v>
      </c>
      <c r="E259" s="51" t="s">
        <v>3</v>
      </c>
      <c r="F259" s="110">
        <f t="shared" si="14"/>
        <v>2750</v>
      </c>
      <c r="G259" s="51" t="s">
        <v>3</v>
      </c>
      <c r="H259" s="48">
        <v>4</v>
      </c>
      <c r="I259" s="49" t="s">
        <v>45</v>
      </c>
      <c r="J259" s="184">
        <v>65</v>
      </c>
      <c r="K259" s="113">
        <v>300</v>
      </c>
      <c r="L259" s="113">
        <v>2750</v>
      </c>
      <c r="M259" s="185">
        <v>25.811773019932858</v>
      </c>
      <c r="N259" s="75">
        <v>901.34784000000002</v>
      </c>
      <c r="O259" s="121">
        <v>42498.354024083259</v>
      </c>
      <c r="P259" s="121">
        <v>49329.917927451344</v>
      </c>
      <c r="Q259" s="120">
        <v>26711.850175656393</v>
      </c>
      <c r="R259" s="314">
        <v>69210.204199739645</v>
      </c>
      <c r="S259" s="315">
        <v>76041.768103107737</v>
      </c>
      <c r="U259" s="7" t="s">
        <v>1102</v>
      </c>
    </row>
    <row r="260" spans="1:21" s="74" customFormat="1" ht="16.5" thickBot="1">
      <c r="A260" s="50" t="s">
        <v>35</v>
      </c>
      <c r="B260" s="51">
        <f t="shared" si="12"/>
        <v>65</v>
      </c>
      <c r="C260" s="51" t="s">
        <v>3</v>
      </c>
      <c r="D260" s="51">
        <f t="shared" si="13"/>
        <v>300</v>
      </c>
      <c r="E260" s="51" t="s">
        <v>3</v>
      </c>
      <c r="F260" s="110">
        <f t="shared" si="14"/>
        <v>2800</v>
      </c>
      <c r="G260" s="51" t="s">
        <v>3</v>
      </c>
      <c r="H260" s="48">
        <v>4</v>
      </c>
      <c r="I260" s="49" t="s">
        <v>45</v>
      </c>
      <c r="J260" s="184">
        <v>65</v>
      </c>
      <c r="K260" s="113">
        <v>300</v>
      </c>
      <c r="L260" s="113">
        <v>2800</v>
      </c>
      <c r="M260" s="185">
        <v>26.261102266478574</v>
      </c>
      <c r="N260" s="75">
        <v>920.12592000000006</v>
      </c>
      <c r="O260" s="121">
        <v>43145.10595222572</v>
      </c>
      <c r="P260" s="121">
        <v>50093.10958337078</v>
      </c>
      <c r="Q260" s="120">
        <v>27196.140027860896</v>
      </c>
      <c r="R260" s="314">
        <v>70341.24598008662</v>
      </c>
      <c r="S260" s="315">
        <v>77289.249611231673</v>
      </c>
      <c r="U260" s="7" t="s">
        <v>1103</v>
      </c>
    </row>
    <row r="261" spans="1:21" s="74" customFormat="1" ht="16.5" thickBot="1">
      <c r="A261" s="50" t="s">
        <v>35</v>
      </c>
      <c r="B261" s="51">
        <f t="shared" si="12"/>
        <v>65</v>
      </c>
      <c r="C261" s="51" t="s">
        <v>3</v>
      </c>
      <c r="D261" s="51">
        <f t="shared" si="13"/>
        <v>300</v>
      </c>
      <c r="E261" s="51" t="s">
        <v>3</v>
      </c>
      <c r="F261" s="110">
        <f t="shared" si="14"/>
        <v>2850</v>
      </c>
      <c r="G261" s="51" t="s">
        <v>3</v>
      </c>
      <c r="H261" s="48">
        <v>4</v>
      </c>
      <c r="I261" s="49" t="s">
        <v>45</v>
      </c>
      <c r="J261" s="184">
        <v>65</v>
      </c>
      <c r="K261" s="113">
        <v>300</v>
      </c>
      <c r="L261" s="113">
        <v>2850</v>
      </c>
      <c r="M261" s="185">
        <v>26.710431513024286</v>
      </c>
      <c r="N261" s="75">
        <v>938.904</v>
      </c>
      <c r="O261" s="121">
        <v>43791.857880368188</v>
      </c>
      <c r="P261" s="121">
        <v>50856.301239290216</v>
      </c>
      <c r="Q261" s="120">
        <v>27680.42973967189</v>
      </c>
      <c r="R261" s="314">
        <v>71472.287620040079</v>
      </c>
      <c r="S261" s="315">
        <v>78536.730978962107</v>
      </c>
      <c r="U261" s="7" t="s">
        <v>1104</v>
      </c>
    </row>
    <row r="262" spans="1:21" s="74" customFormat="1" ht="16.5" thickBot="1">
      <c r="A262" s="50" t="s">
        <v>35</v>
      </c>
      <c r="B262" s="51">
        <f t="shared" si="12"/>
        <v>65</v>
      </c>
      <c r="C262" s="51" t="s">
        <v>3</v>
      </c>
      <c r="D262" s="51">
        <f t="shared" si="13"/>
        <v>300</v>
      </c>
      <c r="E262" s="51" t="s">
        <v>3</v>
      </c>
      <c r="F262" s="110">
        <f t="shared" si="14"/>
        <v>2900</v>
      </c>
      <c r="G262" s="51" t="s">
        <v>3</v>
      </c>
      <c r="H262" s="48">
        <v>4</v>
      </c>
      <c r="I262" s="49" t="s">
        <v>45</v>
      </c>
      <c r="J262" s="184">
        <v>65</v>
      </c>
      <c r="K262" s="113">
        <v>300</v>
      </c>
      <c r="L262" s="113">
        <v>2900</v>
      </c>
      <c r="M262" s="185">
        <v>27.159760759569995</v>
      </c>
      <c r="N262" s="75">
        <v>957.68207999999993</v>
      </c>
      <c r="O262" s="121">
        <v>44438.609808510642</v>
      </c>
      <c r="P262" s="121">
        <v>51619.492754816296</v>
      </c>
      <c r="Q262" s="120">
        <v>28164.719591876255</v>
      </c>
      <c r="R262" s="314">
        <v>72603.329400386894</v>
      </c>
      <c r="S262" s="315">
        <v>79784.212346692555</v>
      </c>
      <c r="U262" s="7" t="s">
        <v>1105</v>
      </c>
    </row>
    <row r="263" spans="1:21" s="74" customFormat="1" ht="16.5" thickBot="1">
      <c r="A263" s="50" t="s">
        <v>35</v>
      </c>
      <c r="B263" s="51">
        <f t="shared" si="12"/>
        <v>65</v>
      </c>
      <c r="C263" s="51" t="s">
        <v>3</v>
      </c>
      <c r="D263" s="51">
        <f t="shared" si="13"/>
        <v>300</v>
      </c>
      <c r="E263" s="51" t="s">
        <v>3</v>
      </c>
      <c r="F263" s="110">
        <f t="shared" si="14"/>
        <v>2950</v>
      </c>
      <c r="G263" s="51" t="s">
        <v>3</v>
      </c>
      <c r="H263" s="48">
        <v>4</v>
      </c>
      <c r="I263" s="49" t="s">
        <v>45</v>
      </c>
      <c r="J263" s="184">
        <v>65</v>
      </c>
      <c r="K263" s="113">
        <v>300</v>
      </c>
      <c r="L263" s="113">
        <v>2950</v>
      </c>
      <c r="M263" s="185">
        <v>27.609090006115714</v>
      </c>
      <c r="N263" s="75">
        <v>976.46015999999997</v>
      </c>
      <c r="O263" s="121">
        <v>45085.361736653111</v>
      </c>
      <c r="P263" s="121">
        <v>52382.684410735732</v>
      </c>
      <c r="Q263" s="120">
        <v>28649.009303687253</v>
      </c>
      <c r="R263" s="314">
        <v>73734.371040340367</v>
      </c>
      <c r="S263" s="315">
        <v>81031.693714422989</v>
      </c>
      <c r="U263" s="7" t="s">
        <v>1106</v>
      </c>
    </row>
    <row r="264" spans="1:21" s="74" customFormat="1" ht="16.5" thickBot="1">
      <c r="A264" s="50" t="s">
        <v>35</v>
      </c>
      <c r="B264" s="51">
        <f t="shared" si="12"/>
        <v>65</v>
      </c>
      <c r="C264" s="51" t="s">
        <v>3</v>
      </c>
      <c r="D264" s="51">
        <f t="shared" si="13"/>
        <v>300</v>
      </c>
      <c r="E264" s="51" t="s">
        <v>3</v>
      </c>
      <c r="F264" s="110">
        <f t="shared" si="14"/>
        <v>3000</v>
      </c>
      <c r="G264" s="51" t="s">
        <v>3</v>
      </c>
      <c r="H264" s="48">
        <v>4</v>
      </c>
      <c r="I264" s="49" t="s">
        <v>45</v>
      </c>
      <c r="J264" s="186">
        <v>65</v>
      </c>
      <c r="K264" s="157">
        <v>300</v>
      </c>
      <c r="L264" s="157">
        <v>3000</v>
      </c>
      <c r="M264" s="187">
        <v>28.05841925266143</v>
      </c>
      <c r="N264" s="147">
        <v>995.23824000000002</v>
      </c>
      <c r="O264" s="158">
        <v>45732.113524402208</v>
      </c>
      <c r="P264" s="158">
        <v>53145.876066655175</v>
      </c>
      <c r="Q264" s="159">
        <v>29133.299155891618</v>
      </c>
      <c r="R264" s="316">
        <v>74865.412680293826</v>
      </c>
      <c r="S264" s="317">
        <v>82279.175222546794</v>
      </c>
      <c r="U264" s="7" t="s">
        <v>1107</v>
      </c>
    </row>
  </sheetData>
  <mergeCells count="22">
    <mergeCell ref="A59:S59"/>
    <mergeCell ref="A7:S7"/>
    <mergeCell ref="A8:S8"/>
    <mergeCell ref="A9:S9"/>
    <mergeCell ref="A163:S163"/>
    <mergeCell ref="A60:S60"/>
    <mergeCell ref="A112:S112"/>
    <mergeCell ref="A165:S165"/>
    <mergeCell ref="A215:S215"/>
    <mergeCell ref="A61:S61"/>
    <mergeCell ref="A111:S111"/>
    <mergeCell ref="A113:S113"/>
    <mergeCell ref="A164:S164"/>
    <mergeCell ref="Q4:Q5"/>
    <mergeCell ref="R4:R5"/>
    <mergeCell ref="S4:S5"/>
    <mergeCell ref="O6:S6"/>
    <mergeCell ref="A4:I6"/>
    <mergeCell ref="J4:M5"/>
    <mergeCell ref="N4:N6"/>
    <mergeCell ref="O4:O5"/>
    <mergeCell ref="P4:P5"/>
  </mergeCells>
  <hyperlinks>
    <hyperlink ref="A1:I1" location="Главная!A1" display="Вернуться на главную страницу" xr:uid="{00000000-0004-0000-1000-000000000000}"/>
    <hyperlink ref="A2" location="'Калькулятор теплоотдач ВК'!R1C1" display="Вернуться Калькулятор теплоотдач ВК" xr:uid="{00000000-0004-0000-1000-000001000000}"/>
  </hyperlink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19">
    <tabColor rgb="FFFFC000"/>
  </sheetPr>
  <dimension ref="A1:U264"/>
  <sheetViews>
    <sheetView zoomScale="70" zoomScaleNormal="70" workbookViewId="0">
      <pane ySplit="6" topLeftCell="A7" activePane="bottomLeft" state="frozen"/>
      <selection pane="bottomLeft" activeCell="V17" sqref="V17"/>
    </sheetView>
  </sheetViews>
  <sheetFormatPr defaultRowHeight="15"/>
  <cols>
    <col min="1" max="1" width="3.7109375" style="74" customWidth="1"/>
    <col min="2" max="2" width="6" style="74" customWidth="1"/>
    <col min="3" max="3" width="3" style="74" customWidth="1"/>
    <col min="4" max="4" width="6" style="74" customWidth="1"/>
    <col min="5" max="5" width="3" style="74" customWidth="1"/>
    <col min="6" max="6" width="7.7109375" style="74" customWidth="1"/>
    <col min="7" max="7" width="3" style="74" customWidth="1"/>
    <col min="8" max="8" width="6" style="74" customWidth="1"/>
    <col min="9" max="9" width="4.5703125" style="74" customWidth="1"/>
    <col min="10" max="12" width="11.28515625" style="74" customWidth="1"/>
    <col min="13" max="13" width="15.5703125" style="74" customWidth="1"/>
    <col min="14" max="14" width="19.140625" style="74" customWidth="1"/>
    <col min="15" max="16" width="27.7109375" style="74" customWidth="1"/>
    <col min="17" max="17" width="26.28515625" style="74" customWidth="1"/>
    <col min="18" max="19" width="27.7109375" style="74" customWidth="1"/>
    <col min="21" max="21" width="22.42578125" customWidth="1"/>
  </cols>
  <sheetData>
    <row r="1" spans="1:21" s="74" customFormat="1" ht="16.5" customHeight="1">
      <c r="A1" s="1217" t="s">
        <v>9</v>
      </c>
      <c r="B1" s="1217"/>
      <c r="C1" s="1217"/>
      <c r="D1" s="1217"/>
      <c r="E1" s="1217"/>
      <c r="F1" s="97"/>
      <c r="G1" s="1217"/>
      <c r="H1" s="1217"/>
      <c r="I1" s="1217"/>
      <c r="J1" s="7"/>
      <c r="K1" s="96"/>
      <c r="L1" s="96"/>
      <c r="M1" s="175"/>
      <c r="N1" s="7"/>
      <c r="O1" s="117"/>
      <c r="P1" s="117"/>
      <c r="Q1" s="117"/>
      <c r="R1" s="117"/>
      <c r="S1" s="117"/>
    </row>
    <row r="2" spans="1:21" s="74" customFormat="1" ht="16.5" customHeight="1">
      <c r="A2" s="956" t="s">
        <v>378</v>
      </c>
      <c r="B2" s="1217"/>
      <c r="C2" s="1217"/>
      <c r="D2" s="1217"/>
      <c r="E2" s="1217"/>
      <c r="F2" s="97"/>
      <c r="G2" s="1217"/>
      <c r="H2" s="1217"/>
      <c r="I2" s="1217"/>
      <c r="J2" s="7"/>
      <c r="K2" s="96"/>
      <c r="L2" s="96"/>
      <c r="M2" s="175"/>
      <c r="N2" s="7"/>
      <c r="O2" s="117"/>
      <c r="P2" s="117"/>
      <c r="Q2" s="117"/>
      <c r="R2" s="117"/>
      <c r="S2" s="117"/>
    </row>
    <row r="3" spans="1:21" s="74" customFormat="1" ht="13.5" customHeight="1" thickBot="1">
      <c r="A3" s="16"/>
      <c r="B3" s="16"/>
      <c r="C3" s="16"/>
      <c r="D3" s="16"/>
      <c r="E3" s="16"/>
      <c r="F3" s="109"/>
      <c r="G3" s="16"/>
      <c r="H3" s="16"/>
      <c r="I3" s="16"/>
      <c r="J3" s="16"/>
      <c r="K3" s="108"/>
      <c r="L3" s="108"/>
      <c r="M3" s="175"/>
      <c r="N3" s="7"/>
      <c r="O3" s="116"/>
      <c r="P3" s="116"/>
      <c r="Q3" s="117"/>
      <c r="R3" s="117"/>
      <c r="S3" s="117"/>
    </row>
    <row r="4" spans="1:21" s="74" customFormat="1" ht="69" customHeight="1">
      <c r="A4" s="2643" t="s">
        <v>8</v>
      </c>
      <c r="B4" s="2644"/>
      <c r="C4" s="2644"/>
      <c r="D4" s="2644"/>
      <c r="E4" s="2644"/>
      <c r="F4" s="2644"/>
      <c r="G4" s="2644"/>
      <c r="H4" s="2644"/>
      <c r="I4" s="2645"/>
      <c r="J4" s="2637" t="s">
        <v>97</v>
      </c>
      <c r="K4" s="2638"/>
      <c r="L4" s="2638"/>
      <c r="M4" s="2639"/>
      <c r="N4" s="2652" t="s">
        <v>96</v>
      </c>
      <c r="O4" s="2655" t="s">
        <v>165</v>
      </c>
      <c r="P4" s="2617" t="s">
        <v>166</v>
      </c>
      <c r="Q4" s="2655" t="s">
        <v>151</v>
      </c>
      <c r="R4" s="2630" t="s">
        <v>167</v>
      </c>
      <c r="S4" s="2590" t="s">
        <v>168</v>
      </c>
    </row>
    <row r="5" spans="1:21" s="74" customFormat="1" ht="72.75" customHeight="1" thickBot="1">
      <c r="A5" s="2646"/>
      <c r="B5" s="2647"/>
      <c r="C5" s="2647"/>
      <c r="D5" s="2647"/>
      <c r="E5" s="2647"/>
      <c r="F5" s="2647"/>
      <c r="G5" s="2647"/>
      <c r="H5" s="2647"/>
      <c r="I5" s="2648"/>
      <c r="J5" s="2640"/>
      <c r="K5" s="2641"/>
      <c r="L5" s="2641"/>
      <c r="M5" s="2642"/>
      <c r="N5" s="2653"/>
      <c r="O5" s="2656"/>
      <c r="P5" s="2618"/>
      <c r="Q5" s="2656"/>
      <c r="R5" s="2631"/>
      <c r="S5" s="2591"/>
    </row>
    <row r="6" spans="1:21" s="74" customFormat="1" ht="61.5" customHeight="1" thickBot="1">
      <c r="A6" s="2649"/>
      <c r="B6" s="2650"/>
      <c r="C6" s="2650"/>
      <c r="D6" s="2650"/>
      <c r="E6" s="2650"/>
      <c r="F6" s="2650"/>
      <c r="G6" s="2650"/>
      <c r="H6" s="2650"/>
      <c r="I6" s="2651"/>
      <c r="J6" s="1223" t="s">
        <v>0</v>
      </c>
      <c r="K6" s="115" t="s">
        <v>1</v>
      </c>
      <c r="L6" s="115" t="s">
        <v>2</v>
      </c>
      <c r="M6" s="180" t="s">
        <v>94</v>
      </c>
      <c r="N6" s="2654"/>
      <c r="O6" s="2634" t="s">
        <v>169</v>
      </c>
      <c r="P6" s="2635"/>
      <c r="Q6" s="2635"/>
      <c r="R6" s="2635"/>
      <c r="S6" s="2636"/>
    </row>
    <row r="7" spans="1:21" s="74" customFormat="1" ht="22.5" customHeight="1" thickBot="1">
      <c r="A7" s="2580" t="s">
        <v>519</v>
      </c>
      <c r="B7" s="2581"/>
      <c r="C7" s="2581"/>
      <c r="D7" s="2581"/>
      <c r="E7" s="2581"/>
      <c r="F7" s="2581"/>
      <c r="G7" s="2581"/>
      <c r="H7" s="2581"/>
      <c r="I7" s="2581"/>
      <c r="J7" s="2581"/>
      <c r="K7" s="2581"/>
      <c r="L7" s="2581"/>
      <c r="M7" s="2581"/>
      <c r="N7" s="2581"/>
      <c r="O7" s="2581"/>
      <c r="P7" s="2581"/>
      <c r="Q7" s="2581"/>
      <c r="R7" s="2581"/>
      <c r="S7" s="2582"/>
    </row>
    <row r="8" spans="1:21" s="74" customFormat="1" ht="22.5" customHeight="1" thickBot="1">
      <c r="A8" s="2624" t="s">
        <v>69</v>
      </c>
      <c r="B8" s="2625"/>
      <c r="C8" s="2625"/>
      <c r="D8" s="2625"/>
      <c r="E8" s="2625"/>
      <c r="F8" s="2625"/>
      <c r="G8" s="2625"/>
      <c r="H8" s="2625"/>
      <c r="I8" s="2625"/>
      <c r="J8" s="2625"/>
      <c r="K8" s="2625"/>
      <c r="L8" s="2625"/>
      <c r="M8" s="2625"/>
      <c r="N8" s="2625"/>
      <c r="O8" s="2625"/>
      <c r="P8" s="2625"/>
      <c r="Q8" s="2625"/>
      <c r="R8" s="2625"/>
      <c r="S8" s="2626"/>
    </row>
    <row r="9" spans="1:21" s="74" customFormat="1" ht="16.5" customHeight="1" thickBot="1">
      <c r="A9" s="2583" t="s">
        <v>134</v>
      </c>
      <c r="B9" s="2584"/>
      <c r="C9" s="2584"/>
      <c r="D9" s="2584"/>
      <c r="E9" s="2584"/>
      <c r="F9" s="2584"/>
      <c r="G9" s="2584"/>
      <c r="H9" s="2584"/>
      <c r="I9" s="2584"/>
      <c r="J9" s="2584"/>
      <c r="K9" s="2584"/>
      <c r="L9" s="2584"/>
      <c r="M9" s="2584"/>
      <c r="N9" s="2584"/>
      <c r="O9" s="2584"/>
      <c r="P9" s="2584"/>
      <c r="Q9" s="2584"/>
      <c r="R9" s="2632"/>
      <c r="S9" s="2633"/>
    </row>
    <row r="10" spans="1:21" s="74" customFormat="1" ht="16.5" customHeight="1" thickBot="1">
      <c r="A10" s="47" t="s">
        <v>35</v>
      </c>
      <c r="B10" s="48">
        <f>J10</f>
        <v>70</v>
      </c>
      <c r="C10" s="48" t="s">
        <v>3</v>
      </c>
      <c r="D10" s="48">
        <f>K10</f>
        <v>160</v>
      </c>
      <c r="E10" s="48" t="s">
        <v>3</v>
      </c>
      <c r="F10" s="110">
        <f>L10</f>
        <v>600</v>
      </c>
      <c r="G10" s="48" t="s">
        <v>3</v>
      </c>
      <c r="H10" s="48">
        <v>2</v>
      </c>
      <c r="I10" s="49" t="s">
        <v>45</v>
      </c>
      <c r="J10" s="181">
        <v>70</v>
      </c>
      <c r="K10" s="168">
        <v>160</v>
      </c>
      <c r="L10" s="168">
        <v>600</v>
      </c>
      <c r="M10" s="182">
        <v>3.7102292637121437</v>
      </c>
      <c r="N10" s="144">
        <v>55.910506901847832</v>
      </c>
      <c r="O10" s="188">
        <v>9459.710661771227</v>
      </c>
      <c r="P10" s="183">
        <v>10932.535309749977</v>
      </c>
      <c r="Q10" s="309">
        <v>3661.4389581425257</v>
      </c>
      <c r="R10" s="312">
        <v>13121.149619913753</v>
      </c>
      <c r="S10" s="313">
        <v>14593.974267892503</v>
      </c>
      <c r="U10" s="7" t="s">
        <v>1108</v>
      </c>
    </row>
    <row r="11" spans="1:21" s="74" customFormat="1" ht="16.5" customHeight="1" thickBot="1">
      <c r="A11" s="50" t="s">
        <v>35</v>
      </c>
      <c r="B11" s="51">
        <f t="shared" ref="B11:B58" si="0">J11</f>
        <v>70</v>
      </c>
      <c r="C11" s="51" t="s">
        <v>3</v>
      </c>
      <c r="D11" s="51">
        <f t="shared" ref="D11:D58" si="1">K11</f>
        <v>160</v>
      </c>
      <c r="E11" s="51" t="s">
        <v>3</v>
      </c>
      <c r="F11" s="110">
        <f t="shared" ref="F11:F58" si="2">L11</f>
        <v>650</v>
      </c>
      <c r="G11" s="51" t="s">
        <v>3</v>
      </c>
      <c r="H11" s="48">
        <v>2</v>
      </c>
      <c r="I11" s="49" t="s">
        <v>45</v>
      </c>
      <c r="J11" s="184">
        <v>70</v>
      </c>
      <c r="K11" s="113">
        <v>160</v>
      </c>
      <c r="L11" s="113">
        <v>650</v>
      </c>
      <c r="M11" s="185">
        <v>3.9852318328778571</v>
      </c>
      <c r="N11" s="87">
        <v>67.092608282217398</v>
      </c>
      <c r="O11" s="119">
        <v>9851.7081637618885</v>
      </c>
      <c r="P11" s="121">
        <v>11412.935563846277</v>
      </c>
      <c r="Q11" s="310">
        <v>3963.0726935401508</v>
      </c>
      <c r="R11" s="314">
        <v>13814.780857302039</v>
      </c>
      <c r="S11" s="315">
        <v>15376.008257386427</v>
      </c>
      <c r="U11" s="7" t="s">
        <v>1109</v>
      </c>
    </row>
    <row r="12" spans="1:21" s="74" customFormat="1" ht="16.5" customHeight="1" thickBot="1">
      <c r="A12" s="50" t="s">
        <v>35</v>
      </c>
      <c r="B12" s="51">
        <f t="shared" si="0"/>
        <v>70</v>
      </c>
      <c r="C12" s="51" t="s">
        <v>3</v>
      </c>
      <c r="D12" s="51">
        <f t="shared" si="1"/>
        <v>160</v>
      </c>
      <c r="E12" s="51" t="s">
        <v>3</v>
      </c>
      <c r="F12" s="110">
        <f t="shared" si="2"/>
        <v>700</v>
      </c>
      <c r="G12" s="51" t="s">
        <v>3</v>
      </c>
      <c r="H12" s="48">
        <v>2</v>
      </c>
      <c r="I12" s="49" t="s">
        <v>45</v>
      </c>
      <c r="J12" s="184">
        <v>70</v>
      </c>
      <c r="K12" s="113">
        <v>160</v>
      </c>
      <c r="L12" s="113">
        <v>700</v>
      </c>
      <c r="M12" s="185">
        <v>4.2602344020435705</v>
      </c>
      <c r="N12" s="87">
        <v>78.274709662586957</v>
      </c>
      <c r="O12" s="119">
        <v>10243.70552535919</v>
      </c>
      <c r="P12" s="121">
        <v>11893.33595833594</v>
      </c>
      <c r="Q12" s="310">
        <v>4264.7064289377759</v>
      </c>
      <c r="R12" s="314">
        <v>14508.411954296966</v>
      </c>
      <c r="S12" s="315">
        <v>16158.042387273716</v>
      </c>
      <c r="U12" s="7" t="s">
        <v>1110</v>
      </c>
    </row>
    <row r="13" spans="1:21" s="74" customFormat="1" ht="16.5" customHeight="1" thickBot="1">
      <c r="A13" s="50" t="s">
        <v>35</v>
      </c>
      <c r="B13" s="51">
        <f t="shared" si="0"/>
        <v>70</v>
      </c>
      <c r="C13" s="51" t="s">
        <v>3</v>
      </c>
      <c r="D13" s="51">
        <f t="shared" si="1"/>
        <v>160</v>
      </c>
      <c r="E13" s="51" t="s">
        <v>3</v>
      </c>
      <c r="F13" s="110">
        <f t="shared" si="2"/>
        <v>750</v>
      </c>
      <c r="G13" s="51" t="s">
        <v>3</v>
      </c>
      <c r="H13" s="48">
        <v>2</v>
      </c>
      <c r="I13" s="49" t="s">
        <v>45</v>
      </c>
      <c r="J13" s="184">
        <v>70</v>
      </c>
      <c r="K13" s="113">
        <v>160</v>
      </c>
      <c r="L13" s="113">
        <v>750</v>
      </c>
      <c r="M13" s="185">
        <v>4.5352369712092857</v>
      </c>
      <c r="N13" s="87">
        <v>89.456811042956531</v>
      </c>
      <c r="O13" s="119">
        <v>10635.702886956489</v>
      </c>
      <c r="P13" s="121">
        <v>12373.736352825601</v>
      </c>
      <c r="Q13" s="310">
        <v>4566.3403047287638</v>
      </c>
      <c r="R13" s="314">
        <v>15202.043191685254</v>
      </c>
      <c r="S13" s="315">
        <v>16940.076657554364</v>
      </c>
      <c r="U13" s="7" t="s">
        <v>1111</v>
      </c>
    </row>
    <row r="14" spans="1:21" s="74" customFormat="1" ht="16.5" customHeight="1" thickBot="1">
      <c r="A14" s="50" t="s">
        <v>35</v>
      </c>
      <c r="B14" s="51">
        <f t="shared" si="0"/>
        <v>70</v>
      </c>
      <c r="C14" s="51" t="s">
        <v>3</v>
      </c>
      <c r="D14" s="51">
        <f t="shared" si="1"/>
        <v>160</v>
      </c>
      <c r="E14" s="51" t="s">
        <v>3</v>
      </c>
      <c r="F14" s="110">
        <f t="shared" si="2"/>
        <v>800</v>
      </c>
      <c r="G14" s="51" t="s">
        <v>3</v>
      </c>
      <c r="H14" s="48">
        <v>2</v>
      </c>
      <c r="I14" s="49" t="s">
        <v>45</v>
      </c>
      <c r="J14" s="184">
        <v>70</v>
      </c>
      <c r="K14" s="113">
        <v>160</v>
      </c>
      <c r="L14" s="113">
        <v>800</v>
      </c>
      <c r="M14" s="185">
        <v>4.810239540375</v>
      </c>
      <c r="N14" s="87">
        <v>100.6389124233261</v>
      </c>
      <c r="O14" s="119">
        <v>11027.700388947153</v>
      </c>
      <c r="P14" s="121">
        <v>12854.136747315266</v>
      </c>
      <c r="Q14" s="310">
        <v>4867.974040126388</v>
      </c>
      <c r="R14" s="314">
        <v>15895.674429073541</v>
      </c>
      <c r="S14" s="315">
        <v>17722.110787441656</v>
      </c>
      <c r="U14" s="7" t="s">
        <v>1112</v>
      </c>
    </row>
    <row r="15" spans="1:21" s="74" customFormat="1" ht="16.5" customHeight="1" thickBot="1">
      <c r="A15" s="50" t="s">
        <v>35</v>
      </c>
      <c r="B15" s="51">
        <f t="shared" si="0"/>
        <v>70</v>
      </c>
      <c r="C15" s="51" t="s">
        <v>3</v>
      </c>
      <c r="D15" s="51">
        <f t="shared" si="1"/>
        <v>160</v>
      </c>
      <c r="E15" s="51" t="s">
        <v>3</v>
      </c>
      <c r="F15" s="110">
        <f t="shared" si="2"/>
        <v>850</v>
      </c>
      <c r="G15" s="51" t="s">
        <v>3</v>
      </c>
      <c r="H15" s="48">
        <v>2</v>
      </c>
      <c r="I15" s="49" t="s">
        <v>45</v>
      </c>
      <c r="J15" s="184">
        <v>70</v>
      </c>
      <c r="K15" s="113">
        <v>160</v>
      </c>
      <c r="L15" s="113">
        <v>850</v>
      </c>
      <c r="M15" s="185">
        <v>5.0852421095407143</v>
      </c>
      <c r="N15" s="87">
        <v>111.82101380369566</v>
      </c>
      <c r="O15" s="119">
        <v>11419.697750544452</v>
      </c>
      <c r="P15" s="121">
        <v>13334.537141804927</v>
      </c>
      <c r="Q15" s="310">
        <v>5169.607775524014</v>
      </c>
      <c r="R15" s="314">
        <v>16589.305526068467</v>
      </c>
      <c r="S15" s="315">
        <v>18504.14491732894</v>
      </c>
      <c r="U15" s="7" t="s">
        <v>1113</v>
      </c>
    </row>
    <row r="16" spans="1:21" s="74" customFormat="1" ht="16.5" customHeight="1" thickBot="1">
      <c r="A16" s="50" t="s">
        <v>35</v>
      </c>
      <c r="B16" s="51">
        <f t="shared" si="0"/>
        <v>70</v>
      </c>
      <c r="C16" s="51" t="s">
        <v>3</v>
      </c>
      <c r="D16" s="51">
        <f t="shared" si="1"/>
        <v>160</v>
      </c>
      <c r="E16" s="51" t="s">
        <v>3</v>
      </c>
      <c r="F16" s="110">
        <f t="shared" si="2"/>
        <v>900</v>
      </c>
      <c r="G16" s="51" t="s">
        <v>3</v>
      </c>
      <c r="H16" s="48">
        <v>2</v>
      </c>
      <c r="I16" s="49" t="s">
        <v>45</v>
      </c>
      <c r="J16" s="184">
        <v>70</v>
      </c>
      <c r="K16" s="113">
        <v>160</v>
      </c>
      <c r="L16" s="113">
        <v>900</v>
      </c>
      <c r="M16" s="185">
        <v>5.3602446787064295</v>
      </c>
      <c r="N16" s="87">
        <v>123.00311518406524</v>
      </c>
      <c r="O16" s="119">
        <v>11811.695112141753</v>
      </c>
      <c r="P16" s="121">
        <v>13814.93753629459</v>
      </c>
      <c r="Q16" s="310">
        <v>5471.241651315001</v>
      </c>
      <c r="R16" s="314">
        <v>17282.936763456753</v>
      </c>
      <c r="S16" s="315">
        <v>19286.179187609592</v>
      </c>
      <c r="U16" s="7" t="s">
        <v>1114</v>
      </c>
    </row>
    <row r="17" spans="1:21" s="74" customFormat="1" ht="16.5" customHeight="1" thickBot="1">
      <c r="A17" s="50" t="s">
        <v>35</v>
      </c>
      <c r="B17" s="51">
        <f t="shared" si="0"/>
        <v>70</v>
      </c>
      <c r="C17" s="51" t="s">
        <v>3</v>
      </c>
      <c r="D17" s="51">
        <f t="shared" si="1"/>
        <v>160</v>
      </c>
      <c r="E17" s="51" t="s">
        <v>3</v>
      </c>
      <c r="F17" s="110">
        <f t="shared" si="2"/>
        <v>950</v>
      </c>
      <c r="G17" s="51" t="s">
        <v>3</v>
      </c>
      <c r="H17" s="48">
        <v>2</v>
      </c>
      <c r="I17" s="49" t="s">
        <v>45</v>
      </c>
      <c r="J17" s="184">
        <v>70</v>
      </c>
      <c r="K17" s="113">
        <v>160</v>
      </c>
      <c r="L17" s="113">
        <v>950</v>
      </c>
      <c r="M17" s="185">
        <v>5.635247247872142</v>
      </c>
      <c r="N17" s="87">
        <v>134.1852165644348</v>
      </c>
      <c r="O17" s="119">
        <v>12203.692473739051</v>
      </c>
      <c r="P17" s="121">
        <v>14295.337930784252</v>
      </c>
      <c r="Q17" s="310">
        <v>5772.8753867126261</v>
      </c>
      <c r="R17" s="314">
        <v>17976.567860451676</v>
      </c>
      <c r="S17" s="315">
        <v>20068.213317496877</v>
      </c>
      <c r="U17" s="7" t="s">
        <v>1115</v>
      </c>
    </row>
    <row r="18" spans="1:21" s="74" customFormat="1" ht="16.5" customHeight="1" thickBot="1">
      <c r="A18" s="50" t="s">
        <v>35</v>
      </c>
      <c r="B18" s="51">
        <f t="shared" si="0"/>
        <v>70</v>
      </c>
      <c r="C18" s="51" t="s">
        <v>3</v>
      </c>
      <c r="D18" s="51">
        <f t="shared" si="1"/>
        <v>160</v>
      </c>
      <c r="E18" s="51" t="s">
        <v>3</v>
      </c>
      <c r="F18" s="110">
        <f t="shared" si="2"/>
        <v>1000</v>
      </c>
      <c r="G18" s="51" t="s">
        <v>3</v>
      </c>
      <c r="H18" s="48">
        <v>2</v>
      </c>
      <c r="I18" s="49" t="s">
        <v>45</v>
      </c>
      <c r="J18" s="184">
        <v>70</v>
      </c>
      <c r="K18" s="113">
        <v>160</v>
      </c>
      <c r="L18" s="113">
        <v>1000</v>
      </c>
      <c r="M18" s="185">
        <v>5.9102498170378581</v>
      </c>
      <c r="N18" s="87">
        <v>145.36731794480437</v>
      </c>
      <c r="O18" s="119">
        <v>12595.689975729714</v>
      </c>
      <c r="P18" s="121">
        <v>14775.738184880553</v>
      </c>
      <c r="Q18" s="310">
        <v>6074.5091221102521</v>
      </c>
      <c r="R18" s="314">
        <v>18670.199097839966</v>
      </c>
      <c r="S18" s="315">
        <v>20850.247306990805</v>
      </c>
      <c r="U18" s="7" t="s">
        <v>1116</v>
      </c>
    </row>
    <row r="19" spans="1:21" s="74" customFormat="1" ht="16.5" customHeight="1" thickBot="1">
      <c r="A19" s="50" t="s">
        <v>35</v>
      </c>
      <c r="B19" s="51">
        <f t="shared" si="0"/>
        <v>70</v>
      </c>
      <c r="C19" s="51" t="s">
        <v>3</v>
      </c>
      <c r="D19" s="51">
        <f t="shared" si="1"/>
        <v>160</v>
      </c>
      <c r="E19" s="51" t="s">
        <v>3</v>
      </c>
      <c r="F19" s="110">
        <f t="shared" si="2"/>
        <v>1050</v>
      </c>
      <c r="G19" s="51" t="s">
        <v>3</v>
      </c>
      <c r="H19" s="48">
        <v>2</v>
      </c>
      <c r="I19" s="49" t="s">
        <v>45</v>
      </c>
      <c r="J19" s="184">
        <v>70</v>
      </c>
      <c r="K19" s="113">
        <v>160</v>
      </c>
      <c r="L19" s="113">
        <v>1050</v>
      </c>
      <c r="M19" s="185">
        <v>6.1852523862035707</v>
      </c>
      <c r="N19" s="87">
        <v>156.54941932517391</v>
      </c>
      <c r="O19" s="119">
        <v>12987.687337327015</v>
      </c>
      <c r="P19" s="121">
        <v>15256.138579370216</v>
      </c>
      <c r="Q19" s="310">
        <v>6376.1429979012382</v>
      </c>
      <c r="R19" s="314">
        <v>19363.830335228253</v>
      </c>
      <c r="S19" s="315">
        <v>21632.281577271453</v>
      </c>
      <c r="U19" s="7" t="s">
        <v>1117</v>
      </c>
    </row>
    <row r="20" spans="1:21" s="74" customFormat="1" ht="16.5" customHeight="1" thickBot="1">
      <c r="A20" s="47" t="s">
        <v>35</v>
      </c>
      <c r="B20" s="48">
        <f t="shared" si="0"/>
        <v>70</v>
      </c>
      <c r="C20" s="48" t="s">
        <v>3</v>
      </c>
      <c r="D20" s="48">
        <f t="shared" si="1"/>
        <v>160</v>
      </c>
      <c r="E20" s="48" t="s">
        <v>3</v>
      </c>
      <c r="F20" s="110">
        <f t="shared" si="2"/>
        <v>1100</v>
      </c>
      <c r="G20" s="48" t="s">
        <v>3</v>
      </c>
      <c r="H20" s="48">
        <v>2</v>
      </c>
      <c r="I20" s="49" t="s">
        <v>45</v>
      </c>
      <c r="J20" s="184">
        <v>70</v>
      </c>
      <c r="K20" s="113">
        <v>160</v>
      </c>
      <c r="L20" s="113">
        <v>1100</v>
      </c>
      <c r="M20" s="185">
        <v>6.4602549553692858</v>
      </c>
      <c r="N20" s="87">
        <v>167.73152070554349</v>
      </c>
      <c r="O20" s="119">
        <v>13379.684698924315</v>
      </c>
      <c r="P20" s="121">
        <v>15736.538973859877</v>
      </c>
      <c r="Q20" s="310">
        <v>6677.7767332988633</v>
      </c>
      <c r="R20" s="314">
        <v>20057.461432223179</v>
      </c>
      <c r="S20" s="315">
        <v>22414.315707158741</v>
      </c>
      <c r="U20" s="7" t="s">
        <v>1118</v>
      </c>
    </row>
    <row r="21" spans="1:21" s="74" customFormat="1" ht="16.5" customHeight="1" thickBot="1">
      <c r="A21" s="50" t="s">
        <v>35</v>
      </c>
      <c r="B21" s="51">
        <f t="shared" si="0"/>
        <v>70</v>
      </c>
      <c r="C21" s="51" t="s">
        <v>3</v>
      </c>
      <c r="D21" s="51">
        <f t="shared" si="1"/>
        <v>160</v>
      </c>
      <c r="E21" s="51" t="s">
        <v>3</v>
      </c>
      <c r="F21" s="110">
        <f t="shared" si="2"/>
        <v>1150</v>
      </c>
      <c r="G21" s="51" t="s">
        <v>3</v>
      </c>
      <c r="H21" s="48">
        <v>2</v>
      </c>
      <c r="I21" s="49" t="s">
        <v>45</v>
      </c>
      <c r="J21" s="184">
        <v>70</v>
      </c>
      <c r="K21" s="113">
        <v>160</v>
      </c>
      <c r="L21" s="113">
        <v>1150</v>
      </c>
      <c r="M21" s="185">
        <v>6.735257524535001</v>
      </c>
      <c r="N21" s="87">
        <v>178.91362208591306</v>
      </c>
      <c r="O21" s="119">
        <v>13771.682060521616</v>
      </c>
      <c r="P21" s="121">
        <v>16216.939368349542</v>
      </c>
      <c r="Q21" s="310">
        <v>6979.4104686964893</v>
      </c>
      <c r="R21" s="314">
        <v>20751.092529218105</v>
      </c>
      <c r="S21" s="315">
        <v>23196.349837046029</v>
      </c>
      <c r="U21" s="7" t="s">
        <v>1119</v>
      </c>
    </row>
    <row r="22" spans="1:21" s="74" customFormat="1" ht="16.5" customHeight="1" thickBot="1">
      <c r="A22" s="50" t="s">
        <v>35</v>
      </c>
      <c r="B22" s="51">
        <f t="shared" si="0"/>
        <v>70</v>
      </c>
      <c r="C22" s="51" t="s">
        <v>3</v>
      </c>
      <c r="D22" s="51">
        <f t="shared" si="1"/>
        <v>160</v>
      </c>
      <c r="E22" s="51" t="s">
        <v>3</v>
      </c>
      <c r="F22" s="110">
        <f t="shared" si="2"/>
        <v>1200</v>
      </c>
      <c r="G22" s="51" t="s">
        <v>3</v>
      </c>
      <c r="H22" s="48">
        <v>2</v>
      </c>
      <c r="I22" s="49" t="s">
        <v>45</v>
      </c>
      <c r="J22" s="184">
        <v>70</v>
      </c>
      <c r="K22" s="113">
        <v>160</v>
      </c>
      <c r="L22" s="113">
        <v>1200</v>
      </c>
      <c r="M22" s="185">
        <v>7.0495100937007145</v>
      </c>
      <c r="N22" s="87">
        <v>190.09572346628264</v>
      </c>
      <c r="O22" s="119">
        <v>14209.55126859544</v>
      </c>
      <c r="P22" s="121">
        <v>16741.813291425227</v>
      </c>
      <c r="Q22" s="310">
        <v>7281.0443444874772</v>
      </c>
      <c r="R22" s="314">
        <v>21490.595613082918</v>
      </c>
      <c r="S22" s="315">
        <v>24022.857635912704</v>
      </c>
      <c r="U22" s="7" t="s">
        <v>1120</v>
      </c>
    </row>
    <row r="23" spans="1:21" s="74" customFormat="1" ht="16.5" customHeight="1" thickBot="1">
      <c r="A23" s="50" t="s">
        <v>35</v>
      </c>
      <c r="B23" s="51">
        <f t="shared" si="0"/>
        <v>70</v>
      </c>
      <c r="C23" s="51" t="s">
        <v>3</v>
      </c>
      <c r="D23" s="51">
        <f t="shared" si="1"/>
        <v>160</v>
      </c>
      <c r="E23" s="51" t="s">
        <v>3</v>
      </c>
      <c r="F23" s="110">
        <f t="shared" si="2"/>
        <v>1250</v>
      </c>
      <c r="G23" s="51" t="s">
        <v>3</v>
      </c>
      <c r="H23" s="48">
        <v>2</v>
      </c>
      <c r="I23" s="49" t="s">
        <v>45</v>
      </c>
      <c r="J23" s="184">
        <v>70</v>
      </c>
      <c r="K23" s="113">
        <v>160</v>
      </c>
      <c r="L23" s="113">
        <v>1250</v>
      </c>
      <c r="M23" s="185">
        <v>7.3245126628664288</v>
      </c>
      <c r="N23" s="87">
        <v>201.27782484665221</v>
      </c>
      <c r="O23" s="119">
        <v>14601.548630192739</v>
      </c>
      <c r="P23" s="121">
        <v>17222.213685914892</v>
      </c>
      <c r="Q23" s="310">
        <v>7582.6780798851014</v>
      </c>
      <c r="R23" s="314">
        <v>22184.226710077841</v>
      </c>
      <c r="S23" s="315">
        <v>24804.891765799992</v>
      </c>
      <c r="U23" s="7" t="s">
        <v>1121</v>
      </c>
    </row>
    <row r="24" spans="1:21" s="74" customFormat="1" ht="16.5" customHeight="1" thickBot="1">
      <c r="A24" s="50" t="s">
        <v>35</v>
      </c>
      <c r="B24" s="51">
        <f t="shared" si="0"/>
        <v>70</v>
      </c>
      <c r="C24" s="51" t="s">
        <v>3</v>
      </c>
      <c r="D24" s="51">
        <f t="shared" si="1"/>
        <v>160</v>
      </c>
      <c r="E24" s="51" t="s">
        <v>3</v>
      </c>
      <c r="F24" s="110">
        <f t="shared" si="2"/>
        <v>1300</v>
      </c>
      <c r="G24" s="51" t="s">
        <v>3</v>
      </c>
      <c r="H24" s="48">
        <v>2</v>
      </c>
      <c r="I24" s="49" t="s">
        <v>45</v>
      </c>
      <c r="J24" s="184">
        <v>70</v>
      </c>
      <c r="K24" s="113">
        <v>160</v>
      </c>
      <c r="L24" s="113">
        <v>1300</v>
      </c>
      <c r="M24" s="185">
        <v>7.5995152320321431</v>
      </c>
      <c r="N24" s="87">
        <v>212.45992622702175</v>
      </c>
      <c r="O24" s="119">
        <v>14993.546132183403</v>
      </c>
      <c r="P24" s="121">
        <v>17702.614080404554</v>
      </c>
      <c r="Q24" s="310">
        <v>7884.3118152827265</v>
      </c>
      <c r="R24" s="314">
        <v>22877.857947466131</v>
      </c>
      <c r="S24" s="315">
        <v>25586.92589568728</v>
      </c>
      <c r="U24" s="7" t="s">
        <v>1122</v>
      </c>
    </row>
    <row r="25" spans="1:21" s="74" customFormat="1" ht="16.5" customHeight="1" thickBot="1">
      <c r="A25" s="50" t="s">
        <v>35</v>
      </c>
      <c r="B25" s="51">
        <f t="shared" si="0"/>
        <v>70</v>
      </c>
      <c r="C25" s="51" t="s">
        <v>3</v>
      </c>
      <c r="D25" s="51">
        <f t="shared" si="1"/>
        <v>160</v>
      </c>
      <c r="E25" s="51" t="s">
        <v>3</v>
      </c>
      <c r="F25" s="110">
        <f t="shared" si="2"/>
        <v>1350</v>
      </c>
      <c r="G25" s="51" t="s">
        <v>3</v>
      </c>
      <c r="H25" s="48">
        <v>2</v>
      </c>
      <c r="I25" s="49" t="s">
        <v>45</v>
      </c>
      <c r="J25" s="184">
        <v>70</v>
      </c>
      <c r="K25" s="113">
        <v>160</v>
      </c>
      <c r="L25" s="113">
        <v>1350</v>
      </c>
      <c r="M25" s="185">
        <v>7.8745178011978565</v>
      </c>
      <c r="N25" s="87">
        <v>223.64202760739133</v>
      </c>
      <c r="O25" s="119">
        <v>15385.543493780704</v>
      </c>
      <c r="P25" s="121">
        <v>18183.014474894218</v>
      </c>
      <c r="Q25" s="310">
        <v>8185.9456910737144</v>
      </c>
      <c r="R25" s="314">
        <v>23571.489184854418</v>
      </c>
      <c r="S25" s="315">
        <v>26368.960165967932</v>
      </c>
      <c r="U25" s="7" t="s">
        <v>1123</v>
      </c>
    </row>
    <row r="26" spans="1:21" s="74" customFormat="1" ht="16.5" customHeight="1" thickBot="1">
      <c r="A26" s="50" t="s">
        <v>35</v>
      </c>
      <c r="B26" s="51">
        <f t="shared" si="0"/>
        <v>70</v>
      </c>
      <c r="C26" s="51" t="s">
        <v>3</v>
      </c>
      <c r="D26" s="51">
        <f t="shared" si="1"/>
        <v>160</v>
      </c>
      <c r="E26" s="51" t="s">
        <v>3</v>
      </c>
      <c r="F26" s="110">
        <f t="shared" si="2"/>
        <v>1400</v>
      </c>
      <c r="G26" s="51" t="s">
        <v>3</v>
      </c>
      <c r="H26" s="48">
        <v>2</v>
      </c>
      <c r="I26" s="49" t="s">
        <v>45</v>
      </c>
      <c r="J26" s="184">
        <v>70</v>
      </c>
      <c r="K26" s="113">
        <v>160</v>
      </c>
      <c r="L26" s="113">
        <v>1400</v>
      </c>
      <c r="M26" s="185">
        <v>8.1495203703635717</v>
      </c>
      <c r="N26" s="87">
        <v>234.8241289877609</v>
      </c>
      <c r="O26" s="119">
        <v>15777.540855378003</v>
      </c>
      <c r="P26" s="121">
        <v>18663.41486938388</v>
      </c>
      <c r="Q26" s="310">
        <v>8487.5794264713404</v>
      </c>
      <c r="R26" s="314">
        <v>24265.120281849344</v>
      </c>
      <c r="S26" s="315">
        <v>27150.99429585522</v>
      </c>
      <c r="U26" s="7" t="s">
        <v>1124</v>
      </c>
    </row>
    <row r="27" spans="1:21" s="74" customFormat="1" ht="16.5" customHeight="1" thickBot="1">
      <c r="A27" s="50" t="s">
        <v>35</v>
      </c>
      <c r="B27" s="51">
        <f t="shared" si="0"/>
        <v>70</v>
      </c>
      <c r="C27" s="51" t="s">
        <v>3</v>
      </c>
      <c r="D27" s="51">
        <f t="shared" si="1"/>
        <v>160</v>
      </c>
      <c r="E27" s="51" t="s">
        <v>3</v>
      </c>
      <c r="F27" s="110">
        <f t="shared" si="2"/>
        <v>1450</v>
      </c>
      <c r="G27" s="51" t="s">
        <v>3</v>
      </c>
      <c r="H27" s="48">
        <v>2</v>
      </c>
      <c r="I27" s="49" t="s">
        <v>45</v>
      </c>
      <c r="J27" s="184">
        <v>70</v>
      </c>
      <c r="K27" s="113">
        <v>160</v>
      </c>
      <c r="L27" s="113">
        <v>1450</v>
      </c>
      <c r="M27" s="185">
        <v>8.424522939529286</v>
      </c>
      <c r="N27" s="87">
        <v>246.00623036813047</v>
      </c>
      <c r="O27" s="119">
        <v>16169.538216975305</v>
      </c>
      <c r="P27" s="121">
        <v>19143.815123480177</v>
      </c>
      <c r="Q27" s="310">
        <v>8789.2131618689637</v>
      </c>
      <c r="R27" s="314">
        <v>24958.751378844267</v>
      </c>
      <c r="S27" s="315">
        <v>27933.028285349141</v>
      </c>
      <c r="U27" s="7" t="s">
        <v>1125</v>
      </c>
    </row>
    <row r="28" spans="1:21" s="74" customFormat="1" ht="16.5" customHeight="1" thickBot="1">
      <c r="A28" s="50" t="s">
        <v>35</v>
      </c>
      <c r="B28" s="51">
        <f t="shared" si="0"/>
        <v>70</v>
      </c>
      <c r="C28" s="51" t="s">
        <v>3</v>
      </c>
      <c r="D28" s="51">
        <f t="shared" si="1"/>
        <v>160</v>
      </c>
      <c r="E28" s="51" t="s">
        <v>3</v>
      </c>
      <c r="F28" s="110">
        <f t="shared" si="2"/>
        <v>1500</v>
      </c>
      <c r="G28" s="51" t="s">
        <v>3</v>
      </c>
      <c r="H28" s="48">
        <v>2</v>
      </c>
      <c r="I28" s="49" t="s">
        <v>45</v>
      </c>
      <c r="J28" s="184">
        <v>70</v>
      </c>
      <c r="K28" s="113">
        <v>160</v>
      </c>
      <c r="L28" s="113">
        <v>1500</v>
      </c>
      <c r="M28" s="185">
        <v>8.7712879374949999</v>
      </c>
      <c r="N28" s="87">
        <v>257.18833174849999</v>
      </c>
      <c r="O28" s="119">
        <v>17100.970820420065</v>
      </c>
      <c r="P28" s="121">
        <v>20071.705181208978</v>
      </c>
      <c r="Q28" s="310">
        <v>9090.8468972665887</v>
      </c>
      <c r="R28" s="314">
        <v>26191.817717686652</v>
      </c>
      <c r="S28" s="315">
        <v>29162.552078475564</v>
      </c>
      <c r="U28" s="7" t="s">
        <v>1126</v>
      </c>
    </row>
    <row r="29" spans="1:21" s="74" customFormat="1" ht="16.5" customHeight="1" thickBot="1">
      <c r="A29" s="50" t="s">
        <v>35</v>
      </c>
      <c r="B29" s="51">
        <f t="shared" si="0"/>
        <v>70</v>
      </c>
      <c r="C29" s="51" t="s">
        <v>3</v>
      </c>
      <c r="D29" s="51">
        <f t="shared" si="1"/>
        <v>160</v>
      </c>
      <c r="E29" s="51" t="s">
        <v>3</v>
      </c>
      <c r="F29" s="110">
        <f t="shared" si="2"/>
        <v>1550</v>
      </c>
      <c r="G29" s="51" t="s">
        <v>3</v>
      </c>
      <c r="H29" s="48">
        <v>2</v>
      </c>
      <c r="I29" s="49" t="s">
        <v>45</v>
      </c>
      <c r="J29" s="184">
        <v>70</v>
      </c>
      <c r="K29" s="113">
        <v>160</v>
      </c>
      <c r="L29" s="113">
        <v>1550</v>
      </c>
      <c r="M29" s="185">
        <v>9.0462905066607142</v>
      </c>
      <c r="N29" s="87">
        <v>268.37043312886959</v>
      </c>
      <c r="O29" s="119">
        <v>17492.968182017365</v>
      </c>
      <c r="P29" s="121">
        <v>20552.105575698642</v>
      </c>
      <c r="Q29" s="310">
        <v>9392.4807730575776</v>
      </c>
      <c r="R29" s="314">
        <v>26885.448955074942</v>
      </c>
      <c r="S29" s="315">
        <v>29944.58634875622</v>
      </c>
      <c r="U29" s="7" t="s">
        <v>1127</v>
      </c>
    </row>
    <row r="30" spans="1:21" s="74" customFormat="1" ht="16.5" customHeight="1" thickBot="1">
      <c r="A30" s="47" t="s">
        <v>35</v>
      </c>
      <c r="B30" s="48">
        <f t="shared" si="0"/>
        <v>70</v>
      </c>
      <c r="C30" s="48" t="s">
        <v>3</v>
      </c>
      <c r="D30" s="48">
        <f t="shared" si="1"/>
        <v>160</v>
      </c>
      <c r="E30" s="48" t="s">
        <v>3</v>
      </c>
      <c r="F30" s="110">
        <f t="shared" si="2"/>
        <v>1600</v>
      </c>
      <c r="G30" s="48" t="s">
        <v>3</v>
      </c>
      <c r="H30" s="48">
        <v>2</v>
      </c>
      <c r="I30" s="49" t="s">
        <v>45</v>
      </c>
      <c r="J30" s="184">
        <v>70</v>
      </c>
      <c r="K30" s="113">
        <v>160</v>
      </c>
      <c r="L30" s="113">
        <v>1600</v>
      </c>
      <c r="M30" s="185">
        <v>9.3212930758264285</v>
      </c>
      <c r="N30" s="87">
        <v>279.55253450923914</v>
      </c>
      <c r="O30" s="119">
        <v>17884.965543614664</v>
      </c>
      <c r="P30" s="121">
        <v>21032.505970188304</v>
      </c>
      <c r="Q30" s="310">
        <v>9694.1145084552027</v>
      </c>
      <c r="R30" s="314">
        <v>27579.080052069869</v>
      </c>
      <c r="S30" s="315">
        <v>30726.620478643505</v>
      </c>
      <c r="U30" s="7" t="s">
        <v>1128</v>
      </c>
    </row>
    <row r="31" spans="1:21" s="74" customFormat="1" ht="16.5" customHeight="1" thickBot="1">
      <c r="A31" s="50" t="s">
        <v>35</v>
      </c>
      <c r="B31" s="51">
        <f t="shared" si="0"/>
        <v>70</v>
      </c>
      <c r="C31" s="51" t="s">
        <v>3</v>
      </c>
      <c r="D31" s="51">
        <f t="shared" si="1"/>
        <v>160</v>
      </c>
      <c r="E31" s="51" t="s">
        <v>3</v>
      </c>
      <c r="F31" s="110">
        <f t="shared" si="2"/>
        <v>1650</v>
      </c>
      <c r="G31" s="51" t="s">
        <v>3</v>
      </c>
      <c r="H31" s="48">
        <v>2</v>
      </c>
      <c r="I31" s="49" t="s">
        <v>45</v>
      </c>
      <c r="J31" s="184">
        <v>70</v>
      </c>
      <c r="K31" s="113">
        <v>160</v>
      </c>
      <c r="L31" s="113">
        <v>1650</v>
      </c>
      <c r="M31" s="185">
        <v>9.5962956449921428</v>
      </c>
      <c r="N31" s="87">
        <v>290.73463588960874</v>
      </c>
      <c r="O31" s="119">
        <v>18276.962905211967</v>
      </c>
      <c r="P31" s="121">
        <v>21512.906364677969</v>
      </c>
      <c r="Q31" s="310">
        <v>9995.7482438528277</v>
      </c>
      <c r="R31" s="314">
        <v>28272.711149064795</v>
      </c>
      <c r="S31" s="315">
        <v>31508.654608530796</v>
      </c>
      <c r="U31" s="7" t="s">
        <v>1129</v>
      </c>
    </row>
    <row r="32" spans="1:21" s="74" customFormat="1" ht="16.5" customHeight="1" thickBot="1">
      <c r="A32" s="50" t="s">
        <v>35</v>
      </c>
      <c r="B32" s="51">
        <f t="shared" si="0"/>
        <v>70</v>
      </c>
      <c r="C32" s="51" t="s">
        <v>3</v>
      </c>
      <c r="D32" s="51">
        <f t="shared" si="1"/>
        <v>160</v>
      </c>
      <c r="E32" s="51" t="s">
        <v>3</v>
      </c>
      <c r="F32" s="110">
        <f t="shared" si="2"/>
        <v>1700</v>
      </c>
      <c r="G32" s="51" t="s">
        <v>3</v>
      </c>
      <c r="H32" s="48">
        <v>2</v>
      </c>
      <c r="I32" s="49" t="s">
        <v>45</v>
      </c>
      <c r="J32" s="184">
        <v>70</v>
      </c>
      <c r="K32" s="113">
        <v>160</v>
      </c>
      <c r="L32" s="113">
        <v>1700</v>
      </c>
      <c r="M32" s="185">
        <v>9.8712982141578571</v>
      </c>
      <c r="N32" s="87">
        <v>301.91673726997828</v>
      </c>
      <c r="O32" s="119">
        <v>18668.96040720263</v>
      </c>
      <c r="P32" s="121">
        <v>21993.306618774266</v>
      </c>
      <c r="Q32" s="310">
        <v>10297.382119643815</v>
      </c>
      <c r="R32" s="314">
        <v>28966.342526846445</v>
      </c>
      <c r="S32" s="315">
        <v>32290.688738418081</v>
      </c>
      <c r="U32" s="7" t="s">
        <v>1130</v>
      </c>
    </row>
    <row r="33" spans="1:21" s="74" customFormat="1" ht="16.5" customHeight="1" thickBot="1">
      <c r="A33" s="50" t="s">
        <v>35</v>
      </c>
      <c r="B33" s="51">
        <f t="shared" si="0"/>
        <v>70</v>
      </c>
      <c r="C33" s="51" t="s">
        <v>3</v>
      </c>
      <c r="D33" s="51">
        <f t="shared" si="1"/>
        <v>160</v>
      </c>
      <c r="E33" s="51" t="s">
        <v>3</v>
      </c>
      <c r="F33" s="110">
        <f t="shared" si="2"/>
        <v>1750</v>
      </c>
      <c r="G33" s="51" t="s">
        <v>3</v>
      </c>
      <c r="H33" s="48">
        <v>2</v>
      </c>
      <c r="I33" s="49" t="s">
        <v>45</v>
      </c>
      <c r="J33" s="184">
        <v>70</v>
      </c>
      <c r="K33" s="113">
        <v>160</v>
      </c>
      <c r="L33" s="113">
        <v>1750</v>
      </c>
      <c r="M33" s="185">
        <v>10.146300783323571</v>
      </c>
      <c r="N33" s="87">
        <v>313.09883865034783</v>
      </c>
      <c r="O33" s="119">
        <v>19060.95776879993</v>
      </c>
      <c r="P33" s="121">
        <v>22473.707013263927</v>
      </c>
      <c r="Q33" s="310">
        <v>10599.01585504144</v>
      </c>
      <c r="R33" s="314">
        <v>29659.973623841368</v>
      </c>
      <c r="S33" s="315">
        <v>33072.722868305369</v>
      </c>
      <c r="U33" s="7" t="s">
        <v>1131</v>
      </c>
    </row>
    <row r="34" spans="1:21" s="74" customFormat="1" ht="16.5" customHeight="1" thickBot="1">
      <c r="A34" s="50" t="s">
        <v>35</v>
      </c>
      <c r="B34" s="51">
        <f t="shared" si="0"/>
        <v>70</v>
      </c>
      <c r="C34" s="51" t="s">
        <v>3</v>
      </c>
      <c r="D34" s="51">
        <f t="shared" si="1"/>
        <v>160</v>
      </c>
      <c r="E34" s="51" t="s">
        <v>3</v>
      </c>
      <c r="F34" s="110">
        <f t="shared" si="2"/>
        <v>1800</v>
      </c>
      <c r="G34" s="51" t="s">
        <v>3</v>
      </c>
      <c r="H34" s="48">
        <v>2</v>
      </c>
      <c r="I34" s="49" t="s">
        <v>45</v>
      </c>
      <c r="J34" s="184">
        <v>70</v>
      </c>
      <c r="K34" s="113">
        <v>160</v>
      </c>
      <c r="L34" s="113">
        <v>1800</v>
      </c>
      <c r="M34" s="185">
        <v>10.421303352489284</v>
      </c>
      <c r="N34" s="87">
        <v>324.28094003071743</v>
      </c>
      <c r="O34" s="119">
        <v>19452.955130397229</v>
      </c>
      <c r="P34" s="121">
        <v>22954.107407753592</v>
      </c>
      <c r="Q34" s="310">
        <v>10900.649590439065</v>
      </c>
      <c r="R34" s="314">
        <v>30353.604720836294</v>
      </c>
      <c r="S34" s="315">
        <v>33854.756998192657</v>
      </c>
      <c r="U34" s="7" t="s">
        <v>1132</v>
      </c>
    </row>
    <row r="35" spans="1:21" s="74" customFormat="1" ht="16.5" customHeight="1" thickBot="1">
      <c r="A35" s="50" t="s">
        <v>35</v>
      </c>
      <c r="B35" s="51">
        <f t="shared" si="0"/>
        <v>70</v>
      </c>
      <c r="C35" s="51" t="s">
        <v>3</v>
      </c>
      <c r="D35" s="51">
        <f t="shared" si="1"/>
        <v>160</v>
      </c>
      <c r="E35" s="51" t="s">
        <v>3</v>
      </c>
      <c r="F35" s="110">
        <f t="shared" si="2"/>
        <v>1850</v>
      </c>
      <c r="G35" s="51" t="s">
        <v>3</v>
      </c>
      <c r="H35" s="48">
        <v>2</v>
      </c>
      <c r="I35" s="49" t="s">
        <v>45</v>
      </c>
      <c r="J35" s="184">
        <v>70</v>
      </c>
      <c r="K35" s="113">
        <v>160</v>
      </c>
      <c r="L35" s="113">
        <v>1850</v>
      </c>
      <c r="M35" s="185">
        <v>10.696305921655</v>
      </c>
      <c r="N35" s="87">
        <v>335.46304141108698</v>
      </c>
      <c r="O35" s="119">
        <v>19844.952632387893</v>
      </c>
      <c r="P35" s="121">
        <v>23434.507802243254</v>
      </c>
      <c r="Q35" s="310">
        <v>11202.283466230052</v>
      </c>
      <c r="R35" s="314">
        <v>31047.236098617945</v>
      </c>
      <c r="S35" s="315">
        <v>34636.791268473302</v>
      </c>
      <c r="U35" s="7" t="s">
        <v>1133</v>
      </c>
    </row>
    <row r="36" spans="1:21" s="74" customFormat="1" ht="16.5" customHeight="1" thickBot="1">
      <c r="A36" s="50" t="s">
        <v>35</v>
      </c>
      <c r="B36" s="51">
        <f t="shared" si="0"/>
        <v>70</v>
      </c>
      <c r="C36" s="51" t="s">
        <v>3</v>
      </c>
      <c r="D36" s="51">
        <f t="shared" si="1"/>
        <v>160</v>
      </c>
      <c r="E36" s="51" t="s">
        <v>3</v>
      </c>
      <c r="F36" s="110">
        <f t="shared" si="2"/>
        <v>1900</v>
      </c>
      <c r="G36" s="51" t="s">
        <v>3</v>
      </c>
      <c r="H36" s="48">
        <v>2</v>
      </c>
      <c r="I36" s="49" t="s">
        <v>45</v>
      </c>
      <c r="J36" s="184">
        <v>70</v>
      </c>
      <c r="K36" s="113">
        <v>160</v>
      </c>
      <c r="L36" s="113">
        <v>1900</v>
      </c>
      <c r="M36" s="185">
        <v>10.971308490820714</v>
      </c>
      <c r="N36" s="87">
        <v>346.64514279145658</v>
      </c>
      <c r="O36" s="119">
        <v>20236.949993985192</v>
      </c>
      <c r="P36" s="121">
        <v>23914.908196732918</v>
      </c>
      <c r="Q36" s="310">
        <v>11503.917201627679</v>
      </c>
      <c r="R36" s="314">
        <v>31740.867195612871</v>
      </c>
      <c r="S36" s="315">
        <v>35418.825398360597</v>
      </c>
      <c r="U36" s="7" t="s">
        <v>1134</v>
      </c>
    </row>
    <row r="37" spans="1:21" s="74" customFormat="1" ht="16.5" customHeight="1" thickBot="1">
      <c r="A37" s="50" t="s">
        <v>35</v>
      </c>
      <c r="B37" s="51">
        <f t="shared" si="0"/>
        <v>70</v>
      </c>
      <c r="C37" s="51" t="s">
        <v>3</v>
      </c>
      <c r="D37" s="51">
        <f t="shared" si="1"/>
        <v>160</v>
      </c>
      <c r="E37" s="51" t="s">
        <v>3</v>
      </c>
      <c r="F37" s="110">
        <f t="shared" si="2"/>
        <v>1950</v>
      </c>
      <c r="G37" s="51" t="s">
        <v>3</v>
      </c>
      <c r="H37" s="48">
        <v>2</v>
      </c>
      <c r="I37" s="49" t="s">
        <v>45</v>
      </c>
      <c r="J37" s="184">
        <v>70</v>
      </c>
      <c r="K37" s="113">
        <v>160</v>
      </c>
      <c r="L37" s="113">
        <v>1950</v>
      </c>
      <c r="M37" s="185">
        <v>11.285561059986428</v>
      </c>
      <c r="N37" s="87">
        <v>357.82724417182612</v>
      </c>
      <c r="O37" s="119">
        <v>20674.819202059018</v>
      </c>
      <c r="P37" s="121">
        <v>24439.782119808606</v>
      </c>
      <c r="Q37" s="310">
        <v>11805.550937025304</v>
      </c>
      <c r="R37" s="314">
        <v>32480.37013908432</v>
      </c>
      <c r="S37" s="315">
        <v>36245.333056833908</v>
      </c>
      <c r="U37" s="7" t="s">
        <v>1135</v>
      </c>
    </row>
    <row r="38" spans="1:21" s="74" customFormat="1" ht="16.5" customHeight="1" thickBot="1">
      <c r="A38" s="50" t="s">
        <v>35</v>
      </c>
      <c r="B38" s="51">
        <f t="shared" si="0"/>
        <v>70</v>
      </c>
      <c r="C38" s="51" t="s">
        <v>3</v>
      </c>
      <c r="D38" s="51">
        <f t="shared" si="1"/>
        <v>160</v>
      </c>
      <c r="E38" s="51" t="s">
        <v>3</v>
      </c>
      <c r="F38" s="110">
        <f t="shared" si="2"/>
        <v>2000</v>
      </c>
      <c r="G38" s="51" t="s">
        <v>3</v>
      </c>
      <c r="H38" s="48">
        <v>2</v>
      </c>
      <c r="I38" s="49" t="s">
        <v>45</v>
      </c>
      <c r="J38" s="184">
        <v>70</v>
      </c>
      <c r="K38" s="113">
        <v>160</v>
      </c>
      <c r="L38" s="113">
        <v>2000</v>
      </c>
      <c r="M38" s="185">
        <v>11.652126029152143</v>
      </c>
      <c r="N38" s="87">
        <v>369.00934555219567</v>
      </c>
      <c r="O38" s="119">
        <v>21297.359592871544</v>
      </c>
      <c r="P38" s="121">
        <v>25221.493064175418</v>
      </c>
      <c r="Q38" s="310">
        <v>12107.184812816291</v>
      </c>
      <c r="R38" s="314">
        <v>33404.544405687833</v>
      </c>
      <c r="S38" s="315">
        <v>37328.677876991707</v>
      </c>
      <c r="U38" s="7" t="s">
        <v>1136</v>
      </c>
    </row>
    <row r="39" spans="1:21" s="74" customFormat="1" ht="16.5" customHeight="1" thickBot="1">
      <c r="A39" s="50" t="s">
        <v>35</v>
      </c>
      <c r="B39" s="51">
        <f t="shared" si="0"/>
        <v>70</v>
      </c>
      <c r="C39" s="51" t="s">
        <v>3</v>
      </c>
      <c r="D39" s="51">
        <f t="shared" si="1"/>
        <v>160</v>
      </c>
      <c r="E39" s="51" t="s">
        <v>3</v>
      </c>
      <c r="F39" s="110">
        <f t="shared" si="2"/>
        <v>2050</v>
      </c>
      <c r="G39" s="51" t="s">
        <v>3</v>
      </c>
      <c r="H39" s="48">
        <v>2</v>
      </c>
      <c r="I39" s="49" t="s">
        <v>45</v>
      </c>
      <c r="J39" s="184">
        <v>70</v>
      </c>
      <c r="K39" s="113">
        <v>160</v>
      </c>
      <c r="L39" s="113">
        <v>2050</v>
      </c>
      <c r="M39" s="185">
        <v>11.927128598317857</v>
      </c>
      <c r="N39" s="87">
        <v>380.19144693256527</v>
      </c>
      <c r="O39" s="119">
        <v>21689.35695446884</v>
      </c>
      <c r="P39" s="121">
        <v>25701.893458665083</v>
      </c>
      <c r="Q39" s="310">
        <v>12408.818548213916</v>
      </c>
      <c r="R39" s="314">
        <v>34098.17550268276</v>
      </c>
      <c r="S39" s="315">
        <v>38110.712006878995</v>
      </c>
      <c r="U39" s="7" t="s">
        <v>1137</v>
      </c>
    </row>
    <row r="40" spans="1:21" s="74" customFormat="1" ht="16.5" customHeight="1" thickBot="1">
      <c r="A40" s="47" t="s">
        <v>35</v>
      </c>
      <c r="B40" s="48">
        <f t="shared" si="0"/>
        <v>70</v>
      </c>
      <c r="C40" s="48" t="s">
        <v>3</v>
      </c>
      <c r="D40" s="48">
        <f t="shared" si="1"/>
        <v>160</v>
      </c>
      <c r="E40" s="48" t="s">
        <v>3</v>
      </c>
      <c r="F40" s="110">
        <f t="shared" si="2"/>
        <v>2100</v>
      </c>
      <c r="G40" s="48" t="s">
        <v>3</v>
      </c>
      <c r="H40" s="48">
        <v>2</v>
      </c>
      <c r="I40" s="49" t="s">
        <v>45</v>
      </c>
      <c r="J40" s="184">
        <v>70</v>
      </c>
      <c r="K40" s="113">
        <v>160</v>
      </c>
      <c r="L40" s="113">
        <v>2100</v>
      </c>
      <c r="M40" s="185">
        <v>12.202131167483572</v>
      </c>
      <c r="N40" s="87">
        <v>391.37354831293482</v>
      </c>
      <c r="O40" s="119">
        <v>22081.354316066143</v>
      </c>
      <c r="P40" s="121">
        <v>26182.293853154741</v>
      </c>
      <c r="Q40" s="310">
        <v>12710.452283611541</v>
      </c>
      <c r="R40" s="314">
        <v>34791.806599677686</v>
      </c>
      <c r="S40" s="315">
        <v>38892.746136766284</v>
      </c>
      <c r="U40" s="7" t="s">
        <v>1138</v>
      </c>
    </row>
    <row r="41" spans="1:21" s="74" customFormat="1" ht="16.5" customHeight="1" thickBot="1">
      <c r="A41" s="50" t="s">
        <v>35</v>
      </c>
      <c r="B41" s="51">
        <f t="shared" si="0"/>
        <v>70</v>
      </c>
      <c r="C41" s="51" t="s">
        <v>3</v>
      </c>
      <c r="D41" s="51">
        <f t="shared" si="1"/>
        <v>160</v>
      </c>
      <c r="E41" s="51" t="s">
        <v>3</v>
      </c>
      <c r="F41" s="110">
        <f t="shared" si="2"/>
        <v>2150</v>
      </c>
      <c r="G41" s="51" t="s">
        <v>3</v>
      </c>
      <c r="H41" s="48">
        <v>2</v>
      </c>
      <c r="I41" s="49" t="s">
        <v>45</v>
      </c>
      <c r="J41" s="184">
        <v>70</v>
      </c>
      <c r="K41" s="113">
        <v>160</v>
      </c>
      <c r="L41" s="113">
        <v>2150</v>
      </c>
      <c r="M41" s="185">
        <v>12.477133736649286</v>
      </c>
      <c r="N41" s="87">
        <v>402.55564969330442</v>
      </c>
      <c r="O41" s="119">
        <v>22473.351677663442</v>
      </c>
      <c r="P41" s="121">
        <v>26662.694107251042</v>
      </c>
      <c r="Q41" s="310">
        <v>13012.086019009166</v>
      </c>
      <c r="R41" s="314">
        <v>35485.437696672612</v>
      </c>
      <c r="S41" s="315">
        <v>39674.780126260208</v>
      </c>
      <c r="U41" s="7" t="s">
        <v>1139</v>
      </c>
    </row>
    <row r="42" spans="1:21" s="74" customFormat="1" ht="16.5" customHeight="1" thickBot="1">
      <c r="A42" s="50" t="s">
        <v>35</v>
      </c>
      <c r="B42" s="51">
        <f t="shared" si="0"/>
        <v>70</v>
      </c>
      <c r="C42" s="51" t="s">
        <v>3</v>
      </c>
      <c r="D42" s="51">
        <f t="shared" si="1"/>
        <v>160</v>
      </c>
      <c r="E42" s="51" t="s">
        <v>3</v>
      </c>
      <c r="F42" s="110">
        <f t="shared" si="2"/>
        <v>2200</v>
      </c>
      <c r="G42" s="51" t="s">
        <v>3</v>
      </c>
      <c r="H42" s="48">
        <v>2</v>
      </c>
      <c r="I42" s="49" t="s">
        <v>45</v>
      </c>
      <c r="J42" s="184">
        <v>70</v>
      </c>
      <c r="K42" s="113">
        <v>160</v>
      </c>
      <c r="L42" s="113">
        <v>2200</v>
      </c>
      <c r="M42" s="185">
        <v>12.752136305815</v>
      </c>
      <c r="N42" s="87">
        <v>413.73775107367396</v>
      </c>
      <c r="O42" s="119">
        <v>22865.349179654106</v>
      </c>
      <c r="P42" s="121">
        <v>27143.094501740707</v>
      </c>
      <c r="Q42" s="310">
        <v>13313.719894800153</v>
      </c>
      <c r="R42" s="314">
        <v>36179.069074454259</v>
      </c>
      <c r="S42" s="315">
        <v>40456.81439654086</v>
      </c>
      <c r="U42" s="7" t="s">
        <v>1140</v>
      </c>
    </row>
    <row r="43" spans="1:21" s="74" customFormat="1" ht="16.5" customHeight="1" thickBot="1">
      <c r="A43" s="50" t="s">
        <v>35</v>
      </c>
      <c r="B43" s="51">
        <f t="shared" si="0"/>
        <v>70</v>
      </c>
      <c r="C43" s="51" t="s">
        <v>3</v>
      </c>
      <c r="D43" s="51">
        <f t="shared" si="1"/>
        <v>160</v>
      </c>
      <c r="E43" s="51" t="s">
        <v>3</v>
      </c>
      <c r="F43" s="110">
        <f t="shared" si="2"/>
        <v>2250</v>
      </c>
      <c r="G43" s="51" t="s">
        <v>3</v>
      </c>
      <c r="H43" s="48">
        <v>2</v>
      </c>
      <c r="I43" s="49" t="s">
        <v>45</v>
      </c>
      <c r="J43" s="184">
        <v>70</v>
      </c>
      <c r="K43" s="113">
        <v>160</v>
      </c>
      <c r="L43" s="113">
        <v>2250</v>
      </c>
      <c r="M43" s="185">
        <v>13.027138874980714</v>
      </c>
      <c r="N43" s="87">
        <v>424.91985245404351</v>
      </c>
      <c r="O43" s="119">
        <v>23257.346541251405</v>
      </c>
      <c r="P43" s="121">
        <v>27623.494896230368</v>
      </c>
      <c r="Q43" s="310">
        <v>13615.353630197778</v>
      </c>
      <c r="R43" s="314">
        <v>36872.700171449185</v>
      </c>
      <c r="S43" s="315">
        <v>41238.848526428148</v>
      </c>
      <c r="U43" s="7" t="s">
        <v>1141</v>
      </c>
    </row>
    <row r="44" spans="1:21" s="74" customFormat="1" ht="16.5" customHeight="1" thickBot="1">
      <c r="A44" s="50" t="s">
        <v>35</v>
      </c>
      <c r="B44" s="51">
        <f t="shared" si="0"/>
        <v>70</v>
      </c>
      <c r="C44" s="51" t="s">
        <v>3</v>
      </c>
      <c r="D44" s="51">
        <f t="shared" si="1"/>
        <v>160</v>
      </c>
      <c r="E44" s="51" t="s">
        <v>3</v>
      </c>
      <c r="F44" s="110">
        <f t="shared" si="2"/>
        <v>2300</v>
      </c>
      <c r="G44" s="51" t="s">
        <v>3</v>
      </c>
      <c r="H44" s="48">
        <v>2</v>
      </c>
      <c r="I44" s="49" t="s">
        <v>45</v>
      </c>
      <c r="J44" s="184">
        <v>70</v>
      </c>
      <c r="K44" s="113">
        <v>160</v>
      </c>
      <c r="L44" s="113">
        <v>2300</v>
      </c>
      <c r="M44" s="185">
        <v>13.302141444146429</v>
      </c>
      <c r="N44" s="87">
        <v>436.10195383441305</v>
      </c>
      <c r="O44" s="119">
        <v>23649.343902848708</v>
      </c>
      <c r="P44" s="121">
        <v>28103.895290720033</v>
      </c>
      <c r="Q44" s="310">
        <v>13916.987365595403</v>
      </c>
      <c r="R44" s="314">
        <v>37566.331268444112</v>
      </c>
      <c r="S44" s="315">
        <v>42020.882656315436</v>
      </c>
      <c r="U44" s="7" t="s">
        <v>1142</v>
      </c>
    </row>
    <row r="45" spans="1:21" s="74" customFormat="1" ht="16.5" customHeight="1" thickBot="1">
      <c r="A45" s="50" t="s">
        <v>35</v>
      </c>
      <c r="B45" s="51">
        <f t="shared" si="0"/>
        <v>70</v>
      </c>
      <c r="C45" s="51" t="s">
        <v>3</v>
      </c>
      <c r="D45" s="51">
        <f t="shared" si="1"/>
        <v>160</v>
      </c>
      <c r="E45" s="51" t="s">
        <v>3</v>
      </c>
      <c r="F45" s="110">
        <f t="shared" si="2"/>
        <v>2350</v>
      </c>
      <c r="G45" s="51" t="s">
        <v>3</v>
      </c>
      <c r="H45" s="48">
        <v>2</v>
      </c>
      <c r="I45" s="49" t="s">
        <v>45</v>
      </c>
      <c r="J45" s="184">
        <v>70</v>
      </c>
      <c r="K45" s="113">
        <v>160</v>
      </c>
      <c r="L45" s="113">
        <v>2350</v>
      </c>
      <c r="M45" s="185">
        <v>13.577144013312143</v>
      </c>
      <c r="N45" s="87">
        <v>447.28405521478265</v>
      </c>
      <c r="O45" s="119">
        <v>24041.341264446008</v>
      </c>
      <c r="P45" s="121">
        <v>28584.295685209694</v>
      </c>
      <c r="Q45" s="310">
        <v>14218.62124138639</v>
      </c>
      <c r="R45" s="314">
        <v>38259.962505832402</v>
      </c>
      <c r="S45" s="315">
        <v>42802.916926596081</v>
      </c>
      <c r="U45" s="7" t="s">
        <v>1143</v>
      </c>
    </row>
    <row r="46" spans="1:21" s="74" customFormat="1" ht="16.5" customHeight="1" thickBot="1">
      <c r="A46" s="50" t="s">
        <v>35</v>
      </c>
      <c r="B46" s="51">
        <f t="shared" si="0"/>
        <v>70</v>
      </c>
      <c r="C46" s="51" t="s">
        <v>3</v>
      </c>
      <c r="D46" s="51">
        <f t="shared" si="1"/>
        <v>160</v>
      </c>
      <c r="E46" s="51" t="s">
        <v>3</v>
      </c>
      <c r="F46" s="110">
        <f t="shared" si="2"/>
        <v>2400</v>
      </c>
      <c r="G46" s="51" t="s">
        <v>3</v>
      </c>
      <c r="H46" s="48">
        <v>2</v>
      </c>
      <c r="I46" s="49" t="s">
        <v>45</v>
      </c>
      <c r="J46" s="184">
        <v>70</v>
      </c>
      <c r="K46" s="113">
        <v>160</v>
      </c>
      <c r="L46" s="113">
        <v>2400</v>
      </c>
      <c r="M46" s="185">
        <v>13.852146582477857</v>
      </c>
      <c r="N46" s="87">
        <v>458.4661565951522</v>
      </c>
      <c r="O46" s="119">
        <v>24433.338766436671</v>
      </c>
      <c r="P46" s="121">
        <v>29064.696079699355</v>
      </c>
      <c r="Q46" s="310">
        <v>14520.254976784016</v>
      </c>
      <c r="R46" s="314">
        <v>38953.593743220685</v>
      </c>
      <c r="S46" s="315">
        <v>43584.951056483369</v>
      </c>
      <c r="U46" s="7" t="s">
        <v>1144</v>
      </c>
    </row>
    <row r="47" spans="1:21" s="74" customFormat="1" ht="16.5" customHeight="1" thickBot="1">
      <c r="A47" s="50" t="s">
        <v>35</v>
      </c>
      <c r="B47" s="51">
        <f t="shared" si="0"/>
        <v>70</v>
      </c>
      <c r="C47" s="51" t="s">
        <v>3</v>
      </c>
      <c r="D47" s="51">
        <f t="shared" si="1"/>
        <v>160</v>
      </c>
      <c r="E47" s="51" t="s">
        <v>3</v>
      </c>
      <c r="F47" s="110">
        <f t="shared" si="2"/>
        <v>2450</v>
      </c>
      <c r="G47" s="51" t="s">
        <v>3</v>
      </c>
      <c r="H47" s="48">
        <v>2</v>
      </c>
      <c r="I47" s="49" t="s">
        <v>45</v>
      </c>
      <c r="J47" s="184">
        <v>70</v>
      </c>
      <c r="K47" s="113">
        <v>160</v>
      </c>
      <c r="L47" s="113">
        <v>2450</v>
      </c>
      <c r="M47" s="185">
        <v>14.198911580443571</v>
      </c>
      <c r="N47" s="87">
        <v>469.6482579755218</v>
      </c>
      <c r="O47" s="119">
        <v>25364.771229488066</v>
      </c>
      <c r="P47" s="121">
        <v>29992.585997034796</v>
      </c>
      <c r="Q47" s="310">
        <v>14821.888712181641</v>
      </c>
      <c r="R47" s="314">
        <v>40186.659941669706</v>
      </c>
      <c r="S47" s="315">
        <v>44814.474709216433</v>
      </c>
      <c r="U47" s="7" t="s">
        <v>1145</v>
      </c>
    </row>
    <row r="48" spans="1:21" s="74" customFormat="1" ht="16.5" customHeight="1" thickBot="1">
      <c r="A48" s="50" t="s">
        <v>35</v>
      </c>
      <c r="B48" s="51">
        <f t="shared" si="0"/>
        <v>70</v>
      </c>
      <c r="C48" s="51" t="s">
        <v>3</v>
      </c>
      <c r="D48" s="51">
        <f t="shared" si="1"/>
        <v>160</v>
      </c>
      <c r="E48" s="51" t="s">
        <v>3</v>
      </c>
      <c r="F48" s="110">
        <f t="shared" si="2"/>
        <v>2500</v>
      </c>
      <c r="G48" s="51" t="s">
        <v>3</v>
      </c>
      <c r="H48" s="48">
        <v>2</v>
      </c>
      <c r="I48" s="49" t="s">
        <v>45</v>
      </c>
      <c r="J48" s="184">
        <v>70</v>
      </c>
      <c r="K48" s="113">
        <v>160</v>
      </c>
      <c r="L48" s="113">
        <v>2500</v>
      </c>
      <c r="M48" s="185">
        <v>14.473914149609286</v>
      </c>
      <c r="N48" s="87">
        <v>480.83035935589135</v>
      </c>
      <c r="O48" s="119">
        <v>25756.768591085369</v>
      </c>
      <c r="P48" s="121">
        <v>30472.986391524457</v>
      </c>
      <c r="Q48" s="310">
        <v>15123.522587972628</v>
      </c>
      <c r="R48" s="314">
        <v>40880.291179057996</v>
      </c>
      <c r="S48" s="315">
        <v>45596.508979497085</v>
      </c>
      <c r="U48" s="7" t="s">
        <v>1146</v>
      </c>
    </row>
    <row r="49" spans="1:21" s="74" customFormat="1" ht="16.5" customHeight="1" thickBot="1">
      <c r="A49" s="50" t="s">
        <v>35</v>
      </c>
      <c r="B49" s="51">
        <f t="shared" si="0"/>
        <v>70</v>
      </c>
      <c r="C49" s="51" t="s">
        <v>3</v>
      </c>
      <c r="D49" s="51">
        <f t="shared" si="1"/>
        <v>160</v>
      </c>
      <c r="E49" s="51" t="s">
        <v>3</v>
      </c>
      <c r="F49" s="110">
        <f t="shared" si="2"/>
        <v>2550</v>
      </c>
      <c r="G49" s="51" t="s">
        <v>3</v>
      </c>
      <c r="H49" s="48">
        <v>2</v>
      </c>
      <c r="I49" s="49" t="s">
        <v>45</v>
      </c>
      <c r="J49" s="184">
        <v>70</v>
      </c>
      <c r="K49" s="113">
        <v>160</v>
      </c>
      <c r="L49" s="113">
        <v>2550</v>
      </c>
      <c r="M49" s="185">
        <v>14.748916718775</v>
      </c>
      <c r="N49" s="87">
        <v>492.01246073626095</v>
      </c>
      <c r="O49" s="119">
        <v>26148.765952682668</v>
      </c>
      <c r="P49" s="121">
        <v>30953.386786014118</v>
      </c>
      <c r="Q49" s="310">
        <v>15425.156323370253</v>
      </c>
      <c r="R49" s="314">
        <v>41573.922276052923</v>
      </c>
      <c r="S49" s="315">
        <v>46378.543109384373</v>
      </c>
      <c r="U49" s="7" t="s">
        <v>1147</v>
      </c>
    </row>
    <row r="50" spans="1:21" s="74" customFormat="1" ht="16.5" customHeight="1" thickBot="1">
      <c r="A50" s="47" t="s">
        <v>35</v>
      </c>
      <c r="B50" s="48">
        <f t="shared" si="0"/>
        <v>70</v>
      </c>
      <c r="C50" s="48" t="s">
        <v>3</v>
      </c>
      <c r="D50" s="48">
        <f t="shared" si="1"/>
        <v>160</v>
      </c>
      <c r="E50" s="48" t="s">
        <v>3</v>
      </c>
      <c r="F50" s="110">
        <f t="shared" si="2"/>
        <v>2600</v>
      </c>
      <c r="G50" s="48" t="s">
        <v>3</v>
      </c>
      <c r="H50" s="48">
        <v>2</v>
      </c>
      <c r="I50" s="49" t="s">
        <v>45</v>
      </c>
      <c r="J50" s="184">
        <v>70</v>
      </c>
      <c r="K50" s="113">
        <v>160</v>
      </c>
      <c r="L50" s="113">
        <v>2600</v>
      </c>
      <c r="M50" s="185">
        <v>15.023919287940718</v>
      </c>
      <c r="N50" s="87">
        <v>503.19456211663049</v>
      </c>
      <c r="O50" s="119">
        <v>26540.763454673332</v>
      </c>
      <c r="P50" s="121">
        <v>31433.787180503783</v>
      </c>
      <c r="Q50" s="310">
        <v>15726.790058767878</v>
      </c>
      <c r="R50" s="314">
        <v>42267.553513441206</v>
      </c>
      <c r="S50" s="315">
        <v>47160.577239271661</v>
      </c>
      <c r="U50" s="7" t="s">
        <v>1148</v>
      </c>
    </row>
    <row r="51" spans="1:21" s="74" customFormat="1" ht="16.5" customHeight="1" thickBot="1">
      <c r="A51" s="50" t="s">
        <v>35</v>
      </c>
      <c r="B51" s="51">
        <f t="shared" si="0"/>
        <v>70</v>
      </c>
      <c r="C51" s="51" t="s">
        <v>3</v>
      </c>
      <c r="D51" s="51">
        <f t="shared" si="1"/>
        <v>160</v>
      </c>
      <c r="E51" s="51" t="s">
        <v>3</v>
      </c>
      <c r="F51" s="110">
        <f t="shared" si="2"/>
        <v>2650</v>
      </c>
      <c r="G51" s="51" t="s">
        <v>3</v>
      </c>
      <c r="H51" s="48">
        <v>2</v>
      </c>
      <c r="I51" s="49" t="s">
        <v>45</v>
      </c>
      <c r="J51" s="184">
        <v>70</v>
      </c>
      <c r="K51" s="113">
        <v>160</v>
      </c>
      <c r="L51" s="113">
        <v>2650</v>
      </c>
      <c r="M51" s="185">
        <v>15.29892185710643</v>
      </c>
      <c r="N51" s="87">
        <v>514.37666349699998</v>
      </c>
      <c r="O51" s="119">
        <v>26932.760816270631</v>
      </c>
      <c r="P51" s="121">
        <v>31914.187574993444</v>
      </c>
      <c r="Q51" s="310">
        <v>16028.423934558865</v>
      </c>
      <c r="R51" s="314">
        <v>42961.184750829496</v>
      </c>
      <c r="S51" s="315">
        <v>47942.611509552313</v>
      </c>
      <c r="U51" s="7" t="s">
        <v>1149</v>
      </c>
    </row>
    <row r="52" spans="1:21" s="74" customFormat="1" ht="16.5" customHeight="1" thickBot="1">
      <c r="A52" s="50" t="s">
        <v>35</v>
      </c>
      <c r="B52" s="51">
        <f t="shared" si="0"/>
        <v>70</v>
      </c>
      <c r="C52" s="51" t="s">
        <v>3</v>
      </c>
      <c r="D52" s="51">
        <f t="shared" si="1"/>
        <v>160</v>
      </c>
      <c r="E52" s="51" t="s">
        <v>3</v>
      </c>
      <c r="F52" s="110">
        <f t="shared" si="2"/>
        <v>2700</v>
      </c>
      <c r="G52" s="51" t="s">
        <v>3</v>
      </c>
      <c r="H52" s="48">
        <v>2</v>
      </c>
      <c r="I52" s="49" t="s">
        <v>45</v>
      </c>
      <c r="J52" s="184">
        <v>70</v>
      </c>
      <c r="K52" s="113">
        <v>160</v>
      </c>
      <c r="L52" s="113">
        <v>2700</v>
      </c>
      <c r="M52" s="185">
        <v>15.613174426272145</v>
      </c>
      <c r="N52" s="87">
        <v>525.55876487736964</v>
      </c>
      <c r="O52" s="119">
        <v>27370.630024344457</v>
      </c>
      <c r="P52" s="121">
        <v>32439.061498069132</v>
      </c>
      <c r="Q52" s="310">
        <v>16330.05766995649</v>
      </c>
      <c r="R52" s="314">
        <v>43700.687694300948</v>
      </c>
      <c r="S52" s="315">
        <v>48769.119168025623</v>
      </c>
      <c r="U52" s="7" t="s">
        <v>1150</v>
      </c>
    </row>
    <row r="53" spans="1:21" s="74" customFormat="1" ht="16.5" customHeight="1" thickBot="1">
      <c r="A53" s="50" t="s">
        <v>35</v>
      </c>
      <c r="B53" s="51">
        <f t="shared" si="0"/>
        <v>70</v>
      </c>
      <c r="C53" s="51" t="s">
        <v>3</v>
      </c>
      <c r="D53" s="51">
        <f t="shared" si="1"/>
        <v>160</v>
      </c>
      <c r="E53" s="51" t="s">
        <v>3</v>
      </c>
      <c r="F53" s="110">
        <f t="shared" si="2"/>
        <v>2750</v>
      </c>
      <c r="G53" s="51" t="s">
        <v>3</v>
      </c>
      <c r="H53" s="48">
        <v>2</v>
      </c>
      <c r="I53" s="49" t="s">
        <v>45</v>
      </c>
      <c r="J53" s="184">
        <v>70</v>
      </c>
      <c r="K53" s="113">
        <v>160</v>
      </c>
      <c r="L53" s="113">
        <v>2750</v>
      </c>
      <c r="M53" s="185">
        <v>15.888176995437858</v>
      </c>
      <c r="N53" s="87">
        <v>536.74086625773919</v>
      </c>
      <c r="O53" s="119">
        <v>27762.627385941752</v>
      </c>
      <c r="P53" s="121">
        <v>32919.461892558793</v>
      </c>
      <c r="Q53" s="310">
        <v>16631.691405354115</v>
      </c>
      <c r="R53" s="314">
        <v>44394.318791295867</v>
      </c>
      <c r="S53" s="315">
        <v>49551.153297912912</v>
      </c>
      <c r="U53" s="7" t="s">
        <v>1151</v>
      </c>
    </row>
    <row r="54" spans="1:21" s="74" customFormat="1" ht="16.5" customHeight="1" thickBot="1">
      <c r="A54" s="50" t="s">
        <v>35</v>
      </c>
      <c r="B54" s="51">
        <f t="shared" si="0"/>
        <v>70</v>
      </c>
      <c r="C54" s="51" t="s">
        <v>3</v>
      </c>
      <c r="D54" s="51">
        <f t="shared" si="1"/>
        <v>160</v>
      </c>
      <c r="E54" s="51" t="s">
        <v>3</v>
      </c>
      <c r="F54" s="110">
        <f t="shared" si="2"/>
        <v>2800</v>
      </c>
      <c r="G54" s="51" t="s">
        <v>3</v>
      </c>
      <c r="H54" s="48">
        <v>2</v>
      </c>
      <c r="I54" s="49" t="s">
        <v>45</v>
      </c>
      <c r="J54" s="184">
        <v>70</v>
      </c>
      <c r="K54" s="113">
        <v>160</v>
      </c>
      <c r="L54" s="113">
        <v>2800</v>
      </c>
      <c r="M54" s="185">
        <v>16.163179564603574</v>
      </c>
      <c r="N54" s="87">
        <v>547.92296763810884</v>
      </c>
      <c r="O54" s="119">
        <v>28154.624747539059</v>
      </c>
      <c r="P54" s="121">
        <v>33399.862287048461</v>
      </c>
      <c r="Q54" s="310">
        <v>16933.325140751742</v>
      </c>
      <c r="R54" s="314">
        <v>45087.949888290801</v>
      </c>
      <c r="S54" s="315">
        <v>50333.187427800207</v>
      </c>
      <c r="U54" s="7" t="s">
        <v>1152</v>
      </c>
    </row>
    <row r="55" spans="1:21" s="74" customFormat="1" ht="16.5" customHeight="1" thickBot="1">
      <c r="A55" s="50" t="s">
        <v>35</v>
      </c>
      <c r="B55" s="51">
        <f t="shared" si="0"/>
        <v>70</v>
      </c>
      <c r="C55" s="51" t="s">
        <v>3</v>
      </c>
      <c r="D55" s="51">
        <f t="shared" si="1"/>
        <v>160</v>
      </c>
      <c r="E55" s="51" t="s">
        <v>3</v>
      </c>
      <c r="F55" s="110">
        <f t="shared" si="2"/>
        <v>2850</v>
      </c>
      <c r="G55" s="51" t="s">
        <v>3</v>
      </c>
      <c r="H55" s="48">
        <v>2</v>
      </c>
      <c r="I55" s="49" t="s">
        <v>45</v>
      </c>
      <c r="J55" s="184">
        <v>70</v>
      </c>
      <c r="K55" s="113">
        <v>160</v>
      </c>
      <c r="L55" s="113">
        <v>2850</v>
      </c>
      <c r="M55" s="185">
        <v>16.438182133769288</v>
      </c>
      <c r="N55" s="87">
        <v>559.10506901847828</v>
      </c>
      <c r="O55" s="119">
        <v>28546.622249529722</v>
      </c>
      <c r="P55" s="121">
        <v>33880.262541144759</v>
      </c>
      <c r="Q55" s="310">
        <v>17234.959016542729</v>
      </c>
      <c r="R55" s="314">
        <v>45781.581266072448</v>
      </c>
      <c r="S55" s="315">
        <v>51115.221557687488</v>
      </c>
      <c r="U55" s="7" t="s">
        <v>1153</v>
      </c>
    </row>
    <row r="56" spans="1:21" s="74" customFormat="1" ht="16.5" customHeight="1" thickBot="1">
      <c r="A56" s="50" t="s">
        <v>35</v>
      </c>
      <c r="B56" s="51">
        <f t="shared" si="0"/>
        <v>70</v>
      </c>
      <c r="C56" s="51" t="s">
        <v>3</v>
      </c>
      <c r="D56" s="51">
        <f t="shared" si="1"/>
        <v>160</v>
      </c>
      <c r="E56" s="51" t="s">
        <v>3</v>
      </c>
      <c r="F56" s="110">
        <f t="shared" si="2"/>
        <v>2900</v>
      </c>
      <c r="G56" s="51" t="s">
        <v>3</v>
      </c>
      <c r="H56" s="48">
        <v>2</v>
      </c>
      <c r="I56" s="49" t="s">
        <v>45</v>
      </c>
      <c r="J56" s="184">
        <v>70</v>
      </c>
      <c r="K56" s="113">
        <v>160</v>
      </c>
      <c r="L56" s="113">
        <v>2900</v>
      </c>
      <c r="M56" s="185">
        <v>16.713184702935003</v>
      </c>
      <c r="N56" s="87">
        <v>570.28717039884782</v>
      </c>
      <c r="O56" s="119">
        <v>28938.619611127018</v>
      </c>
      <c r="P56" s="121">
        <v>34360.66293563442</v>
      </c>
      <c r="Q56" s="310">
        <v>17536.592751940352</v>
      </c>
      <c r="R56" s="314">
        <v>46475.212363067374</v>
      </c>
      <c r="S56" s="315">
        <v>51897.255687574769</v>
      </c>
      <c r="U56" s="7" t="s">
        <v>1154</v>
      </c>
    </row>
    <row r="57" spans="1:21" s="74" customFormat="1" ht="16.5" customHeight="1" thickBot="1">
      <c r="A57" s="50" t="s">
        <v>35</v>
      </c>
      <c r="B57" s="51">
        <f t="shared" si="0"/>
        <v>70</v>
      </c>
      <c r="C57" s="51" t="s">
        <v>3</v>
      </c>
      <c r="D57" s="51">
        <f t="shared" si="1"/>
        <v>160</v>
      </c>
      <c r="E57" s="51" t="s">
        <v>3</v>
      </c>
      <c r="F57" s="110">
        <f t="shared" si="2"/>
        <v>2950</v>
      </c>
      <c r="G57" s="51" t="s">
        <v>3</v>
      </c>
      <c r="H57" s="48">
        <v>2</v>
      </c>
      <c r="I57" s="49" t="s">
        <v>45</v>
      </c>
      <c r="J57" s="184">
        <v>70</v>
      </c>
      <c r="K57" s="113">
        <v>160</v>
      </c>
      <c r="L57" s="113">
        <v>2950</v>
      </c>
      <c r="M57" s="185">
        <v>16.988187272100717</v>
      </c>
      <c r="N57" s="87">
        <v>581.46927177921748</v>
      </c>
      <c r="O57" s="119">
        <v>29330.616972724318</v>
      </c>
      <c r="P57" s="121">
        <v>34841.063330124081</v>
      </c>
      <c r="Q57" s="310">
        <v>17838.226487337979</v>
      </c>
      <c r="R57" s="314">
        <v>47168.8434600623</v>
      </c>
      <c r="S57" s="315">
        <v>52679.289817462064</v>
      </c>
      <c r="U57" s="7" t="s">
        <v>1155</v>
      </c>
    </row>
    <row r="58" spans="1:21" s="74" customFormat="1" ht="16.5" customHeight="1" thickBot="1">
      <c r="A58" s="52" t="s">
        <v>35</v>
      </c>
      <c r="B58" s="53">
        <f t="shared" si="0"/>
        <v>70</v>
      </c>
      <c r="C58" s="53" t="s">
        <v>3</v>
      </c>
      <c r="D58" s="53">
        <f t="shared" si="1"/>
        <v>160</v>
      </c>
      <c r="E58" s="53" t="s">
        <v>3</v>
      </c>
      <c r="F58" s="111">
        <f t="shared" si="2"/>
        <v>3000</v>
      </c>
      <c r="G58" s="53" t="s">
        <v>3</v>
      </c>
      <c r="H58" s="55">
        <v>2</v>
      </c>
      <c r="I58" s="54" t="s">
        <v>45</v>
      </c>
      <c r="J58" s="184">
        <v>70</v>
      </c>
      <c r="K58" s="157">
        <v>160</v>
      </c>
      <c r="L58" s="157">
        <v>3000</v>
      </c>
      <c r="M58" s="187">
        <v>17.263189841266431</v>
      </c>
      <c r="N58" s="148">
        <v>592.65137315958702</v>
      </c>
      <c r="O58" s="189">
        <v>29722.614334321617</v>
      </c>
      <c r="P58" s="158">
        <v>35321.463724613743</v>
      </c>
      <c r="Q58" s="311">
        <v>18139.860363128966</v>
      </c>
      <c r="R58" s="316">
        <v>47862.474697450583</v>
      </c>
      <c r="S58" s="317">
        <v>53461.324087742709</v>
      </c>
      <c r="U58" s="7" t="s">
        <v>1156</v>
      </c>
    </row>
    <row r="59" spans="1:21" s="74" customFormat="1" ht="22.5" customHeight="1" thickBot="1">
      <c r="A59" s="2621" t="s">
        <v>51</v>
      </c>
      <c r="B59" s="2622"/>
      <c r="C59" s="2622"/>
      <c r="D59" s="2622"/>
      <c r="E59" s="2622"/>
      <c r="F59" s="2622"/>
      <c r="G59" s="2622"/>
      <c r="H59" s="2622"/>
      <c r="I59" s="2622"/>
      <c r="J59" s="2622"/>
      <c r="K59" s="2622"/>
      <c r="L59" s="2622"/>
      <c r="M59" s="2622"/>
      <c r="N59" s="2622"/>
      <c r="O59" s="2622"/>
      <c r="P59" s="2622"/>
      <c r="Q59" s="2622"/>
      <c r="R59" s="2659"/>
      <c r="S59" s="2660"/>
      <c r="U59" s="7"/>
    </row>
    <row r="60" spans="1:21" s="74" customFormat="1" ht="22.5" customHeight="1" thickBot="1">
      <c r="A60" s="2624" t="s">
        <v>69</v>
      </c>
      <c r="B60" s="2625"/>
      <c r="C60" s="2625"/>
      <c r="D60" s="2625"/>
      <c r="E60" s="2625"/>
      <c r="F60" s="2625"/>
      <c r="G60" s="2625"/>
      <c r="H60" s="2625"/>
      <c r="I60" s="2625"/>
      <c r="J60" s="2625"/>
      <c r="K60" s="2625"/>
      <c r="L60" s="2625"/>
      <c r="M60" s="2625"/>
      <c r="N60" s="2625"/>
      <c r="O60" s="2625"/>
      <c r="P60" s="2625"/>
      <c r="Q60" s="2625"/>
      <c r="R60" s="2625"/>
      <c r="S60" s="2626"/>
      <c r="U60" s="7"/>
    </row>
    <row r="61" spans="1:21" s="74" customFormat="1" ht="16.5" customHeight="1" thickBot="1">
      <c r="A61" s="2583" t="s">
        <v>134</v>
      </c>
      <c r="B61" s="2584"/>
      <c r="C61" s="2584"/>
      <c r="D61" s="2584"/>
      <c r="E61" s="2584"/>
      <c r="F61" s="2584"/>
      <c r="G61" s="2584"/>
      <c r="H61" s="2584"/>
      <c r="I61" s="2584"/>
      <c r="J61" s="2584"/>
      <c r="K61" s="2584"/>
      <c r="L61" s="2584"/>
      <c r="M61" s="2584"/>
      <c r="N61" s="2584"/>
      <c r="O61" s="2584"/>
      <c r="P61" s="2584"/>
      <c r="Q61" s="2584"/>
      <c r="R61" s="2584"/>
      <c r="S61" s="2585"/>
      <c r="U61" s="7"/>
    </row>
    <row r="62" spans="1:21" s="74" customFormat="1" ht="16.5" customHeight="1" thickBot="1">
      <c r="A62" s="47" t="s">
        <v>35</v>
      </c>
      <c r="B62" s="48">
        <f>J62</f>
        <v>70</v>
      </c>
      <c r="C62" s="48" t="s">
        <v>3</v>
      </c>
      <c r="D62" s="48">
        <f>K62</f>
        <v>200</v>
      </c>
      <c r="E62" s="48" t="s">
        <v>3</v>
      </c>
      <c r="F62" s="110">
        <f>L62</f>
        <v>600</v>
      </c>
      <c r="G62" s="48" t="s">
        <v>3</v>
      </c>
      <c r="H62" s="48">
        <v>2</v>
      </c>
      <c r="I62" s="49" t="s">
        <v>45</v>
      </c>
      <c r="J62" s="181">
        <v>70</v>
      </c>
      <c r="K62" s="168">
        <v>200</v>
      </c>
      <c r="L62" s="168">
        <v>600</v>
      </c>
      <c r="M62" s="182">
        <v>4.2039492911407139</v>
      </c>
      <c r="N62" s="144">
        <v>63.53466693391799</v>
      </c>
      <c r="O62" s="183">
        <v>9706.8104206194403</v>
      </c>
      <c r="P62" s="188">
        <v>10940.283619426353</v>
      </c>
      <c r="Q62" s="169">
        <v>4297.4248212816765</v>
      </c>
      <c r="R62" s="312">
        <v>14004.235241901117</v>
      </c>
      <c r="S62" s="313">
        <v>15237.708440708029</v>
      </c>
      <c r="U62" s="7" t="s">
        <v>1157</v>
      </c>
    </row>
    <row r="63" spans="1:21" s="74" customFormat="1" ht="16.5" customHeight="1" thickBot="1">
      <c r="A63" s="50" t="s">
        <v>35</v>
      </c>
      <c r="B63" s="51">
        <f t="shared" ref="B63:B110" si="3">J63</f>
        <v>70</v>
      </c>
      <c r="C63" s="51" t="s">
        <v>3</v>
      </c>
      <c r="D63" s="51">
        <f t="shared" ref="D63:D110" si="4">K63</f>
        <v>200</v>
      </c>
      <c r="E63" s="51" t="s">
        <v>3</v>
      </c>
      <c r="F63" s="110">
        <f t="shared" ref="F63:F110" si="5">L63</f>
        <v>650</v>
      </c>
      <c r="G63" s="51" t="s">
        <v>3</v>
      </c>
      <c r="H63" s="48">
        <v>2</v>
      </c>
      <c r="I63" s="49" t="s">
        <v>45</v>
      </c>
      <c r="J63" s="184">
        <v>70</v>
      </c>
      <c r="K63" s="113">
        <v>200</v>
      </c>
      <c r="L63" s="113">
        <v>650</v>
      </c>
      <c r="M63" s="185">
        <v>4.5108852674492859</v>
      </c>
      <c r="N63" s="87">
        <v>76.241600320701579</v>
      </c>
      <c r="O63" s="121">
        <v>10098.490493217489</v>
      </c>
      <c r="P63" s="119">
        <v>11420.991615773251</v>
      </c>
      <c r="Q63" s="120">
        <v>4651.2459985678888</v>
      </c>
      <c r="R63" s="314">
        <v>14749.736491785377</v>
      </c>
      <c r="S63" s="315">
        <v>16072.23761434114</v>
      </c>
      <c r="U63" s="7" t="s">
        <v>1158</v>
      </c>
    </row>
    <row r="64" spans="1:21" s="74" customFormat="1" ht="16.5" customHeight="1" thickBot="1">
      <c r="A64" s="50" t="s">
        <v>35</v>
      </c>
      <c r="B64" s="51">
        <f t="shared" si="3"/>
        <v>70</v>
      </c>
      <c r="C64" s="51" t="s">
        <v>3</v>
      </c>
      <c r="D64" s="51">
        <f t="shared" si="4"/>
        <v>200</v>
      </c>
      <c r="E64" s="51" t="s">
        <v>3</v>
      </c>
      <c r="F64" s="110">
        <f t="shared" si="5"/>
        <v>700</v>
      </c>
      <c r="G64" s="51" t="s">
        <v>3</v>
      </c>
      <c r="H64" s="48">
        <v>2</v>
      </c>
      <c r="I64" s="49" t="s">
        <v>45</v>
      </c>
      <c r="J64" s="184">
        <v>70</v>
      </c>
      <c r="K64" s="113">
        <v>200</v>
      </c>
      <c r="L64" s="113">
        <v>700</v>
      </c>
      <c r="M64" s="185">
        <v>4.8178212437578569</v>
      </c>
      <c r="N64" s="87">
        <v>88.948533707485183</v>
      </c>
      <c r="O64" s="121">
        <v>10490.170565815539</v>
      </c>
      <c r="P64" s="119">
        <v>11901.699612120152</v>
      </c>
      <c r="Q64" s="120">
        <v>5005.0671758541012</v>
      </c>
      <c r="R64" s="314">
        <v>15495.23774166964</v>
      </c>
      <c r="S64" s="315">
        <v>16906.766787974251</v>
      </c>
      <c r="U64" s="7" t="s">
        <v>1159</v>
      </c>
    </row>
    <row r="65" spans="1:21" s="74" customFormat="1" ht="16.5" customHeight="1" thickBot="1">
      <c r="A65" s="50" t="s">
        <v>35</v>
      </c>
      <c r="B65" s="51">
        <f t="shared" si="3"/>
        <v>70</v>
      </c>
      <c r="C65" s="51" t="s">
        <v>3</v>
      </c>
      <c r="D65" s="51">
        <f t="shared" si="4"/>
        <v>200</v>
      </c>
      <c r="E65" s="51" t="s">
        <v>3</v>
      </c>
      <c r="F65" s="110">
        <f t="shared" si="5"/>
        <v>750</v>
      </c>
      <c r="G65" s="51" t="s">
        <v>3</v>
      </c>
      <c r="H65" s="48">
        <v>2</v>
      </c>
      <c r="I65" s="49" t="s">
        <v>45</v>
      </c>
      <c r="J65" s="184">
        <v>70</v>
      </c>
      <c r="K65" s="113">
        <v>200</v>
      </c>
      <c r="L65" s="113">
        <v>750</v>
      </c>
      <c r="M65" s="185">
        <v>5.124757220066428</v>
      </c>
      <c r="N65" s="87">
        <v>101.65546709426879</v>
      </c>
      <c r="O65" s="121">
        <v>10881.850638413591</v>
      </c>
      <c r="P65" s="119">
        <v>12382.407608467052</v>
      </c>
      <c r="Q65" s="120">
        <v>5358.8884935336764</v>
      </c>
      <c r="R65" s="314">
        <v>16240.739131947266</v>
      </c>
      <c r="S65" s="315">
        <v>17741.296102000728</v>
      </c>
      <c r="U65" s="7" t="s">
        <v>1160</v>
      </c>
    </row>
    <row r="66" spans="1:21" s="74" customFormat="1" ht="16.5" customHeight="1" thickBot="1">
      <c r="A66" s="50" t="s">
        <v>35</v>
      </c>
      <c r="B66" s="51">
        <f t="shared" si="3"/>
        <v>70</v>
      </c>
      <c r="C66" s="51" t="s">
        <v>3</v>
      </c>
      <c r="D66" s="51">
        <f t="shared" si="4"/>
        <v>200</v>
      </c>
      <c r="E66" s="51" t="s">
        <v>3</v>
      </c>
      <c r="F66" s="110">
        <f t="shared" si="5"/>
        <v>800</v>
      </c>
      <c r="G66" s="51" t="s">
        <v>3</v>
      </c>
      <c r="H66" s="48">
        <v>2</v>
      </c>
      <c r="I66" s="49" t="s">
        <v>45</v>
      </c>
      <c r="J66" s="184">
        <v>70</v>
      </c>
      <c r="K66" s="113">
        <v>200</v>
      </c>
      <c r="L66" s="113">
        <v>800</v>
      </c>
      <c r="M66" s="185">
        <v>5.4316931963750008</v>
      </c>
      <c r="N66" s="87">
        <v>114.36240048105239</v>
      </c>
      <c r="O66" s="121">
        <v>11273.530711011639</v>
      </c>
      <c r="P66" s="119">
        <v>12863.115604813955</v>
      </c>
      <c r="Q66" s="120">
        <v>5712.7096708198887</v>
      </c>
      <c r="R66" s="314">
        <v>16986.240381831529</v>
      </c>
      <c r="S66" s="315">
        <v>18575.825275633844</v>
      </c>
      <c r="U66" s="7" t="s">
        <v>1161</v>
      </c>
    </row>
    <row r="67" spans="1:21" s="74" customFormat="1" ht="16.5" customHeight="1" thickBot="1">
      <c r="A67" s="50" t="s">
        <v>35</v>
      </c>
      <c r="B67" s="51">
        <f t="shared" si="3"/>
        <v>70</v>
      </c>
      <c r="C67" s="51" t="s">
        <v>3</v>
      </c>
      <c r="D67" s="51">
        <f t="shared" si="4"/>
        <v>200</v>
      </c>
      <c r="E67" s="51" t="s">
        <v>3</v>
      </c>
      <c r="F67" s="110">
        <f t="shared" si="5"/>
        <v>850</v>
      </c>
      <c r="G67" s="51" t="s">
        <v>3</v>
      </c>
      <c r="H67" s="48">
        <v>2</v>
      </c>
      <c r="I67" s="49" t="s">
        <v>45</v>
      </c>
      <c r="J67" s="184">
        <v>70</v>
      </c>
      <c r="K67" s="113">
        <v>200</v>
      </c>
      <c r="L67" s="113">
        <v>850</v>
      </c>
      <c r="M67" s="185">
        <v>5.7386291726835719</v>
      </c>
      <c r="N67" s="87">
        <v>127.06933386783598</v>
      </c>
      <c r="O67" s="121">
        <v>11665.210783609691</v>
      </c>
      <c r="P67" s="119">
        <v>13343.823741554215</v>
      </c>
      <c r="Q67" s="120">
        <v>6066.5308481061011</v>
      </c>
      <c r="R67" s="314">
        <v>17731.741631715791</v>
      </c>
      <c r="S67" s="315">
        <v>19410.354589660317</v>
      </c>
      <c r="U67" s="7" t="s">
        <v>1162</v>
      </c>
    </row>
    <row r="68" spans="1:21" s="74" customFormat="1" ht="16.5" customHeight="1" thickBot="1">
      <c r="A68" s="50" t="s">
        <v>35</v>
      </c>
      <c r="B68" s="51">
        <f t="shared" si="3"/>
        <v>70</v>
      </c>
      <c r="C68" s="51" t="s">
        <v>3</v>
      </c>
      <c r="D68" s="51">
        <f t="shared" si="4"/>
        <v>200</v>
      </c>
      <c r="E68" s="51" t="s">
        <v>3</v>
      </c>
      <c r="F68" s="110">
        <f t="shared" si="5"/>
        <v>900</v>
      </c>
      <c r="G68" s="51" t="s">
        <v>3</v>
      </c>
      <c r="H68" s="48">
        <v>2</v>
      </c>
      <c r="I68" s="49" t="s">
        <v>45</v>
      </c>
      <c r="J68" s="184">
        <v>70</v>
      </c>
      <c r="K68" s="113">
        <v>200</v>
      </c>
      <c r="L68" s="113">
        <v>900</v>
      </c>
      <c r="M68" s="185">
        <v>6.0455651489921429</v>
      </c>
      <c r="N68" s="87">
        <v>139.7762672546196</v>
      </c>
      <c r="O68" s="121">
        <v>12056.890856207741</v>
      </c>
      <c r="P68" s="119">
        <v>13824.531737901116</v>
      </c>
      <c r="Q68" s="120">
        <v>6420.3520253923143</v>
      </c>
      <c r="R68" s="314">
        <v>18477.242881600054</v>
      </c>
      <c r="S68" s="315">
        <v>20244.88376329343</v>
      </c>
      <c r="U68" s="7" t="s">
        <v>1163</v>
      </c>
    </row>
    <row r="69" spans="1:21" s="74" customFormat="1" ht="16.5" customHeight="1" thickBot="1">
      <c r="A69" s="50" t="s">
        <v>35</v>
      </c>
      <c r="B69" s="51">
        <f t="shared" si="3"/>
        <v>70</v>
      </c>
      <c r="C69" s="51" t="s">
        <v>3</v>
      </c>
      <c r="D69" s="51">
        <f t="shared" si="4"/>
        <v>200</v>
      </c>
      <c r="E69" s="51" t="s">
        <v>3</v>
      </c>
      <c r="F69" s="110">
        <f t="shared" si="5"/>
        <v>950</v>
      </c>
      <c r="G69" s="51" t="s">
        <v>3</v>
      </c>
      <c r="H69" s="48">
        <v>2</v>
      </c>
      <c r="I69" s="49" t="s">
        <v>45</v>
      </c>
      <c r="J69" s="184">
        <v>70</v>
      </c>
      <c r="K69" s="113">
        <v>200</v>
      </c>
      <c r="L69" s="113">
        <v>950</v>
      </c>
      <c r="M69" s="185">
        <v>6.352501125300714</v>
      </c>
      <c r="N69" s="87">
        <v>152.48320064140316</v>
      </c>
      <c r="O69" s="121">
        <v>12448.57092880579</v>
      </c>
      <c r="P69" s="119">
        <v>14305.239734248016</v>
      </c>
      <c r="Q69" s="120">
        <v>6774.1733430718887</v>
      </c>
      <c r="R69" s="314">
        <v>19222.74427187768</v>
      </c>
      <c r="S69" s="315">
        <v>21079.413077319907</v>
      </c>
      <c r="U69" s="7" t="s">
        <v>1164</v>
      </c>
    </row>
    <row r="70" spans="1:21" s="74" customFormat="1" ht="16.5" customHeight="1" thickBot="1">
      <c r="A70" s="50" t="s">
        <v>35</v>
      </c>
      <c r="B70" s="51">
        <f t="shared" si="3"/>
        <v>70</v>
      </c>
      <c r="C70" s="51" t="s">
        <v>3</v>
      </c>
      <c r="D70" s="51">
        <f t="shared" si="4"/>
        <v>200</v>
      </c>
      <c r="E70" s="51" t="s">
        <v>3</v>
      </c>
      <c r="F70" s="110">
        <f t="shared" si="5"/>
        <v>1000</v>
      </c>
      <c r="G70" s="51" t="s">
        <v>3</v>
      </c>
      <c r="H70" s="48">
        <v>2</v>
      </c>
      <c r="I70" s="49" t="s">
        <v>45</v>
      </c>
      <c r="J70" s="184">
        <v>70</v>
      </c>
      <c r="K70" s="113">
        <v>200</v>
      </c>
      <c r="L70" s="113">
        <v>1000</v>
      </c>
      <c r="M70" s="185">
        <v>6.659437101609285</v>
      </c>
      <c r="N70" s="87">
        <v>165.19013402818678</v>
      </c>
      <c r="O70" s="121">
        <v>12840.25100140384</v>
      </c>
      <c r="P70" s="119">
        <v>14785.947730594915</v>
      </c>
      <c r="Q70" s="120">
        <v>7127.9945203581019</v>
      </c>
      <c r="R70" s="314">
        <v>19968.245521761943</v>
      </c>
      <c r="S70" s="315">
        <v>21913.942250953016</v>
      </c>
      <c r="U70" s="7" t="s">
        <v>1165</v>
      </c>
    </row>
    <row r="71" spans="1:21" s="74" customFormat="1" ht="16.5" customHeight="1" thickBot="1">
      <c r="A71" s="50" t="s">
        <v>35</v>
      </c>
      <c r="B71" s="51">
        <f t="shared" si="3"/>
        <v>70</v>
      </c>
      <c r="C71" s="51" t="s">
        <v>3</v>
      </c>
      <c r="D71" s="51">
        <f t="shared" si="4"/>
        <v>200</v>
      </c>
      <c r="E71" s="51" t="s">
        <v>3</v>
      </c>
      <c r="F71" s="110">
        <f t="shared" si="5"/>
        <v>1050</v>
      </c>
      <c r="G71" s="51" t="s">
        <v>3</v>
      </c>
      <c r="H71" s="48">
        <v>2</v>
      </c>
      <c r="I71" s="49" t="s">
        <v>45</v>
      </c>
      <c r="J71" s="184">
        <v>70</v>
      </c>
      <c r="K71" s="113">
        <v>200</v>
      </c>
      <c r="L71" s="113">
        <v>1050</v>
      </c>
      <c r="M71" s="185">
        <v>6.966373077917857</v>
      </c>
      <c r="N71" s="87">
        <v>177.89706741497037</v>
      </c>
      <c r="O71" s="121">
        <v>13231.93107400189</v>
      </c>
      <c r="P71" s="119">
        <v>15266.655726941817</v>
      </c>
      <c r="Q71" s="120">
        <v>7481.8156976443142</v>
      </c>
      <c r="R71" s="314">
        <v>20713.746771646205</v>
      </c>
      <c r="S71" s="315">
        <v>22748.471424586132</v>
      </c>
      <c r="U71" s="7" t="s">
        <v>1166</v>
      </c>
    </row>
    <row r="72" spans="1:21" s="74" customFormat="1" ht="16.5" customHeight="1" thickBot="1">
      <c r="A72" s="47" t="s">
        <v>35</v>
      </c>
      <c r="B72" s="48">
        <f t="shared" si="3"/>
        <v>70</v>
      </c>
      <c r="C72" s="48" t="s">
        <v>3</v>
      </c>
      <c r="D72" s="48">
        <f t="shared" si="4"/>
        <v>200</v>
      </c>
      <c r="E72" s="48" t="s">
        <v>3</v>
      </c>
      <c r="F72" s="110">
        <f t="shared" si="5"/>
        <v>1100</v>
      </c>
      <c r="G72" s="48" t="s">
        <v>3</v>
      </c>
      <c r="H72" s="48">
        <v>2</v>
      </c>
      <c r="I72" s="49" t="s">
        <v>45</v>
      </c>
      <c r="J72" s="184">
        <v>70</v>
      </c>
      <c r="K72" s="113">
        <v>200</v>
      </c>
      <c r="L72" s="113">
        <v>1100</v>
      </c>
      <c r="M72" s="185">
        <v>7.273309054226428</v>
      </c>
      <c r="N72" s="87">
        <v>190.60400080175395</v>
      </c>
      <c r="O72" s="121">
        <v>13623.61114659994</v>
      </c>
      <c r="P72" s="119">
        <v>15747.363723288716</v>
      </c>
      <c r="Q72" s="120">
        <v>7835.6368749305266</v>
      </c>
      <c r="R72" s="314">
        <v>21459.248021530468</v>
      </c>
      <c r="S72" s="315">
        <v>23583.000598219242</v>
      </c>
      <c r="U72" s="7" t="s">
        <v>1167</v>
      </c>
    </row>
    <row r="73" spans="1:21" s="74" customFormat="1" ht="16.5" customHeight="1" thickBot="1">
      <c r="A73" s="50" t="s">
        <v>35</v>
      </c>
      <c r="B73" s="51">
        <f t="shared" si="3"/>
        <v>70</v>
      </c>
      <c r="C73" s="51" t="s">
        <v>3</v>
      </c>
      <c r="D73" s="51">
        <f t="shared" si="4"/>
        <v>200</v>
      </c>
      <c r="E73" s="51" t="s">
        <v>3</v>
      </c>
      <c r="F73" s="110">
        <f t="shared" si="5"/>
        <v>1150</v>
      </c>
      <c r="G73" s="51" t="s">
        <v>3</v>
      </c>
      <c r="H73" s="48">
        <v>2</v>
      </c>
      <c r="I73" s="49" t="s">
        <v>45</v>
      </c>
      <c r="J73" s="184">
        <v>70</v>
      </c>
      <c r="K73" s="113">
        <v>200</v>
      </c>
      <c r="L73" s="113">
        <v>1150</v>
      </c>
      <c r="M73" s="185">
        <v>7.580245030535</v>
      </c>
      <c r="N73" s="87">
        <v>203.31093418853757</v>
      </c>
      <c r="O73" s="121">
        <v>14015.291359591352</v>
      </c>
      <c r="P73" s="119">
        <v>16228.071719635616</v>
      </c>
      <c r="Q73" s="120">
        <v>8189.4580522167398</v>
      </c>
      <c r="R73" s="314">
        <v>22204.749411808094</v>
      </c>
      <c r="S73" s="315">
        <v>24417.529771852358</v>
      </c>
      <c r="U73" s="7" t="s">
        <v>1168</v>
      </c>
    </row>
    <row r="74" spans="1:21" s="74" customFormat="1" ht="16.5" customHeight="1" thickBot="1">
      <c r="A74" s="50" t="s">
        <v>35</v>
      </c>
      <c r="B74" s="51">
        <f t="shared" si="3"/>
        <v>70</v>
      </c>
      <c r="C74" s="51" t="s">
        <v>3</v>
      </c>
      <c r="D74" s="51">
        <f t="shared" si="4"/>
        <v>200</v>
      </c>
      <c r="E74" s="51" t="s">
        <v>3</v>
      </c>
      <c r="F74" s="110">
        <f t="shared" si="5"/>
        <v>1200</v>
      </c>
      <c r="G74" s="51" t="s">
        <v>3</v>
      </c>
      <c r="H74" s="48">
        <v>2</v>
      </c>
      <c r="I74" s="49" t="s">
        <v>45</v>
      </c>
      <c r="J74" s="184">
        <v>70</v>
      </c>
      <c r="K74" s="113">
        <v>200</v>
      </c>
      <c r="L74" s="113">
        <v>1200</v>
      </c>
      <c r="M74" s="185">
        <v>7.9264310068435719</v>
      </c>
      <c r="N74" s="87">
        <v>216.01786757532116</v>
      </c>
      <c r="O74" s="121">
        <v>14452.843138272565</v>
      </c>
      <c r="P74" s="119">
        <v>16753.253384961903</v>
      </c>
      <c r="Q74" s="120">
        <v>8543.2793698963142</v>
      </c>
      <c r="R74" s="314">
        <v>22996.122508168879</v>
      </c>
      <c r="S74" s="315">
        <v>25296.532754858217</v>
      </c>
      <c r="U74" s="7" t="s">
        <v>1169</v>
      </c>
    </row>
    <row r="75" spans="1:21" s="74" customFormat="1" ht="16.5" customHeight="1" thickBot="1">
      <c r="A75" s="50" t="s">
        <v>35</v>
      </c>
      <c r="B75" s="51">
        <f t="shared" si="3"/>
        <v>70</v>
      </c>
      <c r="C75" s="51" t="s">
        <v>3</v>
      </c>
      <c r="D75" s="51">
        <f t="shared" si="4"/>
        <v>200</v>
      </c>
      <c r="E75" s="51" t="s">
        <v>3</v>
      </c>
      <c r="F75" s="110">
        <f t="shared" si="5"/>
        <v>1250</v>
      </c>
      <c r="G75" s="51" t="s">
        <v>3</v>
      </c>
      <c r="H75" s="48">
        <v>2</v>
      </c>
      <c r="I75" s="49" t="s">
        <v>45</v>
      </c>
      <c r="J75" s="184">
        <v>70</v>
      </c>
      <c r="K75" s="113">
        <v>200</v>
      </c>
      <c r="L75" s="113">
        <v>1250</v>
      </c>
      <c r="M75" s="185">
        <v>8.233366983152143</v>
      </c>
      <c r="N75" s="87">
        <v>228.72480096210478</v>
      </c>
      <c r="O75" s="121">
        <v>14844.523210870615</v>
      </c>
      <c r="P75" s="119">
        <v>17233.961381308804</v>
      </c>
      <c r="Q75" s="120">
        <v>8897.1005471825265</v>
      </c>
      <c r="R75" s="314">
        <v>23741.623758053142</v>
      </c>
      <c r="S75" s="315">
        <v>26131.06192849133</v>
      </c>
      <c r="U75" s="7" t="s">
        <v>1170</v>
      </c>
    </row>
    <row r="76" spans="1:21" s="74" customFormat="1" ht="16.5" customHeight="1" thickBot="1">
      <c r="A76" s="50" t="s">
        <v>35</v>
      </c>
      <c r="B76" s="51">
        <f t="shared" si="3"/>
        <v>70</v>
      </c>
      <c r="C76" s="51" t="s">
        <v>3</v>
      </c>
      <c r="D76" s="51">
        <f t="shared" si="4"/>
        <v>200</v>
      </c>
      <c r="E76" s="51" t="s">
        <v>3</v>
      </c>
      <c r="F76" s="110">
        <f t="shared" si="5"/>
        <v>1300</v>
      </c>
      <c r="G76" s="51" t="s">
        <v>3</v>
      </c>
      <c r="H76" s="48">
        <v>2</v>
      </c>
      <c r="I76" s="49" t="s">
        <v>45</v>
      </c>
      <c r="J76" s="184">
        <v>70</v>
      </c>
      <c r="K76" s="113">
        <v>200</v>
      </c>
      <c r="L76" s="113">
        <v>1300</v>
      </c>
      <c r="M76" s="185">
        <v>8.540302959460714</v>
      </c>
      <c r="N76" s="87">
        <v>241.43173434888834</v>
      </c>
      <c r="O76" s="121">
        <v>15236.203283468667</v>
      </c>
      <c r="P76" s="119">
        <v>17714.669377655704</v>
      </c>
      <c r="Q76" s="120">
        <v>9250.9217244687388</v>
      </c>
      <c r="R76" s="314">
        <v>24487.125007937408</v>
      </c>
      <c r="S76" s="315">
        <v>26965.591102124443</v>
      </c>
      <c r="U76" s="7" t="s">
        <v>1171</v>
      </c>
    </row>
    <row r="77" spans="1:21" s="74" customFormat="1" ht="16.5" customHeight="1" thickBot="1">
      <c r="A77" s="50" t="s">
        <v>35</v>
      </c>
      <c r="B77" s="51">
        <f t="shared" si="3"/>
        <v>70</v>
      </c>
      <c r="C77" s="51" t="s">
        <v>3</v>
      </c>
      <c r="D77" s="51">
        <f t="shared" si="4"/>
        <v>200</v>
      </c>
      <c r="E77" s="51" t="s">
        <v>3</v>
      </c>
      <c r="F77" s="110">
        <f t="shared" si="5"/>
        <v>1350</v>
      </c>
      <c r="G77" s="51" t="s">
        <v>3</v>
      </c>
      <c r="H77" s="48">
        <v>2</v>
      </c>
      <c r="I77" s="49" t="s">
        <v>45</v>
      </c>
      <c r="J77" s="184">
        <v>70</v>
      </c>
      <c r="K77" s="113">
        <v>200</v>
      </c>
      <c r="L77" s="113">
        <v>1350</v>
      </c>
      <c r="M77" s="185">
        <v>8.8472389357692851</v>
      </c>
      <c r="N77" s="87">
        <v>254.13866773567196</v>
      </c>
      <c r="O77" s="121">
        <v>15627.883356066717</v>
      </c>
      <c r="P77" s="119">
        <v>18195.377374002604</v>
      </c>
      <c r="Q77" s="120">
        <v>9604.7429017549512</v>
      </c>
      <c r="R77" s="314">
        <v>25232.62625782167</v>
      </c>
      <c r="S77" s="315">
        <v>27800.120275757556</v>
      </c>
      <c r="U77" s="7" t="s">
        <v>1172</v>
      </c>
    </row>
    <row r="78" spans="1:21" s="74" customFormat="1" ht="16.5" customHeight="1" thickBot="1">
      <c r="A78" s="50" t="s">
        <v>35</v>
      </c>
      <c r="B78" s="51">
        <f t="shared" si="3"/>
        <v>70</v>
      </c>
      <c r="C78" s="51" t="s">
        <v>3</v>
      </c>
      <c r="D78" s="51">
        <f t="shared" si="4"/>
        <v>200</v>
      </c>
      <c r="E78" s="51" t="s">
        <v>3</v>
      </c>
      <c r="F78" s="110">
        <f t="shared" si="5"/>
        <v>1400</v>
      </c>
      <c r="G78" s="51" t="s">
        <v>3</v>
      </c>
      <c r="H78" s="48">
        <v>2</v>
      </c>
      <c r="I78" s="49" t="s">
        <v>45</v>
      </c>
      <c r="J78" s="184">
        <v>70</v>
      </c>
      <c r="K78" s="113">
        <v>200</v>
      </c>
      <c r="L78" s="113">
        <v>1400</v>
      </c>
      <c r="M78" s="185">
        <v>9.1541749120778579</v>
      </c>
      <c r="N78" s="87">
        <v>266.84560112245555</v>
      </c>
      <c r="O78" s="121">
        <v>16019.563428664766</v>
      </c>
      <c r="P78" s="119">
        <v>18676.085370349501</v>
      </c>
      <c r="Q78" s="120">
        <v>9958.5642194345273</v>
      </c>
      <c r="R78" s="314">
        <v>25978.127648099293</v>
      </c>
      <c r="S78" s="315">
        <v>28634.649589784029</v>
      </c>
      <c r="U78" s="7" t="s">
        <v>1173</v>
      </c>
    </row>
    <row r="79" spans="1:21" s="74" customFormat="1" ht="16.5" customHeight="1" thickBot="1">
      <c r="A79" s="50" t="s">
        <v>35</v>
      </c>
      <c r="B79" s="51">
        <f t="shared" si="3"/>
        <v>70</v>
      </c>
      <c r="C79" s="51" t="s">
        <v>3</v>
      </c>
      <c r="D79" s="51">
        <f t="shared" si="4"/>
        <v>200</v>
      </c>
      <c r="E79" s="51" t="s">
        <v>3</v>
      </c>
      <c r="F79" s="110">
        <f t="shared" si="5"/>
        <v>1450</v>
      </c>
      <c r="G79" s="51" t="s">
        <v>3</v>
      </c>
      <c r="H79" s="48">
        <v>2</v>
      </c>
      <c r="I79" s="49" t="s">
        <v>45</v>
      </c>
      <c r="J79" s="184">
        <v>70</v>
      </c>
      <c r="K79" s="113">
        <v>200</v>
      </c>
      <c r="L79" s="113">
        <v>1450</v>
      </c>
      <c r="M79" s="185">
        <v>9.461110888386429</v>
      </c>
      <c r="N79" s="87">
        <v>279.55253450923919</v>
      </c>
      <c r="O79" s="121">
        <v>16411.243641656176</v>
      </c>
      <c r="P79" s="119">
        <v>19156.793507089766</v>
      </c>
      <c r="Q79" s="120">
        <v>10312.38539672074</v>
      </c>
      <c r="R79" s="314">
        <v>26723.629038376916</v>
      </c>
      <c r="S79" s="315">
        <v>29469.178903810505</v>
      </c>
      <c r="U79" s="7" t="s">
        <v>1174</v>
      </c>
    </row>
    <row r="80" spans="1:21" s="74" customFormat="1" ht="16.5" customHeight="1" thickBot="1">
      <c r="A80" s="50" t="s">
        <v>35</v>
      </c>
      <c r="B80" s="51">
        <f t="shared" si="3"/>
        <v>70</v>
      </c>
      <c r="C80" s="51" t="s">
        <v>3</v>
      </c>
      <c r="D80" s="51">
        <f t="shared" si="4"/>
        <v>200</v>
      </c>
      <c r="E80" s="51" t="s">
        <v>3</v>
      </c>
      <c r="F80" s="110">
        <f t="shared" si="5"/>
        <v>1500</v>
      </c>
      <c r="G80" s="51" t="s">
        <v>3</v>
      </c>
      <c r="H80" s="48">
        <v>2</v>
      </c>
      <c r="I80" s="49" t="s">
        <v>45</v>
      </c>
      <c r="J80" s="184">
        <v>70</v>
      </c>
      <c r="K80" s="113">
        <v>200</v>
      </c>
      <c r="L80" s="113">
        <v>1500</v>
      </c>
      <c r="M80" s="185">
        <v>9.8606099974950006</v>
      </c>
      <c r="N80" s="87">
        <v>292.25946789602273</v>
      </c>
      <c r="O80" s="121">
        <v>17342.358815708329</v>
      </c>
      <c r="P80" s="119">
        <v>20084.991026282441</v>
      </c>
      <c r="Q80" s="120">
        <v>10666.206574006952</v>
      </c>
      <c r="R80" s="314">
        <v>28008.565389715281</v>
      </c>
      <c r="S80" s="315">
        <v>30751.197600289393</v>
      </c>
      <c r="U80" s="7" t="s">
        <v>1175</v>
      </c>
    </row>
    <row r="81" spans="1:21" s="74" customFormat="1" ht="16.5" customHeight="1" thickBot="1">
      <c r="A81" s="50" t="s">
        <v>35</v>
      </c>
      <c r="B81" s="51">
        <f t="shared" si="3"/>
        <v>70</v>
      </c>
      <c r="C81" s="51" t="s">
        <v>3</v>
      </c>
      <c r="D81" s="51">
        <f t="shared" si="4"/>
        <v>200</v>
      </c>
      <c r="E81" s="51" t="s">
        <v>3</v>
      </c>
      <c r="F81" s="110">
        <f t="shared" si="5"/>
        <v>1550</v>
      </c>
      <c r="G81" s="51" t="s">
        <v>3</v>
      </c>
      <c r="H81" s="48">
        <v>2</v>
      </c>
      <c r="I81" s="49" t="s">
        <v>45</v>
      </c>
      <c r="J81" s="184">
        <v>70</v>
      </c>
      <c r="K81" s="113">
        <v>200</v>
      </c>
      <c r="L81" s="113">
        <v>1550</v>
      </c>
      <c r="M81" s="185">
        <v>10.16754597380357</v>
      </c>
      <c r="N81" s="87">
        <v>304.96640128280632</v>
      </c>
      <c r="O81" s="121">
        <v>17734.038888306379</v>
      </c>
      <c r="P81" s="119">
        <v>20565.699163022702</v>
      </c>
      <c r="Q81" s="120">
        <v>11020.027751293164</v>
      </c>
      <c r="R81" s="314">
        <v>28754.066639599543</v>
      </c>
      <c r="S81" s="315">
        <v>31585.726914315866</v>
      </c>
      <c r="U81" s="7" t="s">
        <v>1176</v>
      </c>
    </row>
    <row r="82" spans="1:21" s="74" customFormat="1" ht="16.5" customHeight="1" thickBot="1">
      <c r="A82" s="47" t="s">
        <v>35</v>
      </c>
      <c r="B82" s="48">
        <f t="shared" si="3"/>
        <v>70</v>
      </c>
      <c r="C82" s="48" t="s">
        <v>3</v>
      </c>
      <c r="D82" s="48">
        <f t="shared" si="4"/>
        <v>200</v>
      </c>
      <c r="E82" s="48" t="s">
        <v>3</v>
      </c>
      <c r="F82" s="110">
        <f t="shared" si="5"/>
        <v>1600</v>
      </c>
      <c r="G82" s="48" t="s">
        <v>3</v>
      </c>
      <c r="H82" s="48">
        <v>2</v>
      </c>
      <c r="I82" s="49" t="s">
        <v>45</v>
      </c>
      <c r="J82" s="184">
        <v>70</v>
      </c>
      <c r="K82" s="113">
        <v>200</v>
      </c>
      <c r="L82" s="113">
        <v>1600</v>
      </c>
      <c r="M82" s="185">
        <v>10.474481950112143</v>
      </c>
      <c r="N82" s="87">
        <v>317.67333466958996</v>
      </c>
      <c r="O82" s="121">
        <v>18125.718960904429</v>
      </c>
      <c r="P82" s="119">
        <v>21046.407159369606</v>
      </c>
      <c r="Q82" s="120">
        <v>11373.848928579377</v>
      </c>
      <c r="R82" s="314">
        <v>29499.567889483806</v>
      </c>
      <c r="S82" s="315">
        <v>32420.256087948983</v>
      </c>
      <c r="U82" s="7" t="s">
        <v>1177</v>
      </c>
    </row>
    <row r="83" spans="1:21" s="74" customFormat="1" ht="16.5" customHeight="1" thickBot="1">
      <c r="A83" s="50" t="s">
        <v>35</v>
      </c>
      <c r="B83" s="51">
        <f t="shared" si="3"/>
        <v>70</v>
      </c>
      <c r="C83" s="51" t="s">
        <v>3</v>
      </c>
      <c r="D83" s="51">
        <f t="shared" si="4"/>
        <v>200</v>
      </c>
      <c r="E83" s="51" t="s">
        <v>3</v>
      </c>
      <c r="F83" s="110">
        <f t="shared" si="5"/>
        <v>1650</v>
      </c>
      <c r="G83" s="51" t="s">
        <v>3</v>
      </c>
      <c r="H83" s="48">
        <v>2</v>
      </c>
      <c r="I83" s="49" t="s">
        <v>45</v>
      </c>
      <c r="J83" s="184">
        <v>70</v>
      </c>
      <c r="K83" s="113">
        <v>200</v>
      </c>
      <c r="L83" s="113">
        <v>1650</v>
      </c>
      <c r="M83" s="185">
        <v>10.781417926420714</v>
      </c>
      <c r="N83" s="87">
        <v>330.38026805637355</v>
      </c>
      <c r="O83" s="121">
        <v>18517.399033502479</v>
      </c>
      <c r="P83" s="119">
        <v>21527.115155716503</v>
      </c>
      <c r="Q83" s="120">
        <v>11727.670246258953</v>
      </c>
      <c r="R83" s="314">
        <v>30245.069279761432</v>
      </c>
      <c r="S83" s="315">
        <v>33254.78540197546</v>
      </c>
      <c r="U83" s="7" t="s">
        <v>1178</v>
      </c>
    </row>
    <row r="84" spans="1:21" s="74" customFormat="1" ht="16.5" customHeight="1" thickBot="1">
      <c r="A84" s="50" t="s">
        <v>35</v>
      </c>
      <c r="B84" s="51">
        <f t="shared" si="3"/>
        <v>70</v>
      </c>
      <c r="C84" s="51" t="s">
        <v>3</v>
      </c>
      <c r="D84" s="51">
        <f t="shared" si="4"/>
        <v>200</v>
      </c>
      <c r="E84" s="51" t="s">
        <v>3</v>
      </c>
      <c r="F84" s="110">
        <f t="shared" si="5"/>
        <v>1700</v>
      </c>
      <c r="G84" s="51" t="s">
        <v>3</v>
      </c>
      <c r="H84" s="48">
        <v>2</v>
      </c>
      <c r="I84" s="49" t="s">
        <v>45</v>
      </c>
      <c r="J84" s="184">
        <v>70</v>
      </c>
      <c r="K84" s="113">
        <v>200</v>
      </c>
      <c r="L84" s="113">
        <v>1700</v>
      </c>
      <c r="M84" s="185">
        <v>11.088353902729285</v>
      </c>
      <c r="N84" s="87">
        <v>343.08720144315714</v>
      </c>
      <c r="O84" s="121">
        <v>18909.079106100529</v>
      </c>
      <c r="P84" s="119">
        <v>22007.823152063404</v>
      </c>
      <c r="Q84" s="120">
        <v>12081.491423545167</v>
      </c>
      <c r="R84" s="314">
        <v>30990.570529645694</v>
      </c>
      <c r="S84" s="315">
        <v>34089.314575608572</v>
      </c>
      <c r="U84" s="7" t="s">
        <v>1179</v>
      </c>
    </row>
    <row r="85" spans="1:21" s="74" customFormat="1" ht="16.5" customHeight="1" thickBot="1">
      <c r="A85" s="50" t="s">
        <v>35</v>
      </c>
      <c r="B85" s="51">
        <f t="shared" si="3"/>
        <v>70</v>
      </c>
      <c r="C85" s="51" t="s">
        <v>3</v>
      </c>
      <c r="D85" s="51">
        <f t="shared" si="4"/>
        <v>200</v>
      </c>
      <c r="E85" s="51" t="s">
        <v>3</v>
      </c>
      <c r="F85" s="110">
        <f t="shared" si="5"/>
        <v>1750</v>
      </c>
      <c r="G85" s="51" t="s">
        <v>3</v>
      </c>
      <c r="H85" s="48">
        <v>2</v>
      </c>
      <c r="I85" s="49" t="s">
        <v>45</v>
      </c>
      <c r="J85" s="184">
        <v>70</v>
      </c>
      <c r="K85" s="113">
        <v>200</v>
      </c>
      <c r="L85" s="113">
        <v>1750</v>
      </c>
      <c r="M85" s="185">
        <v>11.395289879037858</v>
      </c>
      <c r="N85" s="87">
        <v>355.79413482994073</v>
      </c>
      <c r="O85" s="121">
        <v>19300.759178698579</v>
      </c>
      <c r="P85" s="119">
        <v>22488.531148410304</v>
      </c>
      <c r="Q85" s="120">
        <v>12435.312600831377</v>
      </c>
      <c r="R85" s="314">
        <v>31736.071779529957</v>
      </c>
      <c r="S85" s="315">
        <v>34923.843749241685</v>
      </c>
      <c r="U85" s="7" t="s">
        <v>1180</v>
      </c>
    </row>
    <row r="86" spans="1:21" s="74" customFormat="1" ht="16.5" customHeight="1" thickBot="1">
      <c r="A86" s="50" t="s">
        <v>35</v>
      </c>
      <c r="B86" s="51">
        <f t="shared" si="3"/>
        <v>70</v>
      </c>
      <c r="C86" s="51" t="s">
        <v>3</v>
      </c>
      <c r="D86" s="51">
        <f t="shared" si="4"/>
        <v>200</v>
      </c>
      <c r="E86" s="51" t="s">
        <v>3</v>
      </c>
      <c r="F86" s="110">
        <f t="shared" si="5"/>
        <v>1800</v>
      </c>
      <c r="G86" s="51" t="s">
        <v>3</v>
      </c>
      <c r="H86" s="48">
        <v>2</v>
      </c>
      <c r="I86" s="49" t="s">
        <v>45</v>
      </c>
      <c r="J86" s="184">
        <v>70</v>
      </c>
      <c r="K86" s="113">
        <v>200</v>
      </c>
      <c r="L86" s="113">
        <v>1800</v>
      </c>
      <c r="M86" s="185">
        <v>11.702225855346427</v>
      </c>
      <c r="N86" s="87">
        <v>368.50106821672432</v>
      </c>
      <c r="O86" s="121">
        <v>19692.43925129663</v>
      </c>
      <c r="P86" s="119">
        <v>22969.239144757204</v>
      </c>
      <c r="Q86" s="120">
        <v>12789.13377811759</v>
      </c>
      <c r="R86" s="314">
        <v>32481.573029414219</v>
      </c>
      <c r="S86" s="315">
        <v>35758.372922874798</v>
      </c>
      <c r="U86" s="7" t="s">
        <v>1181</v>
      </c>
    </row>
    <row r="87" spans="1:21" s="74" customFormat="1" ht="16.5" customHeight="1" thickBot="1">
      <c r="A87" s="50" t="s">
        <v>35</v>
      </c>
      <c r="B87" s="51">
        <f t="shared" si="3"/>
        <v>70</v>
      </c>
      <c r="C87" s="51" t="s">
        <v>3</v>
      </c>
      <c r="D87" s="51">
        <f t="shared" si="4"/>
        <v>200</v>
      </c>
      <c r="E87" s="51" t="s">
        <v>3</v>
      </c>
      <c r="F87" s="110">
        <f t="shared" si="5"/>
        <v>1850</v>
      </c>
      <c r="G87" s="51" t="s">
        <v>3</v>
      </c>
      <c r="H87" s="48">
        <v>2</v>
      </c>
      <c r="I87" s="49" t="s">
        <v>45</v>
      </c>
      <c r="J87" s="184">
        <v>70</v>
      </c>
      <c r="K87" s="113">
        <v>200</v>
      </c>
      <c r="L87" s="113">
        <v>1850</v>
      </c>
      <c r="M87" s="185">
        <v>12.009161831655</v>
      </c>
      <c r="N87" s="87">
        <v>381.20800160350791</v>
      </c>
      <c r="O87" s="121">
        <v>20084.11932389468</v>
      </c>
      <c r="P87" s="119">
        <v>23449.947141104105</v>
      </c>
      <c r="Q87" s="120">
        <v>13142.955095797164</v>
      </c>
      <c r="R87" s="314">
        <v>33227.074419691846</v>
      </c>
      <c r="S87" s="315">
        <v>36592.902236901267</v>
      </c>
      <c r="U87" s="7" t="s">
        <v>1182</v>
      </c>
    </row>
    <row r="88" spans="1:21" s="74" customFormat="1" ht="16.5" customHeight="1" thickBot="1">
      <c r="A88" s="50" t="s">
        <v>35</v>
      </c>
      <c r="B88" s="51">
        <f t="shared" si="3"/>
        <v>70</v>
      </c>
      <c r="C88" s="51" t="s">
        <v>3</v>
      </c>
      <c r="D88" s="51">
        <f t="shared" si="4"/>
        <v>200</v>
      </c>
      <c r="E88" s="51" t="s">
        <v>3</v>
      </c>
      <c r="F88" s="110">
        <f t="shared" si="5"/>
        <v>1900</v>
      </c>
      <c r="G88" s="51" t="s">
        <v>3</v>
      </c>
      <c r="H88" s="48">
        <v>2</v>
      </c>
      <c r="I88" s="49" t="s">
        <v>45</v>
      </c>
      <c r="J88" s="184">
        <v>70</v>
      </c>
      <c r="K88" s="113">
        <v>200</v>
      </c>
      <c r="L88" s="113">
        <v>1900</v>
      </c>
      <c r="M88" s="185">
        <v>12.316097807963569</v>
      </c>
      <c r="N88" s="87">
        <v>393.91493499029156</v>
      </c>
      <c r="O88" s="121">
        <v>20475.799396492726</v>
      </c>
      <c r="P88" s="119">
        <v>23930.655277844369</v>
      </c>
      <c r="Q88" s="120">
        <v>13496.776273083377</v>
      </c>
      <c r="R88" s="314">
        <v>33972.575669576101</v>
      </c>
      <c r="S88" s="315">
        <v>37427.431550927744</v>
      </c>
      <c r="U88" s="7" t="s">
        <v>1183</v>
      </c>
    </row>
    <row r="89" spans="1:21" s="74" customFormat="1" ht="16.5" customHeight="1" thickBot="1">
      <c r="A89" s="50" t="s">
        <v>35</v>
      </c>
      <c r="B89" s="51">
        <f t="shared" si="3"/>
        <v>70</v>
      </c>
      <c r="C89" s="51" t="s">
        <v>3</v>
      </c>
      <c r="D89" s="51">
        <f t="shared" si="4"/>
        <v>200</v>
      </c>
      <c r="E89" s="51" t="s">
        <v>3</v>
      </c>
      <c r="F89" s="110">
        <f t="shared" si="5"/>
        <v>1950</v>
      </c>
      <c r="G89" s="51" t="s">
        <v>3</v>
      </c>
      <c r="H89" s="48">
        <v>2</v>
      </c>
      <c r="I89" s="49" t="s">
        <v>45</v>
      </c>
      <c r="J89" s="184">
        <v>70</v>
      </c>
      <c r="K89" s="113">
        <v>200</v>
      </c>
      <c r="L89" s="113">
        <v>1950</v>
      </c>
      <c r="M89" s="185">
        <v>12.662283784272141</v>
      </c>
      <c r="N89" s="87">
        <v>406.62186837707515</v>
      </c>
      <c r="O89" s="121">
        <v>20913.351315567303</v>
      </c>
      <c r="P89" s="119">
        <v>24455.836802777292</v>
      </c>
      <c r="Q89" s="120">
        <v>13850.597450369591</v>
      </c>
      <c r="R89" s="314">
        <v>34763.94876593689</v>
      </c>
      <c r="S89" s="315">
        <v>38306.434253146886</v>
      </c>
      <c r="U89" s="7" t="s">
        <v>1184</v>
      </c>
    </row>
    <row r="90" spans="1:21" s="74" customFormat="1" ht="16.5" customHeight="1" thickBot="1">
      <c r="A90" s="50" t="s">
        <v>35</v>
      </c>
      <c r="B90" s="51">
        <f t="shared" si="3"/>
        <v>70</v>
      </c>
      <c r="C90" s="51" t="s">
        <v>3</v>
      </c>
      <c r="D90" s="51">
        <f t="shared" si="4"/>
        <v>200</v>
      </c>
      <c r="E90" s="51" t="s">
        <v>3</v>
      </c>
      <c r="F90" s="110">
        <f t="shared" si="5"/>
        <v>2000</v>
      </c>
      <c r="G90" s="51" t="s">
        <v>3</v>
      </c>
      <c r="H90" s="48">
        <v>2</v>
      </c>
      <c r="I90" s="49" t="s">
        <v>45</v>
      </c>
      <c r="J90" s="184">
        <v>70</v>
      </c>
      <c r="K90" s="113">
        <v>200</v>
      </c>
      <c r="L90" s="113">
        <v>2000</v>
      </c>
      <c r="M90" s="185">
        <v>13.060782160580713</v>
      </c>
      <c r="N90" s="87">
        <v>419.32880176385873</v>
      </c>
      <c r="O90" s="121">
        <v>21535.57441738058</v>
      </c>
      <c r="P90" s="119">
        <v>25237.85534900134</v>
      </c>
      <c r="Q90" s="120">
        <v>14204.418627655803</v>
      </c>
      <c r="R90" s="314">
        <v>35739.993045036383</v>
      </c>
      <c r="S90" s="315">
        <v>39442.273976657147</v>
      </c>
      <c r="U90" s="7" t="s">
        <v>1185</v>
      </c>
    </row>
    <row r="91" spans="1:21" s="74" customFormat="1" ht="16.5" customHeight="1" thickBot="1">
      <c r="A91" s="50" t="s">
        <v>35</v>
      </c>
      <c r="B91" s="51">
        <f t="shared" si="3"/>
        <v>70</v>
      </c>
      <c r="C91" s="51" t="s">
        <v>3</v>
      </c>
      <c r="D91" s="51">
        <f t="shared" si="4"/>
        <v>200</v>
      </c>
      <c r="E91" s="51" t="s">
        <v>3</v>
      </c>
      <c r="F91" s="110">
        <f t="shared" si="5"/>
        <v>2050</v>
      </c>
      <c r="G91" s="51" t="s">
        <v>3</v>
      </c>
      <c r="H91" s="48">
        <v>2</v>
      </c>
      <c r="I91" s="49" t="s">
        <v>45</v>
      </c>
      <c r="J91" s="184">
        <v>70</v>
      </c>
      <c r="K91" s="113">
        <v>200</v>
      </c>
      <c r="L91" s="113">
        <v>2050</v>
      </c>
      <c r="M91" s="185">
        <v>13.367718136889284</v>
      </c>
      <c r="N91" s="87">
        <v>432.03573515064232</v>
      </c>
      <c r="O91" s="121">
        <v>21927.25448997863</v>
      </c>
      <c r="P91" s="119">
        <v>25718.563345348244</v>
      </c>
      <c r="Q91" s="120">
        <v>14558.239804942017</v>
      </c>
      <c r="R91" s="314">
        <v>36485.494294920645</v>
      </c>
      <c r="S91" s="315">
        <v>40276.80315029026</v>
      </c>
      <c r="U91" s="7" t="s">
        <v>1186</v>
      </c>
    </row>
    <row r="92" spans="1:21" s="74" customFormat="1" ht="16.5" customHeight="1" thickBot="1">
      <c r="A92" s="47" t="s">
        <v>35</v>
      </c>
      <c r="B92" s="48">
        <f t="shared" si="3"/>
        <v>70</v>
      </c>
      <c r="C92" s="48" t="s">
        <v>3</v>
      </c>
      <c r="D92" s="48">
        <f t="shared" si="4"/>
        <v>200</v>
      </c>
      <c r="E92" s="48" t="s">
        <v>3</v>
      </c>
      <c r="F92" s="110">
        <f t="shared" si="5"/>
        <v>2100</v>
      </c>
      <c r="G92" s="48" t="s">
        <v>3</v>
      </c>
      <c r="H92" s="48">
        <v>2</v>
      </c>
      <c r="I92" s="49" t="s">
        <v>45</v>
      </c>
      <c r="J92" s="184">
        <v>70</v>
      </c>
      <c r="K92" s="113">
        <v>200</v>
      </c>
      <c r="L92" s="113">
        <v>2100</v>
      </c>
      <c r="M92" s="185">
        <v>13.674654113197857</v>
      </c>
      <c r="N92" s="87">
        <v>444.74266853742591</v>
      </c>
      <c r="O92" s="121">
        <v>22318.93456257668</v>
      </c>
      <c r="P92" s="119">
        <v>26199.271341695145</v>
      </c>
      <c r="Q92" s="120">
        <v>14912.061122621591</v>
      </c>
      <c r="R92" s="314">
        <v>37230.995685198272</v>
      </c>
      <c r="S92" s="315">
        <v>41111.332464316736</v>
      </c>
      <c r="U92" s="7" t="s">
        <v>1187</v>
      </c>
    </row>
    <row r="93" spans="1:21" s="74" customFormat="1" ht="16.5" customHeight="1" thickBot="1">
      <c r="A93" s="50" t="s">
        <v>35</v>
      </c>
      <c r="B93" s="51">
        <f t="shared" si="3"/>
        <v>70</v>
      </c>
      <c r="C93" s="51" t="s">
        <v>3</v>
      </c>
      <c r="D93" s="51">
        <f t="shared" si="4"/>
        <v>200</v>
      </c>
      <c r="E93" s="51" t="s">
        <v>3</v>
      </c>
      <c r="F93" s="110">
        <f t="shared" si="5"/>
        <v>2150</v>
      </c>
      <c r="G93" s="51" t="s">
        <v>3</v>
      </c>
      <c r="H93" s="48">
        <v>2</v>
      </c>
      <c r="I93" s="49" t="s">
        <v>45</v>
      </c>
      <c r="J93" s="184">
        <v>70</v>
      </c>
      <c r="K93" s="113">
        <v>200</v>
      </c>
      <c r="L93" s="113">
        <v>2150</v>
      </c>
      <c r="M93" s="185">
        <v>13.981590089506428</v>
      </c>
      <c r="N93" s="87">
        <v>457.44960192420956</v>
      </c>
      <c r="O93" s="121">
        <v>22710.61463517473</v>
      </c>
      <c r="P93" s="119">
        <v>26679.979478435409</v>
      </c>
      <c r="Q93" s="120">
        <v>15265.882299907804</v>
      </c>
      <c r="R93" s="314">
        <v>37976.496935082534</v>
      </c>
      <c r="S93" s="315">
        <v>41945.861778343213</v>
      </c>
      <c r="U93" s="7" t="s">
        <v>1188</v>
      </c>
    </row>
    <row r="94" spans="1:21" s="74" customFormat="1" ht="16.5" customHeight="1" thickBot="1">
      <c r="A94" s="50" t="s">
        <v>35</v>
      </c>
      <c r="B94" s="51">
        <f t="shared" si="3"/>
        <v>70</v>
      </c>
      <c r="C94" s="51" t="s">
        <v>3</v>
      </c>
      <c r="D94" s="51">
        <f t="shared" si="4"/>
        <v>200</v>
      </c>
      <c r="E94" s="51" t="s">
        <v>3</v>
      </c>
      <c r="F94" s="110">
        <f t="shared" si="5"/>
        <v>2200</v>
      </c>
      <c r="G94" s="51" t="s">
        <v>3</v>
      </c>
      <c r="H94" s="48">
        <v>2</v>
      </c>
      <c r="I94" s="49" t="s">
        <v>45</v>
      </c>
      <c r="J94" s="184">
        <v>70</v>
      </c>
      <c r="K94" s="113">
        <v>200</v>
      </c>
      <c r="L94" s="113">
        <v>2200</v>
      </c>
      <c r="M94" s="185">
        <v>14.288526065814999</v>
      </c>
      <c r="N94" s="87">
        <v>470.15653531099315</v>
      </c>
      <c r="O94" s="121">
        <v>23102.29470777278</v>
      </c>
      <c r="P94" s="119">
        <v>27160.687474782306</v>
      </c>
      <c r="Q94" s="120">
        <v>15619.703477194014</v>
      </c>
      <c r="R94" s="314">
        <v>38721.998184966797</v>
      </c>
      <c r="S94" s="315">
        <v>42780.390951976318</v>
      </c>
      <c r="U94" s="7" t="s">
        <v>1189</v>
      </c>
    </row>
    <row r="95" spans="1:21" s="74" customFormat="1" ht="16.5" customHeight="1" thickBot="1">
      <c r="A95" s="50" t="s">
        <v>35</v>
      </c>
      <c r="B95" s="51">
        <f t="shared" si="3"/>
        <v>70</v>
      </c>
      <c r="C95" s="51" t="s">
        <v>3</v>
      </c>
      <c r="D95" s="51">
        <f t="shared" si="4"/>
        <v>200</v>
      </c>
      <c r="E95" s="51" t="s">
        <v>3</v>
      </c>
      <c r="F95" s="110">
        <f t="shared" si="5"/>
        <v>2250</v>
      </c>
      <c r="G95" s="51" t="s">
        <v>3</v>
      </c>
      <c r="H95" s="48">
        <v>2</v>
      </c>
      <c r="I95" s="49" t="s">
        <v>45</v>
      </c>
      <c r="J95" s="184">
        <v>70</v>
      </c>
      <c r="K95" s="113">
        <v>200</v>
      </c>
      <c r="L95" s="113">
        <v>2250</v>
      </c>
      <c r="M95" s="185">
        <v>14.59546204212357</v>
      </c>
      <c r="N95" s="87">
        <v>482.86346869777668</v>
      </c>
      <c r="O95" s="121">
        <v>23493.974780370831</v>
      </c>
      <c r="P95" s="119">
        <v>27641.395471129206</v>
      </c>
      <c r="Q95" s="120">
        <v>15973.524654480228</v>
      </c>
      <c r="R95" s="314">
        <v>39467.499434851059</v>
      </c>
      <c r="S95" s="315">
        <v>43614.920125609438</v>
      </c>
      <c r="U95" s="7" t="s">
        <v>1190</v>
      </c>
    </row>
    <row r="96" spans="1:21" s="74" customFormat="1" ht="16.5" customHeight="1" thickBot="1">
      <c r="A96" s="50" t="s">
        <v>35</v>
      </c>
      <c r="B96" s="51">
        <f t="shared" si="3"/>
        <v>70</v>
      </c>
      <c r="C96" s="51" t="s">
        <v>3</v>
      </c>
      <c r="D96" s="51">
        <f t="shared" si="4"/>
        <v>200</v>
      </c>
      <c r="E96" s="51" t="s">
        <v>3</v>
      </c>
      <c r="F96" s="110">
        <f t="shared" si="5"/>
        <v>2300</v>
      </c>
      <c r="G96" s="51" t="s">
        <v>3</v>
      </c>
      <c r="H96" s="48">
        <v>2</v>
      </c>
      <c r="I96" s="49" t="s">
        <v>45</v>
      </c>
      <c r="J96" s="184">
        <v>70</v>
      </c>
      <c r="K96" s="113">
        <v>200</v>
      </c>
      <c r="L96" s="113">
        <v>2300</v>
      </c>
      <c r="M96" s="185">
        <v>14.902398018432141</v>
      </c>
      <c r="N96" s="87">
        <v>495.57040208456033</v>
      </c>
      <c r="O96" s="121">
        <v>23885.654852968881</v>
      </c>
      <c r="P96" s="119">
        <v>28122.103467476107</v>
      </c>
      <c r="Q96" s="120">
        <v>16327.345972159803</v>
      </c>
      <c r="R96" s="314">
        <v>40213.000825128685</v>
      </c>
      <c r="S96" s="315">
        <v>44449.449439635908</v>
      </c>
      <c r="U96" s="7" t="s">
        <v>1191</v>
      </c>
    </row>
    <row r="97" spans="1:21" s="74" customFormat="1" ht="16.5" customHeight="1" thickBot="1">
      <c r="A97" s="50" t="s">
        <v>35</v>
      </c>
      <c r="B97" s="51">
        <f t="shared" si="3"/>
        <v>70</v>
      </c>
      <c r="C97" s="51" t="s">
        <v>3</v>
      </c>
      <c r="D97" s="51">
        <f t="shared" si="4"/>
        <v>200</v>
      </c>
      <c r="E97" s="51" t="s">
        <v>3</v>
      </c>
      <c r="F97" s="110">
        <f t="shared" si="5"/>
        <v>2350</v>
      </c>
      <c r="G97" s="51" t="s">
        <v>3</v>
      </c>
      <c r="H97" s="48">
        <v>2</v>
      </c>
      <c r="I97" s="49" t="s">
        <v>45</v>
      </c>
      <c r="J97" s="184">
        <v>70</v>
      </c>
      <c r="K97" s="113">
        <v>200</v>
      </c>
      <c r="L97" s="113">
        <v>2350</v>
      </c>
      <c r="M97" s="185">
        <v>15.209333994740714</v>
      </c>
      <c r="N97" s="87">
        <v>508.27733547134392</v>
      </c>
      <c r="O97" s="121">
        <v>24277.334925566931</v>
      </c>
      <c r="P97" s="119">
        <v>28602.811463823004</v>
      </c>
      <c r="Q97" s="120">
        <v>16681.167149446017</v>
      </c>
      <c r="R97" s="314">
        <v>40958.502075012948</v>
      </c>
      <c r="S97" s="315">
        <v>45283.978613269021</v>
      </c>
      <c r="U97" s="7" t="s">
        <v>1192</v>
      </c>
    </row>
    <row r="98" spans="1:21" s="74" customFormat="1" ht="16.5" customHeight="1" thickBot="1">
      <c r="A98" s="50" t="s">
        <v>35</v>
      </c>
      <c r="B98" s="51">
        <f t="shared" si="3"/>
        <v>70</v>
      </c>
      <c r="C98" s="51" t="s">
        <v>3</v>
      </c>
      <c r="D98" s="51">
        <f t="shared" si="4"/>
        <v>200</v>
      </c>
      <c r="E98" s="51" t="s">
        <v>3</v>
      </c>
      <c r="F98" s="110">
        <f t="shared" si="5"/>
        <v>2400</v>
      </c>
      <c r="G98" s="51" t="s">
        <v>3</v>
      </c>
      <c r="H98" s="48">
        <v>2</v>
      </c>
      <c r="I98" s="49" t="s">
        <v>45</v>
      </c>
      <c r="J98" s="184">
        <v>70</v>
      </c>
      <c r="K98" s="113">
        <v>200</v>
      </c>
      <c r="L98" s="113">
        <v>2400</v>
      </c>
      <c r="M98" s="185">
        <v>15.516269971049283</v>
      </c>
      <c r="N98" s="87">
        <v>520.98426885812751</v>
      </c>
      <c r="O98" s="121">
        <v>24669.014998164981</v>
      </c>
      <c r="P98" s="119">
        <v>29083.519460169904</v>
      </c>
      <c r="Q98" s="120">
        <v>17034.988326732229</v>
      </c>
      <c r="R98" s="314">
        <v>41704.00332489721</v>
      </c>
      <c r="S98" s="315">
        <v>46118.507786902133</v>
      </c>
      <c r="U98" s="7" t="s">
        <v>1193</v>
      </c>
    </row>
    <row r="99" spans="1:21" s="74" customFormat="1" ht="16.5" customHeight="1" thickBot="1">
      <c r="A99" s="50" t="s">
        <v>35</v>
      </c>
      <c r="B99" s="51">
        <f t="shared" si="3"/>
        <v>70</v>
      </c>
      <c r="C99" s="51" t="s">
        <v>3</v>
      </c>
      <c r="D99" s="51">
        <f t="shared" si="4"/>
        <v>200</v>
      </c>
      <c r="E99" s="51" t="s">
        <v>3</v>
      </c>
      <c r="F99" s="110">
        <f t="shared" si="5"/>
        <v>2450</v>
      </c>
      <c r="G99" s="51" t="s">
        <v>3</v>
      </c>
      <c r="H99" s="48">
        <v>2</v>
      </c>
      <c r="I99" s="49" t="s">
        <v>45</v>
      </c>
      <c r="J99" s="184">
        <v>70</v>
      </c>
      <c r="K99" s="113">
        <v>200</v>
      </c>
      <c r="L99" s="113">
        <v>2450</v>
      </c>
      <c r="M99" s="185">
        <v>15.915769080157858</v>
      </c>
      <c r="N99" s="87">
        <v>533.6912022449111</v>
      </c>
      <c r="O99" s="121">
        <v>25600.13017221713</v>
      </c>
      <c r="P99" s="119">
        <v>30011.717119755944</v>
      </c>
      <c r="Q99" s="120">
        <v>17388.809504018442</v>
      </c>
      <c r="R99" s="314">
        <v>42988.939676235575</v>
      </c>
      <c r="S99" s="315">
        <v>47400.526623774385</v>
      </c>
      <c r="U99" s="7" t="s">
        <v>1194</v>
      </c>
    </row>
    <row r="100" spans="1:21" s="74" customFormat="1" ht="16.5" customHeight="1" thickBot="1">
      <c r="A100" s="50" t="s">
        <v>35</v>
      </c>
      <c r="B100" s="51">
        <f t="shared" si="3"/>
        <v>70</v>
      </c>
      <c r="C100" s="51" t="s">
        <v>3</v>
      </c>
      <c r="D100" s="51">
        <f t="shared" si="4"/>
        <v>200</v>
      </c>
      <c r="E100" s="51" t="s">
        <v>3</v>
      </c>
      <c r="F100" s="110">
        <f t="shared" si="5"/>
        <v>2500</v>
      </c>
      <c r="G100" s="51" t="s">
        <v>3</v>
      </c>
      <c r="H100" s="48">
        <v>2</v>
      </c>
      <c r="I100" s="49" t="s">
        <v>45</v>
      </c>
      <c r="J100" s="184">
        <v>70</v>
      </c>
      <c r="K100" s="113">
        <v>200</v>
      </c>
      <c r="L100" s="113">
        <v>2500</v>
      </c>
      <c r="M100" s="185">
        <v>16.222705056466427</v>
      </c>
      <c r="N100" s="87">
        <v>546.39813563169469</v>
      </c>
      <c r="O100" s="121">
        <v>25991.810385208544</v>
      </c>
      <c r="P100" s="119">
        <v>30492.425116102848</v>
      </c>
      <c r="Q100" s="120">
        <v>17742.630681304654</v>
      </c>
      <c r="R100" s="314">
        <v>43734.441066513202</v>
      </c>
      <c r="S100" s="315">
        <v>48235.055797407505</v>
      </c>
      <c r="U100" s="7" t="s">
        <v>1195</v>
      </c>
    </row>
    <row r="101" spans="1:21" s="74" customFormat="1" ht="16.5" customHeight="1" thickBot="1">
      <c r="A101" s="50" t="s">
        <v>35</v>
      </c>
      <c r="B101" s="51">
        <f t="shared" si="3"/>
        <v>70</v>
      </c>
      <c r="C101" s="51" t="s">
        <v>3</v>
      </c>
      <c r="D101" s="51">
        <f t="shared" si="4"/>
        <v>200</v>
      </c>
      <c r="E101" s="51" t="s">
        <v>3</v>
      </c>
      <c r="F101" s="110">
        <f t="shared" si="5"/>
        <v>2550</v>
      </c>
      <c r="G101" s="51" t="s">
        <v>3</v>
      </c>
      <c r="H101" s="48">
        <v>2</v>
      </c>
      <c r="I101" s="49" t="s">
        <v>45</v>
      </c>
      <c r="J101" s="184">
        <v>70</v>
      </c>
      <c r="K101" s="113">
        <v>200</v>
      </c>
      <c r="L101" s="113">
        <v>2550</v>
      </c>
      <c r="M101" s="185">
        <v>16.529641032774997</v>
      </c>
      <c r="N101" s="87">
        <v>559.10506901847839</v>
      </c>
      <c r="O101" s="121">
        <v>26383.490457806591</v>
      </c>
      <c r="P101" s="119">
        <v>30973.133112449745</v>
      </c>
      <c r="Q101" s="120">
        <v>18096.45199898423</v>
      </c>
      <c r="R101" s="314">
        <v>44479.942456790821</v>
      </c>
      <c r="S101" s="315">
        <v>49069.585111433975</v>
      </c>
      <c r="U101" s="7" t="s">
        <v>1196</v>
      </c>
    </row>
    <row r="102" spans="1:21" s="74" customFormat="1" ht="16.5" customHeight="1" thickBot="1">
      <c r="A102" s="47" t="s">
        <v>35</v>
      </c>
      <c r="B102" s="48">
        <f t="shared" si="3"/>
        <v>70</v>
      </c>
      <c r="C102" s="48" t="s">
        <v>3</v>
      </c>
      <c r="D102" s="48">
        <f t="shared" si="4"/>
        <v>200</v>
      </c>
      <c r="E102" s="48" t="s">
        <v>3</v>
      </c>
      <c r="F102" s="110">
        <f t="shared" si="5"/>
        <v>2600</v>
      </c>
      <c r="G102" s="48" t="s">
        <v>3</v>
      </c>
      <c r="H102" s="48">
        <v>2</v>
      </c>
      <c r="I102" s="49" t="s">
        <v>45</v>
      </c>
      <c r="J102" s="184">
        <v>70</v>
      </c>
      <c r="K102" s="113">
        <v>200</v>
      </c>
      <c r="L102" s="113">
        <v>2600</v>
      </c>
      <c r="M102" s="185">
        <v>16.83657700908357</v>
      </c>
      <c r="N102" s="87">
        <v>571.81200240526186</v>
      </c>
      <c r="O102" s="121">
        <v>26775.170530404641</v>
      </c>
      <c r="P102" s="119">
        <v>31453.841249190009</v>
      </c>
      <c r="Q102" s="120">
        <v>18450.273176270442</v>
      </c>
      <c r="R102" s="314">
        <v>45225.443706675083</v>
      </c>
      <c r="S102" s="315">
        <v>49904.114425460451</v>
      </c>
      <c r="U102" s="7" t="s">
        <v>1197</v>
      </c>
    </row>
    <row r="103" spans="1:21" s="74" customFormat="1" ht="16.5" customHeight="1" thickBot="1">
      <c r="A103" s="50" t="s">
        <v>35</v>
      </c>
      <c r="B103" s="51">
        <f t="shared" si="3"/>
        <v>70</v>
      </c>
      <c r="C103" s="51" t="s">
        <v>3</v>
      </c>
      <c r="D103" s="51">
        <f t="shared" si="4"/>
        <v>200</v>
      </c>
      <c r="E103" s="51" t="s">
        <v>3</v>
      </c>
      <c r="F103" s="110">
        <f t="shared" si="5"/>
        <v>2650</v>
      </c>
      <c r="G103" s="51" t="s">
        <v>3</v>
      </c>
      <c r="H103" s="48">
        <v>2</v>
      </c>
      <c r="I103" s="49" t="s">
        <v>45</v>
      </c>
      <c r="J103" s="184">
        <v>70</v>
      </c>
      <c r="K103" s="113">
        <v>200</v>
      </c>
      <c r="L103" s="113">
        <v>2650</v>
      </c>
      <c r="M103" s="185">
        <v>17.143512985392142</v>
      </c>
      <c r="N103" s="87">
        <v>584.51893579204545</v>
      </c>
      <c r="O103" s="121">
        <v>27166.850603002691</v>
      </c>
      <c r="P103" s="119">
        <v>31934.549245536909</v>
      </c>
      <c r="Q103" s="120">
        <v>18804.094353556655</v>
      </c>
      <c r="R103" s="314">
        <v>45970.944956559346</v>
      </c>
      <c r="S103" s="315">
        <v>50738.643599093564</v>
      </c>
      <c r="U103" s="7" t="s">
        <v>1198</v>
      </c>
    </row>
    <row r="104" spans="1:21" s="74" customFormat="1" ht="16.5" customHeight="1" thickBot="1">
      <c r="A104" s="50" t="s">
        <v>35</v>
      </c>
      <c r="B104" s="51">
        <f t="shared" si="3"/>
        <v>70</v>
      </c>
      <c r="C104" s="51" t="s">
        <v>3</v>
      </c>
      <c r="D104" s="51">
        <f t="shared" si="4"/>
        <v>200</v>
      </c>
      <c r="E104" s="51" t="s">
        <v>3</v>
      </c>
      <c r="F104" s="110">
        <f t="shared" si="5"/>
        <v>2700</v>
      </c>
      <c r="G104" s="51" t="s">
        <v>3</v>
      </c>
      <c r="H104" s="48">
        <v>2</v>
      </c>
      <c r="I104" s="49" t="s">
        <v>45</v>
      </c>
      <c r="J104" s="184">
        <v>70</v>
      </c>
      <c r="K104" s="113">
        <v>200</v>
      </c>
      <c r="L104" s="113">
        <v>2700</v>
      </c>
      <c r="M104" s="185">
        <v>17.489698961700718</v>
      </c>
      <c r="N104" s="87">
        <v>597.22586917882916</v>
      </c>
      <c r="O104" s="121">
        <v>27604.402381683904</v>
      </c>
      <c r="P104" s="119">
        <v>32459.730770469829</v>
      </c>
      <c r="Q104" s="120">
        <v>19157.915530842867</v>
      </c>
      <c r="R104" s="314">
        <v>46762.317912526771</v>
      </c>
      <c r="S104" s="315">
        <v>51617.646301312692</v>
      </c>
      <c r="U104" s="7" t="s">
        <v>1199</v>
      </c>
    </row>
    <row r="105" spans="1:21" s="74" customFormat="1" ht="16.5" customHeight="1" thickBot="1">
      <c r="A105" s="50" t="s">
        <v>35</v>
      </c>
      <c r="B105" s="51">
        <f t="shared" si="3"/>
        <v>70</v>
      </c>
      <c r="C105" s="51" t="s">
        <v>3</v>
      </c>
      <c r="D105" s="51">
        <f t="shared" si="4"/>
        <v>200</v>
      </c>
      <c r="E105" s="51" t="s">
        <v>3</v>
      </c>
      <c r="F105" s="110">
        <f t="shared" si="5"/>
        <v>2750</v>
      </c>
      <c r="G105" s="51" t="s">
        <v>3</v>
      </c>
      <c r="H105" s="48">
        <v>2</v>
      </c>
      <c r="I105" s="49" t="s">
        <v>45</v>
      </c>
      <c r="J105" s="184">
        <v>70</v>
      </c>
      <c r="K105" s="113">
        <v>200</v>
      </c>
      <c r="L105" s="113">
        <v>2750</v>
      </c>
      <c r="M105" s="185">
        <v>17.796634938009284</v>
      </c>
      <c r="N105" s="87">
        <v>609.93280256561263</v>
      </c>
      <c r="O105" s="121">
        <v>27996.082454281954</v>
      </c>
      <c r="P105" s="119">
        <v>32940.438766816733</v>
      </c>
      <c r="Q105" s="120">
        <v>19511.736848522443</v>
      </c>
      <c r="R105" s="314">
        <v>47507.819302804397</v>
      </c>
      <c r="S105" s="315">
        <v>52452.175615339176</v>
      </c>
      <c r="U105" s="7" t="s">
        <v>1200</v>
      </c>
    </row>
    <row r="106" spans="1:21" s="74" customFormat="1" ht="16.5" customHeight="1" thickBot="1">
      <c r="A106" s="50" t="s">
        <v>35</v>
      </c>
      <c r="B106" s="51">
        <f t="shared" si="3"/>
        <v>70</v>
      </c>
      <c r="C106" s="51" t="s">
        <v>3</v>
      </c>
      <c r="D106" s="51">
        <f t="shared" si="4"/>
        <v>200</v>
      </c>
      <c r="E106" s="51" t="s">
        <v>3</v>
      </c>
      <c r="F106" s="110">
        <f t="shared" si="5"/>
        <v>2800</v>
      </c>
      <c r="G106" s="51" t="s">
        <v>3</v>
      </c>
      <c r="H106" s="48">
        <v>2</v>
      </c>
      <c r="I106" s="49" t="s">
        <v>45</v>
      </c>
      <c r="J106" s="184">
        <v>70</v>
      </c>
      <c r="K106" s="113">
        <v>200</v>
      </c>
      <c r="L106" s="113">
        <v>2800</v>
      </c>
      <c r="M106" s="185">
        <v>18.103570914317856</v>
      </c>
      <c r="N106" s="87">
        <v>622.63973595239634</v>
      </c>
      <c r="O106" s="121">
        <v>28387.762667273371</v>
      </c>
      <c r="P106" s="119">
        <v>33421.14690355699</v>
      </c>
      <c r="Q106" s="120">
        <v>19865.558025808652</v>
      </c>
      <c r="R106" s="314">
        <v>48253.320693082023</v>
      </c>
      <c r="S106" s="315">
        <v>53286.704929365646</v>
      </c>
      <c r="U106" s="7" t="s">
        <v>1201</v>
      </c>
    </row>
    <row r="107" spans="1:21" s="74" customFormat="1" ht="16.5" customHeight="1" thickBot="1">
      <c r="A107" s="50" t="s">
        <v>35</v>
      </c>
      <c r="B107" s="51">
        <f t="shared" si="3"/>
        <v>70</v>
      </c>
      <c r="C107" s="51" t="s">
        <v>3</v>
      </c>
      <c r="D107" s="51">
        <f t="shared" si="4"/>
        <v>200</v>
      </c>
      <c r="E107" s="51" t="s">
        <v>3</v>
      </c>
      <c r="F107" s="110">
        <f t="shared" si="5"/>
        <v>2850</v>
      </c>
      <c r="G107" s="51" t="s">
        <v>3</v>
      </c>
      <c r="H107" s="48">
        <v>2</v>
      </c>
      <c r="I107" s="49" t="s">
        <v>45</v>
      </c>
      <c r="J107" s="184">
        <v>70</v>
      </c>
      <c r="K107" s="113">
        <v>200</v>
      </c>
      <c r="L107" s="113">
        <v>2850</v>
      </c>
      <c r="M107" s="185">
        <v>18.410506890626429</v>
      </c>
      <c r="N107" s="87">
        <v>635.34666933917993</v>
      </c>
      <c r="O107" s="121">
        <v>28779.442739871422</v>
      </c>
      <c r="P107" s="119">
        <v>33901.854899903898</v>
      </c>
      <c r="Q107" s="120">
        <v>20219.379203094868</v>
      </c>
      <c r="R107" s="314">
        <v>48998.821942966286</v>
      </c>
      <c r="S107" s="315">
        <v>54121.234102998766</v>
      </c>
      <c r="U107" s="7" t="s">
        <v>1202</v>
      </c>
    </row>
    <row r="108" spans="1:21" s="74" customFormat="1" ht="16.5" customHeight="1" thickBot="1">
      <c r="A108" s="50" t="s">
        <v>35</v>
      </c>
      <c r="B108" s="51">
        <f t="shared" si="3"/>
        <v>70</v>
      </c>
      <c r="C108" s="51" t="s">
        <v>3</v>
      </c>
      <c r="D108" s="51">
        <f t="shared" si="4"/>
        <v>200</v>
      </c>
      <c r="E108" s="51" t="s">
        <v>3</v>
      </c>
      <c r="F108" s="110">
        <f t="shared" si="5"/>
        <v>2900</v>
      </c>
      <c r="G108" s="51" t="s">
        <v>3</v>
      </c>
      <c r="H108" s="48">
        <v>2</v>
      </c>
      <c r="I108" s="49" t="s">
        <v>45</v>
      </c>
      <c r="J108" s="184">
        <v>70</v>
      </c>
      <c r="K108" s="113">
        <v>200</v>
      </c>
      <c r="L108" s="113">
        <v>2900</v>
      </c>
      <c r="M108" s="185">
        <v>18.717442866934999</v>
      </c>
      <c r="N108" s="87">
        <v>648.0536027259634</v>
      </c>
      <c r="O108" s="121">
        <v>29171.122812469472</v>
      </c>
      <c r="P108" s="119">
        <v>34382.562896250798</v>
      </c>
      <c r="Q108" s="120">
        <v>20573.20038038108</v>
      </c>
      <c r="R108" s="314">
        <v>49744.323192850556</v>
      </c>
      <c r="S108" s="315">
        <v>54955.763276631878</v>
      </c>
      <c r="U108" s="7" t="s">
        <v>1203</v>
      </c>
    </row>
    <row r="109" spans="1:21" s="74" customFormat="1" ht="16.5" customHeight="1" thickBot="1">
      <c r="A109" s="50" t="s">
        <v>35</v>
      </c>
      <c r="B109" s="51">
        <f t="shared" si="3"/>
        <v>70</v>
      </c>
      <c r="C109" s="51" t="s">
        <v>3</v>
      </c>
      <c r="D109" s="51">
        <f t="shared" si="4"/>
        <v>200</v>
      </c>
      <c r="E109" s="51" t="s">
        <v>3</v>
      </c>
      <c r="F109" s="110">
        <f t="shared" si="5"/>
        <v>2950</v>
      </c>
      <c r="G109" s="51" t="s">
        <v>3</v>
      </c>
      <c r="H109" s="48">
        <v>2</v>
      </c>
      <c r="I109" s="49" t="s">
        <v>45</v>
      </c>
      <c r="J109" s="184">
        <v>70</v>
      </c>
      <c r="K109" s="113">
        <v>200</v>
      </c>
      <c r="L109" s="113">
        <v>2950</v>
      </c>
      <c r="M109" s="185">
        <v>19.024378843243571</v>
      </c>
      <c r="N109" s="87">
        <v>660.7605361127471</v>
      </c>
      <c r="O109" s="121">
        <v>29562.802885067518</v>
      </c>
      <c r="P109" s="119">
        <v>34863.270892597699</v>
      </c>
      <c r="Q109" s="120">
        <v>20927.021557667293</v>
      </c>
      <c r="R109" s="314">
        <v>50489.824442734811</v>
      </c>
      <c r="S109" s="315">
        <v>55790.292450264991</v>
      </c>
      <c r="U109" s="7" t="s">
        <v>1204</v>
      </c>
    </row>
    <row r="110" spans="1:21" s="74" customFormat="1" ht="16.5" customHeight="1" thickBot="1">
      <c r="A110" s="52" t="s">
        <v>35</v>
      </c>
      <c r="B110" s="53">
        <f t="shared" si="3"/>
        <v>70</v>
      </c>
      <c r="C110" s="53" t="s">
        <v>3</v>
      </c>
      <c r="D110" s="53">
        <f t="shared" si="4"/>
        <v>200</v>
      </c>
      <c r="E110" s="53" t="s">
        <v>3</v>
      </c>
      <c r="F110" s="111">
        <f t="shared" si="5"/>
        <v>3000</v>
      </c>
      <c r="G110" s="53" t="s">
        <v>3</v>
      </c>
      <c r="H110" s="55">
        <v>2</v>
      </c>
      <c r="I110" s="54" t="s">
        <v>45</v>
      </c>
      <c r="J110" s="184">
        <v>70</v>
      </c>
      <c r="K110" s="157">
        <v>200</v>
      </c>
      <c r="L110" s="157">
        <v>3000</v>
      </c>
      <c r="M110" s="187">
        <v>19.331314819552141</v>
      </c>
      <c r="N110" s="148">
        <v>673.46746949953069</v>
      </c>
      <c r="O110" s="158">
        <v>31129.640263524045</v>
      </c>
      <c r="P110" s="189">
        <v>35343.978888944592</v>
      </c>
      <c r="Q110" s="159">
        <v>21280.842875346865</v>
      </c>
      <c r="R110" s="316">
        <v>52410.483138870914</v>
      </c>
      <c r="S110" s="317">
        <v>56624.821764291453</v>
      </c>
      <c r="U110" s="7" t="s">
        <v>1205</v>
      </c>
    </row>
    <row r="111" spans="1:21" s="74" customFormat="1" ht="22.5" customHeight="1" thickBot="1">
      <c r="A111" s="2621" t="s">
        <v>50</v>
      </c>
      <c r="B111" s="2622"/>
      <c r="C111" s="2622"/>
      <c r="D111" s="2622"/>
      <c r="E111" s="2622"/>
      <c r="F111" s="2622"/>
      <c r="G111" s="2622"/>
      <c r="H111" s="2622"/>
      <c r="I111" s="2622"/>
      <c r="J111" s="2622"/>
      <c r="K111" s="2622"/>
      <c r="L111" s="2622"/>
      <c r="M111" s="2622"/>
      <c r="N111" s="2622"/>
      <c r="O111" s="2622"/>
      <c r="P111" s="2622"/>
      <c r="Q111" s="2622"/>
      <c r="R111" s="2622"/>
      <c r="S111" s="2623"/>
      <c r="U111" s="7"/>
    </row>
    <row r="112" spans="1:21" s="74" customFormat="1" ht="22.5" customHeight="1" thickBot="1">
      <c r="A112" s="2624" t="s">
        <v>69</v>
      </c>
      <c r="B112" s="2625"/>
      <c r="C112" s="2625"/>
      <c r="D112" s="2625"/>
      <c r="E112" s="2625"/>
      <c r="F112" s="2625"/>
      <c r="G112" s="2625"/>
      <c r="H112" s="2625"/>
      <c r="I112" s="2625"/>
      <c r="J112" s="2625"/>
      <c r="K112" s="2625"/>
      <c r="L112" s="2625"/>
      <c r="M112" s="2625"/>
      <c r="N112" s="2625"/>
      <c r="O112" s="2625"/>
      <c r="P112" s="2625"/>
      <c r="Q112" s="2625"/>
      <c r="R112" s="2625"/>
      <c r="S112" s="2626"/>
      <c r="U112" s="7"/>
    </row>
    <row r="113" spans="1:21" s="74" customFormat="1" ht="16.5" customHeight="1" thickBot="1">
      <c r="A113" s="2583" t="s">
        <v>134</v>
      </c>
      <c r="B113" s="2584"/>
      <c r="C113" s="2584"/>
      <c r="D113" s="2584"/>
      <c r="E113" s="2584"/>
      <c r="F113" s="2584"/>
      <c r="G113" s="2584"/>
      <c r="H113" s="2584"/>
      <c r="I113" s="2584"/>
      <c r="J113" s="2584"/>
      <c r="K113" s="2584"/>
      <c r="L113" s="2584"/>
      <c r="M113" s="2584"/>
      <c r="N113" s="2584"/>
      <c r="O113" s="2584"/>
      <c r="P113" s="2584"/>
      <c r="Q113" s="2584"/>
      <c r="R113" s="2584"/>
      <c r="S113" s="2585"/>
      <c r="U113" s="7"/>
    </row>
    <row r="114" spans="1:21" s="74" customFormat="1" ht="16.5" thickBot="1">
      <c r="A114" s="47" t="s">
        <v>35</v>
      </c>
      <c r="B114" s="48">
        <f>J114</f>
        <v>70</v>
      </c>
      <c r="C114" s="48" t="s">
        <v>3</v>
      </c>
      <c r="D114" s="48">
        <f>K114</f>
        <v>260</v>
      </c>
      <c r="E114" s="48" t="s">
        <v>3</v>
      </c>
      <c r="F114" s="110">
        <f>L114</f>
        <v>600</v>
      </c>
      <c r="G114" s="48" t="s">
        <v>3</v>
      </c>
      <c r="H114" s="48">
        <v>2</v>
      </c>
      <c r="I114" s="49" t="s">
        <v>45</v>
      </c>
      <c r="J114" s="181">
        <v>70</v>
      </c>
      <c r="K114" s="168">
        <v>260</v>
      </c>
      <c r="L114" s="168">
        <v>600</v>
      </c>
      <c r="M114" s="182">
        <v>4.9445293322835724</v>
      </c>
      <c r="N114" s="143">
        <v>80.277712467199024</v>
      </c>
      <c r="O114" s="188">
        <v>10038.241102880702</v>
      </c>
      <c r="P114" s="188">
        <v>11841.673868409827</v>
      </c>
      <c r="Q114" s="169">
        <v>5251.4036159904008</v>
      </c>
      <c r="R114" s="312">
        <v>15289.644718871103</v>
      </c>
      <c r="S114" s="313">
        <v>17093.07748440023</v>
      </c>
      <c r="U114" s="7" t="s">
        <v>1206</v>
      </c>
    </row>
    <row r="115" spans="1:21" s="74" customFormat="1" ht="16.5" thickBot="1">
      <c r="A115" s="50" t="s">
        <v>35</v>
      </c>
      <c r="B115" s="51">
        <f t="shared" ref="B115:B162" si="6">J115</f>
        <v>70</v>
      </c>
      <c r="C115" s="51" t="s">
        <v>3</v>
      </c>
      <c r="D115" s="51">
        <f t="shared" ref="D115:D162" si="7">K115</f>
        <v>260</v>
      </c>
      <c r="E115" s="51" t="s">
        <v>3</v>
      </c>
      <c r="F115" s="110">
        <f t="shared" ref="F115:F162" si="8">L115</f>
        <v>650</v>
      </c>
      <c r="G115" s="51" t="s">
        <v>3</v>
      </c>
      <c r="H115" s="48">
        <v>2</v>
      </c>
      <c r="I115" s="49" t="s">
        <v>45</v>
      </c>
      <c r="J115" s="184">
        <v>70</v>
      </c>
      <c r="K115" s="113">
        <v>260</v>
      </c>
      <c r="L115" s="113">
        <v>650</v>
      </c>
      <c r="M115" s="185">
        <v>5.2993654193064286</v>
      </c>
      <c r="N115" s="75">
        <v>96.333254960638826</v>
      </c>
      <c r="O115" s="119">
        <v>10458.357570266402</v>
      </c>
      <c r="P115" s="119">
        <v>12369.84001583614</v>
      </c>
      <c r="Q115" s="120">
        <v>5683.506026306176</v>
      </c>
      <c r="R115" s="314">
        <v>16141.863596572577</v>
      </c>
      <c r="S115" s="315">
        <v>18053.346042142315</v>
      </c>
      <c r="U115" s="7" t="s">
        <v>1207</v>
      </c>
    </row>
    <row r="116" spans="1:21" s="74" customFormat="1" ht="16.5" thickBot="1">
      <c r="A116" s="50" t="s">
        <v>35</v>
      </c>
      <c r="B116" s="51">
        <f t="shared" si="6"/>
        <v>70</v>
      </c>
      <c r="C116" s="51" t="s">
        <v>3</v>
      </c>
      <c r="D116" s="51">
        <f t="shared" si="7"/>
        <v>260</v>
      </c>
      <c r="E116" s="51" t="s">
        <v>3</v>
      </c>
      <c r="F116" s="110">
        <f t="shared" si="8"/>
        <v>700</v>
      </c>
      <c r="G116" s="51" t="s">
        <v>3</v>
      </c>
      <c r="H116" s="48">
        <v>2</v>
      </c>
      <c r="I116" s="49" t="s">
        <v>45</v>
      </c>
      <c r="J116" s="184">
        <v>70</v>
      </c>
      <c r="K116" s="113">
        <v>260</v>
      </c>
      <c r="L116" s="113">
        <v>700</v>
      </c>
      <c r="M116" s="185">
        <v>5.6542015063292856</v>
      </c>
      <c r="N116" s="75">
        <v>112.38879745407863</v>
      </c>
      <c r="O116" s="119">
        <v>10878.47389725874</v>
      </c>
      <c r="P116" s="119">
        <v>12898.006022869091</v>
      </c>
      <c r="Q116" s="120">
        <v>6115.6082962285891</v>
      </c>
      <c r="R116" s="314">
        <v>16994.082193487331</v>
      </c>
      <c r="S116" s="315">
        <v>19013.61431909768</v>
      </c>
      <c r="U116" s="7" t="s">
        <v>1208</v>
      </c>
    </row>
    <row r="117" spans="1:21" s="74" customFormat="1" ht="16.5" thickBot="1">
      <c r="A117" s="50" t="s">
        <v>35</v>
      </c>
      <c r="B117" s="51">
        <f t="shared" si="6"/>
        <v>70</v>
      </c>
      <c r="C117" s="51" t="s">
        <v>3</v>
      </c>
      <c r="D117" s="51">
        <f t="shared" si="7"/>
        <v>260</v>
      </c>
      <c r="E117" s="51" t="s">
        <v>3</v>
      </c>
      <c r="F117" s="110">
        <f t="shared" si="8"/>
        <v>750</v>
      </c>
      <c r="G117" s="51" t="s">
        <v>3</v>
      </c>
      <c r="H117" s="48">
        <v>2</v>
      </c>
      <c r="I117" s="49" t="s">
        <v>45</v>
      </c>
      <c r="J117" s="184">
        <v>70</v>
      </c>
      <c r="K117" s="113">
        <v>260</v>
      </c>
      <c r="L117" s="113">
        <v>750</v>
      </c>
      <c r="M117" s="185">
        <v>6.0090375933521436</v>
      </c>
      <c r="N117" s="75">
        <v>128.44433994751844</v>
      </c>
      <c r="O117" s="119">
        <v>11298.590224251078</v>
      </c>
      <c r="P117" s="119">
        <v>13426.17202990204</v>
      </c>
      <c r="Q117" s="120">
        <v>6547.7107065443497</v>
      </c>
      <c r="R117" s="314">
        <v>17846.300930795427</v>
      </c>
      <c r="S117" s="315">
        <v>19973.88273644639</v>
      </c>
      <c r="U117" s="7" t="s">
        <v>1209</v>
      </c>
    </row>
    <row r="118" spans="1:21" s="74" customFormat="1" ht="16.5" thickBot="1">
      <c r="A118" s="50" t="s">
        <v>35</v>
      </c>
      <c r="B118" s="51">
        <f t="shared" si="6"/>
        <v>70</v>
      </c>
      <c r="C118" s="51" t="s">
        <v>3</v>
      </c>
      <c r="D118" s="51">
        <f t="shared" si="7"/>
        <v>260</v>
      </c>
      <c r="E118" s="51" t="s">
        <v>3</v>
      </c>
      <c r="F118" s="110">
        <f t="shared" si="8"/>
        <v>800</v>
      </c>
      <c r="G118" s="51" t="s">
        <v>3</v>
      </c>
      <c r="H118" s="48">
        <v>2</v>
      </c>
      <c r="I118" s="49" t="s">
        <v>45</v>
      </c>
      <c r="J118" s="184">
        <v>70</v>
      </c>
      <c r="K118" s="113">
        <v>260</v>
      </c>
      <c r="L118" s="113">
        <v>800</v>
      </c>
      <c r="M118" s="185">
        <v>6.3638736803750007</v>
      </c>
      <c r="N118" s="75">
        <v>144.49988244095826</v>
      </c>
      <c r="O118" s="119">
        <v>11718.706691636777</v>
      </c>
      <c r="P118" s="119">
        <v>13954.338036934978</v>
      </c>
      <c r="Q118" s="120">
        <v>6979.8129764667756</v>
      </c>
      <c r="R118" s="314">
        <v>18698.519668103552</v>
      </c>
      <c r="S118" s="315">
        <v>20934.151013401752</v>
      </c>
      <c r="U118" s="7" t="s">
        <v>1210</v>
      </c>
    </row>
    <row r="119" spans="1:21" s="74" customFormat="1" ht="16.5" thickBot="1">
      <c r="A119" s="50" t="s">
        <v>35</v>
      </c>
      <c r="B119" s="51">
        <f t="shared" si="6"/>
        <v>70</v>
      </c>
      <c r="C119" s="51" t="s">
        <v>3</v>
      </c>
      <c r="D119" s="51">
        <f t="shared" si="7"/>
        <v>260</v>
      </c>
      <c r="E119" s="51" t="s">
        <v>3</v>
      </c>
      <c r="F119" s="110">
        <f t="shared" si="8"/>
        <v>850</v>
      </c>
      <c r="G119" s="51" t="s">
        <v>3</v>
      </c>
      <c r="H119" s="48">
        <v>2</v>
      </c>
      <c r="I119" s="49" t="s">
        <v>45</v>
      </c>
      <c r="J119" s="184">
        <v>70</v>
      </c>
      <c r="K119" s="113">
        <v>260</v>
      </c>
      <c r="L119" s="113">
        <v>850</v>
      </c>
      <c r="M119" s="185">
        <v>6.7187097673978569</v>
      </c>
      <c r="N119" s="75">
        <v>160.55542493439805</v>
      </c>
      <c r="O119" s="119">
        <v>12138.823018629113</v>
      </c>
      <c r="P119" s="119">
        <v>14482.504184361302</v>
      </c>
      <c r="Q119" s="120">
        <v>7411.9153867825516</v>
      </c>
      <c r="R119" s="314">
        <v>19550.738405411663</v>
      </c>
      <c r="S119" s="315">
        <v>21894.419571143851</v>
      </c>
      <c r="U119" s="7" t="s">
        <v>1211</v>
      </c>
    </row>
    <row r="120" spans="1:21" s="74" customFormat="1" ht="16.5" thickBot="1">
      <c r="A120" s="50" t="s">
        <v>35</v>
      </c>
      <c r="B120" s="51">
        <f t="shared" si="6"/>
        <v>70</v>
      </c>
      <c r="C120" s="51" t="s">
        <v>3</v>
      </c>
      <c r="D120" s="51">
        <f t="shared" si="7"/>
        <v>260</v>
      </c>
      <c r="E120" s="51" t="s">
        <v>3</v>
      </c>
      <c r="F120" s="110">
        <f t="shared" si="8"/>
        <v>900</v>
      </c>
      <c r="G120" s="51" t="s">
        <v>3</v>
      </c>
      <c r="H120" s="48">
        <v>2</v>
      </c>
      <c r="I120" s="49" t="s">
        <v>45</v>
      </c>
      <c r="J120" s="184">
        <v>70</v>
      </c>
      <c r="K120" s="113">
        <v>260</v>
      </c>
      <c r="L120" s="113">
        <v>900</v>
      </c>
      <c r="M120" s="185">
        <v>7.0735458544207157</v>
      </c>
      <c r="N120" s="75">
        <v>176.61096742783786</v>
      </c>
      <c r="O120" s="119">
        <v>12558.939345621453</v>
      </c>
      <c r="P120" s="119">
        <v>15010.670191394252</v>
      </c>
      <c r="Q120" s="120">
        <v>7844.0177970983268</v>
      </c>
      <c r="R120" s="314">
        <v>20402.957142719781</v>
      </c>
      <c r="S120" s="315">
        <v>22854.68798849258</v>
      </c>
      <c r="U120" s="7" t="s">
        <v>1212</v>
      </c>
    </row>
    <row r="121" spans="1:21" s="74" customFormat="1" ht="16.5" thickBot="1">
      <c r="A121" s="50" t="s">
        <v>35</v>
      </c>
      <c r="B121" s="51">
        <f t="shared" si="6"/>
        <v>70</v>
      </c>
      <c r="C121" s="51" t="s">
        <v>3</v>
      </c>
      <c r="D121" s="51">
        <f t="shared" si="7"/>
        <v>260</v>
      </c>
      <c r="E121" s="51" t="s">
        <v>3</v>
      </c>
      <c r="F121" s="110">
        <f t="shared" si="8"/>
        <v>950</v>
      </c>
      <c r="G121" s="51" t="s">
        <v>3</v>
      </c>
      <c r="H121" s="48">
        <v>2</v>
      </c>
      <c r="I121" s="49" t="s">
        <v>45</v>
      </c>
      <c r="J121" s="184">
        <v>70</v>
      </c>
      <c r="K121" s="113">
        <v>260</v>
      </c>
      <c r="L121" s="113">
        <v>950</v>
      </c>
      <c r="M121" s="185">
        <v>7.4283819414435719</v>
      </c>
      <c r="N121" s="75">
        <v>192.66650992127765</v>
      </c>
      <c r="O121" s="119">
        <v>12979.055813007153</v>
      </c>
      <c r="P121" s="119">
        <v>15538.836198427203</v>
      </c>
      <c r="Q121" s="120">
        <v>8276.12006702074</v>
      </c>
      <c r="R121" s="314">
        <v>21255.175880027891</v>
      </c>
      <c r="S121" s="315">
        <v>23814.956265447945</v>
      </c>
      <c r="U121" s="7" t="s">
        <v>1213</v>
      </c>
    </row>
    <row r="122" spans="1:21" s="74" customFormat="1" ht="16.5" thickBot="1">
      <c r="A122" s="50" t="s">
        <v>35</v>
      </c>
      <c r="B122" s="51">
        <f t="shared" si="6"/>
        <v>70</v>
      </c>
      <c r="C122" s="51" t="s">
        <v>3</v>
      </c>
      <c r="D122" s="51">
        <f t="shared" si="7"/>
        <v>260</v>
      </c>
      <c r="E122" s="51" t="s">
        <v>3</v>
      </c>
      <c r="F122" s="110">
        <f t="shared" si="8"/>
        <v>1000</v>
      </c>
      <c r="G122" s="51" t="s">
        <v>3</v>
      </c>
      <c r="H122" s="48">
        <v>2</v>
      </c>
      <c r="I122" s="49" t="s">
        <v>45</v>
      </c>
      <c r="J122" s="184">
        <v>70</v>
      </c>
      <c r="K122" s="113">
        <v>260</v>
      </c>
      <c r="L122" s="113">
        <v>1000</v>
      </c>
      <c r="M122" s="185">
        <v>7.7832180284664298</v>
      </c>
      <c r="N122" s="75">
        <v>208.72205241471747</v>
      </c>
      <c r="O122" s="119">
        <v>13399.172139999489</v>
      </c>
      <c r="P122" s="119">
        <v>16067.002205460152</v>
      </c>
      <c r="Q122" s="120">
        <v>8708.2224773365142</v>
      </c>
      <c r="R122" s="314">
        <v>22107.394617336002</v>
      </c>
      <c r="S122" s="315">
        <v>24775.224682796666</v>
      </c>
      <c r="U122" s="7" t="s">
        <v>1214</v>
      </c>
    </row>
    <row r="123" spans="1:21" s="74" customFormat="1" ht="16.5" thickBot="1">
      <c r="A123" s="50" t="s">
        <v>35</v>
      </c>
      <c r="B123" s="51">
        <f t="shared" si="6"/>
        <v>70</v>
      </c>
      <c r="C123" s="51" t="s">
        <v>3</v>
      </c>
      <c r="D123" s="51">
        <f t="shared" si="7"/>
        <v>260</v>
      </c>
      <c r="E123" s="51" t="s">
        <v>3</v>
      </c>
      <c r="F123" s="110">
        <f t="shared" si="8"/>
        <v>1050</v>
      </c>
      <c r="G123" s="51" t="s">
        <v>3</v>
      </c>
      <c r="H123" s="48">
        <v>2</v>
      </c>
      <c r="I123" s="49" t="s">
        <v>45</v>
      </c>
      <c r="J123" s="184">
        <v>70</v>
      </c>
      <c r="K123" s="113">
        <v>260</v>
      </c>
      <c r="L123" s="113">
        <v>1050</v>
      </c>
      <c r="M123" s="185">
        <v>8.138054115489286</v>
      </c>
      <c r="N123" s="75">
        <v>224.77759490815725</v>
      </c>
      <c r="O123" s="119">
        <v>13819.28860738519</v>
      </c>
      <c r="P123" s="119">
        <v>16595.168352886467</v>
      </c>
      <c r="Q123" s="120">
        <v>9140.3247472589264</v>
      </c>
      <c r="R123" s="314">
        <v>22959.613354644116</v>
      </c>
      <c r="S123" s="315">
        <v>25735.493100145395</v>
      </c>
      <c r="U123" s="7" t="s">
        <v>1215</v>
      </c>
    </row>
    <row r="124" spans="1:21" s="74" customFormat="1" ht="16.5" thickBot="1">
      <c r="A124" s="47" t="s">
        <v>35</v>
      </c>
      <c r="B124" s="48">
        <f t="shared" si="6"/>
        <v>70</v>
      </c>
      <c r="C124" s="48" t="s">
        <v>3</v>
      </c>
      <c r="D124" s="48">
        <f t="shared" si="7"/>
        <v>260</v>
      </c>
      <c r="E124" s="48" t="s">
        <v>3</v>
      </c>
      <c r="F124" s="110">
        <f t="shared" si="8"/>
        <v>1100</v>
      </c>
      <c r="G124" s="48" t="s">
        <v>3</v>
      </c>
      <c r="H124" s="48">
        <v>2</v>
      </c>
      <c r="I124" s="49" t="s">
        <v>45</v>
      </c>
      <c r="J124" s="184">
        <v>70</v>
      </c>
      <c r="K124" s="113">
        <v>260</v>
      </c>
      <c r="L124" s="113">
        <v>1100</v>
      </c>
      <c r="M124" s="185">
        <v>8.4928902025121431</v>
      </c>
      <c r="N124" s="75">
        <v>240.83313740159707</v>
      </c>
      <c r="O124" s="119">
        <v>14239.40493437753</v>
      </c>
      <c r="P124" s="119">
        <v>17123.334359919416</v>
      </c>
      <c r="Q124" s="120">
        <v>9572.4271575747025</v>
      </c>
      <c r="R124" s="314">
        <v>23811.83209195223</v>
      </c>
      <c r="S124" s="315">
        <v>26695.761517494117</v>
      </c>
      <c r="U124" s="7" t="s">
        <v>1216</v>
      </c>
    </row>
    <row r="125" spans="1:21" s="74" customFormat="1" ht="16.5" thickBot="1">
      <c r="A125" s="50" t="s">
        <v>35</v>
      </c>
      <c r="B125" s="51">
        <f t="shared" si="6"/>
        <v>70</v>
      </c>
      <c r="C125" s="51" t="s">
        <v>3</v>
      </c>
      <c r="D125" s="51">
        <f t="shared" si="7"/>
        <v>260</v>
      </c>
      <c r="E125" s="51" t="s">
        <v>3</v>
      </c>
      <c r="F125" s="110">
        <f t="shared" si="8"/>
        <v>1150</v>
      </c>
      <c r="G125" s="51" t="s">
        <v>3</v>
      </c>
      <c r="H125" s="48">
        <v>2</v>
      </c>
      <c r="I125" s="49" t="s">
        <v>45</v>
      </c>
      <c r="J125" s="184">
        <v>70</v>
      </c>
      <c r="K125" s="113">
        <v>260</v>
      </c>
      <c r="L125" s="113">
        <v>1150</v>
      </c>
      <c r="M125" s="185">
        <v>8.8477262895350002</v>
      </c>
      <c r="N125" s="75">
        <v>256.88867989503689</v>
      </c>
      <c r="O125" s="119">
        <v>14659.521261369866</v>
      </c>
      <c r="P125" s="119">
        <v>17651.500366952365</v>
      </c>
      <c r="Q125" s="120">
        <v>10004.529567890477</v>
      </c>
      <c r="R125" s="314">
        <v>24664.050829260341</v>
      </c>
      <c r="S125" s="315">
        <v>27656.029934842842</v>
      </c>
      <c r="U125" s="7" t="s">
        <v>1217</v>
      </c>
    </row>
    <row r="126" spans="1:21" s="74" customFormat="1" ht="16.5" thickBot="1">
      <c r="A126" s="50" t="s">
        <v>35</v>
      </c>
      <c r="B126" s="51">
        <f t="shared" si="6"/>
        <v>70</v>
      </c>
      <c r="C126" s="51" t="s">
        <v>3</v>
      </c>
      <c r="D126" s="51">
        <f t="shared" si="7"/>
        <v>260</v>
      </c>
      <c r="E126" s="51" t="s">
        <v>3</v>
      </c>
      <c r="F126" s="110">
        <f t="shared" si="8"/>
        <v>1200</v>
      </c>
      <c r="G126" s="51" t="s">
        <v>3</v>
      </c>
      <c r="H126" s="48">
        <v>2</v>
      </c>
      <c r="I126" s="49" t="s">
        <v>45</v>
      </c>
      <c r="J126" s="184">
        <v>70</v>
      </c>
      <c r="K126" s="113">
        <v>260</v>
      </c>
      <c r="L126" s="113">
        <v>1200</v>
      </c>
      <c r="M126" s="185">
        <v>9.2418123765578581</v>
      </c>
      <c r="N126" s="75">
        <v>272.94422238847665</v>
      </c>
      <c r="O126" s="119">
        <v>15125.509434838586</v>
      </c>
      <c r="P126" s="119">
        <v>18224.140042964704</v>
      </c>
      <c r="Q126" s="120">
        <v>10436.631837812891</v>
      </c>
      <c r="R126" s="314">
        <v>25562.141272651475</v>
      </c>
      <c r="S126" s="315">
        <v>28660.771880777596</v>
      </c>
      <c r="U126" s="7" t="s">
        <v>1218</v>
      </c>
    </row>
    <row r="127" spans="1:21" s="74" customFormat="1" ht="16.5" thickBot="1">
      <c r="A127" s="50" t="s">
        <v>35</v>
      </c>
      <c r="B127" s="51">
        <f t="shared" si="6"/>
        <v>70</v>
      </c>
      <c r="C127" s="51" t="s">
        <v>3</v>
      </c>
      <c r="D127" s="51">
        <f t="shared" si="7"/>
        <v>260</v>
      </c>
      <c r="E127" s="51" t="s">
        <v>3</v>
      </c>
      <c r="F127" s="110">
        <f t="shared" si="8"/>
        <v>1250</v>
      </c>
      <c r="G127" s="51" t="s">
        <v>3</v>
      </c>
      <c r="H127" s="48">
        <v>2</v>
      </c>
      <c r="I127" s="49" t="s">
        <v>45</v>
      </c>
      <c r="J127" s="184">
        <v>70</v>
      </c>
      <c r="K127" s="113">
        <v>260</v>
      </c>
      <c r="L127" s="113">
        <v>1250</v>
      </c>
      <c r="M127" s="185">
        <v>9.5966484635807134</v>
      </c>
      <c r="N127" s="75">
        <v>288.99976488191652</v>
      </c>
      <c r="O127" s="119">
        <v>15545.625761831065</v>
      </c>
      <c r="P127" s="119">
        <v>18752.306049997653</v>
      </c>
      <c r="Q127" s="120">
        <v>10868.734248128665</v>
      </c>
      <c r="R127" s="314">
        <v>26414.360009959732</v>
      </c>
      <c r="S127" s="315">
        <v>29621.040298126318</v>
      </c>
      <c r="U127" s="7" t="s">
        <v>1219</v>
      </c>
    </row>
    <row r="128" spans="1:21" s="74" customFormat="1" ht="16.5" thickBot="1">
      <c r="A128" s="50" t="s">
        <v>35</v>
      </c>
      <c r="B128" s="51">
        <f t="shared" si="6"/>
        <v>70</v>
      </c>
      <c r="C128" s="51" t="s">
        <v>3</v>
      </c>
      <c r="D128" s="51">
        <f t="shared" si="7"/>
        <v>260</v>
      </c>
      <c r="E128" s="51" t="s">
        <v>3</v>
      </c>
      <c r="F128" s="110">
        <f t="shared" si="8"/>
        <v>1300</v>
      </c>
      <c r="G128" s="51" t="s">
        <v>3</v>
      </c>
      <c r="H128" s="48">
        <v>2</v>
      </c>
      <c r="I128" s="49" t="s">
        <v>45</v>
      </c>
      <c r="J128" s="184">
        <v>70</v>
      </c>
      <c r="K128" s="113">
        <v>260</v>
      </c>
      <c r="L128" s="113">
        <v>1300</v>
      </c>
      <c r="M128" s="185">
        <v>9.9514845506035723</v>
      </c>
      <c r="N128" s="75">
        <v>305.05530737535628</v>
      </c>
      <c r="O128" s="119">
        <v>15965.742229216767</v>
      </c>
      <c r="P128" s="119">
        <v>19280.472057030605</v>
      </c>
      <c r="Q128" s="120">
        <v>11300.836518051077</v>
      </c>
      <c r="R128" s="314">
        <v>27266.578747267842</v>
      </c>
      <c r="S128" s="315">
        <v>30581.308575081683</v>
      </c>
      <c r="U128" s="7" t="s">
        <v>1220</v>
      </c>
    </row>
    <row r="129" spans="1:21" s="74" customFormat="1" ht="16.5" thickBot="1">
      <c r="A129" s="50" t="s">
        <v>35</v>
      </c>
      <c r="B129" s="51">
        <f t="shared" si="6"/>
        <v>70</v>
      </c>
      <c r="C129" s="51" t="s">
        <v>3</v>
      </c>
      <c r="D129" s="51">
        <f t="shared" si="7"/>
        <v>260</v>
      </c>
      <c r="E129" s="51" t="s">
        <v>3</v>
      </c>
      <c r="F129" s="110">
        <f t="shared" si="8"/>
        <v>1350</v>
      </c>
      <c r="G129" s="51" t="s">
        <v>3</v>
      </c>
      <c r="H129" s="48">
        <v>2</v>
      </c>
      <c r="I129" s="49" t="s">
        <v>45</v>
      </c>
      <c r="J129" s="184">
        <v>70</v>
      </c>
      <c r="K129" s="113">
        <v>260</v>
      </c>
      <c r="L129" s="113">
        <v>1350</v>
      </c>
      <c r="M129" s="185">
        <v>10.306320637626428</v>
      </c>
      <c r="N129" s="75">
        <v>321.11084986879609</v>
      </c>
      <c r="O129" s="119">
        <v>16385.858556209103</v>
      </c>
      <c r="P129" s="119">
        <v>19808.638064063554</v>
      </c>
      <c r="Q129" s="120">
        <v>11732.938928366853</v>
      </c>
      <c r="R129" s="314">
        <v>28118.797484575956</v>
      </c>
      <c r="S129" s="315">
        <v>31541.576992430408</v>
      </c>
      <c r="U129" s="7" t="s">
        <v>1221</v>
      </c>
    </row>
    <row r="130" spans="1:21" s="74" customFormat="1" ht="16.5" thickBot="1">
      <c r="A130" s="50" t="s">
        <v>35</v>
      </c>
      <c r="B130" s="51">
        <f t="shared" si="6"/>
        <v>70</v>
      </c>
      <c r="C130" s="51" t="s">
        <v>3</v>
      </c>
      <c r="D130" s="51">
        <f t="shared" si="7"/>
        <v>260</v>
      </c>
      <c r="E130" s="51" t="s">
        <v>3</v>
      </c>
      <c r="F130" s="110">
        <f t="shared" si="8"/>
        <v>1400</v>
      </c>
      <c r="G130" s="51" t="s">
        <v>3</v>
      </c>
      <c r="H130" s="48">
        <v>2</v>
      </c>
      <c r="I130" s="49" t="s">
        <v>45</v>
      </c>
      <c r="J130" s="184">
        <v>70</v>
      </c>
      <c r="K130" s="113">
        <v>260</v>
      </c>
      <c r="L130" s="113">
        <v>1400</v>
      </c>
      <c r="M130" s="185">
        <v>10.661156724649288</v>
      </c>
      <c r="N130" s="75">
        <v>337.16639236223591</v>
      </c>
      <c r="O130" s="119">
        <v>16805.974883201441</v>
      </c>
      <c r="P130" s="119">
        <v>20336.804211489867</v>
      </c>
      <c r="Q130" s="120">
        <v>12165.041338682626</v>
      </c>
      <c r="R130" s="314">
        <v>28971.016221884067</v>
      </c>
      <c r="S130" s="315">
        <v>32501.845550172493</v>
      </c>
      <c r="U130" s="7" t="s">
        <v>1222</v>
      </c>
    </row>
    <row r="131" spans="1:21" s="74" customFormat="1" ht="16.5" thickBot="1">
      <c r="A131" s="50" t="s">
        <v>35</v>
      </c>
      <c r="B131" s="51">
        <f t="shared" si="6"/>
        <v>70</v>
      </c>
      <c r="C131" s="51" t="s">
        <v>3</v>
      </c>
      <c r="D131" s="51">
        <f t="shared" si="7"/>
        <v>260</v>
      </c>
      <c r="E131" s="51" t="s">
        <v>3</v>
      </c>
      <c r="F131" s="110">
        <f t="shared" si="8"/>
        <v>1450</v>
      </c>
      <c r="G131" s="51" t="s">
        <v>3</v>
      </c>
      <c r="H131" s="48">
        <v>2</v>
      </c>
      <c r="I131" s="49" t="s">
        <v>45</v>
      </c>
      <c r="J131" s="184">
        <v>70</v>
      </c>
      <c r="K131" s="113">
        <v>260</v>
      </c>
      <c r="L131" s="113">
        <v>1450</v>
      </c>
      <c r="M131" s="185">
        <v>11.015992811672144</v>
      </c>
      <c r="N131" s="75">
        <v>353.22193485567573</v>
      </c>
      <c r="O131" s="119">
        <v>17226.091350587139</v>
      </c>
      <c r="P131" s="119">
        <v>20864.970218522816</v>
      </c>
      <c r="Q131" s="120">
        <v>12597.14360860504</v>
      </c>
      <c r="R131" s="314">
        <v>29823.234959192181</v>
      </c>
      <c r="S131" s="315">
        <v>33462.113827127854</v>
      </c>
      <c r="U131" s="7" t="s">
        <v>1223</v>
      </c>
    </row>
    <row r="132" spans="1:21" s="74" customFormat="1" ht="16.5" thickBot="1">
      <c r="A132" s="50" t="s">
        <v>35</v>
      </c>
      <c r="B132" s="51">
        <f t="shared" si="6"/>
        <v>70</v>
      </c>
      <c r="C132" s="51" t="s">
        <v>3</v>
      </c>
      <c r="D132" s="51">
        <f t="shared" si="7"/>
        <v>260</v>
      </c>
      <c r="E132" s="51" t="s">
        <v>3</v>
      </c>
      <c r="F132" s="110">
        <f t="shared" si="8"/>
        <v>1500</v>
      </c>
      <c r="G132" s="51" t="s">
        <v>3</v>
      </c>
      <c r="H132" s="48">
        <v>2</v>
      </c>
      <c r="I132" s="49" t="s">
        <v>45</v>
      </c>
      <c r="J132" s="184">
        <v>70</v>
      </c>
      <c r="K132" s="113">
        <v>260</v>
      </c>
      <c r="L132" s="113">
        <v>1500</v>
      </c>
      <c r="M132" s="185">
        <v>11.494593087495002</v>
      </c>
      <c r="N132" s="75">
        <v>369.27747734911549</v>
      </c>
      <c r="O132" s="119">
        <v>18235.614954055276</v>
      </c>
      <c r="P132" s="119">
        <v>21909.268134735306</v>
      </c>
      <c r="Q132" s="120">
        <v>13029.246018920816</v>
      </c>
      <c r="R132" s="314">
        <v>31264.860972976094</v>
      </c>
      <c r="S132" s="315">
        <v>34938.51415365612</v>
      </c>
      <c r="U132" s="7" t="s">
        <v>1224</v>
      </c>
    </row>
    <row r="133" spans="1:21" s="74" customFormat="1" ht="16.5" thickBot="1">
      <c r="A133" s="50" t="s">
        <v>35</v>
      </c>
      <c r="B133" s="51">
        <f t="shared" si="6"/>
        <v>70</v>
      </c>
      <c r="C133" s="51" t="s">
        <v>3</v>
      </c>
      <c r="D133" s="51">
        <f t="shared" si="7"/>
        <v>260</v>
      </c>
      <c r="E133" s="51" t="s">
        <v>3</v>
      </c>
      <c r="F133" s="110">
        <f t="shared" si="8"/>
        <v>1550</v>
      </c>
      <c r="G133" s="51" t="s">
        <v>3</v>
      </c>
      <c r="H133" s="48">
        <v>2</v>
      </c>
      <c r="I133" s="49" t="s">
        <v>45</v>
      </c>
      <c r="J133" s="184">
        <v>70</v>
      </c>
      <c r="K133" s="113">
        <v>260</v>
      </c>
      <c r="L133" s="113">
        <v>1550</v>
      </c>
      <c r="M133" s="185">
        <v>11.849429174517857</v>
      </c>
      <c r="N133" s="75">
        <v>385.3330198425553</v>
      </c>
      <c r="O133" s="119">
        <v>18655.731421440978</v>
      </c>
      <c r="P133" s="119">
        <v>22437.434141768255</v>
      </c>
      <c r="Q133" s="120">
        <v>13461.348288843226</v>
      </c>
      <c r="R133" s="314">
        <v>32117.079710284204</v>
      </c>
      <c r="S133" s="315">
        <v>35898.782430611478</v>
      </c>
      <c r="U133" s="7" t="s">
        <v>1225</v>
      </c>
    </row>
    <row r="134" spans="1:21" s="74" customFormat="1" ht="16.5" thickBot="1">
      <c r="A134" s="47" t="s">
        <v>35</v>
      </c>
      <c r="B134" s="48">
        <f t="shared" si="6"/>
        <v>70</v>
      </c>
      <c r="C134" s="48" t="s">
        <v>3</v>
      </c>
      <c r="D134" s="48">
        <f t="shared" si="7"/>
        <v>260</v>
      </c>
      <c r="E134" s="48" t="s">
        <v>3</v>
      </c>
      <c r="F134" s="110">
        <f t="shared" si="8"/>
        <v>1600</v>
      </c>
      <c r="G134" s="48" t="s">
        <v>3</v>
      </c>
      <c r="H134" s="48">
        <v>2</v>
      </c>
      <c r="I134" s="49" t="s">
        <v>45</v>
      </c>
      <c r="J134" s="184">
        <v>70</v>
      </c>
      <c r="K134" s="113">
        <v>260</v>
      </c>
      <c r="L134" s="113">
        <v>1600</v>
      </c>
      <c r="M134" s="185">
        <v>12.204265261540714</v>
      </c>
      <c r="N134" s="75">
        <v>401.38856233599512</v>
      </c>
      <c r="O134" s="119">
        <v>19075.847748433316</v>
      </c>
      <c r="P134" s="119">
        <v>22965.600289194568</v>
      </c>
      <c r="Q134" s="120">
        <v>13893.450699159002</v>
      </c>
      <c r="R134" s="314">
        <v>32969.298447592315</v>
      </c>
      <c r="S134" s="315">
        <v>36859.050988353571</v>
      </c>
      <c r="U134" s="7" t="s">
        <v>1226</v>
      </c>
    </row>
    <row r="135" spans="1:21" s="74" customFormat="1" ht="16.5" thickBot="1">
      <c r="A135" s="50" t="s">
        <v>35</v>
      </c>
      <c r="B135" s="51">
        <f t="shared" si="6"/>
        <v>70</v>
      </c>
      <c r="C135" s="51" t="s">
        <v>3</v>
      </c>
      <c r="D135" s="51">
        <f t="shared" si="7"/>
        <v>260</v>
      </c>
      <c r="E135" s="51" t="s">
        <v>3</v>
      </c>
      <c r="F135" s="110">
        <f t="shared" si="8"/>
        <v>1650</v>
      </c>
      <c r="G135" s="51" t="s">
        <v>3</v>
      </c>
      <c r="H135" s="48">
        <v>2</v>
      </c>
      <c r="I135" s="49" t="s">
        <v>45</v>
      </c>
      <c r="J135" s="184">
        <v>70</v>
      </c>
      <c r="K135" s="113">
        <v>260</v>
      </c>
      <c r="L135" s="113">
        <v>1650</v>
      </c>
      <c r="M135" s="185">
        <v>12.559101348563573</v>
      </c>
      <c r="N135" s="75">
        <v>417.44410482943493</v>
      </c>
      <c r="O135" s="119">
        <v>19495.964075425654</v>
      </c>
      <c r="P135" s="119">
        <v>23493.766296227521</v>
      </c>
      <c r="Q135" s="120">
        <v>14325.553109474778</v>
      </c>
      <c r="R135" s="314">
        <v>33821.517184900433</v>
      </c>
      <c r="S135" s="315">
        <v>37819.319405702299</v>
      </c>
      <c r="U135" s="7" t="s">
        <v>1227</v>
      </c>
    </row>
    <row r="136" spans="1:21" s="74" customFormat="1" ht="16.5" thickBot="1">
      <c r="A136" s="50" t="s">
        <v>35</v>
      </c>
      <c r="B136" s="51">
        <f t="shared" si="6"/>
        <v>70</v>
      </c>
      <c r="C136" s="51" t="s">
        <v>3</v>
      </c>
      <c r="D136" s="51">
        <f t="shared" si="7"/>
        <v>260</v>
      </c>
      <c r="E136" s="51" t="s">
        <v>3</v>
      </c>
      <c r="F136" s="110">
        <f t="shared" si="8"/>
        <v>1700</v>
      </c>
      <c r="G136" s="51" t="s">
        <v>3</v>
      </c>
      <c r="H136" s="48">
        <v>2</v>
      </c>
      <c r="I136" s="49" t="s">
        <v>45</v>
      </c>
      <c r="J136" s="184">
        <v>70</v>
      </c>
      <c r="K136" s="113">
        <v>260</v>
      </c>
      <c r="L136" s="113">
        <v>1700</v>
      </c>
      <c r="M136" s="185">
        <v>12.913937435586428</v>
      </c>
      <c r="N136" s="75">
        <v>433.49964732287475</v>
      </c>
      <c r="O136" s="119">
        <v>19916.080542811356</v>
      </c>
      <c r="P136" s="119">
        <v>24021.932303260466</v>
      </c>
      <c r="Q136" s="120">
        <v>14757.655379397189</v>
      </c>
      <c r="R136" s="314">
        <v>34673.735922208543</v>
      </c>
      <c r="S136" s="315">
        <v>38779.587682657657</v>
      </c>
      <c r="U136" s="7" t="s">
        <v>1228</v>
      </c>
    </row>
    <row r="137" spans="1:21" s="74" customFormat="1" ht="16.5" thickBot="1">
      <c r="A137" s="50" t="s">
        <v>35</v>
      </c>
      <c r="B137" s="51">
        <f t="shared" si="6"/>
        <v>70</v>
      </c>
      <c r="C137" s="51" t="s">
        <v>3</v>
      </c>
      <c r="D137" s="51">
        <f t="shared" si="7"/>
        <v>260</v>
      </c>
      <c r="E137" s="51" t="s">
        <v>3</v>
      </c>
      <c r="F137" s="110">
        <f t="shared" si="8"/>
        <v>1750</v>
      </c>
      <c r="G137" s="51" t="s">
        <v>3</v>
      </c>
      <c r="H137" s="48">
        <v>2</v>
      </c>
      <c r="I137" s="49" t="s">
        <v>45</v>
      </c>
      <c r="J137" s="184">
        <v>70</v>
      </c>
      <c r="K137" s="113">
        <v>260</v>
      </c>
      <c r="L137" s="113">
        <v>1750</v>
      </c>
      <c r="M137" s="185">
        <v>13.268773522609283</v>
      </c>
      <c r="N137" s="75">
        <v>449.55518981631451</v>
      </c>
      <c r="O137" s="119">
        <v>20336.196869803694</v>
      </c>
      <c r="P137" s="119">
        <v>24550.098310293415</v>
      </c>
      <c r="Q137" s="120">
        <v>15189.757789712965</v>
      </c>
      <c r="R137" s="314">
        <v>35525.954659516661</v>
      </c>
      <c r="S137" s="315">
        <v>39739.856100006378</v>
      </c>
      <c r="U137" s="7" t="s">
        <v>1229</v>
      </c>
    </row>
    <row r="138" spans="1:21" s="74" customFormat="1" ht="16.5" thickBot="1">
      <c r="A138" s="50" t="s">
        <v>35</v>
      </c>
      <c r="B138" s="51">
        <f t="shared" si="6"/>
        <v>70</v>
      </c>
      <c r="C138" s="51" t="s">
        <v>3</v>
      </c>
      <c r="D138" s="51">
        <f t="shared" si="7"/>
        <v>260</v>
      </c>
      <c r="E138" s="51" t="s">
        <v>3</v>
      </c>
      <c r="F138" s="110">
        <f t="shared" si="8"/>
        <v>1800</v>
      </c>
      <c r="G138" s="51" t="s">
        <v>3</v>
      </c>
      <c r="H138" s="48">
        <v>2</v>
      </c>
      <c r="I138" s="49" t="s">
        <v>45</v>
      </c>
      <c r="J138" s="184">
        <v>70</v>
      </c>
      <c r="K138" s="113">
        <v>260</v>
      </c>
      <c r="L138" s="113">
        <v>1800</v>
      </c>
      <c r="M138" s="185">
        <v>13.623609609632144</v>
      </c>
      <c r="N138" s="75">
        <v>465.61073230975433</v>
      </c>
      <c r="O138" s="119">
        <v>20756.313196796029</v>
      </c>
      <c r="P138" s="119">
        <v>25078.264457719728</v>
      </c>
      <c r="Q138" s="120">
        <v>15621.860059635379</v>
      </c>
      <c r="R138" s="314">
        <v>36378.173256431408</v>
      </c>
      <c r="S138" s="315">
        <v>40700.124517355107</v>
      </c>
      <c r="U138" s="7" t="s">
        <v>1230</v>
      </c>
    </row>
    <row r="139" spans="1:21" s="74" customFormat="1" ht="16.5" thickBot="1">
      <c r="A139" s="50" t="s">
        <v>35</v>
      </c>
      <c r="B139" s="51">
        <f t="shared" si="6"/>
        <v>70</v>
      </c>
      <c r="C139" s="51" t="s">
        <v>3</v>
      </c>
      <c r="D139" s="51">
        <f t="shared" si="7"/>
        <v>260</v>
      </c>
      <c r="E139" s="51" t="s">
        <v>3</v>
      </c>
      <c r="F139" s="110">
        <f t="shared" si="8"/>
        <v>1850</v>
      </c>
      <c r="G139" s="51" t="s">
        <v>3</v>
      </c>
      <c r="H139" s="48">
        <v>2</v>
      </c>
      <c r="I139" s="49" t="s">
        <v>45</v>
      </c>
      <c r="J139" s="184">
        <v>70</v>
      </c>
      <c r="K139" s="113">
        <v>260</v>
      </c>
      <c r="L139" s="113">
        <v>1850</v>
      </c>
      <c r="M139" s="185">
        <v>13.978445696655001</v>
      </c>
      <c r="N139" s="75">
        <v>481.66627480319414</v>
      </c>
      <c r="O139" s="119">
        <v>21176.429664181731</v>
      </c>
      <c r="P139" s="119">
        <v>25606.430464752681</v>
      </c>
      <c r="Q139" s="120">
        <v>16053.962469951155</v>
      </c>
      <c r="R139" s="314">
        <v>37230.392134132882</v>
      </c>
      <c r="S139" s="315">
        <v>41660.392934703836</v>
      </c>
      <c r="U139" s="7" t="s">
        <v>1231</v>
      </c>
    </row>
    <row r="140" spans="1:21" s="74" customFormat="1" ht="16.5" thickBot="1">
      <c r="A140" s="50" t="s">
        <v>35</v>
      </c>
      <c r="B140" s="51">
        <f t="shared" si="6"/>
        <v>70</v>
      </c>
      <c r="C140" s="51" t="s">
        <v>3</v>
      </c>
      <c r="D140" s="51">
        <f t="shared" si="7"/>
        <v>260</v>
      </c>
      <c r="E140" s="51" t="s">
        <v>3</v>
      </c>
      <c r="F140" s="110">
        <f t="shared" si="8"/>
        <v>1900</v>
      </c>
      <c r="G140" s="51" t="s">
        <v>3</v>
      </c>
      <c r="H140" s="48">
        <v>2</v>
      </c>
      <c r="I140" s="49" t="s">
        <v>45</v>
      </c>
      <c r="J140" s="184">
        <v>70</v>
      </c>
      <c r="K140" s="113">
        <v>260</v>
      </c>
      <c r="L140" s="113">
        <v>1900</v>
      </c>
      <c r="M140" s="185">
        <v>14.333281783677856</v>
      </c>
      <c r="N140" s="75">
        <v>497.72181729663396</v>
      </c>
      <c r="O140" s="119">
        <v>21596.545991174065</v>
      </c>
      <c r="P140" s="119">
        <v>26134.59647178563</v>
      </c>
      <c r="Q140" s="120">
        <v>16486.064880266931</v>
      </c>
      <c r="R140" s="314">
        <v>38082.610871440993</v>
      </c>
      <c r="S140" s="315">
        <v>42620.661352052557</v>
      </c>
      <c r="U140" s="7" t="s">
        <v>1232</v>
      </c>
    </row>
    <row r="141" spans="1:21" s="74" customFormat="1" ht="16.5" thickBot="1">
      <c r="A141" s="50" t="s">
        <v>35</v>
      </c>
      <c r="B141" s="51">
        <f t="shared" si="6"/>
        <v>70</v>
      </c>
      <c r="C141" s="51" t="s">
        <v>3</v>
      </c>
      <c r="D141" s="51">
        <f t="shared" si="7"/>
        <v>260</v>
      </c>
      <c r="E141" s="51" t="s">
        <v>3</v>
      </c>
      <c r="F141" s="110">
        <f t="shared" si="8"/>
        <v>1950</v>
      </c>
      <c r="G141" s="51" t="s">
        <v>3</v>
      </c>
      <c r="H141" s="48">
        <v>2</v>
      </c>
      <c r="I141" s="49" t="s">
        <v>45</v>
      </c>
      <c r="J141" s="184">
        <v>70</v>
      </c>
      <c r="K141" s="113">
        <v>260</v>
      </c>
      <c r="L141" s="113">
        <v>1950</v>
      </c>
      <c r="M141" s="185">
        <v>14.727367870700714</v>
      </c>
      <c r="N141" s="75">
        <v>513.77735979007377</v>
      </c>
      <c r="O141" s="119">
        <v>22062.53416464293</v>
      </c>
      <c r="P141" s="119">
        <v>26707.236147797968</v>
      </c>
      <c r="Q141" s="120">
        <v>16918.16715018934</v>
      </c>
      <c r="R141" s="314">
        <v>38980.701314832273</v>
      </c>
      <c r="S141" s="315">
        <v>43625.403297987308</v>
      </c>
      <c r="U141" s="7" t="s">
        <v>1233</v>
      </c>
    </row>
    <row r="142" spans="1:21" s="74" customFormat="1" ht="16.5" thickBot="1">
      <c r="A142" s="50" t="s">
        <v>35</v>
      </c>
      <c r="B142" s="51">
        <f t="shared" si="6"/>
        <v>70</v>
      </c>
      <c r="C142" s="51" t="s">
        <v>3</v>
      </c>
      <c r="D142" s="51">
        <f t="shared" si="7"/>
        <v>260</v>
      </c>
      <c r="E142" s="51" t="s">
        <v>3</v>
      </c>
      <c r="F142" s="110">
        <f t="shared" si="8"/>
        <v>2000</v>
      </c>
      <c r="G142" s="51" t="s">
        <v>3</v>
      </c>
      <c r="H142" s="48">
        <v>2</v>
      </c>
      <c r="I142" s="49" t="s">
        <v>45</v>
      </c>
      <c r="J142" s="184">
        <v>70</v>
      </c>
      <c r="K142" s="113">
        <v>260</v>
      </c>
      <c r="L142" s="113">
        <v>2000</v>
      </c>
      <c r="M142" s="185">
        <v>15.173766357723572</v>
      </c>
      <c r="N142" s="75">
        <v>529.83290228351348</v>
      </c>
      <c r="O142" s="119">
        <v>22713.193520850491</v>
      </c>
      <c r="P142" s="119">
        <v>27536.712704708068</v>
      </c>
      <c r="Q142" s="120">
        <v>17350.269560505116</v>
      </c>
      <c r="R142" s="314">
        <v>40063.463081355607</v>
      </c>
      <c r="S142" s="315">
        <v>44886.982265213184</v>
      </c>
      <c r="U142" s="7" t="s">
        <v>1234</v>
      </c>
    </row>
    <row r="143" spans="1:21" s="74" customFormat="1" ht="16.5" thickBot="1">
      <c r="A143" s="50" t="s">
        <v>35</v>
      </c>
      <c r="B143" s="51">
        <f t="shared" si="6"/>
        <v>70</v>
      </c>
      <c r="C143" s="51" t="s">
        <v>3</v>
      </c>
      <c r="D143" s="51">
        <f t="shared" si="7"/>
        <v>260</v>
      </c>
      <c r="E143" s="51" t="s">
        <v>3</v>
      </c>
      <c r="F143" s="110">
        <f t="shared" si="8"/>
        <v>2050</v>
      </c>
      <c r="G143" s="51" t="s">
        <v>3</v>
      </c>
      <c r="H143" s="48">
        <v>2</v>
      </c>
      <c r="I143" s="49" t="s">
        <v>45</v>
      </c>
      <c r="J143" s="184">
        <v>70</v>
      </c>
      <c r="K143" s="113">
        <v>260</v>
      </c>
      <c r="L143" s="113">
        <v>2050</v>
      </c>
      <c r="M143" s="185">
        <v>15.528602444746429</v>
      </c>
      <c r="N143" s="75">
        <v>545.88844477695329</v>
      </c>
      <c r="O143" s="119">
        <v>23133.309988236193</v>
      </c>
      <c r="P143" s="119">
        <v>28064.878711741021</v>
      </c>
      <c r="Q143" s="120">
        <v>17782.371830427528</v>
      </c>
      <c r="R143" s="314">
        <v>40915.681818663725</v>
      </c>
      <c r="S143" s="315">
        <v>45847.250542168549</v>
      </c>
      <c r="U143" s="7" t="s">
        <v>1235</v>
      </c>
    </row>
    <row r="144" spans="1:21" s="74" customFormat="1" ht="16.5" thickBot="1">
      <c r="A144" s="47" t="s">
        <v>35</v>
      </c>
      <c r="B144" s="48">
        <f t="shared" si="6"/>
        <v>70</v>
      </c>
      <c r="C144" s="48" t="s">
        <v>3</v>
      </c>
      <c r="D144" s="48">
        <f t="shared" si="7"/>
        <v>260</v>
      </c>
      <c r="E144" s="48" t="s">
        <v>3</v>
      </c>
      <c r="F144" s="110">
        <f t="shared" si="8"/>
        <v>2100</v>
      </c>
      <c r="G144" s="48" t="s">
        <v>3</v>
      </c>
      <c r="H144" s="48">
        <v>2</v>
      </c>
      <c r="I144" s="49" t="s">
        <v>45</v>
      </c>
      <c r="J144" s="184">
        <v>70</v>
      </c>
      <c r="K144" s="113">
        <v>260</v>
      </c>
      <c r="L144" s="113">
        <v>2100</v>
      </c>
      <c r="M144" s="185">
        <v>15.883438531769283</v>
      </c>
      <c r="N144" s="75">
        <v>561.94398727039311</v>
      </c>
      <c r="O144" s="119">
        <v>23553.426315228528</v>
      </c>
      <c r="P144" s="119">
        <v>28593.04471877397</v>
      </c>
      <c r="Q144" s="120">
        <v>18214.474240743304</v>
      </c>
      <c r="R144" s="314">
        <v>41767.900555971835</v>
      </c>
      <c r="S144" s="315">
        <v>46807.518959517271</v>
      </c>
      <c r="U144" s="7" t="s">
        <v>1236</v>
      </c>
    </row>
    <row r="145" spans="1:21" s="74" customFormat="1" ht="16.5" thickBot="1">
      <c r="A145" s="50" t="s">
        <v>35</v>
      </c>
      <c r="B145" s="51">
        <f t="shared" si="6"/>
        <v>70</v>
      </c>
      <c r="C145" s="51" t="s">
        <v>3</v>
      </c>
      <c r="D145" s="51">
        <f t="shared" si="7"/>
        <v>260</v>
      </c>
      <c r="E145" s="51" t="s">
        <v>3</v>
      </c>
      <c r="F145" s="110">
        <f t="shared" si="8"/>
        <v>2150</v>
      </c>
      <c r="G145" s="51" t="s">
        <v>3</v>
      </c>
      <c r="H145" s="48">
        <v>2</v>
      </c>
      <c r="I145" s="49" t="s">
        <v>45</v>
      </c>
      <c r="J145" s="184">
        <v>70</v>
      </c>
      <c r="K145" s="113">
        <v>260</v>
      </c>
      <c r="L145" s="113">
        <v>2150</v>
      </c>
      <c r="M145" s="185">
        <v>16.23827461879214</v>
      </c>
      <c r="N145" s="75">
        <v>577.99952976383304</v>
      </c>
      <c r="O145" s="119">
        <v>23973.542642220869</v>
      </c>
      <c r="P145" s="119">
        <v>29121.210866200283</v>
      </c>
      <c r="Q145" s="120">
        <v>18646.576510665716</v>
      </c>
      <c r="R145" s="314">
        <v>42620.119152886589</v>
      </c>
      <c r="S145" s="315">
        <v>47767.787376865999</v>
      </c>
      <c r="U145" s="7" t="s">
        <v>1237</v>
      </c>
    </row>
    <row r="146" spans="1:21" s="74" customFormat="1" ht="16.5" thickBot="1">
      <c r="A146" s="50" t="s">
        <v>35</v>
      </c>
      <c r="B146" s="51">
        <f t="shared" si="6"/>
        <v>70</v>
      </c>
      <c r="C146" s="51" t="s">
        <v>3</v>
      </c>
      <c r="D146" s="51">
        <f t="shared" si="7"/>
        <v>260</v>
      </c>
      <c r="E146" s="51" t="s">
        <v>3</v>
      </c>
      <c r="F146" s="110">
        <f t="shared" si="8"/>
        <v>2200</v>
      </c>
      <c r="G146" s="51" t="s">
        <v>3</v>
      </c>
      <c r="H146" s="48">
        <v>2</v>
      </c>
      <c r="I146" s="49" t="s">
        <v>45</v>
      </c>
      <c r="J146" s="184">
        <v>70</v>
      </c>
      <c r="K146" s="113">
        <v>260</v>
      </c>
      <c r="L146" s="113">
        <v>2200</v>
      </c>
      <c r="M146" s="185">
        <v>16.593110705815</v>
      </c>
      <c r="N146" s="75">
        <v>594.05507225727285</v>
      </c>
      <c r="O146" s="119">
        <v>24393.659109606568</v>
      </c>
      <c r="P146" s="119">
        <v>29649.376873233228</v>
      </c>
      <c r="Q146" s="120">
        <v>19078.678920981492</v>
      </c>
      <c r="R146" s="314">
        <v>43472.338030588056</v>
      </c>
      <c r="S146" s="315">
        <v>48728.055794214721</v>
      </c>
      <c r="U146" s="7" t="s">
        <v>1238</v>
      </c>
    </row>
    <row r="147" spans="1:21" s="74" customFormat="1" ht="16.5" thickBot="1">
      <c r="A147" s="50" t="s">
        <v>35</v>
      </c>
      <c r="B147" s="51">
        <f t="shared" si="6"/>
        <v>70</v>
      </c>
      <c r="C147" s="51" t="s">
        <v>3</v>
      </c>
      <c r="D147" s="51">
        <f t="shared" si="7"/>
        <v>260</v>
      </c>
      <c r="E147" s="51" t="s">
        <v>3</v>
      </c>
      <c r="F147" s="110">
        <f t="shared" si="8"/>
        <v>2250</v>
      </c>
      <c r="G147" s="51" t="s">
        <v>3</v>
      </c>
      <c r="H147" s="48">
        <v>2</v>
      </c>
      <c r="I147" s="49" t="s">
        <v>45</v>
      </c>
      <c r="J147" s="184">
        <v>70</v>
      </c>
      <c r="K147" s="113">
        <v>260</v>
      </c>
      <c r="L147" s="113">
        <v>2250</v>
      </c>
      <c r="M147" s="185">
        <v>16.947946792837858</v>
      </c>
      <c r="N147" s="75">
        <v>610.11061475071256</v>
      </c>
      <c r="O147" s="119">
        <v>24813.775436598906</v>
      </c>
      <c r="P147" s="119">
        <v>30177.542880266185</v>
      </c>
      <c r="Q147" s="120">
        <v>19510.781331297265</v>
      </c>
      <c r="R147" s="314">
        <v>44324.556767896167</v>
      </c>
      <c r="S147" s="315">
        <v>49688.324211563449</v>
      </c>
      <c r="U147" s="7" t="s">
        <v>1239</v>
      </c>
    </row>
    <row r="148" spans="1:21" s="74" customFormat="1" ht="16.5" thickBot="1">
      <c r="A148" s="50" t="s">
        <v>35</v>
      </c>
      <c r="B148" s="51">
        <f t="shared" si="6"/>
        <v>70</v>
      </c>
      <c r="C148" s="51" t="s">
        <v>3</v>
      </c>
      <c r="D148" s="51">
        <f t="shared" si="7"/>
        <v>260</v>
      </c>
      <c r="E148" s="51" t="s">
        <v>3</v>
      </c>
      <c r="F148" s="110">
        <f t="shared" si="8"/>
        <v>2300</v>
      </c>
      <c r="G148" s="51" t="s">
        <v>3</v>
      </c>
      <c r="H148" s="48">
        <v>2</v>
      </c>
      <c r="I148" s="49" t="s">
        <v>45</v>
      </c>
      <c r="J148" s="184">
        <v>70</v>
      </c>
      <c r="K148" s="113">
        <v>260</v>
      </c>
      <c r="L148" s="113">
        <v>2300</v>
      </c>
      <c r="M148" s="185">
        <v>17.302782879860715</v>
      </c>
      <c r="N148" s="75">
        <v>626.16615724415237</v>
      </c>
      <c r="O148" s="119">
        <v>25233.891763591106</v>
      </c>
      <c r="P148" s="119">
        <v>30705.709027692497</v>
      </c>
      <c r="Q148" s="120">
        <v>19942.883601219681</v>
      </c>
      <c r="R148" s="314">
        <v>45176.77536481079</v>
      </c>
      <c r="S148" s="315">
        <v>50648.592628912178</v>
      </c>
      <c r="U148" s="7" t="s">
        <v>1240</v>
      </c>
    </row>
    <row r="149" spans="1:21" s="74" customFormat="1" ht="16.5" thickBot="1">
      <c r="A149" s="50" t="s">
        <v>35</v>
      </c>
      <c r="B149" s="51">
        <f t="shared" si="6"/>
        <v>70</v>
      </c>
      <c r="C149" s="51" t="s">
        <v>3</v>
      </c>
      <c r="D149" s="51">
        <f t="shared" si="7"/>
        <v>260</v>
      </c>
      <c r="E149" s="51" t="s">
        <v>3</v>
      </c>
      <c r="F149" s="110">
        <f t="shared" si="8"/>
        <v>2350</v>
      </c>
      <c r="G149" s="51" t="s">
        <v>3</v>
      </c>
      <c r="H149" s="48">
        <v>2</v>
      </c>
      <c r="I149" s="49" t="s">
        <v>45</v>
      </c>
      <c r="J149" s="184">
        <v>70</v>
      </c>
      <c r="K149" s="113">
        <v>260</v>
      </c>
      <c r="L149" s="113">
        <v>2350</v>
      </c>
      <c r="M149" s="185">
        <v>17.657618966883572</v>
      </c>
      <c r="N149" s="75">
        <v>642.22169973759219</v>
      </c>
      <c r="O149" s="119">
        <v>25654.008230976942</v>
      </c>
      <c r="P149" s="119">
        <v>31233.875034725443</v>
      </c>
      <c r="Q149" s="120">
        <v>20374.986011535453</v>
      </c>
      <c r="R149" s="314">
        <v>46028.994242512395</v>
      </c>
      <c r="S149" s="315">
        <v>51608.861046260892</v>
      </c>
      <c r="U149" s="7" t="s">
        <v>1241</v>
      </c>
    </row>
    <row r="150" spans="1:21" s="74" customFormat="1" ht="16.5" thickBot="1">
      <c r="A150" s="50" t="s">
        <v>35</v>
      </c>
      <c r="B150" s="51">
        <f t="shared" si="6"/>
        <v>70</v>
      </c>
      <c r="C150" s="51" t="s">
        <v>3</v>
      </c>
      <c r="D150" s="51">
        <f t="shared" si="7"/>
        <v>260</v>
      </c>
      <c r="E150" s="51" t="s">
        <v>3</v>
      </c>
      <c r="F150" s="110">
        <f t="shared" si="8"/>
        <v>2400</v>
      </c>
      <c r="G150" s="51" t="s">
        <v>3</v>
      </c>
      <c r="H150" s="48">
        <v>2</v>
      </c>
      <c r="I150" s="49" t="s">
        <v>45</v>
      </c>
      <c r="J150" s="184">
        <v>70</v>
      </c>
      <c r="K150" s="113">
        <v>260</v>
      </c>
      <c r="L150" s="113">
        <v>2400</v>
      </c>
      <c r="M150" s="185">
        <v>18.012455053906429</v>
      </c>
      <c r="N150" s="75">
        <v>658.27724223103189</v>
      </c>
      <c r="O150" s="119">
        <v>26074.12455796928</v>
      </c>
      <c r="P150" s="119">
        <v>31762.041041758392</v>
      </c>
      <c r="Q150" s="120">
        <v>20807.088281457865</v>
      </c>
      <c r="R150" s="314">
        <v>46881.212839427142</v>
      </c>
      <c r="S150" s="315">
        <v>52569.129323216257</v>
      </c>
      <c r="U150" s="7" t="s">
        <v>1242</v>
      </c>
    </row>
    <row r="151" spans="1:21" s="74" customFormat="1" ht="16.5" thickBot="1">
      <c r="A151" s="50" t="s">
        <v>35</v>
      </c>
      <c r="B151" s="51">
        <f t="shared" si="6"/>
        <v>70</v>
      </c>
      <c r="C151" s="51" t="s">
        <v>3</v>
      </c>
      <c r="D151" s="51">
        <f t="shared" si="7"/>
        <v>260</v>
      </c>
      <c r="E151" s="51" t="s">
        <v>3</v>
      </c>
      <c r="F151" s="110">
        <f t="shared" si="8"/>
        <v>2450</v>
      </c>
      <c r="G151" s="51" t="s">
        <v>3</v>
      </c>
      <c r="H151" s="48">
        <v>2</v>
      </c>
      <c r="I151" s="49" t="s">
        <v>45</v>
      </c>
      <c r="J151" s="184">
        <v>70</v>
      </c>
      <c r="K151" s="113">
        <v>260</v>
      </c>
      <c r="L151" s="113">
        <v>2450</v>
      </c>
      <c r="M151" s="185">
        <v>18.491055329729285</v>
      </c>
      <c r="N151" s="75">
        <v>674.33278472447182</v>
      </c>
      <c r="O151" s="119">
        <v>27083.648301830781</v>
      </c>
      <c r="P151" s="119">
        <v>32806.338957970882</v>
      </c>
      <c r="Q151" s="120">
        <v>21239.190691773641</v>
      </c>
      <c r="R151" s="314">
        <v>48322.838993604426</v>
      </c>
      <c r="S151" s="315">
        <v>54045.529649744523</v>
      </c>
      <c r="U151" s="7" t="s">
        <v>1243</v>
      </c>
    </row>
    <row r="152" spans="1:21" s="74" customFormat="1" ht="16.5" thickBot="1">
      <c r="A152" s="50" t="s">
        <v>35</v>
      </c>
      <c r="B152" s="51">
        <f t="shared" si="6"/>
        <v>70</v>
      </c>
      <c r="C152" s="51" t="s">
        <v>3</v>
      </c>
      <c r="D152" s="51">
        <f t="shared" si="7"/>
        <v>260</v>
      </c>
      <c r="E152" s="51" t="s">
        <v>3</v>
      </c>
      <c r="F152" s="110">
        <f t="shared" si="8"/>
        <v>2500</v>
      </c>
      <c r="G152" s="51" t="s">
        <v>3</v>
      </c>
      <c r="H152" s="48">
        <v>2</v>
      </c>
      <c r="I152" s="49" t="s">
        <v>45</v>
      </c>
      <c r="J152" s="184">
        <v>70</v>
      </c>
      <c r="K152" s="113">
        <v>260</v>
      </c>
      <c r="L152" s="113">
        <v>2500</v>
      </c>
      <c r="M152" s="185">
        <v>18.845891416752142</v>
      </c>
      <c r="N152" s="75">
        <v>690.38832721791152</v>
      </c>
      <c r="O152" s="119">
        <v>27503.764628823119</v>
      </c>
      <c r="P152" s="119">
        <v>33334.504965003835</v>
      </c>
      <c r="Q152" s="120">
        <v>21671.293102089418</v>
      </c>
      <c r="R152" s="314">
        <v>49175.057730912536</v>
      </c>
      <c r="S152" s="315">
        <v>55005.798067093252</v>
      </c>
      <c r="U152" s="7" t="s">
        <v>1244</v>
      </c>
    </row>
    <row r="153" spans="1:21" s="74" customFormat="1" ht="16.5" thickBot="1">
      <c r="A153" s="50" t="s">
        <v>35</v>
      </c>
      <c r="B153" s="51">
        <f t="shared" si="6"/>
        <v>70</v>
      </c>
      <c r="C153" s="51" t="s">
        <v>3</v>
      </c>
      <c r="D153" s="51">
        <f t="shared" si="7"/>
        <v>260</v>
      </c>
      <c r="E153" s="51" t="s">
        <v>3</v>
      </c>
      <c r="F153" s="110">
        <f t="shared" si="8"/>
        <v>2550</v>
      </c>
      <c r="G153" s="51" t="s">
        <v>3</v>
      </c>
      <c r="H153" s="48">
        <v>2</v>
      </c>
      <c r="I153" s="49" t="s">
        <v>45</v>
      </c>
      <c r="J153" s="184">
        <v>70</v>
      </c>
      <c r="K153" s="113">
        <v>260</v>
      </c>
      <c r="L153" s="113">
        <v>2550</v>
      </c>
      <c r="M153" s="185">
        <v>19.200727503774999</v>
      </c>
      <c r="N153" s="75">
        <v>706.44386971135145</v>
      </c>
      <c r="O153" s="119">
        <v>27923.880955815453</v>
      </c>
      <c r="P153" s="119">
        <v>33862.671112430144</v>
      </c>
      <c r="Q153" s="120">
        <v>22103.39537201183</v>
      </c>
      <c r="R153" s="314">
        <v>50027.276327827283</v>
      </c>
      <c r="S153" s="315">
        <v>55966.066484441973</v>
      </c>
      <c r="U153" s="7" t="s">
        <v>1245</v>
      </c>
    </row>
    <row r="154" spans="1:21" s="74" customFormat="1" ht="16.5" thickBot="1">
      <c r="A154" s="47" t="s">
        <v>35</v>
      </c>
      <c r="B154" s="48">
        <f t="shared" si="6"/>
        <v>70</v>
      </c>
      <c r="C154" s="48" t="s">
        <v>3</v>
      </c>
      <c r="D154" s="48">
        <f t="shared" si="7"/>
        <v>260</v>
      </c>
      <c r="E154" s="48" t="s">
        <v>3</v>
      </c>
      <c r="F154" s="110">
        <f t="shared" si="8"/>
        <v>2600</v>
      </c>
      <c r="G154" s="48" t="s">
        <v>3</v>
      </c>
      <c r="H154" s="48">
        <v>2</v>
      </c>
      <c r="I154" s="49" t="s">
        <v>45</v>
      </c>
      <c r="J154" s="184">
        <v>70</v>
      </c>
      <c r="K154" s="113">
        <v>260</v>
      </c>
      <c r="L154" s="113">
        <v>2600</v>
      </c>
      <c r="M154" s="185">
        <v>19.55556359079786</v>
      </c>
      <c r="N154" s="75">
        <v>722.49941220479127</v>
      </c>
      <c r="O154" s="119">
        <v>28343.997423201155</v>
      </c>
      <c r="P154" s="119">
        <v>34390.837119463096</v>
      </c>
      <c r="Q154" s="120">
        <v>22535.497782327606</v>
      </c>
      <c r="R154" s="314">
        <v>50879.495205528758</v>
      </c>
      <c r="S154" s="315">
        <v>56926.334901790702</v>
      </c>
      <c r="U154" s="7" t="s">
        <v>1246</v>
      </c>
    </row>
    <row r="155" spans="1:21" s="74" customFormat="1" ht="16.5" thickBot="1">
      <c r="A155" s="50" t="s">
        <v>35</v>
      </c>
      <c r="B155" s="51">
        <f t="shared" si="6"/>
        <v>70</v>
      </c>
      <c r="C155" s="51" t="s">
        <v>3</v>
      </c>
      <c r="D155" s="51">
        <f t="shared" si="7"/>
        <v>260</v>
      </c>
      <c r="E155" s="51" t="s">
        <v>3</v>
      </c>
      <c r="F155" s="110">
        <f t="shared" si="8"/>
        <v>2650</v>
      </c>
      <c r="G155" s="51" t="s">
        <v>3</v>
      </c>
      <c r="H155" s="48">
        <v>2</v>
      </c>
      <c r="I155" s="49" t="s">
        <v>45</v>
      </c>
      <c r="J155" s="184">
        <v>70</v>
      </c>
      <c r="K155" s="113">
        <v>260</v>
      </c>
      <c r="L155" s="113">
        <v>2650</v>
      </c>
      <c r="M155" s="185">
        <v>19.910399677820713</v>
      </c>
      <c r="N155" s="75">
        <v>738.55495469823097</v>
      </c>
      <c r="O155" s="119">
        <v>28764.113750193494</v>
      </c>
      <c r="P155" s="119">
        <v>34919.003126496042</v>
      </c>
      <c r="Q155" s="120">
        <v>22967.600052250018</v>
      </c>
      <c r="R155" s="314">
        <v>51731.713802443512</v>
      </c>
      <c r="S155" s="315">
        <v>57886.60317874606</v>
      </c>
      <c r="U155" s="7" t="s">
        <v>1247</v>
      </c>
    </row>
    <row r="156" spans="1:21" s="74" customFormat="1" ht="16.5" thickBot="1">
      <c r="A156" s="50" t="s">
        <v>35</v>
      </c>
      <c r="B156" s="51">
        <f t="shared" si="6"/>
        <v>70</v>
      </c>
      <c r="C156" s="51" t="s">
        <v>3</v>
      </c>
      <c r="D156" s="51">
        <f t="shared" si="7"/>
        <v>260</v>
      </c>
      <c r="E156" s="51" t="s">
        <v>3</v>
      </c>
      <c r="F156" s="110">
        <f t="shared" si="8"/>
        <v>2700</v>
      </c>
      <c r="G156" s="51" t="s">
        <v>3</v>
      </c>
      <c r="H156" s="48">
        <v>2</v>
      </c>
      <c r="I156" s="49" t="s">
        <v>45</v>
      </c>
      <c r="J156" s="184">
        <v>70</v>
      </c>
      <c r="K156" s="113">
        <v>260</v>
      </c>
      <c r="L156" s="113">
        <v>2700</v>
      </c>
      <c r="M156" s="185">
        <v>20.304485764843573</v>
      </c>
      <c r="N156" s="75">
        <v>754.6104971916709</v>
      </c>
      <c r="O156" s="119">
        <v>29230.101923662354</v>
      </c>
      <c r="P156" s="119">
        <v>35491.642802508381</v>
      </c>
      <c r="Q156" s="120">
        <v>23399.70246256579</v>
      </c>
      <c r="R156" s="314">
        <v>52629.804386228148</v>
      </c>
      <c r="S156" s="315">
        <v>58891.345265074167</v>
      </c>
      <c r="U156" s="7" t="s">
        <v>1248</v>
      </c>
    </row>
    <row r="157" spans="1:21" s="74" customFormat="1" ht="16.5" thickBot="1">
      <c r="A157" s="50" t="s">
        <v>35</v>
      </c>
      <c r="B157" s="51">
        <f t="shared" si="6"/>
        <v>70</v>
      </c>
      <c r="C157" s="51" t="s">
        <v>3</v>
      </c>
      <c r="D157" s="51">
        <f t="shared" si="7"/>
        <v>260</v>
      </c>
      <c r="E157" s="51" t="s">
        <v>3</v>
      </c>
      <c r="F157" s="110">
        <f t="shared" si="8"/>
        <v>2750</v>
      </c>
      <c r="G157" s="51" t="s">
        <v>3</v>
      </c>
      <c r="H157" s="48">
        <v>2</v>
      </c>
      <c r="I157" s="49" t="s">
        <v>45</v>
      </c>
      <c r="J157" s="184">
        <v>70</v>
      </c>
      <c r="K157" s="113">
        <v>260</v>
      </c>
      <c r="L157" s="113">
        <v>2750</v>
      </c>
      <c r="M157" s="185">
        <v>20.65932185186643</v>
      </c>
      <c r="N157" s="75">
        <v>770.6660396851106</v>
      </c>
      <c r="O157" s="119">
        <v>29650.218250654696</v>
      </c>
      <c r="P157" s="119">
        <v>36019.808809541333</v>
      </c>
      <c r="Q157" s="120">
        <v>23831.804872881567</v>
      </c>
      <c r="R157" s="314">
        <v>53482.023123536259</v>
      </c>
      <c r="S157" s="315">
        <v>59851.613682422903</v>
      </c>
      <c r="U157" s="7" t="s">
        <v>1249</v>
      </c>
    </row>
    <row r="158" spans="1:21" s="74" customFormat="1" ht="16.5" thickBot="1">
      <c r="A158" s="50" t="s">
        <v>35</v>
      </c>
      <c r="B158" s="51">
        <f t="shared" si="6"/>
        <v>70</v>
      </c>
      <c r="C158" s="51" t="s">
        <v>3</v>
      </c>
      <c r="D158" s="51">
        <f t="shared" si="7"/>
        <v>260</v>
      </c>
      <c r="E158" s="51" t="s">
        <v>3</v>
      </c>
      <c r="F158" s="110">
        <f t="shared" si="8"/>
        <v>2800</v>
      </c>
      <c r="G158" s="51" t="s">
        <v>3</v>
      </c>
      <c r="H158" s="48">
        <v>2</v>
      </c>
      <c r="I158" s="49" t="s">
        <v>45</v>
      </c>
      <c r="J158" s="184">
        <v>70</v>
      </c>
      <c r="K158" s="113">
        <v>260</v>
      </c>
      <c r="L158" s="113">
        <v>2800</v>
      </c>
      <c r="M158" s="185">
        <v>21.014157938889291</v>
      </c>
      <c r="N158" s="75">
        <v>786.72158217855053</v>
      </c>
      <c r="O158" s="119">
        <v>30070.334577647031</v>
      </c>
      <c r="P158" s="119">
        <v>36547.974816574286</v>
      </c>
      <c r="Q158" s="120">
        <v>24263.907142803979</v>
      </c>
      <c r="R158" s="314">
        <v>54334.241720451013</v>
      </c>
      <c r="S158" s="315">
        <v>60811.881959378268</v>
      </c>
      <c r="U158" s="7" t="s">
        <v>1250</v>
      </c>
    </row>
    <row r="159" spans="1:21" s="74" customFormat="1" ht="16.5" thickBot="1">
      <c r="A159" s="50" t="s">
        <v>35</v>
      </c>
      <c r="B159" s="51">
        <f t="shared" si="6"/>
        <v>70</v>
      </c>
      <c r="C159" s="51" t="s">
        <v>3</v>
      </c>
      <c r="D159" s="51">
        <f t="shared" si="7"/>
        <v>260</v>
      </c>
      <c r="E159" s="51" t="s">
        <v>3</v>
      </c>
      <c r="F159" s="110">
        <f t="shared" si="8"/>
        <v>2850</v>
      </c>
      <c r="G159" s="51" t="s">
        <v>3</v>
      </c>
      <c r="H159" s="48">
        <v>2</v>
      </c>
      <c r="I159" s="49" t="s">
        <v>45</v>
      </c>
      <c r="J159" s="184">
        <v>70</v>
      </c>
      <c r="K159" s="113">
        <v>260</v>
      </c>
      <c r="L159" s="113">
        <v>2850</v>
      </c>
      <c r="M159" s="185">
        <v>21.368994025912144</v>
      </c>
      <c r="N159" s="75">
        <v>802.77712467199024</v>
      </c>
      <c r="O159" s="119">
        <v>30490.451045032733</v>
      </c>
      <c r="P159" s="119">
        <v>37076.140964000595</v>
      </c>
      <c r="Q159" s="120">
        <v>24696.009553119755</v>
      </c>
      <c r="R159" s="314">
        <v>55186.460598152487</v>
      </c>
      <c r="S159" s="315">
        <v>61772.150517120346</v>
      </c>
      <c r="U159" s="7" t="s">
        <v>1251</v>
      </c>
    </row>
    <row r="160" spans="1:21" s="74" customFormat="1" ht="16.5" thickBot="1">
      <c r="A160" s="50" t="s">
        <v>35</v>
      </c>
      <c r="B160" s="51">
        <f t="shared" si="6"/>
        <v>70</v>
      </c>
      <c r="C160" s="51" t="s">
        <v>3</v>
      </c>
      <c r="D160" s="51">
        <f t="shared" si="7"/>
        <v>260</v>
      </c>
      <c r="E160" s="51" t="s">
        <v>3</v>
      </c>
      <c r="F160" s="110">
        <f t="shared" si="8"/>
        <v>2900</v>
      </c>
      <c r="G160" s="51" t="s">
        <v>3</v>
      </c>
      <c r="H160" s="48">
        <v>2</v>
      </c>
      <c r="I160" s="49" t="s">
        <v>45</v>
      </c>
      <c r="J160" s="184">
        <v>70</v>
      </c>
      <c r="K160" s="113">
        <v>260</v>
      </c>
      <c r="L160" s="113">
        <v>2900</v>
      </c>
      <c r="M160" s="185">
        <v>21.723830112934998</v>
      </c>
      <c r="N160" s="75">
        <v>818.83266716542994</v>
      </c>
      <c r="O160" s="119">
        <v>30910.567372025067</v>
      </c>
      <c r="P160" s="119">
        <v>37604.306971033548</v>
      </c>
      <c r="Q160" s="120">
        <v>25128.111823042171</v>
      </c>
      <c r="R160" s="314">
        <v>56038.679195067234</v>
      </c>
      <c r="S160" s="315">
        <v>62732.418794075718</v>
      </c>
      <c r="U160" s="7" t="s">
        <v>1252</v>
      </c>
    </row>
    <row r="161" spans="1:21" s="74" customFormat="1" ht="16.5" thickBot="1">
      <c r="A161" s="50" t="s">
        <v>35</v>
      </c>
      <c r="B161" s="51">
        <f t="shared" si="6"/>
        <v>70</v>
      </c>
      <c r="C161" s="51" t="s">
        <v>3</v>
      </c>
      <c r="D161" s="51">
        <f t="shared" si="7"/>
        <v>260</v>
      </c>
      <c r="E161" s="51" t="s">
        <v>3</v>
      </c>
      <c r="F161" s="110">
        <f t="shared" si="8"/>
        <v>2950</v>
      </c>
      <c r="G161" s="51" t="s">
        <v>3</v>
      </c>
      <c r="H161" s="48">
        <v>2</v>
      </c>
      <c r="I161" s="49" t="s">
        <v>45</v>
      </c>
      <c r="J161" s="184">
        <v>70</v>
      </c>
      <c r="K161" s="113">
        <v>260</v>
      </c>
      <c r="L161" s="113">
        <v>2950</v>
      </c>
      <c r="M161" s="185">
        <v>22.078666199957858</v>
      </c>
      <c r="N161" s="75">
        <v>834.88820965886987</v>
      </c>
      <c r="O161" s="119">
        <v>31330.683699017409</v>
      </c>
      <c r="P161" s="119">
        <v>38132.472978066493</v>
      </c>
      <c r="Q161" s="120">
        <v>25560.214233357947</v>
      </c>
      <c r="R161" s="314">
        <v>56890.897932375359</v>
      </c>
      <c r="S161" s="315">
        <v>63692.68721142444</v>
      </c>
      <c r="U161" s="7" t="s">
        <v>1253</v>
      </c>
    </row>
    <row r="162" spans="1:21" s="74" customFormat="1" ht="16.5" thickBot="1">
      <c r="A162" s="52" t="s">
        <v>35</v>
      </c>
      <c r="B162" s="53">
        <f t="shared" si="6"/>
        <v>70</v>
      </c>
      <c r="C162" s="53" t="s">
        <v>3</v>
      </c>
      <c r="D162" s="53">
        <f t="shared" si="7"/>
        <v>260</v>
      </c>
      <c r="E162" s="53" t="s">
        <v>3</v>
      </c>
      <c r="F162" s="111">
        <f t="shared" si="8"/>
        <v>3000</v>
      </c>
      <c r="G162" s="53" t="s">
        <v>3</v>
      </c>
      <c r="H162" s="55">
        <v>2</v>
      </c>
      <c r="I162" s="54" t="s">
        <v>45</v>
      </c>
      <c r="J162" s="184">
        <v>70</v>
      </c>
      <c r="K162" s="157">
        <v>260</v>
      </c>
      <c r="L162" s="157">
        <v>3000</v>
      </c>
      <c r="M162" s="187">
        <v>22.433502286980715</v>
      </c>
      <c r="N162" s="147">
        <v>850.94375215230957</v>
      </c>
      <c r="O162" s="189">
        <v>31750.800166403107</v>
      </c>
      <c r="P162" s="189">
        <v>38660.638985099446</v>
      </c>
      <c r="Q162" s="159">
        <v>25992.316643673719</v>
      </c>
      <c r="R162" s="316">
        <v>57743.116810076826</v>
      </c>
      <c r="S162" s="317">
        <v>64652.955628773168</v>
      </c>
      <c r="U162" s="7" t="s">
        <v>1254</v>
      </c>
    </row>
    <row r="163" spans="1:21" s="74" customFormat="1" ht="22.5" customHeight="1" thickBot="1">
      <c r="A163" s="2621" t="s">
        <v>48</v>
      </c>
      <c r="B163" s="2622"/>
      <c r="C163" s="2622"/>
      <c r="D163" s="2622"/>
      <c r="E163" s="2622"/>
      <c r="F163" s="2622"/>
      <c r="G163" s="2622"/>
      <c r="H163" s="2622"/>
      <c r="I163" s="2622"/>
      <c r="J163" s="2622"/>
      <c r="K163" s="2622"/>
      <c r="L163" s="2622"/>
      <c r="M163" s="2622"/>
      <c r="N163" s="2622"/>
      <c r="O163" s="2622"/>
      <c r="P163" s="2622"/>
      <c r="Q163" s="2622"/>
      <c r="R163" s="2622"/>
      <c r="S163" s="2623"/>
      <c r="U163" s="7"/>
    </row>
    <row r="164" spans="1:21" s="74" customFormat="1" ht="22.5" customHeight="1" thickBot="1">
      <c r="A164" s="2624" t="s">
        <v>69</v>
      </c>
      <c r="B164" s="2625"/>
      <c r="C164" s="2625"/>
      <c r="D164" s="2625"/>
      <c r="E164" s="2625"/>
      <c r="F164" s="2625"/>
      <c r="G164" s="2625"/>
      <c r="H164" s="2625"/>
      <c r="I164" s="2625"/>
      <c r="J164" s="2625"/>
      <c r="K164" s="2625"/>
      <c r="L164" s="2625"/>
      <c r="M164" s="2625"/>
      <c r="N164" s="2625"/>
      <c r="O164" s="2625"/>
      <c r="P164" s="2625"/>
      <c r="Q164" s="2625"/>
      <c r="R164" s="2625"/>
      <c r="S164" s="2626"/>
      <c r="U164" s="7"/>
    </row>
    <row r="165" spans="1:21" s="74" customFormat="1" ht="16.5" thickBot="1">
      <c r="A165" s="2583" t="s">
        <v>134</v>
      </c>
      <c r="B165" s="2584"/>
      <c r="C165" s="2584"/>
      <c r="D165" s="2584"/>
      <c r="E165" s="2584"/>
      <c r="F165" s="2584"/>
      <c r="G165" s="2584"/>
      <c r="H165" s="2584"/>
      <c r="I165" s="2584"/>
      <c r="J165" s="2584"/>
      <c r="K165" s="2584"/>
      <c r="L165" s="2584"/>
      <c r="M165" s="2584"/>
      <c r="N165" s="2584"/>
      <c r="O165" s="2584"/>
      <c r="P165" s="2584"/>
      <c r="Q165" s="2584"/>
      <c r="R165" s="2584"/>
      <c r="S165" s="2585"/>
      <c r="U165" s="7"/>
    </row>
    <row r="166" spans="1:21" s="74" customFormat="1" ht="16.5" thickBot="1">
      <c r="A166" s="47" t="s">
        <v>35</v>
      </c>
      <c r="B166" s="48">
        <f>J166</f>
        <v>70</v>
      </c>
      <c r="C166" s="48" t="s">
        <v>3</v>
      </c>
      <c r="D166" s="48">
        <f>K166</f>
        <v>300</v>
      </c>
      <c r="E166" s="48" t="s">
        <v>3</v>
      </c>
      <c r="F166" s="110">
        <f>L166</f>
        <v>600</v>
      </c>
      <c r="G166" s="48" t="s">
        <v>3</v>
      </c>
      <c r="H166" s="48">
        <v>2</v>
      </c>
      <c r="I166" s="49" t="s">
        <v>45</v>
      </c>
      <c r="J166" s="181">
        <v>70</v>
      </c>
      <c r="K166" s="168">
        <v>300</v>
      </c>
      <c r="L166" s="168">
        <v>600</v>
      </c>
      <c r="M166" s="182">
        <v>5.4382493597121435</v>
      </c>
      <c r="N166" s="143">
        <v>85.988380735127819</v>
      </c>
      <c r="O166" s="183">
        <v>10518.757743074513</v>
      </c>
      <c r="P166" s="183">
        <v>12497.764201452339</v>
      </c>
      <c r="Q166" s="169">
        <v>5887.3894791295515</v>
      </c>
      <c r="R166" s="312">
        <v>16406.147222204065</v>
      </c>
      <c r="S166" s="313">
        <v>18385.153680581891</v>
      </c>
      <c r="U166" s="7" t="s">
        <v>1255</v>
      </c>
    </row>
    <row r="167" spans="1:21" s="74" customFormat="1" ht="16.5" thickBot="1">
      <c r="A167" s="50" t="s">
        <v>35</v>
      </c>
      <c r="B167" s="51">
        <f t="shared" ref="B167:B214" si="9">J167</f>
        <v>70</v>
      </c>
      <c r="C167" s="51" t="s">
        <v>3</v>
      </c>
      <c r="D167" s="51">
        <f t="shared" ref="D167:D214" si="10">K167</f>
        <v>300</v>
      </c>
      <c r="E167" s="51" t="s">
        <v>3</v>
      </c>
      <c r="F167" s="110">
        <f t="shared" ref="F167:F214" si="11">L167</f>
        <v>650</v>
      </c>
      <c r="G167" s="51" t="s">
        <v>3</v>
      </c>
      <c r="H167" s="48">
        <v>2</v>
      </c>
      <c r="I167" s="49" t="s">
        <v>45</v>
      </c>
      <c r="J167" s="184">
        <v>70</v>
      </c>
      <c r="K167" s="113">
        <v>300</v>
      </c>
      <c r="L167" s="113">
        <v>650</v>
      </c>
      <c r="M167" s="185">
        <v>5.8250188538778573</v>
      </c>
      <c r="N167" s="75">
        <v>103.18605688215338</v>
      </c>
      <c r="O167" s="121">
        <v>10957.620093794665</v>
      </c>
      <c r="P167" s="121">
        <v>13057.568975871565</v>
      </c>
      <c r="Q167" s="120">
        <v>6371.6793313339131</v>
      </c>
      <c r="R167" s="314">
        <v>17329.299425128578</v>
      </c>
      <c r="S167" s="315">
        <v>19429.248307205478</v>
      </c>
      <c r="U167" s="7" t="s">
        <v>1256</v>
      </c>
    </row>
    <row r="168" spans="1:21" s="74" customFormat="1" ht="16.5" thickBot="1">
      <c r="A168" s="50" t="s">
        <v>35</v>
      </c>
      <c r="B168" s="51">
        <f t="shared" si="9"/>
        <v>70</v>
      </c>
      <c r="C168" s="51" t="s">
        <v>3</v>
      </c>
      <c r="D168" s="51">
        <f t="shared" si="10"/>
        <v>300</v>
      </c>
      <c r="E168" s="51" t="s">
        <v>3</v>
      </c>
      <c r="F168" s="110">
        <f t="shared" si="11"/>
        <v>700</v>
      </c>
      <c r="G168" s="51" t="s">
        <v>3</v>
      </c>
      <c r="H168" s="48">
        <v>2</v>
      </c>
      <c r="I168" s="49" t="s">
        <v>45</v>
      </c>
      <c r="J168" s="184">
        <v>70</v>
      </c>
      <c r="K168" s="113">
        <v>300</v>
      </c>
      <c r="L168" s="113">
        <v>700</v>
      </c>
      <c r="M168" s="185">
        <v>6.2117883480435712</v>
      </c>
      <c r="N168" s="75">
        <v>120.38373302917894</v>
      </c>
      <c r="O168" s="121">
        <v>11396.482444514815</v>
      </c>
      <c r="P168" s="121">
        <v>13617.37375029079</v>
      </c>
      <c r="Q168" s="120">
        <v>6855.9690431449135</v>
      </c>
      <c r="R168" s="314">
        <v>18252.451487659728</v>
      </c>
      <c r="S168" s="315">
        <v>20473.342793435702</v>
      </c>
      <c r="U168" s="7" t="s">
        <v>1257</v>
      </c>
    </row>
    <row r="169" spans="1:21" s="74" customFormat="1" ht="16.5" thickBot="1">
      <c r="A169" s="50" t="s">
        <v>35</v>
      </c>
      <c r="B169" s="51">
        <f t="shared" si="9"/>
        <v>70</v>
      </c>
      <c r="C169" s="51" t="s">
        <v>3</v>
      </c>
      <c r="D169" s="51">
        <f t="shared" si="10"/>
        <v>300</v>
      </c>
      <c r="E169" s="51" t="s">
        <v>3</v>
      </c>
      <c r="F169" s="110">
        <f t="shared" si="11"/>
        <v>750</v>
      </c>
      <c r="G169" s="51" t="s">
        <v>3</v>
      </c>
      <c r="H169" s="48">
        <v>2</v>
      </c>
      <c r="I169" s="49" t="s">
        <v>45</v>
      </c>
      <c r="J169" s="184">
        <v>70</v>
      </c>
      <c r="K169" s="113">
        <v>300</v>
      </c>
      <c r="L169" s="113">
        <v>750</v>
      </c>
      <c r="M169" s="185">
        <v>6.598557842209285</v>
      </c>
      <c r="N169" s="75">
        <v>137.58140917620452</v>
      </c>
      <c r="O169" s="121">
        <v>11835.344795234963</v>
      </c>
      <c r="P169" s="121">
        <v>14177.178384316654</v>
      </c>
      <c r="Q169" s="120">
        <v>7340.2588953492768</v>
      </c>
      <c r="R169" s="314">
        <v>19175.603690584241</v>
      </c>
      <c r="S169" s="315">
        <v>21517.43727966593</v>
      </c>
      <c r="U169" s="7" t="s">
        <v>1258</v>
      </c>
    </row>
    <row r="170" spans="1:21" s="74" customFormat="1" ht="16.5" thickBot="1">
      <c r="A170" s="50" t="s">
        <v>35</v>
      </c>
      <c r="B170" s="51">
        <f t="shared" si="9"/>
        <v>70</v>
      </c>
      <c r="C170" s="51" t="s">
        <v>3</v>
      </c>
      <c r="D170" s="51">
        <f t="shared" si="10"/>
        <v>300</v>
      </c>
      <c r="E170" s="51" t="s">
        <v>3</v>
      </c>
      <c r="F170" s="110">
        <f t="shared" si="11"/>
        <v>800</v>
      </c>
      <c r="G170" s="51" t="s">
        <v>3</v>
      </c>
      <c r="H170" s="48">
        <v>2</v>
      </c>
      <c r="I170" s="49" t="s">
        <v>45</v>
      </c>
      <c r="J170" s="184">
        <v>70</v>
      </c>
      <c r="K170" s="113">
        <v>300</v>
      </c>
      <c r="L170" s="113">
        <v>800</v>
      </c>
      <c r="M170" s="185">
        <v>6.9853273363750006</v>
      </c>
      <c r="N170" s="75">
        <v>154.77908532323008</v>
      </c>
      <c r="O170" s="121">
        <v>12274.207145955115</v>
      </c>
      <c r="P170" s="121">
        <v>14736.983158735879</v>
      </c>
      <c r="Q170" s="120">
        <v>7824.5486071602763</v>
      </c>
      <c r="R170" s="314">
        <v>20098.755753115391</v>
      </c>
      <c r="S170" s="315">
        <v>22561.531765896154</v>
      </c>
      <c r="U170" s="7" t="s">
        <v>1259</v>
      </c>
    </row>
    <row r="171" spans="1:21" s="74" customFormat="1" ht="16.5" thickBot="1">
      <c r="A171" s="50" t="s">
        <v>35</v>
      </c>
      <c r="B171" s="51">
        <f t="shared" si="9"/>
        <v>70</v>
      </c>
      <c r="C171" s="51" t="s">
        <v>3</v>
      </c>
      <c r="D171" s="51">
        <f t="shared" si="10"/>
        <v>300</v>
      </c>
      <c r="E171" s="51" t="s">
        <v>3</v>
      </c>
      <c r="F171" s="110">
        <f t="shared" si="11"/>
        <v>850</v>
      </c>
      <c r="G171" s="51" t="s">
        <v>3</v>
      </c>
      <c r="H171" s="48">
        <v>2</v>
      </c>
      <c r="I171" s="49" t="s">
        <v>45</v>
      </c>
      <c r="J171" s="184">
        <v>70</v>
      </c>
      <c r="K171" s="113">
        <v>300</v>
      </c>
      <c r="L171" s="113">
        <v>850</v>
      </c>
      <c r="M171" s="185">
        <v>7.3720968305407135</v>
      </c>
      <c r="N171" s="75">
        <v>171.97676147025564</v>
      </c>
      <c r="O171" s="121">
        <v>12713.069496675265</v>
      </c>
      <c r="P171" s="121">
        <v>15296.787933155105</v>
      </c>
      <c r="Q171" s="120">
        <v>8308.8384593646388</v>
      </c>
      <c r="R171" s="314">
        <v>21021.907956039904</v>
      </c>
      <c r="S171" s="315">
        <v>23605.626392519742</v>
      </c>
      <c r="U171" s="7" t="s">
        <v>1260</v>
      </c>
    </row>
    <row r="172" spans="1:21" s="74" customFormat="1" ht="16.5" thickBot="1">
      <c r="A172" s="50" t="s">
        <v>35</v>
      </c>
      <c r="B172" s="51">
        <f t="shared" si="9"/>
        <v>70</v>
      </c>
      <c r="C172" s="51" t="s">
        <v>3</v>
      </c>
      <c r="D172" s="51">
        <f t="shared" si="10"/>
        <v>300</v>
      </c>
      <c r="E172" s="51" t="s">
        <v>3</v>
      </c>
      <c r="F172" s="110">
        <f t="shared" si="11"/>
        <v>900</v>
      </c>
      <c r="G172" s="51" t="s">
        <v>3</v>
      </c>
      <c r="H172" s="48">
        <v>2</v>
      </c>
      <c r="I172" s="49" t="s">
        <v>45</v>
      </c>
      <c r="J172" s="184">
        <v>70</v>
      </c>
      <c r="K172" s="113">
        <v>300</v>
      </c>
      <c r="L172" s="113">
        <v>900</v>
      </c>
      <c r="M172" s="185">
        <v>7.7588663247064291</v>
      </c>
      <c r="N172" s="75">
        <v>189.17443761728123</v>
      </c>
      <c r="O172" s="121">
        <v>13151.931847395415</v>
      </c>
      <c r="P172" s="121">
        <v>15856.592567180965</v>
      </c>
      <c r="Q172" s="120">
        <v>8793.1281711756401</v>
      </c>
      <c r="R172" s="314">
        <v>21945.060018571057</v>
      </c>
      <c r="S172" s="315">
        <v>24649.720738356606</v>
      </c>
      <c r="U172" s="7" t="s">
        <v>1261</v>
      </c>
    </row>
    <row r="173" spans="1:21" s="74" customFormat="1" ht="16.5" thickBot="1">
      <c r="A173" s="50" t="s">
        <v>35</v>
      </c>
      <c r="B173" s="51">
        <f t="shared" si="9"/>
        <v>70</v>
      </c>
      <c r="C173" s="51" t="s">
        <v>3</v>
      </c>
      <c r="D173" s="51">
        <f t="shared" si="10"/>
        <v>300</v>
      </c>
      <c r="E173" s="51" t="s">
        <v>3</v>
      </c>
      <c r="F173" s="110">
        <f t="shared" si="11"/>
        <v>950</v>
      </c>
      <c r="G173" s="51" t="s">
        <v>3</v>
      </c>
      <c r="H173" s="48">
        <v>2</v>
      </c>
      <c r="I173" s="49" t="s">
        <v>45</v>
      </c>
      <c r="J173" s="184">
        <v>70</v>
      </c>
      <c r="K173" s="113">
        <v>300</v>
      </c>
      <c r="L173" s="113">
        <v>950</v>
      </c>
      <c r="M173" s="185">
        <v>8.1456358188721438</v>
      </c>
      <c r="N173" s="75">
        <v>206.37211376430676</v>
      </c>
      <c r="O173" s="121">
        <v>13590.794198115565</v>
      </c>
      <c r="P173" s="121">
        <v>16416.39734160019</v>
      </c>
      <c r="Q173" s="120">
        <v>9277.4180233800016</v>
      </c>
      <c r="R173" s="314">
        <v>22868.212221495567</v>
      </c>
      <c r="S173" s="315">
        <v>25693.81536498019</v>
      </c>
      <c r="U173" s="7" t="s">
        <v>1262</v>
      </c>
    </row>
    <row r="174" spans="1:21" s="74" customFormat="1" ht="16.5" thickBot="1">
      <c r="A174" s="50" t="s">
        <v>35</v>
      </c>
      <c r="B174" s="51">
        <f t="shared" si="9"/>
        <v>70</v>
      </c>
      <c r="C174" s="51" t="s">
        <v>3</v>
      </c>
      <c r="D174" s="51">
        <f t="shared" si="10"/>
        <v>300</v>
      </c>
      <c r="E174" s="51" t="s">
        <v>3</v>
      </c>
      <c r="F174" s="110">
        <f t="shared" si="11"/>
        <v>1000</v>
      </c>
      <c r="G174" s="51" t="s">
        <v>3</v>
      </c>
      <c r="H174" s="48">
        <v>2</v>
      </c>
      <c r="I174" s="49" t="s">
        <v>45</v>
      </c>
      <c r="J174" s="184">
        <v>70</v>
      </c>
      <c r="K174" s="113">
        <v>300</v>
      </c>
      <c r="L174" s="113">
        <v>1000</v>
      </c>
      <c r="M174" s="185">
        <v>8.5324053130378577</v>
      </c>
      <c r="N174" s="75">
        <v>223.56978991133235</v>
      </c>
      <c r="O174" s="121">
        <v>14029.656548835714</v>
      </c>
      <c r="P174" s="121">
        <v>16976.202116019416</v>
      </c>
      <c r="Q174" s="120">
        <v>9761.7077351910029</v>
      </c>
      <c r="R174" s="314">
        <v>23791.364284026717</v>
      </c>
      <c r="S174" s="315">
        <v>26737.909851210417</v>
      </c>
      <c r="U174" s="7" t="s">
        <v>1263</v>
      </c>
    </row>
    <row r="175" spans="1:21" s="74" customFormat="1" ht="16.5" thickBot="1">
      <c r="A175" s="50" t="s">
        <v>35</v>
      </c>
      <c r="B175" s="51">
        <f t="shared" si="9"/>
        <v>70</v>
      </c>
      <c r="C175" s="51" t="s">
        <v>3</v>
      </c>
      <c r="D175" s="51">
        <f t="shared" si="10"/>
        <v>300</v>
      </c>
      <c r="E175" s="51" t="s">
        <v>3</v>
      </c>
      <c r="F175" s="110">
        <f t="shared" si="11"/>
        <v>1050</v>
      </c>
      <c r="G175" s="51" t="s">
        <v>3</v>
      </c>
      <c r="H175" s="48">
        <v>2</v>
      </c>
      <c r="I175" s="49" t="s">
        <v>45</v>
      </c>
      <c r="J175" s="184">
        <v>70</v>
      </c>
      <c r="K175" s="113">
        <v>300</v>
      </c>
      <c r="L175" s="113">
        <v>1050</v>
      </c>
      <c r="M175" s="185">
        <v>8.9191748072035715</v>
      </c>
      <c r="N175" s="75">
        <v>240.76746605835788</v>
      </c>
      <c r="O175" s="121">
        <v>14468.518899555866</v>
      </c>
      <c r="P175" s="121">
        <v>17536.006750045279</v>
      </c>
      <c r="Q175" s="120">
        <v>10245.997587395364</v>
      </c>
      <c r="R175" s="314">
        <v>24714.51648695123</v>
      </c>
      <c r="S175" s="315">
        <v>27782.004337440645</v>
      </c>
      <c r="U175" s="7" t="s">
        <v>1264</v>
      </c>
    </row>
    <row r="176" spans="1:21" s="74" customFormat="1" ht="16.5" thickBot="1">
      <c r="A176" s="47" t="s">
        <v>35</v>
      </c>
      <c r="B176" s="48">
        <f t="shared" si="9"/>
        <v>70</v>
      </c>
      <c r="C176" s="48" t="s">
        <v>3</v>
      </c>
      <c r="D176" s="48">
        <f t="shared" si="10"/>
        <v>300</v>
      </c>
      <c r="E176" s="48" t="s">
        <v>3</v>
      </c>
      <c r="F176" s="110">
        <f t="shared" si="11"/>
        <v>1100</v>
      </c>
      <c r="G176" s="48" t="s">
        <v>3</v>
      </c>
      <c r="H176" s="48">
        <v>2</v>
      </c>
      <c r="I176" s="49" t="s">
        <v>45</v>
      </c>
      <c r="J176" s="184">
        <v>70</v>
      </c>
      <c r="K176" s="113">
        <v>300</v>
      </c>
      <c r="L176" s="113">
        <v>1100</v>
      </c>
      <c r="M176" s="185">
        <v>9.3059443013692871</v>
      </c>
      <c r="N176" s="75">
        <v>257.96514220538347</v>
      </c>
      <c r="O176" s="121">
        <v>14907.381250276017</v>
      </c>
      <c r="P176" s="121">
        <v>18095.811524464501</v>
      </c>
      <c r="Q176" s="120">
        <v>10730.287299206364</v>
      </c>
      <c r="R176" s="314">
        <v>25637.668549482383</v>
      </c>
      <c r="S176" s="315">
        <v>28826.098823670865</v>
      </c>
      <c r="U176" s="7" t="s">
        <v>1265</v>
      </c>
    </row>
    <row r="177" spans="1:21" s="74" customFormat="1" ht="16.5" thickBot="1">
      <c r="A177" s="50" t="s">
        <v>35</v>
      </c>
      <c r="B177" s="51">
        <f t="shared" si="9"/>
        <v>70</v>
      </c>
      <c r="C177" s="51" t="s">
        <v>3</v>
      </c>
      <c r="D177" s="51">
        <f t="shared" si="10"/>
        <v>300</v>
      </c>
      <c r="E177" s="51" t="s">
        <v>3</v>
      </c>
      <c r="F177" s="110">
        <f t="shared" si="11"/>
        <v>1150</v>
      </c>
      <c r="G177" s="51" t="s">
        <v>3</v>
      </c>
      <c r="H177" s="48">
        <v>2</v>
      </c>
      <c r="I177" s="49" t="s">
        <v>45</v>
      </c>
      <c r="J177" s="184">
        <v>70</v>
      </c>
      <c r="K177" s="113">
        <v>300</v>
      </c>
      <c r="L177" s="113">
        <v>1150</v>
      </c>
      <c r="M177" s="185">
        <v>9.6927137955349991</v>
      </c>
      <c r="N177" s="75">
        <v>275.16281835240903</v>
      </c>
      <c r="O177" s="121">
        <v>15346.243600996166</v>
      </c>
      <c r="P177" s="121">
        <v>18655.616298883728</v>
      </c>
      <c r="Q177" s="120">
        <v>11214.577151410727</v>
      </c>
      <c r="R177" s="314">
        <v>26560.820752406893</v>
      </c>
      <c r="S177" s="315">
        <v>29870.193450294457</v>
      </c>
      <c r="U177" s="7" t="s">
        <v>1266</v>
      </c>
    </row>
    <row r="178" spans="1:21" s="74" customFormat="1" ht="16.5" thickBot="1">
      <c r="A178" s="50" t="s">
        <v>35</v>
      </c>
      <c r="B178" s="51">
        <f t="shared" si="9"/>
        <v>70</v>
      </c>
      <c r="C178" s="51" t="s">
        <v>3</v>
      </c>
      <c r="D178" s="51">
        <f t="shared" si="10"/>
        <v>300</v>
      </c>
      <c r="E178" s="51" t="s">
        <v>3</v>
      </c>
      <c r="F178" s="110">
        <f t="shared" si="11"/>
        <v>1200</v>
      </c>
      <c r="G178" s="51" t="s">
        <v>3</v>
      </c>
      <c r="H178" s="48">
        <v>2</v>
      </c>
      <c r="I178" s="49" t="s">
        <v>45</v>
      </c>
      <c r="J178" s="184">
        <v>70</v>
      </c>
      <c r="K178" s="113">
        <v>300</v>
      </c>
      <c r="L178" s="113">
        <v>1200</v>
      </c>
      <c r="M178" s="185">
        <v>10.118733289700714</v>
      </c>
      <c r="N178" s="75">
        <v>292.36049449943459</v>
      </c>
      <c r="O178" s="121">
        <v>15830.97779819284</v>
      </c>
      <c r="P178" s="121">
        <v>19259.894601888976</v>
      </c>
      <c r="Q178" s="120">
        <v>11698.866863221729</v>
      </c>
      <c r="R178" s="314">
        <v>27529.844661414569</v>
      </c>
      <c r="S178" s="315">
        <v>30958.761465110707</v>
      </c>
      <c r="U178" s="7" t="s">
        <v>1267</v>
      </c>
    </row>
    <row r="179" spans="1:21" s="74" customFormat="1" ht="16.5" thickBot="1">
      <c r="A179" s="50" t="s">
        <v>35</v>
      </c>
      <c r="B179" s="51">
        <f t="shared" si="9"/>
        <v>70</v>
      </c>
      <c r="C179" s="51" t="s">
        <v>3</v>
      </c>
      <c r="D179" s="51">
        <f t="shared" si="10"/>
        <v>300</v>
      </c>
      <c r="E179" s="51" t="s">
        <v>3</v>
      </c>
      <c r="F179" s="110">
        <f t="shared" si="11"/>
        <v>1250</v>
      </c>
      <c r="G179" s="51" t="s">
        <v>3</v>
      </c>
      <c r="H179" s="48">
        <v>2</v>
      </c>
      <c r="I179" s="49" t="s">
        <v>45</v>
      </c>
      <c r="J179" s="184">
        <v>70</v>
      </c>
      <c r="K179" s="113">
        <v>300</v>
      </c>
      <c r="L179" s="113">
        <v>1250</v>
      </c>
      <c r="M179" s="185">
        <v>10.505502783866429</v>
      </c>
      <c r="N179" s="75">
        <v>309.55817064646016</v>
      </c>
      <c r="O179" s="121">
        <v>16269.84014891299</v>
      </c>
      <c r="P179" s="121">
        <v>19819.699235914843</v>
      </c>
      <c r="Q179" s="120">
        <v>12183.156715426092</v>
      </c>
      <c r="R179" s="314">
        <v>28452.996864339082</v>
      </c>
      <c r="S179" s="315">
        <v>32002.855951340935</v>
      </c>
      <c r="U179" s="7" t="s">
        <v>1268</v>
      </c>
    </row>
    <row r="180" spans="1:21" s="74" customFormat="1" ht="16.5" thickBot="1">
      <c r="A180" s="50" t="s">
        <v>35</v>
      </c>
      <c r="B180" s="51">
        <f t="shared" si="9"/>
        <v>70</v>
      </c>
      <c r="C180" s="51" t="s">
        <v>3</v>
      </c>
      <c r="D180" s="51">
        <f t="shared" si="10"/>
        <v>300</v>
      </c>
      <c r="E180" s="51" t="s">
        <v>3</v>
      </c>
      <c r="F180" s="110">
        <f t="shared" si="11"/>
        <v>1300</v>
      </c>
      <c r="G180" s="51" t="s">
        <v>3</v>
      </c>
      <c r="H180" s="48">
        <v>2</v>
      </c>
      <c r="I180" s="49" t="s">
        <v>45</v>
      </c>
      <c r="J180" s="184">
        <v>70</v>
      </c>
      <c r="K180" s="113">
        <v>300</v>
      </c>
      <c r="L180" s="113">
        <v>1300</v>
      </c>
      <c r="M180" s="185">
        <v>10.892272278032143</v>
      </c>
      <c r="N180" s="75">
        <v>326.75584679348572</v>
      </c>
      <c r="O180" s="121">
        <v>16708.702499633142</v>
      </c>
      <c r="P180" s="121">
        <v>20379.504010334069</v>
      </c>
      <c r="Q180" s="120">
        <v>12667.44642723709</v>
      </c>
      <c r="R180" s="314">
        <v>29376.148926870232</v>
      </c>
      <c r="S180" s="315">
        <v>33046.950437571155</v>
      </c>
      <c r="U180" s="7" t="s">
        <v>1269</v>
      </c>
    </row>
    <row r="181" spans="1:21" s="74" customFormat="1" ht="16.5" thickBot="1">
      <c r="A181" s="50" t="s">
        <v>35</v>
      </c>
      <c r="B181" s="51">
        <f t="shared" si="9"/>
        <v>70</v>
      </c>
      <c r="C181" s="51" t="s">
        <v>3</v>
      </c>
      <c r="D181" s="51">
        <f t="shared" si="10"/>
        <v>300</v>
      </c>
      <c r="E181" s="51" t="s">
        <v>3</v>
      </c>
      <c r="F181" s="110">
        <f t="shared" si="11"/>
        <v>1350</v>
      </c>
      <c r="G181" s="51" t="s">
        <v>3</v>
      </c>
      <c r="H181" s="48">
        <v>2</v>
      </c>
      <c r="I181" s="49" t="s">
        <v>45</v>
      </c>
      <c r="J181" s="184">
        <v>70</v>
      </c>
      <c r="K181" s="113">
        <v>300</v>
      </c>
      <c r="L181" s="113">
        <v>1350</v>
      </c>
      <c r="M181" s="185">
        <v>11.279041772197857</v>
      </c>
      <c r="N181" s="75">
        <v>343.95352294051128</v>
      </c>
      <c r="O181" s="121">
        <v>17147.56485035329</v>
      </c>
      <c r="P181" s="121">
        <v>20939.308784753292</v>
      </c>
      <c r="Q181" s="120">
        <v>13151.736279441453</v>
      </c>
      <c r="R181" s="314">
        <v>30299.301129794745</v>
      </c>
      <c r="S181" s="315">
        <v>34091.045064194746</v>
      </c>
      <c r="U181" s="7" t="s">
        <v>1270</v>
      </c>
    </row>
    <row r="182" spans="1:21" s="74" customFormat="1" ht="16.5" thickBot="1">
      <c r="A182" s="50" t="s">
        <v>35</v>
      </c>
      <c r="B182" s="51">
        <f t="shared" si="9"/>
        <v>70</v>
      </c>
      <c r="C182" s="51" t="s">
        <v>3</v>
      </c>
      <c r="D182" s="51">
        <f t="shared" si="10"/>
        <v>300</v>
      </c>
      <c r="E182" s="51" t="s">
        <v>3</v>
      </c>
      <c r="F182" s="110">
        <f t="shared" si="11"/>
        <v>1400</v>
      </c>
      <c r="G182" s="51" t="s">
        <v>3</v>
      </c>
      <c r="H182" s="48">
        <v>2</v>
      </c>
      <c r="I182" s="49" t="s">
        <v>45</v>
      </c>
      <c r="J182" s="184">
        <v>70</v>
      </c>
      <c r="K182" s="113">
        <v>300</v>
      </c>
      <c r="L182" s="113">
        <v>1400</v>
      </c>
      <c r="M182" s="185">
        <v>11.665811266363573</v>
      </c>
      <c r="N182" s="75">
        <v>361.15119908753684</v>
      </c>
      <c r="O182" s="121">
        <v>17586.427201073442</v>
      </c>
      <c r="P182" s="121">
        <v>21499.113418779154</v>
      </c>
      <c r="Q182" s="120">
        <v>13636.025991252453</v>
      </c>
      <c r="R182" s="314">
        <v>31222.453192325895</v>
      </c>
      <c r="S182" s="315">
        <v>35135.13941003161</v>
      </c>
      <c r="U182" s="7" t="s">
        <v>1271</v>
      </c>
    </row>
    <row r="183" spans="1:21" s="74" customFormat="1" ht="16.5" thickBot="1">
      <c r="A183" s="50" t="s">
        <v>35</v>
      </c>
      <c r="B183" s="51">
        <f t="shared" si="9"/>
        <v>70</v>
      </c>
      <c r="C183" s="51" t="s">
        <v>3</v>
      </c>
      <c r="D183" s="51">
        <f t="shared" si="10"/>
        <v>300</v>
      </c>
      <c r="E183" s="51" t="s">
        <v>3</v>
      </c>
      <c r="F183" s="110">
        <f t="shared" si="11"/>
        <v>1450</v>
      </c>
      <c r="G183" s="51" t="s">
        <v>3</v>
      </c>
      <c r="H183" s="48">
        <v>2</v>
      </c>
      <c r="I183" s="49" t="s">
        <v>45</v>
      </c>
      <c r="J183" s="184">
        <v>70</v>
      </c>
      <c r="K183" s="113">
        <v>300</v>
      </c>
      <c r="L183" s="113">
        <v>1450</v>
      </c>
      <c r="M183" s="185">
        <v>12.052580760529285</v>
      </c>
      <c r="N183" s="75">
        <v>378.34887523456246</v>
      </c>
      <c r="O183" s="121">
        <v>18025.28955179359</v>
      </c>
      <c r="P183" s="121">
        <v>22058.91819319838</v>
      </c>
      <c r="Q183" s="120">
        <v>14120.315843456816</v>
      </c>
      <c r="R183" s="314">
        <v>32145.605395250408</v>
      </c>
      <c r="S183" s="315">
        <v>36179.234036655194</v>
      </c>
      <c r="U183" s="7" t="s">
        <v>1272</v>
      </c>
    </row>
    <row r="184" spans="1:21" s="74" customFormat="1" ht="16.5" thickBot="1">
      <c r="A184" s="50" t="s">
        <v>35</v>
      </c>
      <c r="B184" s="51">
        <f t="shared" si="9"/>
        <v>70</v>
      </c>
      <c r="C184" s="51" t="s">
        <v>3</v>
      </c>
      <c r="D184" s="51">
        <f t="shared" si="10"/>
        <v>300</v>
      </c>
      <c r="E184" s="51" t="s">
        <v>3</v>
      </c>
      <c r="F184" s="110">
        <f t="shared" si="11"/>
        <v>1500</v>
      </c>
      <c r="G184" s="51" t="s">
        <v>3</v>
      </c>
      <c r="H184" s="48">
        <v>2</v>
      </c>
      <c r="I184" s="49" t="s">
        <v>45</v>
      </c>
      <c r="J184" s="184">
        <v>70</v>
      </c>
      <c r="K184" s="113">
        <v>300</v>
      </c>
      <c r="L184" s="113">
        <v>1500</v>
      </c>
      <c r="M184" s="185">
        <v>12.583915147494999</v>
      </c>
      <c r="N184" s="75">
        <v>395.54655138158796</v>
      </c>
      <c r="O184" s="121">
        <v>19142.799237109128</v>
      </c>
      <c r="P184" s="121">
        <v>23213.148604835969</v>
      </c>
      <c r="Q184" s="120">
        <v>14604.605555267815</v>
      </c>
      <c r="R184" s="314">
        <v>33747.404792376939</v>
      </c>
      <c r="S184" s="315">
        <v>37817.754160103781</v>
      </c>
      <c r="U184" s="7" t="s">
        <v>1273</v>
      </c>
    </row>
    <row r="185" spans="1:21" s="74" customFormat="1" ht="16.5" thickBot="1">
      <c r="A185" s="50" t="s">
        <v>35</v>
      </c>
      <c r="B185" s="51">
        <f t="shared" si="9"/>
        <v>70</v>
      </c>
      <c r="C185" s="51" t="s">
        <v>3</v>
      </c>
      <c r="D185" s="51">
        <f t="shared" si="10"/>
        <v>300</v>
      </c>
      <c r="E185" s="51" t="s">
        <v>3</v>
      </c>
      <c r="F185" s="110">
        <f t="shared" si="11"/>
        <v>1550</v>
      </c>
      <c r="G185" s="51" t="s">
        <v>3</v>
      </c>
      <c r="H185" s="48">
        <v>2</v>
      </c>
      <c r="I185" s="49" t="s">
        <v>45</v>
      </c>
      <c r="J185" s="184">
        <v>70</v>
      </c>
      <c r="K185" s="113">
        <v>300</v>
      </c>
      <c r="L185" s="113">
        <v>1550</v>
      </c>
      <c r="M185" s="185">
        <v>12.970684641660716</v>
      </c>
      <c r="N185" s="75">
        <v>412.74422752861352</v>
      </c>
      <c r="O185" s="121">
        <v>19581.66158782928</v>
      </c>
      <c r="P185" s="121">
        <v>23772.953379255196</v>
      </c>
      <c r="Q185" s="120">
        <v>15088.895407472179</v>
      </c>
      <c r="R185" s="314">
        <v>34670.556995301456</v>
      </c>
      <c r="S185" s="315">
        <v>38861.848786727372</v>
      </c>
      <c r="U185" s="7" t="s">
        <v>1274</v>
      </c>
    </row>
    <row r="186" spans="1:21" s="74" customFormat="1" ht="16.5" thickBot="1">
      <c r="A186" s="47" t="s">
        <v>35</v>
      </c>
      <c r="B186" s="48">
        <f t="shared" si="9"/>
        <v>70</v>
      </c>
      <c r="C186" s="48" t="s">
        <v>3</v>
      </c>
      <c r="D186" s="48">
        <f t="shared" si="10"/>
        <v>300</v>
      </c>
      <c r="E186" s="48" t="s">
        <v>3</v>
      </c>
      <c r="F186" s="110">
        <f t="shared" si="11"/>
        <v>1600</v>
      </c>
      <c r="G186" s="48" t="s">
        <v>3</v>
      </c>
      <c r="H186" s="48">
        <v>2</v>
      </c>
      <c r="I186" s="49" t="s">
        <v>45</v>
      </c>
      <c r="J186" s="184">
        <v>70</v>
      </c>
      <c r="K186" s="113">
        <v>300</v>
      </c>
      <c r="L186" s="113">
        <v>1600</v>
      </c>
      <c r="M186" s="185">
        <v>13.357454135826428</v>
      </c>
      <c r="N186" s="75">
        <v>429.94190367563908</v>
      </c>
      <c r="O186" s="121">
        <v>20020.523938549428</v>
      </c>
      <c r="P186" s="121">
        <v>24332.758153674418</v>
      </c>
      <c r="Q186" s="120">
        <v>15573.185119283178</v>
      </c>
      <c r="R186" s="314">
        <v>35593.709057832602</v>
      </c>
      <c r="S186" s="315">
        <v>39905.943272957593</v>
      </c>
      <c r="U186" s="7" t="s">
        <v>1275</v>
      </c>
    </row>
    <row r="187" spans="1:21" s="74" customFormat="1" ht="16.5" thickBot="1">
      <c r="A187" s="50" t="s">
        <v>35</v>
      </c>
      <c r="B187" s="51">
        <f t="shared" si="9"/>
        <v>70</v>
      </c>
      <c r="C187" s="51" t="s">
        <v>3</v>
      </c>
      <c r="D187" s="51">
        <f t="shared" si="10"/>
        <v>300</v>
      </c>
      <c r="E187" s="51" t="s">
        <v>3</v>
      </c>
      <c r="F187" s="110">
        <f t="shared" si="11"/>
        <v>1650</v>
      </c>
      <c r="G187" s="51" t="s">
        <v>3</v>
      </c>
      <c r="H187" s="48">
        <v>2</v>
      </c>
      <c r="I187" s="49" t="s">
        <v>45</v>
      </c>
      <c r="J187" s="184">
        <v>70</v>
      </c>
      <c r="K187" s="113">
        <v>300</v>
      </c>
      <c r="L187" s="113">
        <v>1650</v>
      </c>
      <c r="M187" s="185">
        <v>13.744223629992144</v>
      </c>
      <c r="N187" s="75">
        <v>447.1395798226647</v>
      </c>
      <c r="O187" s="121">
        <v>20459.38628926958</v>
      </c>
      <c r="P187" s="121">
        <v>24892.562787700281</v>
      </c>
      <c r="Q187" s="120">
        <v>16057.474971487542</v>
      </c>
      <c r="R187" s="314">
        <v>36516.861260757119</v>
      </c>
      <c r="S187" s="315">
        <v>40950.03775918782</v>
      </c>
      <c r="U187" s="7" t="s">
        <v>1276</v>
      </c>
    </row>
    <row r="188" spans="1:21" s="74" customFormat="1" ht="16.5" thickBot="1">
      <c r="A188" s="50" t="s">
        <v>35</v>
      </c>
      <c r="B188" s="51">
        <f t="shared" si="9"/>
        <v>70</v>
      </c>
      <c r="C188" s="51" t="s">
        <v>3</v>
      </c>
      <c r="D188" s="51">
        <f t="shared" si="10"/>
        <v>300</v>
      </c>
      <c r="E188" s="51" t="s">
        <v>3</v>
      </c>
      <c r="F188" s="110">
        <f t="shared" si="11"/>
        <v>1700</v>
      </c>
      <c r="G188" s="51" t="s">
        <v>3</v>
      </c>
      <c r="H188" s="48">
        <v>2</v>
      </c>
      <c r="I188" s="49" t="s">
        <v>45</v>
      </c>
      <c r="J188" s="184">
        <v>70</v>
      </c>
      <c r="K188" s="113">
        <v>300</v>
      </c>
      <c r="L188" s="113">
        <v>1700</v>
      </c>
      <c r="M188" s="185">
        <v>14.130993124157857</v>
      </c>
      <c r="N188" s="75">
        <v>464.33725596969026</v>
      </c>
      <c r="O188" s="121">
        <v>20898.248639989728</v>
      </c>
      <c r="P188" s="121">
        <v>25452.367562119507</v>
      </c>
      <c r="Q188" s="120">
        <v>16541.764683298541</v>
      </c>
      <c r="R188" s="314">
        <v>37440.013323288265</v>
      </c>
      <c r="S188" s="315">
        <v>41994.132245418048</v>
      </c>
      <c r="U188" s="7" t="s">
        <v>1277</v>
      </c>
    </row>
    <row r="189" spans="1:21" s="74" customFormat="1" ht="16.5" thickBot="1">
      <c r="A189" s="50" t="s">
        <v>35</v>
      </c>
      <c r="B189" s="51">
        <f t="shared" si="9"/>
        <v>70</v>
      </c>
      <c r="C189" s="51" t="s">
        <v>3</v>
      </c>
      <c r="D189" s="51">
        <f t="shared" si="10"/>
        <v>300</v>
      </c>
      <c r="E189" s="51" t="s">
        <v>3</v>
      </c>
      <c r="F189" s="110">
        <f t="shared" si="11"/>
        <v>1750</v>
      </c>
      <c r="G189" s="51" t="s">
        <v>3</v>
      </c>
      <c r="H189" s="48">
        <v>2</v>
      </c>
      <c r="I189" s="49" t="s">
        <v>45</v>
      </c>
      <c r="J189" s="184">
        <v>70</v>
      </c>
      <c r="K189" s="113">
        <v>300</v>
      </c>
      <c r="L189" s="113">
        <v>1750</v>
      </c>
      <c r="M189" s="185">
        <v>14.517762618323571</v>
      </c>
      <c r="N189" s="75">
        <v>481.53493211671577</v>
      </c>
      <c r="O189" s="121">
        <v>21337.11099070988</v>
      </c>
      <c r="P189" s="121">
        <v>26012.17233653873</v>
      </c>
      <c r="Q189" s="120">
        <v>17026.054535502903</v>
      </c>
      <c r="R189" s="314">
        <v>38363.165526212782</v>
      </c>
      <c r="S189" s="315">
        <v>43038.226872041632</v>
      </c>
      <c r="U189" s="7" t="s">
        <v>1278</v>
      </c>
    </row>
    <row r="190" spans="1:21" s="74" customFormat="1" ht="16.5" thickBot="1">
      <c r="A190" s="50" t="s">
        <v>35</v>
      </c>
      <c r="B190" s="51">
        <f t="shared" si="9"/>
        <v>70</v>
      </c>
      <c r="C190" s="51" t="s">
        <v>3</v>
      </c>
      <c r="D190" s="51">
        <f t="shared" si="10"/>
        <v>300</v>
      </c>
      <c r="E190" s="51" t="s">
        <v>3</v>
      </c>
      <c r="F190" s="110">
        <f t="shared" si="11"/>
        <v>1800</v>
      </c>
      <c r="G190" s="51" t="s">
        <v>3</v>
      </c>
      <c r="H190" s="48">
        <v>2</v>
      </c>
      <c r="I190" s="49" t="s">
        <v>45</v>
      </c>
      <c r="J190" s="184">
        <v>70</v>
      </c>
      <c r="K190" s="113">
        <v>300</v>
      </c>
      <c r="L190" s="113">
        <v>1800</v>
      </c>
      <c r="M190" s="185">
        <v>14.904532112489289</v>
      </c>
      <c r="N190" s="75">
        <v>498.73260826374133</v>
      </c>
      <c r="O190" s="121">
        <v>21775.973341430028</v>
      </c>
      <c r="P190" s="121">
        <v>26571.976970564592</v>
      </c>
      <c r="Q190" s="120">
        <v>17510.344247313904</v>
      </c>
      <c r="R190" s="314">
        <v>39286.317588743928</v>
      </c>
      <c r="S190" s="315">
        <v>44082.321217878496</v>
      </c>
      <c r="U190" s="7" t="s">
        <v>1279</v>
      </c>
    </row>
    <row r="191" spans="1:21" s="74" customFormat="1" ht="16.5" thickBot="1">
      <c r="A191" s="50" t="s">
        <v>35</v>
      </c>
      <c r="B191" s="51">
        <f t="shared" si="9"/>
        <v>70</v>
      </c>
      <c r="C191" s="51" t="s">
        <v>3</v>
      </c>
      <c r="D191" s="51">
        <f t="shared" si="10"/>
        <v>300</v>
      </c>
      <c r="E191" s="51" t="s">
        <v>3</v>
      </c>
      <c r="F191" s="110">
        <f t="shared" si="11"/>
        <v>1850</v>
      </c>
      <c r="G191" s="51" t="s">
        <v>3</v>
      </c>
      <c r="H191" s="48">
        <v>2</v>
      </c>
      <c r="I191" s="49" t="s">
        <v>45</v>
      </c>
      <c r="J191" s="184">
        <v>70</v>
      </c>
      <c r="K191" s="113">
        <v>300</v>
      </c>
      <c r="L191" s="113">
        <v>1850</v>
      </c>
      <c r="M191" s="185">
        <v>15.291301606655001</v>
      </c>
      <c r="N191" s="75">
        <v>515.93028441076694</v>
      </c>
      <c r="O191" s="121">
        <v>22214.83569215018</v>
      </c>
      <c r="P191" s="121">
        <v>27131.781744983818</v>
      </c>
      <c r="Q191" s="120">
        <v>17994.634099518265</v>
      </c>
      <c r="R191" s="314">
        <v>40209.469791668445</v>
      </c>
      <c r="S191" s="315">
        <v>45126.415844502088</v>
      </c>
      <c r="U191" s="7" t="s">
        <v>1280</v>
      </c>
    </row>
    <row r="192" spans="1:21" s="74" customFormat="1" ht="16.5" thickBot="1">
      <c r="A192" s="50" t="s">
        <v>35</v>
      </c>
      <c r="B192" s="51">
        <f t="shared" si="9"/>
        <v>70</v>
      </c>
      <c r="C192" s="51" t="s">
        <v>3</v>
      </c>
      <c r="D192" s="51">
        <f t="shared" si="10"/>
        <v>300</v>
      </c>
      <c r="E192" s="51" t="s">
        <v>3</v>
      </c>
      <c r="F192" s="110">
        <f t="shared" si="11"/>
        <v>1900</v>
      </c>
      <c r="G192" s="51" t="s">
        <v>3</v>
      </c>
      <c r="H192" s="48">
        <v>2</v>
      </c>
      <c r="I192" s="49" t="s">
        <v>45</v>
      </c>
      <c r="J192" s="184">
        <v>70</v>
      </c>
      <c r="K192" s="113">
        <v>300</v>
      </c>
      <c r="L192" s="113">
        <v>1900</v>
      </c>
      <c r="M192" s="185">
        <v>15.678071100820716</v>
      </c>
      <c r="N192" s="75">
        <v>533.12796055779245</v>
      </c>
      <c r="O192" s="121">
        <v>22653.698042870332</v>
      </c>
      <c r="P192" s="121">
        <v>27691.586519403045</v>
      </c>
      <c r="Q192" s="120">
        <v>18478.923811329267</v>
      </c>
      <c r="R192" s="314">
        <v>41132.621854199599</v>
      </c>
      <c r="S192" s="315">
        <v>46170.510330732315</v>
      </c>
      <c r="U192" s="7" t="s">
        <v>1281</v>
      </c>
    </row>
    <row r="193" spans="1:21" s="74" customFormat="1" ht="16.5" thickBot="1">
      <c r="A193" s="50" t="s">
        <v>35</v>
      </c>
      <c r="B193" s="51">
        <f t="shared" si="9"/>
        <v>70</v>
      </c>
      <c r="C193" s="51" t="s">
        <v>3</v>
      </c>
      <c r="D193" s="51">
        <f t="shared" si="10"/>
        <v>300</v>
      </c>
      <c r="E193" s="51" t="s">
        <v>3</v>
      </c>
      <c r="F193" s="110">
        <f t="shared" si="11"/>
        <v>1950</v>
      </c>
      <c r="G193" s="51" t="s">
        <v>3</v>
      </c>
      <c r="H193" s="48">
        <v>2</v>
      </c>
      <c r="I193" s="49" t="s">
        <v>45</v>
      </c>
      <c r="J193" s="184">
        <v>70</v>
      </c>
      <c r="K193" s="113">
        <v>300</v>
      </c>
      <c r="L193" s="113">
        <v>1950</v>
      </c>
      <c r="M193" s="185">
        <v>16.104090594986427</v>
      </c>
      <c r="N193" s="75">
        <v>550.32563670481807</v>
      </c>
      <c r="O193" s="121">
        <v>23138.432240067006</v>
      </c>
      <c r="P193" s="121">
        <v>28295.864822408297</v>
      </c>
      <c r="Q193" s="120">
        <v>18963.213663533628</v>
      </c>
      <c r="R193" s="314">
        <v>42101.645903600634</v>
      </c>
      <c r="S193" s="315">
        <v>47259.078485941922</v>
      </c>
      <c r="U193" s="7" t="s">
        <v>1282</v>
      </c>
    </row>
    <row r="194" spans="1:21" s="74" customFormat="1" ht="16.5" thickBot="1">
      <c r="A194" s="50" t="s">
        <v>35</v>
      </c>
      <c r="B194" s="51">
        <f t="shared" si="9"/>
        <v>70</v>
      </c>
      <c r="C194" s="51" t="s">
        <v>3</v>
      </c>
      <c r="D194" s="51">
        <f t="shared" si="10"/>
        <v>300</v>
      </c>
      <c r="E194" s="51" t="s">
        <v>3</v>
      </c>
      <c r="F194" s="110">
        <f t="shared" si="11"/>
        <v>2000</v>
      </c>
      <c r="G194" s="51" t="s">
        <v>3</v>
      </c>
      <c r="H194" s="48">
        <v>2</v>
      </c>
      <c r="I194" s="49" t="s">
        <v>45</v>
      </c>
      <c r="J194" s="184">
        <v>70</v>
      </c>
      <c r="K194" s="113">
        <v>300</v>
      </c>
      <c r="L194" s="113">
        <v>2000</v>
      </c>
      <c r="M194" s="185">
        <v>16.582422489152144</v>
      </c>
      <c r="N194" s="75">
        <v>567.52331285184357</v>
      </c>
      <c r="O194" s="121">
        <v>23807.837620002381</v>
      </c>
      <c r="P194" s="121">
        <v>29156.980006311307</v>
      </c>
      <c r="Q194" s="120">
        <v>19447.50337534463</v>
      </c>
      <c r="R194" s="314">
        <v>43255.340995347011</v>
      </c>
      <c r="S194" s="315">
        <v>48604.48338165594</v>
      </c>
      <c r="U194" s="7" t="s">
        <v>1283</v>
      </c>
    </row>
    <row r="195" spans="1:21" s="74" customFormat="1" ht="16.5" thickBot="1">
      <c r="A195" s="50" t="s">
        <v>35</v>
      </c>
      <c r="B195" s="51">
        <f t="shared" si="9"/>
        <v>70</v>
      </c>
      <c r="C195" s="51" t="s">
        <v>3</v>
      </c>
      <c r="D195" s="51">
        <f t="shared" si="10"/>
        <v>300</v>
      </c>
      <c r="E195" s="51" t="s">
        <v>3</v>
      </c>
      <c r="F195" s="110">
        <f t="shared" si="11"/>
        <v>2050</v>
      </c>
      <c r="G195" s="51" t="s">
        <v>3</v>
      </c>
      <c r="H195" s="48">
        <v>2</v>
      </c>
      <c r="I195" s="49" t="s">
        <v>45</v>
      </c>
      <c r="J195" s="184">
        <v>70</v>
      </c>
      <c r="K195" s="113">
        <v>300</v>
      </c>
      <c r="L195" s="113">
        <v>2050</v>
      </c>
      <c r="M195" s="185">
        <v>16.969191983317856</v>
      </c>
      <c r="N195" s="75">
        <v>584.72098899886919</v>
      </c>
      <c r="O195" s="121">
        <v>24246.69997072253</v>
      </c>
      <c r="P195" s="121">
        <v>29716.784780730533</v>
      </c>
      <c r="Q195" s="120">
        <v>19931.793227548991</v>
      </c>
      <c r="R195" s="314">
        <v>44178.493198271521</v>
      </c>
      <c r="S195" s="315">
        <v>49648.578008279525</v>
      </c>
      <c r="U195" s="7" t="s">
        <v>1284</v>
      </c>
    </row>
    <row r="196" spans="1:21" s="74" customFormat="1" ht="16.5" thickBot="1">
      <c r="A196" s="47" t="s">
        <v>35</v>
      </c>
      <c r="B196" s="48">
        <f t="shared" si="9"/>
        <v>70</v>
      </c>
      <c r="C196" s="48" t="s">
        <v>3</v>
      </c>
      <c r="D196" s="48">
        <f t="shared" si="10"/>
        <v>300</v>
      </c>
      <c r="E196" s="48" t="s">
        <v>3</v>
      </c>
      <c r="F196" s="110">
        <f t="shared" si="11"/>
        <v>2100</v>
      </c>
      <c r="G196" s="48" t="s">
        <v>3</v>
      </c>
      <c r="H196" s="48">
        <v>2</v>
      </c>
      <c r="I196" s="49" t="s">
        <v>45</v>
      </c>
      <c r="J196" s="184">
        <v>70</v>
      </c>
      <c r="K196" s="113">
        <v>300</v>
      </c>
      <c r="L196" s="113">
        <v>2100</v>
      </c>
      <c r="M196" s="185">
        <v>17.355961477483572</v>
      </c>
      <c r="N196" s="75">
        <v>601.91866514589469</v>
      </c>
      <c r="O196" s="121">
        <v>24685.562321442678</v>
      </c>
      <c r="P196" s="121">
        <v>30276.58955514976</v>
      </c>
      <c r="Q196" s="120">
        <v>20416.082939359992</v>
      </c>
      <c r="R196" s="314">
        <v>45101.645260802674</v>
      </c>
      <c r="S196" s="315">
        <v>50692.672494509752</v>
      </c>
      <c r="U196" s="7" t="s">
        <v>1285</v>
      </c>
    </row>
    <row r="197" spans="1:21" s="74" customFormat="1" ht="16.5" thickBot="1">
      <c r="A197" s="50" t="s">
        <v>35</v>
      </c>
      <c r="B197" s="51">
        <f t="shared" si="9"/>
        <v>70</v>
      </c>
      <c r="C197" s="51" t="s">
        <v>3</v>
      </c>
      <c r="D197" s="51">
        <f t="shared" si="10"/>
        <v>300</v>
      </c>
      <c r="E197" s="51" t="s">
        <v>3</v>
      </c>
      <c r="F197" s="110">
        <f t="shared" si="11"/>
        <v>2150</v>
      </c>
      <c r="G197" s="51" t="s">
        <v>3</v>
      </c>
      <c r="H197" s="48">
        <v>2</v>
      </c>
      <c r="I197" s="49" t="s">
        <v>45</v>
      </c>
      <c r="J197" s="184">
        <v>70</v>
      </c>
      <c r="K197" s="113">
        <v>300</v>
      </c>
      <c r="L197" s="113">
        <v>2150</v>
      </c>
      <c r="M197" s="185">
        <v>17.742730971649287</v>
      </c>
      <c r="N197" s="75">
        <v>619.11634129292031</v>
      </c>
      <c r="O197" s="121">
        <v>25124.424672162833</v>
      </c>
      <c r="P197" s="121">
        <v>30836.394189175619</v>
      </c>
      <c r="Q197" s="120">
        <v>20900.372791564354</v>
      </c>
      <c r="R197" s="314">
        <v>46024.797463727184</v>
      </c>
      <c r="S197" s="315">
        <v>51736.766980739972</v>
      </c>
      <c r="U197" s="7" t="s">
        <v>1286</v>
      </c>
    </row>
    <row r="198" spans="1:21" s="74" customFormat="1" ht="16.5" thickBot="1">
      <c r="A198" s="50" t="s">
        <v>35</v>
      </c>
      <c r="B198" s="51">
        <f t="shared" si="9"/>
        <v>70</v>
      </c>
      <c r="C198" s="51" t="s">
        <v>3</v>
      </c>
      <c r="D198" s="51">
        <f t="shared" si="10"/>
        <v>300</v>
      </c>
      <c r="E198" s="51" t="s">
        <v>3</v>
      </c>
      <c r="F198" s="110">
        <f t="shared" si="11"/>
        <v>2200</v>
      </c>
      <c r="G198" s="51" t="s">
        <v>3</v>
      </c>
      <c r="H198" s="48">
        <v>2</v>
      </c>
      <c r="I198" s="49" t="s">
        <v>45</v>
      </c>
      <c r="J198" s="184">
        <v>70</v>
      </c>
      <c r="K198" s="113">
        <v>300</v>
      </c>
      <c r="L198" s="113">
        <v>2200</v>
      </c>
      <c r="M198" s="185">
        <v>18.129500465814999</v>
      </c>
      <c r="N198" s="75">
        <v>636.31401743994593</v>
      </c>
      <c r="O198" s="121">
        <v>25563.287022882982</v>
      </c>
      <c r="P198" s="121">
        <v>31396.198963594845</v>
      </c>
      <c r="Q198" s="120">
        <v>21384.662503375355</v>
      </c>
      <c r="R198" s="314">
        <v>46947.949526258337</v>
      </c>
      <c r="S198" s="315">
        <v>52780.8614669702</v>
      </c>
      <c r="U198" s="7" t="s">
        <v>1287</v>
      </c>
    </row>
    <row r="199" spans="1:21" s="74" customFormat="1" ht="16.5" thickBot="1">
      <c r="A199" s="50" t="s">
        <v>35</v>
      </c>
      <c r="B199" s="51">
        <f t="shared" si="9"/>
        <v>70</v>
      </c>
      <c r="C199" s="51" t="s">
        <v>3</v>
      </c>
      <c r="D199" s="51">
        <f t="shared" si="10"/>
        <v>300</v>
      </c>
      <c r="E199" s="51" t="s">
        <v>3</v>
      </c>
      <c r="F199" s="110">
        <f t="shared" si="11"/>
        <v>2250</v>
      </c>
      <c r="G199" s="51" t="s">
        <v>3</v>
      </c>
      <c r="H199" s="48">
        <v>2</v>
      </c>
      <c r="I199" s="49" t="s">
        <v>45</v>
      </c>
      <c r="J199" s="184">
        <v>70</v>
      </c>
      <c r="K199" s="113">
        <v>300</v>
      </c>
      <c r="L199" s="113">
        <v>2250</v>
      </c>
      <c r="M199" s="185">
        <v>18.516269959980718</v>
      </c>
      <c r="N199" s="75">
        <v>653.51169358697143</v>
      </c>
      <c r="O199" s="121">
        <v>26002.14937360313</v>
      </c>
      <c r="P199" s="121">
        <v>31956.003597620707</v>
      </c>
      <c r="Q199" s="120">
        <v>21868.952355579717</v>
      </c>
      <c r="R199" s="314">
        <v>47871.101729182847</v>
      </c>
      <c r="S199" s="315">
        <v>53824.95595320042</v>
      </c>
      <c r="U199" s="7" t="s">
        <v>1288</v>
      </c>
    </row>
    <row r="200" spans="1:21" s="74" customFormat="1" ht="16.5" thickBot="1">
      <c r="A200" s="50" t="s">
        <v>35</v>
      </c>
      <c r="B200" s="51">
        <f t="shared" si="9"/>
        <v>70</v>
      </c>
      <c r="C200" s="51" t="s">
        <v>3</v>
      </c>
      <c r="D200" s="51">
        <f t="shared" si="10"/>
        <v>300</v>
      </c>
      <c r="E200" s="51" t="s">
        <v>3</v>
      </c>
      <c r="F200" s="110">
        <f t="shared" si="11"/>
        <v>2300</v>
      </c>
      <c r="G200" s="51" t="s">
        <v>3</v>
      </c>
      <c r="H200" s="48">
        <v>2</v>
      </c>
      <c r="I200" s="49" t="s">
        <v>45</v>
      </c>
      <c r="J200" s="184">
        <v>70</v>
      </c>
      <c r="K200" s="113">
        <v>300</v>
      </c>
      <c r="L200" s="113">
        <v>2300</v>
      </c>
      <c r="M200" s="185">
        <v>18.90303945414643</v>
      </c>
      <c r="N200" s="75">
        <v>670.70936973399694</v>
      </c>
      <c r="O200" s="121">
        <v>26441.011724323278</v>
      </c>
      <c r="P200" s="121">
        <v>32515.80837203993</v>
      </c>
      <c r="Q200" s="120">
        <v>22353.242067390718</v>
      </c>
      <c r="R200" s="314">
        <v>48794.253791714</v>
      </c>
      <c r="S200" s="315">
        <v>54869.050439430648</v>
      </c>
      <c r="U200" s="7" t="s">
        <v>1289</v>
      </c>
    </row>
    <row r="201" spans="1:21" s="74" customFormat="1" ht="16.5" thickBot="1">
      <c r="A201" s="50" t="s">
        <v>35</v>
      </c>
      <c r="B201" s="51">
        <f t="shared" si="9"/>
        <v>70</v>
      </c>
      <c r="C201" s="51" t="s">
        <v>3</v>
      </c>
      <c r="D201" s="51">
        <f t="shared" si="10"/>
        <v>300</v>
      </c>
      <c r="E201" s="51" t="s">
        <v>3</v>
      </c>
      <c r="F201" s="110">
        <f t="shared" si="11"/>
        <v>2350</v>
      </c>
      <c r="G201" s="51" t="s">
        <v>3</v>
      </c>
      <c r="H201" s="48">
        <v>2</v>
      </c>
      <c r="I201" s="49" t="s">
        <v>45</v>
      </c>
      <c r="J201" s="184">
        <v>70</v>
      </c>
      <c r="K201" s="113">
        <v>300</v>
      </c>
      <c r="L201" s="113">
        <v>2350</v>
      </c>
      <c r="M201" s="185">
        <v>19.289808948312142</v>
      </c>
      <c r="N201" s="75">
        <v>687.90704588102255</v>
      </c>
      <c r="O201" s="121">
        <v>26879.874075043434</v>
      </c>
      <c r="P201" s="121">
        <v>33075.61314645916</v>
      </c>
      <c r="Q201" s="120">
        <v>22837.53191959508</v>
      </c>
      <c r="R201" s="314">
        <v>49717.40599463851</v>
      </c>
      <c r="S201" s="315">
        <v>55913.14506605424</v>
      </c>
      <c r="U201" s="7" t="s">
        <v>1290</v>
      </c>
    </row>
    <row r="202" spans="1:21" s="74" customFormat="1" ht="16.5" thickBot="1">
      <c r="A202" s="50" t="s">
        <v>35</v>
      </c>
      <c r="B202" s="51">
        <f t="shared" si="9"/>
        <v>70</v>
      </c>
      <c r="C202" s="51" t="s">
        <v>3</v>
      </c>
      <c r="D202" s="51">
        <f t="shared" si="10"/>
        <v>300</v>
      </c>
      <c r="E202" s="51" t="s">
        <v>3</v>
      </c>
      <c r="F202" s="110">
        <f t="shared" si="11"/>
        <v>2400</v>
      </c>
      <c r="G202" s="51" t="s">
        <v>3</v>
      </c>
      <c r="H202" s="48">
        <v>2</v>
      </c>
      <c r="I202" s="49" t="s">
        <v>45</v>
      </c>
      <c r="J202" s="184">
        <v>70</v>
      </c>
      <c r="K202" s="113">
        <v>300</v>
      </c>
      <c r="L202" s="113">
        <v>2400</v>
      </c>
      <c r="M202" s="185">
        <v>19.676578442477858</v>
      </c>
      <c r="N202" s="75">
        <v>705.10472202804806</v>
      </c>
      <c r="O202" s="121">
        <v>27318.736425763582</v>
      </c>
      <c r="P202" s="121">
        <v>33635.417780485019</v>
      </c>
      <c r="Q202" s="120">
        <v>23321.821631406081</v>
      </c>
      <c r="R202" s="314">
        <v>50640.558057169663</v>
      </c>
      <c r="S202" s="315">
        <v>56957.239411891103</v>
      </c>
      <c r="U202" s="7" t="s">
        <v>1291</v>
      </c>
    </row>
    <row r="203" spans="1:21" s="74" customFormat="1" ht="16.5" thickBot="1">
      <c r="A203" s="50" t="s">
        <v>35</v>
      </c>
      <c r="B203" s="51">
        <f t="shared" si="9"/>
        <v>70</v>
      </c>
      <c r="C203" s="51" t="s">
        <v>3</v>
      </c>
      <c r="D203" s="51">
        <f t="shared" si="10"/>
        <v>300</v>
      </c>
      <c r="E203" s="51" t="s">
        <v>3</v>
      </c>
      <c r="F203" s="110">
        <f t="shared" si="11"/>
        <v>2450</v>
      </c>
      <c r="G203" s="51" t="s">
        <v>3</v>
      </c>
      <c r="H203" s="48">
        <v>2</v>
      </c>
      <c r="I203" s="49" t="s">
        <v>45</v>
      </c>
      <c r="J203" s="184">
        <v>70</v>
      </c>
      <c r="K203" s="113">
        <v>300</v>
      </c>
      <c r="L203" s="113">
        <v>2450</v>
      </c>
      <c r="M203" s="185">
        <v>20.207912829443572</v>
      </c>
      <c r="N203" s="75">
        <v>722.30239817507368</v>
      </c>
      <c r="O203" s="121">
        <v>28436.246111079119</v>
      </c>
      <c r="P203" s="121">
        <v>34789.648332515972</v>
      </c>
      <c r="Q203" s="120">
        <v>23806.111483610443</v>
      </c>
      <c r="R203" s="314">
        <v>52242.357594689558</v>
      </c>
      <c r="S203" s="315">
        <v>58595.759816126418</v>
      </c>
      <c r="U203" s="7" t="s">
        <v>1292</v>
      </c>
    </row>
    <row r="204" spans="1:21" s="74" customFormat="1" ht="16.5" thickBot="1">
      <c r="A204" s="50" t="s">
        <v>35</v>
      </c>
      <c r="B204" s="51">
        <f t="shared" si="9"/>
        <v>70</v>
      </c>
      <c r="C204" s="51" t="s">
        <v>3</v>
      </c>
      <c r="D204" s="51">
        <f t="shared" si="10"/>
        <v>300</v>
      </c>
      <c r="E204" s="51" t="s">
        <v>3</v>
      </c>
      <c r="F204" s="110">
        <f t="shared" si="11"/>
        <v>2500</v>
      </c>
      <c r="G204" s="51" t="s">
        <v>3</v>
      </c>
      <c r="H204" s="48">
        <v>2</v>
      </c>
      <c r="I204" s="49" t="s">
        <v>45</v>
      </c>
      <c r="J204" s="184">
        <v>70</v>
      </c>
      <c r="K204" s="113">
        <v>300</v>
      </c>
      <c r="L204" s="113">
        <v>2500</v>
      </c>
      <c r="M204" s="185">
        <v>20.594682323609284</v>
      </c>
      <c r="N204" s="75">
        <v>739.50007432209918</v>
      </c>
      <c r="O204" s="121">
        <v>28875.108461799267</v>
      </c>
      <c r="P204" s="121">
        <v>35349.45296654183</v>
      </c>
      <c r="Q204" s="120">
        <v>24290.401195421444</v>
      </c>
      <c r="R204" s="314">
        <v>53165.509657220711</v>
      </c>
      <c r="S204" s="315">
        <v>59639.854161963274</v>
      </c>
      <c r="U204" s="7" t="s">
        <v>1293</v>
      </c>
    </row>
    <row r="205" spans="1:21" s="74" customFormat="1" ht="16.5" thickBot="1">
      <c r="A205" s="50" t="s">
        <v>35</v>
      </c>
      <c r="B205" s="51">
        <f t="shared" si="9"/>
        <v>70</v>
      </c>
      <c r="C205" s="51" t="s">
        <v>3</v>
      </c>
      <c r="D205" s="51">
        <f t="shared" si="10"/>
        <v>300</v>
      </c>
      <c r="E205" s="51" t="s">
        <v>3</v>
      </c>
      <c r="F205" s="110">
        <f t="shared" si="11"/>
        <v>2550</v>
      </c>
      <c r="G205" s="51" t="s">
        <v>3</v>
      </c>
      <c r="H205" s="48">
        <v>2</v>
      </c>
      <c r="I205" s="49" t="s">
        <v>45</v>
      </c>
      <c r="J205" s="184">
        <v>70</v>
      </c>
      <c r="K205" s="113">
        <v>300</v>
      </c>
      <c r="L205" s="113">
        <v>2550</v>
      </c>
      <c r="M205" s="185">
        <v>20.981451817775</v>
      </c>
      <c r="N205" s="75">
        <v>756.69775046912491</v>
      </c>
      <c r="O205" s="121">
        <v>29313.970812519416</v>
      </c>
      <c r="P205" s="121">
        <v>35909.257740961053</v>
      </c>
      <c r="Q205" s="120">
        <v>24774.691047625805</v>
      </c>
      <c r="R205" s="314">
        <v>54088.661860145221</v>
      </c>
      <c r="S205" s="315">
        <v>60683.948788586858</v>
      </c>
      <c r="U205" s="7" t="s">
        <v>1294</v>
      </c>
    </row>
    <row r="206" spans="1:21" s="74" customFormat="1" ht="16.5" thickBot="1">
      <c r="A206" s="47" t="s">
        <v>35</v>
      </c>
      <c r="B206" s="48">
        <f t="shared" si="9"/>
        <v>70</v>
      </c>
      <c r="C206" s="48" t="s">
        <v>3</v>
      </c>
      <c r="D206" s="48">
        <f t="shared" si="10"/>
        <v>300</v>
      </c>
      <c r="E206" s="48" t="s">
        <v>3</v>
      </c>
      <c r="F206" s="110">
        <f t="shared" si="11"/>
        <v>2600</v>
      </c>
      <c r="G206" s="48" t="s">
        <v>3</v>
      </c>
      <c r="H206" s="48">
        <v>2</v>
      </c>
      <c r="I206" s="49" t="s">
        <v>45</v>
      </c>
      <c r="J206" s="184">
        <v>70</v>
      </c>
      <c r="K206" s="113">
        <v>300</v>
      </c>
      <c r="L206" s="113">
        <v>2600</v>
      </c>
      <c r="M206" s="185">
        <v>21.368221311940715</v>
      </c>
      <c r="N206" s="75">
        <v>773.89542661615042</v>
      </c>
      <c r="O206" s="121">
        <v>29752.833163239571</v>
      </c>
      <c r="P206" s="121">
        <v>36469.062515380283</v>
      </c>
      <c r="Q206" s="120">
        <v>25258.980759436807</v>
      </c>
      <c r="R206" s="314">
        <v>55011.813922676374</v>
      </c>
      <c r="S206" s="315">
        <v>61728.043274817086</v>
      </c>
      <c r="U206" s="7" t="s">
        <v>1295</v>
      </c>
    </row>
    <row r="207" spans="1:21" s="74" customFormat="1" ht="16.5" thickBot="1">
      <c r="A207" s="50" t="s">
        <v>35</v>
      </c>
      <c r="B207" s="51">
        <f t="shared" si="9"/>
        <v>70</v>
      </c>
      <c r="C207" s="51" t="s">
        <v>3</v>
      </c>
      <c r="D207" s="51">
        <f t="shared" si="10"/>
        <v>300</v>
      </c>
      <c r="E207" s="51" t="s">
        <v>3</v>
      </c>
      <c r="F207" s="110">
        <f t="shared" si="11"/>
        <v>2650</v>
      </c>
      <c r="G207" s="51" t="s">
        <v>3</v>
      </c>
      <c r="H207" s="48">
        <v>2</v>
      </c>
      <c r="I207" s="49" t="s">
        <v>45</v>
      </c>
      <c r="J207" s="184">
        <v>70</v>
      </c>
      <c r="K207" s="113">
        <v>300</v>
      </c>
      <c r="L207" s="113">
        <v>2650</v>
      </c>
      <c r="M207" s="185">
        <v>21.754990806106427</v>
      </c>
      <c r="N207" s="75">
        <v>791.09310276317592</v>
      </c>
      <c r="O207" s="121">
        <v>30191.695513959719</v>
      </c>
      <c r="P207" s="121">
        <v>37028.867149406149</v>
      </c>
      <c r="Q207" s="120">
        <v>25743.270611641168</v>
      </c>
      <c r="R207" s="314">
        <v>55934.966125600884</v>
      </c>
      <c r="S207" s="315">
        <v>62772.137761047314</v>
      </c>
      <c r="U207" s="7" t="s">
        <v>1296</v>
      </c>
    </row>
    <row r="208" spans="1:21" s="74" customFormat="1" ht="16.5" thickBot="1">
      <c r="A208" s="50" t="s">
        <v>35</v>
      </c>
      <c r="B208" s="51">
        <f t="shared" si="9"/>
        <v>70</v>
      </c>
      <c r="C208" s="51" t="s">
        <v>3</v>
      </c>
      <c r="D208" s="51">
        <f t="shared" si="10"/>
        <v>300</v>
      </c>
      <c r="E208" s="51" t="s">
        <v>3</v>
      </c>
      <c r="F208" s="110">
        <f t="shared" si="11"/>
        <v>2700</v>
      </c>
      <c r="G208" s="51" t="s">
        <v>3</v>
      </c>
      <c r="H208" s="48">
        <v>2</v>
      </c>
      <c r="I208" s="49" t="s">
        <v>45</v>
      </c>
      <c r="J208" s="184">
        <v>70</v>
      </c>
      <c r="K208" s="113">
        <v>300</v>
      </c>
      <c r="L208" s="113">
        <v>2700</v>
      </c>
      <c r="M208" s="185">
        <v>22.181010300272142</v>
      </c>
      <c r="N208" s="75">
        <v>808.29077891020154</v>
      </c>
      <c r="O208" s="121">
        <v>30676.429711156394</v>
      </c>
      <c r="P208" s="121">
        <v>37633.145452411394</v>
      </c>
      <c r="Q208" s="120">
        <v>26227.56032345217</v>
      </c>
      <c r="R208" s="314">
        <v>56903.990034608563</v>
      </c>
      <c r="S208" s="315">
        <v>63860.705775863564</v>
      </c>
      <c r="U208" s="7" t="s">
        <v>1297</v>
      </c>
    </row>
    <row r="209" spans="1:21" s="74" customFormat="1" ht="16.5" thickBot="1">
      <c r="A209" s="50" t="s">
        <v>35</v>
      </c>
      <c r="B209" s="51">
        <f t="shared" si="9"/>
        <v>70</v>
      </c>
      <c r="C209" s="51" t="s">
        <v>3</v>
      </c>
      <c r="D209" s="51">
        <f t="shared" si="10"/>
        <v>300</v>
      </c>
      <c r="E209" s="51" t="s">
        <v>3</v>
      </c>
      <c r="F209" s="110">
        <f t="shared" si="11"/>
        <v>2750</v>
      </c>
      <c r="G209" s="51" t="s">
        <v>3</v>
      </c>
      <c r="H209" s="48">
        <v>2</v>
      </c>
      <c r="I209" s="49" t="s">
        <v>45</v>
      </c>
      <c r="J209" s="184">
        <v>70</v>
      </c>
      <c r="K209" s="113">
        <v>300</v>
      </c>
      <c r="L209" s="113">
        <v>2750</v>
      </c>
      <c r="M209" s="185">
        <v>22.567779794437858</v>
      </c>
      <c r="N209" s="75">
        <v>825.48845505722704</v>
      </c>
      <c r="O209" s="121">
        <v>31115.292061876542</v>
      </c>
      <c r="P209" s="121">
        <v>38192.950226830617</v>
      </c>
      <c r="Q209" s="120">
        <v>26711.850175656393</v>
      </c>
      <c r="R209" s="314">
        <v>57827.142237532935</v>
      </c>
      <c r="S209" s="315">
        <v>64904.80040248701</v>
      </c>
      <c r="U209" s="7" t="s">
        <v>1298</v>
      </c>
    </row>
    <row r="210" spans="1:21" s="74" customFormat="1" ht="16.5" thickBot="1">
      <c r="A210" s="50" t="s">
        <v>35</v>
      </c>
      <c r="B210" s="51">
        <f t="shared" si="9"/>
        <v>70</v>
      </c>
      <c r="C210" s="51" t="s">
        <v>3</v>
      </c>
      <c r="D210" s="51">
        <f t="shared" si="10"/>
        <v>300</v>
      </c>
      <c r="E210" s="51" t="s">
        <v>3</v>
      </c>
      <c r="F210" s="110">
        <f t="shared" si="11"/>
        <v>2800</v>
      </c>
      <c r="G210" s="51" t="s">
        <v>3</v>
      </c>
      <c r="H210" s="48">
        <v>2</v>
      </c>
      <c r="I210" s="49" t="s">
        <v>45</v>
      </c>
      <c r="J210" s="184">
        <v>70</v>
      </c>
      <c r="K210" s="113">
        <v>300</v>
      </c>
      <c r="L210" s="113">
        <v>2800</v>
      </c>
      <c r="M210" s="185">
        <v>22.954549288603573</v>
      </c>
      <c r="N210" s="75">
        <v>842.68613120425266</v>
      </c>
      <c r="O210" s="121">
        <v>31554.154412596694</v>
      </c>
      <c r="P210" s="121">
        <v>38752.755001249847</v>
      </c>
      <c r="Q210" s="120">
        <v>27196.140027860896</v>
      </c>
      <c r="R210" s="314">
        <v>58750.29444045759</v>
      </c>
      <c r="S210" s="315">
        <v>65948.895029110747</v>
      </c>
      <c r="U210" s="7" t="s">
        <v>1299</v>
      </c>
    </row>
    <row r="211" spans="1:21" s="74" customFormat="1" ht="16.5" thickBot="1">
      <c r="A211" s="50" t="s">
        <v>35</v>
      </c>
      <c r="B211" s="51">
        <f t="shared" si="9"/>
        <v>70</v>
      </c>
      <c r="C211" s="51" t="s">
        <v>3</v>
      </c>
      <c r="D211" s="51">
        <f t="shared" si="10"/>
        <v>300</v>
      </c>
      <c r="E211" s="51" t="s">
        <v>3</v>
      </c>
      <c r="F211" s="110">
        <f t="shared" si="11"/>
        <v>2850</v>
      </c>
      <c r="G211" s="51" t="s">
        <v>3</v>
      </c>
      <c r="H211" s="48">
        <v>2</v>
      </c>
      <c r="I211" s="49" t="s">
        <v>45</v>
      </c>
      <c r="J211" s="184">
        <v>70</v>
      </c>
      <c r="K211" s="113">
        <v>300</v>
      </c>
      <c r="L211" s="113">
        <v>2850</v>
      </c>
      <c r="M211" s="185">
        <v>23.341318782769285</v>
      </c>
      <c r="N211" s="75">
        <v>859.88380735127816</v>
      </c>
      <c r="O211" s="121">
        <v>31993.016763316846</v>
      </c>
      <c r="P211" s="121">
        <v>39312.559635275706</v>
      </c>
      <c r="Q211" s="120">
        <v>27680.42973967189</v>
      </c>
      <c r="R211" s="314">
        <v>59673.446502988736</v>
      </c>
      <c r="S211" s="315">
        <v>66992.989374947589</v>
      </c>
      <c r="U211" s="7" t="s">
        <v>1300</v>
      </c>
    </row>
    <row r="212" spans="1:21" s="74" customFormat="1" ht="16.5" thickBot="1">
      <c r="A212" s="50" t="s">
        <v>35</v>
      </c>
      <c r="B212" s="51">
        <f t="shared" si="9"/>
        <v>70</v>
      </c>
      <c r="C212" s="51" t="s">
        <v>3</v>
      </c>
      <c r="D212" s="51">
        <f t="shared" si="10"/>
        <v>300</v>
      </c>
      <c r="E212" s="51" t="s">
        <v>3</v>
      </c>
      <c r="F212" s="110">
        <f t="shared" si="11"/>
        <v>2900</v>
      </c>
      <c r="G212" s="51" t="s">
        <v>3</v>
      </c>
      <c r="H212" s="48">
        <v>2</v>
      </c>
      <c r="I212" s="49" t="s">
        <v>45</v>
      </c>
      <c r="J212" s="184">
        <v>70</v>
      </c>
      <c r="K212" s="113">
        <v>300</v>
      </c>
      <c r="L212" s="113">
        <v>2900</v>
      </c>
      <c r="M212" s="185">
        <v>23.728088276935001</v>
      </c>
      <c r="N212" s="75">
        <v>877.08148349830367</v>
      </c>
      <c r="O212" s="121">
        <v>32431.879114036994</v>
      </c>
      <c r="P212" s="121">
        <v>39872.364409694928</v>
      </c>
      <c r="Q212" s="120">
        <v>28164.719591876255</v>
      </c>
      <c r="R212" s="314">
        <v>60596.598705913246</v>
      </c>
      <c r="S212" s="315">
        <v>68037.084001571187</v>
      </c>
      <c r="U212" s="7" t="s">
        <v>1301</v>
      </c>
    </row>
    <row r="213" spans="1:21" s="74" customFormat="1" ht="16.5" thickBot="1">
      <c r="A213" s="50" t="s">
        <v>35</v>
      </c>
      <c r="B213" s="51">
        <f t="shared" si="9"/>
        <v>70</v>
      </c>
      <c r="C213" s="51" t="s">
        <v>3</v>
      </c>
      <c r="D213" s="51">
        <f t="shared" si="10"/>
        <v>300</v>
      </c>
      <c r="E213" s="51" t="s">
        <v>3</v>
      </c>
      <c r="F213" s="110">
        <f t="shared" si="11"/>
        <v>2950</v>
      </c>
      <c r="G213" s="51" t="s">
        <v>3</v>
      </c>
      <c r="H213" s="48">
        <v>2</v>
      </c>
      <c r="I213" s="49" t="s">
        <v>45</v>
      </c>
      <c r="J213" s="184">
        <v>70</v>
      </c>
      <c r="K213" s="113">
        <v>300</v>
      </c>
      <c r="L213" s="113">
        <v>2950</v>
      </c>
      <c r="M213" s="185">
        <v>24.114857771100716</v>
      </c>
      <c r="N213" s="75">
        <v>894.2791596453294</v>
      </c>
      <c r="O213" s="121">
        <v>32870.74146475715</v>
      </c>
      <c r="P213" s="121">
        <v>40432.169184114158</v>
      </c>
      <c r="Q213" s="120">
        <v>28649.009303687253</v>
      </c>
      <c r="R213" s="314">
        <v>61519.750768444399</v>
      </c>
      <c r="S213" s="315">
        <v>69081.178487801415</v>
      </c>
      <c r="U213" s="7" t="s">
        <v>1302</v>
      </c>
    </row>
    <row r="214" spans="1:21" s="74" customFormat="1" ht="16.5" thickBot="1">
      <c r="A214" s="52" t="s">
        <v>35</v>
      </c>
      <c r="B214" s="53">
        <f t="shared" si="9"/>
        <v>70</v>
      </c>
      <c r="C214" s="53" t="s">
        <v>3</v>
      </c>
      <c r="D214" s="53">
        <f t="shared" si="10"/>
        <v>300</v>
      </c>
      <c r="E214" s="53" t="s">
        <v>3</v>
      </c>
      <c r="F214" s="111">
        <f t="shared" si="11"/>
        <v>3000</v>
      </c>
      <c r="G214" s="53" t="s">
        <v>3</v>
      </c>
      <c r="H214" s="55">
        <v>2</v>
      </c>
      <c r="I214" s="54" t="s">
        <v>45</v>
      </c>
      <c r="J214" s="184">
        <v>70</v>
      </c>
      <c r="K214" s="157">
        <v>300</v>
      </c>
      <c r="L214" s="157">
        <v>3000</v>
      </c>
      <c r="M214" s="187">
        <v>24.501627265266428</v>
      </c>
      <c r="N214" s="147">
        <v>911.4768357923549</v>
      </c>
      <c r="O214" s="158">
        <v>33309.603815477298</v>
      </c>
      <c r="P214" s="158">
        <v>40991.973818140017</v>
      </c>
      <c r="Q214" s="159">
        <v>29133.299155891618</v>
      </c>
      <c r="R214" s="316">
        <v>62442.902971368916</v>
      </c>
      <c r="S214" s="317">
        <v>70125.272974031628</v>
      </c>
      <c r="U214" s="7" t="s">
        <v>1303</v>
      </c>
    </row>
    <row r="215" spans="1:21" s="74" customFormat="1" ht="16.5" thickBot="1">
      <c r="A215" s="2583" t="s">
        <v>135</v>
      </c>
      <c r="B215" s="2584"/>
      <c r="C215" s="2584"/>
      <c r="D215" s="2584"/>
      <c r="E215" s="2584"/>
      <c r="F215" s="2584"/>
      <c r="G215" s="2584"/>
      <c r="H215" s="2584"/>
      <c r="I215" s="2584"/>
      <c r="J215" s="2584"/>
      <c r="K215" s="2584"/>
      <c r="L215" s="2584"/>
      <c r="M215" s="2584"/>
      <c r="N215" s="2584"/>
      <c r="O215" s="2584"/>
      <c r="P215" s="2584"/>
      <c r="Q215" s="2584"/>
      <c r="R215" s="2584"/>
      <c r="S215" s="2585"/>
      <c r="U215" s="7"/>
    </row>
    <row r="216" spans="1:21" s="74" customFormat="1" ht="16.5" thickBot="1">
      <c r="A216" s="47" t="s">
        <v>35</v>
      </c>
      <c r="B216" s="48">
        <f>J216</f>
        <v>70</v>
      </c>
      <c r="C216" s="48" t="s">
        <v>3</v>
      </c>
      <c r="D216" s="48">
        <f>K216</f>
        <v>300</v>
      </c>
      <c r="E216" s="48" t="s">
        <v>3</v>
      </c>
      <c r="F216" s="110">
        <f>L216</f>
        <v>600</v>
      </c>
      <c r="G216" s="48" t="s">
        <v>3</v>
      </c>
      <c r="H216" s="48">
        <v>4</v>
      </c>
      <c r="I216" s="49" t="s">
        <v>45</v>
      </c>
      <c r="J216" s="181">
        <v>70</v>
      </c>
      <c r="K216" s="168">
        <v>300</v>
      </c>
      <c r="L216" s="168">
        <v>600</v>
      </c>
      <c r="M216" s="182">
        <v>5.9457631473671437</v>
      </c>
      <c r="N216" s="143">
        <v>109.37441183667599</v>
      </c>
      <c r="O216" s="183">
        <v>12868.721792565302</v>
      </c>
      <c r="P216" s="183">
        <v>14798.107620901128</v>
      </c>
      <c r="Q216" s="169">
        <v>5887.3894791295515</v>
      </c>
      <c r="R216" s="312">
        <v>18756.111271694856</v>
      </c>
      <c r="S216" s="313">
        <v>20685.49710003068</v>
      </c>
      <c r="U216" s="7" t="s">
        <v>1304</v>
      </c>
    </row>
    <row r="217" spans="1:21" s="74" customFormat="1" ht="16.5" thickBot="1">
      <c r="A217" s="50" t="s">
        <v>35</v>
      </c>
      <c r="B217" s="51">
        <f t="shared" ref="B217:B264" si="12">J217</f>
        <v>70</v>
      </c>
      <c r="C217" s="51" t="s">
        <v>3</v>
      </c>
      <c r="D217" s="51">
        <f t="shared" ref="D217:D264" si="13">K217</f>
        <v>300</v>
      </c>
      <c r="E217" s="51" t="s">
        <v>3</v>
      </c>
      <c r="F217" s="110">
        <f t="shared" ref="F217:F264" si="14">L217</f>
        <v>650</v>
      </c>
      <c r="G217" s="51" t="s">
        <v>3</v>
      </c>
      <c r="H217" s="48">
        <v>4</v>
      </c>
      <c r="I217" s="49" t="s">
        <v>45</v>
      </c>
      <c r="J217" s="184">
        <v>70</v>
      </c>
      <c r="K217" s="113">
        <v>300</v>
      </c>
      <c r="L217" s="113">
        <v>650</v>
      </c>
      <c r="M217" s="185">
        <v>6.3991550314128567</v>
      </c>
      <c r="N217" s="75">
        <v>131.24929420401119</v>
      </c>
      <c r="O217" s="121">
        <v>13515.473720707765</v>
      </c>
      <c r="P217" s="121">
        <v>15561.299276820566</v>
      </c>
      <c r="Q217" s="120">
        <v>6371.6793313339131</v>
      </c>
      <c r="R217" s="314">
        <v>19887.153052041678</v>
      </c>
      <c r="S217" s="315">
        <v>21932.978608154481</v>
      </c>
      <c r="U217" s="7" t="s">
        <v>1305</v>
      </c>
    </row>
    <row r="218" spans="1:21" s="74" customFormat="1" ht="16.5" thickBot="1">
      <c r="A218" s="50" t="s">
        <v>35</v>
      </c>
      <c r="B218" s="51">
        <f t="shared" si="12"/>
        <v>70</v>
      </c>
      <c r="C218" s="51" t="s">
        <v>3</v>
      </c>
      <c r="D218" s="51">
        <f t="shared" si="13"/>
        <v>300</v>
      </c>
      <c r="E218" s="51" t="s">
        <v>3</v>
      </c>
      <c r="F218" s="110">
        <f t="shared" si="14"/>
        <v>700</v>
      </c>
      <c r="G218" s="51" t="s">
        <v>3</v>
      </c>
      <c r="H218" s="48">
        <v>4</v>
      </c>
      <c r="I218" s="49" t="s">
        <v>45</v>
      </c>
      <c r="J218" s="184">
        <v>70</v>
      </c>
      <c r="K218" s="113">
        <v>300</v>
      </c>
      <c r="L218" s="113">
        <v>700</v>
      </c>
      <c r="M218" s="185">
        <v>6.8525469154585714</v>
      </c>
      <c r="N218" s="75">
        <v>153.12417657134637</v>
      </c>
      <c r="O218" s="121">
        <v>14162.225508456866</v>
      </c>
      <c r="P218" s="121">
        <v>16324.490932740004</v>
      </c>
      <c r="Q218" s="120">
        <v>6855.9690431449135</v>
      </c>
      <c r="R218" s="314">
        <v>21018.19455160178</v>
      </c>
      <c r="S218" s="315">
        <v>23180.459975884918</v>
      </c>
      <c r="U218" s="7" t="s">
        <v>1306</v>
      </c>
    </row>
    <row r="219" spans="1:21" s="74" customFormat="1" ht="16.5" thickBot="1">
      <c r="A219" s="50" t="s">
        <v>35</v>
      </c>
      <c r="B219" s="51">
        <f t="shared" si="12"/>
        <v>70</v>
      </c>
      <c r="C219" s="51" t="s">
        <v>3</v>
      </c>
      <c r="D219" s="51">
        <f t="shared" si="13"/>
        <v>300</v>
      </c>
      <c r="E219" s="51" t="s">
        <v>3</v>
      </c>
      <c r="F219" s="110">
        <f t="shared" si="14"/>
        <v>750</v>
      </c>
      <c r="G219" s="51" t="s">
        <v>3</v>
      </c>
      <c r="H219" s="48">
        <v>4</v>
      </c>
      <c r="I219" s="49" t="s">
        <v>45</v>
      </c>
      <c r="J219" s="184">
        <v>70</v>
      </c>
      <c r="K219" s="113">
        <v>300</v>
      </c>
      <c r="L219" s="113">
        <v>750</v>
      </c>
      <c r="M219" s="185">
        <v>7.3059387995042844</v>
      </c>
      <c r="N219" s="75">
        <v>174.9990589386816</v>
      </c>
      <c r="O219" s="121">
        <v>14808.977436599329</v>
      </c>
      <c r="P219" s="121">
        <v>17087.682448266078</v>
      </c>
      <c r="Q219" s="120">
        <v>7340.2588953492768</v>
      </c>
      <c r="R219" s="314">
        <v>22149.236331948607</v>
      </c>
      <c r="S219" s="315">
        <v>24427.941343615355</v>
      </c>
      <c r="U219" s="7" t="s">
        <v>1307</v>
      </c>
    </row>
    <row r="220" spans="1:21" s="74" customFormat="1" ht="16.5" thickBot="1">
      <c r="A220" s="50" t="s">
        <v>35</v>
      </c>
      <c r="B220" s="51">
        <f t="shared" si="12"/>
        <v>70</v>
      </c>
      <c r="C220" s="51" t="s">
        <v>3</v>
      </c>
      <c r="D220" s="51">
        <f t="shared" si="13"/>
        <v>300</v>
      </c>
      <c r="E220" s="51" t="s">
        <v>3</v>
      </c>
      <c r="F220" s="110">
        <f t="shared" si="14"/>
        <v>800</v>
      </c>
      <c r="G220" s="51" t="s">
        <v>3</v>
      </c>
      <c r="H220" s="48">
        <v>4</v>
      </c>
      <c r="I220" s="49" t="s">
        <v>45</v>
      </c>
      <c r="J220" s="184">
        <v>70</v>
      </c>
      <c r="K220" s="113">
        <v>300</v>
      </c>
      <c r="L220" s="113">
        <v>800</v>
      </c>
      <c r="M220" s="185">
        <v>7.7593306835499991</v>
      </c>
      <c r="N220" s="75">
        <v>196.87394130601677</v>
      </c>
      <c r="O220" s="121">
        <v>15455.729364741792</v>
      </c>
      <c r="P220" s="121">
        <v>17850.874104185517</v>
      </c>
      <c r="Q220" s="120">
        <v>7824.5486071602763</v>
      </c>
      <c r="R220" s="314">
        <v>23280.277971902069</v>
      </c>
      <c r="S220" s="315">
        <v>25675.422711345793</v>
      </c>
      <c r="U220" s="7" t="s">
        <v>1308</v>
      </c>
    </row>
    <row r="221" spans="1:21" s="74" customFormat="1" ht="16.5" thickBot="1">
      <c r="A221" s="50" t="s">
        <v>35</v>
      </c>
      <c r="B221" s="51">
        <f t="shared" si="12"/>
        <v>70</v>
      </c>
      <c r="C221" s="51" t="s">
        <v>3</v>
      </c>
      <c r="D221" s="51">
        <f t="shared" si="13"/>
        <v>300</v>
      </c>
      <c r="E221" s="51" t="s">
        <v>3</v>
      </c>
      <c r="F221" s="110">
        <f t="shared" si="14"/>
        <v>850</v>
      </c>
      <c r="G221" s="51" t="s">
        <v>3</v>
      </c>
      <c r="H221" s="48">
        <v>4</v>
      </c>
      <c r="I221" s="49" t="s">
        <v>45</v>
      </c>
      <c r="J221" s="184">
        <v>70</v>
      </c>
      <c r="K221" s="113">
        <v>300</v>
      </c>
      <c r="L221" s="113">
        <v>850</v>
      </c>
      <c r="M221" s="185">
        <v>8.2127225675957138</v>
      </c>
      <c r="N221" s="75">
        <v>218.74882367335198</v>
      </c>
      <c r="O221" s="121">
        <v>16102.481292884253</v>
      </c>
      <c r="P221" s="121">
        <v>18614.065760104953</v>
      </c>
      <c r="Q221" s="120">
        <v>8308.8384593646388</v>
      </c>
      <c r="R221" s="314">
        <v>24411.319752248892</v>
      </c>
      <c r="S221" s="315">
        <v>26922.904219469594</v>
      </c>
      <c r="U221" s="7" t="s">
        <v>1309</v>
      </c>
    </row>
    <row r="222" spans="1:21" s="74" customFormat="1" ht="16.5" thickBot="1">
      <c r="A222" s="50" t="s">
        <v>35</v>
      </c>
      <c r="B222" s="51">
        <f t="shared" si="12"/>
        <v>70</v>
      </c>
      <c r="C222" s="51" t="s">
        <v>3</v>
      </c>
      <c r="D222" s="51">
        <f t="shared" si="13"/>
        <v>300</v>
      </c>
      <c r="E222" s="51" t="s">
        <v>3</v>
      </c>
      <c r="F222" s="110">
        <f t="shared" si="14"/>
        <v>900</v>
      </c>
      <c r="G222" s="51" t="s">
        <v>3</v>
      </c>
      <c r="H222" s="48">
        <v>4</v>
      </c>
      <c r="I222" s="49" t="s">
        <v>45</v>
      </c>
      <c r="J222" s="184">
        <v>70</v>
      </c>
      <c r="K222" s="113">
        <v>300</v>
      </c>
      <c r="L222" s="113">
        <v>900</v>
      </c>
      <c r="M222" s="185">
        <v>8.6661144516414303</v>
      </c>
      <c r="N222" s="75">
        <v>240.62370604068718</v>
      </c>
      <c r="O222" s="121">
        <v>16749.233080633352</v>
      </c>
      <c r="P222" s="121">
        <v>19377.257416024389</v>
      </c>
      <c r="Q222" s="120">
        <v>8793.1281711756401</v>
      </c>
      <c r="R222" s="314">
        <v>25542.361251808994</v>
      </c>
      <c r="S222" s="315">
        <v>28170.385587200028</v>
      </c>
      <c r="U222" s="7" t="s">
        <v>1310</v>
      </c>
    </row>
    <row r="223" spans="1:21" s="74" customFormat="1" ht="16.5" thickBot="1">
      <c r="A223" s="50" t="s">
        <v>35</v>
      </c>
      <c r="B223" s="51">
        <f t="shared" si="12"/>
        <v>70</v>
      </c>
      <c r="C223" s="51" t="s">
        <v>3</v>
      </c>
      <c r="D223" s="51">
        <f t="shared" si="13"/>
        <v>300</v>
      </c>
      <c r="E223" s="51" t="s">
        <v>3</v>
      </c>
      <c r="F223" s="110">
        <f t="shared" si="14"/>
        <v>950</v>
      </c>
      <c r="G223" s="51" t="s">
        <v>3</v>
      </c>
      <c r="H223" s="48">
        <v>4</v>
      </c>
      <c r="I223" s="49" t="s">
        <v>45</v>
      </c>
      <c r="J223" s="184">
        <v>70</v>
      </c>
      <c r="K223" s="113">
        <v>300</v>
      </c>
      <c r="L223" s="113">
        <v>950</v>
      </c>
      <c r="M223" s="185">
        <v>9.1195063356871415</v>
      </c>
      <c r="N223" s="75">
        <v>262.49858840802239</v>
      </c>
      <c r="O223" s="121">
        <v>17395.985008775813</v>
      </c>
      <c r="P223" s="121">
        <v>20140.449071943829</v>
      </c>
      <c r="Q223" s="120">
        <v>9277.4180233800016</v>
      </c>
      <c r="R223" s="314">
        <v>26673.403032155817</v>
      </c>
      <c r="S223" s="315">
        <v>29417.867095323832</v>
      </c>
      <c r="U223" s="7" t="s">
        <v>1311</v>
      </c>
    </row>
    <row r="224" spans="1:21" s="74" customFormat="1" ht="16.5" thickBot="1">
      <c r="A224" s="50" t="s">
        <v>35</v>
      </c>
      <c r="B224" s="51">
        <f t="shared" si="12"/>
        <v>70</v>
      </c>
      <c r="C224" s="51" t="s">
        <v>3</v>
      </c>
      <c r="D224" s="51">
        <f t="shared" si="13"/>
        <v>300</v>
      </c>
      <c r="E224" s="51" t="s">
        <v>3</v>
      </c>
      <c r="F224" s="110">
        <f t="shared" si="14"/>
        <v>1000</v>
      </c>
      <c r="G224" s="51" t="s">
        <v>3</v>
      </c>
      <c r="H224" s="48">
        <v>4</v>
      </c>
      <c r="I224" s="49" t="s">
        <v>45</v>
      </c>
      <c r="J224" s="184">
        <v>70</v>
      </c>
      <c r="K224" s="113">
        <v>300</v>
      </c>
      <c r="L224" s="113">
        <v>1000</v>
      </c>
      <c r="M224" s="185">
        <v>9.5728982197328563</v>
      </c>
      <c r="N224" s="75">
        <v>284.37347077535759</v>
      </c>
      <c r="O224" s="121">
        <v>18042.736936918282</v>
      </c>
      <c r="P224" s="121">
        <v>20903.640727863269</v>
      </c>
      <c r="Q224" s="120">
        <v>9761.7077351910029</v>
      </c>
      <c r="R224" s="314">
        <v>27804.444672109283</v>
      </c>
      <c r="S224" s="315">
        <v>30665.348463054273</v>
      </c>
      <c r="U224" s="7" t="s">
        <v>1312</v>
      </c>
    </row>
    <row r="225" spans="1:21" s="74" customFormat="1" ht="16.5" thickBot="1">
      <c r="A225" s="50" t="s">
        <v>35</v>
      </c>
      <c r="B225" s="51">
        <f t="shared" si="12"/>
        <v>70</v>
      </c>
      <c r="C225" s="51" t="s">
        <v>3</v>
      </c>
      <c r="D225" s="51">
        <f t="shared" si="13"/>
        <v>300</v>
      </c>
      <c r="E225" s="51" t="s">
        <v>3</v>
      </c>
      <c r="F225" s="110">
        <f t="shared" si="14"/>
        <v>1050</v>
      </c>
      <c r="G225" s="51" t="s">
        <v>3</v>
      </c>
      <c r="H225" s="48">
        <v>4</v>
      </c>
      <c r="I225" s="49" t="s">
        <v>45</v>
      </c>
      <c r="J225" s="184">
        <v>70</v>
      </c>
      <c r="K225" s="113">
        <v>300</v>
      </c>
      <c r="L225" s="113">
        <v>1050</v>
      </c>
      <c r="M225" s="185">
        <v>10.026290103778571</v>
      </c>
      <c r="N225" s="75">
        <v>306.24835314269274</v>
      </c>
      <c r="O225" s="121">
        <v>18689.488865060743</v>
      </c>
      <c r="P225" s="121">
        <v>21666.832383782705</v>
      </c>
      <c r="Q225" s="120">
        <v>10245.997587395364</v>
      </c>
      <c r="R225" s="314">
        <v>28935.486452456105</v>
      </c>
      <c r="S225" s="315">
        <v>31912.829971178071</v>
      </c>
      <c r="U225" s="7" t="s">
        <v>1313</v>
      </c>
    </row>
    <row r="226" spans="1:21" s="74" customFormat="1" ht="16.5" thickBot="1">
      <c r="A226" s="47" t="s">
        <v>35</v>
      </c>
      <c r="B226" s="48">
        <f t="shared" si="12"/>
        <v>70</v>
      </c>
      <c r="C226" s="48" t="s">
        <v>3</v>
      </c>
      <c r="D226" s="48">
        <f t="shared" si="13"/>
        <v>300</v>
      </c>
      <c r="E226" s="48" t="s">
        <v>3</v>
      </c>
      <c r="F226" s="110">
        <f t="shared" si="14"/>
        <v>1100</v>
      </c>
      <c r="G226" s="48" t="s">
        <v>3</v>
      </c>
      <c r="H226" s="48">
        <v>4</v>
      </c>
      <c r="I226" s="49" t="s">
        <v>45</v>
      </c>
      <c r="J226" s="184">
        <v>70</v>
      </c>
      <c r="K226" s="113">
        <v>300</v>
      </c>
      <c r="L226" s="113">
        <v>1100</v>
      </c>
      <c r="M226" s="185">
        <v>10.479681987824286</v>
      </c>
      <c r="N226" s="75">
        <v>328.12323551002794</v>
      </c>
      <c r="O226" s="121">
        <v>19336.240793203204</v>
      </c>
      <c r="P226" s="121">
        <v>22430.023899308781</v>
      </c>
      <c r="Q226" s="120">
        <v>10730.287299206364</v>
      </c>
      <c r="R226" s="314">
        <v>30066.528092409568</v>
      </c>
      <c r="S226" s="315">
        <v>33160.311198515148</v>
      </c>
      <c r="U226" s="7" t="s">
        <v>1314</v>
      </c>
    </row>
    <row r="227" spans="1:21" s="74" customFormat="1" ht="16.5" thickBot="1">
      <c r="A227" s="50" t="s">
        <v>35</v>
      </c>
      <c r="B227" s="51">
        <f t="shared" si="12"/>
        <v>70</v>
      </c>
      <c r="C227" s="51" t="s">
        <v>3</v>
      </c>
      <c r="D227" s="51">
        <f t="shared" si="13"/>
        <v>300</v>
      </c>
      <c r="E227" s="51" t="s">
        <v>3</v>
      </c>
      <c r="F227" s="110">
        <f t="shared" si="14"/>
        <v>1150</v>
      </c>
      <c r="G227" s="51" t="s">
        <v>3</v>
      </c>
      <c r="H227" s="48">
        <v>4</v>
      </c>
      <c r="I227" s="49" t="s">
        <v>45</v>
      </c>
      <c r="J227" s="184">
        <v>70</v>
      </c>
      <c r="K227" s="113">
        <v>300</v>
      </c>
      <c r="L227" s="113">
        <v>1150</v>
      </c>
      <c r="M227" s="185">
        <v>10.933073871869999</v>
      </c>
      <c r="N227" s="75">
        <v>349.9981178773632</v>
      </c>
      <c r="O227" s="121">
        <v>19982.992580952305</v>
      </c>
      <c r="P227" s="121">
        <v>23193.215555228217</v>
      </c>
      <c r="Q227" s="120">
        <v>11214.577151410727</v>
      </c>
      <c r="R227" s="314">
        <v>31197.56973236303</v>
      </c>
      <c r="S227" s="315">
        <v>34407.792706638946</v>
      </c>
      <c r="U227" s="7" t="s">
        <v>1315</v>
      </c>
    </row>
    <row r="228" spans="1:21" s="74" customFormat="1" ht="16.5" thickBot="1">
      <c r="A228" s="50" t="s">
        <v>35</v>
      </c>
      <c r="B228" s="51">
        <f t="shared" si="12"/>
        <v>70</v>
      </c>
      <c r="C228" s="51" t="s">
        <v>3</v>
      </c>
      <c r="D228" s="51">
        <f t="shared" si="13"/>
        <v>300</v>
      </c>
      <c r="E228" s="51" t="s">
        <v>3</v>
      </c>
      <c r="F228" s="110">
        <f t="shared" si="14"/>
        <v>1200</v>
      </c>
      <c r="G228" s="51" t="s">
        <v>3</v>
      </c>
      <c r="H228" s="48">
        <v>4</v>
      </c>
      <c r="I228" s="49" t="s">
        <v>45</v>
      </c>
      <c r="J228" s="184">
        <v>70</v>
      </c>
      <c r="K228" s="113">
        <v>300</v>
      </c>
      <c r="L228" s="113">
        <v>1200</v>
      </c>
      <c r="M228" s="185">
        <v>11.464965755915713</v>
      </c>
      <c r="N228" s="75">
        <v>371.87300024469835</v>
      </c>
      <c r="O228" s="121">
        <v>20706.898944996905</v>
      </c>
      <c r="P228" s="121">
        <v>24031.209917834556</v>
      </c>
      <c r="Q228" s="120">
        <v>11698.866863221729</v>
      </c>
      <c r="R228" s="314">
        <v>32405.765808218632</v>
      </c>
      <c r="S228" s="315">
        <v>35730.076781056283</v>
      </c>
      <c r="U228" s="7" t="s">
        <v>1316</v>
      </c>
    </row>
    <row r="229" spans="1:21" s="74" customFormat="1" ht="16.5" thickBot="1">
      <c r="A229" s="50" t="s">
        <v>35</v>
      </c>
      <c r="B229" s="51">
        <f t="shared" si="12"/>
        <v>70</v>
      </c>
      <c r="C229" s="51" t="s">
        <v>3</v>
      </c>
      <c r="D229" s="51">
        <f t="shared" si="13"/>
        <v>300</v>
      </c>
      <c r="E229" s="51" t="s">
        <v>3</v>
      </c>
      <c r="F229" s="110">
        <f t="shared" si="14"/>
        <v>1250</v>
      </c>
      <c r="G229" s="51" t="s">
        <v>3</v>
      </c>
      <c r="H229" s="48">
        <v>4</v>
      </c>
      <c r="I229" s="49" t="s">
        <v>45</v>
      </c>
      <c r="J229" s="184">
        <v>70</v>
      </c>
      <c r="K229" s="113">
        <v>300</v>
      </c>
      <c r="L229" s="113">
        <v>1250</v>
      </c>
      <c r="M229" s="185">
        <v>11.918357639961428</v>
      </c>
      <c r="N229" s="75">
        <v>393.74788261203355</v>
      </c>
      <c r="O229" s="121">
        <v>21353.650873139366</v>
      </c>
      <c r="P229" s="121">
        <v>24794.401573753992</v>
      </c>
      <c r="Q229" s="120">
        <v>12183.156715426092</v>
      </c>
      <c r="R229" s="314">
        <v>33536.807588565454</v>
      </c>
      <c r="S229" s="315">
        <v>36977.558289180088</v>
      </c>
      <c r="U229" s="7" t="s">
        <v>1317</v>
      </c>
    </row>
    <row r="230" spans="1:21" s="74" customFormat="1" ht="16.5" thickBot="1">
      <c r="A230" s="50" t="s">
        <v>35</v>
      </c>
      <c r="B230" s="51">
        <f t="shared" si="12"/>
        <v>70</v>
      </c>
      <c r="C230" s="51" t="s">
        <v>3</v>
      </c>
      <c r="D230" s="51">
        <f t="shared" si="13"/>
        <v>300</v>
      </c>
      <c r="E230" s="51" t="s">
        <v>3</v>
      </c>
      <c r="F230" s="110">
        <f t="shared" si="14"/>
        <v>1300</v>
      </c>
      <c r="G230" s="51" t="s">
        <v>3</v>
      </c>
      <c r="H230" s="48">
        <v>4</v>
      </c>
      <c r="I230" s="49" t="s">
        <v>45</v>
      </c>
      <c r="J230" s="184">
        <v>70</v>
      </c>
      <c r="K230" s="113">
        <v>300</v>
      </c>
      <c r="L230" s="113">
        <v>1300</v>
      </c>
      <c r="M230" s="185">
        <v>12.371749524007143</v>
      </c>
      <c r="N230" s="75">
        <v>415.62276497936875</v>
      </c>
      <c r="O230" s="121">
        <v>22000.402660888467</v>
      </c>
      <c r="P230" s="121">
        <v>25557.593089280068</v>
      </c>
      <c r="Q230" s="120">
        <v>12667.44642723709</v>
      </c>
      <c r="R230" s="314">
        <v>34667.849088125557</v>
      </c>
      <c r="S230" s="315">
        <v>38225.039516517158</v>
      </c>
      <c r="U230" s="7" t="s">
        <v>1318</v>
      </c>
    </row>
    <row r="231" spans="1:21" s="74" customFormat="1" ht="16.5" thickBot="1">
      <c r="A231" s="50" t="s">
        <v>35</v>
      </c>
      <c r="B231" s="51">
        <f t="shared" si="12"/>
        <v>70</v>
      </c>
      <c r="C231" s="51" t="s">
        <v>3</v>
      </c>
      <c r="D231" s="51">
        <f t="shared" si="13"/>
        <v>300</v>
      </c>
      <c r="E231" s="51" t="s">
        <v>3</v>
      </c>
      <c r="F231" s="110">
        <f t="shared" si="14"/>
        <v>1350</v>
      </c>
      <c r="G231" s="51" t="s">
        <v>3</v>
      </c>
      <c r="H231" s="48">
        <v>4</v>
      </c>
      <c r="I231" s="49" t="s">
        <v>45</v>
      </c>
      <c r="J231" s="184">
        <v>70</v>
      </c>
      <c r="K231" s="113">
        <v>300</v>
      </c>
      <c r="L231" s="113">
        <v>1350</v>
      </c>
      <c r="M231" s="185">
        <v>12.825141408052858</v>
      </c>
      <c r="N231" s="75">
        <v>437.49764734670396</v>
      </c>
      <c r="O231" s="121">
        <v>22647.154589030928</v>
      </c>
      <c r="P231" s="121">
        <v>26320.784745199504</v>
      </c>
      <c r="Q231" s="120">
        <v>13151.736279441453</v>
      </c>
      <c r="R231" s="314">
        <v>35798.890868472379</v>
      </c>
      <c r="S231" s="315">
        <v>39472.521024640955</v>
      </c>
      <c r="U231" s="7" t="s">
        <v>1319</v>
      </c>
    </row>
    <row r="232" spans="1:21" s="74" customFormat="1" ht="16.5" thickBot="1">
      <c r="A232" s="50" t="s">
        <v>35</v>
      </c>
      <c r="B232" s="51">
        <f t="shared" si="12"/>
        <v>70</v>
      </c>
      <c r="C232" s="51" t="s">
        <v>3</v>
      </c>
      <c r="D232" s="51">
        <f t="shared" si="13"/>
        <v>300</v>
      </c>
      <c r="E232" s="51" t="s">
        <v>3</v>
      </c>
      <c r="F232" s="110">
        <f t="shared" si="14"/>
        <v>1400</v>
      </c>
      <c r="G232" s="51" t="s">
        <v>3</v>
      </c>
      <c r="H232" s="48">
        <v>4</v>
      </c>
      <c r="I232" s="49" t="s">
        <v>45</v>
      </c>
      <c r="J232" s="184">
        <v>70</v>
      </c>
      <c r="K232" s="113">
        <v>300</v>
      </c>
      <c r="L232" s="113">
        <v>1400</v>
      </c>
      <c r="M232" s="185">
        <v>13.278533292098572</v>
      </c>
      <c r="N232" s="75">
        <v>459.37252971403916</v>
      </c>
      <c r="O232" s="121">
        <v>23293.906517173393</v>
      </c>
      <c r="P232" s="121">
        <v>27083.976401118944</v>
      </c>
      <c r="Q232" s="120">
        <v>13636.025991252453</v>
      </c>
      <c r="R232" s="314">
        <v>36929.932508425845</v>
      </c>
      <c r="S232" s="315">
        <v>40720.002392371396</v>
      </c>
      <c r="U232" s="7" t="s">
        <v>1320</v>
      </c>
    </row>
    <row r="233" spans="1:21" s="74" customFormat="1" ht="16.5" thickBot="1">
      <c r="A233" s="50" t="s">
        <v>35</v>
      </c>
      <c r="B233" s="51">
        <f t="shared" si="12"/>
        <v>70</v>
      </c>
      <c r="C233" s="51" t="s">
        <v>3</v>
      </c>
      <c r="D233" s="51">
        <f t="shared" si="13"/>
        <v>300</v>
      </c>
      <c r="E233" s="51" t="s">
        <v>3</v>
      </c>
      <c r="F233" s="110">
        <f t="shared" si="14"/>
        <v>1450</v>
      </c>
      <c r="G233" s="51" t="s">
        <v>3</v>
      </c>
      <c r="H233" s="48">
        <v>4</v>
      </c>
      <c r="I233" s="49" t="s">
        <v>45</v>
      </c>
      <c r="J233" s="184">
        <v>70</v>
      </c>
      <c r="K233" s="113">
        <v>300</v>
      </c>
      <c r="L233" s="113">
        <v>1450</v>
      </c>
      <c r="M233" s="185">
        <v>13.731925176144287</v>
      </c>
      <c r="N233" s="75">
        <v>481.24741208137436</v>
      </c>
      <c r="O233" s="121">
        <v>23940.658445315854</v>
      </c>
      <c r="P233" s="121">
        <v>27847.16805703838</v>
      </c>
      <c r="Q233" s="120">
        <v>14120.315843456816</v>
      </c>
      <c r="R233" s="314">
        <v>38060.974288772668</v>
      </c>
      <c r="S233" s="315">
        <v>41967.483900495194</v>
      </c>
      <c r="U233" s="7" t="s">
        <v>1321</v>
      </c>
    </row>
    <row r="234" spans="1:21" s="74" customFormat="1" ht="16.5" thickBot="1">
      <c r="A234" s="50" t="s">
        <v>35</v>
      </c>
      <c r="B234" s="51">
        <f t="shared" si="12"/>
        <v>70</v>
      </c>
      <c r="C234" s="51" t="s">
        <v>3</v>
      </c>
      <c r="D234" s="51">
        <f t="shared" si="13"/>
        <v>300</v>
      </c>
      <c r="E234" s="51" t="s">
        <v>3</v>
      </c>
      <c r="F234" s="110">
        <f t="shared" si="14"/>
        <v>1500</v>
      </c>
      <c r="G234" s="51" t="s">
        <v>3</v>
      </c>
      <c r="H234" s="48">
        <v>4</v>
      </c>
      <c r="I234" s="49" t="s">
        <v>45</v>
      </c>
      <c r="J234" s="184">
        <v>70</v>
      </c>
      <c r="K234" s="113">
        <v>300</v>
      </c>
      <c r="L234" s="113">
        <v>1500</v>
      </c>
      <c r="M234" s="185">
        <v>14.32988195299</v>
      </c>
      <c r="N234" s="75">
        <v>503.12229444870951</v>
      </c>
      <c r="O234" s="121">
        <v>25266.05756766034</v>
      </c>
      <c r="P234" s="121">
        <v>29204.785490569546</v>
      </c>
      <c r="Q234" s="120">
        <v>14604.605555267815</v>
      </c>
      <c r="R234" s="314">
        <v>39870.663122928156</v>
      </c>
      <c r="S234" s="315">
        <v>43809.391045837358</v>
      </c>
      <c r="U234" s="7" t="s">
        <v>1322</v>
      </c>
    </row>
    <row r="235" spans="1:21" s="74" customFormat="1" ht="16.5" thickBot="1">
      <c r="A235" s="50" t="s">
        <v>35</v>
      </c>
      <c r="B235" s="51">
        <f t="shared" si="12"/>
        <v>70</v>
      </c>
      <c r="C235" s="51" t="s">
        <v>3</v>
      </c>
      <c r="D235" s="51">
        <f t="shared" si="13"/>
        <v>300</v>
      </c>
      <c r="E235" s="51" t="s">
        <v>3</v>
      </c>
      <c r="F235" s="110">
        <f t="shared" si="14"/>
        <v>1550</v>
      </c>
      <c r="G235" s="51" t="s">
        <v>3</v>
      </c>
      <c r="H235" s="48">
        <v>4</v>
      </c>
      <c r="I235" s="49" t="s">
        <v>45</v>
      </c>
      <c r="J235" s="184">
        <v>70</v>
      </c>
      <c r="K235" s="113">
        <v>300</v>
      </c>
      <c r="L235" s="113">
        <v>1550</v>
      </c>
      <c r="M235" s="185">
        <v>14.783273837035715</v>
      </c>
      <c r="N235" s="75">
        <v>524.99717681604477</v>
      </c>
      <c r="O235" s="121">
        <v>25912.809495802805</v>
      </c>
      <c r="P235" s="121">
        <v>29967.977006095618</v>
      </c>
      <c r="Q235" s="120">
        <v>15088.895407472179</v>
      </c>
      <c r="R235" s="314">
        <v>41001.704903274986</v>
      </c>
      <c r="S235" s="315">
        <v>45056.872413567799</v>
      </c>
      <c r="U235" s="7" t="s">
        <v>1323</v>
      </c>
    </row>
    <row r="236" spans="1:21" s="74" customFormat="1" ht="16.5" thickBot="1">
      <c r="A236" s="47" t="s">
        <v>35</v>
      </c>
      <c r="B236" s="48">
        <f t="shared" si="12"/>
        <v>70</v>
      </c>
      <c r="C236" s="48" t="s">
        <v>3</v>
      </c>
      <c r="D236" s="48">
        <f t="shared" si="13"/>
        <v>300</v>
      </c>
      <c r="E236" s="48" t="s">
        <v>3</v>
      </c>
      <c r="F236" s="110">
        <f t="shared" si="14"/>
        <v>1600</v>
      </c>
      <c r="G236" s="48" t="s">
        <v>3</v>
      </c>
      <c r="H236" s="48">
        <v>4</v>
      </c>
      <c r="I236" s="49" t="s">
        <v>45</v>
      </c>
      <c r="J236" s="184">
        <v>70</v>
      </c>
      <c r="K236" s="113">
        <v>300</v>
      </c>
      <c r="L236" s="113">
        <v>1600</v>
      </c>
      <c r="M236" s="185">
        <v>15.236665721081428</v>
      </c>
      <c r="N236" s="75">
        <v>546.87205918337997</v>
      </c>
      <c r="O236" s="121">
        <v>26559.561423945266</v>
      </c>
      <c r="P236" s="121">
        <v>30731.168662015058</v>
      </c>
      <c r="Q236" s="120">
        <v>15573.185119283178</v>
      </c>
      <c r="R236" s="314">
        <v>42132.746543228444</v>
      </c>
      <c r="S236" s="315">
        <v>46304.353781298239</v>
      </c>
      <c r="U236" s="7" t="s">
        <v>1324</v>
      </c>
    </row>
    <row r="237" spans="1:21" s="74" customFormat="1" ht="16.5" thickBot="1">
      <c r="A237" s="50" t="s">
        <v>35</v>
      </c>
      <c r="B237" s="51">
        <f t="shared" si="12"/>
        <v>70</v>
      </c>
      <c r="C237" s="51" t="s">
        <v>3</v>
      </c>
      <c r="D237" s="51">
        <f t="shared" si="13"/>
        <v>300</v>
      </c>
      <c r="E237" s="51" t="s">
        <v>3</v>
      </c>
      <c r="F237" s="110">
        <f t="shared" si="14"/>
        <v>1650</v>
      </c>
      <c r="G237" s="51" t="s">
        <v>3</v>
      </c>
      <c r="H237" s="48">
        <v>4</v>
      </c>
      <c r="I237" s="49" t="s">
        <v>45</v>
      </c>
      <c r="J237" s="184">
        <v>70</v>
      </c>
      <c r="K237" s="113">
        <v>300</v>
      </c>
      <c r="L237" s="113">
        <v>1650</v>
      </c>
      <c r="M237" s="185">
        <v>15.690057605127144</v>
      </c>
      <c r="N237" s="75">
        <v>568.74694155071518</v>
      </c>
      <c r="O237" s="121">
        <v>27206.313211694367</v>
      </c>
      <c r="P237" s="121">
        <v>31494.360317934494</v>
      </c>
      <c r="Q237" s="120">
        <v>16057.474971487542</v>
      </c>
      <c r="R237" s="314">
        <v>43263.78818318191</v>
      </c>
      <c r="S237" s="315">
        <v>47551.835289422037</v>
      </c>
      <c r="U237" s="7" t="s">
        <v>1325</v>
      </c>
    </row>
    <row r="238" spans="1:21" s="74" customFormat="1" ht="16.5" thickBot="1">
      <c r="A238" s="50" t="s">
        <v>35</v>
      </c>
      <c r="B238" s="51">
        <f t="shared" si="12"/>
        <v>70</v>
      </c>
      <c r="C238" s="51" t="s">
        <v>3</v>
      </c>
      <c r="D238" s="51">
        <f t="shared" si="13"/>
        <v>300</v>
      </c>
      <c r="E238" s="51" t="s">
        <v>3</v>
      </c>
      <c r="F238" s="110">
        <f t="shared" si="14"/>
        <v>1700</v>
      </c>
      <c r="G238" s="51" t="s">
        <v>3</v>
      </c>
      <c r="H238" s="48">
        <v>4</v>
      </c>
      <c r="I238" s="49" t="s">
        <v>45</v>
      </c>
      <c r="J238" s="184">
        <v>70</v>
      </c>
      <c r="K238" s="113">
        <v>300</v>
      </c>
      <c r="L238" s="113">
        <v>1700</v>
      </c>
      <c r="M238" s="185">
        <v>16.143449489172859</v>
      </c>
      <c r="N238" s="75">
        <v>590.62182391805038</v>
      </c>
      <c r="O238" s="121">
        <v>27853.065139836832</v>
      </c>
      <c r="P238" s="121">
        <v>32257.55197385393</v>
      </c>
      <c r="Q238" s="120">
        <v>16541.764683298541</v>
      </c>
      <c r="R238" s="314">
        <v>44394.829823135369</v>
      </c>
      <c r="S238" s="315">
        <v>48799.316657152471</v>
      </c>
      <c r="U238" s="7" t="s">
        <v>1326</v>
      </c>
    </row>
    <row r="239" spans="1:21" s="74" customFormat="1" ht="16.5" thickBot="1">
      <c r="A239" s="50" t="s">
        <v>35</v>
      </c>
      <c r="B239" s="51">
        <f t="shared" si="12"/>
        <v>70</v>
      </c>
      <c r="C239" s="51" t="s">
        <v>3</v>
      </c>
      <c r="D239" s="51">
        <f t="shared" si="13"/>
        <v>300</v>
      </c>
      <c r="E239" s="51" t="s">
        <v>3</v>
      </c>
      <c r="F239" s="110">
        <f t="shared" si="14"/>
        <v>1750</v>
      </c>
      <c r="G239" s="51" t="s">
        <v>3</v>
      </c>
      <c r="H239" s="48">
        <v>4</v>
      </c>
      <c r="I239" s="49" t="s">
        <v>45</v>
      </c>
      <c r="J239" s="184">
        <v>70</v>
      </c>
      <c r="K239" s="113">
        <v>300</v>
      </c>
      <c r="L239" s="113">
        <v>1750</v>
      </c>
      <c r="M239" s="185">
        <v>16.596841373218574</v>
      </c>
      <c r="N239" s="75">
        <v>612.49670628538547</v>
      </c>
      <c r="O239" s="121">
        <v>28499.817067979293</v>
      </c>
      <c r="P239" s="121">
        <v>33020.743629773373</v>
      </c>
      <c r="Q239" s="120">
        <v>17026.054535502903</v>
      </c>
      <c r="R239" s="314">
        <v>45525.871603482199</v>
      </c>
      <c r="S239" s="315">
        <v>50046.798165276276</v>
      </c>
      <c r="U239" s="7" t="s">
        <v>1327</v>
      </c>
    </row>
    <row r="240" spans="1:21" s="74" customFormat="1" ht="16.5" thickBot="1">
      <c r="A240" s="50" t="s">
        <v>35</v>
      </c>
      <c r="B240" s="51">
        <f t="shared" si="12"/>
        <v>70</v>
      </c>
      <c r="C240" s="51" t="s">
        <v>3</v>
      </c>
      <c r="D240" s="51">
        <f t="shared" si="13"/>
        <v>300</v>
      </c>
      <c r="E240" s="51" t="s">
        <v>3</v>
      </c>
      <c r="F240" s="110">
        <f t="shared" si="14"/>
        <v>1800</v>
      </c>
      <c r="G240" s="51" t="s">
        <v>3</v>
      </c>
      <c r="H240" s="48">
        <v>4</v>
      </c>
      <c r="I240" s="49" t="s">
        <v>45</v>
      </c>
      <c r="J240" s="184">
        <v>70</v>
      </c>
      <c r="K240" s="113">
        <v>300</v>
      </c>
      <c r="L240" s="113">
        <v>1800</v>
      </c>
      <c r="M240" s="185">
        <v>17.050233257264289</v>
      </c>
      <c r="N240" s="75">
        <v>634.37158865272067</v>
      </c>
      <c r="O240" s="121">
        <v>29146.568996121758</v>
      </c>
      <c r="P240" s="121">
        <v>33783.935285692671</v>
      </c>
      <c r="Q240" s="120">
        <v>17510.344247313904</v>
      </c>
      <c r="R240" s="314">
        <v>46656.913243435658</v>
      </c>
      <c r="S240" s="315">
        <v>51294.279533006571</v>
      </c>
      <c r="U240" s="7" t="s">
        <v>1328</v>
      </c>
    </row>
    <row r="241" spans="1:21" s="74" customFormat="1" ht="16.5" thickBot="1">
      <c r="A241" s="50" t="s">
        <v>35</v>
      </c>
      <c r="B241" s="51">
        <f t="shared" si="12"/>
        <v>70</v>
      </c>
      <c r="C241" s="51" t="s">
        <v>3</v>
      </c>
      <c r="D241" s="51">
        <f t="shared" si="13"/>
        <v>300</v>
      </c>
      <c r="E241" s="51" t="s">
        <v>3</v>
      </c>
      <c r="F241" s="110">
        <f t="shared" si="14"/>
        <v>1850</v>
      </c>
      <c r="G241" s="51" t="s">
        <v>3</v>
      </c>
      <c r="H241" s="48">
        <v>4</v>
      </c>
      <c r="I241" s="49" t="s">
        <v>45</v>
      </c>
      <c r="J241" s="184">
        <v>70</v>
      </c>
      <c r="K241" s="113">
        <v>300</v>
      </c>
      <c r="L241" s="113">
        <v>1850</v>
      </c>
      <c r="M241" s="185">
        <v>17.503625141310003</v>
      </c>
      <c r="N241" s="75">
        <v>656.24647102005588</v>
      </c>
      <c r="O241" s="121">
        <v>29793.320924264219</v>
      </c>
      <c r="P241" s="121">
        <v>34547.126801218881</v>
      </c>
      <c r="Q241" s="120">
        <v>17994.634099518265</v>
      </c>
      <c r="R241" s="314">
        <v>47787.955023782488</v>
      </c>
      <c r="S241" s="315">
        <v>52541.76090073715</v>
      </c>
      <c r="U241" s="7" t="s">
        <v>1329</v>
      </c>
    </row>
    <row r="242" spans="1:21" s="74" customFormat="1" ht="16.5" thickBot="1">
      <c r="A242" s="50" t="s">
        <v>35</v>
      </c>
      <c r="B242" s="51">
        <f t="shared" si="12"/>
        <v>70</v>
      </c>
      <c r="C242" s="51" t="s">
        <v>3</v>
      </c>
      <c r="D242" s="51">
        <f t="shared" si="13"/>
        <v>300</v>
      </c>
      <c r="E242" s="51" t="s">
        <v>3</v>
      </c>
      <c r="F242" s="110">
        <f t="shared" si="14"/>
        <v>1900</v>
      </c>
      <c r="G242" s="51" t="s">
        <v>3</v>
      </c>
      <c r="H242" s="48">
        <v>4</v>
      </c>
      <c r="I242" s="49" t="s">
        <v>45</v>
      </c>
      <c r="J242" s="184">
        <v>70</v>
      </c>
      <c r="K242" s="113">
        <v>300</v>
      </c>
      <c r="L242" s="113">
        <v>1900</v>
      </c>
      <c r="M242" s="185">
        <v>17.957017025355714</v>
      </c>
      <c r="N242" s="75">
        <v>678.1213533873912</v>
      </c>
      <c r="O242" s="121">
        <v>30440.07271201332</v>
      </c>
      <c r="P242" s="121">
        <v>35310.318457138317</v>
      </c>
      <c r="Q242" s="120">
        <v>18478.923811329267</v>
      </c>
      <c r="R242" s="314">
        <v>48918.99652334259</v>
      </c>
      <c r="S242" s="315">
        <v>53789.242268467584</v>
      </c>
      <c r="U242" s="7" t="s">
        <v>1330</v>
      </c>
    </row>
    <row r="243" spans="1:21" s="74" customFormat="1" ht="16.5" thickBot="1">
      <c r="A243" s="50" t="s">
        <v>35</v>
      </c>
      <c r="B243" s="51">
        <f t="shared" si="12"/>
        <v>70</v>
      </c>
      <c r="C243" s="51" t="s">
        <v>3</v>
      </c>
      <c r="D243" s="51">
        <f t="shared" si="13"/>
        <v>300</v>
      </c>
      <c r="E243" s="51" t="s">
        <v>3</v>
      </c>
      <c r="F243" s="110">
        <f t="shared" si="14"/>
        <v>1950</v>
      </c>
      <c r="G243" s="51" t="s">
        <v>3</v>
      </c>
      <c r="H243" s="48">
        <v>4</v>
      </c>
      <c r="I243" s="49" t="s">
        <v>45</v>
      </c>
      <c r="J243" s="184">
        <v>70</v>
      </c>
      <c r="K243" s="113">
        <v>300</v>
      </c>
      <c r="L243" s="113">
        <v>1950</v>
      </c>
      <c r="M243" s="185">
        <v>18.488908909401431</v>
      </c>
      <c r="N243" s="75">
        <v>699.9962357547264</v>
      </c>
      <c r="O243" s="121">
        <v>31163.979076057916</v>
      </c>
      <c r="P243" s="121">
        <v>36148.312819744657</v>
      </c>
      <c r="Q243" s="120">
        <v>18963.213663533628</v>
      </c>
      <c r="R243" s="314">
        <v>50127.192739591541</v>
      </c>
      <c r="S243" s="315">
        <v>55111.526483278285</v>
      </c>
      <c r="U243" s="7" t="s">
        <v>1331</v>
      </c>
    </row>
    <row r="244" spans="1:21" s="74" customFormat="1" ht="16.5" thickBot="1">
      <c r="A244" s="50" t="s">
        <v>35</v>
      </c>
      <c r="B244" s="51">
        <f t="shared" si="12"/>
        <v>70</v>
      </c>
      <c r="C244" s="51" t="s">
        <v>3</v>
      </c>
      <c r="D244" s="51">
        <f t="shared" si="13"/>
        <v>300</v>
      </c>
      <c r="E244" s="51" t="s">
        <v>3</v>
      </c>
      <c r="F244" s="110">
        <f t="shared" si="14"/>
        <v>2000</v>
      </c>
      <c r="G244" s="51" t="s">
        <v>3</v>
      </c>
      <c r="H244" s="48">
        <v>4</v>
      </c>
      <c r="I244" s="49" t="s">
        <v>45</v>
      </c>
      <c r="J244" s="184">
        <v>70</v>
      </c>
      <c r="K244" s="113">
        <v>300</v>
      </c>
      <c r="L244" s="113">
        <v>2000</v>
      </c>
      <c r="M244" s="185">
        <v>19.033863193447143</v>
      </c>
      <c r="N244" s="75">
        <v>721.87111812206149</v>
      </c>
      <c r="O244" s="121">
        <v>32041.273893022244</v>
      </c>
      <c r="P244" s="121">
        <v>37212.815025541247</v>
      </c>
      <c r="Q244" s="120">
        <v>19447.50337534463</v>
      </c>
      <c r="R244" s="314">
        <v>51488.777268366874</v>
      </c>
      <c r="S244" s="315">
        <v>56660.318400885881</v>
      </c>
      <c r="U244" s="7" t="s">
        <v>1332</v>
      </c>
    </row>
    <row r="245" spans="1:21" s="74" customFormat="1" ht="16.5" thickBot="1">
      <c r="A245" s="50" t="s">
        <v>35</v>
      </c>
      <c r="B245" s="51">
        <f t="shared" si="12"/>
        <v>70</v>
      </c>
      <c r="C245" s="51" t="s">
        <v>3</v>
      </c>
      <c r="D245" s="51">
        <f t="shared" si="13"/>
        <v>300</v>
      </c>
      <c r="E245" s="51" t="s">
        <v>3</v>
      </c>
      <c r="F245" s="110">
        <f t="shared" si="14"/>
        <v>2050</v>
      </c>
      <c r="G245" s="51" t="s">
        <v>3</v>
      </c>
      <c r="H245" s="48">
        <v>4</v>
      </c>
      <c r="I245" s="49" t="s">
        <v>45</v>
      </c>
      <c r="J245" s="184">
        <v>70</v>
      </c>
      <c r="K245" s="113">
        <v>300</v>
      </c>
      <c r="L245" s="113">
        <v>2050</v>
      </c>
      <c r="M245" s="185">
        <v>19.487255077492854</v>
      </c>
      <c r="N245" s="75">
        <v>743.74600048939669</v>
      </c>
      <c r="O245" s="121">
        <v>32688.025821164705</v>
      </c>
      <c r="P245" s="121">
        <v>37976.006681460683</v>
      </c>
      <c r="Q245" s="120">
        <v>19931.793227548991</v>
      </c>
      <c r="R245" s="314">
        <v>52619.819048713696</v>
      </c>
      <c r="S245" s="315">
        <v>57907.799909009671</v>
      </c>
      <c r="U245" s="7" t="s">
        <v>1333</v>
      </c>
    </row>
    <row r="246" spans="1:21" s="74" customFormat="1" ht="16.5" thickBot="1">
      <c r="A246" s="47" t="s">
        <v>35</v>
      </c>
      <c r="B246" s="48">
        <f t="shared" si="12"/>
        <v>70</v>
      </c>
      <c r="C246" s="48" t="s">
        <v>3</v>
      </c>
      <c r="D246" s="48">
        <f t="shared" si="13"/>
        <v>300</v>
      </c>
      <c r="E246" s="48" t="s">
        <v>3</v>
      </c>
      <c r="F246" s="110">
        <f t="shared" si="14"/>
        <v>2100</v>
      </c>
      <c r="G246" s="48" t="s">
        <v>3</v>
      </c>
      <c r="H246" s="48">
        <v>4</v>
      </c>
      <c r="I246" s="49" t="s">
        <v>45</v>
      </c>
      <c r="J246" s="184">
        <v>70</v>
      </c>
      <c r="K246" s="113">
        <v>300</v>
      </c>
      <c r="L246" s="113">
        <v>2100</v>
      </c>
      <c r="M246" s="185">
        <v>19.940646961538572</v>
      </c>
      <c r="N246" s="75">
        <v>765.6208828567319</v>
      </c>
      <c r="O246" s="121">
        <v>33334.77774930717</v>
      </c>
      <c r="P246" s="121">
        <v>38739.198196986763</v>
      </c>
      <c r="Q246" s="120">
        <v>20416.082939359992</v>
      </c>
      <c r="R246" s="314">
        <v>53750.860688667162</v>
      </c>
      <c r="S246" s="315">
        <v>59155.281136346755</v>
      </c>
      <c r="U246" s="7" t="s">
        <v>1334</v>
      </c>
    </row>
    <row r="247" spans="1:21" s="74" customFormat="1" ht="16.5" thickBot="1">
      <c r="A247" s="50" t="s">
        <v>35</v>
      </c>
      <c r="B247" s="51">
        <f t="shared" si="12"/>
        <v>70</v>
      </c>
      <c r="C247" s="51" t="s">
        <v>3</v>
      </c>
      <c r="D247" s="51">
        <f t="shared" si="13"/>
        <v>300</v>
      </c>
      <c r="E247" s="51" t="s">
        <v>3</v>
      </c>
      <c r="F247" s="110">
        <f t="shared" si="14"/>
        <v>2150</v>
      </c>
      <c r="G247" s="51" t="s">
        <v>3</v>
      </c>
      <c r="H247" s="48">
        <v>4</v>
      </c>
      <c r="I247" s="49" t="s">
        <v>45</v>
      </c>
      <c r="J247" s="184">
        <v>70</v>
      </c>
      <c r="K247" s="113">
        <v>300</v>
      </c>
      <c r="L247" s="113">
        <v>2150</v>
      </c>
      <c r="M247" s="185">
        <v>20.394038845584287</v>
      </c>
      <c r="N247" s="75">
        <v>787.4957652240671</v>
      </c>
      <c r="O247" s="121">
        <v>33981.529677449631</v>
      </c>
      <c r="P247" s="121">
        <v>39502.389852906192</v>
      </c>
      <c r="Q247" s="120">
        <v>20900.372791564354</v>
      </c>
      <c r="R247" s="314">
        <v>54881.902469013985</v>
      </c>
      <c r="S247" s="315">
        <v>60402.762644470546</v>
      </c>
      <c r="U247" s="7" t="s">
        <v>1335</v>
      </c>
    </row>
    <row r="248" spans="1:21" s="74" customFormat="1" ht="16.5" thickBot="1">
      <c r="A248" s="50" t="s">
        <v>35</v>
      </c>
      <c r="B248" s="51">
        <f t="shared" si="12"/>
        <v>70</v>
      </c>
      <c r="C248" s="51" t="s">
        <v>3</v>
      </c>
      <c r="D248" s="51">
        <f t="shared" si="13"/>
        <v>300</v>
      </c>
      <c r="E248" s="51" t="s">
        <v>3</v>
      </c>
      <c r="F248" s="110">
        <f t="shared" si="14"/>
        <v>2200</v>
      </c>
      <c r="G248" s="51" t="s">
        <v>3</v>
      </c>
      <c r="H248" s="48">
        <v>4</v>
      </c>
      <c r="I248" s="49" t="s">
        <v>45</v>
      </c>
      <c r="J248" s="184">
        <v>70</v>
      </c>
      <c r="K248" s="113">
        <v>300</v>
      </c>
      <c r="L248" s="113">
        <v>2200</v>
      </c>
      <c r="M248" s="185">
        <v>20.847430729630002</v>
      </c>
      <c r="N248" s="75">
        <v>809.3706475914023</v>
      </c>
      <c r="O248" s="121">
        <v>34628.281605592099</v>
      </c>
      <c r="P248" s="121">
        <v>40265.581508825628</v>
      </c>
      <c r="Q248" s="120">
        <v>21384.662503375355</v>
      </c>
      <c r="R248" s="314">
        <v>56012.944108967451</v>
      </c>
      <c r="S248" s="315">
        <v>61650.244012200987</v>
      </c>
      <c r="U248" s="7" t="s">
        <v>1336</v>
      </c>
    </row>
    <row r="249" spans="1:21" s="74" customFormat="1" ht="16.5" thickBot="1">
      <c r="A249" s="50" t="s">
        <v>35</v>
      </c>
      <c r="B249" s="51">
        <f t="shared" si="12"/>
        <v>70</v>
      </c>
      <c r="C249" s="51" t="s">
        <v>3</v>
      </c>
      <c r="D249" s="51">
        <f t="shared" si="13"/>
        <v>300</v>
      </c>
      <c r="E249" s="51" t="s">
        <v>3</v>
      </c>
      <c r="F249" s="110">
        <f t="shared" si="14"/>
        <v>2250</v>
      </c>
      <c r="G249" s="51" t="s">
        <v>3</v>
      </c>
      <c r="H249" s="48">
        <v>4</v>
      </c>
      <c r="I249" s="49" t="s">
        <v>45</v>
      </c>
      <c r="J249" s="184">
        <v>70</v>
      </c>
      <c r="K249" s="113">
        <v>300</v>
      </c>
      <c r="L249" s="113">
        <v>2250</v>
      </c>
      <c r="M249" s="185">
        <v>21.300822613675713</v>
      </c>
      <c r="N249" s="75">
        <v>831.24552995873751</v>
      </c>
      <c r="O249" s="121">
        <v>35275.033393341197</v>
      </c>
      <c r="P249" s="121">
        <v>41028.773164745071</v>
      </c>
      <c r="Q249" s="120">
        <v>21868.952355579717</v>
      </c>
      <c r="R249" s="314">
        <v>57143.98574892091</v>
      </c>
      <c r="S249" s="315">
        <v>62897.725520324791</v>
      </c>
      <c r="U249" s="7" t="s">
        <v>1337</v>
      </c>
    </row>
    <row r="250" spans="1:21" s="74" customFormat="1" ht="16.5" thickBot="1">
      <c r="A250" s="50" t="s">
        <v>35</v>
      </c>
      <c r="B250" s="51">
        <f t="shared" si="12"/>
        <v>70</v>
      </c>
      <c r="C250" s="51" t="s">
        <v>3</v>
      </c>
      <c r="D250" s="51">
        <f t="shared" si="13"/>
        <v>300</v>
      </c>
      <c r="E250" s="51" t="s">
        <v>3</v>
      </c>
      <c r="F250" s="110">
        <f t="shared" si="14"/>
        <v>2300</v>
      </c>
      <c r="G250" s="51" t="s">
        <v>3</v>
      </c>
      <c r="H250" s="48">
        <v>4</v>
      </c>
      <c r="I250" s="49" t="s">
        <v>45</v>
      </c>
      <c r="J250" s="184">
        <v>70</v>
      </c>
      <c r="K250" s="113">
        <v>300</v>
      </c>
      <c r="L250" s="113">
        <v>2300</v>
      </c>
      <c r="M250" s="185">
        <v>21.754214497721428</v>
      </c>
      <c r="N250" s="75">
        <v>853.12041232607271</v>
      </c>
      <c r="O250" s="121">
        <v>35921.785321483658</v>
      </c>
      <c r="P250" s="121">
        <v>41791.964820664507</v>
      </c>
      <c r="Q250" s="120">
        <v>22353.242067390718</v>
      </c>
      <c r="R250" s="314">
        <v>58275.027388874376</v>
      </c>
      <c r="S250" s="315">
        <v>64145.206888055225</v>
      </c>
      <c r="U250" s="7" t="s">
        <v>1338</v>
      </c>
    </row>
    <row r="251" spans="1:21" s="74" customFormat="1" ht="16.5" thickBot="1">
      <c r="A251" s="50" t="s">
        <v>35</v>
      </c>
      <c r="B251" s="51">
        <f t="shared" si="12"/>
        <v>70</v>
      </c>
      <c r="C251" s="51" t="s">
        <v>3</v>
      </c>
      <c r="D251" s="51">
        <f t="shared" si="13"/>
        <v>300</v>
      </c>
      <c r="E251" s="51" t="s">
        <v>3</v>
      </c>
      <c r="F251" s="110">
        <f t="shared" si="14"/>
        <v>2350</v>
      </c>
      <c r="G251" s="51" t="s">
        <v>3</v>
      </c>
      <c r="H251" s="48">
        <v>4</v>
      </c>
      <c r="I251" s="49" t="s">
        <v>45</v>
      </c>
      <c r="J251" s="184">
        <v>70</v>
      </c>
      <c r="K251" s="113">
        <v>300</v>
      </c>
      <c r="L251" s="113">
        <v>2350</v>
      </c>
      <c r="M251" s="185">
        <v>22.207606381767143</v>
      </c>
      <c r="N251" s="75">
        <v>874.99529469340791</v>
      </c>
      <c r="O251" s="121">
        <v>36568.537249626119</v>
      </c>
      <c r="P251" s="121">
        <v>42555.15647658395</v>
      </c>
      <c r="Q251" s="120">
        <v>22837.53191959508</v>
      </c>
      <c r="R251" s="314">
        <v>59406.069169221199</v>
      </c>
      <c r="S251" s="315">
        <v>65392.68839617903</v>
      </c>
      <c r="U251" s="7" t="s">
        <v>1339</v>
      </c>
    </row>
    <row r="252" spans="1:21" s="74" customFormat="1" ht="16.5" thickBot="1">
      <c r="A252" s="50" t="s">
        <v>35</v>
      </c>
      <c r="B252" s="51">
        <f t="shared" si="12"/>
        <v>70</v>
      </c>
      <c r="C252" s="51" t="s">
        <v>3</v>
      </c>
      <c r="D252" s="51">
        <f t="shared" si="13"/>
        <v>300</v>
      </c>
      <c r="E252" s="51" t="s">
        <v>3</v>
      </c>
      <c r="F252" s="110">
        <f t="shared" si="14"/>
        <v>2400</v>
      </c>
      <c r="G252" s="51" t="s">
        <v>3</v>
      </c>
      <c r="H252" s="48">
        <v>4</v>
      </c>
      <c r="I252" s="49" t="s">
        <v>45</v>
      </c>
      <c r="J252" s="184">
        <v>70</v>
      </c>
      <c r="K252" s="113">
        <v>300</v>
      </c>
      <c r="L252" s="113">
        <v>2400</v>
      </c>
      <c r="M252" s="185">
        <v>22.660998265812854</v>
      </c>
      <c r="N252" s="75">
        <v>896.870177060743</v>
      </c>
      <c r="O252" s="121">
        <v>37215.28917776858</v>
      </c>
      <c r="P252" s="121">
        <v>43318.347992110022</v>
      </c>
      <c r="Q252" s="120">
        <v>23321.821631406081</v>
      </c>
      <c r="R252" s="314">
        <v>60537.110809174657</v>
      </c>
      <c r="S252" s="315">
        <v>66640.169623516107</v>
      </c>
      <c r="U252" s="7" t="s">
        <v>1340</v>
      </c>
    </row>
    <row r="253" spans="1:21" s="74" customFormat="1" ht="16.5" thickBot="1">
      <c r="A253" s="50" t="s">
        <v>35</v>
      </c>
      <c r="B253" s="51">
        <f t="shared" si="12"/>
        <v>70</v>
      </c>
      <c r="C253" s="51" t="s">
        <v>3</v>
      </c>
      <c r="D253" s="51">
        <f t="shared" si="13"/>
        <v>300</v>
      </c>
      <c r="E253" s="51" t="s">
        <v>3</v>
      </c>
      <c r="F253" s="110">
        <f t="shared" si="14"/>
        <v>2450</v>
      </c>
      <c r="G253" s="51" t="s">
        <v>3</v>
      </c>
      <c r="H253" s="48">
        <v>4</v>
      </c>
      <c r="I253" s="49" t="s">
        <v>45</v>
      </c>
      <c r="J253" s="184">
        <v>70</v>
      </c>
      <c r="K253" s="113">
        <v>300</v>
      </c>
      <c r="L253" s="113">
        <v>2450</v>
      </c>
      <c r="M253" s="185">
        <v>23.25895504265857</v>
      </c>
      <c r="N253" s="75">
        <v>918.74505942807832</v>
      </c>
      <c r="O253" s="121">
        <v>38540.68830011307</v>
      </c>
      <c r="P253" s="121">
        <v>44675.965425641189</v>
      </c>
      <c r="Q253" s="120">
        <v>23806.111483610443</v>
      </c>
      <c r="R253" s="314">
        <v>62346.799783723516</v>
      </c>
      <c r="S253" s="315">
        <v>68482.076909251628</v>
      </c>
      <c r="U253" s="7" t="s">
        <v>1341</v>
      </c>
    </row>
    <row r="254" spans="1:21" s="74" customFormat="1" ht="16.5" thickBot="1">
      <c r="A254" s="50" t="s">
        <v>35</v>
      </c>
      <c r="B254" s="51">
        <f t="shared" si="12"/>
        <v>70</v>
      </c>
      <c r="C254" s="51" t="s">
        <v>3</v>
      </c>
      <c r="D254" s="51">
        <f t="shared" si="13"/>
        <v>300</v>
      </c>
      <c r="E254" s="51" t="s">
        <v>3</v>
      </c>
      <c r="F254" s="110">
        <f t="shared" si="14"/>
        <v>2500</v>
      </c>
      <c r="G254" s="51" t="s">
        <v>3</v>
      </c>
      <c r="H254" s="48">
        <v>4</v>
      </c>
      <c r="I254" s="49" t="s">
        <v>45</v>
      </c>
      <c r="J254" s="184">
        <v>70</v>
      </c>
      <c r="K254" s="113">
        <v>300</v>
      </c>
      <c r="L254" s="113">
        <v>2500</v>
      </c>
      <c r="M254" s="185">
        <v>23.712346926704285</v>
      </c>
      <c r="N254" s="75">
        <v>940.61994179541352</v>
      </c>
      <c r="O254" s="121">
        <v>39187.440228255531</v>
      </c>
      <c r="P254" s="121">
        <v>45439.157081560625</v>
      </c>
      <c r="Q254" s="120">
        <v>24290.401195421444</v>
      </c>
      <c r="R254" s="314">
        <v>63477.841423676975</v>
      </c>
      <c r="S254" s="315">
        <v>69729.558276982076</v>
      </c>
      <c r="U254" s="7" t="s">
        <v>1342</v>
      </c>
    </row>
    <row r="255" spans="1:21" s="74" customFormat="1" ht="16.5" thickBot="1">
      <c r="A255" s="50" t="s">
        <v>35</v>
      </c>
      <c r="B255" s="51">
        <f t="shared" si="12"/>
        <v>70</v>
      </c>
      <c r="C255" s="51" t="s">
        <v>3</v>
      </c>
      <c r="D255" s="51">
        <f t="shared" si="13"/>
        <v>300</v>
      </c>
      <c r="E255" s="51" t="s">
        <v>3</v>
      </c>
      <c r="F255" s="110">
        <f t="shared" si="14"/>
        <v>2550</v>
      </c>
      <c r="G255" s="51" t="s">
        <v>3</v>
      </c>
      <c r="H255" s="48">
        <v>4</v>
      </c>
      <c r="I255" s="49" t="s">
        <v>45</v>
      </c>
      <c r="J255" s="184">
        <v>70</v>
      </c>
      <c r="K255" s="113">
        <v>300</v>
      </c>
      <c r="L255" s="113">
        <v>2550</v>
      </c>
      <c r="M255" s="185">
        <v>24.16573881075</v>
      </c>
      <c r="N255" s="75">
        <v>962.49482416274873</v>
      </c>
      <c r="O255" s="121">
        <v>39834.192156397992</v>
      </c>
      <c r="P255" s="121">
        <v>46202.348737480061</v>
      </c>
      <c r="Q255" s="120">
        <v>24774.691047625805</v>
      </c>
      <c r="R255" s="314">
        <v>64608.883204023798</v>
      </c>
      <c r="S255" s="315">
        <v>70977.039785105866</v>
      </c>
      <c r="U255" s="7" t="s">
        <v>1343</v>
      </c>
    </row>
    <row r="256" spans="1:21" s="74" customFormat="1" ht="16.5" thickBot="1">
      <c r="A256" s="47" t="s">
        <v>35</v>
      </c>
      <c r="B256" s="48">
        <f t="shared" si="12"/>
        <v>70</v>
      </c>
      <c r="C256" s="48" t="s">
        <v>3</v>
      </c>
      <c r="D256" s="48">
        <f t="shared" si="13"/>
        <v>300</v>
      </c>
      <c r="E256" s="48" t="s">
        <v>3</v>
      </c>
      <c r="F256" s="110">
        <f t="shared" si="14"/>
        <v>2600</v>
      </c>
      <c r="G256" s="48" t="s">
        <v>3</v>
      </c>
      <c r="H256" s="48">
        <v>4</v>
      </c>
      <c r="I256" s="49" t="s">
        <v>45</v>
      </c>
      <c r="J256" s="184">
        <v>70</v>
      </c>
      <c r="K256" s="113">
        <v>300</v>
      </c>
      <c r="L256" s="113">
        <v>2600</v>
      </c>
      <c r="M256" s="185">
        <v>24.619130694795714</v>
      </c>
      <c r="N256" s="75">
        <v>984.36970653008393</v>
      </c>
      <c r="O256" s="121">
        <v>40480.943944147097</v>
      </c>
      <c r="P256" s="121">
        <v>46965.540393399497</v>
      </c>
      <c r="Q256" s="120">
        <v>25258.980759436807</v>
      </c>
      <c r="R256" s="314">
        <v>65739.924703583907</v>
      </c>
      <c r="S256" s="315">
        <v>72224.5211528363</v>
      </c>
      <c r="U256" s="7" t="s">
        <v>1344</v>
      </c>
    </row>
    <row r="257" spans="1:21" s="74" customFormat="1" ht="16.5" thickBot="1">
      <c r="A257" s="50" t="s">
        <v>35</v>
      </c>
      <c r="B257" s="51">
        <f t="shared" si="12"/>
        <v>70</v>
      </c>
      <c r="C257" s="51" t="s">
        <v>3</v>
      </c>
      <c r="D257" s="51">
        <f t="shared" si="13"/>
        <v>300</v>
      </c>
      <c r="E257" s="51" t="s">
        <v>3</v>
      </c>
      <c r="F257" s="110">
        <f t="shared" si="14"/>
        <v>2650</v>
      </c>
      <c r="G257" s="51" t="s">
        <v>3</v>
      </c>
      <c r="H257" s="48">
        <v>4</v>
      </c>
      <c r="I257" s="49" t="s">
        <v>45</v>
      </c>
      <c r="J257" s="184">
        <v>70</v>
      </c>
      <c r="K257" s="113">
        <v>300</v>
      </c>
      <c r="L257" s="113">
        <v>2650</v>
      </c>
      <c r="M257" s="185">
        <v>25.072522578841429</v>
      </c>
      <c r="N257" s="75">
        <v>1006.244588897419</v>
      </c>
      <c r="O257" s="121">
        <v>41127.695872289558</v>
      </c>
      <c r="P257" s="121">
        <v>47728.731908925576</v>
      </c>
      <c r="Q257" s="120">
        <v>25743.270611641168</v>
      </c>
      <c r="R257" s="314">
        <v>66870.966483930722</v>
      </c>
      <c r="S257" s="315">
        <v>73472.002520566748</v>
      </c>
      <c r="U257" s="7" t="s">
        <v>1345</v>
      </c>
    </row>
    <row r="258" spans="1:21" s="74" customFormat="1" ht="16.5" thickBot="1">
      <c r="A258" s="50" t="s">
        <v>35</v>
      </c>
      <c r="B258" s="51">
        <f t="shared" si="12"/>
        <v>70</v>
      </c>
      <c r="C258" s="51" t="s">
        <v>3</v>
      </c>
      <c r="D258" s="51">
        <f t="shared" si="13"/>
        <v>300</v>
      </c>
      <c r="E258" s="51" t="s">
        <v>3</v>
      </c>
      <c r="F258" s="110">
        <f t="shared" si="14"/>
        <v>2700</v>
      </c>
      <c r="G258" s="51" t="s">
        <v>3</v>
      </c>
      <c r="H258" s="48">
        <v>4</v>
      </c>
      <c r="I258" s="49" t="s">
        <v>45</v>
      </c>
      <c r="J258" s="184">
        <v>70</v>
      </c>
      <c r="K258" s="113">
        <v>300</v>
      </c>
      <c r="L258" s="113">
        <v>2700</v>
      </c>
      <c r="M258" s="185">
        <v>25.604414462887142</v>
      </c>
      <c r="N258" s="75">
        <v>1028.1194712647543</v>
      </c>
      <c r="O258" s="121">
        <v>41851.602236334162</v>
      </c>
      <c r="P258" s="121">
        <v>48566.726271531916</v>
      </c>
      <c r="Q258" s="120">
        <v>26227.56032345217</v>
      </c>
      <c r="R258" s="314">
        <v>68079.162559786331</v>
      </c>
      <c r="S258" s="315">
        <v>74794.286594984093</v>
      </c>
      <c r="U258" s="7" t="s">
        <v>1346</v>
      </c>
    </row>
    <row r="259" spans="1:21" s="74" customFormat="1" ht="16.5" thickBot="1">
      <c r="A259" s="50" t="s">
        <v>35</v>
      </c>
      <c r="B259" s="51">
        <f t="shared" si="12"/>
        <v>70</v>
      </c>
      <c r="C259" s="51" t="s">
        <v>3</v>
      </c>
      <c r="D259" s="51">
        <f t="shared" si="13"/>
        <v>300</v>
      </c>
      <c r="E259" s="51" t="s">
        <v>3</v>
      </c>
      <c r="F259" s="110">
        <f t="shared" si="14"/>
        <v>2750</v>
      </c>
      <c r="G259" s="51" t="s">
        <v>3</v>
      </c>
      <c r="H259" s="48">
        <v>4</v>
      </c>
      <c r="I259" s="49" t="s">
        <v>45</v>
      </c>
      <c r="J259" s="184">
        <v>70</v>
      </c>
      <c r="K259" s="113">
        <v>300</v>
      </c>
      <c r="L259" s="113">
        <v>2750</v>
      </c>
      <c r="M259" s="185">
        <v>26.057806346932857</v>
      </c>
      <c r="N259" s="75">
        <v>1049.9943536320895</v>
      </c>
      <c r="O259" s="121">
        <v>42498.354024083259</v>
      </c>
      <c r="P259" s="121">
        <v>49329.917927451344</v>
      </c>
      <c r="Q259" s="120">
        <v>26711.850175656393</v>
      </c>
      <c r="R259" s="314">
        <v>69210.204199739645</v>
      </c>
      <c r="S259" s="315">
        <v>76041.768103107737</v>
      </c>
      <c r="U259" s="7" t="s">
        <v>1347</v>
      </c>
    </row>
    <row r="260" spans="1:21" s="74" customFormat="1" ht="16.5" thickBot="1">
      <c r="A260" s="50" t="s">
        <v>35</v>
      </c>
      <c r="B260" s="51">
        <f t="shared" si="12"/>
        <v>70</v>
      </c>
      <c r="C260" s="51" t="s">
        <v>3</v>
      </c>
      <c r="D260" s="51">
        <f t="shared" si="13"/>
        <v>300</v>
      </c>
      <c r="E260" s="51" t="s">
        <v>3</v>
      </c>
      <c r="F260" s="110">
        <f t="shared" si="14"/>
        <v>2800</v>
      </c>
      <c r="G260" s="51" t="s">
        <v>3</v>
      </c>
      <c r="H260" s="48">
        <v>4</v>
      </c>
      <c r="I260" s="49" t="s">
        <v>45</v>
      </c>
      <c r="J260" s="184">
        <v>70</v>
      </c>
      <c r="K260" s="113">
        <v>300</v>
      </c>
      <c r="L260" s="113">
        <v>2800</v>
      </c>
      <c r="M260" s="185">
        <v>26.511198230978572</v>
      </c>
      <c r="N260" s="75">
        <v>1071.8692359994247</v>
      </c>
      <c r="O260" s="121">
        <v>43145.10595222572</v>
      </c>
      <c r="P260" s="121">
        <v>50093.10958337078</v>
      </c>
      <c r="Q260" s="120">
        <v>27196.140027860896</v>
      </c>
      <c r="R260" s="314">
        <v>70341.24598008662</v>
      </c>
      <c r="S260" s="315">
        <v>77289.249611231673</v>
      </c>
      <c r="U260" s="7" t="s">
        <v>1348</v>
      </c>
    </row>
    <row r="261" spans="1:21" s="74" customFormat="1" ht="16.5" thickBot="1">
      <c r="A261" s="50" t="s">
        <v>35</v>
      </c>
      <c r="B261" s="51">
        <f t="shared" si="12"/>
        <v>70</v>
      </c>
      <c r="C261" s="51" t="s">
        <v>3</v>
      </c>
      <c r="D261" s="51">
        <f t="shared" si="13"/>
        <v>300</v>
      </c>
      <c r="E261" s="51" t="s">
        <v>3</v>
      </c>
      <c r="F261" s="110">
        <f t="shared" si="14"/>
        <v>2850</v>
      </c>
      <c r="G261" s="51" t="s">
        <v>3</v>
      </c>
      <c r="H261" s="48">
        <v>4</v>
      </c>
      <c r="I261" s="49" t="s">
        <v>45</v>
      </c>
      <c r="J261" s="184">
        <v>70</v>
      </c>
      <c r="K261" s="113">
        <v>300</v>
      </c>
      <c r="L261" s="113">
        <v>2850</v>
      </c>
      <c r="M261" s="185">
        <v>26.964590115024283</v>
      </c>
      <c r="N261" s="75">
        <v>1093.7441183667599</v>
      </c>
      <c r="O261" s="121">
        <v>43791.857880368188</v>
      </c>
      <c r="P261" s="121">
        <v>50856.301239290216</v>
      </c>
      <c r="Q261" s="120">
        <v>27680.42973967189</v>
      </c>
      <c r="R261" s="314">
        <v>71472.287620040079</v>
      </c>
      <c r="S261" s="315">
        <v>78536.730978962107</v>
      </c>
      <c r="U261" s="7" t="s">
        <v>1349</v>
      </c>
    </row>
    <row r="262" spans="1:21" s="74" customFormat="1" ht="16.5" thickBot="1">
      <c r="A262" s="50" t="s">
        <v>35</v>
      </c>
      <c r="B262" s="51">
        <f t="shared" si="12"/>
        <v>70</v>
      </c>
      <c r="C262" s="51" t="s">
        <v>3</v>
      </c>
      <c r="D262" s="51">
        <f t="shared" si="13"/>
        <v>300</v>
      </c>
      <c r="E262" s="51" t="s">
        <v>3</v>
      </c>
      <c r="F262" s="110">
        <f t="shared" si="14"/>
        <v>2900</v>
      </c>
      <c r="G262" s="51" t="s">
        <v>3</v>
      </c>
      <c r="H262" s="48">
        <v>4</v>
      </c>
      <c r="I262" s="49" t="s">
        <v>45</v>
      </c>
      <c r="J262" s="184">
        <v>70</v>
      </c>
      <c r="K262" s="113">
        <v>300</v>
      </c>
      <c r="L262" s="113">
        <v>2900</v>
      </c>
      <c r="M262" s="185">
        <v>27.417981999069998</v>
      </c>
      <c r="N262" s="75">
        <v>1115.6190007340949</v>
      </c>
      <c r="O262" s="121">
        <v>44438.609808510642</v>
      </c>
      <c r="P262" s="121">
        <v>51619.492754816296</v>
      </c>
      <c r="Q262" s="120">
        <v>28164.719591876255</v>
      </c>
      <c r="R262" s="314">
        <v>72603.329400386894</v>
      </c>
      <c r="S262" s="315">
        <v>79784.212346692555</v>
      </c>
      <c r="U262" s="7" t="s">
        <v>1350</v>
      </c>
    </row>
    <row r="263" spans="1:21" s="74" customFormat="1" ht="16.5" thickBot="1">
      <c r="A263" s="50" t="s">
        <v>35</v>
      </c>
      <c r="B263" s="51">
        <f t="shared" si="12"/>
        <v>70</v>
      </c>
      <c r="C263" s="51" t="s">
        <v>3</v>
      </c>
      <c r="D263" s="51">
        <f t="shared" si="13"/>
        <v>300</v>
      </c>
      <c r="E263" s="51" t="s">
        <v>3</v>
      </c>
      <c r="F263" s="110">
        <f t="shared" si="14"/>
        <v>2950</v>
      </c>
      <c r="G263" s="51" t="s">
        <v>3</v>
      </c>
      <c r="H263" s="48">
        <v>4</v>
      </c>
      <c r="I263" s="49" t="s">
        <v>45</v>
      </c>
      <c r="J263" s="184">
        <v>70</v>
      </c>
      <c r="K263" s="113">
        <v>300</v>
      </c>
      <c r="L263" s="113">
        <v>2950</v>
      </c>
      <c r="M263" s="185">
        <v>27.871373883115716</v>
      </c>
      <c r="N263" s="75">
        <v>1137.4938831014304</v>
      </c>
      <c r="O263" s="121">
        <v>45085.361736653111</v>
      </c>
      <c r="P263" s="121">
        <v>52382.684410735732</v>
      </c>
      <c r="Q263" s="120">
        <v>28649.009303687253</v>
      </c>
      <c r="R263" s="314">
        <v>73734.371040340367</v>
      </c>
      <c r="S263" s="315">
        <v>81031.693714422989</v>
      </c>
      <c r="U263" s="7" t="s">
        <v>1351</v>
      </c>
    </row>
    <row r="264" spans="1:21" s="74" customFormat="1" ht="16.5" thickBot="1">
      <c r="A264" s="50" t="s">
        <v>35</v>
      </c>
      <c r="B264" s="51">
        <f t="shared" si="12"/>
        <v>70</v>
      </c>
      <c r="C264" s="51" t="s">
        <v>3</v>
      </c>
      <c r="D264" s="51">
        <f t="shared" si="13"/>
        <v>300</v>
      </c>
      <c r="E264" s="51" t="s">
        <v>3</v>
      </c>
      <c r="F264" s="110">
        <f t="shared" si="14"/>
        <v>3000</v>
      </c>
      <c r="G264" s="51" t="s">
        <v>3</v>
      </c>
      <c r="H264" s="48">
        <v>4</v>
      </c>
      <c r="I264" s="49" t="s">
        <v>45</v>
      </c>
      <c r="J264" s="186">
        <v>70</v>
      </c>
      <c r="K264" s="157">
        <v>300</v>
      </c>
      <c r="L264" s="157">
        <v>3000</v>
      </c>
      <c r="M264" s="187">
        <v>28.324765767161423</v>
      </c>
      <c r="N264" s="147">
        <v>1159.3687654687656</v>
      </c>
      <c r="O264" s="158">
        <v>45732.113524402208</v>
      </c>
      <c r="P264" s="158">
        <v>53145.876066655175</v>
      </c>
      <c r="Q264" s="159">
        <v>29133.299155891618</v>
      </c>
      <c r="R264" s="316">
        <v>74865.412680293826</v>
      </c>
      <c r="S264" s="317">
        <v>82279.175222546794</v>
      </c>
      <c r="U264" s="7" t="s">
        <v>1352</v>
      </c>
    </row>
  </sheetData>
  <mergeCells count="22">
    <mergeCell ref="A59:S59"/>
    <mergeCell ref="A7:S7"/>
    <mergeCell ref="A8:S8"/>
    <mergeCell ref="A9:S9"/>
    <mergeCell ref="A163:S163"/>
    <mergeCell ref="A60:S60"/>
    <mergeCell ref="A112:S112"/>
    <mergeCell ref="A165:S165"/>
    <mergeCell ref="A215:S215"/>
    <mergeCell ref="A61:S61"/>
    <mergeCell ref="A111:S111"/>
    <mergeCell ref="A113:S113"/>
    <mergeCell ref="A164:S164"/>
    <mergeCell ref="Q4:Q5"/>
    <mergeCell ref="R4:R5"/>
    <mergeCell ref="S4:S5"/>
    <mergeCell ref="O6:S6"/>
    <mergeCell ref="A4:I6"/>
    <mergeCell ref="J4:M5"/>
    <mergeCell ref="N4:N6"/>
    <mergeCell ref="O4:O5"/>
    <mergeCell ref="P4:P5"/>
  </mergeCells>
  <hyperlinks>
    <hyperlink ref="A1:I1" location="Главная!A1" display="Вернуться на главную страницу" xr:uid="{00000000-0004-0000-1100-000000000000}"/>
    <hyperlink ref="A2" location="'Калькулятор теплоотдач ВК'!R1C1" display="Вернуться Калькулятор теплоотдач ВК" xr:uid="{00000000-0004-0000-1100-000001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20">
    <tabColor rgb="FFFFC000"/>
  </sheetPr>
  <dimension ref="A1:U413"/>
  <sheetViews>
    <sheetView zoomScale="70" zoomScaleNormal="70" workbookViewId="0">
      <pane ySplit="6" topLeftCell="A7" activePane="bottomLeft" state="frozen"/>
      <selection pane="bottomLeft" activeCell="U2" sqref="U2"/>
    </sheetView>
  </sheetViews>
  <sheetFormatPr defaultRowHeight="15.75"/>
  <cols>
    <col min="1" max="1" width="3.7109375" style="7" customWidth="1"/>
    <col min="2" max="2" width="6" style="7" customWidth="1"/>
    <col min="3" max="3" width="3" style="7" customWidth="1"/>
    <col min="4" max="4" width="6" style="7" customWidth="1"/>
    <col min="5" max="5" width="3" style="7" customWidth="1"/>
    <col min="6" max="6" width="7.7109375" style="108" customWidth="1"/>
    <col min="7" max="7" width="3" style="7" customWidth="1"/>
    <col min="8" max="8" width="6" style="7" customWidth="1"/>
    <col min="9" max="9" width="4.5703125" style="7" customWidth="1"/>
    <col min="10" max="10" width="11.28515625" style="7" customWidth="1"/>
    <col min="11" max="12" width="11.28515625" style="108" customWidth="1"/>
    <col min="13" max="13" width="15.5703125" style="175" customWidth="1"/>
    <col min="14" max="14" width="19.140625" style="7" customWidth="1"/>
    <col min="15" max="16" width="27.7109375" style="116" customWidth="1"/>
    <col min="17" max="17" width="26.28515625" style="117" customWidth="1"/>
    <col min="18" max="19" width="27.7109375" style="117" customWidth="1"/>
    <col min="21" max="21" width="22.42578125" customWidth="1"/>
  </cols>
  <sheetData>
    <row r="1" spans="1:21" s="74" customFormat="1" ht="16.5" customHeight="1">
      <c r="A1" s="1217" t="s">
        <v>9</v>
      </c>
      <c r="B1" s="1217"/>
      <c r="C1" s="1217"/>
      <c r="D1" s="1217"/>
      <c r="E1" s="1217"/>
      <c r="F1" s="97"/>
      <c r="G1" s="1217"/>
      <c r="H1" s="1217"/>
      <c r="I1" s="1217"/>
      <c r="J1" s="7"/>
      <c r="K1" s="96"/>
      <c r="L1" s="96"/>
      <c r="M1" s="175"/>
      <c r="N1" s="7"/>
      <c r="O1" s="117"/>
      <c r="P1" s="117"/>
      <c r="Q1" s="117"/>
      <c r="R1" s="117"/>
      <c r="S1" s="117"/>
    </row>
    <row r="2" spans="1:21" s="74" customFormat="1" ht="16.5" customHeight="1">
      <c r="A2" s="956" t="s">
        <v>378</v>
      </c>
      <c r="B2" s="1217"/>
      <c r="C2" s="1217"/>
      <c r="D2" s="1217"/>
      <c r="E2" s="1217"/>
      <c r="F2" s="97"/>
      <c r="G2" s="1217"/>
      <c r="H2" s="1217"/>
      <c r="I2" s="1217"/>
      <c r="J2" s="7"/>
      <c r="K2" s="96"/>
      <c r="L2" s="96"/>
      <c r="M2" s="175"/>
      <c r="N2" s="7"/>
      <c r="O2" s="117"/>
      <c r="P2" s="117"/>
      <c r="Q2" s="117"/>
      <c r="R2" s="117"/>
      <c r="S2" s="117"/>
    </row>
    <row r="3" spans="1:21" ht="13.5" customHeight="1" thickBot="1">
      <c r="A3" s="16"/>
      <c r="B3" s="16"/>
      <c r="C3" s="16"/>
      <c r="D3" s="16"/>
      <c r="E3" s="16"/>
      <c r="F3" s="109"/>
      <c r="G3" s="16"/>
      <c r="H3" s="16"/>
      <c r="I3" s="16"/>
      <c r="J3" s="16"/>
    </row>
    <row r="4" spans="1:21" s="74" customFormat="1" ht="69" customHeight="1">
      <c r="A4" s="2643" t="s">
        <v>8</v>
      </c>
      <c r="B4" s="2644"/>
      <c r="C4" s="2644"/>
      <c r="D4" s="2644"/>
      <c r="E4" s="2644"/>
      <c r="F4" s="2644"/>
      <c r="G4" s="2644"/>
      <c r="H4" s="2644"/>
      <c r="I4" s="2645"/>
      <c r="J4" s="2637" t="s">
        <v>97</v>
      </c>
      <c r="K4" s="2638"/>
      <c r="L4" s="2638"/>
      <c r="M4" s="2639"/>
      <c r="N4" s="2652" t="s">
        <v>96</v>
      </c>
      <c r="O4" s="2655" t="s">
        <v>170</v>
      </c>
      <c r="P4" s="2617" t="s">
        <v>166</v>
      </c>
      <c r="Q4" s="2655" t="s">
        <v>171</v>
      </c>
      <c r="R4" s="2630" t="s">
        <v>460</v>
      </c>
      <c r="S4" s="2590" t="s">
        <v>461</v>
      </c>
    </row>
    <row r="5" spans="1:21" s="74" customFormat="1" ht="72.75" customHeight="1" thickBot="1">
      <c r="A5" s="2646"/>
      <c r="B5" s="2647"/>
      <c r="C5" s="2647"/>
      <c r="D5" s="2647"/>
      <c r="E5" s="2647"/>
      <c r="F5" s="2647"/>
      <c r="G5" s="2647"/>
      <c r="H5" s="2647"/>
      <c r="I5" s="2648"/>
      <c r="J5" s="2640"/>
      <c r="K5" s="2641"/>
      <c r="L5" s="2641"/>
      <c r="M5" s="2642"/>
      <c r="N5" s="2653"/>
      <c r="O5" s="2656"/>
      <c r="P5" s="2618"/>
      <c r="Q5" s="2656"/>
      <c r="R5" s="2631"/>
      <c r="S5" s="2591"/>
    </row>
    <row r="6" spans="1:21" s="74" customFormat="1" ht="61.5" customHeight="1" thickBot="1">
      <c r="A6" s="2649"/>
      <c r="B6" s="2650"/>
      <c r="C6" s="2650"/>
      <c r="D6" s="2650"/>
      <c r="E6" s="2650"/>
      <c r="F6" s="2650"/>
      <c r="G6" s="2650"/>
      <c r="H6" s="2650"/>
      <c r="I6" s="2651"/>
      <c r="J6" s="1223" t="s">
        <v>0</v>
      </c>
      <c r="K6" s="115" t="s">
        <v>1</v>
      </c>
      <c r="L6" s="115" t="s">
        <v>2</v>
      </c>
      <c r="M6" s="180" t="s">
        <v>94</v>
      </c>
      <c r="N6" s="2654"/>
      <c r="O6" s="2634" t="s">
        <v>169</v>
      </c>
      <c r="P6" s="2635"/>
      <c r="Q6" s="2635"/>
      <c r="R6" s="2635"/>
      <c r="S6" s="2636"/>
    </row>
    <row r="7" spans="1:21" s="74" customFormat="1" ht="22.5" customHeight="1" thickBot="1">
      <c r="A7" s="2580" t="s">
        <v>519</v>
      </c>
      <c r="B7" s="2581"/>
      <c r="C7" s="2581"/>
      <c r="D7" s="2581"/>
      <c r="E7" s="2581"/>
      <c r="F7" s="2581"/>
      <c r="G7" s="2581"/>
      <c r="H7" s="2581"/>
      <c r="I7" s="2581"/>
      <c r="J7" s="2581"/>
      <c r="K7" s="2581"/>
      <c r="L7" s="2581"/>
      <c r="M7" s="2581"/>
      <c r="N7" s="2581"/>
      <c r="O7" s="2581"/>
      <c r="P7" s="2581"/>
      <c r="Q7" s="2581"/>
      <c r="R7" s="2581"/>
      <c r="S7" s="2582"/>
    </row>
    <row r="8" spans="1:21" s="74" customFormat="1" ht="22.5" customHeight="1" thickBot="1">
      <c r="A8" s="2624" t="s">
        <v>69</v>
      </c>
      <c r="B8" s="2625"/>
      <c r="C8" s="2625"/>
      <c r="D8" s="2625"/>
      <c r="E8" s="2625"/>
      <c r="F8" s="2625"/>
      <c r="G8" s="2625"/>
      <c r="H8" s="2625"/>
      <c r="I8" s="2625"/>
      <c r="J8" s="2625"/>
      <c r="K8" s="2625"/>
      <c r="L8" s="2625"/>
      <c r="M8" s="2625"/>
      <c r="N8" s="2625"/>
      <c r="O8" s="2625"/>
      <c r="P8" s="2625"/>
      <c r="Q8" s="2625"/>
      <c r="R8" s="2625"/>
      <c r="S8" s="2626"/>
    </row>
    <row r="9" spans="1:21" ht="16.5" customHeight="1" thickBot="1">
      <c r="A9" s="2583" t="s">
        <v>134</v>
      </c>
      <c r="B9" s="2584"/>
      <c r="C9" s="2584"/>
      <c r="D9" s="2584"/>
      <c r="E9" s="2584"/>
      <c r="F9" s="2584"/>
      <c r="G9" s="2584"/>
      <c r="H9" s="2584"/>
      <c r="I9" s="2584"/>
      <c r="J9" s="2584"/>
      <c r="K9" s="2584"/>
      <c r="L9" s="2584"/>
      <c r="M9" s="2584"/>
      <c r="N9" s="2584"/>
      <c r="O9" s="2584"/>
      <c r="P9" s="2584"/>
      <c r="Q9" s="2584"/>
      <c r="R9" s="2632"/>
      <c r="S9" s="2633"/>
    </row>
    <row r="10" spans="1:21" s="74" customFormat="1" ht="16.5" customHeight="1" thickBot="1">
      <c r="A10" s="47" t="s">
        <v>35</v>
      </c>
      <c r="B10" s="48">
        <f>J10</f>
        <v>75</v>
      </c>
      <c r="C10" s="48" t="s">
        <v>3</v>
      </c>
      <c r="D10" s="48">
        <f>K10</f>
        <v>160</v>
      </c>
      <c r="E10" s="48" t="s">
        <v>3</v>
      </c>
      <c r="F10" s="110">
        <f>L10</f>
        <v>600</v>
      </c>
      <c r="G10" s="48" t="s">
        <v>3</v>
      </c>
      <c r="H10" s="48">
        <v>2</v>
      </c>
      <c r="I10" s="49" t="s">
        <v>45</v>
      </c>
      <c r="J10" s="181">
        <v>75</v>
      </c>
      <c r="K10" s="168">
        <v>160</v>
      </c>
      <c r="L10" s="168">
        <v>600</v>
      </c>
      <c r="M10" s="182">
        <v>4.2803104440392108</v>
      </c>
      <c r="N10" s="144">
        <v>64.219499999999996</v>
      </c>
      <c r="O10" s="188">
        <v>9459.710661771227</v>
      </c>
      <c r="P10" s="183">
        <v>10932.535309749977</v>
      </c>
      <c r="Q10" s="309">
        <v>5867.7029602663515</v>
      </c>
      <c r="R10" s="312">
        <v>15327.413622037579</v>
      </c>
      <c r="S10" s="313">
        <v>16800.238270016329</v>
      </c>
      <c r="U10" s="7" t="s">
        <v>1353</v>
      </c>
    </row>
    <row r="11" spans="1:21" s="74" customFormat="1" ht="16.5" customHeight="1" thickBot="1">
      <c r="A11" s="50" t="s">
        <v>35</v>
      </c>
      <c r="B11" s="51">
        <f t="shared" ref="B11:B58" si="0">J11</f>
        <v>75</v>
      </c>
      <c r="C11" s="51" t="s">
        <v>3</v>
      </c>
      <c r="D11" s="51">
        <f t="shared" ref="D11:D58" si="1">K11</f>
        <v>160</v>
      </c>
      <c r="E11" s="51" t="s">
        <v>3</v>
      </c>
      <c r="F11" s="110">
        <f t="shared" ref="F11:F58" si="2">L11</f>
        <v>650</v>
      </c>
      <c r="G11" s="51" t="s">
        <v>3</v>
      </c>
      <c r="H11" s="48">
        <v>2</v>
      </c>
      <c r="I11" s="49" t="s">
        <v>45</v>
      </c>
      <c r="J11" s="184">
        <v>75</v>
      </c>
      <c r="K11" s="113">
        <v>160</v>
      </c>
      <c r="L11" s="113">
        <v>650</v>
      </c>
      <c r="M11" s="185">
        <v>4.5379365848402635</v>
      </c>
      <c r="N11" s="87">
        <v>77.063399999999987</v>
      </c>
      <c r="O11" s="119">
        <v>9851.7081637618885</v>
      </c>
      <c r="P11" s="121">
        <v>11412.935563846277</v>
      </c>
      <c r="Q11" s="310">
        <v>6177.3270434973019</v>
      </c>
      <c r="R11" s="314">
        <v>16029.03520725919</v>
      </c>
      <c r="S11" s="315">
        <v>17590.262607343579</v>
      </c>
      <c r="U11" s="7" t="s">
        <v>1354</v>
      </c>
    </row>
    <row r="12" spans="1:21" s="74" customFormat="1" ht="16.5" customHeight="1" thickBot="1">
      <c r="A12" s="50" t="s">
        <v>35</v>
      </c>
      <c r="B12" s="51">
        <f t="shared" si="0"/>
        <v>75</v>
      </c>
      <c r="C12" s="51" t="s">
        <v>3</v>
      </c>
      <c r="D12" s="51">
        <f t="shared" si="1"/>
        <v>160</v>
      </c>
      <c r="E12" s="51" t="s">
        <v>3</v>
      </c>
      <c r="F12" s="110">
        <f t="shared" si="2"/>
        <v>700</v>
      </c>
      <c r="G12" s="51" t="s">
        <v>3</v>
      </c>
      <c r="H12" s="48">
        <v>2</v>
      </c>
      <c r="I12" s="49" t="s">
        <v>45</v>
      </c>
      <c r="J12" s="184">
        <v>75</v>
      </c>
      <c r="K12" s="113">
        <v>160</v>
      </c>
      <c r="L12" s="113">
        <v>700</v>
      </c>
      <c r="M12" s="185">
        <v>4.8560810245886836</v>
      </c>
      <c r="N12" s="87">
        <v>89.907299999999992</v>
      </c>
      <c r="O12" s="119">
        <v>10243.70552535919</v>
      </c>
      <c r="P12" s="121">
        <v>11893.33595833594</v>
      </c>
      <c r="Q12" s="310">
        <v>6717.5327641181639</v>
      </c>
      <c r="R12" s="314">
        <v>16961.238289477355</v>
      </c>
      <c r="S12" s="315">
        <v>18610.868722454103</v>
      </c>
      <c r="U12" s="7" t="s">
        <v>1355</v>
      </c>
    </row>
    <row r="13" spans="1:21" s="74" customFormat="1" ht="16.5" customHeight="1" thickBot="1">
      <c r="A13" s="50" t="s">
        <v>35</v>
      </c>
      <c r="B13" s="51">
        <f t="shared" si="0"/>
        <v>75</v>
      </c>
      <c r="C13" s="51" t="s">
        <v>3</v>
      </c>
      <c r="D13" s="51">
        <f t="shared" si="1"/>
        <v>160</v>
      </c>
      <c r="E13" s="51" t="s">
        <v>3</v>
      </c>
      <c r="F13" s="110">
        <f t="shared" si="2"/>
        <v>750</v>
      </c>
      <c r="G13" s="51" t="s">
        <v>3</v>
      </c>
      <c r="H13" s="48">
        <v>2</v>
      </c>
      <c r="I13" s="49" t="s">
        <v>45</v>
      </c>
      <c r="J13" s="184">
        <v>75</v>
      </c>
      <c r="K13" s="113">
        <v>160</v>
      </c>
      <c r="L13" s="113">
        <v>750</v>
      </c>
      <c r="M13" s="185">
        <v>5.1571854643371058</v>
      </c>
      <c r="N13" s="87">
        <v>102.7512</v>
      </c>
      <c r="O13" s="119">
        <v>10635.702886956489</v>
      </c>
      <c r="P13" s="121">
        <v>12373.736352825601</v>
      </c>
      <c r="Q13" s="310">
        <v>7027.1568473491143</v>
      </c>
      <c r="R13" s="314">
        <v>17662.859734305603</v>
      </c>
      <c r="S13" s="315">
        <v>19400.893200174716</v>
      </c>
      <c r="U13" s="7" t="s">
        <v>1356</v>
      </c>
    </row>
    <row r="14" spans="1:21" s="74" customFormat="1" ht="16.5" customHeight="1" thickBot="1">
      <c r="A14" s="50" t="s">
        <v>35</v>
      </c>
      <c r="B14" s="51">
        <f t="shared" si="0"/>
        <v>75</v>
      </c>
      <c r="C14" s="51" t="s">
        <v>3</v>
      </c>
      <c r="D14" s="51">
        <f t="shared" si="1"/>
        <v>160</v>
      </c>
      <c r="E14" s="51" t="s">
        <v>3</v>
      </c>
      <c r="F14" s="110">
        <f t="shared" si="2"/>
        <v>800</v>
      </c>
      <c r="G14" s="51" t="s">
        <v>3</v>
      </c>
      <c r="H14" s="48">
        <v>2</v>
      </c>
      <c r="I14" s="49" t="s">
        <v>45</v>
      </c>
      <c r="J14" s="184">
        <v>75</v>
      </c>
      <c r="K14" s="113">
        <v>160</v>
      </c>
      <c r="L14" s="113">
        <v>800</v>
      </c>
      <c r="M14" s="185">
        <v>5.4582899040855271</v>
      </c>
      <c r="N14" s="87">
        <v>115.5951</v>
      </c>
      <c r="O14" s="119">
        <v>11027.700388947153</v>
      </c>
      <c r="P14" s="121">
        <v>12854.136747315266</v>
      </c>
      <c r="Q14" s="310">
        <v>7336.7809305800638</v>
      </c>
      <c r="R14" s="314">
        <v>18364.481319527215</v>
      </c>
      <c r="S14" s="315">
        <v>20190.91767789533</v>
      </c>
      <c r="U14" s="7" t="s">
        <v>1357</v>
      </c>
    </row>
    <row r="15" spans="1:21" s="74" customFormat="1" ht="16.5" customHeight="1" thickBot="1">
      <c r="A15" s="50" t="s">
        <v>35</v>
      </c>
      <c r="B15" s="51">
        <f t="shared" si="0"/>
        <v>75</v>
      </c>
      <c r="C15" s="51" t="s">
        <v>3</v>
      </c>
      <c r="D15" s="51">
        <f t="shared" si="1"/>
        <v>160</v>
      </c>
      <c r="E15" s="51" t="s">
        <v>3</v>
      </c>
      <c r="F15" s="110">
        <f t="shared" si="2"/>
        <v>850</v>
      </c>
      <c r="G15" s="51" t="s">
        <v>3</v>
      </c>
      <c r="H15" s="48">
        <v>2</v>
      </c>
      <c r="I15" s="49" t="s">
        <v>45</v>
      </c>
      <c r="J15" s="184">
        <v>75</v>
      </c>
      <c r="K15" s="113">
        <v>160</v>
      </c>
      <c r="L15" s="113">
        <v>850</v>
      </c>
      <c r="M15" s="185">
        <v>5.7764343438339472</v>
      </c>
      <c r="N15" s="87">
        <v>128.43899999999999</v>
      </c>
      <c r="O15" s="119">
        <v>11419.697750544452</v>
      </c>
      <c r="P15" s="121">
        <v>13334.537141804927</v>
      </c>
      <c r="Q15" s="310">
        <v>7876.9867915942896</v>
      </c>
      <c r="R15" s="314">
        <v>19296.684542138741</v>
      </c>
      <c r="S15" s="315">
        <v>21211.523933399218</v>
      </c>
      <c r="U15" s="7" t="s">
        <v>1358</v>
      </c>
    </row>
    <row r="16" spans="1:21" s="74" customFormat="1" ht="16.5" customHeight="1" thickBot="1">
      <c r="A16" s="50" t="s">
        <v>35</v>
      </c>
      <c r="B16" s="51">
        <f t="shared" si="0"/>
        <v>75</v>
      </c>
      <c r="C16" s="51" t="s">
        <v>3</v>
      </c>
      <c r="D16" s="51">
        <f t="shared" si="1"/>
        <v>160</v>
      </c>
      <c r="E16" s="51" t="s">
        <v>3</v>
      </c>
      <c r="F16" s="110">
        <f t="shared" si="2"/>
        <v>900</v>
      </c>
      <c r="G16" s="51" t="s">
        <v>3</v>
      </c>
      <c r="H16" s="48">
        <v>2</v>
      </c>
      <c r="I16" s="49" t="s">
        <v>45</v>
      </c>
      <c r="J16" s="184">
        <v>75</v>
      </c>
      <c r="K16" s="113">
        <v>160</v>
      </c>
      <c r="L16" s="113">
        <v>900</v>
      </c>
      <c r="M16" s="185">
        <v>6.0775387835823693</v>
      </c>
      <c r="N16" s="87">
        <v>141.28289999999998</v>
      </c>
      <c r="O16" s="119">
        <v>11811.695112141753</v>
      </c>
      <c r="P16" s="121">
        <v>13814.93753629459</v>
      </c>
      <c r="Q16" s="310">
        <v>8186.6107344318762</v>
      </c>
      <c r="R16" s="314">
        <v>19998.305846573629</v>
      </c>
      <c r="S16" s="315">
        <v>22001.548270726467</v>
      </c>
      <c r="U16" s="7" t="s">
        <v>1359</v>
      </c>
    </row>
    <row r="17" spans="1:21" s="74" customFormat="1" ht="16.5" customHeight="1" thickBot="1">
      <c r="A17" s="50" t="s">
        <v>35</v>
      </c>
      <c r="B17" s="51">
        <f t="shared" si="0"/>
        <v>75</v>
      </c>
      <c r="C17" s="51" t="s">
        <v>3</v>
      </c>
      <c r="D17" s="51">
        <f t="shared" si="1"/>
        <v>160</v>
      </c>
      <c r="E17" s="51" t="s">
        <v>3</v>
      </c>
      <c r="F17" s="110">
        <f t="shared" si="2"/>
        <v>950</v>
      </c>
      <c r="G17" s="51" t="s">
        <v>3</v>
      </c>
      <c r="H17" s="48">
        <v>2</v>
      </c>
      <c r="I17" s="49" t="s">
        <v>45</v>
      </c>
      <c r="J17" s="184">
        <v>75</v>
      </c>
      <c r="K17" s="113">
        <v>160</v>
      </c>
      <c r="L17" s="113">
        <v>950</v>
      </c>
      <c r="M17" s="185">
        <v>6.3956832233307903</v>
      </c>
      <c r="N17" s="87">
        <v>154.12679999999997</v>
      </c>
      <c r="O17" s="119">
        <v>12203.692473739051</v>
      </c>
      <c r="P17" s="121">
        <v>14295.337930784252</v>
      </c>
      <c r="Q17" s="310">
        <v>8726.8165954461019</v>
      </c>
      <c r="R17" s="314">
        <v>20930.509069185151</v>
      </c>
      <c r="S17" s="315">
        <v>23022.154526230355</v>
      </c>
      <c r="U17" s="7" t="s">
        <v>1360</v>
      </c>
    </row>
    <row r="18" spans="1:21" s="74" customFormat="1" ht="16.5" customHeight="1" thickBot="1">
      <c r="A18" s="50" t="s">
        <v>35</v>
      </c>
      <c r="B18" s="51">
        <f t="shared" si="0"/>
        <v>75</v>
      </c>
      <c r="C18" s="51" t="s">
        <v>3</v>
      </c>
      <c r="D18" s="51">
        <f t="shared" si="1"/>
        <v>160</v>
      </c>
      <c r="E18" s="51" t="s">
        <v>3</v>
      </c>
      <c r="F18" s="110">
        <f t="shared" si="2"/>
        <v>1000</v>
      </c>
      <c r="G18" s="51" t="s">
        <v>3</v>
      </c>
      <c r="H18" s="48">
        <v>2</v>
      </c>
      <c r="I18" s="49" t="s">
        <v>45</v>
      </c>
      <c r="J18" s="184">
        <v>75</v>
      </c>
      <c r="K18" s="113">
        <v>160</v>
      </c>
      <c r="L18" s="113">
        <v>1000</v>
      </c>
      <c r="M18" s="185">
        <v>6.6967876630792116</v>
      </c>
      <c r="N18" s="87">
        <v>166.97069999999999</v>
      </c>
      <c r="O18" s="119">
        <v>12595.689975729714</v>
      </c>
      <c r="P18" s="121">
        <v>14775.738184880553</v>
      </c>
      <c r="Q18" s="310">
        <v>9036.4406786770523</v>
      </c>
      <c r="R18" s="314">
        <v>21632.130654406767</v>
      </c>
      <c r="S18" s="315">
        <v>23812.178863557605</v>
      </c>
      <c r="U18" s="7" t="s">
        <v>1361</v>
      </c>
    </row>
    <row r="19" spans="1:21" s="74" customFormat="1" ht="16.5" customHeight="1" thickBot="1">
      <c r="A19" s="50" t="s">
        <v>35</v>
      </c>
      <c r="B19" s="51">
        <f t="shared" si="0"/>
        <v>75</v>
      </c>
      <c r="C19" s="51" t="s">
        <v>3</v>
      </c>
      <c r="D19" s="51">
        <f t="shared" si="1"/>
        <v>160</v>
      </c>
      <c r="E19" s="51" t="s">
        <v>3</v>
      </c>
      <c r="F19" s="110">
        <f t="shared" si="2"/>
        <v>1050</v>
      </c>
      <c r="G19" s="51" t="s">
        <v>3</v>
      </c>
      <c r="H19" s="48">
        <v>2</v>
      </c>
      <c r="I19" s="49" t="s">
        <v>45</v>
      </c>
      <c r="J19" s="184">
        <v>75</v>
      </c>
      <c r="K19" s="113">
        <v>160</v>
      </c>
      <c r="L19" s="113">
        <v>1050</v>
      </c>
      <c r="M19" s="185">
        <v>7.0149321028276317</v>
      </c>
      <c r="N19" s="87">
        <v>179.81459999999998</v>
      </c>
      <c r="O19" s="119">
        <v>12987.687337327015</v>
      </c>
      <c r="P19" s="121">
        <v>15256.138579370216</v>
      </c>
      <c r="Q19" s="310">
        <v>9576.6465396912772</v>
      </c>
      <c r="R19" s="314">
        <v>22564.333877018293</v>
      </c>
      <c r="S19" s="315">
        <v>24832.785119061493</v>
      </c>
      <c r="U19" s="7" t="s">
        <v>1362</v>
      </c>
    </row>
    <row r="20" spans="1:21" s="74" customFormat="1" ht="16.5" customHeight="1" thickBot="1">
      <c r="A20" s="47" t="s">
        <v>35</v>
      </c>
      <c r="B20" s="48">
        <f t="shared" si="0"/>
        <v>75</v>
      </c>
      <c r="C20" s="48" t="s">
        <v>3</v>
      </c>
      <c r="D20" s="48">
        <f t="shared" si="1"/>
        <v>160</v>
      </c>
      <c r="E20" s="48" t="s">
        <v>3</v>
      </c>
      <c r="F20" s="110">
        <f t="shared" si="2"/>
        <v>1100</v>
      </c>
      <c r="G20" s="48" t="s">
        <v>3</v>
      </c>
      <c r="H20" s="48">
        <v>2</v>
      </c>
      <c r="I20" s="49" t="s">
        <v>45</v>
      </c>
      <c r="J20" s="184">
        <v>75</v>
      </c>
      <c r="K20" s="113">
        <v>160</v>
      </c>
      <c r="L20" s="113">
        <v>1100</v>
      </c>
      <c r="M20" s="185">
        <v>7.316036542576053</v>
      </c>
      <c r="N20" s="87">
        <v>192.6585</v>
      </c>
      <c r="O20" s="119">
        <v>13379.684698924315</v>
      </c>
      <c r="P20" s="121">
        <v>15736.538973859877</v>
      </c>
      <c r="Q20" s="310">
        <v>9886.2704825288656</v>
      </c>
      <c r="R20" s="314">
        <v>23265.955181453181</v>
      </c>
      <c r="S20" s="315">
        <v>25622.809456388743</v>
      </c>
      <c r="U20" s="7" t="s">
        <v>1363</v>
      </c>
    </row>
    <row r="21" spans="1:21" s="74" customFormat="1" ht="16.5" customHeight="1" thickBot="1">
      <c r="A21" s="50" t="s">
        <v>35</v>
      </c>
      <c r="B21" s="51">
        <f t="shared" si="0"/>
        <v>75</v>
      </c>
      <c r="C21" s="51" t="s">
        <v>3</v>
      </c>
      <c r="D21" s="51">
        <f t="shared" si="1"/>
        <v>160</v>
      </c>
      <c r="E21" s="51" t="s">
        <v>3</v>
      </c>
      <c r="F21" s="110">
        <f t="shared" si="2"/>
        <v>1150</v>
      </c>
      <c r="G21" s="51" t="s">
        <v>3</v>
      </c>
      <c r="H21" s="48">
        <v>2</v>
      </c>
      <c r="I21" s="49" t="s">
        <v>45</v>
      </c>
      <c r="J21" s="184">
        <v>75</v>
      </c>
      <c r="K21" s="113">
        <v>160</v>
      </c>
      <c r="L21" s="113">
        <v>1150</v>
      </c>
      <c r="M21" s="185">
        <v>7.6171409823244742</v>
      </c>
      <c r="N21" s="87">
        <v>205.50239999999999</v>
      </c>
      <c r="O21" s="119">
        <v>13771.682060521616</v>
      </c>
      <c r="P21" s="121">
        <v>16216.939368349542</v>
      </c>
      <c r="Q21" s="310">
        <v>10195.894565759814</v>
      </c>
      <c r="R21" s="314">
        <v>23967.576626281429</v>
      </c>
      <c r="S21" s="315">
        <v>26412.833934109356</v>
      </c>
      <c r="U21" s="7" t="s">
        <v>1364</v>
      </c>
    </row>
    <row r="22" spans="1:21" s="74" customFormat="1" ht="16.5" customHeight="1" thickBot="1">
      <c r="A22" s="50" t="s">
        <v>35</v>
      </c>
      <c r="B22" s="51">
        <f t="shared" si="0"/>
        <v>75</v>
      </c>
      <c r="C22" s="51" t="s">
        <v>3</v>
      </c>
      <c r="D22" s="51">
        <f t="shared" si="1"/>
        <v>160</v>
      </c>
      <c r="E22" s="51" t="s">
        <v>3</v>
      </c>
      <c r="F22" s="110">
        <f t="shared" si="2"/>
        <v>1200</v>
      </c>
      <c r="G22" s="51" t="s">
        <v>3</v>
      </c>
      <c r="H22" s="48">
        <v>2</v>
      </c>
      <c r="I22" s="49" t="s">
        <v>45</v>
      </c>
      <c r="J22" s="184">
        <v>75</v>
      </c>
      <c r="K22" s="113">
        <v>160</v>
      </c>
      <c r="L22" s="113">
        <v>1200</v>
      </c>
      <c r="M22" s="185">
        <v>7.9745354220728952</v>
      </c>
      <c r="N22" s="87">
        <v>218.34630000000001</v>
      </c>
      <c r="O22" s="119">
        <v>14209.55126859544</v>
      </c>
      <c r="P22" s="121">
        <v>16741.813291425227</v>
      </c>
      <c r="Q22" s="310">
        <v>10736.100426774039</v>
      </c>
      <c r="R22" s="314">
        <v>24945.651695369481</v>
      </c>
      <c r="S22" s="315">
        <v>27477.913718199266</v>
      </c>
      <c r="U22" s="7" t="s">
        <v>1365</v>
      </c>
    </row>
    <row r="23" spans="1:21" s="74" customFormat="1" ht="16.5" customHeight="1" thickBot="1">
      <c r="A23" s="50" t="s">
        <v>35</v>
      </c>
      <c r="B23" s="51">
        <f t="shared" si="0"/>
        <v>75</v>
      </c>
      <c r="C23" s="51" t="s">
        <v>3</v>
      </c>
      <c r="D23" s="51">
        <f t="shared" si="1"/>
        <v>160</v>
      </c>
      <c r="E23" s="51" t="s">
        <v>3</v>
      </c>
      <c r="F23" s="110">
        <f t="shared" si="2"/>
        <v>1250</v>
      </c>
      <c r="G23" s="51" t="s">
        <v>3</v>
      </c>
      <c r="H23" s="48">
        <v>2</v>
      </c>
      <c r="I23" s="49" t="s">
        <v>45</v>
      </c>
      <c r="J23" s="184">
        <v>75</v>
      </c>
      <c r="K23" s="113">
        <v>160</v>
      </c>
      <c r="L23" s="113">
        <v>1250</v>
      </c>
      <c r="M23" s="185">
        <v>8.2756398618213165</v>
      </c>
      <c r="N23" s="87">
        <v>231.1902</v>
      </c>
      <c r="O23" s="119">
        <v>14601.548630192739</v>
      </c>
      <c r="P23" s="121">
        <v>17222.213685914892</v>
      </c>
      <c r="Q23" s="310">
        <v>11045.724510004989</v>
      </c>
      <c r="R23" s="314">
        <v>25647.273140197729</v>
      </c>
      <c r="S23" s="315">
        <v>28267.93819591988</v>
      </c>
      <c r="U23" s="7" t="s">
        <v>1366</v>
      </c>
    </row>
    <row r="24" spans="1:21" s="74" customFormat="1" ht="16.5" customHeight="1" thickBot="1">
      <c r="A24" s="50" t="s">
        <v>35</v>
      </c>
      <c r="B24" s="51">
        <f t="shared" si="0"/>
        <v>75</v>
      </c>
      <c r="C24" s="51" t="s">
        <v>3</v>
      </c>
      <c r="D24" s="51">
        <f t="shared" si="1"/>
        <v>160</v>
      </c>
      <c r="E24" s="51" t="s">
        <v>3</v>
      </c>
      <c r="F24" s="110">
        <f t="shared" si="2"/>
        <v>1300</v>
      </c>
      <c r="G24" s="51" t="s">
        <v>3</v>
      </c>
      <c r="H24" s="48">
        <v>2</v>
      </c>
      <c r="I24" s="49" t="s">
        <v>45</v>
      </c>
      <c r="J24" s="184">
        <v>75</v>
      </c>
      <c r="K24" s="113">
        <v>160</v>
      </c>
      <c r="L24" s="113">
        <v>1300</v>
      </c>
      <c r="M24" s="185">
        <v>8.5937843015697375</v>
      </c>
      <c r="N24" s="87">
        <v>244.0341</v>
      </c>
      <c r="O24" s="119">
        <v>14993.546132183403</v>
      </c>
      <c r="P24" s="121">
        <v>17702.614080404554</v>
      </c>
      <c r="Q24" s="310">
        <v>11585.930230625852</v>
      </c>
      <c r="R24" s="314">
        <v>26579.476362809255</v>
      </c>
      <c r="S24" s="315">
        <v>29288.544311030404</v>
      </c>
      <c r="U24" s="7" t="s">
        <v>1367</v>
      </c>
    </row>
    <row r="25" spans="1:21" s="74" customFormat="1" ht="16.5" customHeight="1" thickBot="1">
      <c r="A25" s="50" t="s">
        <v>35</v>
      </c>
      <c r="B25" s="51">
        <f t="shared" si="0"/>
        <v>75</v>
      </c>
      <c r="C25" s="51" t="s">
        <v>3</v>
      </c>
      <c r="D25" s="51">
        <f t="shared" si="1"/>
        <v>160</v>
      </c>
      <c r="E25" s="51" t="s">
        <v>3</v>
      </c>
      <c r="F25" s="110">
        <f t="shared" si="2"/>
        <v>1350</v>
      </c>
      <c r="G25" s="51" t="s">
        <v>3</v>
      </c>
      <c r="H25" s="48">
        <v>2</v>
      </c>
      <c r="I25" s="49" t="s">
        <v>45</v>
      </c>
      <c r="J25" s="184">
        <v>75</v>
      </c>
      <c r="K25" s="113">
        <v>160</v>
      </c>
      <c r="L25" s="113">
        <v>1350</v>
      </c>
      <c r="M25" s="185">
        <v>8.8948887413181588</v>
      </c>
      <c r="N25" s="87">
        <v>256.87799999999999</v>
      </c>
      <c r="O25" s="119">
        <v>15385.543493780704</v>
      </c>
      <c r="P25" s="121">
        <v>18183.014474894218</v>
      </c>
      <c r="Q25" s="310">
        <v>11895.554313856801</v>
      </c>
      <c r="R25" s="314">
        <v>27281.097807637503</v>
      </c>
      <c r="S25" s="315">
        <v>30078.568788751021</v>
      </c>
      <c r="U25" s="7" t="s">
        <v>1368</v>
      </c>
    </row>
    <row r="26" spans="1:21" s="74" customFormat="1" ht="16.5" customHeight="1" thickBot="1">
      <c r="A26" s="50" t="s">
        <v>35</v>
      </c>
      <c r="B26" s="51">
        <f t="shared" si="0"/>
        <v>75</v>
      </c>
      <c r="C26" s="51" t="s">
        <v>3</v>
      </c>
      <c r="D26" s="51">
        <f t="shared" si="1"/>
        <v>160</v>
      </c>
      <c r="E26" s="51" t="s">
        <v>3</v>
      </c>
      <c r="F26" s="110">
        <f t="shared" si="2"/>
        <v>1400</v>
      </c>
      <c r="G26" s="51" t="s">
        <v>3</v>
      </c>
      <c r="H26" s="48">
        <v>2</v>
      </c>
      <c r="I26" s="49" t="s">
        <v>45</v>
      </c>
      <c r="J26" s="184">
        <v>75</v>
      </c>
      <c r="K26" s="113">
        <v>160</v>
      </c>
      <c r="L26" s="113">
        <v>1400</v>
      </c>
      <c r="M26" s="185">
        <v>9.2130331810665798</v>
      </c>
      <c r="N26" s="87">
        <v>269.72190000000001</v>
      </c>
      <c r="O26" s="119">
        <v>15777.540855378003</v>
      </c>
      <c r="P26" s="121">
        <v>18663.41486938388</v>
      </c>
      <c r="Q26" s="310">
        <v>12435.760174871028</v>
      </c>
      <c r="R26" s="314">
        <v>28213.301030249029</v>
      </c>
      <c r="S26" s="315">
        <v>31099.175044254909</v>
      </c>
      <c r="U26" s="7" t="s">
        <v>1369</v>
      </c>
    </row>
    <row r="27" spans="1:21" s="74" customFormat="1" ht="16.5" customHeight="1" thickBot="1">
      <c r="A27" s="50" t="s">
        <v>35</v>
      </c>
      <c r="B27" s="51">
        <f t="shared" si="0"/>
        <v>75</v>
      </c>
      <c r="C27" s="51" t="s">
        <v>3</v>
      </c>
      <c r="D27" s="51">
        <f t="shared" si="1"/>
        <v>160</v>
      </c>
      <c r="E27" s="51" t="s">
        <v>3</v>
      </c>
      <c r="F27" s="110">
        <f t="shared" si="2"/>
        <v>1450</v>
      </c>
      <c r="G27" s="51" t="s">
        <v>3</v>
      </c>
      <c r="H27" s="48">
        <v>2</v>
      </c>
      <c r="I27" s="49" t="s">
        <v>45</v>
      </c>
      <c r="J27" s="184">
        <v>75</v>
      </c>
      <c r="K27" s="113">
        <v>160</v>
      </c>
      <c r="L27" s="113">
        <v>1450</v>
      </c>
      <c r="M27" s="185">
        <v>9.514137620815001</v>
      </c>
      <c r="N27" s="87">
        <v>282.56579999999997</v>
      </c>
      <c r="O27" s="119">
        <v>16169.538216975305</v>
      </c>
      <c r="P27" s="121">
        <v>19143.815123480177</v>
      </c>
      <c r="Q27" s="310">
        <v>12745.384258101978</v>
      </c>
      <c r="R27" s="314">
        <v>28914.922475077285</v>
      </c>
      <c r="S27" s="315">
        <v>31889.199381582155</v>
      </c>
      <c r="U27" s="7" t="s">
        <v>1370</v>
      </c>
    </row>
    <row r="28" spans="1:21" s="74" customFormat="1" ht="16.5" customHeight="1" thickBot="1">
      <c r="A28" s="50" t="s">
        <v>35</v>
      </c>
      <c r="B28" s="51">
        <f t="shared" si="0"/>
        <v>75</v>
      </c>
      <c r="C28" s="51" t="s">
        <v>3</v>
      </c>
      <c r="D28" s="51">
        <f t="shared" si="1"/>
        <v>160</v>
      </c>
      <c r="E28" s="51" t="s">
        <v>3</v>
      </c>
      <c r="F28" s="110">
        <f t="shared" si="2"/>
        <v>1500</v>
      </c>
      <c r="G28" s="51" t="s">
        <v>3</v>
      </c>
      <c r="H28" s="48">
        <v>2</v>
      </c>
      <c r="I28" s="49" t="s">
        <v>45</v>
      </c>
      <c r="J28" s="184">
        <v>75</v>
      </c>
      <c r="K28" s="113">
        <v>160</v>
      </c>
      <c r="L28" s="113">
        <v>1500</v>
      </c>
      <c r="M28" s="185">
        <v>9.9040444893634216</v>
      </c>
      <c r="N28" s="87">
        <v>295.40969999999999</v>
      </c>
      <c r="O28" s="119">
        <v>17100.970820420065</v>
      </c>
      <c r="P28" s="121">
        <v>20071.705181208978</v>
      </c>
      <c r="Q28" s="310">
        <v>13285.589978722841</v>
      </c>
      <c r="R28" s="314">
        <v>30386.560799142906</v>
      </c>
      <c r="S28" s="315">
        <v>33357.295159931818</v>
      </c>
      <c r="U28" s="7" t="s">
        <v>1371</v>
      </c>
    </row>
    <row r="29" spans="1:21" s="74" customFormat="1" ht="16.5" customHeight="1" thickBot="1">
      <c r="A29" s="50" t="s">
        <v>35</v>
      </c>
      <c r="B29" s="51">
        <f t="shared" si="0"/>
        <v>75</v>
      </c>
      <c r="C29" s="51" t="s">
        <v>3</v>
      </c>
      <c r="D29" s="51">
        <f t="shared" si="1"/>
        <v>160</v>
      </c>
      <c r="E29" s="51" t="s">
        <v>3</v>
      </c>
      <c r="F29" s="110">
        <f t="shared" si="2"/>
        <v>1550</v>
      </c>
      <c r="G29" s="51" t="s">
        <v>3</v>
      </c>
      <c r="H29" s="48">
        <v>2</v>
      </c>
      <c r="I29" s="49" t="s">
        <v>45</v>
      </c>
      <c r="J29" s="184">
        <v>75</v>
      </c>
      <c r="K29" s="113">
        <v>160</v>
      </c>
      <c r="L29" s="113">
        <v>1550</v>
      </c>
      <c r="M29" s="185">
        <v>10.205148929111841</v>
      </c>
      <c r="N29" s="87">
        <v>308.25359999999995</v>
      </c>
      <c r="O29" s="119">
        <v>17492.968182017365</v>
      </c>
      <c r="P29" s="121">
        <v>20552.105575698642</v>
      </c>
      <c r="Q29" s="310">
        <v>13595.214061953789</v>
      </c>
      <c r="R29" s="314">
        <v>31088.182243971154</v>
      </c>
      <c r="S29" s="315">
        <v>34147.319637652428</v>
      </c>
      <c r="U29" s="7" t="s">
        <v>1372</v>
      </c>
    </row>
    <row r="30" spans="1:21" s="74" customFormat="1" ht="16.5" customHeight="1" thickBot="1">
      <c r="A30" s="47" t="s">
        <v>35</v>
      </c>
      <c r="B30" s="48">
        <f t="shared" si="0"/>
        <v>75</v>
      </c>
      <c r="C30" s="48" t="s">
        <v>3</v>
      </c>
      <c r="D30" s="48">
        <f t="shared" si="1"/>
        <v>160</v>
      </c>
      <c r="E30" s="48" t="s">
        <v>3</v>
      </c>
      <c r="F30" s="110">
        <f t="shared" si="2"/>
        <v>1600</v>
      </c>
      <c r="G30" s="48" t="s">
        <v>3</v>
      </c>
      <c r="H30" s="48">
        <v>2</v>
      </c>
      <c r="I30" s="49" t="s">
        <v>45</v>
      </c>
      <c r="J30" s="184">
        <v>75</v>
      </c>
      <c r="K30" s="113">
        <v>160</v>
      </c>
      <c r="L30" s="113">
        <v>1600</v>
      </c>
      <c r="M30" s="185">
        <v>10.506253368860262</v>
      </c>
      <c r="N30" s="87">
        <v>321.09750000000003</v>
      </c>
      <c r="O30" s="119">
        <v>17884.965543614664</v>
      </c>
      <c r="P30" s="121">
        <v>21032.505970188304</v>
      </c>
      <c r="Q30" s="310">
        <v>13904.83814518474</v>
      </c>
      <c r="R30" s="314">
        <v>31789.803688799402</v>
      </c>
      <c r="S30" s="315">
        <v>34937.344115373045</v>
      </c>
      <c r="U30" s="7" t="s">
        <v>1373</v>
      </c>
    </row>
    <row r="31" spans="1:21" s="74" customFormat="1" ht="16.5" customHeight="1" thickBot="1">
      <c r="A31" s="50" t="s">
        <v>35</v>
      </c>
      <c r="B31" s="51">
        <f t="shared" si="0"/>
        <v>75</v>
      </c>
      <c r="C31" s="51" t="s">
        <v>3</v>
      </c>
      <c r="D31" s="51">
        <f t="shared" si="1"/>
        <v>160</v>
      </c>
      <c r="E31" s="51" t="s">
        <v>3</v>
      </c>
      <c r="F31" s="110">
        <f t="shared" si="2"/>
        <v>1650</v>
      </c>
      <c r="G31" s="51" t="s">
        <v>3</v>
      </c>
      <c r="H31" s="48">
        <v>2</v>
      </c>
      <c r="I31" s="49" t="s">
        <v>45</v>
      </c>
      <c r="J31" s="184">
        <v>75</v>
      </c>
      <c r="K31" s="113">
        <v>160</v>
      </c>
      <c r="L31" s="113">
        <v>1650</v>
      </c>
      <c r="M31" s="185">
        <v>10.824397808608687</v>
      </c>
      <c r="N31" s="87">
        <v>333.94139999999999</v>
      </c>
      <c r="O31" s="119">
        <v>18276.962905211967</v>
      </c>
      <c r="P31" s="121">
        <v>21512.906364677969</v>
      </c>
      <c r="Q31" s="310">
        <v>14445.044006198967</v>
      </c>
      <c r="R31" s="314">
        <v>32722.006911410936</v>
      </c>
      <c r="S31" s="315">
        <v>35957.950370876933</v>
      </c>
      <c r="U31" s="7" t="s">
        <v>1374</v>
      </c>
    </row>
    <row r="32" spans="1:21" s="74" customFormat="1" ht="16.5" customHeight="1" thickBot="1">
      <c r="A32" s="50" t="s">
        <v>35</v>
      </c>
      <c r="B32" s="51">
        <f t="shared" si="0"/>
        <v>75</v>
      </c>
      <c r="C32" s="51" t="s">
        <v>3</v>
      </c>
      <c r="D32" s="51">
        <f t="shared" si="1"/>
        <v>160</v>
      </c>
      <c r="E32" s="51" t="s">
        <v>3</v>
      </c>
      <c r="F32" s="110">
        <f t="shared" si="2"/>
        <v>1700</v>
      </c>
      <c r="G32" s="51" t="s">
        <v>3</v>
      </c>
      <c r="H32" s="48">
        <v>2</v>
      </c>
      <c r="I32" s="49" t="s">
        <v>45</v>
      </c>
      <c r="J32" s="184">
        <v>75</v>
      </c>
      <c r="K32" s="113">
        <v>160</v>
      </c>
      <c r="L32" s="113">
        <v>1700</v>
      </c>
      <c r="M32" s="185">
        <v>11.125502248357106</v>
      </c>
      <c r="N32" s="87">
        <v>346.78530000000001</v>
      </c>
      <c r="O32" s="119">
        <v>18668.96040720263</v>
      </c>
      <c r="P32" s="121">
        <v>21993.306618774266</v>
      </c>
      <c r="Q32" s="310">
        <v>14754.667949036411</v>
      </c>
      <c r="R32" s="314">
        <v>33423.628356239045</v>
      </c>
      <c r="S32" s="315">
        <v>36747.974567810677</v>
      </c>
      <c r="U32" s="7" t="s">
        <v>1375</v>
      </c>
    </row>
    <row r="33" spans="1:21" s="74" customFormat="1" ht="16.5" customHeight="1" thickBot="1">
      <c r="A33" s="50" t="s">
        <v>35</v>
      </c>
      <c r="B33" s="51">
        <f t="shared" si="0"/>
        <v>75</v>
      </c>
      <c r="C33" s="51" t="s">
        <v>3</v>
      </c>
      <c r="D33" s="51">
        <f t="shared" si="1"/>
        <v>160</v>
      </c>
      <c r="E33" s="51" t="s">
        <v>3</v>
      </c>
      <c r="F33" s="110">
        <f t="shared" si="2"/>
        <v>1750</v>
      </c>
      <c r="G33" s="51" t="s">
        <v>3</v>
      </c>
      <c r="H33" s="48">
        <v>2</v>
      </c>
      <c r="I33" s="49" t="s">
        <v>45</v>
      </c>
      <c r="J33" s="184">
        <v>75</v>
      </c>
      <c r="K33" s="113">
        <v>160</v>
      </c>
      <c r="L33" s="113">
        <v>1750</v>
      </c>
      <c r="M33" s="185">
        <v>11.443646688105527</v>
      </c>
      <c r="N33" s="87">
        <v>359.62919999999997</v>
      </c>
      <c r="O33" s="119">
        <v>19060.95776879993</v>
      </c>
      <c r="P33" s="121">
        <v>22473.707013263927</v>
      </c>
      <c r="Q33" s="310">
        <v>15294.87381005078</v>
      </c>
      <c r="R33" s="314">
        <v>34355.83157885071</v>
      </c>
      <c r="S33" s="315">
        <v>37768.580823314711</v>
      </c>
      <c r="U33" s="7" t="s">
        <v>1376</v>
      </c>
    </row>
    <row r="34" spans="1:21" s="74" customFormat="1" ht="16.5" customHeight="1" thickBot="1">
      <c r="A34" s="50" t="s">
        <v>35</v>
      </c>
      <c r="B34" s="51">
        <f t="shared" si="0"/>
        <v>75</v>
      </c>
      <c r="C34" s="51" t="s">
        <v>3</v>
      </c>
      <c r="D34" s="51">
        <f t="shared" si="1"/>
        <v>160</v>
      </c>
      <c r="E34" s="51" t="s">
        <v>3</v>
      </c>
      <c r="F34" s="110">
        <f t="shared" si="2"/>
        <v>1800</v>
      </c>
      <c r="G34" s="51" t="s">
        <v>3</v>
      </c>
      <c r="H34" s="48">
        <v>2</v>
      </c>
      <c r="I34" s="49" t="s">
        <v>45</v>
      </c>
      <c r="J34" s="184">
        <v>75</v>
      </c>
      <c r="K34" s="113">
        <v>160</v>
      </c>
      <c r="L34" s="113">
        <v>1800</v>
      </c>
      <c r="M34" s="185">
        <v>11.744751127853947</v>
      </c>
      <c r="N34" s="87">
        <v>372.47309999999999</v>
      </c>
      <c r="O34" s="119">
        <v>19452.955130397229</v>
      </c>
      <c r="P34" s="121">
        <v>22954.107407753592</v>
      </c>
      <c r="Q34" s="310">
        <v>15604.497893281728</v>
      </c>
      <c r="R34" s="314">
        <v>35057.453023678958</v>
      </c>
      <c r="S34" s="315">
        <v>38558.605301035321</v>
      </c>
      <c r="U34" s="7" t="s">
        <v>1377</v>
      </c>
    </row>
    <row r="35" spans="1:21" s="74" customFormat="1" ht="16.5" customHeight="1" thickBot="1">
      <c r="A35" s="50" t="s">
        <v>35</v>
      </c>
      <c r="B35" s="51">
        <f t="shared" si="0"/>
        <v>75</v>
      </c>
      <c r="C35" s="51" t="s">
        <v>3</v>
      </c>
      <c r="D35" s="51">
        <f t="shared" si="1"/>
        <v>160</v>
      </c>
      <c r="E35" s="51" t="s">
        <v>3</v>
      </c>
      <c r="F35" s="110">
        <f t="shared" si="2"/>
        <v>1850</v>
      </c>
      <c r="G35" s="51" t="s">
        <v>3</v>
      </c>
      <c r="H35" s="48">
        <v>2</v>
      </c>
      <c r="I35" s="49" t="s">
        <v>45</v>
      </c>
      <c r="J35" s="184">
        <v>75</v>
      </c>
      <c r="K35" s="113">
        <v>160</v>
      </c>
      <c r="L35" s="113">
        <v>1850</v>
      </c>
      <c r="M35" s="185">
        <v>12.06289556760237</v>
      </c>
      <c r="N35" s="87">
        <v>385.31700000000001</v>
      </c>
      <c r="O35" s="119">
        <v>19844.952632387893</v>
      </c>
      <c r="P35" s="121">
        <v>23434.507802243254</v>
      </c>
      <c r="Q35" s="310">
        <v>16144.703754295953</v>
      </c>
      <c r="R35" s="314">
        <v>35989.656386683848</v>
      </c>
      <c r="S35" s="315">
        <v>39579.211556539209</v>
      </c>
      <c r="U35" s="7" t="s">
        <v>1378</v>
      </c>
    </row>
    <row r="36" spans="1:21" s="74" customFormat="1" ht="16.5" customHeight="1" thickBot="1">
      <c r="A36" s="50" t="s">
        <v>35</v>
      </c>
      <c r="B36" s="51">
        <f t="shared" si="0"/>
        <v>75</v>
      </c>
      <c r="C36" s="51" t="s">
        <v>3</v>
      </c>
      <c r="D36" s="51">
        <f t="shared" si="1"/>
        <v>160</v>
      </c>
      <c r="E36" s="51" t="s">
        <v>3</v>
      </c>
      <c r="F36" s="110">
        <f t="shared" si="2"/>
        <v>1900</v>
      </c>
      <c r="G36" s="51" t="s">
        <v>3</v>
      </c>
      <c r="H36" s="48">
        <v>2</v>
      </c>
      <c r="I36" s="49" t="s">
        <v>45</v>
      </c>
      <c r="J36" s="184">
        <v>75</v>
      </c>
      <c r="K36" s="113">
        <v>160</v>
      </c>
      <c r="L36" s="113">
        <v>1900</v>
      </c>
      <c r="M36" s="185">
        <v>12.364000007350789</v>
      </c>
      <c r="N36" s="87">
        <v>398.16089999999997</v>
      </c>
      <c r="O36" s="119">
        <v>20236.949993985192</v>
      </c>
      <c r="P36" s="121">
        <v>23914.908196732918</v>
      </c>
      <c r="Q36" s="310">
        <v>16454.32769713354</v>
      </c>
      <c r="R36" s="314">
        <v>36691.277691118732</v>
      </c>
      <c r="S36" s="315">
        <v>40369.235893866455</v>
      </c>
      <c r="U36" s="7" t="s">
        <v>1379</v>
      </c>
    </row>
    <row r="37" spans="1:21" s="74" customFormat="1" ht="16.5" customHeight="1" thickBot="1">
      <c r="A37" s="50" t="s">
        <v>35</v>
      </c>
      <c r="B37" s="51">
        <f t="shared" si="0"/>
        <v>75</v>
      </c>
      <c r="C37" s="51" t="s">
        <v>3</v>
      </c>
      <c r="D37" s="51">
        <f t="shared" si="1"/>
        <v>160</v>
      </c>
      <c r="E37" s="51" t="s">
        <v>3</v>
      </c>
      <c r="F37" s="110">
        <f t="shared" si="2"/>
        <v>1950</v>
      </c>
      <c r="G37" s="51" t="s">
        <v>3</v>
      </c>
      <c r="H37" s="48">
        <v>2</v>
      </c>
      <c r="I37" s="49" t="s">
        <v>45</v>
      </c>
      <c r="J37" s="184">
        <v>75</v>
      </c>
      <c r="K37" s="113">
        <v>160</v>
      </c>
      <c r="L37" s="113">
        <v>1950</v>
      </c>
      <c r="M37" s="185">
        <v>12.70435444709921</v>
      </c>
      <c r="N37" s="87">
        <v>411.00479999999999</v>
      </c>
      <c r="O37" s="119">
        <v>20674.819202059018</v>
      </c>
      <c r="P37" s="121">
        <v>24439.782119808606</v>
      </c>
      <c r="Q37" s="310">
        <v>16763.951780364492</v>
      </c>
      <c r="R37" s="314">
        <v>37438.770982423506</v>
      </c>
      <c r="S37" s="315">
        <v>41203.733900173102</v>
      </c>
      <c r="U37" s="7" t="s">
        <v>1380</v>
      </c>
    </row>
    <row r="38" spans="1:21" s="74" customFormat="1" ht="16.5" customHeight="1" thickBot="1">
      <c r="A38" s="50" t="s">
        <v>35</v>
      </c>
      <c r="B38" s="51">
        <f t="shared" si="0"/>
        <v>75</v>
      </c>
      <c r="C38" s="51" t="s">
        <v>3</v>
      </c>
      <c r="D38" s="51">
        <f t="shared" si="1"/>
        <v>160</v>
      </c>
      <c r="E38" s="51" t="s">
        <v>3</v>
      </c>
      <c r="F38" s="110">
        <f t="shared" si="2"/>
        <v>2000</v>
      </c>
      <c r="G38" s="51" t="s">
        <v>3</v>
      </c>
      <c r="H38" s="48">
        <v>2</v>
      </c>
      <c r="I38" s="49" t="s">
        <v>45</v>
      </c>
      <c r="J38" s="184">
        <v>75</v>
      </c>
      <c r="K38" s="113">
        <v>160</v>
      </c>
      <c r="L38" s="113">
        <v>2000</v>
      </c>
      <c r="M38" s="185">
        <v>13.114061286847633</v>
      </c>
      <c r="N38" s="87">
        <v>423.84869999999995</v>
      </c>
      <c r="O38" s="119">
        <v>21297.359592871544</v>
      </c>
      <c r="P38" s="121">
        <v>25221.493064175418</v>
      </c>
      <c r="Q38" s="310">
        <v>17304.157641378715</v>
      </c>
      <c r="R38" s="314">
        <v>38601.517234250263</v>
      </c>
      <c r="S38" s="315">
        <v>42525.65070555413</v>
      </c>
      <c r="U38" s="7" t="s">
        <v>1381</v>
      </c>
    </row>
    <row r="39" spans="1:21" s="74" customFormat="1" ht="16.5" customHeight="1" thickBot="1">
      <c r="A39" s="50" t="s">
        <v>35</v>
      </c>
      <c r="B39" s="51">
        <f t="shared" si="0"/>
        <v>75</v>
      </c>
      <c r="C39" s="51" t="s">
        <v>3</v>
      </c>
      <c r="D39" s="51">
        <f t="shared" si="1"/>
        <v>160</v>
      </c>
      <c r="E39" s="51" t="s">
        <v>3</v>
      </c>
      <c r="F39" s="110">
        <f t="shared" si="2"/>
        <v>2050</v>
      </c>
      <c r="G39" s="51" t="s">
        <v>3</v>
      </c>
      <c r="H39" s="48">
        <v>2</v>
      </c>
      <c r="I39" s="49" t="s">
        <v>45</v>
      </c>
      <c r="J39" s="184">
        <v>75</v>
      </c>
      <c r="K39" s="113">
        <v>160</v>
      </c>
      <c r="L39" s="113">
        <v>2050</v>
      </c>
      <c r="M39" s="185">
        <v>13.415165726596053</v>
      </c>
      <c r="N39" s="87">
        <v>436.69260000000003</v>
      </c>
      <c r="O39" s="119">
        <v>21689.35695446884</v>
      </c>
      <c r="P39" s="121">
        <v>25701.893458665083</v>
      </c>
      <c r="Q39" s="310">
        <v>17613.781724609664</v>
      </c>
      <c r="R39" s="314">
        <v>39303.138679078504</v>
      </c>
      <c r="S39" s="315">
        <v>43315.675183274747</v>
      </c>
      <c r="U39" s="7" t="s">
        <v>1382</v>
      </c>
    </row>
    <row r="40" spans="1:21" s="74" customFormat="1" ht="16.5" customHeight="1" thickBot="1">
      <c r="A40" s="47" t="s">
        <v>35</v>
      </c>
      <c r="B40" s="48">
        <f t="shared" si="0"/>
        <v>75</v>
      </c>
      <c r="C40" s="48" t="s">
        <v>3</v>
      </c>
      <c r="D40" s="48">
        <f t="shared" si="1"/>
        <v>160</v>
      </c>
      <c r="E40" s="48" t="s">
        <v>3</v>
      </c>
      <c r="F40" s="110">
        <f t="shared" si="2"/>
        <v>2100</v>
      </c>
      <c r="G40" s="48" t="s">
        <v>3</v>
      </c>
      <c r="H40" s="48">
        <v>2</v>
      </c>
      <c r="I40" s="49" t="s">
        <v>45</v>
      </c>
      <c r="J40" s="184">
        <v>75</v>
      </c>
      <c r="K40" s="113">
        <v>160</v>
      </c>
      <c r="L40" s="113">
        <v>2100</v>
      </c>
      <c r="M40" s="185">
        <v>13.733310166344474</v>
      </c>
      <c r="N40" s="87">
        <v>449.53649999999999</v>
      </c>
      <c r="O40" s="119">
        <v>22081.354316066143</v>
      </c>
      <c r="P40" s="121">
        <v>26182.293853154741</v>
      </c>
      <c r="Q40" s="310">
        <v>18153.98758562389</v>
      </c>
      <c r="R40" s="314">
        <v>40235.34190169003</v>
      </c>
      <c r="S40" s="315">
        <v>44336.281438778635</v>
      </c>
      <c r="U40" s="7" t="s">
        <v>1383</v>
      </c>
    </row>
    <row r="41" spans="1:21" s="74" customFormat="1" ht="16.5" customHeight="1" thickBot="1">
      <c r="A41" s="50" t="s">
        <v>35</v>
      </c>
      <c r="B41" s="51">
        <f t="shared" si="0"/>
        <v>75</v>
      </c>
      <c r="C41" s="51" t="s">
        <v>3</v>
      </c>
      <c r="D41" s="51">
        <f t="shared" si="1"/>
        <v>160</v>
      </c>
      <c r="E41" s="51" t="s">
        <v>3</v>
      </c>
      <c r="F41" s="110">
        <f t="shared" si="2"/>
        <v>2150</v>
      </c>
      <c r="G41" s="51" t="s">
        <v>3</v>
      </c>
      <c r="H41" s="48">
        <v>2</v>
      </c>
      <c r="I41" s="49" t="s">
        <v>45</v>
      </c>
      <c r="J41" s="184">
        <v>75</v>
      </c>
      <c r="K41" s="113">
        <v>160</v>
      </c>
      <c r="L41" s="113">
        <v>2150</v>
      </c>
      <c r="M41" s="185">
        <v>14.034414606092895</v>
      </c>
      <c r="N41" s="87">
        <v>462.38040000000001</v>
      </c>
      <c r="O41" s="119">
        <v>22473.351677663442</v>
      </c>
      <c r="P41" s="121">
        <v>26662.694107251042</v>
      </c>
      <c r="Q41" s="310">
        <v>18463.611528461479</v>
      </c>
      <c r="R41" s="314">
        <v>40936.963206124921</v>
      </c>
      <c r="S41" s="315">
        <v>45126.305635712517</v>
      </c>
      <c r="U41" s="7" t="s">
        <v>1384</v>
      </c>
    </row>
    <row r="42" spans="1:21" s="74" customFormat="1" ht="16.5" customHeight="1" thickBot="1">
      <c r="A42" s="50" t="s">
        <v>35</v>
      </c>
      <c r="B42" s="51">
        <f t="shared" si="0"/>
        <v>75</v>
      </c>
      <c r="C42" s="51" t="s">
        <v>3</v>
      </c>
      <c r="D42" s="51">
        <f t="shared" si="1"/>
        <v>160</v>
      </c>
      <c r="E42" s="51" t="s">
        <v>3</v>
      </c>
      <c r="F42" s="110">
        <f t="shared" si="2"/>
        <v>2200</v>
      </c>
      <c r="G42" s="51" t="s">
        <v>3</v>
      </c>
      <c r="H42" s="48">
        <v>2</v>
      </c>
      <c r="I42" s="49" t="s">
        <v>45</v>
      </c>
      <c r="J42" s="184">
        <v>75</v>
      </c>
      <c r="K42" s="113">
        <v>160</v>
      </c>
      <c r="L42" s="113">
        <v>2200</v>
      </c>
      <c r="M42" s="185">
        <v>14.352559045841316</v>
      </c>
      <c r="N42" s="87">
        <v>475.22429999999997</v>
      </c>
      <c r="O42" s="119">
        <v>22865.349179654106</v>
      </c>
      <c r="P42" s="121">
        <v>27143.094501740707</v>
      </c>
      <c r="Q42" s="310">
        <v>19003.817389475706</v>
      </c>
      <c r="R42" s="314">
        <v>41869.166569129811</v>
      </c>
      <c r="S42" s="315">
        <v>46146.911891216412</v>
      </c>
      <c r="U42" s="7" t="s">
        <v>1385</v>
      </c>
    </row>
    <row r="43" spans="1:21" s="74" customFormat="1" ht="16.5" customHeight="1" thickBot="1">
      <c r="A43" s="50" t="s">
        <v>35</v>
      </c>
      <c r="B43" s="51">
        <f t="shared" si="0"/>
        <v>75</v>
      </c>
      <c r="C43" s="51" t="s">
        <v>3</v>
      </c>
      <c r="D43" s="51">
        <f t="shared" si="1"/>
        <v>160</v>
      </c>
      <c r="E43" s="51" t="s">
        <v>3</v>
      </c>
      <c r="F43" s="110">
        <f t="shared" si="2"/>
        <v>2250</v>
      </c>
      <c r="G43" s="51" t="s">
        <v>3</v>
      </c>
      <c r="H43" s="48">
        <v>2</v>
      </c>
      <c r="I43" s="49" t="s">
        <v>45</v>
      </c>
      <c r="J43" s="184">
        <v>75</v>
      </c>
      <c r="K43" s="113">
        <v>160</v>
      </c>
      <c r="L43" s="113">
        <v>2250</v>
      </c>
      <c r="M43" s="185">
        <v>14.653663485589735</v>
      </c>
      <c r="N43" s="87">
        <v>488.06819999999999</v>
      </c>
      <c r="O43" s="119">
        <v>23257.346541251405</v>
      </c>
      <c r="P43" s="121">
        <v>27623.494896230368</v>
      </c>
      <c r="Q43" s="310">
        <v>19313.441472706654</v>
      </c>
      <c r="R43" s="314">
        <v>42570.788013958059</v>
      </c>
      <c r="S43" s="315">
        <v>46936.936368937022</v>
      </c>
      <c r="U43" s="7" t="s">
        <v>1386</v>
      </c>
    </row>
    <row r="44" spans="1:21" s="74" customFormat="1" ht="16.5" customHeight="1" thickBot="1">
      <c r="A44" s="50" t="s">
        <v>35</v>
      </c>
      <c r="B44" s="51">
        <f t="shared" si="0"/>
        <v>75</v>
      </c>
      <c r="C44" s="51" t="s">
        <v>3</v>
      </c>
      <c r="D44" s="51">
        <f t="shared" si="1"/>
        <v>160</v>
      </c>
      <c r="E44" s="51" t="s">
        <v>3</v>
      </c>
      <c r="F44" s="110">
        <f t="shared" si="2"/>
        <v>2300</v>
      </c>
      <c r="G44" s="51" t="s">
        <v>3</v>
      </c>
      <c r="H44" s="48">
        <v>2</v>
      </c>
      <c r="I44" s="49" t="s">
        <v>45</v>
      </c>
      <c r="J44" s="184">
        <v>75</v>
      </c>
      <c r="K44" s="113">
        <v>160</v>
      </c>
      <c r="L44" s="113">
        <v>2300</v>
      </c>
      <c r="M44" s="185">
        <v>14.954767925338157</v>
      </c>
      <c r="N44" s="87">
        <v>500.91210000000001</v>
      </c>
      <c r="O44" s="119">
        <v>23649.343902848708</v>
      </c>
      <c r="P44" s="121">
        <v>28103.895290720033</v>
      </c>
      <c r="Q44" s="310">
        <v>19623.065415544243</v>
      </c>
      <c r="R44" s="314">
        <v>43272.409318392951</v>
      </c>
      <c r="S44" s="315">
        <v>47726.960706264275</v>
      </c>
      <c r="U44" s="7" t="s">
        <v>1387</v>
      </c>
    </row>
    <row r="45" spans="1:21" s="74" customFormat="1" ht="16.5" customHeight="1" thickBot="1">
      <c r="A45" s="50" t="s">
        <v>35</v>
      </c>
      <c r="B45" s="51">
        <f t="shared" si="0"/>
        <v>75</v>
      </c>
      <c r="C45" s="51" t="s">
        <v>3</v>
      </c>
      <c r="D45" s="51">
        <f t="shared" si="1"/>
        <v>160</v>
      </c>
      <c r="E45" s="51" t="s">
        <v>3</v>
      </c>
      <c r="F45" s="110">
        <f t="shared" si="2"/>
        <v>2350</v>
      </c>
      <c r="G45" s="51" t="s">
        <v>3</v>
      </c>
      <c r="H45" s="48">
        <v>2</v>
      </c>
      <c r="I45" s="49" t="s">
        <v>45</v>
      </c>
      <c r="J45" s="184">
        <v>75</v>
      </c>
      <c r="K45" s="113">
        <v>160</v>
      </c>
      <c r="L45" s="113">
        <v>2350</v>
      </c>
      <c r="M45" s="185">
        <v>15.272912365086579</v>
      </c>
      <c r="N45" s="87">
        <v>513.75599999999997</v>
      </c>
      <c r="O45" s="119">
        <v>24041.341264446008</v>
      </c>
      <c r="P45" s="121">
        <v>28584.295685209694</v>
      </c>
      <c r="Q45" s="310">
        <v>20163.271276558466</v>
      </c>
      <c r="R45" s="314">
        <v>44204.612541004477</v>
      </c>
      <c r="S45" s="315">
        <v>48747.566961768156</v>
      </c>
      <c r="U45" s="7" t="s">
        <v>1388</v>
      </c>
    </row>
    <row r="46" spans="1:21" s="74" customFormat="1" ht="16.5" customHeight="1" thickBot="1">
      <c r="A46" s="50" t="s">
        <v>35</v>
      </c>
      <c r="B46" s="51">
        <f t="shared" si="0"/>
        <v>75</v>
      </c>
      <c r="C46" s="51" t="s">
        <v>3</v>
      </c>
      <c r="D46" s="51">
        <f t="shared" si="1"/>
        <v>160</v>
      </c>
      <c r="E46" s="51" t="s">
        <v>3</v>
      </c>
      <c r="F46" s="110">
        <f t="shared" si="2"/>
        <v>2400</v>
      </c>
      <c r="G46" s="51" t="s">
        <v>3</v>
      </c>
      <c r="H46" s="48">
        <v>2</v>
      </c>
      <c r="I46" s="49" t="s">
        <v>45</v>
      </c>
      <c r="J46" s="184">
        <v>75</v>
      </c>
      <c r="K46" s="113">
        <v>160</v>
      </c>
      <c r="L46" s="113">
        <v>2400</v>
      </c>
      <c r="M46" s="185">
        <v>15.574016804835001</v>
      </c>
      <c r="N46" s="87">
        <v>526.59990000000005</v>
      </c>
      <c r="O46" s="119">
        <v>24433.338766436671</v>
      </c>
      <c r="P46" s="121">
        <v>29064.696079699355</v>
      </c>
      <c r="Q46" s="310">
        <v>20472.895359789418</v>
      </c>
      <c r="R46" s="314">
        <v>44906.234126226089</v>
      </c>
      <c r="S46" s="315">
        <v>49537.591439488773</v>
      </c>
      <c r="U46" s="7" t="s">
        <v>1389</v>
      </c>
    </row>
    <row r="47" spans="1:21" s="74" customFormat="1" ht="16.5" customHeight="1" thickBot="1">
      <c r="A47" s="50" t="s">
        <v>35</v>
      </c>
      <c r="B47" s="51">
        <f t="shared" si="0"/>
        <v>75</v>
      </c>
      <c r="C47" s="51" t="s">
        <v>3</v>
      </c>
      <c r="D47" s="51">
        <f t="shared" si="1"/>
        <v>160</v>
      </c>
      <c r="E47" s="51" t="s">
        <v>3</v>
      </c>
      <c r="F47" s="110">
        <f t="shared" si="2"/>
        <v>2450</v>
      </c>
      <c r="G47" s="51" t="s">
        <v>3</v>
      </c>
      <c r="H47" s="48">
        <v>2</v>
      </c>
      <c r="I47" s="49" t="s">
        <v>45</v>
      </c>
      <c r="J47" s="184">
        <v>75</v>
      </c>
      <c r="K47" s="113">
        <v>160</v>
      </c>
      <c r="L47" s="113">
        <v>2450</v>
      </c>
      <c r="M47" s="185">
        <v>15.96392367338342</v>
      </c>
      <c r="N47" s="87">
        <v>539.44380000000001</v>
      </c>
      <c r="O47" s="119">
        <v>25364.771229488066</v>
      </c>
      <c r="P47" s="121">
        <v>29992.585997034796</v>
      </c>
      <c r="Q47" s="310">
        <v>21013.101220803645</v>
      </c>
      <c r="R47" s="314">
        <v>46377.87245029171</v>
      </c>
      <c r="S47" s="315">
        <v>51005.687217838436</v>
      </c>
      <c r="U47" s="7" t="s">
        <v>1390</v>
      </c>
    </row>
    <row r="48" spans="1:21" s="74" customFormat="1" ht="16.5" customHeight="1" thickBot="1">
      <c r="A48" s="50" t="s">
        <v>35</v>
      </c>
      <c r="B48" s="51">
        <f t="shared" si="0"/>
        <v>75</v>
      </c>
      <c r="C48" s="51" t="s">
        <v>3</v>
      </c>
      <c r="D48" s="51">
        <f t="shared" si="1"/>
        <v>160</v>
      </c>
      <c r="E48" s="51" t="s">
        <v>3</v>
      </c>
      <c r="F48" s="110">
        <f t="shared" si="2"/>
        <v>2500</v>
      </c>
      <c r="G48" s="51" t="s">
        <v>3</v>
      </c>
      <c r="H48" s="48">
        <v>2</v>
      </c>
      <c r="I48" s="49" t="s">
        <v>45</v>
      </c>
      <c r="J48" s="184">
        <v>75</v>
      </c>
      <c r="K48" s="113">
        <v>160</v>
      </c>
      <c r="L48" s="113">
        <v>2500</v>
      </c>
      <c r="M48" s="185">
        <v>16.265028113131844</v>
      </c>
      <c r="N48" s="87">
        <v>552.28769999999997</v>
      </c>
      <c r="O48" s="119">
        <v>25756.768591085369</v>
      </c>
      <c r="P48" s="121">
        <v>30472.986391524457</v>
      </c>
      <c r="Q48" s="310">
        <v>21322.725304034593</v>
      </c>
      <c r="R48" s="314">
        <v>47079.493895119958</v>
      </c>
      <c r="S48" s="315">
        <v>51795.711695559046</v>
      </c>
      <c r="U48" s="7" t="s">
        <v>1391</v>
      </c>
    </row>
    <row r="49" spans="1:21" s="74" customFormat="1" ht="16.5" customHeight="1" thickBot="1">
      <c r="A49" s="50" t="s">
        <v>35</v>
      </c>
      <c r="B49" s="51">
        <f t="shared" si="0"/>
        <v>75</v>
      </c>
      <c r="C49" s="51" t="s">
        <v>3</v>
      </c>
      <c r="D49" s="51">
        <f t="shared" si="1"/>
        <v>160</v>
      </c>
      <c r="E49" s="51" t="s">
        <v>3</v>
      </c>
      <c r="F49" s="110">
        <f t="shared" si="2"/>
        <v>2550</v>
      </c>
      <c r="G49" s="51" t="s">
        <v>3</v>
      </c>
      <c r="H49" s="48">
        <v>2</v>
      </c>
      <c r="I49" s="49" t="s">
        <v>45</v>
      </c>
      <c r="J49" s="184">
        <v>75</v>
      </c>
      <c r="K49" s="113">
        <v>160</v>
      </c>
      <c r="L49" s="113">
        <v>2550</v>
      </c>
      <c r="M49" s="185">
        <v>16.583172552880264</v>
      </c>
      <c r="N49" s="87">
        <v>565.13159999999993</v>
      </c>
      <c r="O49" s="119">
        <v>26148.765952682668</v>
      </c>
      <c r="P49" s="121">
        <v>30953.386786014118</v>
      </c>
      <c r="Q49" s="310">
        <v>21862.931024655456</v>
      </c>
      <c r="R49" s="314">
        <v>48011.696977338128</v>
      </c>
      <c r="S49" s="315">
        <v>52816.31781066957</v>
      </c>
      <c r="U49" s="7" t="s">
        <v>1392</v>
      </c>
    </row>
    <row r="50" spans="1:21" s="74" customFormat="1" ht="16.5" customHeight="1" thickBot="1">
      <c r="A50" s="47" t="s">
        <v>35</v>
      </c>
      <c r="B50" s="48">
        <f t="shared" si="0"/>
        <v>75</v>
      </c>
      <c r="C50" s="48" t="s">
        <v>3</v>
      </c>
      <c r="D50" s="48">
        <f t="shared" si="1"/>
        <v>160</v>
      </c>
      <c r="E50" s="48" t="s">
        <v>3</v>
      </c>
      <c r="F50" s="110">
        <f t="shared" si="2"/>
        <v>2600</v>
      </c>
      <c r="G50" s="48" t="s">
        <v>3</v>
      </c>
      <c r="H50" s="48">
        <v>2</v>
      </c>
      <c r="I50" s="49" t="s">
        <v>45</v>
      </c>
      <c r="J50" s="184">
        <v>75</v>
      </c>
      <c r="K50" s="113">
        <v>160</v>
      </c>
      <c r="L50" s="113">
        <v>2600</v>
      </c>
      <c r="M50" s="185">
        <v>16.884276992628685</v>
      </c>
      <c r="N50" s="87">
        <v>577.97550000000001</v>
      </c>
      <c r="O50" s="119">
        <v>26540.763454673332</v>
      </c>
      <c r="P50" s="121">
        <v>31433.787180503783</v>
      </c>
      <c r="Q50" s="310">
        <v>22172.555107886405</v>
      </c>
      <c r="R50" s="314">
        <v>48713.31856255974</v>
      </c>
      <c r="S50" s="315">
        <v>53606.342288390188</v>
      </c>
      <c r="U50" s="7" t="s">
        <v>1393</v>
      </c>
    </row>
    <row r="51" spans="1:21" s="74" customFormat="1" ht="16.5" customHeight="1" thickBot="1">
      <c r="A51" s="50" t="s">
        <v>35</v>
      </c>
      <c r="B51" s="51">
        <f t="shared" si="0"/>
        <v>75</v>
      </c>
      <c r="C51" s="51" t="s">
        <v>3</v>
      </c>
      <c r="D51" s="51">
        <f t="shared" si="1"/>
        <v>160</v>
      </c>
      <c r="E51" s="51" t="s">
        <v>3</v>
      </c>
      <c r="F51" s="110">
        <f t="shared" si="2"/>
        <v>2650</v>
      </c>
      <c r="G51" s="51" t="s">
        <v>3</v>
      </c>
      <c r="H51" s="48">
        <v>2</v>
      </c>
      <c r="I51" s="49" t="s">
        <v>45</v>
      </c>
      <c r="J51" s="184">
        <v>75</v>
      </c>
      <c r="K51" s="113">
        <v>160</v>
      </c>
      <c r="L51" s="113">
        <v>2650</v>
      </c>
      <c r="M51" s="185">
        <v>17.202421432377108</v>
      </c>
      <c r="N51" s="87">
        <v>590.81939999999997</v>
      </c>
      <c r="O51" s="119">
        <v>26932.760816270631</v>
      </c>
      <c r="P51" s="121">
        <v>31914.187574993444</v>
      </c>
      <c r="Q51" s="310">
        <v>22712.760968900628</v>
      </c>
      <c r="R51" s="314">
        <v>49645.521785171259</v>
      </c>
      <c r="S51" s="315">
        <v>54626.948543894076</v>
      </c>
      <c r="U51" s="7" t="s">
        <v>1394</v>
      </c>
    </row>
    <row r="52" spans="1:21" s="74" customFormat="1" ht="16.5" customHeight="1" thickBot="1">
      <c r="A52" s="50" t="s">
        <v>35</v>
      </c>
      <c r="B52" s="51">
        <f t="shared" si="0"/>
        <v>75</v>
      </c>
      <c r="C52" s="51" t="s">
        <v>3</v>
      </c>
      <c r="D52" s="51">
        <f t="shared" si="1"/>
        <v>160</v>
      </c>
      <c r="E52" s="51" t="s">
        <v>3</v>
      </c>
      <c r="F52" s="110">
        <f t="shared" si="2"/>
        <v>2700</v>
      </c>
      <c r="G52" s="51" t="s">
        <v>3</v>
      </c>
      <c r="H52" s="48">
        <v>2</v>
      </c>
      <c r="I52" s="49" t="s">
        <v>45</v>
      </c>
      <c r="J52" s="184">
        <v>75</v>
      </c>
      <c r="K52" s="113">
        <v>160</v>
      </c>
      <c r="L52" s="113">
        <v>2700</v>
      </c>
      <c r="M52" s="185">
        <v>17.542775872125528</v>
      </c>
      <c r="N52" s="87">
        <v>603.66329999999994</v>
      </c>
      <c r="O52" s="119">
        <v>27370.630024344457</v>
      </c>
      <c r="P52" s="121">
        <v>32439.061498069132</v>
      </c>
      <c r="Q52" s="310">
        <v>23022.385052131584</v>
      </c>
      <c r="R52" s="314">
        <v>50393.01507647604</v>
      </c>
      <c r="S52" s="315">
        <v>55461.446550200715</v>
      </c>
      <c r="U52" s="7" t="s">
        <v>1395</v>
      </c>
    </row>
    <row r="53" spans="1:21" s="74" customFormat="1" ht="16.5" customHeight="1" thickBot="1">
      <c r="A53" s="50" t="s">
        <v>35</v>
      </c>
      <c r="B53" s="51">
        <f t="shared" si="0"/>
        <v>75</v>
      </c>
      <c r="C53" s="51" t="s">
        <v>3</v>
      </c>
      <c r="D53" s="51">
        <f t="shared" si="1"/>
        <v>160</v>
      </c>
      <c r="E53" s="51" t="s">
        <v>3</v>
      </c>
      <c r="F53" s="110">
        <f t="shared" si="2"/>
        <v>2750</v>
      </c>
      <c r="G53" s="51" t="s">
        <v>3</v>
      </c>
      <c r="H53" s="48">
        <v>2</v>
      </c>
      <c r="I53" s="49" t="s">
        <v>45</v>
      </c>
      <c r="J53" s="184">
        <v>75</v>
      </c>
      <c r="K53" s="113">
        <v>160</v>
      </c>
      <c r="L53" s="113">
        <v>2750</v>
      </c>
      <c r="M53" s="185">
        <v>17.843880311873949</v>
      </c>
      <c r="N53" s="87">
        <v>616.5071999999999</v>
      </c>
      <c r="O53" s="119">
        <v>27762.627385941752</v>
      </c>
      <c r="P53" s="121">
        <v>32919.461892558793</v>
      </c>
      <c r="Q53" s="310">
        <v>23332.008994969165</v>
      </c>
      <c r="R53" s="314">
        <v>51094.636380910917</v>
      </c>
      <c r="S53" s="315">
        <v>56251.470887527961</v>
      </c>
      <c r="U53" s="7" t="s">
        <v>1396</v>
      </c>
    </row>
    <row r="54" spans="1:21" s="74" customFormat="1" ht="16.5" customHeight="1" thickBot="1">
      <c r="A54" s="50" t="s">
        <v>35</v>
      </c>
      <c r="B54" s="51">
        <f t="shared" si="0"/>
        <v>75</v>
      </c>
      <c r="C54" s="51" t="s">
        <v>3</v>
      </c>
      <c r="D54" s="51">
        <f t="shared" si="1"/>
        <v>160</v>
      </c>
      <c r="E54" s="51" t="s">
        <v>3</v>
      </c>
      <c r="F54" s="110">
        <f t="shared" si="2"/>
        <v>2800</v>
      </c>
      <c r="G54" s="51" t="s">
        <v>3</v>
      </c>
      <c r="H54" s="48">
        <v>2</v>
      </c>
      <c r="I54" s="49" t="s">
        <v>45</v>
      </c>
      <c r="J54" s="184">
        <v>75</v>
      </c>
      <c r="K54" s="113">
        <v>160</v>
      </c>
      <c r="L54" s="113">
        <v>2800</v>
      </c>
      <c r="M54" s="185">
        <v>18.162024751622369</v>
      </c>
      <c r="N54" s="87">
        <v>629.35109999999997</v>
      </c>
      <c r="O54" s="119">
        <v>28154.624747539059</v>
      </c>
      <c r="P54" s="121">
        <v>33399.862287048461</v>
      </c>
      <c r="Q54" s="310">
        <v>23872.214855983391</v>
      </c>
      <c r="R54" s="314">
        <v>52026.83960352245</v>
      </c>
      <c r="S54" s="315">
        <v>57272.077143031856</v>
      </c>
      <c r="U54" s="7" t="s">
        <v>1397</v>
      </c>
    </row>
    <row r="55" spans="1:21" s="74" customFormat="1" ht="16.5" customHeight="1" thickBot="1">
      <c r="A55" s="50" t="s">
        <v>35</v>
      </c>
      <c r="B55" s="51">
        <f t="shared" si="0"/>
        <v>75</v>
      </c>
      <c r="C55" s="51" t="s">
        <v>3</v>
      </c>
      <c r="D55" s="51">
        <f t="shared" si="1"/>
        <v>160</v>
      </c>
      <c r="E55" s="51" t="s">
        <v>3</v>
      </c>
      <c r="F55" s="110">
        <f t="shared" si="2"/>
        <v>2850</v>
      </c>
      <c r="G55" s="51" t="s">
        <v>3</v>
      </c>
      <c r="H55" s="48">
        <v>2</v>
      </c>
      <c r="I55" s="49" t="s">
        <v>45</v>
      </c>
      <c r="J55" s="184">
        <v>75</v>
      </c>
      <c r="K55" s="113">
        <v>160</v>
      </c>
      <c r="L55" s="113">
        <v>2850</v>
      </c>
      <c r="M55" s="185">
        <v>18.46312919137079</v>
      </c>
      <c r="N55" s="87">
        <v>642.19500000000005</v>
      </c>
      <c r="O55" s="119">
        <v>28546.622249529722</v>
      </c>
      <c r="P55" s="121">
        <v>33880.262541144759</v>
      </c>
      <c r="Q55" s="310">
        <v>24181.838939214344</v>
      </c>
      <c r="R55" s="314">
        <v>52728.46118874407</v>
      </c>
      <c r="S55" s="315">
        <v>58062.101480359102</v>
      </c>
      <c r="U55" s="7" t="s">
        <v>1398</v>
      </c>
    </row>
    <row r="56" spans="1:21" s="74" customFormat="1" ht="16.5" customHeight="1" thickBot="1">
      <c r="A56" s="50" t="s">
        <v>35</v>
      </c>
      <c r="B56" s="51">
        <f t="shared" si="0"/>
        <v>75</v>
      </c>
      <c r="C56" s="51" t="s">
        <v>3</v>
      </c>
      <c r="D56" s="51">
        <f t="shared" si="1"/>
        <v>160</v>
      </c>
      <c r="E56" s="51" t="s">
        <v>3</v>
      </c>
      <c r="F56" s="110">
        <f t="shared" si="2"/>
        <v>2900</v>
      </c>
      <c r="G56" s="51" t="s">
        <v>3</v>
      </c>
      <c r="H56" s="48">
        <v>2</v>
      </c>
      <c r="I56" s="49" t="s">
        <v>45</v>
      </c>
      <c r="J56" s="184">
        <v>75</v>
      </c>
      <c r="K56" s="113">
        <v>160</v>
      </c>
      <c r="L56" s="113">
        <v>2900</v>
      </c>
      <c r="M56" s="185">
        <v>18.781273631119213</v>
      </c>
      <c r="N56" s="87">
        <v>655.03890000000001</v>
      </c>
      <c r="O56" s="119">
        <v>28938.619611127018</v>
      </c>
      <c r="P56" s="121">
        <v>34360.66293563442</v>
      </c>
      <c r="Q56" s="310">
        <v>24722.044800228567</v>
      </c>
      <c r="R56" s="314">
        <v>53660.664411355581</v>
      </c>
      <c r="S56" s="315">
        <v>59082.70773586299</v>
      </c>
      <c r="U56" s="7" t="s">
        <v>1399</v>
      </c>
    </row>
    <row r="57" spans="1:21" s="74" customFormat="1" ht="16.5" customHeight="1" thickBot="1">
      <c r="A57" s="50" t="s">
        <v>35</v>
      </c>
      <c r="B57" s="51">
        <f t="shared" si="0"/>
        <v>75</v>
      </c>
      <c r="C57" s="51" t="s">
        <v>3</v>
      </c>
      <c r="D57" s="51">
        <f t="shared" si="1"/>
        <v>160</v>
      </c>
      <c r="E57" s="51" t="s">
        <v>3</v>
      </c>
      <c r="F57" s="110">
        <f t="shared" si="2"/>
        <v>2950</v>
      </c>
      <c r="G57" s="51" t="s">
        <v>3</v>
      </c>
      <c r="H57" s="48">
        <v>2</v>
      </c>
      <c r="I57" s="49" t="s">
        <v>45</v>
      </c>
      <c r="J57" s="184">
        <v>75</v>
      </c>
      <c r="K57" s="113">
        <v>160</v>
      </c>
      <c r="L57" s="113">
        <v>2950</v>
      </c>
      <c r="M57" s="185">
        <v>19.082378070867634</v>
      </c>
      <c r="N57" s="87">
        <v>667.88279999999997</v>
      </c>
      <c r="O57" s="119">
        <v>29330.616972724318</v>
      </c>
      <c r="P57" s="121">
        <v>34841.063330124081</v>
      </c>
      <c r="Q57" s="310">
        <v>25031.668743066155</v>
      </c>
      <c r="R57" s="314">
        <v>54362.285715790473</v>
      </c>
      <c r="S57" s="315">
        <v>59872.732073190236</v>
      </c>
      <c r="U57" s="7" t="s">
        <v>1400</v>
      </c>
    </row>
    <row r="58" spans="1:21" s="74" customFormat="1" ht="16.5" customHeight="1" thickBot="1">
      <c r="A58" s="52" t="s">
        <v>35</v>
      </c>
      <c r="B58" s="53">
        <f t="shared" si="0"/>
        <v>75</v>
      </c>
      <c r="C58" s="53" t="s">
        <v>3</v>
      </c>
      <c r="D58" s="53">
        <f t="shared" si="1"/>
        <v>160</v>
      </c>
      <c r="E58" s="53" t="s">
        <v>3</v>
      </c>
      <c r="F58" s="111">
        <f t="shared" si="2"/>
        <v>3000</v>
      </c>
      <c r="G58" s="53" t="s">
        <v>3</v>
      </c>
      <c r="H58" s="55">
        <v>2</v>
      </c>
      <c r="I58" s="54" t="s">
        <v>45</v>
      </c>
      <c r="J58" s="186">
        <v>75</v>
      </c>
      <c r="K58" s="157">
        <v>160</v>
      </c>
      <c r="L58" s="157">
        <v>3000</v>
      </c>
      <c r="M58" s="187">
        <v>19.400522510616049</v>
      </c>
      <c r="N58" s="148">
        <v>680.72669999999994</v>
      </c>
      <c r="O58" s="189">
        <v>29722.614334321617</v>
      </c>
      <c r="P58" s="158">
        <v>35321.463724613743</v>
      </c>
      <c r="Q58" s="311">
        <v>25571.874604080382</v>
      </c>
      <c r="R58" s="316">
        <v>55294.488938401999</v>
      </c>
      <c r="S58" s="317">
        <v>60893.338328694124</v>
      </c>
      <c r="U58" s="7" t="s">
        <v>1401</v>
      </c>
    </row>
    <row r="59" spans="1:21" s="74" customFormat="1" ht="22.5" customHeight="1" thickBot="1">
      <c r="A59" s="2621" t="s">
        <v>51</v>
      </c>
      <c r="B59" s="2622"/>
      <c r="C59" s="2622"/>
      <c r="D59" s="2622"/>
      <c r="E59" s="2622"/>
      <c r="F59" s="2622"/>
      <c r="G59" s="2622"/>
      <c r="H59" s="2622"/>
      <c r="I59" s="2622"/>
      <c r="J59" s="2622"/>
      <c r="K59" s="2622"/>
      <c r="L59" s="2622"/>
      <c r="M59" s="2622"/>
      <c r="N59" s="2622"/>
      <c r="O59" s="2622"/>
      <c r="P59" s="2622"/>
      <c r="Q59" s="2622"/>
      <c r="R59" s="2659"/>
      <c r="S59" s="2660"/>
      <c r="U59" s="7"/>
    </row>
    <row r="60" spans="1:21" s="74" customFormat="1" ht="16.5" customHeight="1" thickBot="1">
      <c r="A60" s="2583" t="s">
        <v>134</v>
      </c>
      <c r="B60" s="2584"/>
      <c r="C60" s="2584"/>
      <c r="D60" s="2584"/>
      <c r="E60" s="2584"/>
      <c r="F60" s="2584"/>
      <c r="G60" s="2584"/>
      <c r="H60" s="2584"/>
      <c r="I60" s="2584"/>
      <c r="J60" s="2584"/>
      <c r="K60" s="2584"/>
      <c r="L60" s="2584"/>
      <c r="M60" s="2584"/>
      <c r="N60" s="2584"/>
      <c r="O60" s="2584"/>
      <c r="P60" s="2584"/>
      <c r="Q60" s="2584"/>
      <c r="R60" s="2584"/>
      <c r="S60" s="2585"/>
      <c r="U60" s="7"/>
    </row>
    <row r="61" spans="1:21" ht="16.5" customHeight="1" thickBot="1">
      <c r="A61" s="47" t="s">
        <v>35</v>
      </c>
      <c r="B61" s="48">
        <f>J61</f>
        <v>75</v>
      </c>
      <c r="C61" s="48" t="s">
        <v>3</v>
      </c>
      <c r="D61" s="48">
        <f>K61</f>
        <v>200</v>
      </c>
      <c r="E61" s="48" t="s">
        <v>3</v>
      </c>
      <c r="F61" s="110">
        <f>L61</f>
        <v>600</v>
      </c>
      <c r="G61" s="48" t="s">
        <v>3</v>
      </c>
      <c r="H61" s="48">
        <v>2</v>
      </c>
      <c r="I61" s="49" t="s">
        <v>45</v>
      </c>
      <c r="J61" s="142">
        <v>75</v>
      </c>
      <c r="K61" s="168">
        <v>200</v>
      </c>
      <c r="L61" s="168">
        <v>600</v>
      </c>
      <c r="M61" s="182">
        <v>4.7566600268813168</v>
      </c>
      <c r="N61" s="144">
        <v>71.35499999999999</v>
      </c>
      <c r="O61" s="183">
        <v>9706.8104206194403</v>
      </c>
      <c r="P61" s="188">
        <v>10940.283619426353</v>
      </c>
      <c r="Q61" s="169">
        <v>6535.0358533845019</v>
      </c>
      <c r="R61" s="312">
        <v>16241.846274003943</v>
      </c>
      <c r="S61" s="313">
        <v>17475.319472810854</v>
      </c>
      <c r="U61" s="7" t="s">
        <v>1402</v>
      </c>
    </row>
    <row r="62" spans="1:21" ht="16.5" customHeight="1" thickBot="1">
      <c r="A62" s="50" t="s">
        <v>35</v>
      </c>
      <c r="B62" s="51">
        <f t="shared" ref="B62:B109" si="3">J62</f>
        <v>75</v>
      </c>
      <c r="C62" s="51" t="s">
        <v>3</v>
      </c>
      <c r="D62" s="51">
        <f t="shared" ref="D62:D109" si="4">K62</f>
        <v>200</v>
      </c>
      <c r="E62" s="51" t="s">
        <v>3</v>
      </c>
      <c r="F62" s="110">
        <f t="shared" ref="F62:F109" si="5">L62</f>
        <v>650</v>
      </c>
      <c r="G62" s="51" t="s">
        <v>3</v>
      </c>
      <c r="H62" s="48">
        <v>2</v>
      </c>
      <c r="I62" s="49" t="s">
        <v>45</v>
      </c>
      <c r="J62" s="112">
        <v>75</v>
      </c>
      <c r="K62" s="113">
        <v>200</v>
      </c>
      <c r="L62" s="113">
        <v>650</v>
      </c>
      <c r="M62" s="185">
        <v>5.0896181745244746</v>
      </c>
      <c r="N62" s="87">
        <v>85.626000000000005</v>
      </c>
      <c r="O62" s="121">
        <v>10098.490493217489</v>
      </c>
      <c r="P62" s="119">
        <v>11420.991615773251</v>
      </c>
      <c r="Q62" s="120">
        <v>6893.4546325058636</v>
      </c>
      <c r="R62" s="314">
        <v>16991.945125723352</v>
      </c>
      <c r="S62" s="315">
        <v>18314.446248279113</v>
      </c>
      <c r="U62" s="7" t="s">
        <v>1403</v>
      </c>
    </row>
    <row r="63" spans="1:21" ht="16.5" customHeight="1" thickBot="1">
      <c r="A63" s="50" t="s">
        <v>35</v>
      </c>
      <c r="B63" s="51">
        <f t="shared" si="3"/>
        <v>75</v>
      </c>
      <c r="C63" s="51" t="s">
        <v>3</v>
      </c>
      <c r="D63" s="51">
        <f t="shared" si="4"/>
        <v>200</v>
      </c>
      <c r="E63" s="51" t="s">
        <v>3</v>
      </c>
      <c r="F63" s="110">
        <f t="shared" si="5"/>
        <v>700</v>
      </c>
      <c r="G63" s="51" t="s">
        <v>3</v>
      </c>
      <c r="H63" s="48">
        <v>2</v>
      </c>
      <c r="I63" s="49" t="s">
        <v>45</v>
      </c>
      <c r="J63" s="112">
        <v>75</v>
      </c>
      <c r="K63" s="113">
        <v>200</v>
      </c>
      <c r="L63" s="113">
        <v>700</v>
      </c>
      <c r="M63" s="185">
        <v>5.4396163221676312</v>
      </c>
      <c r="N63" s="87">
        <v>99.897000000000006</v>
      </c>
      <c r="O63" s="121">
        <v>10490.170565815539</v>
      </c>
      <c r="P63" s="119">
        <v>11901.699612120152</v>
      </c>
      <c r="Q63" s="120">
        <v>7482.4550490171396</v>
      </c>
      <c r="R63" s="314">
        <v>17972.625614832679</v>
      </c>
      <c r="S63" s="315">
        <v>19384.154661137291</v>
      </c>
      <c r="U63" s="7" t="s">
        <v>1404</v>
      </c>
    </row>
    <row r="64" spans="1:21" ht="16.5" customHeight="1" thickBot="1">
      <c r="A64" s="50" t="s">
        <v>35</v>
      </c>
      <c r="B64" s="51">
        <f t="shared" si="3"/>
        <v>75</v>
      </c>
      <c r="C64" s="51" t="s">
        <v>3</v>
      </c>
      <c r="D64" s="51">
        <f t="shared" si="4"/>
        <v>200</v>
      </c>
      <c r="E64" s="51" t="s">
        <v>3</v>
      </c>
      <c r="F64" s="110">
        <f t="shared" si="5"/>
        <v>750</v>
      </c>
      <c r="G64" s="51" t="s">
        <v>3</v>
      </c>
      <c r="H64" s="48">
        <v>2</v>
      </c>
      <c r="I64" s="49" t="s">
        <v>45</v>
      </c>
      <c r="J64" s="112">
        <v>75</v>
      </c>
      <c r="K64" s="113">
        <v>200</v>
      </c>
      <c r="L64" s="113">
        <v>750</v>
      </c>
      <c r="M64" s="185">
        <v>5.7725744698107899</v>
      </c>
      <c r="N64" s="87">
        <v>114.16799999999999</v>
      </c>
      <c r="O64" s="121">
        <v>10881.850638413591</v>
      </c>
      <c r="P64" s="119">
        <v>12382.407608467052</v>
      </c>
      <c r="Q64" s="120">
        <v>7840.8736877451383</v>
      </c>
      <c r="R64" s="314">
        <v>18722.724326158728</v>
      </c>
      <c r="S64" s="315">
        <v>20223.28129621219</v>
      </c>
      <c r="U64" s="7" t="s">
        <v>1405</v>
      </c>
    </row>
    <row r="65" spans="1:21" ht="16.5" customHeight="1" thickBot="1">
      <c r="A65" s="50" t="s">
        <v>35</v>
      </c>
      <c r="B65" s="51">
        <f t="shared" si="3"/>
        <v>75</v>
      </c>
      <c r="C65" s="51" t="s">
        <v>3</v>
      </c>
      <c r="D65" s="51">
        <f t="shared" si="4"/>
        <v>200</v>
      </c>
      <c r="E65" s="51" t="s">
        <v>3</v>
      </c>
      <c r="F65" s="110">
        <f t="shared" si="5"/>
        <v>800</v>
      </c>
      <c r="G65" s="51" t="s">
        <v>3</v>
      </c>
      <c r="H65" s="48">
        <v>2</v>
      </c>
      <c r="I65" s="49" t="s">
        <v>45</v>
      </c>
      <c r="J65" s="112">
        <v>75</v>
      </c>
      <c r="K65" s="113">
        <v>200</v>
      </c>
      <c r="L65" s="113">
        <v>800</v>
      </c>
      <c r="M65" s="185">
        <v>6.1055326174539477</v>
      </c>
      <c r="N65" s="87">
        <v>128.43899999999999</v>
      </c>
      <c r="O65" s="121">
        <v>11273.530711011639</v>
      </c>
      <c r="P65" s="119">
        <v>12863.115604813955</v>
      </c>
      <c r="Q65" s="120">
        <v>8199.2923264731398</v>
      </c>
      <c r="R65" s="314">
        <v>19472.823037484777</v>
      </c>
      <c r="S65" s="315">
        <v>21062.407931287096</v>
      </c>
      <c r="U65" s="7" t="s">
        <v>1406</v>
      </c>
    </row>
    <row r="66" spans="1:21" ht="16.5" customHeight="1" thickBot="1">
      <c r="A66" s="50" t="s">
        <v>35</v>
      </c>
      <c r="B66" s="51">
        <f t="shared" si="3"/>
        <v>75</v>
      </c>
      <c r="C66" s="51" t="s">
        <v>3</v>
      </c>
      <c r="D66" s="51">
        <f t="shared" si="4"/>
        <v>200</v>
      </c>
      <c r="E66" s="51" t="s">
        <v>3</v>
      </c>
      <c r="F66" s="110">
        <f t="shared" si="5"/>
        <v>850</v>
      </c>
      <c r="G66" s="51" t="s">
        <v>3</v>
      </c>
      <c r="H66" s="48">
        <v>2</v>
      </c>
      <c r="I66" s="49" t="s">
        <v>45</v>
      </c>
      <c r="J66" s="112">
        <v>75</v>
      </c>
      <c r="K66" s="113">
        <v>200</v>
      </c>
      <c r="L66" s="113">
        <v>850</v>
      </c>
      <c r="M66" s="185">
        <v>6.4555307650971052</v>
      </c>
      <c r="N66" s="87">
        <v>142.70999999999998</v>
      </c>
      <c r="O66" s="121">
        <v>11665.210783609691</v>
      </c>
      <c r="P66" s="119">
        <v>13343.823741554215</v>
      </c>
      <c r="Q66" s="120">
        <v>8788.2927429844149</v>
      </c>
      <c r="R66" s="314">
        <v>20453.503526594104</v>
      </c>
      <c r="S66" s="315">
        <v>22132.11648453863</v>
      </c>
      <c r="U66" s="7" t="s">
        <v>1407</v>
      </c>
    </row>
    <row r="67" spans="1:21" ht="16.5" customHeight="1" thickBot="1">
      <c r="A67" s="50" t="s">
        <v>35</v>
      </c>
      <c r="B67" s="51">
        <f t="shared" si="3"/>
        <v>75</v>
      </c>
      <c r="C67" s="51" t="s">
        <v>3</v>
      </c>
      <c r="D67" s="51">
        <f t="shared" si="4"/>
        <v>200</v>
      </c>
      <c r="E67" s="51" t="s">
        <v>3</v>
      </c>
      <c r="F67" s="110">
        <f t="shared" si="5"/>
        <v>900</v>
      </c>
      <c r="G67" s="51" t="s">
        <v>3</v>
      </c>
      <c r="H67" s="48">
        <v>2</v>
      </c>
      <c r="I67" s="49" t="s">
        <v>45</v>
      </c>
      <c r="J67" s="112">
        <v>75</v>
      </c>
      <c r="K67" s="113">
        <v>200</v>
      </c>
      <c r="L67" s="113">
        <v>900</v>
      </c>
      <c r="M67" s="185">
        <v>6.7884639977402639</v>
      </c>
      <c r="N67" s="87">
        <v>156.98099999999999</v>
      </c>
      <c r="O67" s="121">
        <v>12056.890856207741</v>
      </c>
      <c r="P67" s="119">
        <v>13824.531737901116</v>
      </c>
      <c r="Q67" s="120">
        <v>9146.7115221057775</v>
      </c>
      <c r="R67" s="314">
        <v>21203.602378313517</v>
      </c>
      <c r="S67" s="315">
        <v>22971.243260006893</v>
      </c>
      <c r="U67" s="7" t="s">
        <v>1408</v>
      </c>
    </row>
    <row r="68" spans="1:21" ht="16.5" customHeight="1" thickBot="1">
      <c r="A68" s="50" t="s">
        <v>35</v>
      </c>
      <c r="B68" s="51">
        <f t="shared" si="3"/>
        <v>75</v>
      </c>
      <c r="C68" s="51" t="s">
        <v>3</v>
      </c>
      <c r="D68" s="51">
        <f t="shared" si="4"/>
        <v>200</v>
      </c>
      <c r="E68" s="51" t="s">
        <v>3</v>
      </c>
      <c r="F68" s="110">
        <f t="shared" si="5"/>
        <v>950</v>
      </c>
      <c r="G68" s="51" t="s">
        <v>3</v>
      </c>
      <c r="H68" s="48">
        <v>2</v>
      </c>
      <c r="I68" s="49" t="s">
        <v>45</v>
      </c>
      <c r="J68" s="112">
        <v>75</v>
      </c>
      <c r="K68" s="113">
        <v>200</v>
      </c>
      <c r="L68" s="113">
        <v>950</v>
      </c>
      <c r="M68" s="185">
        <v>7.1384870603834205</v>
      </c>
      <c r="N68" s="87">
        <v>171.25200000000001</v>
      </c>
      <c r="O68" s="121">
        <v>12448.57092880579</v>
      </c>
      <c r="P68" s="119">
        <v>14305.239734248016</v>
      </c>
      <c r="Q68" s="120">
        <v>9735.7119386170507</v>
      </c>
      <c r="R68" s="314">
        <v>22184.28286742284</v>
      </c>
      <c r="S68" s="315">
        <v>24040.951672865067</v>
      </c>
      <c r="U68" s="7" t="s">
        <v>1409</v>
      </c>
    </row>
    <row r="69" spans="1:21" ht="16.5" customHeight="1" thickBot="1">
      <c r="A69" s="50" t="s">
        <v>35</v>
      </c>
      <c r="B69" s="51">
        <f t="shared" si="3"/>
        <v>75</v>
      </c>
      <c r="C69" s="51" t="s">
        <v>3</v>
      </c>
      <c r="D69" s="51">
        <f t="shared" si="4"/>
        <v>200</v>
      </c>
      <c r="E69" s="51" t="s">
        <v>3</v>
      </c>
      <c r="F69" s="110">
        <f t="shared" si="5"/>
        <v>1000</v>
      </c>
      <c r="G69" s="51" t="s">
        <v>3</v>
      </c>
      <c r="H69" s="48">
        <v>2</v>
      </c>
      <c r="I69" s="49" t="s">
        <v>45</v>
      </c>
      <c r="J69" s="112">
        <v>75</v>
      </c>
      <c r="K69" s="113">
        <v>200</v>
      </c>
      <c r="L69" s="113">
        <v>1000</v>
      </c>
      <c r="M69" s="185">
        <v>7.4714452080265801</v>
      </c>
      <c r="N69" s="87">
        <v>185.523</v>
      </c>
      <c r="O69" s="121">
        <v>12840.25100140384</v>
      </c>
      <c r="P69" s="119">
        <v>14785.947730594915</v>
      </c>
      <c r="Q69" s="120">
        <v>10094.130577345051</v>
      </c>
      <c r="R69" s="314">
        <v>22934.381578748893</v>
      </c>
      <c r="S69" s="315">
        <v>24880.078307939966</v>
      </c>
      <c r="U69" s="7" t="s">
        <v>1410</v>
      </c>
    </row>
    <row r="70" spans="1:21" ht="16.5" customHeight="1" thickBot="1">
      <c r="A70" s="50" t="s">
        <v>35</v>
      </c>
      <c r="B70" s="51">
        <f t="shared" si="3"/>
        <v>75</v>
      </c>
      <c r="C70" s="51" t="s">
        <v>3</v>
      </c>
      <c r="D70" s="51">
        <f t="shared" si="4"/>
        <v>200</v>
      </c>
      <c r="E70" s="51" t="s">
        <v>3</v>
      </c>
      <c r="F70" s="110">
        <f t="shared" si="5"/>
        <v>1050</v>
      </c>
      <c r="G70" s="51" t="s">
        <v>3</v>
      </c>
      <c r="H70" s="48">
        <v>2</v>
      </c>
      <c r="I70" s="49" t="s">
        <v>45</v>
      </c>
      <c r="J70" s="112">
        <v>75</v>
      </c>
      <c r="K70" s="113">
        <v>200</v>
      </c>
      <c r="L70" s="113">
        <v>1050</v>
      </c>
      <c r="M70" s="185">
        <v>7.8214433556697367</v>
      </c>
      <c r="N70" s="87">
        <v>199.79400000000001</v>
      </c>
      <c r="O70" s="121">
        <v>13231.93107400189</v>
      </c>
      <c r="P70" s="119">
        <v>15266.655726941817</v>
      </c>
      <c r="Q70" s="120">
        <v>10683.130993856326</v>
      </c>
      <c r="R70" s="314">
        <v>23915.062067858216</v>
      </c>
      <c r="S70" s="315">
        <v>25949.786720798144</v>
      </c>
      <c r="U70" s="7" t="s">
        <v>1411</v>
      </c>
    </row>
    <row r="71" spans="1:21" ht="16.5" customHeight="1" thickBot="1">
      <c r="A71" s="47" t="s">
        <v>35</v>
      </c>
      <c r="B71" s="48">
        <f t="shared" si="3"/>
        <v>75</v>
      </c>
      <c r="C71" s="48" t="s">
        <v>3</v>
      </c>
      <c r="D71" s="48">
        <f t="shared" si="4"/>
        <v>200</v>
      </c>
      <c r="E71" s="48" t="s">
        <v>3</v>
      </c>
      <c r="F71" s="110">
        <f t="shared" si="5"/>
        <v>1100</v>
      </c>
      <c r="G71" s="48" t="s">
        <v>3</v>
      </c>
      <c r="H71" s="48">
        <v>2</v>
      </c>
      <c r="I71" s="49" t="s">
        <v>45</v>
      </c>
      <c r="J71" s="112">
        <v>75</v>
      </c>
      <c r="K71" s="113">
        <v>200</v>
      </c>
      <c r="L71" s="113">
        <v>1100</v>
      </c>
      <c r="M71" s="185">
        <v>8.1544015033128954</v>
      </c>
      <c r="N71" s="87">
        <v>214.06499999999997</v>
      </c>
      <c r="O71" s="121">
        <v>13623.61114659994</v>
      </c>
      <c r="P71" s="119">
        <v>15747.363723288716</v>
      </c>
      <c r="Q71" s="120">
        <v>11041.549772977691</v>
      </c>
      <c r="R71" s="314">
        <v>24665.160919577633</v>
      </c>
      <c r="S71" s="315">
        <v>26788.913496266407</v>
      </c>
      <c r="U71" s="7" t="s">
        <v>1412</v>
      </c>
    </row>
    <row r="72" spans="1:21" ht="16.5" customHeight="1" thickBot="1">
      <c r="A72" s="50" t="s">
        <v>35</v>
      </c>
      <c r="B72" s="51">
        <f t="shared" si="3"/>
        <v>75</v>
      </c>
      <c r="C72" s="51" t="s">
        <v>3</v>
      </c>
      <c r="D72" s="51">
        <f t="shared" si="4"/>
        <v>200</v>
      </c>
      <c r="E72" s="51" t="s">
        <v>3</v>
      </c>
      <c r="F72" s="110">
        <f t="shared" si="5"/>
        <v>1150</v>
      </c>
      <c r="G72" s="51" t="s">
        <v>3</v>
      </c>
      <c r="H72" s="48">
        <v>2</v>
      </c>
      <c r="I72" s="49" t="s">
        <v>45</v>
      </c>
      <c r="J72" s="112">
        <v>75</v>
      </c>
      <c r="K72" s="113">
        <v>200</v>
      </c>
      <c r="L72" s="113">
        <v>1150</v>
      </c>
      <c r="M72" s="185">
        <v>8.4873596509560532</v>
      </c>
      <c r="N72" s="87">
        <v>228.33599999999998</v>
      </c>
      <c r="O72" s="121">
        <v>14015.291359591352</v>
      </c>
      <c r="P72" s="119">
        <v>16228.071719635616</v>
      </c>
      <c r="Q72" s="120">
        <v>11399.96841170569</v>
      </c>
      <c r="R72" s="314">
        <v>25415.259771297042</v>
      </c>
      <c r="S72" s="315">
        <v>27628.040131341306</v>
      </c>
      <c r="U72" s="7" t="s">
        <v>1413</v>
      </c>
    </row>
    <row r="73" spans="1:21" ht="16.5" customHeight="1" thickBot="1">
      <c r="A73" s="50" t="s">
        <v>35</v>
      </c>
      <c r="B73" s="51">
        <f t="shared" si="3"/>
        <v>75</v>
      </c>
      <c r="C73" s="51" t="s">
        <v>3</v>
      </c>
      <c r="D73" s="51">
        <f t="shared" si="4"/>
        <v>200</v>
      </c>
      <c r="E73" s="51" t="s">
        <v>3</v>
      </c>
      <c r="F73" s="110">
        <f t="shared" si="5"/>
        <v>1200</v>
      </c>
      <c r="G73" s="51" t="s">
        <v>3</v>
      </c>
      <c r="H73" s="48">
        <v>2</v>
      </c>
      <c r="I73" s="49" t="s">
        <v>45</v>
      </c>
      <c r="J73" s="112">
        <v>75</v>
      </c>
      <c r="K73" s="113">
        <v>200</v>
      </c>
      <c r="L73" s="113">
        <v>1200</v>
      </c>
      <c r="M73" s="185">
        <v>8.8766077985992098</v>
      </c>
      <c r="N73" s="87">
        <v>242.607</v>
      </c>
      <c r="O73" s="121">
        <v>14452.843138272565</v>
      </c>
      <c r="P73" s="119">
        <v>16753.253384961903</v>
      </c>
      <c r="Q73" s="120">
        <v>11988.968828216965</v>
      </c>
      <c r="R73" s="314">
        <v>26441.811966489528</v>
      </c>
      <c r="S73" s="315">
        <v>28742.222213178866</v>
      </c>
      <c r="U73" s="7" t="s">
        <v>1414</v>
      </c>
    </row>
    <row r="74" spans="1:21" ht="16.5" customHeight="1" thickBot="1">
      <c r="A74" s="50" t="s">
        <v>35</v>
      </c>
      <c r="B74" s="51">
        <f t="shared" si="3"/>
        <v>75</v>
      </c>
      <c r="C74" s="51" t="s">
        <v>3</v>
      </c>
      <c r="D74" s="51">
        <f t="shared" si="4"/>
        <v>200</v>
      </c>
      <c r="E74" s="51" t="s">
        <v>3</v>
      </c>
      <c r="F74" s="110">
        <f t="shared" si="5"/>
        <v>1250</v>
      </c>
      <c r="G74" s="51" t="s">
        <v>3</v>
      </c>
      <c r="H74" s="48">
        <v>2</v>
      </c>
      <c r="I74" s="49" t="s">
        <v>45</v>
      </c>
      <c r="J74" s="112">
        <v>75</v>
      </c>
      <c r="K74" s="113">
        <v>200</v>
      </c>
      <c r="L74" s="113">
        <v>1250</v>
      </c>
      <c r="M74" s="185">
        <v>9.2095659462423676</v>
      </c>
      <c r="N74" s="87">
        <v>256.87799999999999</v>
      </c>
      <c r="O74" s="121">
        <v>14844.523210870615</v>
      </c>
      <c r="P74" s="119">
        <v>17233.961381308804</v>
      </c>
      <c r="Q74" s="120">
        <v>12347.387466944965</v>
      </c>
      <c r="R74" s="314">
        <v>27191.91067781558</v>
      </c>
      <c r="S74" s="315">
        <v>29581.348848253769</v>
      </c>
      <c r="U74" s="7" t="s">
        <v>1415</v>
      </c>
    </row>
    <row r="75" spans="1:21" ht="16.5" customHeight="1" thickBot="1">
      <c r="A75" s="50" t="s">
        <v>35</v>
      </c>
      <c r="B75" s="51">
        <f t="shared" si="3"/>
        <v>75</v>
      </c>
      <c r="C75" s="51" t="s">
        <v>3</v>
      </c>
      <c r="D75" s="51">
        <f t="shared" si="4"/>
        <v>200</v>
      </c>
      <c r="E75" s="51" t="s">
        <v>3</v>
      </c>
      <c r="F75" s="110">
        <f t="shared" si="5"/>
        <v>1300</v>
      </c>
      <c r="G75" s="51" t="s">
        <v>3</v>
      </c>
      <c r="H75" s="48">
        <v>2</v>
      </c>
      <c r="I75" s="49" t="s">
        <v>45</v>
      </c>
      <c r="J75" s="112">
        <v>75</v>
      </c>
      <c r="K75" s="113">
        <v>200</v>
      </c>
      <c r="L75" s="113">
        <v>1300</v>
      </c>
      <c r="M75" s="185">
        <v>9.5595640938855269</v>
      </c>
      <c r="N75" s="87">
        <v>271.149</v>
      </c>
      <c r="O75" s="121">
        <v>15236.203283468667</v>
      </c>
      <c r="P75" s="119">
        <v>17714.669377655704</v>
      </c>
      <c r="Q75" s="120">
        <v>12936.38788345624</v>
      </c>
      <c r="R75" s="314">
        <v>28172.591166924907</v>
      </c>
      <c r="S75" s="315">
        <v>30651.057261111942</v>
      </c>
      <c r="U75" s="7" t="s">
        <v>1416</v>
      </c>
    </row>
    <row r="76" spans="1:21" ht="16.5" customHeight="1" thickBot="1">
      <c r="A76" s="50" t="s">
        <v>35</v>
      </c>
      <c r="B76" s="51">
        <f t="shared" si="3"/>
        <v>75</v>
      </c>
      <c r="C76" s="51" t="s">
        <v>3</v>
      </c>
      <c r="D76" s="51">
        <f t="shared" si="4"/>
        <v>200</v>
      </c>
      <c r="E76" s="51" t="s">
        <v>3</v>
      </c>
      <c r="F76" s="110">
        <f t="shared" si="5"/>
        <v>1350</v>
      </c>
      <c r="G76" s="51" t="s">
        <v>3</v>
      </c>
      <c r="H76" s="48">
        <v>2</v>
      </c>
      <c r="I76" s="49" t="s">
        <v>45</v>
      </c>
      <c r="J76" s="112">
        <v>75</v>
      </c>
      <c r="K76" s="113">
        <v>200</v>
      </c>
      <c r="L76" s="113">
        <v>1350</v>
      </c>
      <c r="M76" s="185">
        <v>9.8925222415286846</v>
      </c>
      <c r="N76" s="87">
        <v>285.41999999999996</v>
      </c>
      <c r="O76" s="121">
        <v>15627.883356066717</v>
      </c>
      <c r="P76" s="119">
        <v>18195.377374002604</v>
      </c>
      <c r="Q76" s="120">
        <v>13294.806662577603</v>
      </c>
      <c r="R76" s="314">
        <v>28922.69001864432</v>
      </c>
      <c r="S76" s="315">
        <v>31490.184036580205</v>
      </c>
      <c r="U76" s="7" t="s">
        <v>1417</v>
      </c>
    </row>
    <row r="77" spans="1:21" ht="16.5" customHeight="1" thickBot="1">
      <c r="A77" s="50" t="s">
        <v>35</v>
      </c>
      <c r="B77" s="51">
        <f t="shared" si="3"/>
        <v>75</v>
      </c>
      <c r="C77" s="51" t="s">
        <v>3</v>
      </c>
      <c r="D77" s="51">
        <f t="shared" si="4"/>
        <v>200</v>
      </c>
      <c r="E77" s="51" t="s">
        <v>3</v>
      </c>
      <c r="F77" s="110">
        <f t="shared" si="5"/>
        <v>1400</v>
      </c>
      <c r="G77" s="51" t="s">
        <v>3</v>
      </c>
      <c r="H77" s="48">
        <v>2</v>
      </c>
      <c r="I77" s="49" t="s">
        <v>45</v>
      </c>
      <c r="J77" s="112">
        <v>75</v>
      </c>
      <c r="K77" s="113">
        <v>200</v>
      </c>
      <c r="L77" s="113">
        <v>1400</v>
      </c>
      <c r="M77" s="185">
        <v>10.242520389171842</v>
      </c>
      <c r="N77" s="87">
        <v>299.69099999999997</v>
      </c>
      <c r="O77" s="121">
        <v>16019.563428664766</v>
      </c>
      <c r="P77" s="119">
        <v>18676.085370349501</v>
      </c>
      <c r="Q77" s="120">
        <v>13883.807079088876</v>
      </c>
      <c r="R77" s="314">
        <v>29903.370507753643</v>
      </c>
      <c r="S77" s="315">
        <v>32559.892449438375</v>
      </c>
      <c r="U77" s="7" t="s">
        <v>1418</v>
      </c>
    </row>
    <row r="78" spans="1:21" ht="16.5" customHeight="1" thickBot="1">
      <c r="A78" s="50" t="s">
        <v>35</v>
      </c>
      <c r="B78" s="51">
        <f t="shared" si="3"/>
        <v>75</v>
      </c>
      <c r="C78" s="51" t="s">
        <v>3</v>
      </c>
      <c r="D78" s="51">
        <f t="shared" si="4"/>
        <v>200</v>
      </c>
      <c r="E78" s="51" t="s">
        <v>3</v>
      </c>
      <c r="F78" s="110">
        <f t="shared" si="5"/>
        <v>1450</v>
      </c>
      <c r="G78" s="51" t="s">
        <v>3</v>
      </c>
      <c r="H78" s="48">
        <v>2</v>
      </c>
      <c r="I78" s="49" t="s">
        <v>45</v>
      </c>
      <c r="J78" s="112">
        <v>75</v>
      </c>
      <c r="K78" s="113">
        <v>200</v>
      </c>
      <c r="L78" s="113">
        <v>1450</v>
      </c>
      <c r="M78" s="185">
        <v>10.575478536815002</v>
      </c>
      <c r="N78" s="87">
        <v>313.96199999999999</v>
      </c>
      <c r="O78" s="121">
        <v>16411.243641656176</v>
      </c>
      <c r="P78" s="119">
        <v>19156.793507089766</v>
      </c>
      <c r="Q78" s="120">
        <v>14242.225717816877</v>
      </c>
      <c r="R78" s="314">
        <v>30653.469359473052</v>
      </c>
      <c r="S78" s="315">
        <v>33399.019224906646</v>
      </c>
      <c r="U78" s="7" t="s">
        <v>1419</v>
      </c>
    </row>
    <row r="79" spans="1:21" ht="16.5" customHeight="1" thickBot="1">
      <c r="A79" s="50" t="s">
        <v>35</v>
      </c>
      <c r="B79" s="51">
        <f t="shared" si="3"/>
        <v>75</v>
      </c>
      <c r="C79" s="51" t="s">
        <v>3</v>
      </c>
      <c r="D79" s="51">
        <f t="shared" si="4"/>
        <v>200</v>
      </c>
      <c r="E79" s="51" t="s">
        <v>3</v>
      </c>
      <c r="F79" s="110">
        <f t="shared" si="5"/>
        <v>1500</v>
      </c>
      <c r="G79" s="51" t="s">
        <v>3</v>
      </c>
      <c r="H79" s="48">
        <v>2</v>
      </c>
      <c r="I79" s="49" t="s">
        <v>45</v>
      </c>
      <c r="J79" s="112">
        <v>75</v>
      </c>
      <c r="K79" s="113">
        <v>200</v>
      </c>
      <c r="L79" s="113">
        <v>1500</v>
      </c>
      <c r="M79" s="185">
        <v>11.01803981725816</v>
      </c>
      <c r="N79" s="87">
        <v>328.23299999999995</v>
      </c>
      <c r="O79" s="121">
        <v>17342.358815708329</v>
      </c>
      <c r="P79" s="119">
        <v>20084.991026282441</v>
      </c>
      <c r="Q79" s="120">
        <v>14831.226134328155</v>
      </c>
      <c r="R79" s="314">
        <v>32173.584950036486</v>
      </c>
      <c r="S79" s="315">
        <v>34916.217160610599</v>
      </c>
      <c r="U79" s="7" t="s">
        <v>1420</v>
      </c>
    </row>
    <row r="80" spans="1:21" ht="16.5" customHeight="1" thickBot="1">
      <c r="A80" s="50" t="s">
        <v>35</v>
      </c>
      <c r="B80" s="51">
        <f t="shared" si="3"/>
        <v>75</v>
      </c>
      <c r="C80" s="51" t="s">
        <v>3</v>
      </c>
      <c r="D80" s="51">
        <f t="shared" si="4"/>
        <v>200</v>
      </c>
      <c r="E80" s="51" t="s">
        <v>3</v>
      </c>
      <c r="F80" s="110">
        <f t="shared" si="5"/>
        <v>1550</v>
      </c>
      <c r="G80" s="51" t="s">
        <v>3</v>
      </c>
      <c r="H80" s="48">
        <v>2</v>
      </c>
      <c r="I80" s="49" t="s">
        <v>45</v>
      </c>
      <c r="J80" s="112">
        <v>75</v>
      </c>
      <c r="K80" s="113">
        <v>200</v>
      </c>
      <c r="L80" s="113">
        <v>1550</v>
      </c>
      <c r="M80" s="185">
        <v>11.350997964901316</v>
      </c>
      <c r="N80" s="87">
        <v>342.50400000000002</v>
      </c>
      <c r="O80" s="121">
        <v>17734.038888306379</v>
      </c>
      <c r="P80" s="119">
        <v>20565.699163022702</v>
      </c>
      <c r="Q80" s="120">
        <v>15189.644913449516</v>
      </c>
      <c r="R80" s="314">
        <v>32923.683801755891</v>
      </c>
      <c r="S80" s="315">
        <v>35755.344076472218</v>
      </c>
      <c r="U80" s="7" t="s">
        <v>1421</v>
      </c>
    </row>
    <row r="81" spans="1:21" ht="16.5" customHeight="1" thickBot="1">
      <c r="A81" s="47" t="s">
        <v>35</v>
      </c>
      <c r="B81" s="48">
        <f t="shared" si="3"/>
        <v>75</v>
      </c>
      <c r="C81" s="48" t="s">
        <v>3</v>
      </c>
      <c r="D81" s="48">
        <f t="shared" si="4"/>
        <v>200</v>
      </c>
      <c r="E81" s="48" t="s">
        <v>3</v>
      </c>
      <c r="F81" s="110">
        <f t="shared" si="5"/>
        <v>1600</v>
      </c>
      <c r="G81" s="48" t="s">
        <v>3</v>
      </c>
      <c r="H81" s="48">
        <v>2</v>
      </c>
      <c r="I81" s="49" t="s">
        <v>45</v>
      </c>
      <c r="J81" s="112">
        <v>75</v>
      </c>
      <c r="K81" s="113">
        <v>200</v>
      </c>
      <c r="L81" s="113">
        <v>1600</v>
      </c>
      <c r="M81" s="185">
        <v>11.683956112544472</v>
      </c>
      <c r="N81" s="87">
        <v>356.77499999999998</v>
      </c>
      <c r="O81" s="121">
        <v>18125.718960904429</v>
      </c>
      <c r="P81" s="119">
        <v>21046.407159369606</v>
      </c>
      <c r="Q81" s="120">
        <v>15548.063552177517</v>
      </c>
      <c r="R81" s="314">
        <v>33673.782513081947</v>
      </c>
      <c r="S81" s="315">
        <v>36594.470711547125</v>
      </c>
      <c r="U81" s="7" t="s">
        <v>1422</v>
      </c>
    </row>
    <row r="82" spans="1:21" ht="16.5" customHeight="1" thickBot="1">
      <c r="A82" s="50" t="s">
        <v>35</v>
      </c>
      <c r="B82" s="51">
        <f t="shared" si="3"/>
        <v>75</v>
      </c>
      <c r="C82" s="51" t="s">
        <v>3</v>
      </c>
      <c r="D82" s="51">
        <f t="shared" si="4"/>
        <v>200</v>
      </c>
      <c r="E82" s="51" t="s">
        <v>3</v>
      </c>
      <c r="F82" s="110">
        <f t="shared" si="5"/>
        <v>1650</v>
      </c>
      <c r="G82" s="51" t="s">
        <v>3</v>
      </c>
      <c r="H82" s="48">
        <v>2</v>
      </c>
      <c r="I82" s="49" t="s">
        <v>45</v>
      </c>
      <c r="J82" s="112">
        <v>75</v>
      </c>
      <c r="K82" s="113">
        <v>200</v>
      </c>
      <c r="L82" s="113">
        <v>1650</v>
      </c>
      <c r="M82" s="185">
        <v>12.033954260187631</v>
      </c>
      <c r="N82" s="87">
        <v>371.04599999999999</v>
      </c>
      <c r="O82" s="121">
        <v>18517.399033502479</v>
      </c>
      <c r="P82" s="119">
        <v>21527.115155716503</v>
      </c>
      <c r="Q82" s="120">
        <v>16137.063968688792</v>
      </c>
      <c r="R82" s="314">
        <v>34654.463002191274</v>
      </c>
      <c r="S82" s="315">
        <v>37664.179124405295</v>
      </c>
      <c r="U82" s="7" t="s">
        <v>1423</v>
      </c>
    </row>
    <row r="83" spans="1:21" ht="16.5" customHeight="1" thickBot="1">
      <c r="A83" s="50" t="s">
        <v>35</v>
      </c>
      <c r="B83" s="51">
        <f t="shared" si="3"/>
        <v>75</v>
      </c>
      <c r="C83" s="51" t="s">
        <v>3</v>
      </c>
      <c r="D83" s="51">
        <f t="shared" si="4"/>
        <v>200</v>
      </c>
      <c r="E83" s="51" t="s">
        <v>3</v>
      </c>
      <c r="F83" s="110">
        <f t="shared" si="5"/>
        <v>1700</v>
      </c>
      <c r="G83" s="51" t="s">
        <v>3</v>
      </c>
      <c r="H83" s="48">
        <v>2</v>
      </c>
      <c r="I83" s="49" t="s">
        <v>45</v>
      </c>
      <c r="J83" s="112">
        <v>75</v>
      </c>
      <c r="K83" s="113">
        <v>200</v>
      </c>
      <c r="L83" s="113">
        <v>1700</v>
      </c>
      <c r="M83" s="185">
        <v>12.366912407830789</v>
      </c>
      <c r="N83" s="87">
        <v>385.31700000000001</v>
      </c>
      <c r="O83" s="121">
        <v>18909.079106100529</v>
      </c>
      <c r="P83" s="119">
        <v>22007.823152063404</v>
      </c>
      <c r="Q83" s="120">
        <v>16495.48260741679</v>
      </c>
      <c r="R83" s="314">
        <v>35404.561713517323</v>
      </c>
      <c r="S83" s="315">
        <v>38503.305759480194</v>
      </c>
      <c r="U83" s="7" t="s">
        <v>1424</v>
      </c>
    </row>
    <row r="84" spans="1:21" ht="16.5" customHeight="1" thickBot="1">
      <c r="A84" s="50" t="s">
        <v>35</v>
      </c>
      <c r="B84" s="51">
        <f t="shared" si="3"/>
        <v>75</v>
      </c>
      <c r="C84" s="51" t="s">
        <v>3</v>
      </c>
      <c r="D84" s="51">
        <f t="shared" si="4"/>
        <v>200</v>
      </c>
      <c r="E84" s="51" t="s">
        <v>3</v>
      </c>
      <c r="F84" s="110">
        <f t="shared" si="5"/>
        <v>1750</v>
      </c>
      <c r="G84" s="51" t="s">
        <v>3</v>
      </c>
      <c r="H84" s="48">
        <v>2</v>
      </c>
      <c r="I84" s="49" t="s">
        <v>45</v>
      </c>
      <c r="J84" s="112">
        <v>75</v>
      </c>
      <c r="K84" s="113">
        <v>200</v>
      </c>
      <c r="L84" s="113">
        <v>1750</v>
      </c>
      <c r="M84" s="185">
        <v>12.716910555473948</v>
      </c>
      <c r="N84" s="87">
        <v>399.58800000000002</v>
      </c>
      <c r="O84" s="121">
        <v>19300.759178698579</v>
      </c>
      <c r="P84" s="119">
        <v>22488.531148410304</v>
      </c>
      <c r="Q84" s="120">
        <v>17084.483023928067</v>
      </c>
      <c r="R84" s="314">
        <v>36385.242202626643</v>
      </c>
      <c r="S84" s="315">
        <v>39573.014172338371</v>
      </c>
      <c r="U84" s="7" t="s">
        <v>1425</v>
      </c>
    </row>
    <row r="85" spans="1:21" ht="16.5" customHeight="1" thickBot="1">
      <c r="A85" s="50" t="s">
        <v>35</v>
      </c>
      <c r="B85" s="51">
        <f t="shared" si="3"/>
        <v>75</v>
      </c>
      <c r="C85" s="51" t="s">
        <v>3</v>
      </c>
      <c r="D85" s="51">
        <f t="shared" si="4"/>
        <v>200</v>
      </c>
      <c r="E85" s="51" t="s">
        <v>3</v>
      </c>
      <c r="F85" s="110">
        <f t="shared" si="5"/>
        <v>1800</v>
      </c>
      <c r="G85" s="51" t="s">
        <v>3</v>
      </c>
      <c r="H85" s="48">
        <v>2</v>
      </c>
      <c r="I85" s="49" t="s">
        <v>45</v>
      </c>
      <c r="J85" s="112">
        <v>75</v>
      </c>
      <c r="K85" s="113">
        <v>200</v>
      </c>
      <c r="L85" s="113">
        <v>1800</v>
      </c>
      <c r="M85" s="185">
        <v>13.049868703117106</v>
      </c>
      <c r="N85" s="87">
        <v>413.85899999999998</v>
      </c>
      <c r="O85" s="121">
        <v>19692.43925129663</v>
      </c>
      <c r="P85" s="119">
        <v>22969.239144757204</v>
      </c>
      <c r="Q85" s="120">
        <v>17442.90180304943</v>
      </c>
      <c r="R85" s="314">
        <v>37135.341054346063</v>
      </c>
      <c r="S85" s="315">
        <v>40412.140947806634</v>
      </c>
      <c r="U85" s="7" t="s">
        <v>1426</v>
      </c>
    </row>
    <row r="86" spans="1:21" ht="16.5" customHeight="1" thickBot="1">
      <c r="A86" s="50" t="s">
        <v>35</v>
      </c>
      <c r="B86" s="51">
        <f t="shared" si="3"/>
        <v>75</v>
      </c>
      <c r="C86" s="51" t="s">
        <v>3</v>
      </c>
      <c r="D86" s="51">
        <f t="shared" si="4"/>
        <v>200</v>
      </c>
      <c r="E86" s="51" t="s">
        <v>3</v>
      </c>
      <c r="F86" s="110">
        <f t="shared" si="5"/>
        <v>1850</v>
      </c>
      <c r="G86" s="51" t="s">
        <v>3</v>
      </c>
      <c r="H86" s="48">
        <v>2</v>
      </c>
      <c r="I86" s="49" t="s">
        <v>45</v>
      </c>
      <c r="J86" s="112">
        <v>75</v>
      </c>
      <c r="K86" s="113">
        <v>200</v>
      </c>
      <c r="L86" s="113">
        <v>1850</v>
      </c>
      <c r="M86" s="185">
        <v>13.399866850760263</v>
      </c>
      <c r="N86" s="87">
        <v>428.12999999999994</v>
      </c>
      <c r="O86" s="121">
        <v>20084.11932389468</v>
      </c>
      <c r="P86" s="119">
        <v>23449.947141104105</v>
      </c>
      <c r="Q86" s="120">
        <v>18031.902219560703</v>
      </c>
      <c r="R86" s="314">
        <v>38116.021543455383</v>
      </c>
      <c r="S86" s="315">
        <v>41481.849360664812</v>
      </c>
      <c r="U86" s="7" t="s">
        <v>1427</v>
      </c>
    </row>
    <row r="87" spans="1:21" ht="16.5" customHeight="1" thickBot="1">
      <c r="A87" s="50" t="s">
        <v>35</v>
      </c>
      <c r="B87" s="51">
        <f t="shared" si="3"/>
        <v>75</v>
      </c>
      <c r="C87" s="51" t="s">
        <v>3</v>
      </c>
      <c r="D87" s="51">
        <f t="shared" si="4"/>
        <v>200</v>
      </c>
      <c r="E87" s="51" t="s">
        <v>3</v>
      </c>
      <c r="F87" s="110">
        <f t="shared" si="5"/>
        <v>1900</v>
      </c>
      <c r="G87" s="51" t="s">
        <v>3</v>
      </c>
      <c r="H87" s="48">
        <v>2</v>
      </c>
      <c r="I87" s="49" t="s">
        <v>45</v>
      </c>
      <c r="J87" s="112">
        <v>75</v>
      </c>
      <c r="K87" s="113">
        <v>200</v>
      </c>
      <c r="L87" s="113">
        <v>1900</v>
      </c>
      <c r="M87" s="185">
        <v>13.732824998403419</v>
      </c>
      <c r="N87" s="87">
        <v>442.40100000000001</v>
      </c>
      <c r="O87" s="121">
        <v>20475.799396492726</v>
      </c>
      <c r="P87" s="119">
        <v>23930.655277844369</v>
      </c>
      <c r="Q87" s="120">
        <v>18390.320858288702</v>
      </c>
      <c r="R87" s="314">
        <v>38866.120254781432</v>
      </c>
      <c r="S87" s="315">
        <v>42320.976136133075</v>
      </c>
      <c r="U87" s="7" t="s">
        <v>1428</v>
      </c>
    </row>
    <row r="88" spans="1:21" ht="16.5" customHeight="1" thickBot="1">
      <c r="A88" s="50" t="s">
        <v>35</v>
      </c>
      <c r="B88" s="51">
        <f t="shared" si="3"/>
        <v>75</v>
      </c>
      <c r="C88" s="51" t="s">
        <v>3</v>
      </c>
      <c r="D88" s="51">
        <f t="shared" si="4"/>
        <v>200</v>
      </c>
      <c r="E88" s="51" t="s">
        <v>3</v>
      </c>
      <c r="F88" s="110">
        <f t="shared" si="5"/>
        <v>1950</v>
      </c>
      <c r="G88" s="51" t="s">
        <v>3</v>
      </c>
      <c r="H88" s="48">
        <v>2</v>
      </c>
      <c r="I88" s="49" t="s">
        <v>45</v>
      </c>
      <c r="J88" s="112">
        <v>75</v>
      </c>
      <c r="K88" s="113">
        <v>200</v>
      </c>
      <c r="L88" s="113">
        <v>1950</v>
      </c>
      <c r="M88" s="185">
        <v>14.105033146046578</v>
      </c>
      <c r="N88" s="87">
        <v>456.67199999999997</v>
      </c>
      <c r="O88" s="121">
        <v>20913.351315567303</v>
      </c>
      <c r="P88" s="119">
        <v>24455.836802777292</v>
      </c>
      <c r="Q88" s="120">
        <v>18748.739497016704</v>
      </c>
      <c r="R88" s="314">
        <v>39662.090812584007</v>
      </c>
      <c r="S88" s="315">
        <v>43204.576299793996</v>
      </c>
      <c r="U88" s="7" t="s">
        <v>1429</v>
      </c>
    </row>
    <row r="89" spans="1:21" ht="16.5" customHeight="1" thickBot="1">
      <c r="A89" s="50" t="s">
        <v>35</v>
      </c>
      <c r="B89" s="51">
        <f t="shared" si="3"/>
        <v>75</v>
      </c>
      <c r="C89" s="51" t="s">
        <v>3</v>
      </c>
      <c r="D89" s="51">
        <f t="shared" si="4"/>
        <v>200</v>
      </c>
      <c r="E89" s="51" t="s">
        <v>3</v>
      </c>
      <c r="F89" s="110">
        <f t="shared" si="5"/>
        <v>2000</v>
      </c>
      <c r="G89" s="51" t="s">
        <v>3</v>
      </c>
      <c r="H89" s="48">
        <v>2</v>
      </c>
      <c r="I89" s="49" t="s">
        <v>45</v>
      </c>
      <c r="J89" s="112">
        <v>75</v>
      </c>
      <c r="K89" s="113">
        <v>200</v>
      </c>
      <c r="L89" s="113">
        <v>2000</v>
      </c>
      <c r="M89" s="185">
        <v>14.546593693689736</v>
      </c>
      <c r="N89" s="87">
        <v>470.94299999999998</v>
      </c>
      <c r="O89" s="121">
        <v>21535.57441738058</v>
      </c>
      <c r="P89" s="119">
        <v>25237.85534900134</v>
      </c>
      <c r="Q89" s="120">
        <v>19337.740053921341</v>
      </c>
      <c r="R89" s="314">
        <v>40873.314471301921</v>
      </c>
      <c r="S89" s="315">
        <v>44575.595402922685</v>
      </c>
      <c r="U89" s="7" t="s">
        <v>1430</v>
      </c>
    </row>
    <row r="90" spans="1:21" ht="16.5" customHeight="1" thickBot="1">
      <c r="A90" s="50" t="s">
        <v>35</v>
      </c>
      <c r="B90" s="51">
        <f t="shared" si="3"/>
        <v>75</v>
      </c>
      <c r="C90" s="51" t="s">
        <v>3</v>
      </c>
      <c r="D90" s="51">
        <f t="shared" si="4"/>
        <v>200</v>
      </c>
      <c r="E90" s="51" t="s">
        <v>3</v>
      </c>
      <c r="F90" s="110">
        <f t="shared" si="5"/>
        <v>2050</v>
      </c>
      <c r="G90" s="51" t="s">
        <v>3</v>
      </c>
      <c r="H90" s="48">
        <v>2</v>
      </c>
      <c r="I90" s="49" t="s">
        <v>45</v>
      </c>
      <c r="J90" s="112">
        <v>75</v>
      </c>
      <c r="K90" s="113">
        <v>200</v>
      </c>
      <c r="L90" s="113">
        <v>2050</v>
      </c>
      <c r="M90" s="185">
        <v>14.879551841332894</v>
      </c>
      <c r="N90" s="87">
        <v>485.214</v>
      </c>
      <c r="O90" s="121">
        <v>21927.25448997863</v>
      </c>
      <c r="P90" s="119">
        <v>25718.563345348244</v>
      </c>
      <c r="Q90" s="120">
        <v>19696.15869264934</v>
      </c>
      <c r="R90" s="314">
        <v>41623.41318262797</v>
      </c>
      <c r="S90" s="315">
        <v>45414.722037997584</v>
      </c>
      <c r="U90" s="7" t="s">
        <v>1431</v>
      </c>
    </row>
    <row r="91" spans="1:21" ht="16.5" customHeight="1" thickBot="1">
      <c r="A91" s="47" t="s">
        <v>35</v>
      </c>
      <c r="B91" s="48">
        <f t="shared" si="3"/>
        <v>75</v>
      </c>
      <c r="C91" s="48" t="s">
        <v>3</v>
      </c>
      <c r="D91" s="48">
        <f t="shared" si="4"/>
        <v>200</v>
      </c>
      <c r="E91" s="48" t="s">
        <v>3</v>
      </c>
      <c r="F91" s="110">
        <f t="shared" si="5"/>
        <v>2100</v>
      </c>
      <c r="G91" s="48" t="s">
        <v>3</v>
      </c>
      <c r="H91" s="48">
        <v>2</v>
      </c>
      <c r="I91" s="49" t="s">
        <v>45</v>
      </c>
      <c r="J91" s="112">
        <v>75</v>
      </c>
      <c r="K91" s="113">
        <v>200</v>
      </c>
      <c r="L91" s="113">
        <v>2100</v>
      </c>
      <c r="M91" s="185">
        <v>15.229549988976052</v>
      </c>
      <c r="N91" s="87">
        <v>499.48500000000001</v>
      </c>
      <c r="O91" s="121">
        <v>22318.93456257668</v>
      </c>
      <c r="P91" s="119">
        <v>26199.271341695145</v>
      </c>
      <c r="Q91" s="120">
        <v>20285.159109160617</v>
      </c>
      <c r="R91" s="314">
        <v>42604.093671737297</v>
      </c>
      <c r="S91" s="315">
        <v>46484.430450855762</v>
      </c>
      <c r="U91" s="7" t="s">
        <v>1432</v>
      </c>
    </row>
    <row r="92" spans="1:21" ht="16.5" customHeight="1" thickBot="1">
      <c r="A92" s="50" t="s">
        <v>35</v>
      </c>
      <c r="B92" s="51">
        <f t="shared" si="3"/>
        <v>75</v>
      </c>
      <c r="C92" s="51" t="s">
        <v>3</v>
      </c>
      <c r="D92" s="51">
        <f t="shared" si="4"/>
        <v>200</v>
      </c>
      <c r="E92" s="51" t="s">
        <v>3</v>
      </c>
      <c r="F92" s="110">
        <f t="shared" si="5"/>
        <v>2150</v>
      </c>
      <c r="G92" s="51" t="s">
        <v>3</v>
      </c>
      <c r="H92" s="48">
        <v>2</v>
      </c>
      <c r="I92" s="49" t="s">
        <v>45</v>
      </c>
      <c r="J92" s="112">
        <v>75</v>
      </c>
      <c r="K92" s="113">
        <v>200</v>
      </c>
      <c r="L92" s="113">
        <v>2150</v>
      </c>
      <c r="M92" s="185">
        <v>15.562508136619211</v>
      </c>
      <c r="N92" s="87">
        <v>513.75599999999997</v>
      </c>
      <c r="O92" s="121">
        <v>22710.61463517473</v>
      </c>
      <c r="P92" s="119">
        <v>26679.979478435409</v>
      </c>
      <c r="Q92" s="120">
        <v>20643.577747888616</v>
      </c>
      <c r="R92" s="314">
        <v>43354.192383063346</v>
      </c>
      <c r="S92" s="315">
        <v>47323.557226324025</v>
      </c>
      <c r="U92" s="7" t="s">
        <v>1433</v>
      </c>
    </row>
    <row r="93" spans="1:21" ht="16.5" customHeight="1" thickBot="1">
      <c r="A93" s="50" t="s">
        <v>35</v>
      </c>
      <c r="B93" s="51">
        <f t="shared" si="3"/>
        <v>75</v>
      </c>
      <c r="C93" s="51" t="s">
        <v>3</v>
      </c>
      <c r="D93" s="51">
        <f t="shared" si="4"/>
        <v>200</v>
      </c>
      <c r="E93" s="51" t="s">
        <v>3</v>
      </c>
      <c r="F93" s="110">
        <f t="shared" si="5"/>
        <v>2200</v>
      </c>
      <c r="G93" s="51" t="s">
        <v>3</v>
      </c>
      <c r="H93" s="48">
        <v>2</v>
      </c>
      <c r="I93" s="49" t="s">
        <v>45</v>
      </c>
      <c r="J93" s="112">
        <v>75</v>
      </c>
      <c r="K93" s="113">
        <v>200</v>
      </c>
      <c r="L93" s="113">
        <v>2200</v>
      </c>
      <c r="M93" s="185">
        <v>15.912506284262371</v>
      </c>
      <c r="N93" s="87">
        <v>528.02699999999993</v>
      </c>
      <c r="O93" s="121">
        <v>23102.29470777278</v>
      </c>
      <c r="P93" s="119">
        <v>27160.687474782306</v>
      </c>
      <c r="Q93" s="120">
        <v>21232.578164399893</v>
      </c>
      <c r="R93" s="314">
        <v>44334.872872172673</v>
      </c>
      <c r="S93" s="315">
        <v>48393.265639182195</v>
      </c>
      <c r="U93" s="7" t="s">
        <v>1434</v>
      </c>
    </row>
    <row r="94" spans="1:21" ht="16.5" customHeight="1" thickBot="1">
      <c r="A94" s="50" t="s">
        <v>35</v>
      </c>
      <c r="B94" s="51">
        <f t="shared" si="3"/>
        <v>75</v>
      </c>
      <c r="C94" s="51" t="s">
        <v>3</v>
      </c>
      <c r="D94" s="51">
        <f t="shared" si="4"/>
        <v>200</v>
      </c>
      <c r="E94" s="51" t="s">
        <v>3</v>
      </c>
      <c r="F94" s="110">
        <f t="shared" si="5"/>
        <v>2250</v>
      </c>
      <c r="G94" s="51" t="s">
        <v>3</v>
      </c>
      <c r="H94" s="48">
        <v>2</v>
      </c>
      <c r="I94" s="49" t="s">
        <v>45</v>
      </c>
      <c r="J94" s="112">
        <v>75</v>
      </c>
      <c r="K94" s="113">
        <v>200</v>
      </c>
      <c r="L94" s="113">
        <v>2250</v>
      </c>
      <c r="M94" s="185">
        <v>16.245464431905525</v>
      </c>
      <c r="N94" s="87">
        <v>542.298</v>
      </c>
      <c r="O94" s="121">
        <v>23493.974780370831</v>
      </c>
      <c r="P94" s="119">
        <v>27641.395471129206</v>
      </c>
      <c r="Q94" s="120">
        <v>21590.996943521255</v>
      </c>
      <c r="R94" s="314">
        <v>45084.971723892086</v>
      </c>
      <c r="S94" s="315">
        <v>49232.392414650458</v>
      </c>
      <c r="U94" s="7" t="s">
        <v>1435</v>
      </c>
    </row>
    <row r="95" spans="1:21" ht="16.5" customHeight="1" thickBot="1">
      <c r="A95" s="50" t="s">
        <v>35</v>
      </c>
      <c r="B95" s="51">
        <f t="shared" si="3"/>
        <v>75</v>
      </c>
      <c r="C95" s="51" t="s">
        <v>3</v>
      </c>
      <c r="D95" s="51">
        <f t="shared" si="4"/>
        <v>200</v>
      </c>
      <c r="E95" s="51" t="s">
        <v>3</v>
      </c>
      <c r="F95" s="110">
        <f t="shared" si="5"/>
        <v>2300</v>
      </c>
      <c r="G95" s="51" t="s">
        <v>3</v>
      </c>
      <c r="H95" s="48">
        <v>2</v>
      </c>
      <c r="I95" s="49" t="s">
        <v>45</v>
      </c>
      <c r="J95" s="112">
        <v>75</v>
      </c>
      <c r="K95" s="113">
        <v>200</v>
      </c>
      <c r="L95" s="113">
        <v>2300</v>
      </c>
      <c r="M95" s="185">
        <v>16.578422579548686</v>
      </c>
      <c r="N95" s="87">
        <v>556.56899999999996</v>
      </c>
      <c r="O95" s="121">
        <v>23885.654852968881</v>
      </c>
      <c r="P95" s="119">
        <v>28122.103467476107</v>
      </c>
      <c r="Q95" s="120">
        <v>21949.415582249254</v>
      </c>
      <c r="R95" s="314">
        <v>45835.070435218135</v>
      </c>
      <c r="S95" s="315">
        <v>50071.519049725364</v>
      </c>
      <c r="U95" s="7" t="s">
        <v>1436</v>
      </c>
    </row>
    <row r="96" spans="1:21" ht="16.5" customHeight="1" thickBot="1">
      <c r="A96" s="50" t="s">
        <v>35</v>
      </c>
      <c r="B96" s="51">
        <f t="shared" si="3"/>
        <v>75</v>
      </c>
      <c r="C96" s="51" t="s">
        <v>3</v>
      </c>
      <c r="D96" s="51">
        <f t="shared" si="4"/>
        <v>200</v>
      </c>
      <c r="E96" s="51" t="s">
        <v>3</v>
      </c>
      <c r="F96" s="110">
        <f t="shared" si="5"/>
        <v>2350</v>
      </c>
      <c r="G96" s="51" t="s">
        <v>3</v>
      </c>
      <c r="H96" s="48">
        <v>2</v>
      </c>
      <c r="I96" s="49" t="s">
        <v>45</v>
      </c>
      <c r="J96" s="112">
        <v>75</v>
      </c>
      <c r="K96" s="113">
        <v>200</v>
      </c>
      <c r="L96" s="113">
        <v>2350</v>
      </c>
      <c r="M96" s="185">
        <v>16.928420727191842</v>
      </c>
      <c r="N96" s="87">
        <v>570.83999999999992</v>
      </c>
      <c r="O96" s="121">
        <v>24277.334925566931</v>
      </c>
      <c r="P96" s="119">
        <v>28602.811463823004</v>
      </c>
      <c r="Q96" s="120">
        <v>22538.415998760531</v>
      </c>
      <c r="R96" s="314">
        <v>46815.750924327462</v>
      </c>
      <c r="S96" s="315">
        <v>51141.227462583534</v>
      </c>
      <c r="U96" s="7" t="s">
        <v>1437</v>
      </c>
    </row>
    <row r="97" spans="1:21" ht="16.5" customHeight="1" thickBot="1">
      <c r="A97" s="50" t="s">
        <v>35</v>
      </c>
      <c r="B97" s="51">
        <f t="shared" si="3"/>
        <v>75</v>
      </c>
      <c r="C97" s="51" t="s">
        <v>3</v>
      </c>
      <c r="D97" s="51">
        <f t="shared" si="4"/>
        <v>200</v>
      </c>
      <c r="E97" s="51" t="s">
        <v>3</v>
      </c>
      <c r="F97" s="110">
        <f t="shared" si="5"/>
        <v>2400</v>
      </c>
      <c r="G97" s="51" t="s">
        <v>3</v>
      </c>
      <c r="H97" s="48">
        <v>2</v>
      </c>
      <c r="I97" s="49" t="s">
        <v>45</v>
      </c>
      <c r="J97" s="112">
        <v>75</v>
      </c>
      <c r="K97" s="113">
        <v>200</v>
      </c>
      <c r="L97" s="113">
        <v>2400</v>
      </c>
      <c r="M97" s="185">
        <v>17.261378874835</v>
      </c>
      <c r="N97" s="87">
        <v>585.11099999999999</v>
      </c>
      <c r="O97" s="121">
        <v>24669.014998164981</v>
      </c>
      <c r="P97" s="119">
        <v>29083.519460169904</v>
      </c>
      <c r="Q97" s="120">
        <v>22896.83463748853</v>
      </c>
      <c r="R97" s="314">
        <v>47565.849635653511</v>
      </c>
      <c r="S97" s="315">
        <v>51980.354097658434</v>
      </c>
      <c r="U97" s="7" t="s">
        <v>1438</v>
      </c>
    </row>
    <row r="98" spans="1:21" ht="16.5" customHeight="1" thickBot="1">
      <c r="A98" s="50" t="s">
        <v>35</v>
      </c>
      <c r="B98" s="51">
        <f t="shared" si="3"/>
        <v>75</v>
      </c>
      <c r="C98" s="51" t="s">
        <v>3</v>
      </c>
      <c r="D98" s="51">
        <f t="shared" si="4"/>
        <v>200</v>
      </c>
      <c r="E98" s="51" t="s">
        <v>3</v>
      </c>
      <c r="F98" s="110">
        <f t="shared" si="5"/>
        <v>2450</v>
      </c>
      <c r="G98" s="51" t="s">
        <v>3</v>
      </c>
      <c r="H98" s="48">
        <v>2</v>
      </c>
      <c r="I98" s="49" t="s">
        <v>45</v>
      </c>
      <c r="J98" s="112">
        <v>75</v>
      </c>
      <c r="K98" s="113">
        <v>200</v>
      </c>
      <c r="L98" s="113">
        <v>2450</v>
      </c>
      <c r="M98" s="185">
        <v>17.703940155278158</v>
      </c>
      <c r="N98" s="87">
        <v>599.38199999999995</v>
      </c>
      <c r="O98" s="121">
        <v>25600.13017221713</v>
      </c>
      <c r="P98" s="119">
        <v>30011.717119755944</v>
      </c>
      <c r="Q98" s="120">
        <v>23485.83519439317</v>
      </c>
      <c r="R98" s="314">
        <v>49085.965366610297</v>
      </c>
      <c r="S98" s="315">
        <v>53497.552314149114</v>
      </c>
      <c r="U98" s="7" t="s">
        <v>1439</v>
      </c>
    </row>
    <row r="99" spans="1:21" ht="16.5" customHeight="1" thickBot="1">
      <c r="A99" s="50" t="s">
        <v>35</v>
      </c>
      <c r="B99" s="51">
        <f t="shared" si="3"/>
        <v>75</v>
      </c>
      <c r="C99" s="51" t="s">
        <v>3</v>
      </c>
      <c r="D99" s="51">
        <f t="shared" si="4"/>
        <v>200</v>
      </c>
      <c r="E99" s="51" t="s">
        <v>3</v>
      </c>
      <c r="F99" s="110">
        <f t="shared" si="5"/>
        <v>2500</v>
      </c>
      <c r="G99" s="51" t="s">
        <v>3</v>
      </c>
      <c r="H99" s="48">
        <v>2</v>
      </c>
      <c r="I99" s="49" t="s">
        <v>45</v>
      </c>
      <c r="J99" s="112">
        <v>75</v>
      </c>
      <c r="K99" s="113">
        <v>200</v>
      </c>
      <c r="L99" s="113">
        <v>2500</v>
      </c>
      <c r="M99" s="185">
        <v>18.036898302921315</v>
      </c>
      <c r="N99" s="87">
        <v>613.65300000000002</v>
      </c>
      <c r="O99" s="121">
        <v>25991.810385208544</v>
      </c>
      <c r="P99" s="119">
        <v>30492.425116102848</v>
      </c>
      <c r="Q99" s="120">
        <v>23844.253833121165</v>
      </c>
      <c r="R99" s="314">
        <v>49836.06421832971</v>
      </c>
      <c r="S99" s="315">
        <v>54336.678949224013</v>
      </c>
      <c r="U99" s="7" t="s">
        <v>1440</v>
      </c>
    </row>
    <row r="100" spans="1:21" ht="16.5" customHeight="1" thickBot="1">
      <c r="A100" s="50" t="s">
        <v>35</v>
      </c>
      <c r="B100" s="51">
        <f t="shared" si="3"/>
        <v>75</v>
      </c>
      <c r="C100" s="51" t="s">
        <v>3</v>
      </c>
      <c r="D100" s="51">
        <f t="shared" si="4"/>
        <v>200</v>
      </c>
      <c r="E100" s="51" t="s">
        <v>3</v>
      </c>
      <c r="F100" s="110">
        <f t="shared" si="5"/>
        <v>2550</v>
      </c>
      <c r="G100" s="51" t="s">
        <v>3</v>
      </c>
      <c r="H100" s="48">
        <v>2</v>
      </c>
      <c r="I100" s="49" t="s">
        <v>45</v>
      </c>
      <c r="J100" s="112">
        <v>75</v>
      </c>
      <c r="K100" s="113">
        <v>200</v>
      </c>
      <c r="L100" s="113">
        <v>2550</v>
      </c>
      <c r="M100" s="185">
        <v>18.386896450564471</v>
      </c>
      <c r="N100" s="87">
        <v>627.92399999999998</v>
      </c>
      <c r="O100" s="121">
        <v>26383.490457806591</v>
      </c>
      <c r="P100" s="119">
        <v>30973.133112449745</v>
      </c>
      <c r="Q100" s="120">
        <v>24433.254249632446</v>
      </c>
      <c r="R100" s="314">
        <v>50816.744707439037</v>
      </c>
      <c r="S100" s="315">
        <v>55406.387362082191</v>
      </c>
      <c r="U100" s="7" t="s">
        <v>1441</v>
      </c>
    </row>
    <row r="101" spans="1:21" ht="16.5" customHeight="1" thickBot="1">
      <c r="A101" s="47" t="s">
        <v>35</v>
      </c>
      <c r="B101" s="48">
        <f t="shared" si="3"/>
        <v>75</v>
      </c>
      <c r="C101" s="48" t="s">
        <v>3</v>
      </c>
      <c r="D101" s="48">
        <f t="shared" si="4"/>
        <v>200</v>
      </c>
      <c r="E101" s="48" t="s">
        <v>3</v>
      </c>
      <c r="F101" s="110">
        <f t="shared" si="5"/>
        <v>2600</v>
      </c>
      <c r="G101" s="48" t="s">
        <v>3</v>
      </c>
      <c r="H101" s="48">
        <v>2</v>
      </c>
      <c r="I101" s="49" t="s">
        <v>45</v>
      </c>
      <c r="J101" s="112">
        <v>75</v>
      </c>
      <c r="K101" s="113">
        <v>200</v>
      </c>
      <c r="L101" s="113">
        <v>2600</v>
      </c>
      <c r="M101" s="185">
        <v>18.719854598207633</v>
      </c>
      <c r="N101" s="87">
        <v>642.19500000000005</v>
      </c>
      <c r="O101" s="121">
        <v>26775.170530404641</v>
      </c>
      <c r="P101" s="119">
        <v>31453.841249190009</v>
      </c>
      <c r="Q101" s="120">
        <v>24791.672888360441</v>
      </c>
      <c r="R101" s="314">
        <v>51566.843418765086</v>
      </c>
      <c r="S101" s="315">
        <v>56245.514137550446</v>
      </c>
      <c r="U101" s="7" t="s">
        <v>1442</v>
      </c>
    </row>
    <row r="102" spans="1:21" ht="16.5" customHeight="1" thickBot="1">
      <c r="A102" s="50" t="s">
        <v>35</v>
      </c>
      <c r="B102" s="51">
        <f t="shared" si="3"/>
        <v>75</v>
      </c>
      <c r="C102" s="51" t="s">
        <v>3</v>
      </c>
      <c r="D102" s="51">
        <f t="shared" si="4"/>
        <v>200</v>
      </c>
      <c r="E102" s="51" t="s">
        <v>3</v>
      </c>
      <c r="F102" s="110">
        <f t="shared" si="5"/>
        <v>2650</v>
      </c>
      <c r="G102" s="51" t="s">
        <v>3</v>
      </c>
      <c r="H102" s="48">
        <v>2</v>
      </c>
      <c r="I102" s="49" t="s">
        <v>45</v>
      </c>
      <c r="J102" s="112">
        <v>75</v>
      </c>
      <c r="K102" s="113">
        <v>200</v>
      </c>
      <c r="L102" s="113">
        <v>2650</v>
      </c>
      <c r="M102" s="185">
        <v>19.069852745850792</v>
      </c>
      <c r="N102" s="87">
        <v>656.46599999999989</v>
      </c>
      <c r="O102" s="121">
        <v>27166.850603002691</v>
      </c>
      <c r="P102" s="119">
        <v>31934.549245536909</v>
      </c>
      <c r="Q102" s="120">
        <v>25380.673304871718</v>
      </c>
      <c r="R102" s="314">
        <v>52547.523907874405</v>
      </c>
      <c r="S102" s="315">
        <v>57315.222550408624</v>
      </c>
      <c r="U102" s="7" t="s">
        <v>1443</v>
      </c>
    </row>
    <row r="103" spans="1:21" ht="16.5" customHeight="1" thickBot="1">
      <c r="A103" s="50" t="s">
        <v>35</v>
      </c>
      <c r="B103" s="51">
        <f t="shared" si="3"/>
        <v>75</v>
      </c>
      <c r="C103" s="51" t="s">
        <v>3</v>
      </c>
      <c r="D103" s="51">
        <f t="shared" si="4"/>
        <v>200</v>
      </c>
      <c r="E103" s="51" t="s">
        <v>3</v>
      </c>
      <c r="F103" s="110">
        <f t="shared" si="5"/>
        <v>2700</v>
      </c>
      <c r="G103" s="51" t="s">
        <v>3</v>
      </c>
      <c r="H103" s="48">
        <v>2</v>
      </c>
      <c r="I103" s="49" t="s">
        <v>45</v>
      </c>
      <c r="J103" s="112">
        <v>75</v>
      </c>
      <c r="K103" s="113">
        <v>200</v>
      </c>
      <c r="L103" s="113">
        <v>2700</v>
      </c>
      <c r="M103" s="185">
        <v>19.442060893493949</v>
      </c>
      <c r="N103" s="87">
        <v>670.73699999999997</v>
      </c>
      <c r="O103" s="121">
        <v>27604.402381683904</v>
      </c>
      <c r="P103" s="119">
        <v>32459.730770469829</v>
      </c>
      <c r="Q103" s="120">
        <v>25739.09208399308</v>
      </c>
      <c r="R103" s="314">
        <v>53343.49446567698</v>
      </c>
      <c r="S103" s="315">
        <v>58198.822854462909</v>
      </c>
      <c r="U103" s="7" t="s">
        <v>1444</v>
      </c>
    </row>
    <row r="104" spans="1:21" ht="16.5" customHeight="1" thickBot="1">
      <c r="A104" s="50" t="s">
        <v>35</v>
      </c>
      <c r="B104" s="51">
        <f t="shared" si="3"/>
        <v>75</v>
      </c>
      <c r="C104" s="51" t="s">
        <v>3</v>
      </c>
      <c r="D104" s="51">
        <f t="shared" si="4"/>
        <v>200</v>
      </c>
      <c r="E104" s="51" t="s">
        <v>3</v>
      </c>
      <c r="F104" s="110">
        <f t="shared" si="5"/>
        <v>2750</v>
      </c>
      <c r="G104" s="51" t="s">
        <v>3</v>
      </c>
      <c r="H104" s="48">
        <v>2</v>
      </c>
      <c r="I104" s="49" t="s">
        <v>45</v>
      </c>
      <c r="J104" s="112">
        <v>75</v>
      </c>
      <c r="K104" s="113">
        <v>200</v>
      </c>
      <c r="L104" s="113">
        <v>2750</v>
      </c>
      <c r="M104" s="185">
        <v>19.775019041137107</v>
      </c>
      <c r="N104" s="87">
        <v>685.00800000000004</v>
      </c>
      <c r="O104" s="121">
        <v>27996.082454281954</v>
      </c>
      <c r="P104" s="119">
        <v>32940.438766816733</v>
      </c>
      <c r="Q104" s="120">
        <v>26097.510722721079</v>
      </c>
      <c r="R104" s="314">
        <v>54093.593177003029</v>
      </c>
      <c r="S104" s="315">
        <v>59037.949489537816</v>
      </c>
      <c r="U104" s="7" t="s">
        <v>1445</v>
      </c>
    </row>
    <row r="105" spans="1:21" ht="16.5" customHeight="1" thickBot="1">
      <c r="A105" s="50" t="s">
        <v>35</v>
      </c>
      <c r="B105" s="51">
        <f t="shared" si="3"/>
        <v>75</v>
      </c>
      <c r="C105" s="51" t="s">
        <v>3</v>
      </c>
      <c r="D105" s="51">
        <f t="shared" si="4"/>
        <v>200</v>
      </c>
      <c r="E105" s="51" t="s">
        <v>3</v>
      </c>
      <c r="F105" s="110">
        <f t="shared" si="5"/>
        <v>2800</v>
      </c>
      <c r="G105" s="51" t="s">
        <v>3</v>
      </c>
      <c r="H105" s="48">
        <v>2</v>
      </c>
      <c r="I105" s="49" t="s">
        <v>45</v>
      </c>
      <c r="J105" s="112">
        <v>75</v>
      </c>
      <c r="K105" s="113">
        <v>200</v>
      </c>
      <c r="L105" s="113">
        <v>2800</v>
      </c>
      <c r="M105" s="185">
        <v>20.125017188780266</v>
      </c>
      <c r="N105" s="87">
        <v>699.27899999999988</v>
      </c>
      <c r="O105" s="121">
        <v>28387.762667273371</v>
      </c>
      <c r="P105" s="119">
        <v>33421.14690355699</v>
      </c>
      <c r="Q105" s="120">
        <v>26686.511139232356</v>
      </c>
      <c r="R105" s="314">
        <v>55074.273806505727</v>
      </c>
      <c r="S105" s="315">
        <v>60107.65804278935</v>
      </c>
      <c r="U105" s="7" t="s">
        <v>1446</v>
      </c>
    </row>
    <row r="106" spans="1:21" ht="16.5" customHeight="1" thickBot="1">
      <c r="A106" s="50" t="s">
        <v>35</v>
      </c>
      <c r="B106" s="51">
        <f t="shared" si="3"/>
        <v>75</v>
      </c>
      <c r="C106" s="51" t="s">
        <v>3</v>
      </c>
      <c r="D106" s="51">
        <f t="shared" si="4"/>
        <v>200</v>
      </c>
      <c r="E106" s="51" t="s">
        <v>3</v>
      </c>
      <c r="F106" s="110">
        <f t="shared" si="5"/>
        <v>2850</v>
      </c>
      <c r="G106" s="51" t="s">
        <v>3</v>
      </c>
      <c r="H106" s="48">
        <v>2</v>
      </c>
      <c r="I106" s="49" t="s">
        <v>45</v>
      </c>
      <c r="J106" s="112">
        <v>75</v>
      </c>
      <c r="K106" s="113">
        <v>200</v>
      </c>
      <c r="L106" s="113">
        <v>2850</v>
      </c>
      <c r="M106" s="185">
        <v>20.45797533642342</v>
      </c>
      <c r="N106" s="87">
        <v>713.55</v>
      </c>
      <c r="O106" s="121">
        <v>28779.442739871422</v>
      </c>
      <c r="P106" s="119">
        <v>33901.854899903898</v>
      </c>
      <c r="Q106" s="120">
        <v>27044.929777960355</v>
      </c>
      <c r="R106" s="314">
        <v>55824.372517831776</v>
      </c>
      <c r="S106" s="315">
        <v>60946.784677864256</v>
      </c>
      <c r="U106" s="7" t="s">
        <v>1447</v>
      </c>
    </row>
    <row r="107" spans="1:21" ht="16.5" customHeight="1" thickBot="1">
      <c r="A107" s="50" t="s">
        <v>35</v>
      </c>
      <c r="B107" s="51">
        <f t="shared" si="3"/>
        <v>75</v>
      </c>
      <c r="C107" s="51" t="s">
        <v>3</v>
      </c>
      <c r="D107" s="51">
        <f t="shared" si="4"/>
        <v>200</v>
      </c>
      <c r="E107" s="51" t="s">
        <v>3</v>
      </c>
      <c r="F107" s="110">
        <f t="shared" si="5"/>
        <v>2900</v>
      </c>
      <c r="G107" s="51" t="s">
        <v>3</v>
      </c>
      <c r="H107" s="48">
        <v>2</v>
      </c>
      <c r="I107" s="49" t="s">
        <v>45</v>
      </c>
      <c r="J107" s="112">
        <v>75</v>
      </c>
      <c r="K107" s="113">
        <v>200</v>
      </c>
      <c r="L107" s="113">
        <v>2900</v>
      </c>
      <c r="M107" s="185">
        <v>20.807973484066579</v>
      </c>
      <c r="N107" s="87">
        <v>727.82100000000003</v>
      </c>
      <c r="O107" s="121">
        <v>29171.122812469472</v>
      </c>
      <c r="P107" s="119">
        <v>34382.562896250798</v>
      </c>
      <c r="Q107" s="120">
        <v>27633.930194471632</v>
      </c>
      <c r="R107" s="314">
        <v>56805.053006941103</v>
      </c>
      <c r="S107" s="315">
        <v>62016.493090722433</v>
      </c>
      <c r="U107" s="7" t="s">
        <v>1448</v>
      </c>
    </row>
    <row r="108" spans="1:21" ht="16.5" customHeight="1" thickBot="1">
      <c r="A108" s="50" t="s">
        <v>35</v>
      </c>
      <c r="B108" s="51">
        <f t="shared" si="3"/>
        <v>75</v>
      </c>
      <c r="C108" s="51" t="s">
        <v>3</v>
      </c>
      <c r="D108" s="51">
        <f t="shared" si="4"/>
        <v>200</v>
      </c>
      <c r="E108" s="51" t="s">
        <v>3</v>
      </c>
      <c r="F108" s="110">
        <f t="shared" si="5"/>
        <v>2950</v>
      </c>
      <c r="G108" s="51" t="s">
        <v>3</v>
      </c>
      <c r="H108" s="48">
        <v>2</v>
      </c>
      <c r="I108" s="49" t="s">
        <v>45</v>
      </c>
      <c r="J108" s="112">
        <v>75</v>
      </c>
      <c r="K108" s="113">
        <v>200</v>
      </c>
      <c r="L108" s="113">
        <v>2950</v>
      </c>
      <c r="M108" s="185">
        <v>21.140931631709737</v>
      </c>
      <c r="N108" s="87">
        <v>742.09199999999998</v>
      </c>
      <c r="O108" s="121">
        <v>29562.802885067518</v>
      </c>
      <c r="P108" s="119">
        <v>34863.270892597699</v>
      </c>
      <c r="Q108" s="120">
        <v>27992.348973592994</v>
      </c>
      <c r="R108" s="314">
        <v>57555.151858660509</v>
      </c>
      <c r="S108" s="315">
        <v>62855.619866190696</v>
      </c>
      <c r="U108" s="7" t="s">
        <v>1449</v>
      </c>
    </row>
    <row r="109" spans="1:21" ht="16.5" customHeight="1" thickBot="1">
      <c r="A109" s="52" t="s">
        <v>35</v>
      </c>
      <c r="B109" s="53">
        <f t="shared" si="3"/>
        <v>75</v>
      </c>
      <c r="C109" s="53" t="s">
        <v>3</v>
      </c>
      <c r="D109" s="53">
        <f t="shared" si="4"/>
        <v>200</v>
      </c>
      <c r="E109" s="53" t="s">
        <v>3</v>
      </c>
      <c r="F109" s="111">
        <f t="shared" si="5"/>
        <v>3000</v>
      </c>
      <c r="G109" s="53" t="s">
        <v>3</v>
      </c>
      <c r="H109" s="55">
        <v>2</v>
      </c>
      <c r="I109" s="54" t="s">
        <v>45</v>
      </c>
      <c r="J109" s="146">
        <v>75</v>
      </c>
      <c r="K109" s="157">
        <v>200</v>
      </c>
      <c r="L109" s="157">
        <v>3000</v>
      </c>
      <c r="M109" s="187">
        <v>21.490929779352896</v>
      </c>
      <c r="N109" s="148">
        <v>756.36299999999994</v>
      </c>
      <c r="O109" s="158">
        <v>31129.640263524045</v>
      </c>
      <c r="P109" s="189">
        <v>35343.978888944592</v>
      </c>
      <c r="Q109" s="159">
        <v>28581.349390104271</v>
      </c>
      <c r="R109" s="316">
        <v>59710.98965362832</v>
      </c>
      <c r="S109" s="317">
        <v>63925.328279048859</v>
      </c>
      <c r="U109" s="7" t="s">
        <v>1450</v>
      </c>
    </row>
    <row r="110" spans="1:21" ht="22.5" customHeight="1" thickBot="1">
      <c r="A110" s="2621" t="s">
        <v>50</v>
      </c>
      <c r="B110" s="2622"/>
      <c r="C110" s="2622"/>
      <c r="D110" s="2622"/>
      <c r="E110" s="2622"/>
      <c r="F110" s="2622"/>
      <c r="G110" s="2622"/>
      <c r="H110" s="2622"/>
      <c r="I110" s="2622"/>
      <c r="J110" s="2622"/>
      <c r="K110" s="2622"/>
      <c r="L110" s="2622"/>
      <c r="M110" s="2622"/>
      <c r="N110" s="2622"/>
      <c r="O110" s="2622"/>
      <c r="P110" s="2622"/>
      <c r="Q110" s="2622"/>
      <c r="R110" s="2622"/>
      <c r="S110" s="2623"/>
      <c r="U110" s="7"/>
    </row>
    <row r="111" spans="1:21" ht="16.5" customHeight="1" thickBot="1">
      <c r="A111" s="2583" t="s">
        <v>134</v>
      </c>
      <c r="B111" s="2584"/>
      <c r="C111" s="2584"/>
      <c r="D111" s="2584"/>
      <c r="E111" s="2584"/>
      <c r="F111" s="2584"/>
      <c r="G111" s="2584"/>
      <c r="H111" s="2584"/>
      <c r="I111" s="2584"/>
      <c r="J111" s="2584"/>
      <c r="K111" s="2584"/>
      <c r="L111" s="2584"/>
      <c r="M111" s="2584"/>
      <c r="N111" s="2584"/>
      <c r="O111" s="2584"/>
      <c r="P111" s="2584"/>
      <c r="Q111" s="2584"/>
      <c r="R111" s="2584"/>
      <c r="S111" s="2585"/>
      <c r="U111" s="7"/>
    </row>
    <row r="112" spans="1:21" ht="16.5" thickBot="1">
      <c r="A112" s="47" t="s">
        <v>35</v>
      </c>
      <c r="B112" s="48">
        <f>J112</f>
        <v>75</v>
      </c>
      <c r="C112" s="48" t="s">
        <v>3</v>
      </c>
      <c r="D112" s="48">
        <f>K112</f>
        <v>260</v>
      </c>
      <c r="E112" s="48" t="s">
        <v>3</v>
      </c>
      <c r="F112" s="110">
        <f>L112</f>
        <v>600</v>
      </c>
      <c r="G112" s="48" t="s">
        <v>3</v>
      </c>
      <c r="H112" s="48">
        <v>2</v>
      </c>
      <c r="I112" s="49" t="s">
        <v>45</v>
      </c>
      <c r="J112" s="142">
        <v>75</v>
      </c>
      <c r="K112" s="168">
        <v>260</v>
      </c>
      <c r="L112" s="168">
        <v>600</v>
      </c>
      <c r="M112" s="182">
        <v>5.5364018495655269</v>
      </c>
      <c r="N112" s="143">
        <v>91.907999999999987</v>
      </c>
      <c r="O112" s="188">
        <v>10038.241102880702</v>
      </c>
      <c r="P112" s="188">
        <v>11841.673868409827</v>
      </c>
      <c r="Q112" s="169">
        <v>7536.0353334550891</v>
      </c>
      <c r="R112" s="312">
        <v>17574.276436335793</v>
      </c>
      <c r="S112" s="313">
        <v>19377.709201864916</v>
      </c>
      <c r="U112" s="7" t="s">
        <v>1451</v>
      </c>
    </row>
    <row r="113" spans="1:21" ht="16.5" thickBot="1">
      <c r="A113" s="50" t="s">
        <v>35</v>
      </c>
      <c r="B113" s="51">
        <f t="shared" ref="B113:B160" si="6">J113</f>
        <v>75</v>
      </c>
      <c r="C113" s="51" t="s">
        <v>3</v>
      </c>
      <c r="D113" s="51">
        <f t="shared" ref="D113:D160" si="7">K113</f>
        <v>260</v>
      </c>
      <c r="E113" s="51" t="s">
        <v>3</v>
      </c>
      <c r="F113" s="110">
        <f t="shared" ref="F113:F160" si="8">L113</f>
        <v>650</v>
      </c>
      <c r="G113" s="51" t="s">
        <v>3</v>
      </c>
      <c r="H113" s="48">
        <v>2</v>
      </c>
      <c r="I113" s="49" t="s">
        <v>45</v>
      </c>
      <c r="J113" s="112">
        <v>75</v>
      </c>
      <c r="K113" s="113">
        <v>260</v>
      </c>
      <c r="L113" s="113">
        <v>650</v>
      </c>
      <c r="M113" s="185">
        <v>5.9171405590507895</v>
      </c>
      <c r="N113" s="75">
        <v>110.28959999999998</v>
      </c>
      <c r="O113" s="119">
        <v>10458.357570266402</v>
      </c>
      <c r="P113" s="119">
        <v>12369.84001583614</v>
      </c>
      <c r="Q113" s="120">
        <v>7967.645945822027</v>
      </c>
      <c r="R113" s="314">
        <v>18426.003516088429</v>
      </c>
      <c r="S113" s="315">
        <v>20337.485961658167</v>
      </c>
      <c r="U113" s="7" t="s">
        <v>1452</v>
      </c>
    </row>
    <row r="114" spans="1:21" ht="16.5" thickBot="1">
      <c r="A114" s="50" t="s">
        <v>35</v>
      </c>
      <c r="B114" s="51">
        <f t="shared" si="6"/>
        <v>75</v>
      </c>
      <c r="C114" s="51" t="s">
        <v>3</v>
      </c>
      <c r="D114" s="51">
        <f t="shared" si="7"/>
        <v>260</v>
      </c>
      <c r="E114" s="51" t="s">
        <v>3</v>
      </c>
      <c r="F114" s="110">
        <f t="shared" si="8"/>
        <v>700</v>
      </c>
      <c r="G114" s="51" t="s">
        <v>3</v>
      </c>
      <c r="H114" s="48">
        <v>2</v>
      </c>
      <c r="I114" s="49" t="s">
        <v>45</v>
      </c>
      <c r="J114" s="112">
        <v>75</v>
      </c>
      <c r="K114" s="113">
        <v>260</v>
      </c>
      <c r="L114" s="113">
        <v>700</v>
      </c>
      <c r="M114" s="185">
        <v>6.3149192685360518</v>
      </c>
      <c r="N114" s="75">
        <v>128.67119999999997</v>
      </c>
      <c r="O114" s="119">
        <v>10878.47389725874</v>
      </c>
      <c r="P114" s="119">
        <v>12898.006022869091</v>
      </c>
      <c r="Q114" s="120">
        <v>8629.8383359722393</v>
      </c>
      <c r="R114" s="314">
        <v>19508.312233230979</v>
      </c>
      <c r="S114" s="315">
        <v>21527.844358841328</v>
      </c>
      <c r="U114" s="7" t="s">
        <v>1453</v>
      </c>
    </row>
    <row r="115" spans="1:21" ht="16.5" thickBot="1">
      <c r="A115" s="50" t="s">
        <v>35</v>
      </c>
      <c r="B115" s="51">
        <f t="shared" si="6"/>
        <v>75</v>
      </c>
      <c r="C115" s="51" t="s">
        <v>3</v>
      </c>
      <c r="D115" s="51">
        <f t="shared" si="7"/>
        <v>260</v>
      </c>
      <c r="E115" s="51" t="s">
        <v>3</v>
      </c>
      <c r="F115" s="110">
        <f t="shared" si="8"/>
        <v>750</v>
      </c>
      <c r="G115" s="51" t="s">
        <v>3</v>
      </c>
      <c r="H115" s="48">
        <v>2</v>
      </c>
      <c r="I115" s="49" t="s">
        <v>45</v>
      </c>
      <c r="J115" s="112">
        <v>75</v>
      </c>
      <c r="K115" s="113">
        <v>260</v>
      </c>
      <c r="L115" s="113">
        <v>750</v>
      </c>
      <c r="M115" s="185">
        <v>6.6956579780213152</v>
      </c>
      <c r="N115" s="75">
        <v>147.05279999999996</v>
      </c>
      <c r="O115" s="119">
        <v>11298.590224251078</v>
      </c>
      <c r="P115" s="119">
        <v>13426.17202990204</v>
      </c>
      <c r="Q115" s="120">
        <v>9061.4489483391772</v>
      </c>
      <c r="R115" s="314">
        <v>20360.039172590255</v>
      </c>
      <c r="S115" s="315">
        <v>22487.620978241219</v>
      </c>
      <c r="U115" s="7" t="s">
        <v>1454</v>
      </c>
    </row>
    <row r="116" spans="1:21" ht="16.5" thickBot="1">
      <c r="A116" s="50" t="s">
        <v>35</v>
      </c>
      <c r="B116" s="51">
        <f t="shared" si="6"/>
        <v>75</v>
      </c>
      <c r="C116" s="51" t="s">
        <v>3</v>
      </c>
      <c r="D116" s="51">
        <f t="shared" si="7"/>
        <v>260</v>
      </c>
      <c r="E116" s="51" t="s">
        <v>3</v>
      </c>
      <c r="F116" s="110">
        <f t="shared" si="8"/>
        <v>800</v>
      </c>
      <c r="G116" s="51" t="s">
        <v>3</v>
      </c>
      <c r="H116" s="48">
        <v>2</v>
      </c>
      <c r="I116" s="49" t="s">
        <v>45</v>
      </c>
      <c r="J116" s="112">
        <v>75</v>
      </c>
      <c r="K116" s="113">
        <v>260</v>
      </c>
      <c r="L116" s="113">
        <v>800</v>
      </c>
      <c r="M116" s="185">
        <v>7.0763966875065787</v>
      </c>
      <c r="N116" s="75">
        <v>165.43439999999995</v>
      </c>
      <c r="O116" s="119">
        <v>11718.706691636777</v>
      </c>
      <c r="P116" s="119">
        <v>13954.338036934978</v>
      </c>
      <c r="Q116" s="120">
        <v>9493.059560706115</v>
      </c>
      <c r="R116" s="314">
        <v>21211.766252342892</v>
      </c>
      <c r="S116" s="315">
        <v>23447.397597641095</v>
      </c>
      <c r="U116" s="7" t="s">
        <v>1455</v>
      </c>
    </row>
    <row r="117" spans="1:21" ht="16.5" thickBot="1">
      <c r="A117" s="50" t="s">
        <v>35</v>
      </c>
      <c r="B117" s="51">
        <f t="shared" si="6"/>
        <v>75</v>
      </c>
      <c r="C117" s="51" t="s">
        <v>3</v>
      </c>
      <c r="D117" s="51">
        <f t="shared" si="7"/>
        <v>260</v>
      </c>
      <c r="E117" s="51" t="s">
        <v>3</v>
      </c>
      <c r="F117" s="110">
        <f t="shared" si="8"/>
        <v>850</v>
      </c>
      <c r="G117" s="51" t="s">
        <v>3</v>
      </c>
      <c r="H117" s="48">
        <v>2</v>
      </c>
      <c r="I117" s="49" t="s">
        <v>45</v>
      </c>
      <c r="J117" s="112">
        <v>75</v>
      </c>
      <c r="K117" s="113">
        <v>260</v>
      </c>
      <c r="L117" s="113">
        <v>850</v>
      </c>
      <c r="M117" s="185">
        <v>7.4741753969918419</v>
      </c>
      <c r="N117" s="75">
        <v>183.81599999999997</v>
      </c>
      <c r="O117" s="119">
        <v>12138.823018629113</v>
      </c>
      <c r="P117" s="119">
        <v>14482.504184361302</v>
      </c>
      <c r="Q117" s="120">
        <v>10155.251950856327</v>
      </c>
      <c r="R117" s="314">
        <v>22294.074969485438</v>
      </c>
      <c r="S117" s="315">
        <v>24637.756135217627</v>
      </c>
      <c r="U117" s="7" t="s">
        <v>1456</v>
      </c>
    </row>
    <row r="118" spans="1:21" ht="16.5" thickBot="1">
      <c r="A118" s="50" t="s">
        <v>35</v>
      </c>
      <c r="B118" s="51">
        <f t="shared" si="6"/>
        <v>75</v>
      </c>
      <c r="C118" s="51" t="s">
        <v>3</v>
      </c>
      <c r="D118" s="51">
        <f t="shared" si="7"/>
        <v>260</v>
      </c>
      <c r="E118" s="51" t="s">
        <v>3</v>
      </c>
      <c r="F118" s="110">
        <f t="shared" si="8"/>
        <v>900</v>
      </c>
      <c r="G118" s="51" t="s">
        <v>3</v>
      </c>
      <c r="H118" s="48">
        <v>2</v>
      </c>
      <c r="I118" s="49" t="s">
        <v>45</v>
      </c>
      <c r="J118" s="112">
        <v>75</v>
      </c>
      <c r="K118" s="113">
        <v>260</v>
      </c>
      <c r="L118" s="113">
        <v>900</v>
      </c>
      <c r="M118" s="185">
        <v>7.8549141064771053</v>
      </c>
      <c r="N118" s="75">
        <v>202.19759999999994</v>
      </c>
      <c r="O118" s="119">
        <v>12558.939345621453</v>
      </c>
      <c r="P118" s="119">
        <v>15010.670191394252</v>
      </c>
      <c r="Q118" s="120">
        <v>10586.862563223265</v>
      </c>
      <c r="R118" s="314">
        <v>23145.801908844718</v>
      </c>
      <c r="S118" s="315">
        <v>25597.532754617518</v>
      </c>
      <c r="U118" s="7" t="s">
        <v>1457</v>
      </c>
    </row>
    <row r="119" spans="1:21" ht="16.5" thickBot="1">
      <c r="A119" s="50" t="s">
        <v>35</v>
      </c>
      <c r="B119" s="51">
        <f t="shared" si="6"/>
        <v>75</v>
      </c>
      <c r="C119" s="51" t="s">
        <v>3</v>
      </c>
      <c r="D119" s="51">
        <f t="shared" si="7"/>
        <v>260</v>
      </c>
      <c r="E119" s="51" t="s">
        <v>3</v>
      </c>
      <c r="F119" s="110">
        <f t="shared" si="8"/>
        <v>950</v>
      </c>
      <c r="G119" s="51" t="s">
        <v>3</v>
      </c>
      <c r="H119" s="48">
        <v>2</v>
      </c>
      <c r="I119" s="49" t="s">
        <v>45</v>
      </c>
      <c r="J119" s="112">
        <v>75</v>
      </c>
      <c r="K119" s="113">
        <v>260</v>
      </c>
      <c r="L119" s="113">
        <v>950</v>
      </c>
      <c r="M119" s="185">
        <v>8.2526928159623676</v>
      </c>
      <c r="N119" s="75">
        <v>220.57919999999996</v>
      </c>
      <c r="O119" s="119">
        <v>12979.055813007153</v>
      </c>
      <c r="P119" s="119">
        <v>15538.836198427203</v>
      </c>
      <c r="Q119" s="120">
        <v>11249.054953373477</v>
      </c>
      <c r="R119" s="314">
        <v>24228.110766380632</v>
      </c>
      <c r="S119" s="315">
        <v>26787.891151800679</v>
      </c>
      <c r="U119" s="7" t="s">
        <v>1458</v>
      </c>
    </row>
    <row r="120" spans="1:21" ht="16.5" thickBot="1">
      <c r="A120" s="50" t="s">
        <v>35</v>
      </c>
      <c r="B120" s="51">
        <f t="shared" si="6"/>
        <v>75</v>
      </c>
      <c r="C120" s="51" t="s">
        <v>3</v>
      </c>
      <c r="D120" s="51">
        <f t="shared" si="7"/>
        <v>260</v>
      </c>
      <c r="E120" s="51" t="s">
        <v>3</v>
      </c>
      <c r="F120" s="110">
        <f t="shared" si="8"/>
        <v>1000</v>
      </c>
      <c r="G120" s="51" t="s">
        <v>3</v>
      </c>
      <c r="H120" s="48">
        <v>2</v>
      </c>
      <c r="I120" s="49" t="s">
        <v>45</v>
      </c>
      <c r="J120" s="112">
        <v>75</v>
      </c>
      <c r="K120" s="113">
        <v>260</v>
      </c>
      <c r="L120" s="113">
        <v>1000</v>
      </c>
      <c r="M120" s="185">
        <v>8.6334315254476319</v>
      </c>
      <c r="N120" s="75">
        <v>238.96079999999995</v>
      </c>
      <c r="O120" s="119">
        <v>13399.172139999489</v>
      </c>
      <c r="P120" s="119">
        <v>16067.002205460152</v>
      </c>
      <c r="Q120" s="120">
        <v>11680.665565740415</v>
      </c>
      <c r="R120" s="314">
        <v>25079.837705739905</v>
      </c>
      <c r="S120" s="315">
        <v>27747.667771200569</v>
      </c>
      <c r="U120" s="7" t="s">
        <v>1459</v>
      </c>
    </row>
    <row r="121" spans="1:21" ht="16.5" thickBot="1">
      <c r="A121" s="50" t="s">
        <v>35</v>
      </c>
      <c r="B121" s="51">
        <f t="shared" si="6"/>
        <v>75</v>
      </c>
      <c r="C121" s="51" t="s">
        <v>3</v>
      </c>
      <c r="D121" s="51">
        <f t="shared" si="7"/>
        <v>260</v>
      </c>
      <c r="E121" s="51" t="s">
        <v>3</v>
      </c>
      <c r="F121" s="110">
        <f t="shared" si="8"/>
        <v>1050</v>
      </c>
      <c r="G121" s="51" t="s">
        <v>3</v>
      </c>
      <c r="H121" s="48">
        <v>2</v>
      </c>
      <c r="I121" s="49" t="s">
        <v>45</v>
      </c>
      <c r="J121" s="112">
        <v>75</v>
      </c>
      <c r="K121" s="113">
        <v>260</v>
      </c>
      <c r="L121" s="113">
        <v>1050</v>
      </c>
      <c r="M121" s="185">
        <v>9.031210234932896</v>
      </c>
      <c r="N121" s="75">
        <v>257.34239999999994</v>
      </c>
      <c r="O121" s="119">
        <v>13819.28860738519</v>
      </c>
      <c r="P121" s="119">
        <v>16595.168352886467</v>
      </c>
      <c r="Q121" s="120">
        <v>12342.857815497266</v>
      </c>
      <c r="R121" s="314">
        <v>26162.146422882455</v>
      </c>
      <c r="S121" s="315">
        <v>28938.026168383731</v>
      </c>
      <c r="U121" s="7" t="s">
        <v>1460</v>
      </c>
    </row>
    <row r="122" spans="1:21" ht="16.5" thickBot="1">
      <c r="A122" s="47" t="s">
        <v>35</v>
      </c>
      <c r="B122" s="48">
        <f t="shared" si="6"/>
        <v>75</v>
      </c>
      <c r="C122" s="48" t="s">
        <v>3</v>
      </c>
      <c r="D122" s="48">
        <f t="shared" si="7"/>
        <v>260</v>
      </c>
      <c r="E122" s="48" t="s">
        <v>3</v>
      </c>
      <c r="F122" s="110">
        <f t="shared" si="8"/>
        <v>1100</v>
      </c>
      <c r="G122" s="48" t="s">
        <v>3</v>
      </c>
      <c r="H122" s="48">
        <v>2</v>
      </c>
      <c r="I122" s="49" t="s">
        <v>45</v>
      </c>
      <c r="J122" s="112">
        <v>75</v>
      </c>
      <c r="K122" s="113">
        <v>260</v>
      </c>
      <c r="L122" s="113">
        <v>1100</v>
      </c>
      <c r="M122" s="185">
        <v>9.4119489444181585</v>
      </c>
      <c r="N122" s="75">
        <v>275.72399999999999</v>
      </c>
      <c r="O122" s="119">
        <v>14239.40493437753</v>
      </c>
      <c r="P122" s="119">
        <v>17123.334359919416</v>
      </c>
      <c r="Q122" s="120">
        <v>12774.468427864203</v>
      </c>
      <c r="R122" s="314">
        <v>27013.873362241735</v>
      </c>
      <c r="S122" s="315">
        <v>29897.802787783621</v>
      </c>
      <c r="U122" s="7" t="s">
        <v>1461</v>
      </c>
    </row>
    <row r="123" spans="1:21" ht="16.5" thickBot="1">
      <c r="A123" s="50" t="s">
        <v>35</v>
      </c>
      <c r="B123" s="51">
        <f t="shared" si="6"/>
        <v>75</v>
      </c>
      <c r="C123" s="51" t="s">
        <v>3</v>
      </c>
      <c r="D123" s="51">
        <f t="shared" si="7"/>
        <v>260</v>
      </c>
      <c r="E123" s="51" t="s">
        <v>3</v>
      </c>
      <c r="F123" s="110">
        <f t="shared" si="8"/>
        <v>1150</v>
      </c>
      <c r="G123" s="51" t="s">
        <v>3</v>
      </c>
      <c r="H123" s="48">
        <v>2</v>
      </c>
      <c r="I123" s="49" t="s">
        <v>45</v>
      </c>
      <c r="J123" s="112">
        <v>75</v>
      </c>
      <c r="K123" s="113">
        <v>260</v>
      </c>
      <c r="L123" s="113">
        <v>1150</v>
      </c>
      <c r="M123" s="185">
        <v>9.7926876539034211</v>
      </c>
      <c r="N123" s="75">
        <v>294.10559999999992</v>
      </c>
      <c r="O123" s="119">
        <v>14659.521261369866</v>
      </c>
      <c r="P123" s="119">
        <v>17651.500366952365</v>
      </c>
      <c r="Q123" s="120">
        <v>13206.07904023114</v>
      </c>
      <c r="R123" s="314">
        <v>27865.600301601007</v>
      </c>
      <c r="S123" s="315">
        <v>30857.579407183504</v>
      </c>
      <c r="U123" s="7" t="s">
        <v>1462</v>
      </c>
    </row>
    <row r="124" spans="1:21" ht="16.5" thickBot="1">
      <c r="A124" s="50" t="s">
        <v>35</v>
      </c>
      <c r="B124" s="51">
        <f t="shared" si="6"/>
        <v>75</v>
      </c>
      <c r="C124" s="51" t="s">
        <v>3</v>
      </c>
      <c r="D124" s="51">
        <f t="shared" si="7"/>
        <v>260</v>
      </c>
      <c r="E124" s="51" t="s">
        <v>3</v>
      </c>
      <c r="F124" s="110">
        <f t="shared" si="8"/>
        <v>1200</v>
      </c>
      <c r="G124" s="51" t="s">
        <v>3</v>
      </c>
      <c r="H124" s="48">
        <v>2</v>
      </c>
      <c r="I124" s="49" t="s">
        <v>45</v>
      </c>
      <c r="J124" s="112">
        <v>75</v>
      </c>
      <c r="K124" s="113">
        <v>260</v>
      </c>
      <c r="L124" s="113">
        <v>1200</v>
      </c>
      <c r="M124" s="185">
        <v>10.229716363388683</v>
      </c>
      <c r="N124" s="75">
        <v>312.48719999999992</v>
      </c>
      <c r="O124" s="119">
        <v>15125.509434838586</v>
      </c>
      <c r="P124" s="119">
        <v>18224.140042964704</v>
      </c>
      <c r="Q124" s="120">
        <v>13868.271430381354</v>
      </c>
      <c r="R124" s="314">
        <v>28993.780865219938</v>
      </c>
      <c r="S124" s="315">
        <v>32092.411473346059</v>
      </c>
      <c r="U124" s="7" t="s">
        <v>1463</v>
      </c>
    </row>
    <row r="125" spans="1:21" ht="16.5" thickBot="1">
      <c r="A125" s="50" t="s">
        <v>35</v>
      </c>
      <c r="B125" s="51">
        <f t="shared" si="6"/>
        <v>75</v>
      </c>
      <c r="C125" s="51" t="s">
        <v>3</v>
      </c>
      <c r="D125" s="51">
        <f t="shared" si="7"/>
        <v>260</v>
      </c>
      <c r="E125" s="51" t="s">
        <v>3</v>
      </c>
      <c r="F125" s="110">
        <f t="shared" si="8"/>
        <v>1250</v>
      </c>
      <c r="G125" s="51" t="s">
        <v>3</v>
      </c>
      <c r="H125" s="48">
        <v>2</v>
      </c>
      <c r="I125" s="49" t="s">
        <v>45</v>
      </c>
      <c r="J125" s="112">
        <v>75</v>
      </c>
      <c r="K125" s="113">
        <v>260</v>
      </c>
      <c r="L125" s="113">
        <v>1250</v>
      </c>
      <c r="M125" s="185">
        <v>10.610455072873947</v>
      </c>
      <c r="N125" s="75">
        <v>330.86879999999991</v>
      </c>
      <c r="O125" s="119">
        <v>15545.625761831065</v>
      </c>
      <c r="P125" s="119">
        <v>18752.306049997653</v>
      </c>
      <c r="Q125" s="120">
        <v>14299.882042748291</v>
      </c>
      <c r="R125" s="314">
        <v>29845.507804579356</v>
      </c>
      <c r="S125" s="315">
        <v>33052.188092745942</v>
      </c>
      <c r="U125" s="7" t="s">
        <v>1464</v>
      </c>
    </row>
    <row r="126" spans="1:21" ht="16.5" thickBot="1">
      <c r="A126" s="50" t="s">
        <v>35</v>
      </c>
      <c r="B126" s="51">
        <f t="shared" si="6"/>
        <v>75</v>
      </c>
      <c r="C126" s="51" t="s">
        <v>3</v>
      </c>
      <c r="D126" s="51">
        <f t="shared" si="7"/>
        <v>260</v>
      </c>
      <c r="E126" s="51" t="s">
        <v>3</v>
      </c>
      <c r="F126" s="110">
        <f t="shared" si="8"/>
        <v>1300</v>
      </c>
      <c r="G126" s="51" t="s">
        <v>3</v>
      </c>
      <c r="H126" s="48">
        <v>2</v>
      </c>
      <c r="I126" s="49" t="s">
        <v>45</v>
      </c>
      <c r="J126" s="112">
        <v>75</v>
      </c>
      <c r="K126" s="113">
        <v>260</v>
      </c>
      <c r="L126" s="113">
        <v>1300</v>
      </c>
      <c r="M126" s="185">
        <v>11.008233782359213</v>
      </c>
      <c r="N126" s="75">
        <v>349.2503999999999</v>
      </c>
      <c r="O126" s="119">
        <v>15965.742229216767</v>
      </c>
      <c r="P126" s="119">
        <v>19280.472057030605</v>
      </c>
      <c r="Q126" s="120">
        <v>14962.074432898504</v>
      </c>
      <c r="R126" s="314">
        <v>30927.81666211527</v>
      </c>
      <c r="S126" s="315">
        <v>34242.546489929111</v>
      </c>
      <c r="U126" s="7" t="s">
        <v>1465</v>
      </c>
    </row>
    <row r="127" spans="1:21" ht="16.5" thickBot="1">
      <c r="A127" s="50" t="s">
        <v>35</v>
      </c>
      <c r="B127" s="51">
        <f t="shared" si="6"/>
        <v>75</v>
      </c>
      <c r="C127" s="51" t="s">
        <v>3</v>
      </c>
      <c r="D127" s="51">
        <f t="shared" si="7"/>
        <v>260</v>
      </c>
      <c r="E127" s="51" t="s">
        <v>3</v>
      </c>
      <c r="F127" s="110">
        <f t="shared" si="8"/>
        <v>1350</v>
      </c>
      <c r="G127" s="51" t="s">
        <v>3</v>
      </c>
      <c r="H127" s="48">
        <v>2</v>
      </c>
      <c r="I127" s="49" t="s">
        <v>45</v>
      </c>
      <c r="J127" s="112">
        <v>75</v>
      </c>
      <c r="K127" s="113">
        <v>260</v>
      </c>
      <c r="L127" s="113">
        <v>1350</v>
      </c>
      <c r="M127" s="185">
        <v>11.388972491844475</v>
      </c>
      <c r="N127" s="75">
        <v>367.63199999999995</v>
      </c>
      <c r="O127" s="119">
        <v>16385.858556209103</v>
      </c>
      <c r="P127" s="119">
        <v>19808.638064063554</v>
      </c>
      <c r="Q127" s="120">
        <v>15393.685045265442</v>
      </c>
      <c r="R127" s="314">
        <v>31779.543601474543</v>
      </c>
      <c r="S127" s="315">
        <v>35202.323109328994</v>
      </c>
      <c r="U127" s="7" t="s">
        <v>1466</v>
      </c>
    </row>
    <row r="128" spans="1:21" ht="16.5" thickBot="1">
      <c r="A128" s="50" t="s">
        <v>35</v>
      </c>
      <c r="B128" s="51">
        <f t="shared" si="6"/>
        <v>75</v>
      </c>
      <c r="C128" s="51" t="s">
        <v>3</v>
      </c>
      <c r="D128" s="51">
        <f t="shared" si="7"/>
        <v>260</v>
      </c>
      <c r="E128" s="51" t="s">
        <v>3</v>
      </c>
      <c r="F128" s="110">
        <f t="shared" si="8"/>
        <v>1400</v>
      </c>
      <c r="G128" s="51" t="s">
        <v>3</v>
      </c>
      <c r="H128" s="48">
        <v>2</v>
      </c>
      <c r="I128" s="49" t="s">
        <v>45</v>
      </c>
      <c r="J128" s="112">
        <v>75</v>
      </c>
      <c r="K128" s="113">
        <v>260</v>
      </c>
      <c r="L128" s="113">
        <v>1400</v>
      </c>
      <c r="M128" s="185">
        <v>11.786751201329738</v>
      </c>
      <c r="N128" s="75">
        <v>386.01359999999994</v>
      </c>
      <c r="O128" s="119">
        <v>16805.974883201441</v>
      </c>
      <c r="P128" s="119">
        <v>20336.804211489867</v>
      </c>
      <c r="Q128" s="120">
        <v>16055.877435415654</v>
      </c>
      <c r="R128" s="314">
        <v>32861.852318617093</v>
      </c>
      <c r="S128" s="315">
        <v>36392.681646905519</v>
      </c>
      <c r="U128" s="7" t="s">
        <v>1467</v>
      </c>
    </row>
    <row r="129" spans="1:21" ht="16.5" thickBot="1">
      <c r="A129" s="50" t="s">
        <v>35</v>
      </c>
      <c r="B129" s="51">
        <f t="shared" si="6"/>
        <v>75</v>
      </c>
      <c r="C129" s="51" t="s">
        <v>3</v>
      </c>
      <c r="D129" s="51">
        <f t="shared" si="7"/>
        <v>260</v>
      </c>
      <c r="E129" s="51" t="s">
        <v>3</v>
      </c>
      <c r="F129" s="110">
        <f t="shared" si="8"/>
        <v>1450</v>
      </c>
      <c r="G129" s="51" t="s">
        <v>3</v>
      </c>
      <c r="H129" s="48">
        <v>2</v>
      </c>
      <c r="I129" s="49" t="s">
        <v>45</v>
      </c>
      <c r="J129" s="112">
        <v>75</v>
      </c>
      <c r="K129" s="113">
        <v>260</v>
      </c>
      <c r="L129" s="113">
        <v>1450</v>
      </c>
      <c r="M129" s="185">
        <v>12.167489910815002</v>
      </c>
      <c r="N129" s="75">
        <v>404.39519999999987</v>
      </c>
      <c r="O129" s="119">
        <v>17226.091350587139</v>
      </c>
      <c r="P129" s="119">
        <v>20864.970218522816</v>
      </c>
      <c r="Q129" s="120">
        <v>16487.48804778259</v>
      </c>
      <c r="R129" s="314">
        <v>33713.579398369729</v>
      </c>
      <c r="S129" s="315">
        <v>37352.458266305403</v>
      </c>
      <c r="U129" s="7" t="s">
        <v>1468</v>
      </c>
    </row>
    <row r="130" spans="1:21" ht="16.5" thickBot="1">
      <c r="A130" s="50" t="s">
        <v>35</v>
      </c>
      <c r="B130" s="51">
        <f t="shared" si="6"/>
        <v>75</v>
      </c>
      <c r="C130" s="51" t="s">
        <v>3</v>
      </c>
      <c r="D130" s="51">
        <f t="shared" si="7"/>
        <v>260</v>
      </c>
      <c r="E130" s="51" t="s">
        <v>3</v>
      </c>
      <c r="F130" s="110">
        <f t="shared" si="8"/>
        <v>1500</v>
      </c>
      <c r="G130" s="51" t="s">
        <v>3</v>
      </c>
      <c r="H130" s="48">
        <v>2</v>
      </c>
      <c r="I130" s="49" t="s">
        <v>45</v>
      </c>
      <c r="J130" s="112">
        <v>75</v>
      </c>
      <c r="K130" s="113">
        <v>260</v>
      </c>
      <c r="L130" s="113">
        <v>1500</v>
      </c>
      <c r="M130" s="185">
        <v>12.689032809100265</v>
      </c>
      <c r="N130" s="75">
        <v>422.77679999999992</v>
      </c>
      <c r="O130" s="119">
        <v>18235.614954055276</v>
      </c>
      <c r="P130" s="119">
        <v>21909.268134735306</v>
      </c>
      <c r="Q130" s="120">
        <v>17149.680437932802</v>
      </c>
      <c r="R130" s="314">
        <v>35385.295391988082</v>
      </c>
      <c r="S130" s="315">
        <v>39058.948572668109</v>
      </c>
      <c r="U130" s="7" t="s">
        <v>1469</v>
      </c>
    </row>
    <row r="131" spans="1:21" ht="16.5" thickBot="1">
      <c r="A131" s="50" t="s">
        <v>35</v>
      </c>
      <c r="B131" s="51">
        <f t="shared" si="6"/>
        <v>75</v>
      </c>
      <c r="C131" s="51" t="s">
        <v>3</v>
      </c>
      <c r="D131" s="51">
        <f t="shared" si="7"/>
        <v>260</v>
      </c>
      <c r="E131" s="51" t="s">
        <v>3</v>
      </c>
      <c r="F131" s="110">
        <f t="shared" si="8"/>
        <v>1550</v>
      </c>
      <c r="G131" s="51" t="s">
        <v>3</v>
      </c>
      <c r="H131" s="48">
        <v>2</v>
      </c>
      <c r="I131" s="49" t="s">
        <v>45</v>
      </c>
      <c r="J131" s="112">
        <v>75</v>
      </c>
      <c r="K131" s="113">
        <v>260</v>
      </c>
      <c r="L131" s="113">
        <v>1550</v>
      </c>
      <c r="M131" s="185">
        <v>13.069771518585526</v>
      </c>
      <c r="N131" s="75">
        <v>441.15839999999992</v>
      </c>
      <c r="O131" s="119">
        <v>18655.731421440978</v>
      </c>
      <c r="P131" s="119">
        <v>22437.434141768255</v>
      </c>
      <c r="Q131" s="120">
        <v>17581.29105029974</v>
      </c>
      <c r="R131" s="314">
        <v>36237.022471740718</v>
      </c>
      <c r="S131" s="315">
        <v>40018.725192067999</v>
      </c>
      <c r="U131" s="7" t="s">
        <v>1470</v>
      </c>
    </row>
    <row r="132" spans="1:21" ht="16.5" thickBot="1">
      <c r="A132" s="47" t="s">
        <v>35</v>
      </c>
      <c r="B132" s="48">
        <f t="shared" si="6"/>
        <v>75</v>
      </c>
      <c r="C132" s="48" t="s">
        <v>3</v>
      </c>
      <c r="D132" s="48">
        <f t="shared" si="7"/>
        <v>260</v>
      </c>
      <c r="E132" s="48" t="s">
        <v>3</v>
      </c>
      <c r="F132" s="110">
        <f t="shared" si="8"/>
        <v>1600</v>
      </c>
      <c r="G132" s="48" t="s">
        <v>3</v>
      </c>
      <c r="H132" s="48">
        <v>2</v>
      </c>
      <c r="I132" s="49" t="s">
        <v>45</v>
      </c>
      <c r="J132" s="112">
        <v>75</v>
      </c>
      <c r="K132" s="113">
        <v>260</v>
      </c>
      <c r="L132" s="113">
        <v>1600</v>
      </c>
      <c r="M132" s="185">
        <v>13.45051022807079</v>
      </c>
      <c r="N132" s="75">
        <v>459.53999999999991</v>
      </c>
      <c r="O132" s="119">
        <v>19075.847748433316</v>
      </c>
      <c r="P132" s="119">
        <v>22965.600289194568</v>
      </c>
      <c r="Q132" s="120">
        <v>18012.901662666678</v>
      </c>
      <c r="R132" s="314">
        <v>37088.749411099998</v>
      </c>
      <c r="S132" s="315">
        <v>40978.501951861246</v>
      </c>
      <c r="U132" s="7" t="s">
        <v>1471</v>
      </c>
    </row>
    <row r="133" spans="1:21" ht="16.5" thickBot="1">
      <c r="A133" s="50" t="s">
        <v>35</v>
      </c>
      <c r="B133" s="51">
        <f t="shared" si="6"/>
        <v>75</v>
      </c>
      <c r="C133" s="51" t="s">
        <v>3</v>
      </c>
      <c r="D133" s="51">
        <f t="shared" si="7"/>
        <v>260</v>
      </c>
      <c r="E133" s="51" t="s">
        <v>3</v>
      </c>
      <c r="F133" s="110">
        <f t="shared" si="8"/>
        <v>1650</v>
      </c>
      <c r="G133" s="51" t="s">
        <v>3</v>
      </c>
      <c r="H133" s="48">
        <v>2</v>
      </c>
      <c r="I133" s="49" t="s">
        <v>45</v>
      </c>
      <c r="J133" s="112">
        <v>75</v>
      </c>
      <c r="K133" s="113">
        <v>260</v>
      </c>
      <c r="L133" s="113">
        <v>1650</v>
      </c>
      <c r="M133" s="185">
        <v>13.848288937556054</v>
      </c>
      <c r="N133" s="75">
        <v>477.9215999999999</v>
      </c>
      <c r="O133" s="119">
        <v>19495.964075425654</v>
      </c>
      <c r="P133" s="119">
        <v>23493.766296227521</v>
      </c>
      <c r="Q133" s="120">
        <v>18675.09391242353</v>
      </c>
      <c r="R133" s="314">
        <v>38171.057987849184</v>
      </c>
      <c r="S133" s="315">
        <v>42168.860208651051</v>
      </c>
      <c r="U133" s="7" t="s">
        <v>1472</v>
      </c>
    </row>
    <row r="134" spans="1:21" ht="16.5" thickBot="1">
      <c r="A134" s="50" t="s">
        <v>35</v>
      </c>
      <c r="B134" s="51">
        <f t="shared" si="6"/>
        <v>75</v>
      </c>
      <c r="C134" s="51" t="s">
        <v>3</v>
      </c>
      <c r="D134" s="51">
        <f t="shared" si="7"/>
        <v>260</v>
      </c>
      <c r="E134" s="51" t="s">
        <v>3</v>
      </c>
      <c r="F134" s="110">
        <f t="shared" si="8"/>
        <v>1700</v>
      </c>
      <c r="G134" s="51" t="s">
        <v>3</v>
      </c>
      <c r="H134" s="48">
        <v>2</v>
      </c>
      <c r="I134" s="49" t="s">
        <v>45</v>
      </c>
      <c r="J134" s="112">
        <v>75</v>
      </c>
      <c r="K134" s="113">
        <v>260</v>
      </c>
      <c r="L134" s="113">
        <v>1700</v>
      </c>
      <c r="M134" s="185">
        <v>14.229027647041317</v>
      </c>
      <c r="N134" s="75">
        <v>496.30319999999995</v>
      </c>
      <c r="O134" s="119">
        <v>19916.080542811356</v>
      </c>
      <c r="P134" s="119">
        <v>24021.932303260466</v>
      </c>
      <c r="Q134" s="120">
        <v>19106.704524790468</v>
      </c>
      <c r="R134" s="314">
        <v>39022.785067601828</v>
      </c>
      <c r="S134" s="315">
        <v>43128.636828050934</v>
      </c>
      <c r="U134" s="7" t="s">
        <v>1473</v>
      </c>
    </row>
    <row r="135" spans="1:21" ht="16.5" thickBot="1">
      <c r="A135" s="50" t="s">
        <v>35</v>
      </c>
      <c r="B135" s="51">
        <f t="shared" si="6"/>
        <v>75</v>
      </c>
      <c r="C135" s="51" t="s">
        <v>3</v>
      </c>
      <c r="D135" s="51">
        <f t="shared" si="7"/>
        <v>260</v>
      </c>
      <c r="E135" s="51" t="s">
        <v>3</v>
      </c>
      <c r="F135" s="110">
        <f t="shared" si="8"/>
        <v>1750</v>
      </c>
      <c r="G135" s="51" t="s">
        <v>3</v>
      </c>
      <c r="H135" s="48">
        <v>2</v>
      </c>
      <c r="I135" s="49" t="s">
        <v>45</v>
      </c>
      <c r="J135" s="112">
        <v>75</v>
      </c>
      <c r="K135" s="113">
        <v>260</v>
      </c>
      <c r="L135" s="113">
        <v>1750</v>
      </c>
      <c r="M135" s="185">
        <v>14.626806356526579</v>
      </c>
      <c r="N135" s="75">
        <v>514.68479999999988</v>
      </c>
      <c r="O135" s="119">
        <v>20336.196869803694</v>
      </c>
      <c r="P135" s="119">
        <v>24550.098310293415</v>
      </c>
      <c r="Q135" s="120">
        <v>19768.89691494068</v>
      </c>
      <c r="R135" s="314">
        <v>40105.093784744371</v>
      </c>
      <c r="S135" s="315">
        <v>44318.995225234095</v>
      </c>
      <c r="U135" s="7" t="s">
        <v>1474</v>
      </c>
    </row>
    <row r="136" spans="1:21" ht="16.5" thickBot="1">
      <c r="A136" s="50" t="s">
        <v>35</v>
      </c>
      <c r="B136" s="51">
        <f t="shared" si="6"/>
        <v>75</v>
      </c>
      <c r="C136" s="51" t="s">
        <v>3</v>
      </c>
      <c r="D136" s="51">
        <f t="shared" si="7"/>
        <v>260</v>
      </c>
      <c r="E136" s="51" t="s">
        <v>3</v>
      </c>
      <c r="F136" s="110">
        <f t="shared" si="8"/>
        <v>1800</v>
      </c>
      <c r="G136" s="51" t="s">
        <v>3</v>
      </c>
      <c r="H136" s="48">
        <v>2</v>
      </c>
      <c r="I136" s="49" t="s">
        <v>45</v>
      </c>
      <c r="J136" s="112">
        <v>75</v>
      </c>
      <c r="K136" s="113">
        <v>260</v>
      </c>
      <c r="L136" s="113">
        <v>1800</v>
      </c>
      <c r="M136" s="185">
        <v>15.007545066011843</v>
      </c>
      <c r="N136" s="75">
        <v>533.06639999999993</v>
      </c>
      <c r="O136" s="119">
        <v>20756.313196796029</v>
      </c>
      <c r="P136" s="119">
        <v>25078.264457719728</v>
      </c>
      <c r="Q136" s="120">
        <v>20200.507527307618</v>
      </c>
      <c r="R136" s="314">
        <v>40956.820724103643</v>
      </c>
      <c r="S136" s="315">
        <v>45278.771985027342</v>
      </c>
      <c r="U136" s="7" t="s">
        <v>1475</v>
      </c>
    </row>
    <row r="137" spans="1:21" ht="16.5" thickBot="1">
      <c r="A137" s="50" t="s">
        <v>35</v>
      </c>
      <c r="B137" s="51">
        <f t="shared" si="6"/>
        <v>75</v>
      </c>
      <c r="C137" s="51" t="s">
        <v>3</v>
      </c>
      <c r="D137" s="51">
        <f t="shared" si="7"/>
        <v>260</v>
      </c>
      <c r="E137" s="51" t="s">
        <v>3</v>
      </c>
      <c r="F137" s="110">
        <f t="shared" si="8"/>
        <v>1850</v>
      </c>
      <c r="G137" s="51" t="s">
        <v>3</v>
      </c>
      <c r="H137" s="48">
        <v>2</v>
      </c>
      <c r="I137" s="49" t="s">
        <v>45</v>
      </c>
      <c r="J137" s="112">
        <v>75</v>
      </c>
      <c r="K137" s="113">
        <v>260</v>
      </c>
      <c r="L137" s="113">
        <v>1850</v>
      </c>
      <c r="M137" s="185">
        <v>15.405323775497106</v>
      </c>
      <c r="N137" s="75">
        <v>551.44799999999998</v>
      </c>
      <c r="O137" s="119">
        <v>21176.429664181731</v>
      </c>
      <c r="P137" s="119">
        <v>25606.430464752681</v>
      </c>
      <c r="Q137" s="120">
        <v>20862.69991745783</v>
      </c>
      <c r="R137" s="314">
        <v>42039.129581639558</v>
      </c>
      <c r="S137" s="315">
        <v>46469.130382210511</v>
      </c>
      <c r="U137" s="7" t="s">
        <v>1476</v>
      </c>
    </row>
    <row r="138" spans="1:21" ht="16.5" thickBot="1">
      <c r="A138" s="50" t="s">
        <v>35</v>
      </c>
      <c r="B138" s="51">
        <f t="shared" si="6"/>
        <v>75</v>
      </c>
      <c r="C138" s="51" t="s">
        <v>3</v>
      </c>
      <c r="D138" s="51">
        <f t="shared" si="7"/>
        <v>260</v>
      </c>
      <c r="E138" s="51" t="s">
        <v>3</v>
      </c>
      <c r="F138" s="110">
        <f t="shared" si="8"/>
        <v>1900</v>
      </c>
      <c r="G138" s="51" t="s">
        <v>3</v>
      </c>
      <c r="H138" s="48">
        <v>2</v>
      </c>
      <c r="I138" s="49" t="s">
        <v>45</v>
      </c>
      <c r="J138" s="112">
        <v>75</v>
      </c>
      <c r="K138" s="113">
        <v>260</v>
      </c>
      <c r="L138" s="113">
        <v>1900</v>
      </c>
      <c r="M138" s="185">
        <v>15.786062484982368</v>
      </c>
      <c r="N138" s="75">
        <v>569.82959999999991</v>
      </c>
      <c r="O138" s="119">
        <v>21596.545991174065</v>
      </c>
      <c r="P138" s="119">
        <v>26134.59647178563</v>
      </c>
      <c r="Q138" s="120">
        <v>21294.310529824768</v>
      </c>
      <c r="R138" s="314">
        <v>42890.85652099883</v>
      </c>
      <c r="S138" s="315">
        <v>47428.907001610394</v>
      </c>
      <c r="U138" s="7" t="s">
        <v>1477</v>
      </c>
    </row>
    <row r="139" spans="1:21" ht="16.5" thickBot="1">
      <c r="A139" s="50" t="s">
        <v>35</v>
      </c>
      <c r="B139" s="51">
        <f t="shared" si="6"/>
        <v>75</v>
      </c>
      <c r="C139" s="51" t="s">
        <v>3</v>
      </c>
      <c r="D139" s="51">
        <f t="shared" si="7"/>
        <v>260</v>
      </c>
      <c r="E139" s="51" t="s">
        <v>3</v>
      </c>
      <c r="F139" s="110">
        <f t="shared" si="8"/>
        <v>1950</v>
      </c>
      <c r="G139" s="51" t="s">
        <v>3</v>
      </c>
      <c r="H139" s="48">
        <v>2</v>
      </c>
      <c r="I139" s="49" t="s">
        <v>45</v>
      </c>
      <c r="J139" s="112">
        <v>75</v>
      </c>
      <c r="K139" s="113">
        <v>260</v>
      </c>
      <c r="L139" s="113">
        <v>1950</v>
      </c>
      <c r="M139" s="185">
        <v>16.206051194467634</v>
      </c>
      <c r="N139" s="75">
        <v>588.21119999999985</v>
      </c>
      <c r="O139" s="119">
        <v>22062.53416464293</v>
      </c>
      <c r="P139" s="119">
        <v>26707.236147797968</v>
      </c>
      <c r="Q139" s="120">
        <v>21725.921142191706</v>
      </c>
      <c r="R139" s="314">
        <v>43788.455306834636</v>
      </c>
      <c r="S139" s="315">
        <v>48433.157289989671</v>
      </c>
      <c r="U139" s="7" t="s">
        <v>1478</v>
      </c>
    </row>
    <row r="140" spans="1:21" ht="16.5" thickBot="1">
      <c r="A140" s="50" t="s">
        <v>35</v>
      </c>
      <c r="B140" s="51">
        <f t="shared" si="6"/>
        <v>75</v>
      </c>
      <c r="C140" s="51" t="s">
        <v>3</v>
      </c>
      <c r="D140" s="51">
        <f t="shared" si="7"/>
        <v>260</v>
      </c>
      <c r="E140" s="51" t="s">
        <v>3</v>
      </c>
      <c r="F140" s="110">
        <f t="shared" si="8"/>
        <v>2000</v>
      </c>
      <c r="G140" s="51" t="s">
        <v>3</v>
      </c>
      <c r="H140" s="48">
        <v>2</v>
      </c>
      <c r="I140" s="49" t="s">
        <v>45</v>
      </c>
      <c r="J140" s="112">
        <v>75</v>
      </c>
      <c r="K140" s="113">
        <v>260</v>
      </c>
      <c r="L140" s="113">
        <v>2000</v>
      </c>
      <c r="M140" s="185">
        <v>16.695392303952897</v>
      </c>
      <c r="N140" s="75">
        <v>606.5927999999999</v>
      </c>
      <c r="O140" s="119">
        <v>22713.193520850491</v>
      </c>
      <c r="P140" s="119">
        <v>27536.712704708068</v>
      </c>
      <c r="Q140" s="120">
        <v>22388.113532341918</v>
      </c>
      <c r="R140" s="314">
        <v>45101.30705319241</v>
      </c>
      <c r="S140" s="315">
        <v>49924.826237049987</v>
      </c>
      <c r="U140" s="7" t="s">
        <v>1479</v>
      </c>
    </row>
    <row r="141" spans="1:21" ht="16.5" thickBot="1">
      <c r="A141" s="50" t="s">
        <v>35</v>
      </c>
      <c r="B141" s="51">
        <f t="shared" si="6"/>
        <v>75</v>
      </c>
      <c r="C141" s="51" t="s">
        <v>3</v>
      </c>
      <c r="D141" s="51">
        <f t="shared" si="7"/>
        <v>260</v>
      </c>
      <c r="E141" s="51" t="s">
        <v>3</v>
      </c>
      <c r="F141" s="110">
        <f t="shared" si="8"/>
        <v>2050</v>
      </c>
      <c r="G141" s="51" t="s">
        <v>3</v>
      </c>
      <c r="H141" s="48">
        <v>2</v>
      </c>
      <c r="I141" s="49" t="s">
        <v>45</v>
      </c>
      <c r="J141" s="112">
        <v>75</v>
      </c>
      <c r="K141" s="113">
        <v>260</v>
      </c>
      <c r="L141" s="113">
        <v>2050</v>
      </c>
      <c r="M141" s="185">
        <v>17.076131013438157</v>
      </c>
      <c r="N141" s="75">
        <v>624.97439999999983</v>
      </c>
      <c r="O141" s="119">
        <v>23133.309988236193</v>
      </c>
      <c r="P141" s="119">
        <v>28064.878711741021</v>
      </c>
      <c r="Q141" s="120">
        <v>22819.724144708856</v>
      </c>
      <c r="R141" s="314">
        <v>45953.034132945046</v>
      </c>
      <c r="S141" s="315">
        <v>50884.602856449877</v>
      </c>
      <c r="U141" s="7" t="s">
        <v>1480</v>
      </c>
    </row>
    <row r="142" spans="1:21" ht="16.5" thickBot="1">
      <c r="A142" s="47" t="s">
        <v>35</v>
      </c>
      <c r="B142" s="48">
        <f t="shared" si="6"/>
        <v>75</v>
      </c>
      <c r="C142" s="48" t="s">
        <v>3</v>
      </c>
      <c r="D142" s="48">
        <f t="shared" si="7"/>
        <v>260</v>
      </c>
      <c r="E142" s="48" t="s">
        <v>3</v>
      </c>
      <c r="F142" s="110">
        <f t="shared" si="8"/>
        <v>2100</v>
      </c>
      <c r="G142" s="48" t="s">
        <v>3</v>
      </c>
      <c r="H142" s="48">
        <v>2</v>
      </c>
      <c r="I142" s="49" t="s">
        <v>45</v>
      </c>
      <c r="J142" s="112">
        <v>75</v>
      </c>
      <c r="K142" s="113">
        <v>260</v>
      </c>
      <c r="L142" s="113">
        <v>2100</v>
      </c>
      <c r="M142" s="185">
        <v>17.47390972292342</v>
      </c>
      <c r="N142" s="75">
        <v>643.35599999999988</v>
      </c>
      <c r="O142" s="119">
        <v>23553.426315228528</v>
      </c>
      <c r="P142" s="119">
        <v>28593.04471877397</v>
      </c>
      <c r="Q142" s="120">
        <v>23481.916534859069</v>
      </c>
      <c r="R142" s="314">
        <v>47035.342850087596</v>
      </c>
      <c r="S142" s="315">
        <v>52074.961253633039</v>
      </c>
      <c r="U142" s="7" t="s">
        <v>1481</v>
      </c>
    </row>
    <row r="143" spans="1:21" ht="16.5" thickBot="1">
      <c r="A143" s="50" t="s">
        <v>35</v>
      </c>
      <c r="B143" s="51">
        <f t="shared" si="6"/>
        <v>75</v>
      </c>
      <c r="C143" s="51" t="s">
        <v>3</v>
      </c>
      <c r="D143" s="51">
        <f t="shared" si="7"/>
        <v>260</v>
      </c>
      <c r="E143" s="51" t="s">
        <v>3</v>
      </c>
      <c r="F143" s="110">
        <f t="shared" si="8"/>
        <v>2150</v>
      </c>
      <c r="G143" s="51" t="s">
        <v>3</v>
      </c>
      <c r="H143" s="48">
        <v>2</v>
      </c>
      <c r="I143" s="49" t="s">
        <v>45</v>
      </c>
      <c r="J143" s="112">
        <v>75</v>
      </c>
      <c r="K143" s="113">
        <v>260</v>
      </c>
      <c r="L143" s="113">
        <v>2150</v>
      </c>
      <c r="M143" s="185">
        <v>17.854648432408684</v>
      </c>
      <c r="N143" s="75">
        <v>661.73759999999982</v>
      </c>
      <c r="O143" s="119">
        <v>23973.542642220869</v>
      </c>
      <c r="P143" s="119">
        <v>29121.210866200283</v>
      </c>
      <c r="Q143" s="120">
        <v>23913.527147226006</v>
      </c>
      <c r="R143" s="314">
        <v>47887.069789446876</v>
      </c>
      <c r="S143" s="315">
        <v>53034.738013426293</v>
      </c>
      <c r="U143" s="7" t="s">
        <v>1482</v>
      </c>
    </row>
    <row r="144" spans="1:21" ht="16.5" thickBot="1">
      <c r="A144" s="50" t="s">
        <v>35</v>
      </c>
      <c r="B144" s="51">
        <f t="shared" si="6"/>
        <v>75</v>
      </c>
      <c r="C144" s="51" t="s">
        <v>3</v>
      </c>
      <c r="D144" s="51">
        <f t="shared" si="7"/>
        <v>260</v>
      </c>
      <c r="E144" s="51" t="s">
        <v>3</v>
      </c>
      <c r="F144" s="110">
        <f t="shared" si="8"/>
        <v>2200</v>
      </c>
      <c r="G144" s="51" t="s">
        <v>3</v>
      </c>
      <c r="H144" s="48">
        <v>2</v>
      </c>
      <c r="I144" s="49" t="s">
        <v>45</v>
      </c>
      <c r="J144" s="112">
        <v>75</v>
      </c>
      <c r="K144" s="113">
        <v>260</v>
      </c>
      <c r="L144" s="113">
        <v>2200</v>
      </c>
      <c r="M144" s="185">
        <v>18.252427141893946</v>
      </c>
      <c r="N144" s="75">
        <v>680.11919999999975</v>
      </c>
      <c r="O144" s="119">
        <v>24393.659109606568</v>
      </c>
      <c r="P144" s="119">
        <v>29649.376873233228</v>
      </c>
      <c r="Q144" s="120">
        <v>24575.719537376219</v>
      </c>
      <c r="R144" s="314">
        <v>48969.37864698279</v>
      </c>
      <c r="S144" s="315">
        <v>54225.096410609447</v>
      </c>
      <c r="U144" s="7" t="s">
        <v>1483</v>
      </c>
    </row>
    <row r="145" spans="1:21" ht="16.5" thickBot="1">
      <c r="A145" s="50" t="s">
        <v>35</v>
      </c>
      <c r="B145" s="51">
        <f t="shared" si="6"/>
        <v>75</v>
      </c>
      <c r="C145" s="51" t="s">
        <v>3</v>
      </c>
      <c r="D145" s="51">
        <f t="shared" si="7"/>
        <v>260</v>
      </c>
      <c r="E145" s="51" t="s">
        <v>3</v>
      </c>
      <c r="F145" s="110">
        <f t="shared" si="8"/>
        <v>2250</v>
      </c>
      <c r="G145" s="51" t="s">
        <v>3</v>
      </c>
      <c r="H145" s="48">
        <v>2</v>
      </c>
      <c r="I145" s="49" t="s">
        <v>45</v>
      </c>
      <c r="J145" s="112">
        <v>75</v>
      </c>
      <c r="K145" s="113">
        <v>260</v>
      </c>
      <c r="L145" s="113">
        <v>2250</v>
      </c>
      <c r="M145" s="185">
        <v>18.633165851379211</v>
      </c>
      <c r="N145" s="75">
        <v>698.5007999999998</v>
      </c>
      <c r="O145" s="119">
        <v>24813.775436598906</v>
      </c>
      <c r="P145" s="119">
        <v>30177.542880266185</v>
      </c>
      <c r="Q145" s="120">
        <v>25007.330009349789</v>
      </c>
      <c r="R145" s="314">
        <v>49821.105445948691</v>
      </c>
      <c r="S145" s="315">
        <v>55184.872889615974</v>
      </c>
      <c r="U145" s="7" t="s">
        <v>1484</v>
      </c>
    </row>
    <row r="146" spans="1:21" ht="16.5" thickBot="1">
      <c r="A146" s="50" t="s">
        <v>35</v>
      </c>
      <c r="B146" s="51">
        <f t="shared" si="6"/>
        <v>75</v>
      </c>
      <c r="C146" s="51" t="s">
        <v>3</v>
      </c>
      <c r="D146" s="51">
        <f t="shared" si="7"/>
        <v>260</v>
      </c>
      <c r="E146" s="51" t="s">
        <v>3</v>
      </c>
      <c r="F146" s="110">
        <f t="shared" si="8"/>
        <v>2300</v>
      </c>
      <c r="G146" s="51" t="s">
        <v>3</v>
      </c>
      <c r="H146" s="48">
        <v>2</v>
      </c>
      <c r="I146" s="49" t="s">
        <v>45</v>
      </c>
      <c r="J146" s="112">
        <v>75</v>
      </c>
      <c r="K146" s="113">
        <v>260</v>
      </c>
      <c r="L146" s="113">
        <v>2300</v>
      </c>
      <c r="M146" s="185">
        <v>19.013904560864475</v>
      </c>
      <c r="N146" s="75">
        <v>716.88239999999985</v>
      </c>
      <c r="O146" s="119">
        <v>25233.891763591106</v>
      </c>
      <c r="P146" s="119">
        <v>30705.709027692497</v>
      </c>
      <c r="Q146" s="120">
        <v>25438.940621716731</v>
      </c>
      <c r="R146" s="314">
        <v>50672.832385307833</v>
      </c>
      <c r="S146" s="315">
        <v>56144.649649409228</v>
      </c>
      <c r="U146" s="7" t="s">
        <v>1485</v>
      </c>
    </row>
    <row r="147" spans="1:21" ht="16.5" thickBot="1">
      <c r="A147" s="50" t="s">
        <v>35</v>
      </c>
      <c r="B147" s="51">
        <f t="shared" si="6"/>
        <v>75</v>
      </c>
      <c r="C147" s="51" t="s">
        <v>3</v>
      </c>
      <c r="D147" s="51">
        <f t="shared" si="7"/>
        <v>260</v>
      </c>
      <c r="E147" s="51" t="s">
        <v>3</v>
      </c>
      <c r="F147" s="110">
        <f t="shared" si="8"/>
        <v>2350</v>
      </c>
      <c r="G147" s="51" t="s">
        <v>3</v>
      </c>
      <c r="H147" s="48">
        <v>2</v>
      </c>
      <c r="I147" s="49" t="s">
        <v>45</v>
      </c>
      <c r="J147" s="112">
        <v>75</v>
      </c>
      <c r="K147" s="113">
        <v>260</v>
      </c>
      <c r="L147" s="113">
        <v>2350</v>
      </c>
      <c r="M147" s="185">
        <v>19.411683270349737</v>
      </c>
      <c r="N147" s="75">
        <v>735.2639999999999</v>
      </c>
      <c r="O147" s="119">
        <v>25654.008230976942</v>
      </c>
      <c r="P147" s="119">
        <v>31233.875034725443</v>
      </c>
      <c r="Q147" s="120">
        <v>26101.133011866939</v>
      </c>
      <c r="R147" s="314">
        <v>51755.141242843878</v>
      </c>
      <c r="S147" s="315">
        <v>57335.008046592382</v>
      </c>
      <c r="U147" s="7" t="s">
        <v>1486</v>
      </c>
    </row>
    <row r="148" spans="1:21" ht="16.5" thickBot="1">
      <c r="A148" s="50" t="s">
        <v>35</v>
      </c>
      <c r="B148" s="51">
        <f t="shared" si="6"/>
        <v>75</v>
      </c>
      <c r="C148" s="51" t="s">
        <v>3</v>
      </c>
      <c r="D148" s="51">
        <f t="shared" si="7"/>
        <v>260</v>
      </c>
      <c r="E148" s="51" t="s">
        <v>3</v>
      </c>
      <c r="F148" s="110">
        <f t="shared" si="8"/>
        <v>2400</v>
      </c>
      <c r="G148" s="51" t="s">
        <v>3</v>
      </c>
      <c r="H148" s="48">
        <v>2</v>
      </c>
      <c r="I148" s="49" t="s">
        <v>45</v>
      </c>
      <c r="J148" s="112">
        <v>75</v>
      </c>
      <c r="K148" s="113">
        <v>260</v>
      </c>
      <c r="L148" s="113">
        <v>2400</v>
      </c>
      <c r="M148" s="185">
        <v>19.792421979835002</v>
      </c>
      <c r="N148" s="75">
        <v>753.64559999999983</v>
      </c>
      <c r="O148" s="119">
        <v>26074.12455796928</v>
      </c>
      <c r="P148" s="119">
        <v>31762.041041758392</v>
      </c>
      <c r="Q148" s="120">
        <v>26532.743624233881</v>
      </c>
      <c r="R148" s="314">
        <v>52606.868182203165</v>
      </c>
      <c r="S148" s="315">
        <v>58294.784665992272</v>
      </c>
      <c r="U148" s="7" t="s">
        <v>1487</v>
      </c>
    </row>
    <row r="149" spans="1:21" ht="16.5" thickBot="1">
      <c r="A149" s="50" t="s">
        <v>35</v>
      </c>
      <c r="B149" s="51">
        <f t="shared" si="6"/>
        <v>75</v>
      </c>
      <c r="C149" s="51" t="s">
        <v>3</v>
      </c>
      <c r="D149" s="51">
        <f t="shared" si="7"/>
        <v>260</v>
      </c>
      <c r="E149" s="51" t="s">
        <v>3</v>
      </c>
      <c r="F149" s="110">
        <f t="shared" si="8"/>
        <v>2450</v>
      </c>
      <c r="G149" s="51" t="s">
        <v>3</v>
      </c>
      <c r="H149" s="48">
        <v>2</v>
      </c>
      <c r="I149" s="49" t="s">
        <v>45</v>
      </c>
      <c r="J149" s="112">
        <v>75</v>
      </c>
      <c r="K149" s="113">
        <v>260</v>
      </c>
      <c r="L149" s="113">
        <v>2450</v>
      </c>
      <c r="M149" s="185">
        <v>20.313964878120263</v>
      </c>
      <c r="N149" s="75">
        <v>772.02719999999988</v>
      </c>
      <c r="O149" s="119">
        <v>27083.648301830781</v>
      </c>
      <c r="P149" s="119">
        <v>32806.338957970882</v>
      </c>
      <c r="Q149" s="120">
        <v>27194.936014384097</v>
      </c>
      <c r="R149" s="314">
        <v>54278.584316214881</v>
      </c>
      <c r="S149" s="315">
        <v>60001.274972354979</v>
      </c>
      <c r="U149" s="7" t="s">
        <v>1488</v>
      </c>
    </row>
    <row r="150" spans="1:21" ht="16.5" thickBot="1">
      <c r="A150" s="50" t="s">
        <v>35</v>
      </c>
      <c r="B150" s="51">
        <f t="shared" si="6"/>
        <v>75</v>
      </c>
      <c r="C150" s="51" t="s">
        <v>3</v>
      </c>
      <c r="D150" s="51">
        <f t="shared" si="7"/>
        <v>260</v>
      </c>
      <c r="E150" s="51" t="s">
        <v>3</v>
      </c>
      <c r="F150" s="110">
        <f t="shared" si="8"/>
        <v>2500</v>
      </c>
      <c r="G150" s="51" t="s">
        <v>3</v>
      </c>
      <c r="H150" s="48">
        <v>2</v>
      </c>
      <c r="I150" s="49" t="s">
        <v>45</v>
      </c>
      <c r="J150" s="112">
        <v>75</v>
      </c>
      <c r="K150" s="113">
        <v>260</v>
      </c>
      <c r="L150" s="113">
        <v>2500</v>
      </c>
      <c r="M150" s="185">
        <v>20.694703587605531</v>
      </c>
      <c r="N150" s="75">
        <v>790.40879999999981</v>
      </c>
      <c r="O150" s="119">
        <v>27503.764628823119</v>
      </c>
      <c r="P150" s="119">
        <v>33334.504965003835</v>
      </c>
      <c r="Q150" s="120">
        <v>27626.546626751031</v>
      </c>
      <c r="R150" s="314">
        <v>55130.311255574154</v>
      </c>
      <c r="S150" s="315">
        <v>60961.051591754862</v>
      </c>
      <c r="U150" s="7" t="s">
        <v>1489</v>
      </c>
    </row>
    <row r="151" spans="1:21" ht="16.5" thickBot="1">
      <c r="A151" s="50" t="s">
        <v>35</v>
      </c>
      <c r="B151" s="51">
        <f t="shared" si="6"/>
        <v>75</v>
      </c>
      <c r="C151" s="51" t="s">
        <v>3</v>
      </c>
      <c r="D151" s="51">
        <f t="shared" si="7"/>
        <v>260</v>
      </c>
      <c r="E151" s="51" t="s">
        <v>3</v>
      </c>
      <c r="F151" s="110">
        <f t="shared" si="8"/>
        <v>2550</v>
      </c>
      <c r="G151" s="51" t="s">
        <v>3</v>
      </c>
      <c r="H151" s="48">
        <v>2</v>
      </c>
      <c r="I151" s="49" t="s">
        <v>45</v>
      </c>
      <c r="J151" s="112">
        <v>75</v>
      </c>
      <c r="K151" s="113">
        <v>260</v>
      </c>
      <c r="L151" s="113">
        <v>2550</v>
      </c>
      <c r="M151" s="185">
        <v>21.09248229709079</v>
      </c>
      <c r="N151" s="75">
        <v>808.79039999999975</v>
      </c>
      <c r="O151" s="119">
        <v>27923.880955815453</v>
      </c>
      <c r="P151" s="119">
        <v>33862.671112430144</v>
      </c>
      <c r="Q151" s="120">
        <v>28288.739016901247</v>
      </c>
      <c r="R151" s="314">
        <v>56212.619972716697</v>
      </c>
      <c r="S151" s="315">
        <v>62151.410129331387</v>
      </c>
      <c r="U151" s="7" t="s">
        <v>1490</v>
      </c>
    </row>
    <row r="152" spans="1:21" ht="16.5" thickBot="1">
      <c r="A152" s="47" t="s">
        <v>35</v>
      </c>
      <c r="B152" s="48">
        <f t="shared" si="6"/>
        <v>75</v>
      </c>
      <c r="C152" s="48" t="s">
        <v>3</v>
      </c>
      <c r="D152" s="48">
        <f t="shared" si="7"/>
        <v>260</v>
      </c>
      <c r="E152" s="48" t="s">
        <v>3</v>
      </c>
      <c r="F152" s="110">
        <f t="shared" si="8"/>
        <v>2600</v>
      </c>
      <c r="G152" s="48" t="s">
        <v>3</v>
      </c>
      <c r="H152" s="48">
        <v>2</v>
      </c>
      <c r="I152" s="49" t="s">
        <v>45</v>
      </c>
      <c r="J152" s="112">
        <v>75</v>
      </c>
      <c r="K152" s="113">
        <v>260</v>
      </c>
      <c r="L152" s="113">
        <v>2600</v>
      </c>
      <c r="M152" s="185">
        <v>21.473221006576054</v>
      </c>
      <c r="N152" s="75">
        <v>827.1719999999998</v>
      </c>
      <c r="O152" s="119">
        <v>28343.997423201155</v>
      </c>
      <c r="P152" s="119">
        <v>34390.837119463096</v>
      </c>
      <c r="Q152" s="120">
        <v>28720.349629268181</v>
      </c>
      <c r="R152" s="314">
        <v>57064.34705246934</v>
      </c>
      <c r="S152" s="315">
        <v>63111.186748731277</v>
      </c>
      <c r="U152" s="7" t="s">
        <v>1491</v>
      </c>
    </row>
    <row r="153" spans="1:21" ht="16.5" thickBot="1">
      <c r="A153" s="50" t="s">
        <v>35</v>
      </c>
      <c r="B153" s="51">
        <f t="shared" si="6"/>
        <v>75</v>
      </c>
      <c r="C153" s="51" t="s">
        <v>3</v>
      </c>
      <c r="D153" s="51">
        <f t="shared" si="7"/>
        <v>260</v>
      </c>
      <c r="E153" s="51" t="s">
        <v>3</v>
      </c>
      <c r="F153" s="110">
        <f t="shared" si="8"/>
        <v>2650</v>
      </c>
      <c r="G153" s="51" t="s">
        <v>3</v>
      </c>
      <c r="H153" s="48">
        <v>2</v>
      </c>
      <c r="I153" s="49" t="s">
        <v>45</v>
      </c>
      <c r="J153" s="112">
        <v>75</v>
      </c>
      <c r="K153" s="113">
        <v>260</v>
      </c>
      <c r="L153" s="113">
        <v>2650</v>
      </c>
      <c r="M153" s="185">
        <v>21.87099971606132</v>
      </c>
      <c r="N153" s="75">
        <v>845.55359999999985</v>
      </c>
      <c r="O153" s="119">
        <v>28764.113750193494</v>
      </c>
      <c r="P153" s="119">
        <v>34919.003126496042</v>
      </c>
      <c r="Q153" s="120">
        <v>29382.542019418397</v>
      </c>
      <c r="R153" s="314">
        <v>58146.655769611891</v>
      </c>
      <c r="S153" s="315">
        <v>64301.545145914439</v>
      </c>
      <c r="U153" s="7" t="s">
        <v>1492</v>
      </c>
    </row>
    <row r="154" spans="1:21" ht="16.5" thickBot="1">
      <c r="A154" s="50" t="s">
        <v>35</v>
      </c>
      <c r="B154" s="51">
        <f t="shared" si="6"/>
        <v>75</v>
      </c>
      <c r="C154" s="51" t="s">
        <v>3</v>
      </c>
      <c r="D154" s="51">
        <f t="shared" si="7"/>
        <v>260</v>
      </c>
      <c r="E154" s="51" t="s">
        <v>3</v>
      </c>
      <c r="F154" s="110">
        <f t="shared" si="8"/>
        <v>2700</v>
      </c>
      <c r="G154" s="51" t="s">
        <v>3</v>
      </c>
      <c r="H154" s="48">
        <v>2</v>
      </c>
      <c r="I154" s="49" t="s">
        <v>45</v>
      </c>
      <c r="J154" s="112">
        <v>75</v>
      </c>
      <c r="K154" s="113">
        <v>260</v>
      </c>
      <c r="L154" s="113">
        <v>2700</v>
      </c>
      <c r="M154" s="185">
        <v>22.290988425546587</v>
      </c>
      <c r="N154" s="75">
        <v>863.9351999999999</v>
      </c>
      <c r="O154" s="119">
        <v>29230.101923662354</v>
      </c>
      <c r="P154" s="119">
        <v>35491.642802508381</v>
      </c>
      <c r="Q154" s="120">
        <v>29814.152631785331</v>
      </c>
      <c r="R154" s="314">
        <v>59044.254555447682</v>
      </c>
      <c r="S154" s="315">
        <v>65305.795434293716</v>
      </c>
      <c r="U154" s="7" t="s">
        <v>1493</v>
      </c>
    </row>
    <row r="155" spans="1:21" ht="16.5" thickBot="1">
      <c r="A155" s="50" t="s">
        <v>35</v>
      </c>
      <c r="B155" s="51">
        <f t="shared" si="6"/>
        <v>75</v>
      </c>
      <c r="C155" s="51" t="s">
        <v>3</v>
      </c>
      <c r="D155" s="51">
        <f t="shared" si="7"/>
        <v>260</v>
      </c>
      <c r="E155" s="51" t="s">
        <v>3</v>
      </c>
      <c r="F155" s="110">
        <f t="shared" si="8"/>
        <v>2750</v>
      </c>
      <c r="G155" s="51" t="s">
        <v>3</v>
      </c>
      <c r="H155" s="48">
        <v>2</v>
      </c>
      <c r="I155" s="49" t="s">
        <v>45</v>
      </c>
      <c r="J155" s="112">
        <v>75</v>
      </c>
      <c r="K155" s="113">
        <v>260</v>
      </c>
      <c r="L155" s="113">
        <v>2750</v>
      </c>
      <c r="M155" s="185">
        <v>22.671727135031844</v>
      </c>
      <c r="N155" s="75">
        <v>882.31679999999983</v>
      </c>
      <c r="O155" s="119">
        <v>29650.218250654696</v>
      </c>
      <c r="P155" s="119">
        <v>36019.808809541333</v>
      </c>
      <c r="Q155" s="120">
        <v>30245.763244152273</v>
      </c>
      <c r="R155" s="314">
        <v>59895.981494806969</v>
      </c>
      <c r="S155" s="315">
        <v>66265.572053693613</v>
      </c>
      <c r="U155" s="7" t="s">
        <v>1494</v>
      </c>
    </row>
    <row r="156" spans="1:21" ht="16.5" thickBot="1">
      <c r="A156" s="50" t="s">
        <v>35</v>
      </c>
      <c r="B156" s="51">
        <f t="shared" si="6"/>
        <v>75</v>
      </c>
      <c r="C156" s="51" t="s">
        <v>3</v>
      </c>
      <c r="D156" s="51">
        <f t="shared" si="7"/>
        <v>260</v>
      </c>
      <c r="E156" s="51" t="s">
        <v>3</v>
      </c>
      <c r="F156" s="110">
        <f t="shared" si="8"/>
        <v>2800</v>
      </c>
      <c r="G156" s="51" t="s">
        <v>3</v>
      </c>
      <c r="H156" s="48">
        <v>2</v>
      </c>
      <c r="I156" s="49" t="s">
        <v>45</v>
      </c>
      <c r="J156" s="112">
        <v>75</v>
      </c>
      <c r="K156" s="113">
        <v>260</v>
      </c>
      <c r="L156" s="113">
        <v>2800</v>
      </c>
      <c r="M156" s="185">
        <v>23.069505844517106</v>
      </c>
      <c r="N156" s="75">
        <v>900.69839999999988</v>
      </c>
      <c r="O156" s="119">
        <v>30070.334577647031</v>
      </c>
      <c r="P156" s="119">
        <v>36547.974816574286</v>
      </c>
      <c r="Q156" s="120">
        <v>30907.955493909118</v>
      </c>
      <c r="R156" s="314">
        <v>60978.290071556148</v>
      </c>
      <c r="S156" s="315">
        <v>67455.930310483411</v>
      </c>
      <c r="U156" s="7" t="s">
        <v>1495</v>
      </c>
    </row>
    <row r="157" spans="1:21" ht="16.5" thickBot="1">
      <c r="A157" s="50" t="s">
        <v>35</v>
      </c>
      <c r="B157" s="51">
        <f t="shared" si="6"/>
        <v>75</v>
      </c>
      <c r="C157" s="51" t="s">
        <v>3</v>
      </c>
      <c r="D157" s="51">
        <f t="shared" si="7"/>
        <v>260</v>
      </c>
      <c r="E157" s="51" t="s">
        <v>3</v>
      </c>
      <c r="F157" s="110">
        <f t="shared" si="8"/>
        <v>2850</v>
      </c>
      <c r="G157" s="51" t="s">
        <v>3</v>
      </c>
      <c r="H157" s="48">
        <v>2</v>
      </c>
      <c r="I157" s="49" t="s">
        <v>45</v>
      </c>
      <c r="J157" s="112">
        <v>75</v>
      </c>
      <c r="K157" s="113">
        <v>260</v>
      </c>
      <c r="L157" s="113">
        <v>2850</v>
      </c>
      <c r="M157" s="185">
        <v>23.450244554002374</v>
      </c>
      <c r="N157" s="75">
        <v>919.07999999999981</v>
      </c>
      <c r="O157" s="119">
        <v>30490.451045032733</v>
      </c>
      <c r="P157" s="119">
        <v>37076.140964000595</v>
      </c>
      <c r="Q157" s="120">
        <v>31339.566106276056</v>
      </c>
      <c r="R157" s="314">
        <v>61830.017151308784</v>
      </c>
      <c r="S157" s="315">
        <v>68415.70707027665</v>
      </c>
      <c r="U157" s="7" t="s">
        <v>1496</v>
      </c>
    </row>
    <row r="158" spans="1:21" ht="16.5" thickBot="1">
      <c r="A158" s="50" t="s">
        <v>35</v>
      </c>
      <c r="B158" s="51">
        <f t="shared" si="6"/>
        <v>75</v>
      </c>
      <c r="C158" s="51" t="s">
        <v>3</v>
      </c>
      <c r="D158" s="51">
        <f t="shared" si="7"/>
        <v>260</v>
      </c>
      <c r="E158" s="51" t="s">
        <v>3</v>
      </c>
      <c r="F158" s="110">
        <f t="shared" si="8"/>
        <v>2900</v>
      </c>
      <c r="G158" s="51" t="s">
        <v>3</v>
      </c>
      <c r="H158" s="48">
        <v>2</v>
      </c>
      <c r="I158" s="49" t="s">
        <v>45</v>
      </c>
      <c r="J158" s="112">
        <v>75</v>
      </c>
      <c r="K158" s="113">
        <v>260</v>
      </c>
      <c r="L158" s="113">
        <v>2900</v>
      </c>
      <c r="M158" s="185">
        <v>23.848023263487633</v>
      </c>
      <c r="N158" s="75">
        <v>937.46159999999975</v>
      </c>
      <c r="O158" s="119">
        <v>30910.567372025067</v>
      </c>
      <c r="P158" s="119">
        <v>37604.306971033548</v>
      </c>
      <c r="Q158" s="120">
        <v>32001.758496426271</v>
      </c>
      <c r="R158" s="314">
        <v>62912.325868451342</v>
      </c>
      <c r="S158" s="315">
        <v>69606.065467459819</v>
      </c>
      <c r="U158" s="7" t="s">
        <v>1497</v>
      </c>
    </row>
    <row r="159" spans="1:21" ht="16.5" thickBot="1">
      <c r="A159" s="50" t="s">
        <v>35</v>
      </c>
      <c r="B159" s="51">
        <f t="shared" si="6"/>
        <v>75</v>
      </c>
      <c r="C159" s="51" t="s">
        <v>3</v>
      </c>
      <c r="D159" s="51">
        <f t="shared" si="7"/>
        <v>260</v>
      </c>
      <c r="E159" s="51" t="s">
        <v>3</v>
      </c>
      <c r="F159" s="110">
        <f t="shared" si="8"/>
        <v>2950</v>
      </c>
      <c r="G159" s="51" t="s">
        <v>3</v>
      </c>
      <c r="H159" s="48">
        <v>2</v>
      </c>
      <c r="I159" s="49" t="s">
        <v>45</v>
      </c>
      <c r="J159" s="112">
        <v>75</v>
      </c>
      <c r="K159" s="113">
        <v>260</v>
      </c>
      <c r="L159" s="113">
        <v>2950</v>
      </c>
      <c r="M159" s="185">
        <v>24.228761972972897</v>
      </c>
      <c r="N159" s="75">
        <v>955.8431999999998</v>
      </c>
      <c r="O159" s="119">
        <v>31330.683699017409</v>
      </c>
      <c r="P159" s="119">
        <v>38132.472978066493</v>
      </c>
      <c r="Q159" s="120">
        <v>32433.369108793206</v>
      </c>
      <c r="R159" s="314">
        <v>63764.052807810614</v>
      </c>
      <c r="S159" s="315">
        <v>70565.842086859702</v>
      </c>
      <c r="U159" s="7" t="s">
        <v>1498</v>
      </c>
    </row>
    <row r="160" spans="1:21" ht="16.5" thickBot="1">
      <c r="A160" s="52" t="s">
        <v>35</v>
      </c>
      <c r="B160" s="53">
        <f t="shared" si="6"/>
        <v>75</v>
      </c>
      <c r="C160" s="53" t="s">
        <v>3</v>
      </c>
      <c r="D160" s="53">
        <f t="shared" si="7"/>
        <v>260</v>
      </c>
      <c r="E160" s="53" t="s">
        <v>3</v>
      </c>
      <c r="F160" s="111">
        <f t="shared" si="8"/>
        <v>3000</v>
      </c>
      <c r="G160" s="53" t="s">
        <v>3</v>
      </c>
      <c r="H160" s="55">
        <v>2</v>
      </c>
      <c r="I160" s="54" t="s">
        <v>45</v>
      </c>
      <c r="J160" s="146">
        <v>75</v>
      </c>
      <c r="K160" s="157">
        <v>260</v>
      </c>
      <c r="L160" s="157">
        <v>3000</v>
      </c>
      <c r="M160" s="187">
        <v>24.62654068245816</v>
      </c>
      <c r="N160" s="147">
        <v>974.22479999999985</v>
      </c>
      <c r="O160" s="189">
        <v>31750.800166403107</v>
      </c>
      <c r="P160" s="189">
        <v>38660.638985099446</v>
      </c>
      <c r="Q160" s="159">
        <v>33095.561498943418</v>
      </c>
      <c r="R160" s="316">
        <v>64846.361665346529</v>
      </c>
      <c r="S160" s="317">
        <v>71756.200484042871</v>
      </c>
      <c r="U160" s="7" t="s">
        <v>1499</v>
      </c>
    </row>
    <row r="161" spans="1:21" ht="22.5" customHeight="1" thickBot="1">
      <c r="A161" s="2621" t="s">
        <v>48</v>
      </c>
      <c r="B161" s="2622"/>
      <c r="C161" s="2622"/>
      <c r="D161" s="2622"/>
      <c r="E161" s="2622"/>
      <c r="F161" s="2622"/>
      <c r="G161" s="2622"/>
      <c r="H161" s="2622"/>
      <c r="I161" s="2622"/>
      <c r="J161" s="2622"/>
      <c r="K161" s="2622"/>
      <c r="L161" s="2622"/>
      <c r="M161" s="2622"/>
      <c r="N161" s="2622"/>
      <c r="O161" s="2622"/>
      <c r="P161" s="2622"/>
      <c r="Q161" s="2622"/>
      <c r="R161" s="2622"/>
      <c r="S161" s="2623"/>
      <c r="U161" s="7"/>
    </row>
    <row r="162" spans="1:21" ht="16.5" thickBot="1">
      <c r="A162" s="2583" t="s">
        <v>134</v>
      </c>
      <c r="B162" s="2584"/>
      <c r="C162" s="2584"/>
      <c r="D162" s="2584"/>
      <c r="E162" s="2584"/>
      <c r="F162" s="2584"/>
      <c r="G162" s="2584"/>
      <c r="H162" s="2584"/>
      <c r="I162" s="2584"/>
      <c r="J162" s="2584"/>
      <c r="K162" s="2584"/>
      <c r="L162" s="2584"/>
      <c r="M162" s="2584"/>
      <c r="N162" s="2584"/>
      <c r="O162" s="2584"/>
      <c r="P162" s="2584"/>
      <c r="Q162" s="2584"/>
      <c r="R162" s="2584"/>
      <c r="S162" s="2585"/>
      <c r="U162" s="7"/>
    </row>
    <row r="163" spans="1:21" ht="16.5" thickBot="1">
      <c r="A163" s="47" t="s">
        <v>35</v>
      </c>
      <c r="B163" s="48">
        <f>J163</f>
        <v>75</v>
      </c>
      <c r="C163" s="48" t="s">
        <v>3</v>
      </c>
      <c r="D163" s="48">
        <f>K163</f>
        <v>300</v>
      </c>
      <c r="E163" s="48" t="s">
        <v>3</v>
      </c>
      <c r="F163" s="110">
        <f>L163</f>
        <v>600</v>
      </c>
      <c r="G163" s="48" t="s">
        <v>3</v>
      </c>
      <c r="H163" s="48">
        <v>2</v>
      </c>
      <c r="I163" s="49" t="s">
        <v>45</v>
      </c>
      <c r="J163" s="142">
        <v>75</v>
      </c>
      <c r="K163" s="168">
        <v>300</v>
      </c>
      <c r="L163" s="168">
        <v>600</v>
      </c>
      <c r="M163" s="182">
        <v>6.0562297313549998</v>
      </c>
      <c r="N163" s="143">
        <v>98.744304772080014</v>
      </c>
      <c r="O163" s="183">
        <v>10518.757743074513</v>
      </c>
      <c r="P163" s="183">
        <v>12497.764201452339</v>
      </c>
      <c r="Q163" s="169">
        <v>8203.3683669666007</v>
      </c>
      <c r="R163" s="312">
        <v>18722.126110041114</v>
      </c>
      <c r="S163" s="313">
        <v>20701.13256841894</v>
      </c>
      <c r="U163" s="7" t="s">
        <v>1500</v>
      </c>
    </row>
    <row r="164" spans="1:21" ht="16.5" thickBot="1">
      <c r="A164" s="50" t="s">
        <v>35</v>
      </c>
      <c r="B164" s="51">
        <f t="shared" ref="B164:B211" si="9">J164</f>
        <v>75</v>
      </c>
      <c r="C164" s="51" t="s">
        <v>3</v>
      </c>
      <c r="D164" s="51">
        <f t="shared" ref="D164:D211" si="10">K164</f>
        <v>300</v>
      </c>
      <c r="E164" s="51" t="s">
        <v>3</v>
      </c>
      <c r="F164" s="110">
        <f t="shared" ref="F164:F211" si="11">L164</f>
        <v>650</v>
      </c>
      <c r="G164" s="51" t="s">
        <v>3</v>
      </c>
      <c r="H164" s="48">
        <v>2</v>
      </c>
      <c r="I164" s="49" t="s">
        <v>45</v>
      </c>
      <c r="J164" s="112">
        <v>75</v>
      </c>
      <c r="K164" s="113">
        <v>300</v>
      </c>
      <c r="L164" s="113">
        <v>650</v>
      </c>
      <c r="M164" s="185">
        <v>6.4688221487350006</v>
      </c>
      <c r="N164" s="75">
        <v>118.49316572649602</v>
      </c>
      <c r="O164" s="121">
        <v>10957.620093794665</v>
      </c>
      <c r="P164" s="121">
        <v>13057.568975871565</v>
      </c>
      <c r="Q164" s="120">
        <v>8683.7735348305905</v>
      </c>
      <c r="R164" s="314">
        <v>19641.393628625257</v>
      </c>
      <c r="S164" s="315">
        <v>21741.342510702154</v>
      </c>
      <c r="U164" s="7" t="s">
        <v>1501</v>
      </c>
    </row>
    <row r="165" spans="1:21" ht="16.5" thickBot="1">
      <c r="A165" s="50" t="s">
        <v>35</v>
      </c>
      <c r="B165" s="51">
        <f t="shared" si="9"/>
        <v>75</v>
      </c>
      <c r="C165" s="51" t="s">
        <v>3</v>
      </c>
      <c r="D165" s="51">
        <f t="shared" si="10"/>
        <v>300</v>
      </c>
      <c r="E165" s="51" t="s">
        <v>3</v>
      </c>
      <c r="F165" s="110">
        <f t="shared" si="11"/>
        <v>700</v>
      </c>
      <c r="G165" s="51" t="s">
        <v>3</v>
      </c>
      <c r="H165" s="48">
        <v>2</v>
      </c>
      <c r="I165" s="49" t="s">
        <v>45</v>
      </c>
      <c r="J165" s="112">
        <v>75</v>
      </c>
      <c r="K165" s="113">
        <v>300</v>
      </c>
      <c r="L165" s="113">
        <v>700</v>
      </c>
      <c r="M165" s="185">
        <v>6.8984545661149994</v>
      </c>
      <c r="N165" s="75">
        <v>138.24202668091201</v>
      </c>
      <c r="O165" s="121">
        <v>11396.482444514815</v>
      </c>
      <c r="P165" s="121">
        <v>13617.37375029079</v>
      </c>
      <c r="Q165" s="120">
        <v>9394.7606208712132</v>
      </c>
      <c r="R165" s="314">
        <v>20791.243065386028</v>
      </c>
      <c r="S165" s="315">
        <v>23012.134371162003</v>
      </c>
      <c r="U165" s="7" t="s">
        <v>1502</v>
      </c>
    </row>
    <row r="166" spans="1:21" ht="16.5" thickBot="1">
      <c r="A166" s="50" t="s">
        <v>35</v>
      </c>
      <c r="B166" s="51">
        <f t="shared" si="9"/>
        <v>75</v>
      </c>
      <c r="C166" s="51" t="s">
        <v>3</v>
      </c>
      <c r="D166" s="51">
        <f t="shared" si="10"/>
        <v>300</v>
      </c>
      <c r="E166" s="51" t="s">
        <v>3</v>
      </c>
      <c r="F166" s="110">
        <f t="shared" si="11"/>
        <v>750</v>
      </c>
      <c r="G166" s="51" t="s">
        <v>3</v>
      </c>
      <c r="H166" s="48">
        <v>2</v>
      </c>
      <c r="I166" s="49" t="s">
        <v>45</v>
      </c>
      <c r="J166" s="112">
        <v>75</v>
      </c>
      <c r="K166" s="113">
        <v>300</v>
      </c>
      <c r="L166" s="113">
        <v>750</v>
      </c>
      <c r="M166" s="185">
        <v>7.3110469834949985</v>
      </c>
      <c r="N166" s="75">
        <v>157.99088763532799</v>
      </c>
      <c r="O166" s="121">
        <v>11835.344795234963</v>
      </c>
      <c r="P166" s="121">
        <v>14177.178384316654</v>
      </c>
      <c r="Q166" s="120">
        <v>9875.165788735203</v>
      </c>
      <c r="R166" s="314">
        <v>21710.510583970165</v>
      </c>
      <c r="S166" s="315">
        <v>24052.344173051857</v>
      </c>
      <c r="U166" s="7" t="s">
        <v>1503</v>
      </c>
    </row>
    <row r="167" spans="1:21" ht="16.5" thickBot="1">
      <c r="A167" s="50" t="s">
        <v>35</v>
      </c>
      <c r="B167" s="51">
        <f t="shared" si="9"/>
        <v>75</v>
      </c>
      <c r="C167" s="51" t="s">
        <v>3</v>
      </c>
      <c r="D167" s="51">
        <f t="shared" si="10"/>
        <v>300</v>
      </c>
      <c r="E167" s="51" t="s">
        <v>3</v>
      </c>
      <c r="F167" s="110">
        <f t="shared" si="11"/>
        <v>800</v>
      </c>
      <c r="G167" s="51" t="s">
        <v>3</v>
      </c>
      <c r="H167" s="48">
        <v>2</v>
      </c>
      <c r="I167" s="49" t="s">
        <v>45</v>
      </c>
      <c r="J167" s="112">
        <v>75</v>
      </c>
      <c r="K167" s="113">
        <v>300</v>
      </c>
      <c r="L167" s="113">
        <v>800</v>
      </c>
      <c r="M167" s="185">
        <v>7.7236394008750011</v>
      </c>
      <c r="N167" s="75">
        <v>177.73974858974404</v>
      </c>
      <c r="O167" s="121">
        <v>12274.207145955115</v>
      </c>
      <c r="P167" s="121">
        <v>14736.983158735879</v>
      </c>
      <c r="Q167" s="120">
        <v>10355.570956599189</v>
      </c>
      <c r="R167" s="314">
        <v>22629.778102554304</v>
      </c>
      <c r="S167" s="315">
        <v>25092.554115335068</v>
      </c>
      <c r="U167" s="7" t="s">
        <v>1504</v>
      </c>
    </row>
    <row r="168" spans="1:21" ht="16.5" thickBot="1">
      <c r="A168" s="50" t="s">
        <v>35</v>
      </c>
      <c r="B168" s="51">
        <f t="shared" si="9"/>
        <v>75</v>
      </c>
      <c r="C168" s="51" t="s">
        <v>3</v>
      </c>
      <c r="D168" s="51">
        <f t="shared" si="10"/>
        <v>300</v>
      </c>
      <c r="E168" s="51" t="s">
        <v>3</v>
      </c>
      <c r="F168" s="110">
        <f t="shared" si="11"/>
        <v>850</v>
      </c>
      <c r="G168" s="51" t="s">
        <v>3</v>
      </c>
      <c r="H168" s="48">
        <v>2</v>
      </c>
      <c r="I168" s="49" t="s">
        <v>45</v>
      </c>
      <c r="J168" s="112">
        <v>75</v>
      </c>
      <c r="K168" s="113">
        <v>300</v>
      </c>
      <c r="L168" s="113">
        <v>850</v>
      </c>
      <c r="M168" s="185">
        <v>8.1532718182549999</v>
      </c>
      <c r="N168" s="75">
        <v>197.48860954416003</v>
      </c>
      <c r="O168" s="121">
        <v>12713.069496675265</v>
      </c>
      <c r="P168" s="121">
        <v>15296.787933155105</v>
      </c>
      <c r="Q168" s="120">
        <v>11066.558042639816</v>
      </c>
      <c r="R168" s="314">
        <v>23779.627539315079</v>
      </c>
      <c r="S168" s="315">
        <v>26363.34597579492</v>
      </c>
      <c r="U168" s="7" t="s">
        <v>1505</v>
      </c>
    </row>
    <row r="169" spans="1:21" ht="16.5" thickBot="1">
      <c r="A169" s="50" t="s">
        <v>35</v>
      </c>
      <c r="B169" s="51">
        <f t="shared" si="9"/>
        <v>75</v>
      </c>
      <c r="C169" s="51" t="s">
        <v>3</v>
      </c>
      <c r="D169" s="51">
        <f t="shared" si="10"/>
        <v>300</v>
      </c>
      <c r="E169" s="51" t="s">
        <v>3</v>
      </c>
      <c r="F169" s="110">
        <f t="shared" si="11"/>
        <v>900</v>
      </c>
      <c r="G169" s="51" t="s">
        <v>3</v>
      </c>
      <c r="H169" s="48">
        <v>2</v>
      </c>
      <c r="I169" s="49" t="s">
        <v>45</v>
      </c>
      <c r="J169" s="112">
        <v>75</v>
      </c>
      <c r="K169" s="113">
        <v>300</v>
      </c>
      <c r="L169" s="113">
        <v>900</v>
      </c>
      <c r="M169" s="185">
        <v>8.5658642356350008</v>
      </c>
      <c r="N169" s="75">
        <v>217.23747049857604</v>
      </c>
      <c r="O169" s="121">
        <v>13151.931847395415</v>
      </c>
      <c r="P169" s="121">
        <v>15856.592567180965</v>
      </c>
      <c r="Q169" s="120">
        <v>11546.963210503804</v>
      </c>
      <c r="R169" s="314">
        <v>24698.895057899219</v>
      </c>
      <c r="S169" s="315">
        <v>27403.555777684771</v>
      </c>
      <c r="U169" s="7" t="s">
        <v>1506</v>
      </c>
    </row>
    <row r="170" spans="1:21" ht="16.5" thickBot="1">
      <c r="A170" s="50" t="s">
        <v>35</v>
      </c>
      <c r="B170" s="51">
        <f t="shared" si="9"/>
        <v>75</v>
      </c>
      <c r="C170" s="51" t="s">
        <v>3</v>
      </c>
      <c r="D170" s="51">
        <f t="shared" si="10"/>
        <v>300</v>
      </c>
      <c r="E170" s="51" t="s">
        <v>3</v>
      </c>
      <c r="F170" s="110">
        <f t="shared" si="11"/>
        <v>950</v>
      </c>
      <c r="G170" s="51" t="s">
        <v>3</v>
      </c>
      <c r="H170" s="48">
        <v>2</v>
      </c>
      <c r="I170" s="49" t="s">
        <v>45</v>
      </c>
      <c r="J170" s="112">
        <v>75</v>
      </c>
      <c r="K170" s="113">
        <v>300</v>
      </c>
      <c r="L170" s="113">
        <v>950</v>
      </c>
      <c r="M170" s="185">
        <v>8.9954966530149996</v>
      </c>
      <c r="N170" s="75">
        <v>236.98633145299203</v>
      </c>
      <c r="O170" s="121">
        <v>13590.794198115565</v>
      </c>
      <c r="P170" s="121">
        <v>16416.39734160019</v>
      </c>
      <c r="Q170" s="120">
        <v>12257.950156151066</v>
      </c>
      <c r="R170" s="314">
        <v>25848.74435426663</v>
      </c>
      <c r="S170" s="315">
        <v>28674.347497751256</v>
      </c>
      <c r="U170" s="7" t="s">
        <v>1507</v>
      </c>
    </row>
    <row r="171" spans="1:21" ht="16.5" thickBot="1">
      <c r="A171" s="50" t="s">
        <v>35</v>
      </c>
      <c r="B171" s="51">
        <f t="shared" si="9"/>
        <v>75</v>
      </c>
      <c r="C171" s="51" t="s">
        <v>3</v>
      </c>
      <c r="D171" s="51">
        <f t="shared" si="10"/>
        <v>300</v>
      </c>
      <c r="E171" s="51" t="s">
        <v>3</v>
      </c>
      <c r="F171" s="110">
        <f t="shared" si="11"/>
        <v>1000</v>
      </c>
      <c r="G171" s="51" t="s">
        <v>3</v>
      </c>
      <c r="H171" s="48">
        <v>2</v>
      </c>
      <c r="I171" s="49" t="s">
        <v>45</v>
      </c>
      <c r="J171" s="112">
        <v>75</v>
      </c>
      <c r="K171" s="113">
        <v>300</v>
      </c>
      <c r="L171" s="113">
        <v>1000</v>
      </c>
      <c r="M171" s="185">
        <v>9.4080890703950004</v>
      </c>
      <c r="N171" s="75">
        <v>256.73519240740802</v>
      </c>
      <c r="O171" s="121">
        <v>14029.656548835714</v>
      </c>
      <c r="P171" s="121">
        <v>16976.202116019416</v>
      </c>
      <c r="Q171" s="120">
        <v>12738.355464408416</v>
      </c>
      <c r="R171" s="314">
        <v>26768.01201324413</v>
      </c>
      <c r="S171" s="315">
        <v>29714.557580427834</v>
      </c>
      <c r="U171" s="7" t="s">
        <v>1508</v>
      </c>
    </row>
    <row r="172" spans="1:21" ht="16.5" thickBot="1">
      <c r="A172" s="50" t="s">
        <v>35</v>
      </c>
      <c r="B172" s="51">
        <f t="shared" si="9"/>
        <v>75</v>
      </c>
      <c r="C172" s="51" t="s">
        <v>3</v>
      </c>
      <c r="D172" s="51">
        <f t="shared" si="10"/>
        <v>300</v>
      </c>
      <c r="E172" s="51" t="s">
        <v>3</v>
      </c>
      <c r="F172" s="110">
        <f t="shared" si="11"/>
        <v>1050</v>
      </c>
      <c r="G172" s="51" t="s">
        <v>3</v>
      </c>
      <c r="H172" s="48">
        <v>2</v>
      </c>
      <c r="I172" s="49" t="s">
        <v>45</v>
      </c>
      <c r="J172" s="112">
        <v>75</v>
      </c>
      <c r="K172" s="113">
        <v>300</v>
      </c>
      <c r="L172" s="113">
        <v>1050</v>
      </c>
      <c r="M172" s="185">
        <v>9.837721487775001</v>
      </c>
      <c r="N172" s="75">
        <v>276.48405336182401</v>
      </c>
      <c r="O172" s="121">
        <v>14468.518899555866</v>
      </c>
      <c r="P172" s="121">
        <v>17536.006750045279</v>
      </c>
      <c r="Q172" s="120">
        <v>13449.342410055679</v>
      </c>
      <c r="R172" s="314">
        <v>27917.861309611544</v>
      </c>
      <c r="S172" s="315">
        <v>30985.349160100959</v>
      </c>
      <c r="U172" s="7" t="s">
        <v>1509</v>
      </c>
    </row>
    <row r="173" spans="1:21" ht="16.5" thickBot="1">
      <c r="A173" s="47" t="s">
        <v>35</v>
      </c>
      <c r="B173" s="48">
        <f t="shared" si="9"/>
        <v>75</v>
      </c>
      <c r="C173" s="48" t="s">
        <v>3</v>
      </c>
      <c r="D173" s="48">
        <f t="shared" si="10"/>
        <v>300</v>
      </c>
      <c r="E173" s="48" t="s">
        <v>3</v>
      </c>
      <c r="F173" s="110">
        <f t="shared" si="11"/>
        <v>1100</v>
      </c>
      <c r="G173" s="48" t="s">
        <v>3</v>
      </c>
      <c r="H173" s="48">
        <v>2</v>
      </c>
      <c r="I173" s="49" t="s">
        <v>45</v>
      </c>
      <c r="J173" s="112">
        <v>75</v>
      </c>
      <c r="K173" s="113">
        <v>300</v>
      </c>
      <c r="L173" s="113">
        <v>1100</v>
      </c>
      <c r="M173" s="185">
        <v>10.250313905155</v>
      </c>
      <c r="N173" s="75">
        <v>296.23291431624</v>
      </c>
      <c r="O173" s="121">
        <v>14907.381250276017</v>
      </c>
      <c r="P173" s="121">
        <v>18095.811524464501</v>
      </c>
      <c r="Q173" s="120">
        <v>13929.747718313029</v>
      </c>
      <c r="R173" s="314">
        <v>28837.128968589044</v>
      </c>
      <c r="S173" s="315">
        <v>32025.55924277753</v>
      </c>
      <c r="U173" s="7" t="s">
        <v>1510</v>
      </c>
    </row>
    <row r="174" spans="1:21" ht="16.5" thickBot="1">
      <c r="A174" s="50" t="s">
        <v>35</v>
      </c>
      <c r="B174" s="51">
        <f t="shared" si="9"/>
        <v>75</v>
      </c>
      <c r="C174" s="51" t="s">
        <v>3</v>
      </c>
      <c r="D174" s="51">
        <f t="shared" si="10"/>
        <v>300</v>
      </c>
      <c r="E174" s="51" t="s">
        <v>3</v>
      </c>
      <c r="F174" s="110">
        <f t="shared" si="11"/>
        <v>1150</v>
      </c>
      <c r="G174" s="51" t="s">
        <v>3</v>
      </c>
      <c r="H174" s="48">
        <v>2</v>
      </c>
      <c r="I174" s="49" t="s">
        <v>45</v>
      </c>
      <c r="J174" s="112">
        <v>75</v>
      </c>
      <c r="K174" s="113">
        <v>300</v>
      </c>
      <c r="L174" s="113">
        <v>1150</v>
      </c>
      <c r="M174" s="185">
        <v>10.662906322534999</v>
      </c>
      <c r="N174" s="75">
        <v>315.98177527065599</v>
      </c>
      <c r="O174" s="121">
        <v>15346.243600996166</v>
      </c>
      <c r="P174" s="121">
        <v>18655.616298883728</v>
      </c>
      <c r="Q174" s="120">
        <v>14410.152886177015</v>
      </c>
      <c r="R174" s="314">
        <v>29756.396487173181</v>
      </c>
      <c r="S174" s="315">
        <v>33065.769185060744</v>
      </c>
      <c r="U174" s="7" t="s">
        <v>1511</v>
      </c>
    </row>
    <row r="175" spans="1:21" ht="16.5" thickBot="1">
      <c r="A175" s="50" t="s">
        <v>35</v>
      </c>
      <c r="B175" s="51">
        <f t="shared" si="9"/>
        <v>75</v>
      </c>
      <c r="C175" s="51" t="s">
        <v>3</v>
      </c>
      <c r="D175" s="51">
        <f t="shared" si="10"/>
        <v>300</v>
      </c>
      <c r="E175" s="51" t="s">
        <v>3</v>
      </c>
      <c r="F175" s="110">
        <f t="shared" si="11"/>
        <v>1200</v>
      </c>
      <c r="G175" s="51" t="s">
        <v>3</v>
      </c>
      <c r="H175" s="48">
        <v>2</v>
      </c>
      <c r="I175" s="49" t="s">
        <v>45</v>
      </c>
      <c r="J175" s="112">
        <v>75</v>
      </c>
      <c r="K175" s="113">
        <v>300</v>
      </c>
      <c r="L175" s="113">
        <v>1200</v>
      </c>
      <c r="M175" s="185">
        <v>11.131788739915001</v>
      </c>
      <c r="N175" s="75">
        <v>335.73063622507203</v>
      </c>
      <c r="O175" s="121">
        <v>15830.97779819284</v>
      </c>
      <c r="P175" s="121">
        <v>19259.894601888976</v>
      </c>
      <c r="Q175" s="120">
        <v>15121.139831824277</v>
      </c>
      <c r="R175" s="314">
        <v>30952.117630017117</v>
      </c>
      <c r="S175" s="315">
        <v>34381.034433713256</v>
      </c>
      <c r="U175" s="7" t="s">
        <v>1512</v>
      </c>
    </row>
    <row r="176" spans="1:21" ht="16.5" thickBot="1">
      <c r="A176" s="50" t="s">
        <v>35</v>
      </c>
      <c r="B176" s="51">
        <f t="shared" si="9"/>
        <v>75</v>
      </c>
      <c r="C176" s="51" t="s">
        <v>3</v>
      </c>
      <c r="D176" s="51">
        <f t="shared" si="10"/>
        <v>300</v>
      </c>
      <c r="E176" s="51" t="s">
        <v>3</v>
      </c>
      <c r="F176" s="110">
        <f t="shared" si="11"/>
        <v>1250</v>
      </c>
      <c r="G176" s="51" t="s">
        <v>3</v>
      </c>
      <c r="H176" s="48">
        <v>2</v>
      </c>
      <c r="I176" s="49" t="s">
        <v>45</v>
      </c>
      <c r="J176" s="112">
        <v>75</v>
      </c>
      <c r="K176" s="113">
        <v>300</v>
      </c>
      <c r="L176" s="113">
        <v>1250</v>
      </c>
      <c r="M176" s="185">
        <v>11.544381157295</v>
      </c>
      <c r="N176" s="75">
        <v>355.47949717948808</v>
      </c>
      <c r="O176" s="121">
        <v>16269.84014891299</v>
      </c>
      <c r="P176" s="121">
        <v>19819.699235914843</v>
      </c>
      <c r="Q176" s="120">
        <v>15601.545140081627</v>
      </c>
      <c r="R176" s="314">
        <v>31871.385288994617</v>
      </c>
      <c r="S176" s="315">
        <v>35421.244375996466</v>
      </c>
      <c r="U176" s="7" t="s">
        <v>1513</v>
      </c>
    </row>
    <row r="177" spans="1:21" ht="16.5" thickBot="1">
      <c r="A177" s="50" t="s">
        <v>35</v>
      </c>
      <c r="B177" s="51">
        <f t="shared" si="9"/>
        <v>75</v>
      </c>
      <c r="C177" s="51" t="s">
        <v>3</v>
      </c>
      <c r="D177" s="51">
        <f t="shared" si="10"/>
        <v>300</v>
      </c>
      <c r="E177" s="51" t="s">
        <v>3</v>
      </c>
      <c r="F177" s="110">
        <f t="shared" si="11"/>
        <v>1300</v>
      </c>
      <c r="G177" s="51" t="s">
        <v>3</v>
      </c>
      <c r="H177" s="48">
        <v>2</v>
      </c>
      <c r="I177" s="49" t="s">
        <v>45</v>
      </c>
      <c r="J177" s="112">
        <v>75</v>
      </c>
      <c r="K177" s="113">
        <v>300</v>
      </c>
      <c r="L177" s="113">
        <v>1300</v>
      </c>
      <c r="M177" s="185">
        <v>11.974013574675002</v>
      </c>
      <c r="N177" s="75">
        <v>375.22835813390401</v>
      </c>
      <c r="O177" s="121">
        <v>16708.702499633142</v>
      </c>
      <c r="P177" s="121">
        <v>20379.504010334069</v>
      </c>
      <c r="Q177" s="120">
        <v>16312.53208572889</v>
      </c>
      <c r="R177" s="314">
        <v>33021.234585362035</v>
      </c>
      <c r="S177" s="315">
        <v>36692.036096062962</v>
      </c>
      <c r="U177" s="7" t="s">
        <v>1514</v>
      </c>
    </row>
    <row r="178" spans="1:21" ht="16.5" thickBot="1">
      <c r="A178" s="50" t="s">
        <v>35</v>
      </c>
      <c r="B178" s="51">
        <f t="shared" si="9"/>
        <v>75</v>
      </c>
      <c r="C178" s="51" t="s">
        <v>3</v>
      </c>
      <c r="D178" s="51">
        <f t="shared" si="10"/>
        <v>300</v>
      </c>
      <c r="E178" s="51" t="s">
        <v>3</v>
      </c>
      <c r="F178" s="110">
        <f t="shared" si="11"/>
        <v>1350</v>
      </c>
      <c r="G178" s="51" t="s">
        <v>3</v>
      </c>
      <c r="H178" s="48">
        <v>2</v>
      </c>
      <c r="I178" s="49" t="s">
        <v>45</v>
      </c>
      <c r="J178" s="112">
        <v>75</v>
      </c>
      <c r="K178" s="113">
        <v>300</v>
      </c>
      <c r="L178" s="113">
        <v>1350</v>
      </c>
      <c r="M178" s="185">
        <v>12.386605992054999</v>
      </c>
      <c r="N178" s="75">
        <v>394.97721908832006</v>
      </c>
      <c r="O178" s="121">
        <v>17147.56485035329</v>
      </c>
      <c r="P178" s="121">
        <v>20939.308784753292</v>
      </c>
      <c r="Q178" s="120">
        <v>16792.937253592878</v>
      </c>
      <c r="R178" s="314">
        <v>33940.502103946172</v>
      </c>
      <c r="S178" s="315">
        <v>37732.246038346173</v>
      </c>
      <c r="U178" s="7" t="s">
        <v>1515</v>
      </c>
    </row>
    <row r="179" spans="1:21" ht="16.5" thickBot="1">
      <c r="A179" s="50" t="s">
        <v>35</v>
      </c>
      <c r="B179" s="51">
        <f t="shared" si="9"/>
        <v>75</v>
      </c>
      <c r="C179" s="51" t="s">
        <v>3</v>
      </c>
      <c r="D179" s="51">
        <f t="shared" si="10"/>
        <v>300</v>
      </c>
      <c r="E179" s="51" t="s">
        <v>3</v>
      </c>
      <c r="F179" s="110">
        <f t="shared" si="11"/>
        <v>1400</v>
      </c>
      <c r="G179" s="51" t="s">
        <v>3</v>
      </c>
      <c r="H179" s="48">
        <v>2</v>
      </c>
      <c r="I179" s="49" t="s">
        <v>45</v>
      </c>
      <c r="J179" s="112">
        <v>75</v>
      </c>
      <c r="K179" s="113">
        <v>300</v>
      </c>
      <c r="L179" s="113">
        <v>1400</v>
      </c>
      <c r="M179" s="185">
        <v>12.816238409435002</v>
      </c>
      <c r="N179" s="75">
        <v>414.72608004273599</v>
      </c>
      <c r="O179" s="121">
        <v>17586.427201073442</v>
      </c>
      <c r="P179" s="121">
        <v>21499.113418779154</v>
      </c>
      <c r="Q179" s="120">
        <v>17503.924339633504</v>
      </c>
      <c r="R179" s="314">
        <v>35090.35154070695</v>
      </c>
      <c r="S179" s="315">
        <v>39003.037758412655</v>
      </c>
      <c r="U179" s="7" t="s">
        <v>1516</v>
      </c>
    </row>
    <row r="180" spans="1:21" ht="16.5" thickBot="1">
      <c r="A180" s="50" t="s">
        <v>35</v>
      </c>
      <c r="B180" s="51">
        <f t="shared" si="9"/>
        <v>75</v>
      </c>
      <c r="C180" s="51" t="s">
        <v>3</v>
      </c>
      <c r="D180" s="51">
        <f t="shared" si="10"/>
        <v>300</v>
      </c>
      <c r="E180" s="51" t="s">
        <v>3</v>
      </c>
      <c r="F180" s="110">
        <f t="shared" si="11"/>
        <v>1450</v>
      </c>
      <c r="G180" s="51" t="s">
        <v>3</v>
      </c>
      <c r="H180" s="48">
        <v>2</v>
      </c>
      <c r="I180" s="49" t="s">
        <v>45</v>
      </c>
      <c r="J180" s="112">
        <v>75</v>
      </c>
      <c r="K180" s="113">
        <v>300</v>
      </c>
      <c r="L180" s="113">
        <v>1450</v>
      </c>
      <c r="M180" s="185">
        <v>13.228830826815003</v>
      </c>
      <c r="N180" s="75">
        <v>434.47494099715209</v>
      </c>
      <c r="O180" s="121">
        <v>18025.28955179359</v>
      </c>
      <c r="P180" s="121">
        <v>22058.91819319838</v>
      </c>
      <c r="Q180" s="120">
        <v>17984.32950749735</v>
      </c>
      <c r="R180" s="314">
        <v>36009.619059290941</v>
      </c>
      <c r="S180" s="315">
        <v>40043.247700695734</v>
      </c>
      <c r="U180" s="7" t="s">
        <v>1517</v>
      </c>
    </row>
    <row r="181" spans="1:21" ht="16.5" thickBot="1">
      <c r="A181" s="50" t="s">
        <v>35</v>
      </c>
      <c r="B181" s="51">
        <f t="shared" si="9"/>
        <v>75</v>
      </c>
      <c r="C181" s="51" t="s">
        <v>3</v>
      </c>
      <c r="D181" s="51">
        <f t="shared" si="10"/>
        <v>300</v>
      </c>
      <c r="E181" s="51" t="s">
        <v>3</v>
      </c>
      <c r="F181" s="110">
        <f t="shared" si="11"/>
        <v>1500</v>
      </c>
      <c r="G181" s="51" t="s">
        <v>3</v>
      </c>
      <c r="H181" s="48">
        <v>2</v>
      </c>
      <c r="I181" s="49" t="s">
        <v>45</v>
      </c>
      <c r="J181" s="112">
        <v>75</v>
      </c>
      <c r="K181" s="113">
        <v>300</v>
      </c>
      <c r="L181" s="113">
        <v>1500</v>
      </c>
      <c r="M181" s="185">
        <v>13.803028136995</v>
      </c>
      <c r="N181" s="75">
        <v>454.22380195156802</v>
      </c>
      <c r="O181" s="121">
        <v>19142.799237109128</v>
      </c>
      <c r="P181" s="121">
        <v>23213.148604835969</v>
      </c>
      <c r="Q181" s="120">
        <v>18695.316593538118</v>
      </c>
      <c r="R181" s="314">
        <v>37838.11583064725</v>
      </c>
      <c r="S181" s="315">
        <v>41908.465198374091</v>
      </c>
      <c r="U181" s="7" t="s">
        <v>1518</v>
      </c>
    </row>
    <row r="182" spans="1:21" ht="16.5" thickBot="1">
      <c r="A182" s="50" t="s">
        <v>35</v>
      </c>
      <c r="B182" s="51">
        <f t="shared" si="9"/>
        <v>75</v>
      </c>
      <c r="C182" s="51" t="s">
        <v>3</v>
      </c>
      <c r="D182" s="51">
        <f t="shared" si="10"/>
        <v>300</v>
      </c>
      <c r="E182" s="51" t="s">
        <v>3</v>
      </c>
      <c r="F182" s="110">
        <f t="shared" si="11"/>
        <v>1550</v>
      </c>
      <c r="G182" s="51" t="s">
        <v>3</v>
      </c>
      <c r="H182" s="48">
        <v>2</v>
      </c>
      <c r="I182" s="49" t="s">
        <v>45</v>
      </c>
      <c r="J182" s="112">
        <v>75</v>
      </c>
      <c r="K182" s="113">
        <v>300</v>
      </c>
      <c r="L182" s="113">
        <v>1550</v>
      </c>
      <c r="M182" s="185">
        <v>14.215620554375</v>
      </c>
      <c r="N182" s="75">
        <v>473.97266290598407</v>
      </c>
      <c r="O182" s="121">
        <v>19581.66158782928</v>
      </c>
      <c r="P182" s="121">
        <v>23772.953379255196</v>
      </c>
      <c r="Q182" s="120">
        <v>19175.721761402103</v>
      </c>
      <c r="R182" s="314">
        <v>38757.383349231386</v>
      </c>
      <c r="S182" s="315">
        <v>42948.675140657302</v>
      </c>
      <c r="U182" s="7" t="s">
        <v>1519</v>
      </c>
    </row>
    <row r="183" spans="1:21" ht="16.5" thickBot="1">
      <c r="A183" s="47" t="s">
        <v>35</v>
      </c>
      <c r="B183" s="48">
        <f t="shared" si="9"/>
        <v>75</v>
      </c>
      <c r="C183" s="48" t="s">
        <v>3</v>
      </c>
      <c r="D183" s="48">
        <f t="shared" si="10"/>
        <v>300</v>
      </c>
      <c r="E183" s="48" t="s">
        <v>3</v>
      </c>
      <c r="F183" s="110">
        <f t="shared" si="11"/>
        <v>1600</v>
      </c>
      <c r="G183" s="48" t="s">
        <v>3</v>
      </c>
      <c r="H183" s="48">
        <v>2</v>
      </c>
      <c r="I183" s="49" t="s">
        <v>45</v>
      </c>
      <c r="J183" s="112">
        <v>75</v>
      </c>
      <c r="K183" s="113">
        <v>300</v>
      </c>
      <c r="L183" s="113">
        <v>1600</v>
      </c>
      <c r="M183" s="185">
        <v>14.628212971755</v>
      </c>
      <c r="N183" s="75">
        <v>493.7215238604</v>
      </c>
      <c r="O183" s="121">
        <v>20020.523938549428</v>
      </c>
      <c r="P183" s="121">
        <v>24332.758153674418</v>
      </c>
      <c r="Q183" s="120">
        <v>19656.126929266091</v>
      </c>
      <c r="R183" s="314">
        <v>39676.650867815522</v>
      </c>
      <c r="S183" s="315">
        <v>43988.885082940513</v>
      </c>
      <c r="U183" s="7" t="s">
        <v>1520</v>
      </c>
    </row>
    <row r="184" spans="1:21" ht="16.5" thickBot="1">
      <c r="A184" s="50" t="s">
        <v>35</v>
      </c>
      <c r="B184" s="51">
        <f t="shared" si="9"/>
        <v>75</v>
      </c>
      <c r="C184" s="51" t="s">
        <v>3</v>
      </c>
      <c r="D184" s="51">
        <f t="shared" si="10"/>
        <v>300</v>
      </c>
      <c r="E184" s="51" t="s">
        <v>3</v>
      </c>
      <c r="F184" s="110">
        <f t="shared" si="11"/>
        <v>1650</v>
      </c>
      <c r="G184" s="51" t="s">
        <v>3</v>
      </c>
      <c r="H184" s="48">
        <v>2</v>
      </c>
      <c r="I184" s="49" t="s">
        <v>45</v>
      </c>
      <c r="J184" s="112">
        <v>75</v>
      </c>
      <c r="K184" s="113">
        <v>300</v>
      </c>
      <c r="L184" s="113">
        <v>1650</v>
      </c>
      <c r="M184" s="185">
        <v>15.057845389135002</v>
      </c>
      <c r="N184" s="75">
        <v>513.47038481481604</v>
      </c>
      <c r="O184" s="121">
        <v>20459.38628926958</v>
      </c>
      <c r="P184" s="121">
        <v>24892.562787700281</v>
      </c>
      <c r="Q184" s="120">
        <v>20367.114015306717</v>
      </c>
      <c r="R184" s="314">
        <v>40826.500304576301</v>
      </c>
      <c r="S184" s="315">
        <v>45259.676803006994</v>
      </c>
      <c r="U184" s="7" t="s">
        <v>1521</v>
      </c>
    </row>
    <row r="185" spans="1:21" ht="16.5" thickBot="1">
      <c r="A185" s="50" t="s">
        <v>35</v>
      </c>
      <c r="B185" s="51">
        <f t="shared" si="9"/>
        <v>75</v>
      </c>
      <c r="C185" s="51" t="s">
        <v>3</v>
      </c>
      <c r="D185" s="51">
        <f t="shared" si="10"/>
        <v>300</v>
      </c>
      <c r="E185" s="51" t="s">
        <v>3</v>
      </c>
      <c r="F185" s="110">
        <f t="shared" si="11"/>
        <v>1700</v>
      </c>
      <c r="G185" s="51" t="s">
        <v>3</v>
      </c>
      <c r="H185" s="48">
        <v>2</v>
      </c>
      <c r="I185" s="49" t="s">
        <v>45</v>
      </c>
      <c r="J185" s="112">
        <v>75</v>
      </c>
      <c r="K185" s="113">
        <v>300</v>
      </c>
      <c r="L185" s="113">
        <v>1700</v>
      </c>
      <c r="M185" s="185">
        <v>15.470437806515001</v>
      </c>
      <c r="N185" s="75">
        <v>533.21924576923209</v>
      </c>
      <c r="O185" s="121">
        <v>20898.248639989728</v>
      </c>
      <c r="P185" s="121">
        <v>25452.367562119507</v>
      </c>
      <c r="Q185" s="120">
        <v>20847.519183170705</v>
      </c>
      <c r="R185" s="314">
        <v>41745.767823160437</v>
      </c>
      <c r="S185" s="315">
        <v>46299.886745290212</v>
      </c>
      <c r="U185" s="7" t="s">
        <v>1522</v>
      </c>
    </row>
    <row r="186" spans="1:21" ht="16.5" thickBot="1">
      <c r="A186" s="50" t="s">
        <v>35</v>
      </c>
      <c r="B186" s="51">
        <f t="shared" si="9"/>
        <v>75</v>
      </c>
      <c r="C186" s="51" t="s">
        <v>3</v>
      </c>
      <c r="D186" s="51">
        <f t="shared" si="10"/>
        <v>300</v>
      </c>
      <c r="E186" s="51" t="s">
        <v>3</v>
      </c>
      <c r="F186" s="110">
        <f t="shared" si="11"/>
        <v>1750</v>
      </c>
      <c r="G186" s="51" t="s">
        <v>3</v>
      </c>
      <c r="H186" s="48">
        <v>2</v>
      </c>
      <c r="I186" s="49" t="s">
        <v>45</v>
      </c>
      <c r="J186" s="112">
        <v>75</v>
      </c>
      <c r="K186" s="113">
        <v>300</v>
      </c>
      <c r="L186" s="113">
        <v>1750</v>
      </c>
      <c r="M186" s="185">
        <v>15.900070223895</v>
      </c>
      <c r="N186" s="75">
        <v>552.96810672364802</v>
      </c>
      <c r="O186" s="121">
        <v>21337.11099070988</v>
      </c>
      <c r="P186" s="121">
        <v>26012.17233653873</v>
      </c>
      <c r="Q186" s="120">
        <v>21558.506269211328</v>
      </c>
      <c r="R186" s="314">
        <v>42895.617259921208</v>
      </c>
      <c r="S186" s="315">
        <v>47570.678605750058</v>
      </c>
      <c r="U186" s="7" t="s">
        <v>1523</v>
      </c>
    </row>
    <row r="187" spans="1:21" ht="16.5" thickBot="1">
      <c r="A187" s="50" t="s">
        <v>35</v>
      </c>
      <c r="B187" s="51">
        <f t="shared" si="9"/>
        <v>75</v>
      </c>
      <c r="C187" s="51" t="s">
        <v>3</v>
      </c>
      <c r="D187" s="51">
        <f t="shared" si="10"/>
        <v>300</v>
      </c>
      <c r="E187" s="51" t="s">
        <v>3</v>
      </c>
      <c r="F187" s="110">
        <f t="shared" si="11"/>
        <v>1800</v>
      </c>
      <c r="G187" s="51" t="s">
        <v>3</v>
      </c>
      <c r="H187" s="48">
        <v>2</v>
      </c>
      <c r="I187" s="49" t="s">
        <v>45</v>
      </c>
      <c r="J187" s="112">
        <v>75</v>
      </c>
      <c r="K187" s="113">
        <v>300</v>
      </c>
      <c r="L187" s="113">
        <v>1800</v>
      </c>
      <c r="M187" s="185">
        <v>16.312662641275001</v>
      </c>
      <c r="N187" s="75">
        <v>572.71696767806407</v>
      </c>
      <c r="O187" s="121">
        <v>21775.973341430028</v>
      </c>
      <c r="P187" s="121">
        <v>26571.976970564592</v>
      </c>
      <c r="Q187" s="120">
        <v>22038.911437075316</v>
      </c>
      <c r="R187" s="314">
        <v>43814.884778505344</v>
      </c>
      <c r="S187" s="315">
        <v>48610.888407639912</v>
      </c>
      <c r="U187" s="7" t="s">
        <v>1524</v>
      </c>
    </row>
    <row r="188" spans="1:21" ht="16.5" thickBot="1">
      <c r="A188" s="50" t="s">
        <v>35</v>
      </c>
      <c r="B188" s="51">
        <f t="shared" si="9"/>
        <v>75</v>
      </c>
      <c r="C188" s="51" t="s">
        <v>3</v>
      </c>
      <c r="D188" s="51">
        <f t="shared" si="10"/>
        <v>300</v>
      </c>
      <c r="E188" s="51" t="s">
        <v>3</v>
      </c>
      <c r="F188" s="110">
        <f t="shared" si="11"/>
        <v>1850</v>
      </c>
      <c r="G188" s="51" t="s">
        <v>3</v>
      </c>
      <c r="H188" s="48">
        <v>2</v>
      </c>
      <c r="I188" s="49" t="s">
        <v>45</v>
      </c>
      <c r="J188" s="112">
        <v>75</v>
      </c>
      <c r="K188" s="113">
        <v>300</v>
      </c>
      <c r="L188" s="113">
        <v>1850</v>
      </c>
      <c r="M188" s="185">
        <v>16.742295058654999</v>
      </c>
      <c r="N188" s="75">
        <v>592.46582863248</v>
      </c>
      <c r="O188" s="121">
        <v>22214.83569215018</v>
      </c>
      <c r="P188" s="121">
        <v>27131.781744983818</v>
      </c>
      <c r="Q188" s="120">
        <v>22749.898382722578</v>
      </c>
      <c r="R188" s="314">
        <v>44964.734074872758</v>
      </c>
      <c r="S188" s="315">
        <v>49881.680127706393</v>
      </c>
      <c r="U188" s="7" t="s">
        <v>1525</v>
      </c>
    </row>
    <row r="189" spans="1:21" ht="16.5" thickBot="1">
      <c r="A189" s="50" t="s">
        <v>35</v>
      </c>
      <c r="B189" s="51">
        <f t="shared" si="9"/>
        <v>75</v>
      </c>
      <c r="C189" s="51" t="s">
        <v>3</v>
      </c>
      <c r="D189" s="51">
        <f t="shared" si="10"/>
        <v>300</v>
      </c>
      <c r="E189" s="51" t="s">
        <v>3</v>
      </c>
      <c r="F189" s="110">
        <f t="shared" si="11"/>
        <v>1900</v>
      </c>
      <c r="G189" s="51" t="s">
        <v>3</v>
      </c>
      <c r="H189" s="48">
        <v>2</v>
      </c>
      <c r="I189" s="49" t="s">
        <v>45</v>
      </c>
      <c r="J189" s="112">
        <v>75</v>
      </c>
      <c r="K189" s="113">
        <v>300</v>
      </c>
      <c r="L189" s="113">
        <v>1900</v>
      </c>
      <c r="M189" s="185">
        <v>17.154887476035</v>
      </c>
      <c r="N189" s="75">
        <v>612.21468958689604</v>
      </c>
      <c r="O189" s="121">
        <v>22653.698042870332</v>
      </c>
      <c r="P189" s="121">
        <v>27691.586519403045</v>
      </c>
      <c r="Q189" s="120">
        <v>23230.30369097993</v>
      </c>
      <c r="R189" s="314">
        <v>45884.001733850266</v>
      </c>
      <c r="S189" s="315">
        <v>50921.890210382975</v>
      </c>
      <c r="U189" s="7" t="s">
        <v>1526</v>
      </c>
    </row>
    <row r="190" spans="1:21" ht="16.5" thickBot="1">
      <c r="A190" s="50" t="s">
        <v>35</v>
      </c>
      <c r="B190" s="51">
        <f t="shared" si="9"/>
        <v>75</v>
      </c>
      <c r="C190" s="51" t="s">
        <v>3</v>
      </c>
      <c r="D190" s="51">
        <f t="shared" si="10"/>
        <v>300</v>
      </c>
      <c r="E190" s="51" t="s">
        <v>3</v>
      </c>
      <c r="F190" s="110">
        <f t="shared" si="11"/>
        <v>1950</v>
      </c>
      <c r="G190" s="51" t="s">
        <v>3</v>
      </c>
      <c r="H190" s="48">
        <v>2</v>
      </c>
      <c r="I190" s="49" t="s">
        <v>45</v>
      </c>
      <c r="J190" s="112">
        <v>75</v>
      </c>
      <c r="K190" s="113">
        <v>300</v>
      </c>
      <c r="L190" s="113">
        <v>1950</v>
      </c>
      <c r="M190" s="185">
        <v>17.606729893415</v>
      </c>
      <c r="N190" s="75">
        <v>631.96355054131197</v>
      </c>
      <c r="O190" s="121">
        <v>23138.432240067006</v>
      </c>
      <c r="P190" s="121">
        <v>28295.864822408297</v>
      </c>
      <c r="Q190" s="120">
        <v>23710.708858843918</v>
      </c>
      <c r="R190" s="314">
        <v>46849.141098910928</v>
      </c>
      <c r="S190" s="315">
        <v>52006.573681252215</v>
      </c>
      <c r="U190" s="7" t="s">
        <v>1527</v>
      </c>
    </row>
    <row r="191" spans="1:21" ht="16.5" thickBot="1">
      <c r="A191" s="50" t="s">
        <v>35</v>
      </c>
      <c r="B191" s="51">
        <f t="shared" si="9"/>
        <v>75</v>
      </c>
      <c r="C191" s="51" t="s">
        <v>3</v>
      </c>
      <c r="D191" s="51">
        <f t="shared" si="10"/>
        <v>300</v>
      </c>
      <c r="E191" s="51" t="s">
        <v>3</v>
      </c>
      <c r="F191" s="110">
        <f t="shared" si="11"/>
        <v>2000</v>
      </c>
      <c r="G191" s="51" t="s">
        <v>3</v>
      </c>
      <c r="H191" s="48">
        <v>2</v>
      </c>
      <c r="I191" s="49" t="s">
        <v>45</v>
      </c>
      <c r="J191" s="112">
        <v>75</v>
      </c>
      <c r="K191" s="113">
        <v>300</v>
      </c>
      <c r="L191" s="113">
        <v>2000</v>
      </c>
      <c r="M191" s="185">
        <v>18.127924710795</v>
      </c>
      <c r="N191" s="75">
        <v>651.71241149572802</v>
      </c>
      <c r="O191" s="121">
        <v>23807.837620002381</v>
      </c>
      <c r="P191" s="121">
        <v>29156.980006311307</v>
      </c>
      <c r="Q191" s="120">
        <v>24421.695804491177</v>
      </c>
      <c r="R191" s="314">
        <v>48229.533424493558</v>
      </c>
      <c r="S191" s="315">
        <v>53578.675810802481</v>
      </c>
      <c r="U191" s="7" t="s">
        <v>1528</v>
      </c>
    </row>
    <row r="192" spans="1:21" ht="16.5" thickBot="1">
      <c r="A192" s="50" t="s">
        <v>35</v>
      </c>
      <c r="B192" s="51">
        <f t="shared" si="9"/>
        <v>75</v>
      </c>
      <c r="C192" s="51" t="s">
        <v>3</v>
      </c>
      <c r="D192" s="51">
        <f t="shared" si="10"/>
        <v>300</v>
      </c>
      <c r="E192" s="51" t="s">
        <v>3</v>
      </c>
      <c r="F192" s="110">
        <f t="shared" si="11"/>
        <v>2050</v>
      </c>
      <c r="G192" s="51" t="s">
        <v>3</v>
      </c>
      <c r="H192" s="48">
        <v>2</v>
      </c>
      <c r="I192" s="49" t="s">
        <v>45</v>
      </c>
      <c r="J192" s="112">
        <v>75</v>
      </c>
      <c r="K192" s="113">
        <v>300</v>
      </c>
      <c r="L192" s="113">
        <v>2050</v>
      </c>
      <c r="M192" s="185">
        <v>18.540517128175001</v>
      </c>
      <c r="N192" s="75">
        <v>671.46127245014407</v>
      </c>
      <c r="O192" s="121">
        <v>24246.69997072253</v>
      </c>
      <c r="P192" s="121">
        <v>29716.784780730533</v>
      </c>
      <c r="Q192" s="120">
        <v>24902.101112748529</v>
      </c>
      <c r="R192" s="314">
        <v>49148.801083471059</v>
      </c>
      <c r="S192" s="315">
        <v>54618.885893479062</v>
      </c>
      <c r="U192" s="7" t="s">
        <v>1529</v>
      </c>
    </row>
    <row r="193" spans="1:21" ht="16.5" thickBot="1">
      <c r="A193" s="47" t="s">
        <v>35</v>
      </c>
      <c r="B193" s="48">
        <f t="shared" si="9"/>
        <v>75</v>
      </c>
      <c r="C193" s="48" t="s">
        <v>3</v>
      </c>
      <c r="D193" s="48">
        <f t="shared" si="10"/>
        <v>300</v>
      </c>
      <c r="E193" s="48" t="s">
        <v>3</v>
      </c>
      <c r="F193" s="110">
        <f t="shared" si="11"/>
        <v>2100</v>
      </c>
      <c r="G193" s="48" t="s">
        <v>3</v>
      </c>
      <c r="H193" s="48">
        <v>2</v>
      </c>
      <c r="I193" s="49" t="s">
        <v>45</v>
      </c>
      <c r="J193" s="112">
        <v>75</v>
      </c>
      <c r="K193" s="113">
        <v>300</v>
      </c>
      <c r="L193" s="113">
        <v>2100</v>
      </c>
      <c r="M193" s="185">
        <v>18.970149545555</v>
      </c>
      <c r="N193" s="75">
        <v>691.21013340456</v>
      </c>
      <c r="O193" s="121">
        <v>24685.562321442678</v>
      </c>
      <c r="P193" s="121">
        <v>30276.58955514976</v>
      </c>
      <c r="Q193" s="120">
        <v>25613.088058395791</v>
      </c>
      <c r="R193" s="314">
        <v>50298.650379838466</v>
      </c>
      <c r="S193" s="315">
        <v>55889.677613545551</v>
      </c>
      <c r="U193" s="7" t="s">
        <v>1530</v>
      </c>
    </row>
    <row r="194" spans="1:21" ht="16.5" thickBot="1">
      <c r="A194" s="50" t="s">
        <v>35</v>
      </c>
      <c r="B194" s="51">
        <f t="shared" si="9"/>
        <v>75</v>
      </c>
      <c r="C194" s="51" t="s">
        <v>3</v>
      </c>
      <c r="D194" s="51">
        <f t="shared" si="10"/>
        <v>300</v>
      </c>
      <c r="E194" s="51" t="s">
        <v>3</v>
      </c>
      <c r="F194" s="110">
        <f t="shared" si="11"/>
        <v>2150</v>
      </c>
      <c r="G194" s="51" t="s">
        <v>3</v>
      </c>
      <c r="H194" s="48">
        <v>2</v>
      </c>
      <c r="I194" s="49" t="s">
        <v>45</v>
      </c>
      <c r="J194" s="112">
        <v>75</v>
      </c>
      <c r="K194" s="113">
        <v>300</v>
      </c>
      <c r="L194" s="113">
        <v>2150</v>
      </c>
      <c r="M194" s="185">
        <v>19.382741962935</v>
      </c>
      <c r="N194" s="75">
        <v>710.95899435897616</v>
      </c>
      <c r="O194" s="121">
        <v>25124.424672162833</v>
      </c>
      <c r="P194" s="121">
        <v>30836.394189175619</v>
      </c>
      <c r="Q194" s="120">
        <v>26093.493366653143</v>
      </c>
      <c r="R194" s="314">
        <v>51217.918038815973</v>
      </c>
      <c r="S194" s="315">
        <v>56929.887555828762</v>
      </c>
      <c r="U194" s="7" t="s">
        <v>1531</v>
      </c>
    </row>
    <row r="195" spans="1:21" ht="16.5" thickBot="1">
      <c r="A195" s="50" t="s">
        <v>35</v>
      </c>
      <c r="B195" s="51">
        <f t="shared" si="9"/>
        <v>75</v>
      </c>
      <c r="C195" s="51" t="s">
        <v>3</v>
      </c>
      <c r="D195" s="51">
        <f t="shared" si="10"/>
        <v>300</v>
      </c>
      <c r="E195" s="51" t="s">
        <v>3</v>
      </c>
      <c r="F195" s="110">
        <f t="shared" si="11"/>
        <v>2200</v>
      </c>
      <c r="G195" s="51" t="s">
        <v>3</v>
      </c>
      <c r="H195" s="48">
        <v>2</v>
      </c>
      <c r="I195" s="49" t="s">
        <v>45</v>
      </c>
      <c r="J195" s="112">
        <v>75</v>
      </c>
      <c r="K195" s="113">
        <v>300</v>
      </c>
      <c r="L195" s="113">
        <v>2200</v>
      </c>
      <c r="M195" s="185">
        <v>19.812374380314999</v>
      </c>
      <c r="N195" s="75">
        <v>730.70785531339209</v>
      </c>
      <c r="O195" s="121">
        <v>25563.287022882982</v>
      </c>
      <c r="P195" s="121">
        <v>31396.198963594845</v>
      </c>
      <c r="Q195" s="120">
        <v>26804.480312300402</v>
      </c>
      <c r="R195" s="314">
        <v>52367.76733518338</v>
      </c>
      <c r="S195" s="315">
        <v>58200.679275895251</v>
      </c>
      <c r="U195" s="7" t="s">
        <v>1532</v>
      </c>
    </row>
    <row r="196" spans="1:21" ht="16.5" thickBot="1">
      <c r="A196" s="50" t="s">
        <v>35</v>
      </c>
      <c r="B196" s="51">
        <f t="shared" si="9"/>
        <v>75</v>
      </c>
      <c r="C196" s="51" t="s">
        <v>3</v>
      </c>
      <c r="D196" s="51">
        <f t="shared" si="10"/>
        <v>300</v>
      </c>
      <c r="E196" s="51" t="s">
        <v>3</v>
      </c>
      <c r="F196" s="110">
        <f t="shared" si="11"/>
        <v>2250</v>
      </c>
      <c r="G196" s="51" t="s">
        <v>3</v>
      </c>
      <c r="H196" s="48">
        <v>2</v>
      </c>
      <c r="I196" s="49" t="s">
        <v>45</v>
      </c>
      <c r="J196" s="112">
        <v>75</v>
      </c>
      <c r="K196" s="113">
        <v>300</v>
      </c>
      <c r="L196" s="113">
        <v>2250</v>
      </c>
      <c r="M196" s="185">
        <v>20.224966797695</v>
      </c>
      <c r="N196" s="75">
        <v>750.45671626780802</v>
      </c>
      <c r="O196" s="121">
        <v>26002.14937360313</v>
      </c>
      <c r="P196" s="121">
        <v>31956.003597620707</v>
      </c>
      <c r="Q196" s="120">
        <v>27284.885480164394</v>
      </c>
      <c r="R196" s="314">
        <v>53287.034853767524</v>
      </c>
      <c r="S196" s="315">
        <v>59240.889077785105</v>
      </c>
      <c r="U196" s="7" t="s">
        <v>1533</v>
      </c>
    </row>
    <row r="197" spans="1:21" ht="16.5" thickBot="1">
      <c r="A197" s="50" t="s">
        <v>35</v>
      </c>
      <c r="B197" s="51">
        <f t="shared" si="9"/>
        <v>75</v>
      </c>
      <c r="C197" s="51" t="s">
        <v>3</v>
      </c>
      <c r="D197" s="51">
        <f t="shared" si="10"/>
        <v>300</v>
      </c>
      <c r="E197" s="51" t="s">
        <v>3</v>
      </c>
      <c r="F197" s="110">
        <f t="shared" si="11"/>
        <v>2300</v>
      </c>
      <c r="G197" s="51" t="s">
        <v>3</v>
      </c>
      <c r="H197" s="48">
        <v>2</v>
      </c>
      <c r="I197" s="49" t="s">
        <v>45</v>
      </c>
      <c r="J197" s="112">
        <v>75</v>
      </c>
      <c r="K197" s="113">
        <v>300</v>
      </c>
      <c r="L197" s="113">
        <v>2300</v>
      </c>
      <c r="M197" s="185">
        <v>20.637559215075001</v>
      </c>
      <c r="N197" s="75">
        <v>770.20557722222406</v>
      </c>
      <c r="O197" s="121">
        <v>26441.011724323278</v>
      </c>
      <c r="P197" s="121">
        <v>32515.80837203993</v>
      </c>
      <c r="Q197" s="120">
        <v>27765.290788421746</v>
      </c>
      <c r="R197" s="314">
        <v>54206.302512745024</v>
      </c>
      <c r="S197" s="315">
        <v>60281.099160461672</v>
      </c>
      <c r="U197" s="7" t="s">
        <v>1534</v>
      </c>
    </row>
    <row r="198" spans="1:21" ht="16.5" thickBot="1">
      <c r="A198" s="50" t="s">
        <v>35</v>
      </c>
      <c r="B198" s="51">
        <f t="shared" si="9"/>
        <v>75</v>
      </c>
      <c r="C198" s="51" t="s">
        <v>3</v>
      </c>
      <c r="D198" s="51">
        <f t="shared" si="10"/>
        <v>300</v>
      </c>
      <c r="E198" s="51" t="s">
        <v>3</v>
      </c>
      <c r="F198" s="110">
        <f t="shared" si="11"/>
        <v>2350</v>
      </c>
      <c r="G198" s="51" t="s">
        <v>3</v>
      </c>
      <c r="H198" s="48">
        <v>2</v>
      </c>
      <c r="I198" s="49" t="s">
        <v>45</v>
      </c>
      <c r="J198" s="112">
        <v>75</v>
      </c>
      <c r="K198" s="113">
        <v>300</v>
      </c>
      <c r="L198" s="113">
        <v>2350</v>
      </c>
      <c r="M198" s="185">
        <v>21.067191632455</v>
      </c>
      <c r="N198" s="75">
        <v>789.95443817664011</v>
      </c>
      <c r="O198" s="121">
        <v>26879.874075043434</v>
      </c>
      <c r="P198" s="121">
        <v>33075.61314645916</v>
      </c>
      <c r="Q198" s="120">
        <v>28476.277734069005</v>
      </c>
      <c r="R198" s="314">
        <v>55356.151809112438</v>
      </c>
      <c r="S198" s="315">
        <v>61551.890880528168</v>
      </c>
      <c r="U198" s="7" t="s">
        <v>1535</v>
      </c>
    </row>
    <row r="199" spans="1:21" ht="16.5" thickBot="1">
      <c r="A199" s="50" t="s">
        <v>35</v>
      </c>
      <c r="B199" s="51">
        <f t="shared" si="9"/>
        <v>75</v>
      </c>
      <c r="C199" s="51" t="s">
        <v>3</v>
      </c>
      <c r="D199" s="51">
        <f t="shared" si="10"/>
        <v>300</v>
      </c>
      <c r="E199" s="51" t="s">
        <v>3</v>
      </c>
      <c r="F199" s="110">
        <f t="shared" si="11"/>
        <v>2400</v>
      </c>
      <c r="G199" s="51" t="s">
        <v>3</v>
      </c>
      <c r="H199" s="48">
        <v>2</v>
      </c>
      <c r="I199" s="49" t="s">
        <v>45</v>
      </c>
      <c r="J199" s="112">
        <v>75</v>
      </c>
      <c r="K199" s="113">
        <v>300</v>
      </c>
      <c r="L199" s="113">
        <v>2400</v>
      </c>
      <c r="M199" s="185">
        <v>21.479784049834997</v>
      </c>
      <c r="N199" s="75">
        <v>809.70329913105604</v>
      </c>
      <c r="O199" s="121">
        <v>27318.736425763582</v>
      </c>
      <c r="P199" s="121">
        <v>33635.417780485019</v>
      </c>
      <c r="Q199" s="120">
        <v>28956.682901932996</v>
      </c>
      <c r="R199" s="314">
        <v>56275.419327696582</v>
      </c>
      <c r="S199" s="315">
        <v>62592.100682418015</v>
      </c>
      <c r="U199" s="7" t="s">
        <v>1536</v>
      </c>
    </row>
    <row r="200" spans="1:21" ht="16.5" thickBot="1">
      <c r="A200" s="50" t="s">
        <v>35</v>
      </c>
      <c r="B200" s="51">
        <f t="shared" si="9"/>
        <v>75</v>
      </c>
      <c r="C200" s="51" t="s">
        <v>3</v>
      </c>
      <c r="D200" s="51">
        <f t="shared" si="10"/>
        <v>300</v>
      </c>
      <c r="E200" s="51" t="s">
        <v>3</v>
      </c>
      <c r="F200" s="110">
        <f t="shared" si="11"/>
        <v>2450</v>
      </c>
      <c r="G200" s="51" t="s">
        <v>3</v>
      </c>
      <c r="H200" s="48">
        <v>2</v>
      </c>
      <c r="I200" s="49" t="s">
        <v>45</v>
      </c>
      <c r="J200" s="112">
        <v>75</v>
      </c>
      <c r="K200" s="113">
        <v>300</v>
      </c>
      <c r="L200" s="113">
        <v>2450</v>
      </c>
      <c r="M200" s="185">
        <v>22.053981360014998</v>
      </c>
      <c r="N200" s="75">
        <v>829.45216008547197</v>
      </c>
      <c r="O200" s="121">
        <v>28436.246111079119</v>
      </c>
      <c r="P200" s="121">
        <v>34789.648332515972</v>
      </c>
      <c r="Q200" s="120">
        <v>29667.669987973619</v>
      </c>
      <c r="R200" s="314">
        <v>58103.916099052738</v>
      </c>
      <c r="S200" s="315">
        <v>64457.31832048959</v>
      </c>
      <c r="U200" s="7" t="s">
        <v>1537</v>
      </c>
    </row>
    <row r="201" spans="1:21" ht="16.5" thickBot="1">
      <c r="A201" s="50" t="s">
        <v>35</v>
      </c>
      <c r="B201" s="51">
        <f t="shared" si="9"/>
        <v>75</v>
      </c>
      <c r="C201" s="51" t="s">
        <v>3</v>
      </c>
      <c r="D201" s="51">
        <f t="shared" si="10"/>
        <v>300</v>
      </c>
      <c r="E201" s="51" t="s">
        <v>3</v>
      </c>
      <c r="F201" s="110">
        <f t="shared" si="11"/>
        <v>2500</v>
      </c>
      <c r="G201" s="51" t="s">
        <v>3</v>
      </c>
      <c r="H201" s="48">
        <v>2</v>
      </c>
      <c r="I201" s="49" t="s">
        <v>45</v>
      </c>
      <c r="J201" s="112">
        <v>75</v>
      </c>
      <c r="K201" s="113">
        <v>300</v>
      </c>
      <c r="L201" s="113">
        <v>2500</v>
      </c>
      <c r="M201" s="185">
        <v>22.466573777395002</v>
      </c>
      <c r="N201" s="75">
        <v>849.20102103988802</v>
      </c>
      <c r="O201" s="121">
        <v>28875.108461799267</v>
      </c>
      <c r="P201" s="121">
        <v>35349.45296654183</v>
      </c>
      <c r="Q201" s="120">
        <v>30148.075155837607</v>
      </c>
      <c r="R201" s="314">
        <v>59023.183617636874</v>
      </c>
      <c r="S201" s="315">
        <v>65497.528122379437</v>
      </c>
      <c r="U201" s="7" t="s">
        <v>1538</v>
      </c>
    </row>
    <row r="202" spans="1:21" ht="16.5" thickBot="1">
      <c r="A202" s="50" t="s">
        <v>35</v>
      </c>
      <c r="B202" s="51">
        <f t="shared" si="9"/>
        <v>75</v>
      </c>
      <c r="C202" s="51" t="s">
        <v>3</v>
      </c>
      <c r="D202" s="51">
        <f t="shared" si="10"/>
        <v>300</v>
      </c>
      <c r="E202" s="51" t="s">
        <v>3</v>
      </c>
      <c r="F202" s="110">
        <f t="shared" si="11"/>
        <v>2550</v>
      </c>
      <c r="G202" s="51" t="s">
        <v>3</v>
      </c>
      <c r="H202" s="48">
        <v>2</v>
      </c>
      <c r="I202" s="49" t="s">
        <v>45</v>
      </c>
      <c r="J202" s="112">
        <v>75</v>
      </c>
      <c r="K202" s="113">
        <v>300</v>
      </c>
      <c r="L202" s="113">
        <v>2550</v>
      </c>
      <c r="M202" s="185">
        <v>22.896206194775001</v>
      </c>
      <c r="N202" s="75">
        <v>868.94988199430418</v>
      </c>
      <c r="O202" s="121">
        <v>29313.970812519416</v>
      </c>
      <c r="P202" s="121">
        <v>35909.257740961053</v>
      </c>
      <c r="Q202" s="120">
        <v>30859.06224187823</v>
      </c>
      <c r="R202" s="314">
        <v>60173.033054397645</v>
      </c>
      <c r="S202" s="315">
        <v>66768.319982839283</v>
      </c>
      <c r="U202" s="7" t="s">
        <v>1539</v>
      </c>
    </row>
    <row r="203" spans="1:21" ht="16.5" thickBot="1">
      <c r="A203" s="47" t="s">
        <v>35</v>
      </c>
      <c r="B203" s="48">
        <f t="shared" si="9"/>
        <v>75</v>
      </c>
      <c r="C203" s="48" t="s">
        <v>3</v>
      </c>
      <c r="D203" s="48">
        <f t="shared" si="10"/>
        <v>300</v>
      </c>
      <c r="E203" s="48" t="s">
        <v>3</v>
      </c>
      <c r="F203" s="110">
        <f t="shared" si="11"/>
        <v>2600</v>
      </c>
      <c r="G203" s="48" t="s">
        <v>3</v>
      </c>
      <c r="H203" s="48">
        <v>2</v>
      </c>
      <c r="I203" s="49" t="s">
        <v>45</v>
      </c>
      <c r="J203" s="112">
        <v>75</v>
      </c>
      <c r="K203" s="113">
        <v>300</v>
      </c>
      <c r="L203" s="113">
        <v>2600</v>
      </c>
      <c r="M203" s="185">
        <v>23.308798612155002</v>
      </c>
      <c r="N203" s="75">
        <v>888.69874294872022</v>
      </c>
      <c r="O203" s="121">
        <v>29752.833163239571</v>
      </c>
      <c r="P203" s="121">
        <v>36469.062515380283</v>
      </c>
      <c r="Q203" s="120">
        <v>31339.467409742221</v>
      </c>
      <c r="R203" s="314">
        <v>61092.300572981796</v>
      </c>
      <c r="S203" s="315">
        <v>67808.529925122508</v>
      </c>
      <c r="U203" s="7" t="s">
        <v>1540</v>
      </c>
    </row>
    <row r="204" spans="1:21" ht="16.5" thickBot="1">
      <c r="A204" s="50" t="s">
        <v>35</v>
      </c>
      <c r="B204" s="51">
        <f t="shared" si="9"/>
        <v>75</v>
      </c>
      <c r="C204" s="51" t="s">
        <v>3</v>
      </c>
      <c r="D204" s="51">
        <f t="shared" si="10"/>
        <v>300</v>
      </c>
      <c r="E204" s="51" t="s">
        <v>3</v>
      </c>
      <c r="F204" s="110">
        <f t="shared" si="11"/>
        <v>2650</v>
      </c>
      <c r="G204" s="51" t="s">
        <v>3</v>
      </c>
      <c r="H204" s="48">
        <v>2</v>
      </c>
      <c r="I204" s="49" t="s">
        <v>45</v>
      </c>
      <c r="J204" s="112">
        <v>75</v>
      </c>
      <c r="K204" s="113">
        <v>300</v>
      </c>
      <c r="L204" s="113">
        <v>2650</v>
      </c>
      <c r="M204" s="185">
        <v>23.738431029535001</v>
      </c>
      <c r="N204" s="75">
        <v>908.44760390313604</v>
      </c>
      <c r="O204" s="121">
        <v>30191.695513959719</v>
      </c>
      <c r="P204" s="121">
        <v>37028.867149406149</v>
      </c>
      <c r="Q204" s="120">
        <v>32050.45435538948</v>
      </c>
      <c r="R204" s="314">
        <v>62242.149869349203</v>
      </c>
      <c r="S204" s="315">
        <v>69079.321504795633</v>
      </c>
      <c r="U204" s="7" t="s">
        <v>1541</v>
      </c>
    </row>
    <row r="205" spans="1:21" ht="16.5" thickBot="1">
      <c r="A205" s="50" t="s">
        <v>35</v>
      </c>
      <c r="B205" s="51">
        <f t="shared" si="9"/>
        <v>75</v>
      </c>
      <c r="C205" s="51" t="s">
        <v>3</v>
      </c>
      <c r="D205" s="51">
        <f t="shared" si="10"/>
        <v>300</v>
      </c>
      <c r="E205" s="51" t="s">
        <v>3</v>
      </c>
      <c r="F205" s="110">
        <f t="shared" si="11"/>
        <v>2700</v>
      </c>
      <c r="G205" s="51" t="s">
        <v>3</v>
      </c>
      <c r="H205" s="48">
        <v>2</v>
      </c>
      <c r="I205" s="49" t="s">
        <v>45</v>
      </c>
      <c r="J205" s="112">
        <v>75</v>
      </c>
      <c r="K205" s="113">
        <v>300</v>
      </c>
      <c r="L205" s="113">
        <v>2700</v>
      </c>
      <c r="M205" s="185">
        <v>24.190273446915</v>
      </c>
      <c r="N205" s="75">
        <v>928.19646485755209</v>
      </c>
      <c r="O205" s="121">
        <v>30676.429711156394</v>
      </c>
      <c r="P205" s="121">
        <v>37633.145452411394</v>
      </c>
      <c r="Q205" s="120">
        <v>32530.859663646832</v>
      </c>
      <c r="R205" s="314">
        <v>63207.289374803222</v>
      </c>
      <c r="S205" s="315">
        <v>70164.005116058222</v>
      </c>
      <c r="U205" s="7" t="s">
        <v>1542</v>
      </c>
    </row>
    <row r="206" spans="1:21" ht="16.5" thickBot="1">
      <c r="A206" s="50" t="s">
        <v>35</v>
      </c>
      <c r="B206" s="51">
        <f t="shared" si="9"/>
        <v>75</v>
      </c>
      <c r="C206" s="51" t="s">
        <v>3</v>
      </c>
      <c r="D206" s="51">
        <f t="shared" si="10"/>
        <v>300</v>
      </c>
      <c r="E206" s="51" t="s">
        <v>3</v>
      </c>
      <c r="F206" s="110">
        <f t="shared" si="11"/>
        <v>2750</v>
      </c>
      <c r="G206" s="51" t="s">
        <v>3</v>
      </c>
      <c r="H206" s="48">
        <v>2</v>
      </c>
      <c r="I206" s="49" t="s">
        <v>45</v>
      </c>
      <c r="J206" s="112">
        <v>75</v>
      </c>
      <c r="K206" s="113">
        <v>300</v>
      </c>
      <c r="L206" s="113">
        <v>2750</v>
      </c>
      <c r="M206" s="185">
        <v>24.602865864295001</v>
      </c>
      <c r="N206" s="75">
        <v>947.94532581196813</v>
      </c>
      <c r="O206" s="121">
        <v>31115.292061876542</v>
      </c>
      <c r="P206" s="121">
        <v>38192.950226830617</v>
      </c>
      <c r="Q206" s="120">
        <v>33011.264831510824</v>
      </c>
      <c r="R206" s="314">
        <v>64126.556893387366</v>
      </c>
      <c r="S206" s="315">
        <v>71204.215058341448</v>
      </c>
      <c r="U206" s="7" t="s">
        <v>1543</v>
      </c>
    </row>
    <row r="207" spans="1:21" ht="16.5" thickBot="1">
      <c r="A207" s="50" t="s">
        <v>35</v>
      </c>
      <c r="B207" s="51">
        <f t="shared" si="9"/>
        <v>75</v>
      </c>
      <c r="C207" s="51" t="s">
        <v>3</v>
      </c>
      <c r="D207" s="51">
        <f t="shared" si="10"/>
        <v>300</v>
      </c>
      <c r="E207" s="51" t="s">
        <v>3</v>
      </c>
      <c r="F207" s="110">
        <f t="shared" si="11"/>
        <v>2800</v>
      </c>
      <c r="G207" s="51" t="s">
        <v>3</v>
      </c>
      <c r="H207" s="48">
        <v>2</v>
      </c>
      <c r="I207" s="49" t="s">
        <v>45</v>
      </c>
      <c r="J207" s="112">
        <v>75</v>
      </c>
      <c r="K207" s="113">
        <v>300</v>
      </c>
      <c r="L207" s="113">
        <v>2800</v>
      </c>
      <c r="M207" s="185">
        <v>25.032498281675004</v>
      </c>
      <c r="N207" s="75">
        <v>967.69418676638395</v>
      </c>
      <c r="O207" s="121">
        <v>31554.154412596694</v>
      </c>
      <c r="P207" s="121">
        <v>38752.755001249847</v>
      </c>
      <c r="Q207" s="120">
        <v>33722.251777158082</v>
      </c>
      <c r="R207" s="314">
        <v>65276.40618975478</v>
      </c>
      <c r="S207" s="315">
        <v>72475.006778407929</v>
      </c>
      <c r="U207" s="7" t="s">
        <v>1544</v>
      </c>
    </row>
    <row r="208" spans="1:21" ht="16.5" thickBot="1">
      <c r="A208" s="50" t="s">
        <v>35</v>
      </c>
      <c r="B208" s="51">
        <f t="shared" si="9"/>
        <v>75</v>
      </c>
      <c r="C208" s="51" t="s">
        <v>3</v>
      </c>
      <c r="D208" s="51">
        <f t="shared" si="10"/>
        <v>300</v>
      </c>
      <c r="E208" s="51" t="s">
        <v>3</v>
      </c>
      <c r="F208" s="110">
        <f t="shared" si="11"/>
        <v>2850</v>
      </c>
      <c r="G208" s="51" t="s">
        <v>3</v>
      </c>
      <c r="H208" s="48">
        <v>2</v>
      </c>
      <c r="I208" s="49" t="s">
        <v>45</v>
      </c>
      <c r="J208" s="112">
        <v>75</v>
      </c>
      <c r="K208" s="113">
        <v>300</v>
      </c>
      <c r="L208" s="113">
        <v>2850</v>
      </c>
      <c r="M208" s="185">
        <v>25.445090699055001</v>
      </c>
      <c r="N208" s="75">
        <v>987.4430477208</v>
      </c>
      <c r="O208" s="121">
        <v>31993.016763316846</v>
      </c>
      <c r="P208" s="121">
        <v>39312.559635275706</v>
      </c>
      <c r="Q208" s="120">
        <v>34202.657085415434</v>
      </c>
      <c r="R208" s="314">
        <v>66195.673848732287</v>
      </c>
      <c r="S208" s="315">
        <v>73515.21672069114</v>
      </c>
      <c r="U208" s="7" t="s">
        <v>1545</v>
      </c>
    </row>
    <row r="209" spans="1:21" ht="16.5" thickBot="1">
      <c r="A209" s="50" t="s">
        <v>35</v>
      </c>
      <c r="B209" s="51">
        <f t="shared" si="9"/>
        <v>75</v>
      </c>
      <c r="C209" s="51" t="s">
        <v>3</v>
      </c>
      <c r="D209" s="51">
        <f t="shared" si="10"/>
        <v>300</v>
      </c>
      <c r="E209" s="51" t="s">
        <v>3</v>
      </c>
      <c r="F209" s="110">
        <f t="shared" si="11"/>
        <v>2900</v>
      </c>
      <c r="G209" s="51" t="s">
        <v>3</v>
      </c>
      <c r="H209" s="48">
        <v>2</v>
      </c>
      <c r="I209" s="49" t="s">
        <v>45</v>
      </c>
      <c r="J209" s="112">
        <v>75</v>
      </c>
      <c r="K209" s="113">
        <v>300</v>
      </c>
      <c r="L209" s="113">
        <v>2900</v>
      </c>
      <c r="M209" s="185">
        <v>25.874723116435</v>
      </c>
      <c r="N209" s="75">
        <v>1007.191908675216</v>
      </c>
      <c r="O209" s="121">
        <v>32431.879114036994</v>
      </c>
      <c r="P209" s="121">
        <v>39872.364409694928</v>
      </c>
      <c r="Q209" s="120">
        <v>34913.644031062693</v>
      </c>
      <c r="R209" s="314">
        <v>67345.523145099694</v>
      </c>
      <c r="S209" s="315">
        <v>74786.008440757621</v>
      </c>
      <c r="U209" s="7" t="s">
        <v>1546</v>
      </c>
    </row>
    <row r="210" spans="1:21" ht="16.5" thickBot="1">
      <c r="A210" s="50" t="s">
        <v>35</v>
      </c>
      <c r="B210" s="51">
        <f t="shared" si="9"/>
        <v>75</v>
      </c>
      <c r="C210" s="51" t="s">
        <v>3</v>
      </c>
      <c r="D210" s="51">
        <f t="shared" si="10"/>
        <v>300</v>
      </c>
      <c r="E210" s="51" t="s">
        <v>3</v>
      </c>
      <c r="F210" s="110">
        <f t="shared" si="11"/>
        <v>2950</v>
      </c>
      <c r="G210" s="51" t="s">
        <v>3</v>
      </c>
      <c r="H210" s="48">
        <v>2</v>
      </c>
      <c r="I210" s="49" t="s">
        <v>45</v>
      </c>
      <c r="J210" s="112">
        <v>75</v>
      </c>
      <c r="K210" s="113">
        <v>300</v>
      </c>
      <c r="L210" s="113">
        <v>2950</v>
      </c>
      <c r="M210" s="185">
        <v>26.287315533814997</v>
      </c>
      <c r="N210" s="75">
        <v>1026.9407696296321</v>
      </c>
      <c r="O210" s="121">
        <v>32870.74146475715</v>
      </c>
      <c r="P210" s="121">
        <v>40432.169184114158</v>
      </c>
      <c r="Q210" s="120">
        <v>35394.049339320045</v>
      </c>
      <c r="R210" s="314">
        <v>68264.790804077202</v>
      </c>
      <c r="S210" s="315">
        <v>75826.218523434203</v>
      </c>
      <c r="U210" s="7" t="s">
        <v>1547</v>
      </c>
    </row>
    <row r="211" spans="1:21" ht="16.5" thickBot="1">
      <c r="A211" s="52" t="s">
        <v>35</v>
      </c>
      <c r="B211" s="53">
        <f t="shared" si="9"/>
        <v>75</v>
      </c>
      <c r="C211" s="53" t="s">
        <v>3</v>
      </c>
      <c r="D211" s="53">
        <f t="shared" si="10"/>
        <v>300</v>
      </c>
      <c r="E211" s="53" t="s">
        <v>3</v>
      </c>
      <c r="F211" s="111">
        <f t="shared" si="11"/>
        <v>3000</v>
      </c>
      <c r="G211" s="53" t="s">
        <v>3</v>
      </c>
      <c r="H211" s="55">
        <v>2</v>
      </c>
      <c r="I211" s="54" t="s">
        <v>45</v>
      </c>
      <c r="J211" s="146">
        <v>75</v>
      </c>
      <c r="K211" s="157">
        <v>300</v>
      </c>
      <c r="L211" s="157">
        <v>3000</v>
      </c>
      <c r="M211" s="187">
        <v>26.716947951195003</v>
      </c>
      <c r="N211" s="147">
        <v>1046.689630584048</v>
      </c>
      <c r="O211" s="158">
        <v>33309.603815477298</v>
      </c>
      <c r="P211" s="158">
        <v>40991.973818140017</v>
      </c>
      <c r="Q211" s="159">
        <v>36105.036284967304</v>
      </c>
      <c r="R211" s="316">
        <v>69414.640100444609</v>
      </c>
      <c r="S211" s="317">
        <v>77097.010103107314</v>
      </c>
      <c r="U211" s="7" t="s">
        <v>1548</v>
      </c>
    </row>
    <row r="212" spans="1:21" ht="16.5" thickBot="1">
      <c r="A212" s="2583" t="s">
        <v>135</v>
      </c>
      <c r="B212" s="2584"/>
      <c r="C212" s="2584"/>
      <c r="D212" s="2584"/>
      <c r="E212" s="2584"/>
      <c r="F212" s="2584"/>
      <c r="G212" s="2584"/>
      <c r="H212" s="2584"/>
      <c r="I212" s="2584"/>
      <c r="J212" s="2584"/>
      <c r="K212" s="2584"/>
      <c r="L212" s="2584"/>
      <c r="M212" s="2584"/>
      <c r="N212" s="2584"/>
      <c r="O212" s="2584"/>
      <c r="P212" s="2584"/>
      <c r="Q212" s="2584"/>
      <c r="R212" s="2584"/>
      <c r="S212" s="2585"/>
      <c r="U212" s="7"/>
    </row>
    <row r="213" spans="1:21" ht="16.5" thickBot="1">
      <c r="A213" s="47" t="s">
        <v>35</v>
      </c>
      <c r="B213" s="48">
        <f>J213</f>
        <v>75</v>
      </c>
      <c r="C213" s="48" t="s">
        <v>3</v>
      </c>
      <c r="D213" s="48">
        <f>K213</f>
        <v>300</v>
      </c>
      <c r="E213" s="48" t="s">
        <v>3</v>
      </c>
      <c r="F213" s="110">
        <f>L213</f>
        <v>600</v>
      </c>
      <c r="G213" s="48" t="s">
        <v>3</v>
      </c>
      <c r="H213" s="48">
        <v>4</v>
      </c>
      <c r="I213" s="49" t="s">
        <v>45</v>
      </c>
      <c r="J213" s="142">
        <v>75</v>
      </c>
      <c r="K213" s="168">
        <v>300</v>
      </c>
      <c r="L213" s="168">
        <v>600</v>
      </c>
      <c r="M213" s="182">
        <v>6.56374351901</v>
      </c>
      <c r="N213" s="143">
        <v>132.24</v>
      </c>
      <c r="O213" s="183">
        <v>12868.721792565302</v>
      </c>
      <c r="P213" s="183">
        <v>14798.107620901128</v>
      </c>
      <c r="Q213" s="169">
        <v>8203.3683669666007</v>
      </c>
      <c r="R213" s="312">
        <v>21072.090159531901</v>
      </c>
      <c r="S213" s="313">
        <v>23001.475987867729</v>
      </c>
      <c r="U213" s="7" t="s">
        <v>1549</v>
      </c>
    </row>
    <row r="214" spans="1:21" ht="16.5" thickBot="1">
      <c r="A214" s="50" t="s">
        <v>35</v>
      </c>
      <c r="B214" s="51">
        <f t="shared" ref="B214:B261" si="12">J214</f>
        <v>75</v>
      </c>
      <c r="C214" s="51" t="s">
        <v>3</v>
      </c>
      <c r="D214" s="51">
        <f t="shared" ref="D214:D261" si="13">K214</f>
        <v>300</v>
      </c>
      <c r="E214" s="51" t="s">
        <v>3</v>
      </c>
      <c r="F214" s="110">
        <f t="shared" ref="F214:F261" si="14">L214</f>
        <v>650</v>
      </c>
      <c r="G214" s="51" t="s">
        <v>3</v>
      </c>
      <c r="H214" s="48">
        <v>4</v>
      </c>
      <c r="I214" s="49" t="s">
        <v>45</v>
      </c>
      <c r="J214" s="112">
        <v>75</v>
      </c>
      <c r="K214" s="113">
        <v>300</v>
      </c>
      <c r="L214" s="113">
        <v>650</v>
      </c>
      <c r="M214" s="185">
        <v>7.04295832627</v>
      </c>
      <c r="N214" s="75">
        <v>158.68800000000002</v>
      </c>
      <c r="O214" s="121">
        <v>13515.473720707765</v>
      </c>
      <c r="P214" s="121">
        <v>15561.299276820566</v>
      </c>
      <c r="Q214" s="120">
        <v>8683.7735348305905</v>
      </c>
      <c r="R214" s="314">
        <v>22199.247255538357</v>
      </c>
      <c r="S214" s="315">
        <v>24245.072811651156</v>
      </c>
      <c r="U214" s="7" t="s">
        <v>1550</v>
      </c>
    </row>
    <row r="215" spans="1:21" ht="16.5" thickBot="1">
      <c r="A215" s="50" t="s">
        <v>35</v>
      </c>
      <c r="B215" s="51">
        <f t="shared" si="12"/>
        <v>75</v>
      </c>
      <c r="C215" s="51" t="s">
        <v>3</v>
      </c>
      <c r="D215" s="51">
        <f t="shared" si="13"/>
        <v>300</v>
      </c>
      <c r="E215" s="51" t="s">
        <v>3</v>
      </c>
      <c r="F215" s="110">
        <f t="shared" si="14"/>
        <v>700</v>
      </c>
      <c r="G215" s="51" t="s">
        <v>3</v>
      </c>
      <c r="H215" s="48">
        <v>4</v>
      </c>
      <c r="I215" s="49" t="s">
        <v>45</v>
      </c>
      <c r="J215" s="112">
        <v>75</v>
      </c>
      <c r="K215" s="113">
        <v>300</v>
      </c>
      <c r="L215" s="113">
        <v>700</v>
      </c>
      <c r="M215" s="185">
        <v>7.5392131335299988</v>
      </c>
      <c r="N215" s="75">
        <v>185.136</v>
      </c>
      <c r="O215" s="121">
        <v>14162.225508456866</v>
      </c>
      <c r="P215" s="121">
        <v>16324.490932740004</v>
      </c>
      <c r="Q215" s="120">
        <v>9394.7606208712132</v>
      </c>
      <c r="R215" s="314">
        <v>23556.986129328077</v>
      </c>
      <c r="S215" s="315">
        <v>25719.251553611219</v>
      </c>
      <c r="U215" s="7" t="s">
        <v>1551</v>
      </c>
    </row>
    <row r="216" spans="1:21" ht="16.5" thickBot="1">
      <c r="A216" s="50" t="s">
        <v>35</v>
      </c>
      <c r="B216" s="51">
        <f t="shared" si="12"/>
        <v>75</v>
      </c>
      <c r="C216" s="51" t="s">
        <v>3</v>
      </c>
      <c r="D216" s="51">
        <f t="shared" si="13"/>
        <v>300</v>
      </c>
      <c r="E216" s="51" t="s">
        <v>3</v>
      </c>
      <c r="F216" s="110">
        <f t="shared" si="14"/>
        <v>750</v>
      </c>
      <c r="G216" s="51" t="s">
        <v>3</v>
      </c>
      <c r="H216" s="48">
        <v>4</v>
      </c>
      <c r="I216" s="49" t="s">
        <v>45</v>
      </c>
      <c r="J216" s="112">
        <v>75</v>
      </c>
      <c r="K216" s="113">
        <v>300</v>
      </c>
      <c r="L216" s="113">
        <v>750</v>
      </c>
      <c r="M216" s="185">
        <v>8.0184279407899997</v>
      </c>
      <c r="N216" s="75">
        <v>211.58399999999997</v>
      </c>
      <c r="O216" s="121">
        <v>14808.977436599329</v>
      </c>
      <c r="P216" s="121">
        <v>17087.682448266078</v>
      </c>
      <c r="Q216" s="120">
        <v>9875.165788735203</v>
      </c>
      <c r="R216" s="314">
        <v>24684.143225334534</v>
      </c>
      <c r="S216" s="315">
        <v>26962.848237001279</v>
      </c>
      <c r="U216" s="7" t="s">
        <v>1552</v>
      </c>
    </row>
    <row r="217" spans="1:21" ht="16.5" thickBot="1">
      <c r="A217" s="50" t="s">
        <v>35</v>
      </c>
      <c r="B217" s="51">
        <f t="shared" si="12"/>
        <v>75</v>
      </c>
      <c r="C217" s="51" t="s">
        <v>3</v>
      </c>
      <c r="D217" s="51">
        <f t="shared" si="13"/>
        <v>300</v>
      </c>
      <c r="E217" s="51" t="s">
        <v>3</v>
      </c>
      <c r="F217" s="110">
        <f t="shared" si="14"/>
        <v>800</v>
      </c>
      <c r="G217" s="51" t="s">
        <v>3</v>
      </c>
      <c r="H217" s="48">
        <v>4</v>
      </c>
      <c r="I217" s="49" t="s">
        <v>45</v>
      </c>
      <c r="J217" s="112">
        <v>75</v>
      </c>
      <c r="K217" s="113">
        <v>300</v>
      </c>
      <c r="L217" s="113">
        <v>800</v>
      </c>
      <c r="M217" s="185">
        <v>8.4976427480499996</v>
      </c>
      <c r="N217" s="75">
        <v>238.03200000000001</v>
      </c>
      <c r="O217" s="121">
        <v>15455.729364741792</v>
      </c>
      <c r="P217" s="121">
        <v>17850.874104185517</v>
      </c>
      <c r="Q217" s="120">
        <v>10355.570956599189</v>
      </c>
      <c r="R217" s="314">
        <v>25811.300321340983</v>
      </c>
      <c r="S217" s="315">
        <v>28206.445060784707</v>
      </c>
      <c r="U217" s="7" t="s">
        <v>1553</v>
      </c>
    </row>
    <row r="218" spans="1:21" ht="16.5" thickBot="1">
      <c r="A218" s="50" t="s">
        <v>35</v>
      </c>
      <c r="B218" s="51">
        <f t="shared" si="12"/>
        <v>75</v>
      </c>
      <c r="C218" s="51" t="s">
        <v>3</v>
      </c>
      <c r="D218" s="51">
        <f t="shared" si="13"/>
        <v>300</v>
      </c>
      <c r="E218" s="51" t="s">
        <v>3</v>
      </c>
      <c r="F218" s="110">
        <f t="shared" si="14"/>
        <v>850</v>
      </c>
      <c r="G218" s="51" t="s">
        <v>3</v>
      </c>
      <c r="H218" s="48">
        <v>4</v>
      </c>
      <c r="I218" s="49" t="s">
        <v>45</v>
      </c>
      <c r="J218" s="112">
        <v>75</v>
      </c>
      <c r="K218" s="113">
        <v>300</v>
      </c>
      <c r="L218" s="113">
        <v>850</v>
      </c>
      <c r="M218" s="185">
        <v>8.9938975553099993</v>
      </c>
      <c r="N218" s="75">
        <v>264.48</v>
      </c>
      <c r="O218" s="121">
        <v>16102.481292884253</v>
      </c>
      <c r="P218" s="121">
        <v>18614.065760104953</v>
      </c>
      <c r="Q218" s="120">
        <v>11066.558042639816</v>
      </c>
      <c r="R218" s="314">
        <v>27169.039335524067</v>
      </c>
      <c r="S218" s="315">
        <v>29680.623802744769</v>
      </c>
      <c r="U218" s="7" t="s">
        <v>1554</v>
      </c>
    </row>
    <row r="219" spans="1:21" ht="16.5" thickBot="1">
      <c r="A219" s="50" t="s">
        <v>35</v>
      </c>
      <c r="B219" s="51">
        <f t="shared" si="12"/>
        <v>75</v>
      </c>
      <c r="C219" s="51" t="s">
        <v>3</v>
      </c>
      <c r="D219" s="51">
        <f t="shared" si="13"/>
        <v>300</v>
      </c>
      <c r="E219" s="51" t="s">
        <v>3</v>
      </c>
      <c r="F219" s="110">
        <f t="shared" si="14"/>
        <v>900</v>
      </c>
      <c r="G219" s="51" t="s">
        <v>3</v>
      </c>
      <c r="H219" s="48">
        <v>4</v>
      </c>
      <c r="I219" s="49" t="s">
        <v>45</v>
      </c>
      <c r="J219" s="112">
        <v>75</v>
      </c>
      <c r="K219" s="113">
        <v>300</v>
      </c>
      <c r="L219" s="113">
        <v>900</v>
      </c>
      <c r="M219" s="185">
        <v>9.4731123625699993</v>
      </c>
      <c r="N219" s="75">
        <v>290.928</v>
      </c>
      <c r="O219" s="121">
        <v>16749.233080633352</v>
      </c>
      <c r="P219" s="121">
        <v>19377.257416024389</v>
      </c>
      <c r="Q219" s="120">
        <v>11546.963210503804</v>
      </c>
      <c r="R219" s="314">
        <v>28296.196291137156</v>
      </c>
      <c r="S219" s="315">
        <v>30924.220626528193</v>
      </c>
      <c r="U219" s="7" t="s">
        <v>1555</v>
      </c>
    </row>
    <row r="220" spans="1:21" ht="16.5" thickBot="1">
      <c r="A220" s="50" t="s">
        <v>35</v>
      </c>
      <c r="B220" s="51">
        <f t="shared" si="12"/>
        <v>75</v>
      </c>
      <c r="C220" s="51" t="s">
        <v>3</v>
      </c>
      <c r="D220" s="51">
        <f t="shared" si="13"/>
        <v>300</v>
      </c>
      <c r="E220" s="51" t="s">
        <v>3</v>
      </c>
      <c r="F220" s="110">
        <f t="shared" si="14"/>
        <v>950</v>
      </c>
      <c r="G220" s="51" t="s">
        <v>3</v>
      </c>
      <c r="H220" s="48">
        <v>4</v>
      </c>
      <c r="I220" s="49" t="s">
        <v>45</v>
      </c>
      <c r="J220" s="112">
        <v>75</v>
      </c>
      <c r="K220" s="113">
        <v>300</v>
      </c>
      <c r="L220" s="113">
        <v>950</v>
      </c>
      <c r="M220" s="185">
        <v>9.969367169829999</v>
      </c>
      <c r="N220" s="75">
        <v>317.37600000000003</v>
      </c>
      <c r="O220" s="121">
        <v>17395.985008775813</v>
      </c>
      <c r="P220" s="121">
        <v>20140.449071943829</v>
      </c>
      <c r="Q220" s="120">
        <v>12257.950156151066</v>
      </c>
      <c r="R220" s="314">
        <v>29653.935164926879</v>
      </c>
      <c r="S220" s="315">
        <v>32398.399228094895</v>
      </c>
      <c r="U220" s="7" t="s">
        <v>1556</v>
      </c>
    </row>
    <row r="221" spans="1:21" ht="16.5" thickBot="1">
      <c r="A221" s="50" t="s">
        <v>35</v>
      </c>
      <c r="B221" s="51">
        <f t="shared" si="12"/>
        <v>75</v>
      </c>
      <c r="C221" s="51" t="s">
        <v>3</v>
      </c>
      <c r="D221" s="51">
        <f t="shared" si="13"/>
        <v>300</v>
      </c>
      <c r="E221" s="51" t="s">
        <v>3</v>
      </c>
      <c r="F221" s="110">
        <f t="shared" si="14"/>
        <v>1000</v>
      </c>
      <c r="G221" s="51" t="s">
        <v>3</v>
      </c>
      <c r="H221" s="48">
        <v>4</v>
      </c>
      <c r="I221" s="49" t="s">
        <v>45</v>
      </c>
      <c r="J221" s="112">
        <v>75</v>
      </c>
      <c r="K221" s="113">
        <v>300</v>
      </c>
      <c r="L221" s="113">
        <v>1000</v>
      </c>
      <c r="M221" s="185">
        <v>10.448581977090001</v>
      </c>
      <c r="N221" s="75">
        <v>343.82399999999996</v>
      </c>
      <c r="O221" s="121">
        <v>18042.736936918282</v>
      </c>
      <c r="P221" s="121">
        <v>20903.640727863269</v>
      </c>
      <c r="Q221" s="120">
        <v>12738.355464408416</v>
      </c>
      <c r="R221" s="314">
        <v>30781.092401326699</v>
      </c>
      <c r="S221" s="315">
        <v>33641.996192271683</v>
      </c>
      <c r="U221" s="7" t="s">
        <v>1557</v>
      </c>
    </row>
    <row r="222" spans="1:21" ht="16.5" thickBot="1">
      <c r="A222" s="50" t="s">
        <v>35</v>
      </c>
      <c r="B222" s="51">
        <f t="shared" si="12"/>
        <v>75</v>
      </c>
      <c r="C222" s="51" t="s">
        <v>3</v>
      </c>
      <c r="D222" s="51">
        <f t="shared" si="13"/>
        <v>300</v>
      </c>
      <c r="E222" s="51" t="s">
        <v>3</v>
      </c>
      <c r="F222" s="110">
        <f t="shared" si="14"/>
        <v>1050</v>
      </c>
      <c r="G222" s="51" t="s">
        <v>3</v>
      </c>
      <c r="H222" s="48">
        <v>4</v>
      </c>
      <c r="I222" s="49" t="s">
        <v>45</v>
      </c>
      <c r="J222" s="112">
        <v>75</v>
      </c>
      <c r="K222" s="113">
        <v>300</v>
      </c>
      <c r="L222" s="113">
        <v>1050</v>
      </c>
      <c r="M222" s="185">
        <v>10.944836784349999</v>
      </c>
      <c r="N222" s="75">
        <v>370.27199999999999</v>
      </c>
      <c r="O222" s="121">
        <v>18689.488865060743</v>
      </c>
      <c r="P222" s="121">
        <v>21666.832383782705</v>
      </c>
      <c r="Q222" s="120">
        <v>13449.342410055679</v>
      </c>
      <c r="R222" s="314">
        <v>32138.831275116419</v>
      </c>
      <c r="S222" s="315">
        <v>35116.174793838385</v>
      </c>
      <c r="U222" s="7" t="s">
        <v>1558</v>
      </c>
    </row>
    <row r="223" spans="1:21" ht="16.5" thickBot="1">
      <c r="A223" s="47" t="s">
        <v>35</v>
      </c>
      <c r="B223" s="48">
        <f t="shared" si="12"/>
        <v>75</v>
      </c>
      <c r="C223" s="48" t="s">
        <v>3</v>
      </c>
      <c r="D223" s="48">
        <f t="shared" si="13"/>
        <v>300</v>
      </c>
      <c r="E223" s="48" t="s">
        <v>3</v>
      </c>
      <c r="F223" s="110">
        <f t="shared" si="14"/>
        <v>1100</v>
      </c>
      <c r="G223" s="48" t="s">
        <v>3</v>
      </c>
      <c r="H223" s="48">
        <v>4</v>
      </c>
      <c r="I223" s="49" t="s">
        <v>45</v>
      </c>
      <c r="J223" s="112">
        <v>75</v>
      </c>
      <c r="K223" s="113">
        <v>300</v>
      </c>
      <c r="L223" s="113">
        <v>1100</v>
      </c>
      <c r="M223" s="185">
        <v>11.424051591609999</v>
      </c>
      <c r="N223" s="75">
        <v>396.72</v>
      </c>
      <c r="O223" s="121">
        <v>19336.240793203204</v>
      </c>
      <c r="P223" s="121">
        <v>22430.023899308781</v>
      </c>
      <c r="Q223" s="120">
        <v>13929.747718313029</v>
      </c>
      <c r="R223" s="314">
        <v>33265.988511516232</v>
      </c>
      <c r="S223" s="315">
        <v>36359.771617621809</v>
      </c>
      <c r="U223" s="7" t="s">
        <v>1559</v>
      </c>
    </row>
    <row r="224" spans="1:21" ht="16.5" thickBot="1">
      <c r="A224" s="50" t="s">
        <v>35</v>
      </c>
      <c r="B224" s="51">
        <f t="shared" si="12"/>
        <v>75</v>
      </c>
      <c r="C224" s="51" t="s">
        <v>3</v>
      </c>
      <c r="D224" s="51">
        <f t="shared" si="13"/>
        <v>300</v>
      </c>
      <c r="E224" s="51" t="s">
        <v>3</v>
      </c>
      <c r="F224" s="110">
        <f t="shared" si="14"/>
        <v>1150</v>
      </c>
      <c r="G224" s="51" t="s">
        <v>3</v>
      </c>
      <c r="H224" s="48">
        <v>4</v>
      </c>
      <c r="I224" s="49" t="s">
        <v>45</v>
      </c>
      <c r="J224" s="112">
        <v>75</v>
      </c>
      <c r="K224" s="113">
        <v>300</v>
      </c>
      <c r="L224" s="113">
        <v>1150</v>
      </c>
      <c r="M224" s="185">
        <v>11.903266398869999</v>
      </c>
      <c r="N224" s="75">
        <v>423.16799999999995</v>
      </c>
      <c r="O224" s="121">
        <v>19982.992580952305</v>
      </c>
      <c r="P224" s="121">
        <v>23193.215555228217</v>
      </c>
      <c r="Q224" s="120">
        <v>14410.152886177015</v>
      </c>
      <c r="R224" s="314">
        <v>34393.145467129318</v>
      </c>
      <c r="S224" s="315">
        <v>37603.368441405233</v>
      </c>
      <c r="U224" s="7" t="s">
        <v>1560</v>
      </c>
    </row>
    <row r="225" spans="1:21" ht="16.5" thickBot="1">
      <c r="A225" s="50" t="s">
        <v>35</v>
      </c>
      <c r="B225" s="51">
        <f t="shared" si="12"/>
        <v>75</v>
      </c>
      <c r="C225" s="51" t="s">
        <v>3</v>
      </c>
      <c r="D225" s="51">
        <f t="shared" si="13"/>
        <v>300</v>
      </c>
      <c r="E225" s="51" t="s">
        <v>3</v>
      </c>
      <c r="F225" s="110">
        <f t="shared" si="14"/>
        <v>1200</v>
      </c>
      <c r="G225" s="51" t="s">
        <v>3</v>
      </c>
      <c r="H225" s="48">
        <v>4</v>
      </c>
      <c r="I225" s="49" t="s">
        <v>45</v>
      </c>
      <c r="J225" s="112">
        <v>75</v>
      </c>
      <c r="K225" s="113">
        <v>300</v>
      </c>
      <c r="L225" s="113">
        <v>1200</v>
      </c>
      <c r="M225" s="185">
        <v>12.478021206129998</v>
      </c>
      <c r="N225" s="75">
        <v>449.61599999999999</v>
      </c>
      <c r="O225" s="121">
        <v>20706.898944996905</v>
      </c>
      <c r="P225" s="121">
        <v>24031.209917834556</v>
      </c>
      <c r="Q225" s="120">
        <v>15121.139831824277</v>
      </c>
      <c r="R225" s="314">
        <v>35828.03877682118</v>
      </c>
      <c r="S225" s="315">
        <v>39152.349749658832</v>
      </c>
      <c r="U225" s="7" t="s">
        <v>1561</v>
      </c>
    </row>
    <row r="226" spans="1:21" ht="16.5" thickBot="1">
      <c r="A226" s="50" t="s">
        <v>35</v>
      </c>
      <c r="B226" s="51">
        <f t="shared" si="12"/>
        <v>75</v>
      </c>
      <c r="C226" s="51" t="s">
        <v>3</v>
      </c>
      <c r="D226" s="51">
        <f t="shared" si="13"/>
        <v>300</v>
      </c>
      <c r="E226" s="51" t="s">
        <v>3</v>
      </c>
      <c r="F226" s="110">
        <f t="shared" si="14"/>
        <v>1250</v>
      </c>
      <c r="G226" s="51" t="s">
        <v>3</v>
      </c>
      <c r="H226" s="48">
        <v>4</v>
      </c>
      <c r="I226" s="49" t="s">
        <v>45</v>
      </c>
      <c r="J226" s="112">
        <v>75</v>
      </c>
      <c r="K226" s="113">
        <v>300</v>
      </c>
      <c r="L226" s="113">
        <v>1250</v>
      </c>
      <c r="M226" s="185">
        <v>12.957236013389998</v>
      </c>
      <c r="N226" s="75">
        <v>476.06400000000002</v>
      </c>
      <c r="O226" s="121">
        <v>21353.650873139366</v>
      </c>
      <c r="P226" s="121">
        <v>24794.401573753992</v>
      </c>
      <c r="Q226" s="120">
        <v>15601.545140081627</v>
      </c>
      <c r="R226" s="314">
        <v>36955.196013220993</v>
      </c>
      <c r="S226" s="315">
        <v>40395.946713835619</v>
      </c>
      <c r="U226" s="7" t="s">
        <v>1562</v>
      </c>
    </row>
    <row r="227" spans="1:21" ht="16.5" thickBot="1">
      <c r="A227" s="50" t="s">
        <v>35</v>
      </c>
      <c r="B227" s="51">
        <f t="shared" si="12"/>
        <v>75</v>
      </c>
      <c r="C227" s="51" t="s">
        <v>3</v>
      </c>
      <c r="D227" s="51">
        <f t="shared" si="13"/>
        <v>300</v>
      </c>
      <c r="E227" s="51" t="s">
        <v>3</v>
      </c>
      <c r="F227" s="110">
        <f t="shared" si="14"/>
        <v>1300</v>
      </c>
      <c r="G227" s="51" t="s">
        <v>3</v>
      </c>
      <c r="H227" s="48">
        <v>4</v>
      </c>
      <c r="I227" s="49" t="s">
        <v>45</v>
      </c>
      <c r="J227" s="112">
        <v>75</v>
      </c>
      <c r="K227" s="113">
        <v>300</v>
      </c>
      <c r="L227" s="113">
        <v>1300</v>
      </c>
      <c r="M227" s="185">
        <v>13.45349082065</v>
      </c>
      <c r="N227" s="75">
        <v>502.51199999999994</v>
      </c>
      <c r="O227" s="121">
        <v>22000.402660888467</v>
      </c>
      <c r="P227" s="121">
        <v>25557.593089280068</v>
      </c>
      <c r="Q227" s="120">
        <v>16312.53208572889</v>
      </c>
      <c r="R227" s="314">
        <v>38312.934746617357</v>
      </c>
      <c r="S227" s="315">
        <v>41870.125175008958</v>
      </c>
      <c r="U227" s="7" t="s">
        <v>1563</v>
      </c>
    </row>
    <row r="228" spans="1:21" ht="16.5" thickBot="1">
      <c r="A228" s="50" t="s">
        <v>35</v>
      </c>
      <c r="B228" s="51">
        <f t="shared" si="12"/>
        <v>75</v>
      </c>
      <c r="C228" s="51" t="s">
        <v>3</v>
      </c>
      <c r="D228" s="51">
        <f t="shared" si="13"/>
        <v>300</v>
      </c>
      <c r="E228" s="51" t="s">
        <v>3</v>
      </c>
      <c r="F228" s="110">
        <f t="shared" si="14"/>
        <v>1350</v>
      </c>
      <c r="G228" s="51" t="s">
        <v>3</v>
      </c>
      <c r="H228" s="48">
        <v>4</v>
      </c>
      <c r="I228" s="49" t="s">
        <v>45</v>
      </c>
      <c r="J228" s="112">
        <v>75</v>
      </c>
      <c r="K228" s="113">
        <v>300</v>
      </c>
      <c r="L228" s="113">
        <v>1350</v>
      </c>
      <c r="M228" s="185">
        <v>13.93270562791</v>
      </c>
      <c r="N228" s="75">
        <v>528.96</v>
      </c>
      <c r="O228" s="121">
        <v>22647.154589030928</v>
      </c>
      <c r="P228" s="121">
        <v>26320.784745199504</v>
      </c>
      <c r="Q228" s="120">
        <v>16792.937253592878</v>
      </c>
      <c r="R228" s="314">
        <v>39440.091842623806</v>
      </c>
      <c r="S228" s="315">
        <v>43113.721998792382</v>
      </c>
      <c r="U228" s="7" t="s">
        <v>1564</v>
      </c>
    </row>
    <row r="229" spans="1:21" ht="16.5" thickBot="1">
      <c r="A229" s="50" t="s">
        <v>35</v>
      </c>
      <c r="B229" s="51">
        <f t="shared" si="12"/>
        <v>75</v>
      </c>
      <c r="C229" s="51" t="s">
        <v>3</v>
      </c>
      <c r="D229" s="51">
        <f t="shared" si="13"/>
        <v>300</v>
      </c>
      <c r="E229" s="51" t="s">
        <v>3</v>
      </c>
      <c r="F229" s="110">
        <f t="shared" si="14"/>
        <v>1400</v>
      </c>
      <c r="G229" s="51" t="s">
        <v>3</v>
      </c>
      <c r="H229" s="48">
        <v>4</v>
      </c>
      <c r="I229" s="49" t="s">
        <v>45</v>
      </c>
      <c r="J229" s="112">
        <v>75</v>
      </c>
      <c r="K229" s="113">
        <v>300</v>
      </c>
      <c r="L229" s="113">
        <v>1400</v>
      </c>
      <c r="M229" s="185">
        <v>14.42896043517</v>
      </c>
      <c r="N229" s="75">
        <v>555.4079999999999</v>
      </c>
      <c r="O229" s="121">
        <v>23293.906517173393</v>
      </c>
      <c r="P229" s="121">
        <v>27083.976401118944</v>
      </c>
      <c r="Q229" s="120">
        <v>17503.924339633504</v>
      </c>
      <c r="R229" s="314">
        <v>40797.830856806897</v>
      </c>
      <c r="S229" s="315">
        <v>44587.900740752448</v>
      </c>
      <c r="U229" s="7" t="s">
        <v>1565</v>
      </c>
    </row>
    <row r="230" spans="1:21" ht="16.5" thickBot="1">
      <c r="A230" s="50" t="s">
        <v>35</v>
      </c>
      <c r="B230" s="51">
        <f t="shared" si="12"/>
        <v>75</v>
      </c>
      <c r="C230" s="51" t="s">
        <v>3</v>
      </c>
      <c r="D230" s="51">
        <f t="shared" si="13"/>
        <v>300</v>
      </c>
      <c r="E230" s="51" t="s">
        <v>3</v>
      </c>
      <c r="F230" s="110">
        <f t="shared" si="14"/>
        <v>1450</v>
      </c>
      <c r="G230" s="51" t="s">
        <v>3</v>
      </c>
      <c r="H230" s="48">
        <v>4</v>
      </c>
      <c r="I230" s="49" t="s">
        <v>45</v>
      </c>
      <c r="J230" s="112">
        <v>75</v>
      </c>
      <c r="K230" s="113">
        <v>300</v>
      </c>
      <c r="L230" s="113">
        <v>1450</v>
      </c>
      <c r="M230" s="185">
        <v>14.908175242430001</v>
      </c>
      <c r="N230" s="75">
        <v>581.85599999999999</v>
      </c>
      <c r="O230" s="121">
        <v>23940.658445315854</v>
      </c>
      <c r="P230" s="121">
        <v>27847.16805703838</v>
      </c>
      <c r="Q230" s="120">
        <v>17984.32950749735</v>
      </c>
      <c r="R230" s="314">
        <v>41924.987952813201</v>
      </c>
      <c r="S230" s="315">
        <v>45831.497564535734</v>
      </c>
      <c r="U230" s="7" t="s">
        <v>1566</v>
      </c>
    </row>
    <row r="231" spans="1:21" ht="16.5" thickBot="1">
      <c r="A231" s="50" t="s">
        <v>35</v>
      </c>
      <c r="B231" s="51">
        <f t="shared" si="12"/>
        <v>75</v>
      </c>
      <c r="C231" s="51" t="s">
        <v>3</v>
      </c>
      <c r="D231" s="51">
        <f t="shared" si="13"/>
        <v>300</v>
      </c>
      <c r="E231" s="51" t="s">
        <v>3</v>
      </c>
      <c r="F231" s="110">
        <f t="shared" si="14"/>
        <v>1500</v>
      </c>
      <c r="G231" s="51" t="s">
        <v>3</v>
      </c>
      <c r="H231" s="48">
        <v>4</v>
      </c>
      <c r="I231" s="49" t="s">
        <v>45</v>
      </c>
      <c r="J231" s="112">
        <v>75</v>
      </c>
      <c r="K231" s="113">
        <v>300</v>
      </c>
      <c r="L231" s="113">
        <v>1500</v>
      </c>
      <c r="M231" s="185">
        <v>15.548994942490001</v>
      </c>
      <c r="N231" s="75">
        <v>608.30399999999997</v>
      </c>
      <c r="O231" s="121">
        <v>25266.05756766034</v>
      </c>
      <c r="P231" s="121">
        <v>29204.785490569546</v>
      </c>
      <c r="Q231" s="120">
        <v>18695.316593538118</v>
      </c>
      <c r="R231" s="314">
        <v>43961.374161198459</v>
      </c>
      <c r="S231" s="315">
        <v>47900.102084107668</v>
      </c>
      <c r="U231" s="7" t="s">
        <v>1567</v>
      </c>
    </row>
    <row r="232" spans="1:21" ht="16.5" thickBot="1">
      <c r="A232" s="50" t="s">
        <v>35</v>
      </c>
      <c r="B232" s="51">
        <f t="shared" si="12"/>
        <v>75</v>
      </c>
      <c r="C232" s="51" t="s">
        <v>3</v>
      </c>
      <c r="D232" s="51">
        <f t="shared" si="13"/>
        <v>300</v>
      </c>
      <c r="E232" s="51" t="s">
        <v>3</v>
      </c>
      <c r="F232" s="110">
        <f t="shared" si="14"/>
        <v>1550</v>
      </c>
      <c r="G232" s="51" t="s">
        <v>3</v>
      </c>
      <c r="H232" s="48">
        <v>4</v>
      </c>
      <c r="I232" s="49" t="s">
        <v>45</v>
      </c>
      <c r="J232" s="112">
        <v>75</v>
      </c>
      <c r="K232" s="113">
        <v>300</v>
      </c>
      <c r="L232" s="113">
        <v>1550</v>
      </c>
      <c r="M232" s="185">
        <v>16.028209749750001</v>
      </c>
      <c r="N232" s="75">
        <v>634.75200000000007</v>
      </c>
      <c r="O232" s="121">
        <v>25912.809495802805</v>
      </c>
      <c r="P232" s="121">
        <v>29967.977006095618</v>
      </c>
      <c r="Q232" s="120">
        <v>19175.721761402103</v>
      </c>
      <c r="R232" s="314">
        <v>45088.531257204908</v>
      </c>
      <c r="S232" s="315">
        <v>49143.698767497721</v>
      </c>
      <c r="U232" s="7" t="s">
        <v>1568</v>
      </c>
    </row>
    <row r="233" spans="1:21" ht="16.5" thickBot="1">
      <c r="A233" s="47" t="s">
        <v>35</v>
      </c>
      <c r="B233" s="48">
        <f t="shared" si="12"/>
        <v>75</v>
      </c>
      <c r="C233" s="48" t="s">
        <v>3</v>
      </c>
      <c r="D233" s="48">
        <f t="shared" si="13"/>
        <v>300</v>
      </c>
      <c r="E233" s="48" t="s">
        <v>3</v>
      </c>
      <c r="F233" s="110">
        <f t="shared" si="14"/>
        <v>1600</v>
      </c>
      <c r="G233" s="48" t="s">
        <v>3</v>
      </c>
      <c r="H233" s="48">
        <v>4</v>
      </c>
      <c r="I233" s="49" t="s">
        <v>45</v>
      </c>
      <c r="J233" s="112">
        <v>75</v>
      </c>
      <c r="K233" s="113">
        <v>300</v>
      </c>
      <c r="L233" s="113">
        <v>1600</v>
      </c>
      <c r="M233" s="185">
        <v>16.507424557009998</v>
      </c>
      <c r="N233" s="75">
        <v>661.19999999999993</v>
      </c>
      <c r="O233" s="121">
        <v>26559.561423945266</v>
      </c>
      <c r="P233" s="121">
        <v>30731.168662015058</v>
      </c>
      <c r="Q233" s="120">
        <v>19656.126929266091</v>
      </c>
      <c r="R233" s="314">
        <v>46215.688353211357</v>
      </c>
      <c r="S233" s="315">
        <v>50387.295591281145</v>
      </c>
      <c r="U233" s="7" t="s">
        <v>1569</v>
      </c>
    </row>
    <row r="234" spans="1:21" ht="16.5" thickBot="1">
      <c r="A234" s="50" t="s">
        <v>35</v>
      </c>
      <c r="B234" s="51">
        <f t="shared" si="12"/>
        <v>75</v>
      </c>
      <c r="C234" s="51" t="s">
        <v>3</v>
      </c>
      <c r="D234" s="51">
        <f t="shared" si="13"/>
        <v>300</v>
      </c>
      <c r="E234" s="51" t="s">
        <v>3</v>
      </c>
      <c r="F234" s="110">
        <f t="shared" si="14"/>
        <v>1650</v>
      </c>
      <c r="G234" s="51" t="s">
        <v>3</v>
      </c>
      <c r="H234" s="48">
        <v>4</v>
      </c>
      <c r="I234" s="49" t="s">
        <v>45</v>
      </c>
      <c r="J234" s="112">
        <v>75</v>
      </c>
      <c r="K234" s="113">
        <v>300</v>
      </c>
      <c r="L234" s="113">
        <v>1650</v>
      </c>
      <c r="M234" s="185">
        <v>17.003679364269999</v>
      </c>
      <c r="N234" s="75">
        <v>687.64799999999991</v>
      </c>
      <c r="O234" s="121">
        <v>27206.313211694367</v>
      </c>
      <c r="P234" s="121">
        <v>31494.360317934494</v>
      </c>
      <c r="Q234" s="120">
        <v>20367.114015306717</v>
      </c>
      <c r="R234" s="314">
        <v>47573.427227001084</v>
      </c>
      <c r="S234" s="315">
        <v>51861.474333241211</v>
      </c>
      <c r="U234" s="7" t="s">
        <v>1570</v>
      </c>
    </row>
    <row r="235" spans="1:21" ht="16.5" thickBot="1">
      <c r="A235" s="50" t="s">
        <v>35</v>
      </c>
      <c r="B235" s="51">
        <f t="shared" si="12"/>
        <v>75</v>
      </c>
      <c r="C235" s="51" t="s">
        <v>3</v>
      </c>
      <c r="D235" s="51">
        <f t="shared" si="13"/>
        <v>300</v>
      </c>
      <c r="E235" s="51" t="s">
        <v>3</v>
      </c>
      <c r="F235" s="110">
        <f t="shared" si="14"/>
        <v>1700</v>
      </c>
      <c r="G235" s="51" t="s">
        <v>3</v>
      </c>
      <c r="H235" s="48">
        <v>4</v>
      </c>
      <c r="I235" s="49" t="s">
        <v>45</v>
      </c>
      <c r="J235" s="112">
        <v>75</v>
      </c>
      <c r="K235" s="113">
        <v>300</v>
      </c>
      <c r="L235" s="113">
        <v>1700</v>
      </c>
      <c r="M235" s="185">
        <v>17.482894171530003</v>
      </c>
      <c r="N235" s="75">
        <v>714.096</v>
      </c>
      <c r="O235" s="121">
        <v>27853.065139836832</v>
      </c>
      <c r="P235" s="121">
        <v>32257.55197385393</v>
      </c>
      <c r="Q235" s="120">
        <v>20847.519183170705</v>
      </c>
      <c r="R235" s="314">
        <v>48700.584323007541</v>
      </c>
      <c r="S235" s="315">
        <v>53105.071157024635</v>
      </c>
      <c r="U235" s="7" t="s">
        <v>1571</v>
      </c>
    </row>
    <row r="236" spans="1:21" ht="16.5" thickBot="1">
      <c r="A236" s="50" t="s">
        <v>35</v>
      </c>
      <c r="B236" s="51">
        <f t="shared" si="12"/>
        <v>75</v>
      </c>
      <c r="C236" s="51" t="s">
        <v>3</v>
      </c>
      <c r="D236" s="51">
        <f t="shared" si="13"/>
        <v>300</v>
      </c>
      <c r="E236" s="51" t="s">
        <v>3</v>
      </c>
      <c r="F236" s="110">
        <f t="shared" si="14"/>
        <v>1750</v>
      </c>
      <c r="G236" s="51" t="s">
        <v>3</v>
      </c>
      <c r="H236" s="48">
        <v>4</v>
      </c>
      <c r="I236" s="49" t="s">
        <v>45</v>
      </c>
      <c r="J236" s="112">
        <v>75</v>
      </c>
      <c r="K236" s="113">
        <v>300</v>
      </c>
      <c r="L236" s="113">
        <v>1750</v>
      </c>
      <c r="M236" s="185">
        <v>17.979148978790001</v>
      </c>
      <c r="N236" s="75">
        <v>740.54399999999998</v>
      </c>
      <c r="O236" s="121">
        <v>28499.817067979293</v>
      </c>
      <c r="P236" s="121">
        <v>33020.743629773373</v>
      </c>
      <c r="Q236" s="120">
        <v>21558.506269211328</v>
      </c>
      <c r="R236" s="314">
        <v>50058.323337190624</v>
      </c>
      <c r="S236" s="315">
        <v>54579.249898984701</v>
      </c>
      <c r="U236" s="7" t="s">
        <v>1572</v>
      </c>
    </row>
    <row r="237" spans="1:21" ht="16.5" thickBot="1">
      <c r="A237" s="50" t="s">
        <v>35</v>
      </c>
      <c r="B237" s="51">
        <f t="shared" si="12"/>
        <v>75</v>
      </c>
      <c r="C237" s="51" t="s">
        <v>3</v>
      </c>
      <c r="D237" s="51">
        <f t="shared" si="13"/>
        <v>300</v>
      </c>
      <c r="E237" s="51" t="s">
        <v>3</v>
      </c>
      <c r="F237" s="110">
        <f t="shared" si="14"/>
        <v>1800</v>
      </c>
      <c r="G237" s="51" t="s">
        <v>3</v>
      </c>
      <c r="H237" s="48">
        <v>4</v>
      </c>
      <c r="I237" s="49" t="s">
        <v>45</v>
      </c>
      <c r="J237" s="112">
        <v>75</v>
      </c>
      <c r="K237" s="113">
        <v>300</v>
      </c>
      <c r="L237" s="113">
        <v>1800</v>
      </c>
      <c r="M237" s="185">
        <v>18.45836378605</v>
      </c>
      <c r="N237" s="75">
        <v>766.99199999999996</v>
      </c>
      <c r="O237" s="121">
        <v>29146.568996121758</v>
      </c>
      <c r="P237" s="121">
        <v>33783.935285692671</v>
      </c>
      <c r="Q237" s="120">
        <v>22038.911437075316</v>
      </c>
      <c r="R237" s="314">
        <v>51185.480433197074</v>
      </c>
      <c r="S237" s="315">
        <v>55822.846722767987</v>
      </c>
      <c r="U237" s="7" t="s">
        <v>1573</v>
      </c>
    </row>
    <row r="238" spans="1:21" ht="16.5" thickBot="1">
      <c r="A238" s="50" t="s">
        <v>35</v>
      </c>
      <c r="B238" s="51">
        <f t="shared" si="12"/>
        <v>75</v>
      </c>
      <c r="C238" s="51" t="s">
        <v>3</v>
      </c>
      <c r="D238" s="51">
        <f t="shared" si="13"/>
        <v>300</v>
      </c>
      <c r="E238" s="51" t="s">
        <v>3</v>
      </c>
      <c r="F238" s="110">
        <f t="shared" si="14"/>
        <v>1850</v>
      </c>
      <c r="G238" s="51" t="s">
        <v>3</v>
      </c>
      <c r="H238" s="48">
        <v>4</v>
      </c>
      <c r="I238" s="49" t="s">
        <v>45</v>
      </c>
      <c r="J238" s="112">
        <v>75</v>
      </c>
      <c r="K238" s="113">
        <v>300</v>
      </c>
      <c r="L238" s="113">
        <v>1850</v>
      </c>
      <c r="M238" s="185">
        <v>18.954618593310002</v>
      </c>
      <c r="N238" s="75">
        <v>793.44</v>
      </c>
      <c r="O238" s="121">
        <v>29793.320924264219</v>
      </c>
      <c r="P238" s="121">
        <v>34547.126801218881</v>
      </c>
      <c r="Q238" s="120">
        <v>22749.898382722578</v>
      </c>
      <c r="R238" s="314">
        <v>52543.219306986794</v>
      </c>
      <c r="S238" s="315">
        <v>57297.025183941456</v>
      </c>
      <c r="U238" s="7" t="s">
        <v>1574</v>
      </c>
    </row>
    <row r="239" spans="1:21" ht="16.5" thickBot="1">
      <c r="A239" s="50" t="s">
        <v>35</v>
      </c>
      <c r="B239" s="51">
        <f t="shared" si="12"/>
        <v>75</v>
      </c>
      <c r="C239" s="51" t="s">
        <v>3</v>
      </c>
      <c r="D239" s="51">
        <f t="shared" si="13"/>
        <v>300</v>
      </c>
      <c r="E239" s="51" t="s">
        <v>3</v>
      </c>
      <c r="F239" s="110">
        <f t="shared" si="14"/>
        <v>1900</v>
      </c>
      <c r="G239" s="51" t="s">
        <v>3</v>
      </c>
      <c r="H239" s="48">
        <v>4</v>
      </c>
      <c r="I239" s="49" t="s">
        <v>45</v>
      </c>
      <c r="J239" s="112">
        <v>75</v>
      </c>
      <c r="K239" s="113">
        <v>300</v>
      </c>
      <c r="L239" s="113">
        <v>1900</v>
      </c>
      <c r="M239" s="185">
        <v>19.433833400570002</v>
      </c>
      <c r="N239" s="75">
        <v>819.88800000000003</v>
      </c>
      <c r="O239" s="121">
        <v>30440.07271201332</v>
      </c>
      <c r="P239" s="121">
        <v>35310.318457138317</v>
      </c>
      <c r="Q239" s="120">
        <v>23230.30369097993</v>
      </c>
      <c r="R239" s="314">
        <v>53670.37640299325</v>
      </c>
      <c r="S239" s="315">
        <v>58540.622148118244</v>
      </c>
      <c r="U239" s="7" t="s">
        <v>1575</v>
      </c>
    </row>
    <row r="240" spans="1:21" ht="16.5" thickBot="1">
      <c r="A240" s="50" t="s">
        <v>35</v>
      </c>
      <c r="B240" s="51">
        <f t="shared" si="12"/>
        <v>75</v>
      </c>
      <c r="C240" s="51" t="s">
        <v>3</v>
      </c>
      <c r="D240" s="51">
        <f t="shared" si="13"/>
        <v>300</v>
      </c>
      <c r="E240" s="51" t="s">
        <v>3</v>
      </c>
      <c r="F240" s="110">
        <f t="shared" si="14"/>
        <v>1950</v>
      </c>
      <c r="G240" s="51" t="s">
        <v>3</v>
      </c>
      <c r="H240" s="48">
        <v>4</v>
      </c>
      <c r="I240" s="49" t="s">
        <v>45</v>
      </c>
      <c r="J240" s="112">
        <v>75</v>
      </c>
      <c r="K240" s="113">
        <v>300</v>
      </c>
      <c r="L240" s="113">
        <v>1950</v>
      </c>
      <c r="M240" s="185">
        <v>19.99154820783</v>
      </c>
      <c r="N240" s="75">
        <v>846.3359999999999</v>
      </c>
      <c r="O240" s="121">
        <v>31163.979076057916</v>
      </c>
      <c r="P240" s="121">
        <v>36148.312819744657</v>
      </c>
      <c r="Q240" s="120">
        <v>23710.708858843918</v>
      </c>
      <c r="R240" s="314">
        <v>54874.687934901835</v>
      </c>
      <c r="S240" s="315">
        <v>59859.021678588571</v>
      </c>
      <c r="U240" s="7" t="s">
        <v>1576</v>
      </c>
    </row>
    <row r="241" spans="1:21" ht="16.5" thickBot="1">
      <c r="A241" s="50" t="s">
        <v>35</v>
      </c>
      <c r="B241" s="51">
        <f t="shared" si="12"/>
        <v>75</v>
      </c>
      <c r="C241" s="51" t="s">
        <v>3</v>
      </c>
      <c r="D241" s="51">
        <f t="shared" si="13"/>
        <v>300</v>
      </c>
      <c r="E241" s="51" t="s">
        <v>3</v>
      </c>
      <c r="F241" s="110">
        <f t="shared" si="14"/>
        <v>2000</v>
      </c>
      <c r="G241" s="51" t="s">
        <v>3</v>
      </c>
      <c r="H241" s="48">
        <v>4</v>
      </c>
      <c r="I241" s="49" t="s">
        <v>45</v>
      </c>
      <c r="J241" s="112">
        <v>75</v>
      </c>
      <c r="K241" s="113">
        <v>300</v>
      </c>
      <c r="L241" s="113">
        <v>2000</v>
      </c>
      <c r="M241" s="185">
        <v>20.579365415090003</v>
      </c>
      <c r="N241" s="75">
        <v>872.78399999999999</v>
      </c>
      <c r="O241" s="121">
        <v>32041.273893022244</v>
      </c>
      <c r="P241" s="121">
        <v>37212.815025541247</v>
      </c>
      <c r="Q241" s="120">
        <v>24421.695804491177</v>
      </c>
      <c r="R241" s="314">
        <v>56462.969697513421</v>
      </c>
      <c r="S241" s="315">
        <v>61634.510830032421</v>
      </c>
      <c r="U241" s="7" t="s">
        <v>1577</v>
      </c>
    </row>
    <row r="242" spans="1:21" ht="16.5" thickBot="1">
      <c r="A242" s="50" t="s">
        <v>35</v>
      </c>
      <c r="B242" s="51">
        <f t="shared" si="12"/>
        <v>75</v>
      </c>
      <c r="C242" s="51" t="s">
        <v>3</v>
      </c>
      <c r="D242" s="51">
        <f t="shared" si="13"/>
        <v>300</v>
      </c>
      <c r="E242" s="51" t="s">
        <v>3</v>
      </c>
      <c r="F242" s="110">
        <f t="shared" si="14"/>
        <v>2050</v>
      </c>
      <c r="G242" s="51" t="s">
        <v>3</v>
      </c>
      <c r="H242" s="48">
        <v>4</v>
      </c>
      <c r="I242" s="49" t="s">
        <v>45</v>
      </c>
      <c r="J242" s="112">
        <v>75</v>
      </c>
      <c r="K242" s="113">
        <v>300</v>
      </c>
      <c r="L242" s="113">
        <v>2050</v>
      </c>
      <c r="M242" s="185">
        <v>21.058580222349999</v>
      </c>
      <c r="N242" s="75">
        <v>899.23199999999997</v>
      </c>
      <c r="O242" s="121">
        <v>32688.025821164705</v>
      </c>
      <c r="P242" s="121">
        <v>37976.006681460683</v>
      </c>
      <c r="Q242" s="120">
        <v>24902.101112748529</v>
      </c>
      <c r="R242" s="314">
        <v>57590.126933913234</v>
      </c>
      <c r="S242" s="315">
        <v>62878.107794209209</v>
      </c>
      <c r="U242" s="7" t="s">
        <v>1578</v>
      </c>
    </row>
    <row r="243" spans="1:21" ht="16.5" thickBot="1">
      <c r="A243" s="47" t="s">
        <v>35</v>
      </c>
      <c r="B243" s="48">
        <f t="shared" si="12"/>
        <v>75</v>
      </c>
      <c r="C243" s="48" t="s">
        <v>3</v>
      </c>
      <c r="D243" s="48">
        <f t="shared" si="13"/>
        <v>300</v>
      </c>
      <c r="E243" s="48" t="s">
        <v>3</v>
      </c>
      <c r="F243" s="110">
        <f t="shared" si="14"/>
        <v>2100</v>
      </c>
      <c r="G243" s="48" t="s">
        <v>3</v>
      </c>
      <c r="H243" s="48">
        <v>4</v>
      </c>
      <c r="I243" s="49" t="s">
        <v>45</v>
      </c>
      <c r="J243" s="112">
        <v>75</v>
      </c>
      <c r="K243" s="113">
        <v>300</v>
      </c>
      <c r="L243" s="113">
        <v>2100</v>
      </c>
      <c r="M243" s="185">
        <v>21.554835029609997</v>
      </c>
      <c r="N243" s="75">
        <v>925.68</v>
      </c>
      <c r="O243" s="121">
        <v>33334.77774930717</v>
      </c>
      <c r="P243" s="121">
        <v>38739.198196986763</v>
      </c>
      <c r="Q243" s="120">
        <v>25613.088058395791</v>
      </c>
      <c r="R243" s="314">
        <v>58947.865807702961</v>
      </c>
      <c r="S243" s="315">
        <v>64352.286255382554</v>
      </c>
      <c r="U243" s="7" t="s">
        <v>1579</v>
      </c>
    </row>
    <row r="244" spans="1:21" ht="16.5" thickBot="1">
      <c r="A244" s="50" t="s">
        <v>35</v>
      </c>
      <c r="B244" s="51">
        <f t="shared" si="12"/>
        <v>75</v>
      </c>
      <c r="C244" s="51" t="s">
        <v>3</v>
      </c>
      <c r="D244" s="51">
        <f t="shared" si="13"/>
        <v>300</v>
      </c>
      <c r="E244" s="51" t="s">
        <v>3</v>
      </c>
      <c r="F244" s="110">
        <f t="shared" si="14"/>
        <v>2150</v>
      </c>
      <c r="G244" s="51" t="s">
        <v>3</v>
      </c>
      <c r="H244" s="48">
        <v>4</v>
      </c>
      <c r="I244" s="49" t="s">
        <v>45</v>
      </c>
      <c r="J244" s="112">
        <v>75</v>
      </c>
      <c r="K244" s="113">
        <v>300</v>
      </c>
      <c r="L244" s="113">
        <v>2150</v>
      </c>
      <c r="M244" s="185">
        <v>22.03404983687</v>
      </c>
      <c r="N244" s="75">
        <v>952.12800000000004</v>
      </c>
      <c r="O244" s="121">
        <v>33981.529677449631</v>
      </c>
      <c r="P244" s="121">
        <v>39502.389852906192</v>
      </c>
      <c r="Q244" s="120">
        <v>26093.493366653143</v>
      </c>
      <c r="R244" s="314">
        <v>60075.023044102774</v>
      </c>
      <c r="S244" s="315">
        <v>65595.883219559328</v>
      </c>
      <c r="U244" s="7" t="s">
        <v>1580</v>
      </c>
    </row>
    <row r="245" spans="1:21" ht="16.5" thickBot="1">
      <c r="A245" s="50" t="s">
        <v>35</v>
      </c>
      <c r="B245" s="51">
        <f t="shared" si="12"/>
        <v>75</v>
      </c>
      <c r="C245" s="51" t="s">
        <v>3</v>
      </c>
      <c r="D245" s="51">
        <f t="shared" si="13"/>
        <v>300</v>
      </c>
      <c r="E245" s="51" t="s">
        <v>3</v>
      </c>
      <c r="F245" s="110">
        <f t="shared" si="14"/>
        <v>2200</v>
      </c>
      <c r="G245" s="51" t="s">
        <v>3</v>
      </c>
      <c r="H245" s="48">
        <v>4</v>
      </c>
      <c r="I245" s="49" t="s">
        <v>45</v>
      </c>
      <c r="J245" s="112">
        <v>75</v>
      </c>
      <c r="K245" s="113">
        <v>300</v>
      </c>
      <c r="L245" s="113">
        <v>2200</v>
      </c>
      <c r="M245" s="185">
        <v>22.530304644129998</v>
      </c>
      <c r="N245" s="75">
        <v>978.57600000000002</v>
      </c>
      <c r="O245" s="121">
        <v>34628.281605592099</v>
      </c>
      <c r="P245" s="121">
        <v>40265.581508825628</v>
      </c>
      <c r="Q245" s="120">
        <v>26804.480312300402</v>
      </c>
      <c r="R245" s="314">
        <v>61432.761917892502</v>
      </c>
      <c r="S245" s="315">
        <v>67070.06182112603</v>
      </c>
      <c r="U245" s="7" t="s">
        <v>1581</v>
      </c>
    </row>
    <row r="246" spans="1:21" ht="16.5" thickBot="1">
      <c r="A246" s="50" t="s">
        <v>35</v>
      </c>
      <c r="B246" s="51">
        <f t="shared" si="12"/>
        <v>75</v>
      </c>
      <c r="C246" s="51" t="s">
        <v>3</v>
      </c>
      <c r="D246" s="51">
        <f t="shared" si="13"/>
        <v>300</v>
      </c>
      <c r="E246" s="51" t="s">
        <v>3</v>
      </c>
      <c r="F246" s="110">
        <f t="shared" si="14"/>
        <v>2250</v>
      </c>
      <c r="G246" s="51" t="s">
        <v>3</v>
      </c>
      <c r="H246" s="48">
        <v>4</v>
      </c>
      <c r="I246" s="49" t="s">
        <v>45</v>
      </c>
      <c r="J246" s="112">
        <v>75</v>
      </c>
      <c r="K246" s="113">
        <v>300</v>
      </c>
      <c r="L246" s="113">
        <v>2250</v>
      </c>
      <c r="M246" s="185">
        <v>23.009519451390002</v>
      </c>
      <c r="N246" s="75">
        <v>1005.0239999999999</v>
      </c>
      <c r="O246" s="121">
        <v>35275.033393341197</v>
      </c>
      <c r="P246" s="121">
        <v>41028.773164745071</v>
      </c>
      <c r="Q246" s="120">
        <v>27284.885480164394</v>
      </c>
      <c r="R246" s="314">
        <v>62559.918873505594</v>
      </c>
      <c r="S246" s="315">
        <v>68313.658644909461</v>
      </c>
      <c r="U246" s="7" t="s">
        <v>1582</v>
      </c>
    </row>
    <row r="247" spans="1:21" ht="16.5" thickBot="1">
      <c r="A247" s="50" t="s">
        <v>35</v>
      </c>
      <c r="B247" s="51">
        <f t="shared" si="12"/>
        <v>75</v>
      </c>
      <c r="C247" s="51" t="s">
        <v>3</v>
      </c>
      <c r="D247" s="51">
        <f t="shared" si="13"/>
        <v>300</v>
      </c>
      <c r="E247" s="51" t="s">
        <v>3</v>
      </c>
      <c r="F247" s="110">
        <f t="shared" si="14"/>
        <v>2300</v>
      </c>
      <c r="G247" s="51" t="s">
        <v>3</v>
      </c>
      <c r="H247" s="48">
        <v>4</v>
      </c>
      <c r="I247" s="49" t="s">
        <v>45</v>
      </c>
      <c r="J247" s="112">
        <v>75</v>
      </c>
      <c r="K247" s="113">
        <v>300</v>
      </c>
      <c r="L247" s="113">
        <v>2300</v>
      </c>
      <c r="M247" s="185">
        <v>23.488734258649998</v>
      </c>
      <c r="N247" s="75">
        <v>1031.472</v>
      </c>
      <c r="O247" s="121">
        <v>35921.785321483658</v>
      </c>
      <c r="P247" s="121">
        <v>41791.964820664507</v>
      </c>
      <c r="Q247" s="120">
        <v>27765.290788421746</v>
      </c>
      <c r="R247" s="314">
        <v>63687.076109905407</v>
      </c>
      <c r="S247" s="315">
        <v>69557.255609086249</v>
      </c>
      <c r="U247" s="7" t="s">
        <v>1583</v>
      </c>
    </row>
    <row r="248" spans="1:21" ht="16.5" thickBot="1">
      <c r="A248" s="50" t="s">
        <v>35</v>
      </c>
      <c r="B248" s="51">
        <f t="shared" si="12"/>
        <v>75</v>
      </c>
      <c r="C248" s="51" t="s">
        <v>3</v>
      </c>
      <c r="D248" s="51">
        <f t="shared" si="13"/>
        <v>300</v>
      </c>
      <c r="E248" s="51" t="s">
        <v>3</v>
      </c>
      <c r="F248" s="110">
        <f t="shared" si="14"/>
        <v>2350</v>
      </c>
      <c r="G248" s="51" t="s">
        <v>3</v>
      </c>
      <c r="H248" s="48">
        <v>4</v>
      </c>
      <c r="I248" s="49" t="s">
        <v>45</v>
      </c>
      <c r="J248" s="112">
        <v>75</v>
      </c>
      <c r="K248" s="113">
        <v>300</v>
      </c>
      <c r="L248" s="113">
        <v>2350</v>
      </c>
      <c r="M248" s="185">
        <v>23.98498906591</v>
      </c>
      <c r="N248" s="75">
        <v>1057.92</v>
      </c>
      <c r="O248" s="121">
        <v>36568.537249626119</v>
      </c>
      <c r="P248" s="121">
        <v>42555.15647658395</v>
      </c>
      <c r="Q248" s="120">
        <v>28476.277734069005</v>
      </c>
      <c r="R248" s="314">
        <v>65044.81498369512</v>
      </c>
      <c r="S248" s="315">
        <v>71031.434210652951</v>
      </c>
      <c r="U248" s="7" t="s">
        <v>1584</v>
      </c>
    </row>
    <row r="249" spans="1:21" ht="16.5" thickBot="1">
      <c r="A249" s="50" t="s">
        <v>35</v>
      </c>
      <c r="B249" s="51">
        <f t="shared" si="12"/>
        <v>75</v>
      </c>
      <c r="C249" s="51" t="s">
        <v>3</v>
      </c>
      <c r="D249" s="51">
        <f t="shared" si="13"/>
        <v>300</v>
      </c>
      <c r="E249" s="51" t="s">
        <v>3</v>
      </c>
      <c r="F249" s="110">
        <f t="shared" si="14"/>
        <v>2400</v>
      </c>
      <c r="G249" s="51" t="s">
        <v>3</v>
      </c>
      <c r="H249" s="48">
        <v>4</v>
      </c>
      <c r="I249" s="49" t="s">
        <v>45</v>
      </c>
      <c r="J249" s="112">
        <v>75</v>
      </c>
      <c r="K249" s="113">
        <v>300</v>
      </c>
      <c r="L249" s="113">
        <v>2400</v>
      </c>
      <c r="M249" s="185">
        <v>24.46420387317</v>
      </c>
      <c r="N249" s="75">
        <v>1084.3679999999999</v>
      </c>
      <c r="O249" s="121">
        <v>37215.28917776858</v>
      </c>
      <c r="P249" s="121">
        <v>43318.347992110022</v>
      </c>
      <c r="Q249" s="120">
        <v>28956.682901932996</v>
      </c>
      <c r="R249" s="314">
        <v>66171.972079701576</v>
      </c>
      <c r="S249" s="315">
        <v>72275.030894043011</v>
      </c>
      <c r="U249" s="7" t="s">
        <v>1585</v>
      </c>
    </row>
    <row r="250" spans="1:21" ht="16.5" thickBot="1">
      <c r="A250" s="50" t="s">
        <v>35</v>
      </c>
      <c r="B250" s="51">
        <f t="shared" si="12"/>
        <v>75</v>
      </c>
      <c r="C250" s="51" t="s">
        <v>3</v>
      </c>
      <c r="D250" s="51">
        <f t="shared" si="13"/>
        <v>300</v>
      </c>
      <c r="E250" s="51" t="s">
        <v>3</v>
      </c>
      <c r="F250" s="110">
        <f t="shared" si="14"/>
        <v>2450</v>
      </c>
      <c r="G250" s="51" t="s">
        <v>3</v>
      </c>
      <c r="H250" s="48">
        <v>4</v>
      </c>
      <c r="I250" s="49" t="s">
        <v>45</v>
      </c>
      <c r="J250" s="112">
        <v>75</v>
      </c>
      <c r="K250" s="113">
        <v>300</v>
      </c>
      <c r="L250" s="113">
        <v>2450</v>
      </c>
      <c r="M250" s="185">
        <v>25.10502357323</v>
      </c>
      <c r="N250" s="75">
        <v>1110.8159999999998</v>
      </c>
      <c r="O250" s="121">
        <v>38540.68830011307</v>
      </c>
      <c r="P250" s="121">
        <v>44675.965425641189</v>
      </c>
      <c r="Q250" s="120">
        <v>29667.669987973619</v>
      </c>
      <c r="R250" s="314">
        <v>68208.358288086689</v>
      </c>
      <c r="S250" s="315">
        <v>74343.6354136148</v>
      </c>
      <c r="U250" s="7" t="s">
        <v>1586</v>
      </c>
    </row>
    <row r="251" spans="1:21" ht="16.5" thickBot="1">
      <c r="A251" s="50" t="s">
        <v>35</v>
      </c>
      <c r="B251" s="51">
        <f t="shared" si="12"/>
        <v>75</v>
      </c>
      <c r="C251" s="51" t="s">
        <v>3</v>
      </c>
      <c r="D251" s="51">
        <f t="shared" si="13"/>
        <v>300</v>
      </c>
      <c r="E251" s="51" t="s">
        <v>3</v>
      </c>
      <c r="F251" s="110">
        <f t="shared" si="14"/>
        <v>2500</v>
      </c>
      <c r="G251" s="51" t="s">
        <v>3</v>
      </c>
      <c r="H251" s="48">
        <v>4</v>
      </c>
      <c r="I251" s="49" t="s">
        <v>45</v>
      </c>
      <c r="J251" s="112">
        <v>75</v>
      </c>
      <c r="K251" s="113">
        <v>300</v>
      </c>
      <c r="L251" s="113">
        <v>2500</v>
      </c>
      <c r="M251" s="185">
        <v>25.58423838049</v>
      </c>
      <c r="N251" s="75">
        <v>1137.2639999999999</v>
      </c>
      <c r="O251" s="121">
        <v>39187.440228255531</v>
      </c>
      <c r="P251" s="121">
        <v>45439.157081560625</v>
      </c>
      <c r="Q251" s="120">
        <v>30148.075155837607</v>
      </c>
      <c r="R251" s="314">
        <v>69335.515384093131</v>
      </c>
      <c r="S251" s="315">
        <v>75587.232237398232</v>
      </c>
      <c r="U251" s="7" t="s">
        <v>1587</v>
      </c>
    </row>
    <row r="252" spans="1:21" ht="16.5" thickBot="1">
      <c r="A252" s="50" t="s">
        <v>35</v>
      </c>
      <c r="B252" s="51">
        <f t="shared" si="12"/>
        <v>75</v>
      </c>
      <c r="C252" s="51" t="s">
        <v>3</v>
      </c>
      <c r="D252" s="51">
        <f t="shared" si="13"/>
        <v>300</v>
      </c>
      <c r="E252" s="51" t="s">
        <v>3</v>
      </c>
      <c r="F252" s="110">
        <f t="shared" si="14"/>
        <v>2550</v>
      </c>
      <c r="G252" s="51" t="s">
        <v>3</v>
      </c>
      <c r="H252" s="48">
        <v>4</v>
      </c>
      <c r="I252" s="49" t="s">
        <v>45</v>
      </c>
      <c r="J252" s="112">
        <v>75</v>
      </c>
      <c r="K252" s="113">
        <v>300</v>
      </c>
      <c r="L252" s="113">
        <v>2550</v>
      </c>
      <c r="M252" s="185">
        <v>26.080493187750001</v>
      </c>
      <c r="N252" s="75">
        <v>1163.712</v>
      </c>
      <c r="O252" s="121">
        <v>39834.192156397992</v>
      </c>
      <c r="P252" s="121">
        <v>46202.348737480061</v>
      </c>
      <c r="Q252" s="120">
        <v>30859.06224187823</v>
      </c>
      <c r="R252" s="314">
        <v>70693.254398276214</v>
      </c>
      <c r="S252" s="315">
        <v>77061.41097935829</v>
      </c>
      <c r="U252" s="7" t="s">
        <v>1588</v>
      </c>
    </row>
    <row r="253" spans="1:21" ht="16.5" thickBot="1">
      <c r="A253" s="47" t="s">
        <v>35</v>
      </c>
      <c r="B253" s="48">
        <f t="shared" si="12"/>
        <v>75</v>
      </c>
      <c r="C253" s="48" t="s">
        <v>3</v>
      </c>
      <c r="D253" s="48">
        <f t="shared" si="13"/>
        <v>300</v>
      </c>
      <c r="E253" s="48" t="s">
        <v>3</v>
      </c>
      <c r="F253" s="110">
        <f t="shared" si="14"/>
        <v>2600</v>
      </c>
      <c r="G253" s="48" t="s">
        <v>3</v>
      </c>
      <c r="H253" s="48">
        <v>4</v>
      </c>
      <c r="I253" s="49" t="s">
        <v>45</v>
      </c>
      <c r="J253" s="112">
        <v>75</v>
      </c>
      <c r="K253" s="113">
        <v>300</v>
      </c>
      <c r="L253" s="113">
        <v>2600</v>
      </c>
      <c r="M253" s="185">
        <v>26.559707995010001</v>
      </c>
      <c r="N253" s="75">
        <v>1190.1599999999999</v>
      </c>
      <c r="O253" s="121">
        <v>40480.943944147097</v>
      </c>
      <c r="P253" s="121">
        <v>46965.540393399497</v>
      </c>
      <c r="Q253" s="120">
        <v>31339.467409742221</v>
      </c>
      <c r="R253" s="314">
        <v>71820.411353889314</v>
      </c>
      <c r="S253" s="315">
        <v>78305.007803141722</v>
      </c>
      <c r="U253" s="7" t="s">
        <v>1589</v>
      </c>
    </row>
    <row r="254" spans="1:21" ht="16.5" thickBot="1">
      <c r="A254" s="50" t="s">
        <v>35</v>
      </c>
      <c r="B254" s="51">
        <f t="shared" si="12"/>
        <v>75</v>
      </c>
      <c r="C254" s="51" t="s">
        <v>3</v>
      </c>
      <c r="D254" s="51">
        <f t="shared" si="13"/>
        <v>300</v>
      </c>
      <c r="E254" s="51" t="s">
        <v>3</v>
      </c>
      <c r="F254" s="110">
        <f t="shared" si="14"/>
        <v>2650</v>
      </c>
      <c r="G254" s="51" t="s">
        <v>3</v>
      </c>
      <c r="H254" s="48">
        <v>4</v>
      </c>
      <c r="I254" s="49" t="s">
        <v>45</v>
      </c>
      <c r="J254" s="112">
        <v>75</v>
      </c>
      <c r="K254" s="113">
        <v>300</v>
      </c>
      <c r="L254" s="113">
        <v>2650</v>
      </c>
      <c r="M254" s="185">
        <v>27.055962802270002</v>
      </c>
      <c r="N254" s="75">
        <v>1216.6079999999999</v>
      </c>
      <c r="O254" s="121">
        <v>41127.695872289558</v>
      </c>
      <c r="P254" s="121">
        <v>47728.731908925576</v>
      </c>
      <c r="Q254" s="120">
        <v>32050.45435538948</v>
      </c>
      <c r="R254" s="314">
        <v>73178.150227679042</v>
      </c>
      <c r="S254" s="315">
        <v>79779.186264315053</v>
      </c>
      <c r="U254" s="7" t="s">
        <v>1590</v>
      </c>
    </row>
    <row r="255" spans="1:21" ht="16.5" thickBot="1">
      <c r="A255" s="50" t="s">
        <v>35</v>
      </c>
      <c r="B255" s="51">
        <f t="shared" si="12"/>
        <v>75</v>
      </c>
      <c r="C255" s="51" t="s">
        <v>3</v>
      </c>
      <c r="D255" s="51">
        <f t="shared" si="13"/>
        <v>300</v>
      </c>
      <c r="E255" s="51" t="s">
        <v>3</v>
      </c>
      <c r="F255" s="110">
        <f t="shared" si="14"/>
        <v>2700</v>
      </c>
      <c r="G255" s="51" t="s">
        <v>3</v>
      </c>
      <c r="H255" s="48">
        <v>4</v>
      </c>
      <c r="I255" s="49" t="s">
        <v>45</v>
      </c>
      <c r="J255" s="112">
        <v>75</v>
      </c>
      <c r="K255" s="113">
        <v>300</v>
      </c>
      <c r="L255" s="113">
        <v>2700</v>
      </c>
      <c r="M255" s="185">
        <v>27.613677609530001</v>
      </c>
      <c r="N255" s="75">
        <v>1243.056</v>
      </c>
      <c r="O255" s="121">
        <v>41851.602236334162</v>
      </c>
      <c r="P255" s="121">
        <v>48566.726271531916</v>
      </c>
      <c r="Q255" s="120">
        <v>32530.859663646832</v>
      </c>
      <c r="R255" s="314">
        <v>74382.46189998099</v>
      </c>
      <c r="S255" s="315">
        <v>81097.585935178751</v>
      </c>
      <c r="U255" s="7" t="s">
        <v>1591</v>
      </c>
    </row>
    <row r="256" spans="1:21" ht="16.5" thickBot="1">
      <c r="A256" s="50" t="s">
        <v>35</v>
      </c>
      <c r="B256" s="51">
        <f t="shared" si="12"/>
        <v>75</v>
      </c>
      <c r="C256" s="51" t="s">
        <v>3</v>
      </c>
      <c r="D256" s="51">
        <f t="shared" si="13"/>
        <v>300</v>
      </c>
      <c r="E256" s="51" t="s">
        <v>3</v>
      </c>
      <c r="F256" s="110">
        <f t="shared" si="14"/>
        <v>2750</v>
      </c>
      <c r="G256" s="51" t="s">
        <v>3</v>
      </c>
      <c r="H256" s="48">
        <v>4</v>
      </c>
      <c r="I256" s="49" t="s">
        <v>45</v>
      </c>
      <c r="J256" s="112">
        <v>75</v>
      </c>
      <c r="K256" s="113">
        <v>300</v>
      </c>
      <c r="L256" s="113">
        <v>2750</v>
      </c>
      <c r="M256" s="185">
        <v>28.092892416790001</v>
      </c>
      <c r="N256" s="75">
        <v>1269.5040000000001</v>
      </c>
      <c r="O256" s="121">
        <v>42498.354024083259</v>
      </c>
      <c r="P256" s="121">
        <v>49329.917927451344</v>
      </c>
      <c r="Q256" s="120">
        <v>33011.264831510824</v>
      </c>
      <c r="R256" s="314">
        <v>75509.618855594075</v>
      </c>
      <c r="S256" s="315">
        <v>82341.182758962168</v>
      </c>
      <c r="U256" s="7" t="s">
        <v>1592</v>
      </c>
    </row>
    <row r="257" spans="1:21" ht="16.5" thickBot="1">
      <c r="A257" s="50" t="s">
        <v>35</v>
      </c>
      <c r="B257" s="51">
        <f t="shared" si="12"/>
        <v>75</v>
      </c>
      <c r="C257" s="51" t="s">
        <v>3</v>
      </c>
      <c r="D257" s="51">
        <f t="shared" si="13"/>
        <v>300</v>
      </c>
      <c r="E257" s="51" t="s">
        <v>3</v>
      </c>
      <c r="F257" s="110">
        <f t="shared" si="14"/>
        <v>2800</v>
      </c>
      <c r="G257" s="51" t="s">
        <v>3</v>
      </c>
      <c r="H257" s="48">
        <v>4</v>
      </c>
      <c r="I257" s="49" t="s">
        <v>45</v>
      </c>
      <c r="J257" s="112">
        <v>75</v>
      </c>
      <c r="K257" s="113">
        <v>300</v>
      </c>
      <c r="L257" s="113">
        <v>2800</v>
      </c>
      <c r="M257" s="185">
        <v>28.589147224050002</v>
      </c>
      <c r="N257" s="75">
        <v>1295.952</v>
      </c>
      <c r="O257" s="121">
        <v>43145.10595222572</v>
      </c>
      <c r="P257" s="121">
        <v>50093.10958337078</v>
      </c>
      <c r="Q257" s="120">
        <v>33722.251777158082</v>
      </c>
      <c r="R257" s="314">
        <v>76867.357729383803</v>
      </c>
      <c r="S257" s="315">
        <v>83815.361360528856</v>
      </c>
      <c r="U257" s="7" t="s">
        <v>1593</v>
      </c>
    </row>
    <row r="258" spans="1:21" ht="16.5" thickBot="1">
      <c r="A258" s="50" t="s">
        <v>35</v>
      </c>
      <c r="B258" s="51">
        <f t="shared" si="12"/>
        <v>75</v>
      </c>
      <c r="C258" s="51" t="s">
        <v>3</v>
      </c>
      <c r="D258" s="51">
        <f t="shared" si="13"/>
        <v>300</v>
      </c>
      <c r="E258" s="51" t="s">
        <v>3</v>
      </c>
      <c r="F258" s="110">
        <f t="shared" si="14"/>
        <v>2850</v>
      </c>
      <c r="G258" s="51" t="s">
        <v>3</v>
      </c>
      <c r="H258" s="48">
        <v>4</v>
      </c>
      <c r="I258" s="49" t="s">
        <v>45</v>
      </c>
      <c r="J258" s="112">
        <v>75</v>
      </c>
      <c r="K258" s="113">
        <v>300</v>
      </c>
      <c r="L258" s="113">
        <v>2850</v>
      </c>
      <c r="M258" s="185">
        <v>29.068362031309999</v>
      </c>
      <c r="N258" s="75">
        <v>1322.3999999999999</v>
      </c>
      <c r="O258" s="121">
        <v>43791.857880368188</v>
      </c>
      <c r="P258" s="121">
        <v>50856.301239290216</v>
      </c>
      <c r="Q258" s="120">
        <v>34202.657085415434</v>
      </c>
      <c r="R258" s="314">
        <v>77994.51496578363</v>
      </c>
      <c r="S258" s="315">
        <v>85058.958324705658</v>
      </c>
      <c r="U258" s="7" t="s">
        <v>1594</v>
      </c>
    </row>
    <row r="259" spans="1:21" ht="16.5" thickBot="1">
      <c r="A259" s="50" t="s">
        <v>35</v>
      </c>
      <c r="B259" s="51">
        <f t="shared" si="12"/>
        <v>75</v>
      </c>
      <c r="C259" s="51" t="s">
        <v>3</v>
      </c>
      <c r="D259" s="51">
        <f t="shared" si="13"/>
        <v>300</v>
      </c>
      <c r="E259" s="51" t="s">
        <v>3</v>
      </c>
      <c r="F259" s="110">
        <f t="shared" si="14"/>
        <v>2900</v>
      </c>
      <c r="G259" s="51" t="s">
        <v>3</v>
      </c>
      <c r="H259" s="48">
        <v>4</v>
      </c>
      <c r="I259" s="49" t="s">
        <v>45</v>
      </c>
      <c r="J259" s="112">
        <v>75</v>
      </c>
      <c r="K259" s="113">
        <v>300</v>
      </c>
      <c r="L259" s="113">
        <v>2900</v>
      </c>
      <c r="M259" s="185">
        <v>29.56461683857</v>
      </c>
      <c r="N259" s="75">
        <v>1348.848</v>
      </c>
      <c r="O259" s="121">
        <v>44438.609808510642</v>
      </c>
      <c r="P259" s="121">
        <v>51619.492754816296</v>
      </c>
      <c r="Q259" s="120">
        <v>34913.644031062693</v>
      </c>
      <c r="R259" s="314">
        <v>79352.253839573328</v>
      </c>
      <c r="S259" s="315">
        <v>86533.136785878989</v>
      </c>
      <c r="U259" s="7" t="s">
        <v>1595</v>
      </c>
    </row>
    <row r="260" spans="1:21" ht="16.5" thickBot="1">
      <c r="A260" s="50" t="s">
        <v>35</v>
      </c>
      <c r="B260" s="51">
        <f t="shared" si="12"/>
        <v>75</v>
      </c>
      <c r="C260" s="51" t="s">
        <v>3</v>
      </c>
      <c r="D260" s="51">
        <f t="shared" si="13"/>
        <v>300</v>
      </c>
      <c r="E260" s="51" t="s">
        <v>3</v>
      </c>
      <c r="F260" s="110">
        <f t="shared" si="14"/>
        <v>2950</v>
      </c>
      <c r="G260" s="51" t="s">
        <v>3</v>
      </c>
      <c r="H260" s="48">
        <v>4</v>
      </c>
      <c r="I260" s="49" t="s">
        <v>45</v>
      </c>
      <c r="J260" s="112">
        <v>75</v>
      </c>
      <c r="K260" s="113">
        <v>300</v>
      </c>
      <c r="L260" s="113">
        <v>2950</v>
      </c>
      <c r="M260" s="185">
        <v>30.043831645829997</v>
      </c>
      <c r="N260" s="75">
        <v>1375.2959999999998</v>
      </c>
      <c r="O260" s="121">
        <v>45085.361736653111</v>
      </c>
      <c r="P260" s="121">
        <v>52382.684410735732</v>
      </c>
      <c r="Q260" s="120">
        <v>35394.049339320045</v>
      </c>
      <c r="R260" s="314">
        <v>80479.411075973156</v>
      </c>
      <c r="S260" s="315">
        <v>87776.733750055777</v>
      </c>
      <c r="U260" s="7" t="s">
        <v>1596</v>
      </c>
    </row>
    <row r="261" spans="1:21" ht="16.5" thickBot="1">
      <c r="A261" s="52" t="s">
        <v>35</v>
      </c>
      <c r="B261" s="53">
        <f t="shared" si="12"/>
        <v>75</v>
      </c>
      <c r="C261" s="53" t="s">
        <v>3</v>
      </c>
      <c r="D261" s="53">
        <f t="shared" si="13"/>
        <v>300</v>
      </c>
      <c r="E261" s="53" t="s">
        <v>3</v>
      </c>
      <c r="F261" s="111">
        <f t="shared" si="14"/>
        <v>3000</v>
      </c>
      <c r="G261" s="53" t="s">
        <v>3</v>
      </c>
      <c r="H261" s="55">
        <v>4</v>
      </c>
      <c r="I261" s="54" t="s">
        <v>45</v>
      </c>
      <c r="J261" s="146">
        <v>75</v>
      </c>
      <c r="K261" s="157">
        <v>300</v>
      </c>
      <c r="L261" s="157">
        <v>3000</v>
      </c>
      <c r="M261" s="187">
        <v>30.540086453089998</v>
      </c>
      <c r="N261" s="147">
        <v>1401.7439999999999</v>
      </c>
      <c r="O261" s="158">
        <v>45732.113524402208</v>
      </c>
      <c r="P261" s="158">
        <v>53145.876066655175</v>
      </c>
      <c r="Q261" s="159">
        <v>36105.036284967304</v>
      </c>
      <c r="R261" s="316">
        <v>81837.149809369512</v>
      </c>
      <c r="S261" s="317">
        <v>89250.912351622479</v>
      </c>
      <c r="U261" s="7" t="s">
        <v>1597</v>
      </c>
    </row>
    <row r="262" spans="1:21" ht="22.5" customHeight="1" thickBot="1">
      <c r="A262" s="2621" t="s">
        <v>49</v>
      </c>
      <c r="B262" s="2622"/>
      <c r="C262" s="2622"/>
      <c r="D262" s="2622"/>
      <c r="E262" s="2622"/>
      <c r="F262" s="2622"/>
      <c r="G262" s="2622"/>
      <c r="H262" s="2622"/>
      <c r="I262" s="2622"/>
      <c r="J262" s="2622"/>
      <c r="K262" s="2622"/>
      <c r="L262" s="2622"/>
      <c r="M262" s="2622"/>
      <c r="N262" s="2622"/>
      <c r="O262" s="2622"/>
      <c r="P262" s="2622"/>
      <c r="Q262" s="2622"/>
      <c r="R262" s="2622"/>
      <c r="S262" s="2623"/>
      <c r="U262" s="7"/>
    </row>
    <row r="263" spans="1:21" ht="16.5" thickBot="1">
      <c r="A263" s="2583" t="s">
        <v>135</v>
      </c>
      <c r="B263" s="2584"/>
      <c r="C263" s="2584"/>
      <c r="D263" s="2584"/>
      <c r="E263" s="2584"/>
      <c r="F263" s="2584"/>
      <c r="G263" s="2584"/>
      <c r="H263" s="2584"/>
      <c r="I263" s="2584"/>
      <c r="J263" s="2584"/>
      <c r="K263" s="2584"/>
      <c r="L263" s="2584"/>
      <c r="M263" s="2584"/>
      <c r="N263" s="2584"/>
      <c r="O263" s="2584"/>
      <c r="P263" s="2584"/>
      <c r="Q263" s="2584"/>
      <c r="R263" s="2584"/>
      <c r="S263" s="2585"/>
      <c r="U263" s="7"/>
    </row>
    <row r="264" spans="1:21" ht="16.5" thickBot="1">
      <c r="A264" s="47" t="s">
        <v>35</v>
      </c>
      <c r="B264" s="48">
        <f>J264</f>
        <v>75</v>
      </c>
      <c r="C264" s="48" t="s">
        <v>3</v>
      </c>
      <c r="D264" s="48">
        <f>K264</f>
        <v>360</v>
      </c>
      <c r="E264" s="48" t="s">
        <v>3</v>
      </c>
      <c r="F264" s="110">
        <f>L264</f>
        <v>600</v>
      </c>
      <c r="G264" s="48" t="s">
        <v>3</v>
      </c>
      <c r="H264" s="48">
        <v>4</v>
      </c>
      <c r="I264" s="49" t="s">
        <v>45</v>
      </c>
      <c r="J264" s="142">
        <v>75</v>
      </c>
      <c r="K264" s="168">
        <v>360</v>
      </c>
      <c r="L264" s="168">
        <v>600</v>
      </c>
      <c r="M264" s="182">
        <v>7.3434853416942119</v>
      </c>
      <c r="N264" s="143">
        <v>142.04670000000002</v>
      </c>
      <c r="O264" s="183">
        <v>13432.662976623864</v>
      </c>
      <c r="P264" s="183">
        <v>15691.01123151484</v>
      </c>
      <c r="Q264" s="169">
        <v>9204.3678470371888</v>
      </c>
      <c r="R264" s="312">
        <v>22637.030823661051</v>
      </c>
      <c r="S264" s="313">
        <v>24895.379078552029</v>
      </c>
      <c r="U264" s="7" t="s">
        <v>1598</v>
      </c>
    </row>
    <row r="265" spans="1:21" ht="16.5" thickBot="1">
      <c r="A265" s="50" t="s">
        <v>35</v>
      </c>
      <c r="B265" s="51">
        <f t="shared" ref="B265:B312" si="15">J265</f>
        <v>75</v>
      </c>
      <c r="C265" s="51" t="s">
        <v>3</v>
      </c>
      <c r="D265" s="51">
        <f t="shared" ref="D265:D312" si="16">K265</f>
        <v>360</v>
      </c>
      <c r="E265" s="51" t="s">
        <v>3</v>
      </c>
      <c r="F265" s="110">
        <f t="shared" ref="F265:F312" si="17">L265</f>
        <v>650</v>
      </c>
      <c r="G265" s="51" t="s">
        <v>3</v>
      </c>
      <c r="H265" s="48">
        <v>4</v>
      </c>
      <c r="I265" s="49" t="s">
        <v>45</v>
      </c>
      <c r="J265" s="112">
        <v>75</v>
      </c>
      <c r="K265" s="113">
        <v>360</v>
      </c>
      <c r="L265" s="113">
        <v>650</v>
      </c>
      <c r="M265" s="185">
        <v>7.8927079558363165</v>
      </c>
      <c r="N265" s="75">
        <v>170.45604</v>
      </c>
      <c r="O265" s="121">
        <v>14107.533870161365</v>
      </c>
      <c r="P265" s="121">
        <v>16574.225594215615</v>
      </c>
      <c r="Q265" s="120">
        <v>9757.9649885401141</v>
      </c>
      <c r="R265" s="314">
        <v>23865.498858701481</v>
      </c>
      <c r="S265" s="315">
        <v>26332.190582755728</v>
      </c>
      <c r="U265" s="7" t="s">
        <v>1599</v>
      </c>
    </row>
    <row r="266" spans="1:21" ht="16.5" thickBot="1">
      <c r="A266" s="50" t="s">
        <v>35</v>
      </c>
      <c r="B266" s="51">
        <f t="shared" si="15"/>
        <v>75</v>
      </c>
      <c r="C266" s="51" t="s">
        <v>3</v>
      </c>
      <c r="D266" s="51">
        <f t="shared" si="16"/>
        <v>360</v>
      </c>
      <c r="E266" s="51" t="s">
        <v>3</v>
      </c>
      <c r="F266" s="110">
        <f t="shared" si="17"/>
        <v>700</v>
      </c>
      <c r="G266" s="51" t="s">
        <v>3</v>
      </c>
      <c r="H266" s="48">
        <v>4</v>
      </c>
      <c r="I266" s="49" t="s">
        <v>45</v>
      </c>
      <c r="J266" s="112">
        <v>75</v>
      </c>
      <c r="K266" s="113">
        <v>360</v>
      </c>
      <c r="L266" s="113">
        <v>700</v>
      </c>
      <c r="M266" s="185">
        <v>8.4380150954384199</v>
      </c>
      <c r="N266" s="75">
        <v>198.86538000000002</v>
      </c>
      <c r="O266" s="121">
        <v>14782.404763698865</v>
      </c>
      <c r="P266" s="121">
        <v>17389.027254123677</v>
      </c>
      <c r="Q266" s="120">
        <v>10542.143907826316</v>
      </c>
      <c r="R266" s="314">
        <v>25324.548671525183</v>
      </c>
      <c r="S266" s="315">
        <v>27931.171161949991</v>
      </c>
      <c r="U266" s="7" t="s">
        <v>1600</v>
      </c>
    </row>
    <row r="267" spans="1:21" ht="16.5" thickBot="1">
      <c r="A267" s="50" t="s">
        <v>35</v>
      </c>
      <c r="B267" s="51">
        <f t="shared" si="15"/>
        <v>75</v>
      </c>
      <c r="C267" s="51" t="s">
        <v>3</v>
      </c>
      <c r="D267" s="51">
        <f t="shared" si="16"/>
        <v>360</v>
      </c>
      <c r="E267" s="51" t="s">
        <v>3</v>
      </c>
      <c r="F267" s="110">
        <f t="shared" si="17"/>
        <v>750</v>
      </c>
      <c r="G267" s="51" t="s">
        <v>3</v>
      </c>
      <c r="H267" s="48">
        <v>4</v>
      </c>
      <c r="I267" s="49" t="s">
        <v>45</v>
      </c>
      <c r="J267" s="112">
        <v>75</v>
      </c>
      <c r="K267" s="113">
        <v>360</v>
      </c>
      <c r="L267" s="113">
        <v>750</v>
      </c>
      <c r="M267" s="185">
        <v>8.9662822350405271</v>
      </c>
      <c r="N267" s="75">
        <v>227.27472</v>
      </c>
      <c r="O267" s="121">
        <v>15457.275657236365</v>
      </c>
      <c r="P267" s="121">
        <v>18203.828773638379</v>
      </c>
      <c r="Q267" s="120">
        <v>11095.741049329239</v>
      </c>
      <c r="R267" s="314">
        <v>26553.016706565606</v>
      </c>
      <c r="S267" s="315">
        <v>29299.56982296762</v>
      </c>
      <c r="U267" s="7" t="s">
        <v>1601</v>
      </c>
    </row>
    <row r="268" spans="1:21" ht="16.5" thickBot="1">
      <c r="A268" s="50" t="s">
        <v>35</v>
      </c>
      <c r="B268" s="51">
        <f t="shared" si="15"/>
        <v>75</v>
      </c>
      <c r="C268" s="51" t="s">
        <v>3</v>
      </c>
      <c r="D268" s="51">
        <f t="shared" si="16"/>
        <v>360</v>
      </c>
      <c r="E268" s="51" t="s">
        <v>3</v>
      </c>
      <c r="F268" s="110">
        <f t="shared" si="17"/>
        <v>800</v>
      </c>
      <c r="G268" s="51" t="s">
        <v>3</v>
      </c>
      <c r="H268" s="48">
        <v>4</v>
      </c>
      <c r="I268" s="49" t="s">
        <v>45</v>
      </c>
      <c r="J268" s="112">
        <v>75</v>
      </c>
      <c r="K268" s="113">
        <v>360</v>
      </c>
      <c r="L268" s="113">
        <v>800</v>
      </c>
      <c r="M268" s="185">
        <v>9.4945493746426326</v>
      </c>
      <c r="N268" s="75">
        <v>255.68405999999999</v>
      </c>
      <c r="O268" s="121">
        <v>16132.146550773867</v>
      </c>
      <c r="P268" s="121">
        <v>19018.630433546441</v>
      </c>
      <c r="Q268" s="120">
        <v>11649.338190832164</v>
      </c>
      <c r="R268" s="314">
        <v>27781.484741606029</v>
      </c>
      <c r="S268" s="315">
        <v>30667.968624378605</v>
      </c>
      <c r="U268" s="7" t="s">
        <v>1602</v>
      </c>
    </row>
    <row r="269" spans="1:21" ht="16.5" thickBot="1">
      <c r="A269" s="50" t="s">
        <v>35</v>
      </c>
      <c r="B269" s="51">
        <f t="shared" si="15"/>
        <v>75</v>
      </c>
      <c r="C269" s="51" t="s">
        <v>3</v>
      </c>
      <c r="D269" s="51">
        <f t="shared" si="16"/>
        <v>360</v>
      </c>
      <c r="E269" s="51" t="s">
        <v>3</v>
      </c>
      <c r="F269" s="110">
        <f t="shared" si="17"/>
        <v>850</v>
      </c>
      <c r="G269" s="51" t="s">
        <v>3</v>
      </c>
      <c r="H269" s="48">
        <v>4</v>
      </c>
      <c r="I269" s="49" t="s">
        <v>45</v>
      </c>
      <c r="J269" s="112">
        <v>75</v>
      </c>
      <c r="K269" s="113">
        <v>360</v>
      </c>
      <c r="L269" s="113">
        <v>850</v>
      </c>
      <c r="M269" s="185">
        <v>10.039856514244738</v>
      </c>
      <c r="N269" s="75">
        <v>284.09340000000003</v>
      </c>
      <c r="O269" s="121">
        <v>16807.017444311365</v>
      </c>
      <c r="P269" s="121">
        <v>19833.431953061143</v>
      </c>
      <c r="Q269" s="120">
        <v>12433.517110118366</v>
      </c>
      <c r="R269" s="314">
        <v>29240.534554429731</v>
      </c>
      <c r="S269" s="315">
        <v>32266.949063179509</v>
      </c>
      <c r="U269" s="7" t="s">
        <v>1603</v>
      </c>
    </row>
    <row r="270" spans="1:21" ht="16.5" thickBot="1">
      <c r="A270" s="50" t="s">
        <v>35</v>
      </c>
      <c r="B270" s="51">
        <f t="shared" si="15"/>
        <v>75</v>
      </c>
      <c r="C270" s="51" t="s">
        <v>3</v>
      </c>
      <c r="D270" s="51">
        <f t="shared" si="16"/>
        <v>360</v>
      </c>
      <c r="E270" s="51" t="s">
        <v>3</v>
      </c>
      <c r="F270" s="110">
        <f t="shared" si="17"/>
        <v>900</v>
      </c>
      <c r="G270" s="51" t="s">
        <v>3</v>
      </c>
      <c r="H270" s="48">
        <v>4</v>
      </c>
      <c r="I270" s="49" t="s">
        <v>45</v>
      </c>
      <c r="J270" s="112">
        <v>75</v>
      </c>
      <c r="K270" s="113">
        <v>360</v>
      </c>
      <c r="L270" s="113">
        <v>900</v>
      </c>
      <c r="M270" s="185">
        <v>10.568123653846845</v>
      </c>
      <c r="N270" s="75">
        <v>312.50273999999996</v>
      </c>
      <c r="O270" s="121">
        <v>17481.888337848868</v>
      </c>
      <c r="P270" s="121">
        <v>20648.233612969205</v>
      </c>
      <c r="Q270" s="120">
        <v>12987.114251621291</v>
      </c>
      <c r="R270" s="314">
        <v>30469.002589470161</v>
      </c>
      <c r="S270" s="315">
        <v>33635.347864590498</v>
      </c>
      <c r="U270" s="7" t="s">
        <v>1604</v>
      </c>
    </row>
    <row r="271" spans="1:21" ht="16.5" thickBot="1">
      <c r="A271" s="50" t="s">
        <v>35</v>
      </c>
      <c r="B271" s="51">
        <f t="shared" si="15"/>
        <v>75</v>
      </c>
      <c r="C271" s="51" t="s">
        <v>3</v>
      </c>
      <c r="D271" s="51">
        <f t="shared" si="16"/>
        <v>360</v>
      </c>
      <c r="E271" s="51" t="s">
        <v>3</v>
      </c>
      <c r="F271" s="110">
        <f t="shared" si="17"/>
        <v>950</v>
      </c>
      <c r="G271" s="51" t="s">
        <v>3</v>
      </c>
      <c r="H271" s="48">
        <v>4</v>
      </c>
      <c r="I271" s="49" t="s">
        <v>45</v>
      </c>
      <c r="J271" s="112">
        <v>75</v>
      </c>
      <c r="K271" s="113">
        <v>360</v>
      </c>
      <c r="L271" s="113">
        <v>950</v>
      </c>
      <c r="M271" s="185">
        <v>11.113430793448948</v>
      </c>
      <c r="N271" s="75">
        <v>340.91208</v>
      </c>
      <c r="O271" s="121">
        <v>18156.759090993004</v>
      </c>
      <c r="P271" s="121">
        <v>21463.035132483903</v>
      </c>
      <c r="Q271" s="120">
        <v>13771.293170907491</v>
      </c>
      <c r="R271" s="314">
        <v>31928.052261900495</v>
      </c>
      <c r="S271" s="315">
        <v>35234.32830339139</v>
      </c>
      <c r="U271" s="7" t="s">
        <v>1605</v>
      </c>
    </row>
    <row r="272" spans="1:21" ht="16.5" thickBot="1">
      <c r="A272" s="50" t="s">
        <v>35</v>
      </c>
      <c r="B272" s="51">
        <f t="shared" si="15"/>
        <v>75</v>
      </c>
      <c r="C272" s="51" t="s">
        <v>3</v>
      </c>
      <c r="D272" s="51">
        <f t="shared" si="16"/>
        <v>360</v>
      </c>
      <c r="E272" s="51" t="s">
        <v>3</v>
      </c>
      <c r="F272" s="110">
        <f t="shared" si="17"/>
        <v>1000</v>
      </c>
      <c r="G272" s="51" t="s">
        <v>3</v>
      </c>
      <c r="H272" s="48">
        <v>4</v>
      </c>
      <c r="I272" s="49" t="s">
        <v>45</v>
      </c>
      <c r="J272" s="112">
        <v>75</v>
      </c>
      <c r="K272" s="113">
        <v>360</v>
      </c>
      <c r="L272" s="113">
        <v>1000</v>
      </c>
      <c r="M272" s="185">
        <v>11.641697933051054</v>
      </c>
      <c r="N272" s="75">
        <v>369.32141999999999</v>
      </c>
      <c r="O272" s="121">
        <v>18831.629984530504</v>
      </c>
      <c r="P272" s="121">
        <v>22277.836651998605</v>
      </c>
      <c r="Q272" s="120">
        <v>14324.890312410414</v>
      </c>
      <c r="R272" s="314">
        <v>33156.520296940915</v>
      </c>
      <c r="S272" s="315">
        <v>36602.726964409019</v>
      </c>
      <c r="U272" s="7" t="s">
        <v>1606</v>
      </c>
    </row>
    <row r="273" spans="1:21" ht="16.5" thickBot="1">
      <c r="A273" s="50" t="s">
        <v>35</v>
      </c>
      <c r="B273" s="51">
        <f t="shared" si="15"/>
        <v>75</v>
      </c>
      <c r="C273" s="51" t="s">
        <v>3</v>
      </c>
      <c r="D273" s="51">
        <f t="shared" si="16"/>
        <v>360</v>
      </c>
      <c r="E273" s="51" t="s">
        <v>3</v>
      </c>
      <c r="F273" s="110">
        <f t="shared" si="17"/>
        <v>1050</v>
      </c>
      <c r="G273" s="51" t="s">
        <v>3</v>
      </c>
      <c r="H273" s="48">
        <v>4</v>
      </c>
      <c r="I273" s="49" t="s">
        <v>45</v>
      </c>
      <c r="J273" s="112">
        <v>75</v>
      </c>
      <c r="K273" s="113">
        <v>360</v>
      </c>
      <c r="L273" s="113">
        <v>1050</v>
      </c>
      <c r="M273" s="185">
        <v>12.187005072653159</v>
      </c>
      <c r="N273" s="75">
        <v>397.73076000000003</v>
      </c>
      <c r="O273" s="121">
        <v>19506.500878068004</v>
      </c>
      <c r="P273" s="121">
        <v>23092.638311906667</v>
      </c>
      <c r="Q273" s="120">
        <v>15109.069231696616</v>
      </c>
      <c r="R273" s="314">
        <v>34615.570109764623</v>
      </c>
      <c r="S273" s="315">
        <v>38201.707543603283</v>
      </c>
      <c r="U273" s="7" t="s">
        <v>1607</v>
      </c>
    </row>
    <row r="274" spans="1:21" ht="16.5" thickBot="1">
      <c r="A274" s="47" t="s">
        <v>35</v>
      </c>
      <c r="B274" s="48">
        <f t="shared" si="15"/>
        <v>75</v>
      </c>
      <c r="C274" s="48" t="s">
        <v>3</v>
      </c>
      <c r="D274" s="48">
        <f t="shared" si="16"/>
        <v>360</v>
      </c>
      <c r="E274" s="48" t="s">
        <v>3</v>
      </c>
      <c r="F274" s="110">
        <f t="shared" si="17"/>
        <v>1100</v>
      </c>
      <c r="G274" s="48" t="s">
        <v>3</v>
      </c>
      <c r="H274" s="48">
        <v>4</v>
      </c>
      <c r="I274" s="49" t="s">
        <v>45</v>
      </c>
      <c r="J274" s="112">
        <v>75</v>
      </c>
      <c r="K274" s="113">
        <v>360</v>
      </c>
      <c r="L274" s="113">
        <v>1100</v>
      </c>
      <c r="M274" s="185">
        <v>12.715272212255265</v>
      </c>
      <c r="N274" s="75">
        <v>426.14010000000002</v>
      </c>
      <c r="O274" s="121">
        <v>20181.371771605503</v>
      </c>
      <c r="P274" s="121">
        <v>23907.439831421369</v>
      </c>
      <c r="Q274" s="120">
        <v>15662.66637319954</v>
      </c>
      <c r="R274" s="314">
        <v>35844.038144805047</v>
      </c>
      <c r="S274" s="315">
        <v>39570.106204620912</v>
      </c>
      <c r="U274" s="7" t="s">
        <v>1608</v>
      </c>
    </row>
    <row r="275" spans="1:21" ht="16.5" thickBot="1">
      <c r="A275" s="50" t="s">
        <v>35</v>
      </c>
      <c r="B275" s="51">
        <f t="shared" si="15"/>
        <v>75</v>
      </c>
      <c r="C275" s="51" t="s">
        <v>3</v>
      </c>
      <c r="D275" s="51">
        <f t="shared" si="16"/>
        <v>360</v>
      </c>
      <c r="E275" s="51" t="s">
        <v>3</v>
      </c>
      <c r="F275" s="110">
        <f t="shared" si="17"/>
        <v>1150</v>
      </c>
      <c r="G275" s="51" t="s">
        <v>3</v>
      </c>
      <c r="H275" s="48">
        <v>4</v>
      </c>
      <c r="I275" s="49" t="s">
        <v>45</v>
      </c>
      <c r="J275" s="112">
        <v>75</v>
      </c>
      <c r="K275" s="113">
        <v>360</v>
      </c>
      <c r="L275" s="113">
        <v>1150</v>
      </c>
      <c r="M275" s="185">
        <v>13.243539351857368</v>
      </c>
      <c r="N275" s="75">
        <v>454.54944</v>
      </c>
      <c r="O275" s="121">
        <v>20856.242665143003</v>
      </c>
      <c r="P275" s="121">
        <v>24722.241491329431</v>
      </c>
      <c r="Q275" s="120">
        <v>16216.263514702467</v>
      </c>
      <c r="R275" s="314">
        <v>37072.50617984547</v>
      </c>
      <c r="S275" s="315">
        <v>40938.505006031897</v>
      </c>
      <c r="U275" s="7" t="s">
        <v>1609</v>
      </c>
    </row>
    <row r="276" spans="1:21" ht="16.5" thickBot="1">
      <c r="A276" s="50" t="s">
        <v>35</v>
      </c>
      <c r="B276" s="51">
        <f t="shared" si="15"/>
        <v>75</v>
      </c>
      <c r="C276" s="51" t="s">
        <v>3</v>
      </c>
      <c r="D276" s="51">
        <f t="shared" si="16"/>
        <v>360</v>
      </c>
      <c r="E276" s="51" t="s">
        <v>3</v>
      </c>
      <c r="F276" s="110">
        <f t="shared" si="17"/>
        <v>1200</v>
      </c>
      <c r="G276" s="51" t="s">
        <v>3</v>
      </c>
      <c r="H276" s="48">
        <v>4</v>
      </c>
      <c r="I276" s="49" t="s">
        <v>45</v>
      </c>
      <c r="J276" s="112">
        <v>75</v>
      </c>
      <c r="K276" s="113">
        <v>360</v>
      </c>
      <c r="L276" s="113">
        <v>1200</v>
      </c>
      <c r="M276" s="185">
        <v>13.867346491459472</v>
      </c>
      <c r="N276" s="75">
        <v>482.95878000000005</v>
      </c>
      <c r="O276" s="121">
        <v>21608.267854189278</v>
      </c>
      <c r="P276" s="121">
        <v>25611.845717531029</v>
      </c>
      <c r="Q276" s="120">
        <v>17000.442574382028</v>
      </c>
      <c r="R276" s="314">
        <v>38608.710428571307</v>
      </c>
      <c r="S276" s="315">
        <v>42612.288291913057</v>
      </c>
      <c r="U276" s="7" t="s">
        <v>1610</v>
      </c>
    </row>
    <row r="277" spans="1:21" ht="16.5" thickBot="1">
      <c r="A277" s="50" t="s">
        <v>35</v>
      </c>
      <c r="B277" s="51">
        <f t="shared" si="15"/>
        <v>75</v>
      </c>
      <c r="C277" s="51" t="s">
        <v>3</v>
      </c>
      <c r="D277" s="51">
        <f t="shared" si="16"/>
        <v>360</v>
      </c>
      <c r="E277" s="51" t="s">
        <v>3</v>
      </c>
      <c r="F277" s="110">
        <f t="shared" si="17"/>
        <v>1250</v>
      </c>
      <c r="G277" s="51" t="s">
        <v>3</v>
      </c>
      <c r="H277" s="48">
        <v>4</v>
      </c>
      <c r="I277" s="49" t="s">
        <v>45</v>
      </c>
      <c r="J277" s="112">
        <v>75</v>
      </c>
      <c r="K277" s="113">
        <v>360</v>
      </c>
      <c r="L277" s="113">
        <v>1250</v>
      </c>
      <c r="M277" s="185">
        <v>14.395613631061579</v>
      </c>
      <c r="N277" s="75">
        <v>511.36811999999998</v>
      </c>
      <c r="O277" s="121">
        <v>22283.138747726782</v>
      </c>
      <c r="P277" s="121">
        <v>26426.64723704573</v>
      </c>
      <c r="Q277" s="120">
        <v>17554.039715884952</v>
      </c>
      <c r="R277" s="314">
        <v>39837.178463611737</v>
      </c>
      <c r="S277" s="315">
        <v>43980.686952930686</v>
      </c>
      <c r="U277" s="7" t="s">
        <v>1611</v>
      </c>
    </row>
    <row r="278" spans="1:21" ht="16.5" thickBot="1">
      <c r="A278" s="50" t="s">
        <v>35</v>
      </c>
      <c r="B278" s="51">
        <f t="shared" si="15"/>
        <v>75</v>
      </c>
      <c r="C278" s="51" t="s">
        <v>3</v>
      </c>
      <c r="D278" s="51">
        <f t="shared" si="16"/>
        <v>360</v>
      </c>
      <c r="E278" s="51" t="s">
        <v>3</v>
      </c>
      <c r="F278" s="110">
        <f t="shared" si="17"/>
        <v>1300</v>
      </c>
      <c r="G278" s="51" t="s">
        <v>3</v>
      </c>
      <c r="H278" s="48">
        <v>4</v>
      </c>
      <c r="I278" s="49" t="s">
        <v>45</v>
      </c>
      <c r="J278" s="112">
        <v>75</v>
      </c>
      <c r="K278" s="113">
        <v>360</v>
      </c>
      <c r="L278" s="113">
        <v>1300</v>
      </c>
      <c r="M278" s="185">
        <v>14.940920770663684</v>
      </c>
      <c r="N278" s="75">
        <v>539.77746000000002</v>
      </c>
      <c r="O278" s="121">
        <v>22958.009641264278</v>
      </c>
      <c r="P278" s="121">
        <v>27241.448896953792</v>
      </c>
      <c r="Q278" s="120">
        <v>18338.218635171153</v>
      </c>
      <c r="R278" s="314">
        <v>41296.228276435431</v>
      </c>
      <c r="S278" s="315">
        <v>45579.66753212495</v>
      </c>
      <c r="U278" s="7" t="s">
        <v>1612</v>
      </c>
    </row>
    <row r="279" spans="1:21" ht="16.5" thickBot="1">
      <c r="A279" s="50" t="s">
        <v>35</v>
      </c>
      <c r="B279" s="51">
        <f t="shared" si="15"/>
        <v>75</v>
      </c>
      <c r="C279" s="51" t="s">
        <v>3</v>
      </c>
      <c r="D279" s="51">
        <f t="shared" si="16"/>
        <v>360</v>
      </c>
      <c r="E279" s="51" t="s">
        <v>3</v>
      </c>
      <c r="F279" s="110">
        <f t="shared" si="17"/>
        <v>1350</v>
      </c>
      <c r="G279" s="51" t="s">
        <v>3</v>
      </c>
      <c r="H279" s="48">
        <v>4</v>
      </c>
      <c r="I279" s="49" t="s">
        <v>45</v>
      </c>
      <c r="J279" s="112">
        <v>75</v>
      </c>
      <c r="K279" s="113">
        <v>360</v>
      </c>
      <c r="L279" s="113">
        <v>1350</v>
      </c>
      <c r="M279" s="185">
        <v>15.46918791026579</v>
      </c>
      <c r="N279" s="75">
        <v>568.18680000000006</v>
      </c>
      <c r="O279" s="121">
        <v>23632.880534801781</v>
      </c>
      <c r="P279" s="121">
        <v>28056.250416468494</v>
      </c>
      <c r="Q279" s="120">
        <v>18891.815776674081</v>
      </c>
      <c r="R279" s="314">
        <v>42524.696311475862</v>
      </c>
      <c r="S279" s="315">
        <v>46948.066193142571</v>
      </c>
      <c r="U279" s="7" t="s">
        <v>1613</v>
      </c>
    </row>
    <row r="280" spans="1:21" ht="16.5" thickBot="1">
      <c r="A280" s="50" t="s">
        <v>35</v>
      </c>
      <c r="B280" s="51">
        <f t="shared" si="15"/>
        <v>75</v>
      </c>
      <c r="C280" s="51" t="s">
        <v>3</v>
      </c>
      <c r="D280" s="51">
        <f t="shared" si="16"/>
        <v>360</v>
      </c>
      <c r="E280" s="51" t="s">
        <v>3</v>
      </c>
      <c r="F280" s="110">
        <f t="shared" si="17"/>
        <v>1400</v>
      </c>
      <c r="G280" s="51" t="s">
        <v>3</v>
      </c>
      <c r="H280" s="48">
        <v>4</v>
      </c>
      <c r="I280" s="49" t="s">
        <v>45</v>
      </c>
      <c r="J280" s="112">
        <v>75</v>
      </c>
      <c r="K280" s="113">
        <v>360</v>
      </c>
      <c r="L280" s="113">
        <v>1400</v>
      </c>
      <c r="M280" s="185">
        <v>16.014495049867893</v>
      </c>
      <c r="N280" s="75">
        <v>596.59613999999999</v>
      </c>
      <c r="O280" s="121">
        <v>24307.751428339281</v>
      </c>
      <c r="P280" s="121">
        <v>28871.051935983192</v>
      </c>
      <c r="Q280" s="120">
        <v>19675.994695960278</v>
      </c>
      <c r="R280" s="314">
        <v>43983.746124299563</v>
      </c>
      <c r="S280" s="315">
        <v>48547.046631943471</v>
      </c>
      <c r="U280" s="7" t="s">
        <v>1614</v>
      </c>
    </row>
    <row r="281" spans="1:21" ht="16.5" thickBot="1">
      <c r="A281" s="50" t="s">
        <v>35</v>
      </c>
      <c r="B281" s="51">
        <f t="shared" si="15"/>
        <v>75</v>
      </c>
      <c r="C281" s="51" t="s">
        <v>3</v>
      </c>
      <c r="D281" s="51">
        <f t="shared" si="16"/>
        <v>360</v>
      </c>
      <c r="E281" s="51" t="s">
        <v>3</v>
      </c>
      <c r="F281" s="110">
        <f t="shared" si="17"/>
        <v>1450</v>
      </c>
      <c r="G281" s="51" t="s">
        <v>3</v>
      </c>
      <c r="H281" s="48">
        <v>4</v>
      </c>
      <c r="I281" s="49" t="s">
        <v>45</v>
      </c>
      <c r="J281" s="112">
        <v>75</v>
      </c>
      <c r="K281" s="113">
        <v>360</v>
      </c>
      <c r="L281" s="113">
        <v>1450</v>
      </c>
      <c r="M281" s="185">
        <v>16.542762189470004</v>
      </c>
      <c r="N281" s="75">
        <v>625.00547999999992</v>
      </c>
      <c r="O281" s="121">
        <v>24982.622321876781</v>
      </c>
      <c r="P281" s="121">
        <v>29685.853595891258</v>
      </c>
      <c r="Q281" s="120">
        <v>20229.591837463206</v>
      </c>
      <c r="R281" s="314">
        <v>45212.214159339987</v>
      </c>
      <c r="S281" s="315">
        <v>49915.445433354464</v>
      </c>
      <c r="U281" s="7" t="s">
        <v>1615</v>
      </c>
    </row>
    <row r="282" spans="1:21" ht="16.5" thickBot="1">
      <c r="A282" s="50" t="s">
        <v>35</v>
      </c>
      <c r="B282" s="51">
        <f t="shared" si="15"/>
        <v>75</v>
      </c>
      <c r="C282" s="51" t="s">
        <v>3</v>
      </c>
      <c r="D282" s="51">
        <f t="shared" si="16"/>
        <v>360</v>
      </c>
      <c r="E282" s="51" t="s">
        <v>3</v>
      </c>
      <c r="F282" s="110">
        <f t="shared" si="17"/>
        <v>1500</v>
      </c>
      <c r="G282" s="51" t="s">
        <v>3</v>
      </c>
      <c r="H282" s="48">
        <v>4</v>
      </c>
      <c r="I282" s="49" t="s">
        <v>45</v>
      </c>
      <c r="J282" s="112">
        <v>75</v>
      </c>
      <c r="K282" s="113">
        <v>360</v>
      </c>
      <c r="L282" s="113">
        <v>1500</v>
      </c>
      <c r="M282" s="185">
        <v>17.265026227632106</v>
      </c>
      <c r="N282" s="75">
        <v>653.41482000000008</v>
      </c>
      <c r="O282" s="121">
        <v>26378.818026309229</v>
      </c>
      <c r="P282" s="121">
        <v>31163.367943750956</v>
      </c>
      <c r="Q282" s="120">
        <v>21013.770756749404</v>
      </c>
      <c r="R282" s="314">
        <v>47392.588783058629</v>
      </c>
      <c r="S282" s="315">
        <v>52177.138700500363</v>
      </c>
      <c r="U282" s="7" t="s">
        <v>1616</v>
      </c>
    </row>
    <row r="283" spans="1:21" ht="16.5" thickBot="1">
      <c r="A283" s="50" t="s">
        <v>35</v>
      </c>
      <c r="B283" s="51">
        <f t="shared" si="15"/>
        <v>75</v>
      </c>
      <c r="C283" s="51" t="s">
        <v>3</v>
      </c>
      <c r="D283" s="51">
        <f t="shared" si="16"/>
        <v>360</v>
      </c>
      <c r="E283" s="51" t="s">
        <v>3</v>
      </c>
      <c r="F283" s="110">
        <f t="shared" si="17"/>
        <v>1550</v>
      </c>
      <c r="G283" s="51" t="s">
        <v>3</v>
      </c>
      <c r="H283" s="48">
        <v>4</v>
      </c>
      <c r="I283" s="49" t="s">
        <v>45</v>
      </c>
      <c r="J283" s="112">
        <v>75</v>
      </c>
      <c r="K283" s="113">
        <v>360</v>
      </c>
      <c r="L283" s="113">
        <v>1550</v>
      </c>
      <c r="M283" s="185">
        <v>17.79329336723421</v>
      </c>
      <c r="N283" s="75">
        <v>681.82416000000001</v>
      </c>
      <c r="O283" s="121">
        <v>27053.688919846732</v>
      </c>
      <c r="P283" s="121">
        <v>31978.169463265658</v>
      </c>
      <c r="Q283" s="120">
        <v>21567.367898252327</v>
      </c>
      <c r="R283" s="314">
        <v>48621.056818099059</v>
      </c>
      <c r="S283" s="315">
        <v>53545.537361517985</v>
      </c>
      <c r="U283" s="7" t="s">
        <v>1617</v>
      </c>
    </row>
    <row r="284" spans="1:21" ht="16.5" thickBot="1">
      <c r="A284" s="47" t="s">
        <v>35</v>
      </c>
      <c r="B284" s="48">
        <f t="shared" si="15"/>
        <v>75</v>
      </c>
      <c r="C284" s="48" t="s">
        <v>3</v>
      </c>
      <c r="D284" s="48">
        <f t="shared" si="16"/>
        <v>360</v>
      </c>
      <c r="E284" s="48" t="s">
        <v>3</v>
      </c>
      <c r="F284" s="110">
        <f t="shared" si="17"/>
        <v>1600</v>
      </c>
      <c r="G284" s="48" t="s">
        <v>3</v>
      </c>
      <c r="H284" s="48">
        <v>4</v>
      </c>
      <c r="I284" s="49" t="s">
        <v>45</v>
      </c>
      <c r="J284" s="112">
        <v>75</v>
      </c>
      <c r="K284" s="113">
        <v>360</v>
      </c>
      <c r="L284" s="113">
        <v>1600</v>
      </c>
      <c r="M284" s="185">
        <v>18.321560506836317</v>
      </c>
      <c r="N284" s="75">
        <v>710.23350000000005</v>
      </c>
      <c r="O284" s="121">
        <v>27728.559813384232</v>
      </c>
      <c r="P284" s="121">
        <v>32792.971123173724</v>
      </c>
      <c r="Q284" s="120">
        <v>22120.965039755254</v>
      </c>
      <c r="R284" s="314">
        <v>49849.52485313949</v>
      </c>
      <c r="S284" s="315">
        <v>54913.936162928978</v>
      </c>
      <c r="U284" s="7" t="s">
        <v>1618</v>
      </c>
    </row>
    <row r="285" spans="1:21" ht="16.5" thickBot="1">
      <c r="A285" s="50" t="s">
        <v>35</v>
      </c>
      <c r="B285" s="51">
        <f t="shared" si="15"/>
        <v>75</v>
      </c>
      <c r="C285" s="51" t="s">
        <v>3</v>
      </c>
      <c r="D285" s="51">
        <f t="shared" si="16"/>
        <v>360</v>
      </c>
      <c r="E285" s="51" t="s">
        <v>3</v>
      </c>
      <c r="F285" s="110">
        <f t="shared" si="17"/>
        <v>1650</v>
      </c>
      <c r="G285" s="51" t="s">
        <v>3</v>
      </c>
      <c r="H285" s="48">
        <v>4</v>
      </c>
      <c r="I285" s="49" t="s">
        <v>45</v>
      </c>
      <c r="J285" s="112">
        <v>75</v>
      </c>
      <c r="K285" s="113">
        <v>360</v>
      </c>
      <c r="L285" s="113">
        <v>1650</v>
      </c>
      <c r="M285" s="185">
        <v>18.866867646438422</v>
      </c>
      <c r="N285" s="75">
        <v>738.64283999999998</v>
      </c>
      <c r="O285" s="121">
        <v>28403.430706921728</v>
      </c>
      <c r="P285" s="121">
        <v>33607.772642688418</v>
      </c>
      <c r="Q285" s="120">
        <v>22905.143959041456</v>
      </c>
      <c r="R285" s="314">
        <v>51308.574665963184</v>
      </c>
      <c r="S285" s="315">
        <v>56512.91660172987</v>
      </c>
      <c r="U285" s="7" t="s">
        <v>1619</v>
      </c>
    </row>
    <row r="286" spans="1:21" ht="16.5" thickBot="1">
      <c r="A286" s="50" t="s">
        <v>35</v>
      </c>
      <c r="B286" s="51">
        <f t="shared" si="15"/>
        <v>75</v>
      </c>
      <c r="C286" s="51" t="s">
        <v>3</v>
      </c>
      <c r="D286" s="51">
        <f t="shared" si="16"/>
        <v>360</v>
      </c>
      <c r="E286" s="51" t="s">
        <v>3</v>
      </c>
      <c r="F286" s="110">
        <f t="shared" si="17"/>
        <v>1700</v>
      </c>
      <c r="G286" s="51" t="s">
        <v>3</v>
      </c>
      <c r="H286" s="48">
        <v>4</v>
      </c>
      <c r="I286" s="49" t="s">
        <v>45</v>
      </c>
      <c r="J286" s="112">
        <v>75</v>
      </c>
      <c r="K286" s="113">
        <v>360</v>
      </c>
      <c r="L286" s="113">
        <v>1700</v>
      </c>
      <c r="M286" s="185">
        <v>19.395134786040529</v>
      </c>
      <c r="N286" s="75">
        <v>767.05218000000002</v>
      </c>
      <c r="O286" s="121">
        <v>29078.301600459228</v>
      </c>
      <c r="P286" s="121">
        <v>34422.57416220312</v>
      </c>
      <c r="Q286" s="120">
        <v>23458.741100544379</v>
      </c>
      <c r="R286" s="314">
        <v>52537.042701003607</v>
      </c>
      <c r="S286" s="315">
        <v>57881.315262747499</v>
      </c>
      <c r="U286" s="7" t="s">
        <v>1620</v>
      </c>
    </row>
    <row r="287" spans="1:21" ht="16.5" thickBot="1">
      <c r="A287" s="50" t="s">
        <v>35</v>
      </c>
      <c r="B287" s="51">
        <f t="shared" si="15"/>
        <v>75</v>
      </c>
      <c r="C287" s="51" t="s">
        <v>3</v>
      </c>
      <c r="D287" s="51">
        <f t="shared" si="16"/>
        <v>360</v>
      </c>
      <c r="E287" s="51" t="s">
        <v>3</v>
      </c>
      <c r="F287" s="110">
        <f t="shared" si="17"/>
        <v>1750</v>
      </c>
      <c r="G287" s="51" t="s">
        <v>3</v>
      </c>
      <c r="H287" s="48">
        <v>4</v>
      </c>
      <c r="I287" s="49" t="s">
        <v>45</v>
      </c>
      <c r="J287" s="112">
        <v>75</v>
      </c>
      <c r="K287" s="113">
        <v>360</v>
      </c>
      <c r="L287" s="113">
        <v>1750</v>
      </c>
      <c r="M287" s="185">
        <v>19.940441925642631</v>
      </c>
      <c r="N287" s="75">
        <v>795.46152000000006</v>
      </c>
      <c r="O287" s="121">
        <v>29753.172493996732</v>
      </c>
      <c r="P287" s="121">
        <v>35237.375822111178</v>
      </c>
      <c r="Q287" s="120">
        <v>24242.920019830581</v>
      </c>
      <c r="R287" s="314">
        <v>53996.092513827316</v>
      </c>
      <c r="S287" s="315">
        <v>59480.295841941755</v>
      </c>
      <c r="U287" s="7" t="s">
        <v>1621</v>
      </c>
    </row>
    <row r="288" spans="1:21" ht="16.5" thickBot="1">
      <c r="A288" s="50" t="s">
        <v>35</v>
      </c>
      <c r="B288" s="51">
        <f t="shared" si="15"/>
        <v>75</v>
      </c>
      <c r="C288" s="51" t="s">
        <v>3</v>
      </c>
      <c r="D288" s="51">
        <f t="shared" si="16"/>
        <v>360</v>
      </c>
      <c r="E288" s="51" t="s">
        <v>3</v>
      </c>
      <c r="F288" s="110">
        <f t="shared" si="17"/>
        <v>1800</v>
      </c>
      <c r="G288" s="51" t="s">
        <v>3</v>
      </c>
      <c r="H288" s="48">
        <v>4</v>
      </c>
      <c r="I288" s="49" t="s">
        <v>45</v>
      </c>
      <c r="J288" s="112">
        <v>75</v>
      </c>
      <c r="K288" s="113">
        <v>360</v>
      </c>
      <c r="L288" s="113">
        <v>1800</v>
      </c>
      <c r="M288" s="185">
        <v>20.468709065244735</v>
      </c>
      <c r="N288" s="75">
        <v>823.87086000000011</v>
      </c>
      <c r="O288" s="121">
        <v>30428.043247140868</v>
      </c>
      <c r="P288" s="121">
        <v>36052.17734162588</v>
      </c>
      <c r="Q288" s="120">
        <v>24796.517161333504</v>
      </c>
      <c r="R288" s="314">
        <v>55224.560408474368</v>
      </c>
      <c r="S288" s="315">
        <v>60848.694502959384</v>
      </c>
      <c r="U288" s="7" t="s">
        <v>1622</v>
      </c>
    </row>
    <row r="289" spans="1:21" ht="16.5" thickBot="1">
      <c r="A289" s="50" t="s">
        <v>35</v>
      </c>
      <c r="B289" s="51">
        <f t="shared" si="15"/>
        <v>75</v>
      </c>
      <c r="C289" s="51" t="s">
        <v>3</v>
      </c>
      <c r="D289" s="51">
        <f t="shared" si="16"/>
        <v>360</v>
      </c>
      <c r="E289" s="51" t="s">
        <v>3</v>
      </c>
      <c r="F289" s="110">
        <f t="shared" si="17"/>
        <v>1850</v>
      </c>
      <c r="G289" s="51" t="s">
        <v>3</v>
      </c>
      <c r="H289" s="48">
        <v>4</v>
      </c>
      <c r="I289" s="49" t="s">
        <v>45</v>
      </c>
      <c r="J289" s="112">
        <v>75</v>
      </c>
      <c r="K289" s="113">
        <v>360</v>
      </c>
      <c r="L289" s="113">
        <v>1850</v>
      </c>
      <c r="M289" s="185">
        <v>21.014016204846847</v>
      </c>
      <c r="N289" s="75">
        <v>852.28020000000004</v>
      </c>
      <c r="O289" s="121">
        <v>31102.914140678367</v>
      </c>
      <c r="P289" s="121">
        <v>36866.979001533946</v>
      </c>
      <c r="Q289" s="120">
        <v>25580.69622101307</v>
      </c>
      <c r="R289" s="314">
        <v>56683.610361691433</v>
      </c>
      <c r="S289" s="315">
        <v>62447.675222547012</v>
      </c>
      <c r="U289" s="7" t="s">
        <v>1623</v>
      </c>
    </row>
    <row r="290" spans="1:21" ht="16.5" thickBot="1">
      <c r="A290" s="50" t="s">
        <v>35</v>
      </c>
      <c r="B290" s="51">
        <f t="shared" si="15"/>
        <v>75</v>
      </c>
      <c r="C290" s="51" t="s">
        <v>3</v>
      </c>
      <c r="D290" s="51">
        <f t="shared" si="16"/>
        <v>360</v>
      </c>
      <c r="E290" s="51" t="s">
        <v>3</v>
      </c>
      <c r="F290" s="110">
        <f t="shared" si="17"/>
        <v>1900</v>
      </c>
      <c r="G290" s="51" t="s">
        <v>3</v>
      </c>
      <c r="H290" s="48">
        <v>4</v>
      </c>
      <c r="I290" s="49" t="s">
        <v>45</v>
      </c>
      <c r="J290" s="112">
        <v>75</v>
      </c>
      <c r="K290" s="113">
        <v>360</v>
      </c>
      <c r="L290" s="113">
        <v>1900</v>
      </c>
      <c r="M290" s="185">
        <v>21.542283344448951</v>
      </c>
      <c r="N290" s="75">
        <v>880.68953999999997</v>
      </c>
      <c r="O290" s="121">
        <v>31777.785034215871</v>
      </c>
      <c r="P290" s="121">
        <v>37681.780521048648</v>
      </c>
      <c r="Q290" s="120">
        <v>26134.293362515993</v>
      </c>
      <c r="R290" s="314">
        <v>57912.078396731864</v>
      </c>
      <c r="S290" s="315">
        <v>63816.073883564641</v>
      </c>
      <c r="U290" s="7" t="s">
        <v>1624</v>
      </c>
    </row>
    <row r="291" spans="1:21" ht="16.5" thickBot="1">
      <c r="A291" s="50" t="s">
        <v>35</v>
      </c>
      <c r="B291" s="51">
        <f t="shared" si="15"/>
        <v>75</v>
      </c>
      <c r="C291" s="51" t="s">
        <v>3</v>
      </c>
      <c r="D291" s="51">
        <f t="shared" si="16"/>
        <v>360</v>
      </c>
      <c r="E291" s="51" t="s">
        <v>3</v>
      </c>
      <c r="F291" s="110">
        <f t="shared" si="17"/>
        <v>1950</v>
      </c>
      <c r="G291" s="51" t="s">
        <v>3</v>
      </c>
      <c r="H291" s="48">
        <v>4</v>
      </c>
      <c r="I291" s="49" t="s">
        <v>45</v>
      </c>
      <c r="J291" s="112">
        <v>75</v>
      </c>
      <c r="K291" s="113">
        <v>360</v>
      </c>
      <c r="L291" s="113">
        <v>1950</v>
      </c>
      <c r="M291" s="185">
        <v>22.149050484051056</v>
      </c>
      <c r="N291" s="75">
        <v>909.09888000000001</v>
      </c>
      <c r="O291" s="121">
        <v>32529.810363655506</v>
      </c>
      <c r="P291" s="121">
        <v>38571.384747250246</v>
      </c>
      <c r="Q291" s="120">
        <v>26687.890504018917</v>
      </c>
      <c r="R291" s="314">
        <v>59217.700867674423</v>
      </c>
      <c r="S291" s="315">
        <v>65259.275251269166</v>
      </c>
      <c r="U291" s="7" t="s">
        <v>1625</v>
      </c>
    </row>
    <row r="292" spans="1:21" ht="16.5" thickBot="1">
      <c r="A292" s="50" t="s">
        <v>35</v>
      </c>
      <c r="B292" s="51">
        <f t="shared" si="15"/>
        <v>75</v>
      </c>
      <c r="C292" s="51" t="s">
        <v>3</v>
      </c>
      <c r="D292" s="51">
        <f t="shared" si="16"/>
        <v>360</v>
      </c>
      <c r="E292" s="51" t="s">
        <v>3</v>
      </c>
      <c r="F292" s="110">
        <f t="shared" si="17"/>
        <v>2000</v>
      </c>
      <c r="G292" s="51" t="s">
        <v>3</v>
      </c>
      <c r="H292" s="48">
        <v>4</v>
      </c>
      <c r="I292" s="49" t="s">
        <v>45</v>
      </c>
      <c r="J292" s="112">
        <v>75</v>
      </c>
      <c r="K292" s="113">
        <v>360</v>
      </c>
      <c r="L292" s="113">
        <v>2000</v>
      </c>
      <c r="M292" s="185">
        <v>22.785920023653162</v>
      </c>
      <c r="N292" s="75">
        <v>937.50822000000005</v>
      </c>
      <c r="O292" s="121">
        <v>33435.224146014873</v>
      </c>
      <c r="P292" s="121">
        <v>39687.496957035459</v>
      </c>
      <c r="Q292" s="120">
        <v>27472.069423305118</v>
      </c>
      <c r="R292" s="314">
        <v>60907.293569319991</v>
      </c>
      <c r="S292" s="315">
        <v>67159.566380340577</v>
      </c>
      <c r="U292" s="7" t="s">
        <v>1626</v>
      </c>
    </row>
    <row r="293" spans="1:21" ht="16.5" thickBot="1">
      <c r="A293" s="50" t="s">
        <v>35</v>
      </c>
      <c r="B293" s="51">
        <f t="shared" si="15"/>
        <v>75</v>
      </c>
      <c r="C293" s="51" t="s">
        <v>3</v>
      </c>
      <c r="D293" s="51">
        <f t="shared" si="16"/>
        <v>360</v>
      </c>
      <c r="E293" s="51" t="s">
        <v>3</v>
      </c>
      <c r="F293" s="110">
        <f t="shared" si="17"/>
        <v>2050</v>
      </c>
      <c r="G293" s="51" t="s">
        <v>3</v>
      </c>
      <c r="H293" s="48">
        <v>4</v>
      </c>
      <c r="I293" s="49" t="s">
        <v>45</v>
      </c>
      <c r="J293" s="112">
        <v>75</v>
      </c>
      <c r="K293" s="113">
        <v>360</v>
      </c>
      <c r="L293" s="113">
        <v>2050</v>
      </c>
      <c r="M293" s="185">
        <v>23.314187163255266</v>
      </c>
      <c r="N293" s="75">
        <v>965.91756000000009</v>
      </c>
      <c r="O293" s="121">
        <v>34110.095039552369</v>
      </c>
      <c r="P293" s="121">
        <v>40502.298476550161</v>
      </c>
      <c r="Q293" s="120">
        <v>28025.666564808042</v>
      </c>
      <c r="R293" s="314">
        <v>62135.761604360407</v>
      </c>
      <c r="S293" s="315">
        <v>68527.965041358199</v>
      </c>
      <c r="U293" s="7" t="s">
        <v>1627</v>
      </c>
    </row>
    <row r="294" spans="1:21" ht="16.5" thickBot="1">
      <c r="A294" s="47" t="s">
        <v>35</v>
      </c>
      <c r="B294" s="48">
        <f t="shared" si="15"/>
        <v>75</v>
      </c>
      <c r="C294" s="48" t="s">
        <v>3</v>
      </c>
      <c r="D294" s="48">
        <f t="shared" si="16"/>
        <v>360</v>
      </c>
      <c r="E294" s="48" t="s">
        <v>3</v>
      </c>
      <c r="F294" s="110">
        <f t="shared" si="17"/>
        <v>2100</v>
      </c>
      <c r="G294" s="48" t="s">
        <v>3</v>
      </c>
      <c r="H294" s="48">
        <v>4</v>
      </c>
      <c r="I294" s="49" t="s">
        <v>45</v>
      </c>
      <c r="J294" s="112">
        <v>75</v>
      </c>
      <c r="K294" s="113">
        <v>360</v>
      </c>
      <c r="L294" s="113">
        <v>2100</v>
      </c>
      <c r="M294" s="185">
        <v>23.859494302857371</v>
      </c>
      <c r="N294" s="75">
        <v>994.32689999999991</v>
      </c>
      <c r="O294" s="121">
        <v>34784.965933089872</v>
      </c>
      <c r="P294" s="121">
        <v>41317.099996064862</v>
      </c>
      <c r="Q294" s="120">
        <v>28809.845484094247</v>
      </c>
      <c r="R294" s="314">
        <v>63594.811417184115</v>
      </c>
      <c r="S294" s="315">
        <v>70126.945480159106</v>
      </c>
      <c r="U294" s="7" t="s">
        <v>1628</v>
      </c>
    </row>
    <row r="295" spans="1:21" ht="16.5" thickBot="1">
      <c r="A295" s="50" t="s">
        <v>35</v>
      </c>
      <c r="B295" s="51">
        <f t="shared" si="15"/>
        <v>75</v>
      </c>
      <c r="C295" s="51" t="s">
        <v>3</v>
      </c>
      <c r="D295" s="51">
        <f t="shared" si="16"/>
        <v>360</v>
      </c>
      <c r="E295" s="51" t="s">
        <v>3</v>
      </c>
      <c r="F295" s="110">
        <f t="shared" si="17"/>
        <v>2150</v>
      </c>
      <c r="G295" s="51" t="s">
        <v>3</v>
      </c>
      <c r="H295" s="48">
        <v>4</v>
      </c>
      <c r="I295" s="49" t="s">
        <v>45</v>
      </c>
      <c r="J295" s="112">
        <v>75</v>
      </c>
      <c r="K295" s="113">
        <v>360</v>
      </c>
      <c r="L295" s="113">
        <v>2150</v>
      </c>
      <c r="M295" s="185">
        <v>24.387761442459475</v>
      </c>
      <c r="N295" s="75">
        <v>1022.73624</v>
      </c>
      <c r="O295" s="121">
        <v>35459.836826627368</v>
      </c>
      <c r="P295" s="121">
        <v>42131.901655972921</v>
      </c>
      <c r="Q295" s="120">
        <v>29363.442625597167</v>
      </c>
      <c r="R295" s="314">
        <v>64823.279452224539</v>
      </c>
      <c r="S295" s="315">
        <v>71495.344281570084</v>
      </c>
      <c r="U295" s="7" t="s">
        <v>1629</v>
      </c>
    </row>
    <row r="296" spans="1:21" ht="16.5" thickBot="1">
      <c r="A296" s="50" t="s">
        <v>35</v>
      </c>
      <c r="B296" s="51">
        <f t="shared" si="15"/>
        <v>75</v>
      </c>
      <c r="C296" s="51" t="s">
        <v>3</v>
      </c>
      <c r="D296" s="51">
        <f t="shared" si="16"/>
        <v>360</v>
      </c>
      <c r="E296" s="51" t="s">
        <v>3</v>
      </c>
      <c r="F296" s="110">
        <f t="shared" si="17"/>
        <v>2200</v>
      </c>
      <c r="G296" s="51" t="s">
        <v>3</v>
      </c>
      <c r="H296" s="48">
        <v>4</v>
      </c>
      <c r="I296" s="49" t="s">
        <v>45</v>
      </c>
      <c r="J296" s="112">
        <v>75</v>
      </c>
      <c r="K296" s="113">
        <v>360</v>
      </c>
      <c r="L296" s="113">
        <v>2200</v>
      </c>
      <c r="M296" s="185">
        <v>24.93306858206158</v>
      </c>
      <c r="N296" s="75">
        <v>1051.1455799999999</v>
      </c>
      <c r="O296" s="121">
        <v>36134.707720164872</v>
      </c>
      <c r="P296" s="121">
        <v>42946.703175487623</v>
      </c>
      <c r="Q296" s="120">
        <v>30147.621544883372</v>
      </c>
      <c r="R296" s="314">
        <v>66282.329265048247</v>
      </c>
      <c r="S296" s="315">
        <v>73094.324720370991</v>
      </c>
      <c r="U296" s="7" t="s">
        <v>1630</v>
      </c>
    </row>
    <row r="297" spans="1:21" ht="16.5" thickBot="1">
      <c r="A297" s="50" t="s">
        <v>35</v>
      </c>
      <c r="B297" s="51">
        <f t="shared" si="15"/>
        <v>75</v>
      </c>
      <c r="C297" s="51" t="s">
        <v>3</v>
      </c>
      <c r="D297" s="51">
        <f t="shared" si="16"/>
        <v>360</v>
      </c>
      <c r="E297" s="51" t="s">
        <v>3</v>
      </c>
      <c r="F297" s="110">
        <f t="shared" si="17"/>
        <v>2250</v>
      </c>
      <c r="G297" s="51" t="s">
        <v>3</v>
      </c>
      <c r="H297" s="48">
        <v>4</v>
      </c>
      <c r="I297" s="49" t="s">
        <v>45</v>
      </c>
      <c r="J297" s="112">
        <v>75</v>
      </c>
      <c r="K297" s="113">
        <v>360</v>
      </c>
      <c r="L297" s="113">
        <v>2250</v>
      </c>
      <c r="M297" s="185">
        <v>25.461335721663684</v>
      </c>
      <c r="N297" s="75">
        <v>1079.55492</v>
      </c>
      <c r="O297" s="121">
        <v>36809.578613702368</v>
      </c>
      <c r="P297" s="121">
        <v>43761.504835395688</v>
      </c>
      <c r="Q297" s="120">
        <v>30701.218686386295</v>
      </c>
      <c r="R297" s="314">
        <v>67510.797300088656</v>
      </c>
      <c r="S297" s="315">
        <v>74462.723521781983</v>
      </c>
      <c r="U297" s="7" t="s">
        <v>1631</v>
      </c>
    </row>
    <row r="298" spans="1:21" ht="16.5" thickBot="1">
      <c r="A298" s="50" t="s">
        <v>35</v>
      </c>
      <c r="B298" s="51">
        <f t="shared" si="15"/>
        <v>75</v>
      </c>
      <c r="C298" s="51" t="s">
        <v>3</v>
      </c>
      <c r="D298" s="51">
        <f t="shared" si="16"/>
        <v>360</v>
      </c>
      <c r="E298" s="51" t="s">
        <v>3</v>
      </c>
      <c r="F298" s="110">
        <f t="shared" si="17"/>
        <v>2300</v>
      </c>
      <c r="G298" s="51" t="s">
        <v>3</v>
      </c>
      <c r="H298" s="48">
        <v>4</v>
      </c>
      <c r="I298" s="49" t="s">
        <v>45</v>
      </c>
      <c r="J298" s="112">
        <v>75</v>
      </c>
      <c r="K298" s="113">
        <v>360</v>
      </c>
      <c r="L298" s="113">
        <v>2300</v>
      </c>
      <c r="M298" s="185">
        <v>25.989602861265787</v>
      </c>
      <c r="N298" s="75">
        <v>1107.96426</v>
      </c>
      <c r="O298" s="121">
        <v>37484.449507239871</v>
      </c>
      <c r="P298" s="121">
        <v>44576.30635491039</v>
      </c>
      <c r="Q298" s="120">
        <v>31254.815827889219</v>
      </c>
      <c r="R298" s="314">
        <v>68739.265335129094</v>
      </c>
      <c r="S298" s="315">
        <v>75831.122182799605</v>
      </c>
      <c r="U298" s="7" t="s">
        <v>1632</v>
      </c>
    </row>
    <row r="299" spans="1:21" ht="16.5" thickBot="1">
      <c r="A299" s="50" t="s">
        <v>35</v>
      </c>
      <c r="B299" s="51">
        <f t="shared" si="15"/>
        <v>75</v>
      </c>
      <c r="C299" s="51" t="s">
        <v>3</v>
      </c>
      <c r="D299" s="51">
        <f t="shared" si="16"/>
        <v>360</v>
      </c>
      <c r="E299" s="51" t="s">
        <v>3</v>
      </c>
      <c r="F299" s="110">
        <f t="shared" si="17"/>
        <v>2350</v>
      </c>
      <c r="G299" s="51" t="s">
        <v>3</v>
      </c>
      <c r="H299" s="48">
        <v>4</v>
      </c>
      <c r="I299" s="49" t="s">
        <v>45</v>
      </c>
      <c r="J299" s="112">
        <v>75</v>
      </c>
      <c r="K299" s="113">
        <v>360</v>
      </c>
      <c r="L299" s="113">
        <v>2350</v>
      </c>
      <c r="M299" s="185">
        <v>26.534910000867896</v>
      </c>
      <c r="N299" s="75">
        <v>1136.3736000000001</v>
      </c>
      <c r="O299" s="121">
        <v>38159.320400777375</v>
      </c>
      <c r="P299" s="121">
        <v>45391.108014818448</v>
      </c>
      <c r="Q299" s="120">
        <v>32038.99474717542</v>
      </c>
      <c r="R299" s="314">
        <v>70198.315147952788</v>
      </c>
      <c r="S299" s="315">
        <v>77430.102761993869</v>
      </c>
      <c r="U299" s="7" t="s">
        <v>1633</v>
      </c>
    </row>
    <row r="300" spans="1:21" ht="16.5" thickBot="1">
      <c r="A300" s="50" t="s">
        <v>35</v>
      </c>
      <c r="B300" s="51">
        <f t="shared" si="15"/>
        <v>75</v>
      </c>
      <c r="C300" s="51" t="s">
        <v>3</v>
      </c>
      <c r="D300" s="51">
        <f t="shared" si="16"/>
        <v>360</v>
      </c>
      <c r="E300" s="51" t="s">
        <v>3</v>
      </c>
      <c r="F300" s="110">
        <f t="shared" si="17"/>
        <v>2400</v>
      </c>
      <c r="G300" s="51" t="s">
        <v>3</v>
      </c>
      <c r="H300" s="48">
        <v>4</v>
      </c>
      <c r="I300" s="49" t="s">
        <v>45</v>
      </c>
      <c r="J300" s="112">
        <v>75</v>
      </c>
      <c r="K300" s="113">
        <v>360</v>
      </c>
      <c r="L300" s="113">
        <v>2400</v>
      </c>
      <c r="M300" s="185">
        <v>27.063177140469996</v>
      </c>
      <c r="N300" s="75">
        <v>1164.7829400000001</v>
      </c>
      <c r="O300" s="121">
        <v>38834.191153921507</v>
      </c>
      <c r="P300" s="121">
        <v>46205.90953433315</v>
      </c>
      <c r="Q300" s="120">
        <v>32592.591888678344</v>
      </c>
      <c r="R300" s="314">
        <v>71426.783042599855</v>
      </c>
      <c r="S300" s="315">
        <v>78798.50142301149</v>
      </c>
      <c r="U300" s="7" t="s">
        <v>1634</v>
      </c>
    </row>
    <row r="301" spans="1:21" ht="16.5" thickBot="1">
      <c r="A301" s="50" t="s">
        <v>35</v>
      </c>
      <c r="B301" s="51">
        <f t="shared" si="15"/>
        <v>75</v>
      </c>
      <c r="C301" s="51" t="s">
        <v>3</v>
      </c>
      <c r="D301" s="51">
        <f t="shared" si="16"/>
        <v>360</v>
      </c>
      <c r="E301" s="51" t="s">
        <v>3</v>
      </c>
      <c r="F301" s="110">
        <f t="shared" si="17"/>
        <v>2450</v>
      </c>
      <c r="G301" s="51" t="s">
        <v>3</v>
      </c>
      <c r="H301" s="48">
        <v>4</v>
      </c>
      <c r="I301" s="49" t="s">
        <v>45</v>
      </c>
      <c r="J301" s="112">
        <v>75</v>
      </c>
      <c r="K301" s="113">
        <v>360</v>
      </c>
      <c r="L301" s="113">
        <v>2450</v>
      </c>
      <c r="M301" s="185">
        <v>27.785441178632105</v>
      </c>
      <c r="N301" s="75">
        <v>1193.19228</v>
      </c>
      <c r="O301" s="121">
        <v>40230.386998747323</v>
      </c>
      <c r="P301" s="121">
        <v>47683.423882192852</v>
      </c>
      <c r="Q301" s="120">
        <v>33376.770807964545</v>
      </c>
      <c r="R301" s="314">
        <v>73607.157806711868</v>
      </c>
      <c r="S301" s="315">
        <v>81060.194690157397</v>
      </c>
      <c r="U301" s="7" t="s">
        <v>1635</v>
      </c>
    </row>
    <row r="302" spans="1:21" ht="16.5" thickBot="1">
      <c r="A302" s="50" t="s">
        <v>35</v>
      </c>
      <c r="B302" s="51">
        <f t="shared" si="15"/>
        <v>75</v>
      </c>
      <c r="C302" s="51" t="s">
        <v>3</v>
      </c>
      <c r="D302" s="51">
        <f t="shared" si="16"/>
        <v>360</v>
      </c>
      <c r="E302" s="51" t="s">
        <v>3</v>
      </c>
      <c r="F302" s="110">
        <f t="shared" si="17"/>
        <v>2500</v>
      </c>
      <c r="G302" s="51" t="s">
        <v>3</v>
      </c>
      <c r="H302" s="48">
        <v>4</v>
      </c>
      <c r="I302" s="49" t="s">
        <v>45</v>
      </c>
      <c r="J302" s="112">
        <v>75</v>
      </c>
      <c r="K302" s="113">
        <v>360</v>
      </c>
      <c r="L302" s="113">
        <v>2500</v>
      </c>
      <c r="M302" s="185">
        <v>28.313708318234205</v>
      </c>
      <c r="N302" s="75">
        <v>1221.6016200000001</v>
      </c>
      <c r="O302" s="121">
        <v>40905.257892284826</v>
      </c>
      <c r="P302" s="121">
        <v>48498.225401707554</v>
      </c>
      <c r="Q302" s="120">
        <v>33930.367949467472</v>
      </c>
      <c r="R302" s="314">
        <v>74835.625841752306</v>
      </c>
      <c r="S302" s="315">
        <v>82428.593351175019</v>
      </c>
      <c r="U302" s="7" t="s">
        <v>1636</v>
      </c>
    </row>
    <row r="303" spans="1:21" ht="16.5" thickBot="1">
      <c r="A303" s="50" t="s">
        <v>35</v>
      </c>
      <c r="B303" s="51">
        <f t="shared" si="15"/>
        <v>75</v>
      </c>
      <c r="C303" s="51" t="s">
        <v>3</v>
      </c>
      <c r="D303" s="51">
        <f t="shared" si="16"/>
        <v>360</v>
      </c>
      <c r="E303" s="51" t="s">
        <v>3</v>
      </c>
      <c r="F303" s="110">
        <f t="shared" si="17"/>
        <v>2550</v>
      </c>
      <c r="G303" s="51" t="s">
        <v>3</v>
      </c>
      <c r="H303" s="48">
        <v>4</v>
      </c>
      <c r="I303" s="49" t="s">
        <v>45</v>
      </c>
      <c r="J303" s="112">
        <v>75</v>
      </c>
      <c r="K303" s="113">
        <v>360</v>
      </c>
      <c r="L303" s="113">
        <v>2550</v>
      </c>
      <c r="M303" s="185">
        <v>28.859015457836311</v>
      </c>
      <c r="N303" s="75">
        <v>1250.0109599999998</v>
      </c>
      <c r="O303" s="121">
        <v>41580.128785822322</v>
      </c>
      <c r="P303" s="121">
        <v>49313.027061615612</v>
      </c>
      <c r="Q303" s="120">
        <v>34714.547009147034</v>
      </c>
      <c r="R303" s="314">
        <v>76294.675794969357</v>
      </c>
      <c r="S303" s="315">
        <v>84027.574070762639</v>
      </c>
      <c r="U303" s="7" t="s">
        <v>1637</v>
      </c>
    </row>
    <row r="304" spans="1:21" ht="16.5" thickBot="1">
      <c r="A304" s="47" t="s">
        <v>35</v>
      </c>
      <c r="B304" s="48">
        <f t="shared" si="15"/>
        <v>75</v>
      </c>
      <c r="C304" s="48" t="s">
        <v>3</v>
      </c>
      <c r="D304" s="48">
        <f t="shared" si="16"/>
        <v>360</v>
      </c>
      <c r="E304" s="48" t="s">
        <v>3</v>
      </c>
      <c r="F304" s="110">
        <f t="shared" si="17"/>
        <v>2600</v>
      </c>
      <c r="G304" s="48" t="s">
        <v>3</v>
      </c>
      <c r="H304" s="48">
        <v>4</v>
      </c>
      <c r="I304" s="49" t="s">
        <v>45</v>
      </c>
      <c r="J304" s="112">
        <v>75</v>
      </c>
      <c r="K304" s="113">
        <v>360</v>
      </c>
      <c r="L304" s="113">
        <v>2600</v>
      </c>
      <c r="M304" s="185">
        <v>29.387282597438421</v>
      </c>
      <c r="N304" s="75">
        <v>1278.4203</v>
      </c>
      <c r="O304" s="121">
        <v>42254.999679359818</v>
      </c>
      <c r="P304" s="121">
        <v>50127.828581130168</v>
      </c>
      <c r="Q304" s="120">
        <v>35268.144150649961</v>
      </c>
      <c r="R304" s="314">
        <v>77523.14383000978</v>
      </c>
      <c r="S304" s="315">
        <v>85395.97273178013</v>
      </c>
      <c r="U304" s="7" t="s">
        <v>1638</v>
      </c>
    </row>
    <row r="305" spans="1:21" ht="16.5" thickBot="1">
      <c r="A305" s="50" t="s">
        <v>35</v>
      </c>
      <c r="B305" s="51">
        <f t="shared" si="15"/>
        <v>75</v>
      </c>
      <c r="C305" s="51" t="s">
        <v>3</v>
      </c>
      <c r="D305" s="51">
        <f t="shared" si="16"/>
        <v>360</v>
      </c>
      <c r="E305" s="51" t="s">
        <v>3</v>
      </c>
      <c r="F305" s="110">
        <f t="shared" si="17"/>
        <v>2650</v>
      </c>
      <c r="G305" s="51" t="s">
        <v>3</v>
      </c>
      <c r="H305" s="48">
        <v>4</v>
      </c>
      <c r="I305" s="49" t="s">
        <v>45</v>
      </c>
      <c r="J305" s="112">
        <v>75</v>
      </c>
      <c r="K305" s="113">
        <v>360</v>
      </c>
      <c r="L305" s="113">
        <v>2650</v>
      </c>
      <c r="M305" s="185">
        <v>29.932589737040523</v>
      </c>
      <c r="N305" s="75">
        <v>1306.8296400000002</v>
      </c>
      <c r="O305" s="121">
        <v>42929.870432503958</v>
      </c>
      <c r="P305" s="121">
        <v>50942.630100645008</v>
      </c>
      <c r="Q305" s="120">
        <v>36052.323069936159</v>
      </c>
      <c r="R305" s="314">
        <v>78982.193502440117</v>
      </c>
      <c r="S305" s="315">
        <v>86994.953170581168</v>
      </c>
      <c r="U305" s="7" t="s">
        <v>1639</v>
      </c>
    </row>
    <row r="306" spans="1:21" ht="16.5" thickBot="1">
      <c r="A306" s="50" t="s">
        <v>35</v>
      </c>
      <c r="B306" s="51">
        <f t="shared" si="15"/>
        <v>75</v>
      </c>
      <c r="C306" s="51" t="s">
        <v>3</v>
      </c>
      <c r="D306" s="51">
        <f t="shared" si="16"/>
        <v>360</v>
      </c>
      <c r="E306" s="51" t="s">
        <v>3</v>
      </c>
      <c r="F306" s="110">
        <f t="shared" si="17"/>
        <v>2700</v>
      </c>
      <c r="G306" s="51" t="s">
        <v>3</v>
      </c>
      <c r="H306" s="48">
        <v>4</v>
      </c>
      <c r="I306" s="49" t="s">
        <v>45</v>
      </c>
      <c r="J306" s="112">
        <v>75</v>
      </c>
      <c r="K306" s="113">
        <v>360</v>
      </c>
      <c r="L306" s="113">
        <v>2700</v>
      </c>
      <c r="M306" s="185">
        <v>30.539356876642636</v>
      </c>
      <c r="N306" s="75">
        <v>1335.2389800000001</v>
      </c>
      <c r="O306" s="121">
        <v>43681.895761943597</v>
      </c>
      <c r="P306" s="121">
        <v>51832.23446723997</v>
      </c>
      <c r="Q306" s="120">
        <v>36605.920211439086</v>
      </c>
      <c r="R306" s="314">
        <v>80287.815973382676</v>
      </c>
      <c r="S306" s="315">
        <v>88438.154678679057</v>
      </c>
      <c r="U306" s="7" t="s">
        <v>1640</v>
      </c>
    </row>
    <row r="307" spans="1:21" ht="16.5" thickBot="1">
      <c r="A307" s="50" t="s">
        <v>35</v>
      </c>
      <c r="B307" s="51">
        <f t="shared" si="15"/>
        <v>75</v>
      </c>
      <c r="C307" s="51" t="s">
        <v>3</v>
      </c>
      <c r="D307" s="51">
        <f t="shared" si="16"/>
        <v>360</v>
      </c>
      <c r="E307" s="51" t="s">
        <v>3</v>
      </c>
      <c r="F307" s="110">
        <f t="shared" si="17"/>
        <v>2750</v>
      </c>
      <c r="G307" s="51" t="s">
        <v>3</v>
      </c>
      <c r="H307" s="48">
        <v>4</v>
      </c>
      <c r="I307" s="49" t="s">
        <v>45</v>
      </c>
      <c r="J307" s="112">
        <v>75</v>
      </c>
      <c r="K307" s="113">
        <v>360</v>
      </c>
      <c r="L307" s="113">
        <v>2750</v>
      </c>
      <c r="M307" s="185">
        <v>31.067624016244736</v>
      </c>
      <c r="N307" s="75">
        <v>1363.64832</v>
      </c>
      <c r="O307" s="121">
        <v>44356.7666554811</v>
      </c>
      <c r="P307" s="121">
        <v>52647.035986754672</v>
      </c>
      <c r="Q307" s="120">
        <v>37159.517352942006</v>
      </c>
      <c r="R307" s="314">
        <v>81516.284008423099</v>
      </c>
      <c r="S307" s="315">
        <v>89806.553339696678</v>
      </c>
      <c r="U307" s="7" t="s">
        <v>1641</v>
      </c>
    </row>
    <row r="308" spans="1:21" ht="16.5" thickBot="1">
      <c r="A308" s="50" t="s">
        <v>35</v>
      </c>
      <c r="B308" s="51">
        <f t="shared" si="15"/>
        <v>75</v>
      </c>
      <c r="C308" s="51" t="s">
        <v>3</v>
      </c>
      <c r="D308" s="51">
        <f t="shared" si="16"/>
        <v>360</v>
      </c>
      <c r="E308" s="51" t="s">
        <v>3</v>
      </c>
      <c r="F308" s="110">
        <f t="shared" si="17"/>
        <v>2800</v>
      </c>
      <c r="G308" s="51" t="s">
        <v>3</v>
      </c>
      <c r="H308" s="48">
        <v>4</v>
      </c>
      <c r="I308" s="49" t="s">
        <v>45</v>
      </c>
      <c r="J308" s="112">
        <v>75</v>
      </c>
      <c r="K308" s="113">
        <v>360</v>
      </c>
      <c r="L308" s="113">
        <v>2800</v>
      </c>
      <c r="M308" s="185">
        <v>31.612931155846844</v>
      </c>
      <c r="N308" s="75">
        <v>1392.0576600000002</v>
      </c>
      <c r="O308" s="121">
        <v>45031.637549018596</v>
      </c>
      <c r="P308" s="121">
        <v>53461.837506269367</v>
      </c>
      <c r="Q308" s="120">
        <v>37943.696272228204</v>
      </c>
      <c r="R308" s="314">
        <v>82975.333821246808</v>
      </c>
      <c r="S308" s="315">
        <v>91405.533778497571</v>
      </c>
      <c r="U308" s="7" t="s">
        <v>1642</v>
      </c>
    </row>
    <row r="309" spans="1:21" ht="16.5" thickBot="1">
      <c r="A309" s="50" t="s">
        <v>35</v>
      </c>
      <c r="B309" s="51">
        <f t="shared" si="15"/>
        <v>75</v>
      </c>
      <c r="C309" s="51" t="s">
        <v>3</v>
      </c>
      <c r="D309" s="51">
        <f t="shared" si="16"/>
        <v>360</v>
      </c>
      <c r="E309" s="51" t="s">
        <v>3</v>
      </c>
      <c r="F309" s="110">
        <f t="shared" si="17"/>
        <v>2850</v>
      </c>
      <c r="G309" s="51" t="s">
        <v>3</v>
      </c>
      <c r="H309" s="48">
        <v>4</v>
      </c>
      <c r="I309" s="49" t="s">
        <v>45</v>
      </c>
      <c r="J309" s="112">
        <v>75</v>
      </c>
      <c r="K309" s="113">
        <v>360</v>
      </c>
      <c r="L309" s="113">
        <v>2850</v>
      </c>
      <c r="M309" s="185">
        <v>32.141198295448945</v>
      </c>
      <c r="N309" s="75">
        <v>1420.4670000000001</v>
      </c>
      <c r="O309" s="121">
        <v>45706.508442556093</v>
      </c>
      <c r="P309" s="121">
        <v>54276.63916617744</v>
      </c>
      <c r="Q309" s="120">
        <v>38497.293413731131</v>
      </c>
      <c r="R309" s="314">
        <v>84203.801856287231</v>
      </c>
      <c r="S309" s="315">
        <v>92773.932579908578</v>
      </c>
      <c r="U309" s="7" t="s">
        <v>1643</v>
      </c>
    </row>
    <row r="310" spans="1:21" ht="16.5" thickBot="1">
      <c r="A310" s="50" t="s">
        <v>35</v>
      </c>
      <c r="B310" s="51">
        <f t="shared" si="15"/>
        <v>75</v>
      </c>
      <c r="C310" s="51" t="s">
        <v>3</v>
      </c>
      <c r="D310" s="51">
        <f t="shared" si="16"/>
        <v>360</v>
      </c>
      <c r="E310" s="51" t="s">
        <v>3</v>
      </c>
      <c r="F310" s="110">
        <f t="shared" si="17"/>
        <v>2900</v>
      </c>
      <c r="G310" s="51" t="s">
        <v>3</v>
      </c>
      <c r="H310" s="48">
        <v>4</v>
      </c>
      <c r="I310" s="49" t="s">
        <v>45</v>
      </c>
      <c r="J310" s="112">
        <v>75</v>
      </c>
      <c r="K310" s="113">
        <v>360</v>
      </c>
      <c r="L310" s="113">
        <v>2900</v>
      </c>
      <c r="M310" s="185">
        <v>32.686505435051053</v>
      </c>
      <c r="N310" s="75">
        <v>1448.8763400000003</v>
      </c>
      <c r="O310" s="121">
        <v>46381.379195700232</v>
      </c>
      <c r="P310" s="121">
        <v>55091.440685692141</v>
      </c>
      <c r="Q310" s="120">
        <v>39281.472333017329</v>
      </c>
      <c r="R310" s="314">
        <v>85662.851528717554</v>
      </c>
      <c r="S310" s="315">
        <v>94372.913018709471</v>
      </c>
      <c r="U310" s="7" t="s">
        <v>1644</v>
      </c>
    </row>
    <row r="311" spans="1:21" ht="16.5" thickBot="1">
      <c r="A311" s="50" t="s">
        <v>35</v>
      </c>
      <c r="B311" s="51">
        <f t="shared" si="15"/>
        <v>75</v>
      </c>
      <c r="C311" s="51" t="s">
        <v>3</v>
      </c>
      <c r="D311" s="51">
        <f t="shared" si="16"/>
        <v>360</v>
      </c>
      <c r="E311" s="51" t="s">
        <v>3</v>
      </c>
      <c r="F311" s="110">
        <f t="shared" si="17"/>
        <v>2950</v>
      </c>
      <c r="G311" s="51" t="s">
        <v>3</v>
      </c>
      <c r="H311" s="48">
        <v>4</v>
      </c>
      <c r="I311" s="49" t="s">
        <v>45</v>
      </c>
      <c r="J311" s="112">
        <v>75</v>
      </c>
      <c r="K311" s="113">
        <v>360</v>
      </c>
      <c r="L311" s="113">
        <v>2950</v>
      </c>
      <c r="M311" s="185">
        <v>33.214772574653161</v>
      </c>
      <c r="N311" s="75">
        <v>1477.28568</v>
      </c>
      <c r="O311" s="121">
        <v>47056.250089237736</v>
      </c>
      <c r="P311" s="121">
        <v>55906.2423456002</v>
      </c>
      <c r="Q311" s="120">
        <v>39835.069474520256</v>
      </c>
      <c r="R311" s="314">
        <v>86891.319563757992</v>
      </c>
      <c r="S311" s="315">
        <v>95741.311820120463</v>
      </c>
      <c r="U311" s="7" t="s">
        <v>1645</v>
      </c>
    </row>
    <row r="312" spans="1:21" ht="16.5" thickBot="1">
      <c r="A312" s="52" t="s">
        <v>35</v>
      </c>
      <c r="B312" s="53">
        <f t="shared" si="15"/>
        <v>75</v>
      </c>
      <c r="C312" s="53" t="s">
        <v>3</v>
      </c>
      <c r="D312" s="53">
        <f t="shared" si="16"/>
        <v>360</v>
      </c>
      <c r="E312" s="53" t="s">
        <v>3</v>
      </c>
      <c r="F312" s="111">
        <f t="shared" si="17"/>
        <v>3000</v>
      </c>
      <c r="G312" s="53" t="s">
        <v>3</v>
      </c>
      <c r="H312" s="55">
        <v>4</v>
      </c>
      <c r="I312" s="54" t="s">
        <v>45</v>
      </c>
      <c r="J312" s="146">
        <v>75</v>
      </c>
      <c r="K312" s="157">
        <v>360</v>
      </c>
      <c r="L312" s="157">
        <v>3000</v>
      </c>
      <c r="M312" s="187">
        <v>33.760079714255262</v>
      </c>
      <c r="N312" s="147">
        <v>1505.6950199999999</v>
      </c>
      <c r="O312" s="158">
        <v>47731.120982775232</v>
      </c>
      <c r="P312" s="158">
        <v>56721.043865114894</v>
      </c>
      <c r="Q312" s="159">
        <v>40619.248393806454</v>
      </c>
      <c r="R312" s="316">
        <v>88350.369376581686</v>
      </c>
      <c r="S312" s="317">
        <v>97340.292258921341</v>
      </c>
      <c r="U312" s="7" t="s">
        <v>1646</v>
      </c>
    </row>
    <row r="313" spans="1:21" s="74" customFormat="1" ht="22.5" customHeight="1" thickBot="1">
      <c r="A313" s="2621" t="s">
        <v>67</v>
      </c>
      <c r="B313" s="2622"/>
      <c r="C313" s="2622"/>
      <c r="D313" s="2622"/>
      <c r="E313" s="2622"/>
      <c r="F313" s="2622"/>
      <c r="G313" s="2622"/>
      <c r="H313" s="2622"/>
      <c r="I313" s="2622"/>
      <c r="J313" s="2622"/>
      <c r="K313" s="2622"/>
      <c r="L313" s="2622"/>
      <c r="M313" s="2622"/>
      <c r="N313" s="2622"/>
      <c r="O313" s="2622"/>
      <c r="P313" s="2622"/>
      <c r="Q313" s="2622"/>
      <c r="R313" s="2622"/>
      <c r="S313" s="2623"/>
      <c r="U313" s="7"/>
    </row>
    <row r="314" spans="1:21" s="74" customFormat="1" ht="16.5" thickBot="1">
      <c r="A314" s="2583" t="s">
        <v>135</v>
      </c>
      <c r="B314" s="2584"/>
      <c r="C314" s="2584"/>
      <c r="D314" s="2584"/>
      <c r="E314" s="2584"/>
      <c r="F314" s="2584"/>
      <c r="G314" s="2584"/>
      <c r="H314" s="2584"/>
      <c r="I314" s="2584"/>
      <c r="J314" s="2584"/>
      <c r="K314" s="2584"/>
      <c r="L314" s="2584"/>
      <c r="M314" s="2584"/>
      <c r="N314" s="2584"/>
      <c r="O314" s="2584"/>
      <c r="P314" s="2584"/>
      <c r="Q314" s="2584"/>
      <c r="R314" s="2584"/>
      <c r="S314" s="2585"/>
      <c r="U314" s="7"/>
    </row>
    <row r="315" spans="1:21" s="74" customFormat="1" ht="16.5" thickBot="1">
      <c r="A315" s="47" t="s">
        <v>35</v>
      </c>
      <c r="B315" s="48">
        <f>J315</f>
        <v>75</v>
      </c>
      <c r="C315" s="48" t="s">
        <v>3</v>
      </c>
      <c r="D315" s="48">
        <f>K315</f>
        <v>400</v>
      </c>
      <c r="E315" s="48" t="s">
        <v>3</v>
      </c>
      <c r="F315" s="110">
        <f>L315</f>
        <v>600</v>
      </c>
      <c r="G315" s="48" t="s">
        <v>3</v>
      </c>
      <c r="H315" s="48">
        <v>4</v>
      </c>
      <c r="I315" s="49" t="s">
        <v>45</v>
      </c>
      <c r="J315" s="142">
        <v>75</v>
      </c>
      <c r="K315" s="168">
        <v>400</v>
      </c>
      <c r="L315" s="168">
        <v>600</v>
      </c>
      <c r="M315" s="182">
        <v>7.8633132234836847</v>
      </c>
      <c r="N315" s="143">
        <v>146.3397366312</v>
      </c>
      <c r="O315" s="183">
        <v>13913.179616817679</v>
      </c>
      <c r="P315" s="183">
        <v>16347.101564557353</v>
      </c>
      <c r="Q315" s="169">
        <v>9871.7007401553401</v>
      </c>
      <c r="R315" s="312">
        <v>23784.880356973019</v>
      </c>
      <c r="S315" s="313">
        <v>26218.802304712692</v>
      </c>
      <c r="U315" s="7" t="s">
        <v>1647</v>
      </c>
    </row>
    <row r="316" spans="1:21" s="74" customFormat="1" ht="16.5" thickBot="1">
      <c r="A316" s="50" t="s">
        <v>35</v>
      </c>
      <c r="B316" s="51">
        <f t="shared" ref="B316:B363" si="18">J316</f>
        <v>75</v>
      </c>
      <c r="C316" s="51" t="s">
        <v>3</v>
      </c>
      <c r="D316" s="51">
        <f t="shared" ref="D316:D363" si="19">K316</f>
        <v>400</v>
      </c>
      <c r="E316" s="51" t="s">
        <v>3</v>
      </c>
      <c r="F316" s="110">
        <f t="shared" ref="F316:F363" si="20">L316</f>
        <v>650</v>
      </c>
      <c r="G316" s="51" t="s">
        <v>3</v>
      </c>
      <c r="H316" s="48">
        <v>4</v>
      </c>
      <c r="I316" s="49" t="s">
        <v>45</v>
      </c>
      <c r="J316" s="112">
        <v>75</v>
      </c>
      <c r="K316" s="113">
        <v>400</v>
      </c>
      <c r="L316" s="113">
        <v>650</v>
      </c>
      <c r="M316" s="185">
        <v>8.4464948487205262</v>
      </c>
      <c r="N316" s="75">
        <v>175.60768395744</v>
      </c>
      <c r="O316" s="121">
        <v>14606.796393689627</v>
      </c>
      <c r="P316" s="121">
        <v>17268.827792098953</v>
      </c>
      <c r="Q316" s="120">
        <v>10474.092577548676</v>
      </c>
      <c r="R316" s="314">
        <v>25080.888971238302</v>
      </c>
      <c r="S316" s="315">
        <v>27742.920369647629</v>
      </c>
      <c r="U316" s="7" t="s">
        <v>1648</v>
      </c>
    </row>
    <row r="317" spans="1:21" s="74" customFormat="1" ht="16.5" thickBot="1">
      <c r="A317" s="50" t="s">
        <v>35</v>
      </c>
      <c r="B317" s="51">
        <f t="shared" si="18"/>
        <v>75</v>
      </c>
      <c r="C317" s="51" t="s">
        <v>3</v>
      </c>
      <c r="D317" s="51">
        <f t="shared" si="19"/>
        <v>400</v>
      </c>
      <c r="E317" s="51" t="s">
        <v>3</v>
      </c>
      <c r="F317" s="110">
        <f t="shared" si="20"/>
        <v>700</v>
      </c>
      <c r="G317" s="51" t="s">
        <v>3</v>
      </c>
      <c r="H317" s="48">
        <v>4</v>
      </c>
      <c r="I317" s="49" t="s">
        <v>45</v>
      </c>
      <c r="J317" s="112">
        <v>75</v>
      </c>
      <c r="K317" s="113">
        <v>400</v>
      </c>
      <c r="L317" s="113">
        <v>700</v>
      </c>
      <c r="M317" s="185">
        <v>9.0237658062173676</v>
      </c>
      <c r="N317" s="75">
        <v>204.87563128368001</v>
      </c>
      <c r="O317" s="121">
        <v>15300.413310954942</v>
      </c>
      <c r="P317" s="121">
        <v>18115.627626401292</v>
      </c>
      <c r="Q317" s="120">
        <v>11307.066052331927</v>
      </c>
      <c r="R317" s="314">
        <v>26607.479363286868</v>
      </c>
      <c r="S317" s="315">
        <v>29422.69367873322</v>
      </c>
      <c r="U317" s="7" t="s">
        <v>1649</v>
      </c>
    </row>
    <row r="318" spans="1:21" s="74" customFormat="1" ht="16.5" thickBot="1">
      <c r="A318" s="50" t="s">
        <v>35</v>
      </c>
      <c r="B318" s="51">
        <f t="shared" si="18"/>
        <v>75</v>
      </c>
      <c r="C318" s="51" t="s">
        <v>3</v>
      </c>
      <c r="D318" s="51">
        <f t="shared" si="19"/>
        <v>400</v>
      </c>
      <c r="E318" s="51" t="s">
        <v>3</v>
      </c>
      <c r="F318" s="110">
        <f t="shared" si="20"/>
        <v>750</v>
      </c>
      <c r="G318" s="51" t="s">
        <v>3</v>
      </c>
      <c r="H318" s="48">
        <v>4</v>
      </c>
      <c r="I318" s="49" t="s">
        <v>45</v>
      </c>
      <c r="J318" s="112">
        <v>75</v>
      </c>
      <c r="K318" s="113">
        <v>400</v>
      </c>
      <c r="L318" s="113">
        <v>750</v>
      </c>
      <c r="M318" s="185">
        <v>9.5839967637142109</v>
      </c>
      <c r="N318" s="75">
        <v>234.14357860991998</v>
      </c>
      <c r="O318" s="121">
        <v>15994.03008782689</v>
      </c>
      <c r="P318" s="121">
        <v>18962.427320310268</v>
      </c>
      <c r="Q318" s="120">
        <v>11909.457889725263</v>
      </c>
      <c r="R318" s="314">
        <v>27903.487977552155</v>
      </c>
      <c r="S318" s="315">
        <v>30871.885210035529</v>
      </c>
      <c r="U318" s="7" t="s">
        <v>1650</v>
      </c>
    </row>
    <row r="319" spans="1:21" s="74" customFormat="1" ht="16.5" thickBot="1">
      <c r="A319" s="50" t="s">
        <v>35</v>
      </c>
      <c r="B319" s="51">
        <f t="shared" si="18"/>
        <v>75</v>
      </c>
      <c r="C319" s="51" t="s">
        <v>3</v>
      </c>
      <c r="D319" s="51">
        <f t="shared" si="19"/>
        <v>400</v>
      </c>
      <c r="E319" s="51" t="s">
        <v>3</v>
      </c>
      <c r="F319" s="110">
        <f t="shared" si="20"/>
        <v>800</v>
      </c>
      <c r="G319" s="51" t="s">
        <v>3</v>
      </c>
      <c r="H319" s="48">
        <v>4</v>
      </c>
      <c r="I319" s="49" t="s">
        <v>45</v>
      </c>
      <c r="J319" s="112">
        <v>75</v>
      </c>
      <c r="K319" s="113">
        <v>400</v>
      </c>
      <c r="L319" s="113">
        <v>800</v>
      </c>
      <c r="M319" s="185">
        <v>10.144227721211054</v>
      </c>
      <c r="N319" s="75">
        <v>263.41152593615999</v>
      </c>
      <c r="O319" s="121">
        <v>16687.647005092203</v>
      </c>
      <c r="P319" s="121">
        <v>19809.227014219239</v>
      </c>
      <c r="Q319" s="120">
        <v>12511.84958672524</v>
      </c>
      <c r="R319" s="314">
        <v>29199.496591817442</v>
      </c>
      <c r="S319" s="315">
        <v>32321.076600944478</v>
      </c>
      <c r="U319" s="7" t="s">
        <v>1651</v>
      </c>
    </row>
    <row r="320" spans="1:21" s="74" customFormat="1" ht="16.5" thickBot="1">
      <c r="A320" s="50" t="s">
        <v>35</v>
      </c>
      <c r="B320" s="51">
        <f t="shared" si="18"/>
        <v>75</v>
      </c>
      <c r="C320" s="51" t="s">
        <v>3</v>
      </c>
      <c r="D320" s="51">
        <f t="shared" si="19"/>
        <v>400</v>
      </c>
      <c r="E320" s="51" t="s">
        <v>3</v>
      </c>
      <c r="F320" s="110">
        <f t="shared" si="20"/>
        <v>850</v>
      </c>
      <c r="G320" s="51" t="s">
        <v>3</v>
      </c>
      <c r="H320" s="48">
        <v>4</v>
      </c>
      <c r="I320" s="49" t="s">
        <v>45</v>
      </c>
      <c r="J320" s="112">
        <v>75</v>
      </c>
      <c r="K320" s="113">
        <v>400</v>
      </c>
      <c r="L320" s="113">
        <v>850</v>
      </c>
      <c r="M320" s="185">
        <v>10.721498678707896</v>
      </c>
      <c r="N320" s="75">
        <v>292.67947326239999</v>
      </c>
      <c r="O320" s="121">
        <v>17381.263922357513</v>
      </c>
      <c r="P320" s="121">
        <v>20656.026708128218</v>
      </c>
      <c r="Q320" s="120">
        <v>13344.823201901852</v>
      </c>
      <c r="R320" s="314">
        <v>30726.087124259364</v>
      </c>
      <c r="S320" s="315">
        <v>34000.849910030069</v>
      </c>
      <c r="U320" s="7" t="s">
        <v>1652</v>
      </c>
    </row>
    <row r="321" spans="1:21" s="74" customFormat="1" ht="16.5" thickBot="1">
      <c r="A321" s="50" t="s">
        <v>35</v>
      </c>
      <c r="B321" s="51">
        <f t="shared" si="18"/>
        <v>75</v>
      </c>
      <c r="C321" s="51" t="s">
        <v>3</v>
      </c>
      <c r="D321" s="51">
        <f t="shared" si="19"/>
        <v>400</v>
      </c>
      <c r="E321" s="51" t="s">
        <v>3</v>
      </c>
      <c r="F321" s="110">
        <f t="shared" si="20"/>
        <v>900</v>
      </c>
      <c r="G321" s="51" t="s">
        <v>3</v>
      </c>
      <c r="H321" s="48">
        <v>4</v>
      </c>
      <c r="I321" s="49" t="s">
        <v>45</v>
      </c>
      <c r="J321" s="112">
        <v>75</v>
      </c>
      <c r="K321" s="113">
        <v>400</v>
      </c>
      <c r="L321" s="113">
        <v>900</v>
      </c>
      <c r="M321" s="185">
        <v>11.281729636204739</v>
      </c>
      <c r="N321" s="75">
        <v>321.94742058863994</v>
      </c>
      <c r="O321" s="121">
        <v>18074.880699229467</v>
      </c>
      <c r="P321" s="121">
        <v>21502.826542430554</v>
      </c>
      <c r="Q321" s="120">
        <v>13947.21489890183</v>
      </c>
      <c r="R321" s="314">
        <v>32022.095598131295</v>
      </c>
      <c r="S321" s="315">
        <v>35450.041441332382</v>
      </c>
      <c r="U321" s="7" t="s">
        <v>1653</v>
      </c>
    </row>
    <row r="322" spans="1:21" s="74" customFormat="1" ht="16.5" thickBot="1">
      <c r="A322" s="50" t="s">
        <v>35</v>
      </c>
      <c r="B322" s="51">
        <f t="shared" si="18"/>
        <v>75</v>
      </c>
      <c r="C322" s="51" t="s">
        <v>3</v>
      </c>
      <c r="D322" s="51">
        <f t="shared" si="19"/>
        <v>400</v>
      </c>
      <c r="E322" s="51" t="s">
        <v>3</v>
      </c>
      <c r="F322" s="110">
        <f t="shared" si="20"/>
        <v>950</v>
      </c>
      <c r="G322" s="51" t="s">
        <v>3</v>
      </c>
      <c r="H322" s="48">
        <v>4</v>
      </c>
      <c r="I322" s="49" t="s">
        <v>45</v>
      </c>
      <c r="J322" s="112">
        <v>75</v>
      </c>
      <c r="K322" s="113">
        <v>400</v>
      </c>
      <c r="L322" s="113">
        <v>950</v>
      </c>
      <c r="M322" s="185">
        <v>11.859000593701577</v>
      </c>
      <c r="N322" s="75">
        <v>351.21536791488001</v>
      </c>
      <c r="O322" s="121">
        <v>18768.497616494777</v>
      </c>
      <c r="P322" s="121">
        <v>22349.626236339529</v>
      </c>
      <c r="Q322" s="120">
        <v>14780.188514078442</v>
      </c>
      <c r="R322" s="314">
        <v>33548.686130573216</v>
      </c>
      <c r="S322" s="315">
        <v>37129.814750417972</v>
      </c>
      <c r="U322" s="7" t="s">
        <v>1654</v>
      </c>
    </row>
    <row r="323" spans="1:21" s="74" customFormat="1" ht="16.5" thickBot="1">
      <c r="A323" s="50" t="s">
        <v>35</v>
      </c>
      <c r="B323" s="51">
        <f t="shared" si="18"/>
        <v>75</v>
      </c>
      <c r="C323" s="51" t="s">
        <v>3</v>
      </c>
      <c r="D323" s="51">
        <f t="shared" si="19"/>
        <v>400</v>
      </c>
      <c r="E323" s="51" t="s">
        <v>3</v>
      </c>
      <c r="F323" s="110">
        <f t="shared" si="20"/>
        <v>1000</v>
      </c>
      <c r="G323" s="51" t="s">
        <v>3</v>
      </c>
      <c r="H323" s="48">
        <v>4</v>
      </c>
      <c r="I323" s="49" t="s">
        <v>45</v>
      </c>
      <c r="J323" s="112">
        <v>75</v>
      </c>
      <c r="K323" s="113">
        <v>400</v>
      </c>
      <c r="L323" s="113">
        <v>1000</v>
      </c>
      <c r="M323" s="185">
        <v>12.41923155119842</v>
      </c>
      <c r="N323" s="75">
        <v>380.48331524112001</v>
      </c>
      <c r="O323" s="121">
        <v>19462.11439336673</v>
      </c>
      <c r="P323" s="121">
        <v>23196.425930248508</v>
      </c>
      <c r="Q323" s="120">
        <v>15382.580351471779</v>
      </c>
      <c r="R323" s="314">
        <v>34844.694744838511</v>
      </c>
      <c r="S323" s="315">
        <v>38579.006281720285</v>
      </c>
      <c r="U323" s="7" t="s">
        <v>1655</v>
      </c>
    </row>
    <row r="324" spans="1:21" s="74" customFormat="1" ht="16.5" thickBot="1">
      <c r="A324" s="50" t="s">
        <v>35</v>
      </c>
      <c r="B324" s="51">
        <f t="shared" si="18"/>
        <v>75</v>
      </c>
      <c r="C324" s="51" t="s">
        <v>3</v>
      </c>
      <c r="D324" s="51">
        <f t="shared" si="19"/>
        <v>400</v>
      </c>
      <c r="E324" s="51" t="s">
        <v>3</v>
      </c>
      <c r="F324" s="110">
        <f t="shared" si="20"/>
        <v>1050</v>
      </c>
      <c r="G324" s="51" t="s">
        <v>3</v>
      </c>
      <c r="H324" s="48">
        <v>4</v>
      </c>
      <c r="I324" s="49" t="s">
        <v>45</v>
      </c>
      <c r="J324" s="112">
        <v>75</v>
      </c>
      <c r="K324" s="113">
        <v>400</v>
      </c>
      <c r="L324" s="113">
        <v>1050</v>
      </c>
      <c r="M324" s="185">
        <v>12.996502508695261</v>
      </c>
      <c r="N324" s="75">
        <v>409.75126256736002</v>
      </c>
      <c r="O324" s="121">
        <v>20155.73131063204</v>
      </c>
      <c r="P324" s="121">
        <v>24043.225764550843</v>
      </c>
      <c r="Q324" s="120">
        <v>16215.553826255029</v>
      </c>
      <c r="R324" s="314">
        <v>36371.285136887069</v>
      </c>
      <c r="S324" s="315">
        <v>40258.779590805876</v>
      </c>
      <c r="U324" s="7" t="s">
        <v>1656</v>
      </c>
    </row>
    <row r="325" spans="1:21" s="74" customFormat="1" ht="16.5" thickBot="1">
      <c r="A325" s="47" t="s">
        <v>35</v>
      </c>
      <c r="B325" s="48">
        <f t="shared" si="18"/>
        <v>75</v>
      </c>
      <c r="C325" s="48" t="s">
        <v>3</v>
      </c>
      <c r="D325" s="48">
        <f t="shared" si="19"/>
        <v>400</v>
      </c>
      <c r="E325" s="48" t="s">
        <v>3</v>
      </c>
      <c r="F325" s="110">
        <f t="shared" si="20"/>
        <v>1100</v>
      </c>
      <c r="G325" s="48" t="s">
        <v>3</v>
      </c>
      <c r="H325" s="48">
        <v>4</v>
      </c>
      <c r="I325" s="49" t="s">
        <v>45</v>
      </c>
      <c r="J325" s="112">
        <v>75</v>
      </c>
      <c r="K325" s="113">
        <v>400</v>
      </c>
      <c r="L325" s="113">
        <v>1100</v>
      </c>
      <c r="M325" s="185">
        <v>13.556733466192103</v>
      </c>
      <c r="N325" s="75">
        <v>439.01920989360002</v>
      </c>
      <c r="O325" s="121">
        <v>20849.348227897353</v>
      </c>
      <c r="P325" s="121">
        <v>24890.025458459819</v>
      </c>
      <c r="Q325" s="120">
        <v>16817.945663648366</v>
      </c>
      <c r="R325" s="314">
        <v>37667.29389154572</v>
      </c>
      <c r="S325" s="315">
        <v>41707.971122108182</v>
      </c>
      <c r="U325" s="7" t="s">
        <v>1657</v>
      </c>
    </row>
    <row r="326" spans="1:21" s="74" customFormat="1" ht="16.5" thickBot="1">
      <c r="A326" s="50" t="s">
        <v>35</v>
      </c>
      <c r="B326" s="51">
        <f t="shared" si="18"/>
        <v>75</v>
      </c>
      <c r="C326" s="51" t="s">
        <v>3</v>
      </c>
      <c r="D326" s="51">
        <f t="shared" si="19"/>
        <v>400</v>
      </c>
      <c r="E326" s="51" t="s">
        <v>3</v>
      </c>
      <c r="F326" s="110">
        <f t="shared" si="20"/>
        <v>1150</v>
      </c>
      <c r="G326" s="51" t="s">
        <v>3</v>
      </c>
      <c r="H326" s="48">
        <v>4</v>
      </c>
      <c r="I326" s="49" t="s">
        <v>45</v>
      </c>
      <c r="J326" s="112">
        <v>75</v>
      </c>
      <c r="K326" s="113">
        <v>400</v>
      </c>
      <c r="L326" s="113">
        <v>1150</v>
      </c>
      <c r="M326" s="185">
        <v>14.116964423688948</v>
      </c>
      <c r="N326" s="75">
        <v>468.28715721983997</v>
      </c>
      <c r="O326" s="121">
        <v>21542.965004769303</v>
      </c>
      <c r="P326" s="121">
        <v>25736.82515236879</v>
      </c>
      <c r="Q326" s="120">
        <v>17420.33736064834</v>
      </c>
      <c r="R326" s="314">
        <v>38963.302365417643</v>
      </c>
      <c r="S326" s="315">
        <v>43157.162513017131</v>
      </c>
      <c r="U326" s="7" t="s">
        <v>1658</v>
      </c>
    </row>
    <row r="327" spans="1:21" s="74" customFormat="1" ht="16.5" thickBot="1">
      <c r="A327" s="50" t="s">
        <v>35</v>
      </c>
      <c r="B327" s="51">
        <f t="shared" si="18"/>
        <v>75</v>
      </c>
      <c r="C327" s="51" t="s">
        <v>3</v>
      </c>
      <c r="D327" s="51">
        <f t="shared" si="19"/>
        <v>400</v>
      </c>
      <c r="E327" s="51" t="s">
        <v>3</v>
      </c>
      <c r="F327" s="110">
        <f t="shared" si="20"/>
        <v>1200</v>
      </c>
      <c r="G327" s="51" t="s">
        <v>3</v>
      </c>
      <c r="H327" s="48">
        <v>4</v>
      </c>
      <c r="I327" s="49" t="s">
        <v>45</v>
      </c>
      <c r="J327" s="112">
        <v>75</v>
      </c>
      <c r="K327" s="113">
        <v>400</v>
      </c>
      <c r="L327" s="113">
        <v>1200</v>
      </c>
      <c r="M327" s="185">
        <v>14.772735381185788</v>
      </c>
      <c r="N327" s="75">
        <v>497.55510454607997</v>
      </c>
      <c r="O327" s="121">
        <v>22313.736217543392</v>
      </c>
      <c r="P327" s="121">
        <v>26658.427552964669</v>
      </c>
      <c r="Q327" s="120">
        <v>18253.310975824952</v>
      </c>
      <c r="R327" s="314">
        <v>40567.047193368344</v>
      </c>
      <c r="S327" s="315">
        <v>44911.738528789618</v>
      </c>
      <c r="U327" s="7" t="s">
        <v>1659</v>
      </c>
    </row>
    <row r="328" spans="1:21" s="74" customFormat="1" ht="16.5" thickBot="1">
      <c r="A328" s="50" t="s">
        <v>35</v>
      </c>
      <c r="B328" s="51">
        <f t="shared" si="18"/>
        <v>75</v>
      </c>
      <c r="C328" s="51" t="s">
        <v>3</v>
      </c>
      <c r="D328" s="51">
        <f t="shared" si="19"/>
        <v>400</v>
      </c>
      <c r="E328" s="51" t="s">
        <v>3</v>
      </c>
      <c r="F328" s="110">
        <f t="shared" si="20"/>
        <v>1250</v>
      </c>
      <c r="G328" s="51" t="s">
        <v>3</v>
      </c>
      <c r="H328" s="48">
        <v>4</v>
      </c>
      <c r="I328" s="49" t="s">
        <v>45</v>
      </c>
      <c r="J328" s="112">
        <v>75</v>
      </c>
      <c r="K328" s="113">
        <v>400</v>
      </c>
      <c r="L328" s="113">
        <v>1250</v>
      </c>
      <c r="M328" s="185">
        <v>15.332966338682629</v>
      </c>
      <c r="N328" s="75">
        <v>526.82305187231998</v>
      </c>
      <c r="O328" s="121">
        <v>23007.353134808705</v>
      </c>
      <c r="P328" s="121">
        <v>27505.227387267008</v>
      </c>
      <c r="Q328" s="120">
        <v>18855.702672824929</v>
      </c>
      <c r="R328" s="314">
        <v>41863.055807633631</v>
      </c>
      <c r="S328" s="315">
        <v>46360.930060091938</v>
      </c>
      <c r="U328" s="7" t="s">
        <v>1660</v>
      </c>
    </row>
    <row r="329" spans="1:21" s="74" customFormat="1" ht="16.5" thickBot="1">
      <c r="A329" s="50" t="s">
        <v>35</v>
      </c>
      <c r="B329" s="51">
        <f t="shared" si="18"/>
        <v>75</v>
      </c>
      <c r="C329" s="51" t="s">
        <v>3</v>
      </c>
      <c r="D329" s="51">
        <f t="shared" si="19"/>
        <v>400</v>
      </c>
      <c r="E329" s="51" t="s">
        <v>3</v>
      </c>
      <c r="F329" s="110">
        <f t="shared" si="20"/>
        <v>1300</v>
      </c>
      <c r="G329" s="51" t="s">
        <v>3</v>
      </c>
      <c r="H329" s="48">
        <v>4</v>
      </c>
      <c r="I329" s="49" t="s">
        <v>45</v>
      </c>
      <c r="J329" s="112">
        <v>75</v>
      </c>
      <c r="K329" s="113">
        <v>400</v>
      </c>
      <c r="L329" s="113">
        <v>1300</v>
      </c>
      <c r="M329" s="185">
        <v>15.910237296179472</v>
      </c>
      <c r="N329" s="75">
        <v>556.09099919855998</v>
      </c>
      <c r="O329" s="121">
        <v>23700.970052074019</v>
      </c>
      <c r="P329" s="121">
        <v>28352.02708117598</v>
      </c>
      <c r="Q329" s="120">
        <v>19688.676288001541</v>
      </c>
      <c r="R329" s="314">
        <v>43389.64634007556</v>
      </c>
      <c r="S329" s="315">
        <v>48040.703369177521</v>
      </c>
      <c r="U329" s="7" t="s">
        <v>1661</v>
      </c>
    </row>
    <row r="330" spans="1:21" s="74" customFormat="1" ht="16.5" thickBot="1">
      <c r="A330" s="50" t="s">
        <v>35</v>
      </c>
      <c r="B330" s="51">
        <f t="shared" si="18"/>
        <v>75</v>
      </c>
      <c r="C330" s="51" t="s">
        <v>3</v>
      </c>
      <c r="D330" s="51">
        <f t="shared" si="19"/>
        <v>400</v>
      </c>
      <c r="E330" s="51" t="s">
        <v>3</v>
      </c>
      <c r="F330" s="110">
        <f t="shared" si="20"/>
        <v>1350</v>
      </c>
      <c r="G330" s="51" t="s">
        <v>3</v>
      </c>
      <c r="H330" s="48">
        <v>4</v>
      </c>
      <c r="I330" s="49" t="s">
        <v>45</v>
      </c>
      <c r="J330" s="112">
        <v>75</v>
      </c>
      <c r="K330" s="113">
        <v>400</v>
      </c>
      <c r="L330" s="113">
        <v>1350</v>
      </c>
      <c r="M330" s="185">
        <v>16.470468253676316</v>
      </c>
      <c r="N330" s="75">
        <v>585.35894652479999</v>
      </c>
      <c r="O330" s="121">
        <v>24394.586828945969</v>
      </c>
      <c r="P330" s="121">
        <v>29198.826775084955</v>
      </c>
      <c r="Q330" s="120">
        <v>20291.067985001515</v>
      </c>
      <c r="R330" s="314">
        <v>44685.654813947483</v>
      </c>
      <c r="S330" s="315">
        <v>49489.89476008647</v>
      </c>
      <c r="U330" s="7" t="s">
        <v>1662</v>
      </c>
    </row>
    <row r="331" spans="1:21" s="74" customFormat="1" ht="16.5" thickBot="1">
      <c r="A331" s="50" t="s">
        <v>35</v>
      </c>
      <c r="B331" s="51">
        <f t="shared" si="18"/>
        <v>75</v>
      </c>
      <c r="C331" s="51" t="s">
        <v>3</v>
      </c>
      <c r="D331" s="51">
        <f t="shared" si="19"/>
        <v>400</v>
      </c>
      <c r="E331" s="51" t="s">
        <v>3</v>
      </c>
      <c r="F331" s="110">
        <f t="shared" si="20"/>
        <v>1400</v>
      </c>
      <c r="G331" s="51" t="s">
        <v>3</v>
      </c>
      <c r="H331" s="48">
        <v>4</v>
      </c>
      <c r="I331" s="49" t="s">
        <v>45</v>
      </c>
      <c r="J331" s="112">
        <v>75</v>
      </c>
      <c r="K331" s="113">
        <v>400</v>
      </c>
      <c r="L331" s="113">
        <v>1400</v>
      </c>
      <c r="M331" s="185">
        <v>17.047739211173155</v>
      </c>
      <c r="N331" s="75">
        <v>614.62689385103999</v>
      </c>
      <c r="O331" s="121">
        <v>25088.203746211278</v>
      </c>
      <c r="P331" s="121">
        <v>30045.626468993927</v>
      </c>
      <c r="Q331" s="120">
        <v>21124.04160017813</v>
      </c>
      <c r="R331" s="314">
        <v>46212.245346389405</v>
      </c>
      <c r="S331" s="315">
        <v>51169.668069172054</v>
      </c>
      <c r="U331" s="7" t="s">
        <v>1663</v>
      </c>
    </row>
    <row r="332" spans="1:21" s="74" customFormat="1" ht="16.5" thickBot="1">
      <c r="A332" s="50" t="s">
        <v>35</v>
      </c>
      <c r="B332" s="51">
        <f t="shared" si="18"/>
        <v>75</v>
      </c>
      <c r="C332" s="51" t="s">
        <v>3</v>
      </c>
      <c r="D332" s="51">
        <f t="shared" si="19"/>
        <v>400</v>
      </c>
      <c r="E332" s="51" t="s">
        <v>3</v>
      </c>
      <c r="F332" s="110">
        <f t="shared" si="20"/>
        <v>1450</v>
      </c>
      <c r="G332" s="51" t="s">
        <v>3</v>
      </c>
      <c r="H332" s="48">
        <v>4</v>
      </c>
      <c r="I332" s="49" t="s">
        <v>45</v>
      </c>
      <c r="J332" s="112">
        <v>75</v>
      </c>
      <c r="K332" s="113">
        <v>400</v>
      </c>
      <c r="L332" s="113">
        <v>1450</v>
      </c>
      <c r="M332" s="185">
        <v>17.607970168670001</v>
      </c>
      <c r="N332" s="75">
        <v>643.89484117727989</v>
      </c>
      <c r="O332" s="121">
        <v>25781.820523083232</v>
      </c>
      <c r="P332" s="121">
        <v>30892.426303296266</v>
      </c>
      <c r="Q332" s="120">
        <v>21726.433297178104</v>
      </c>
      <c r="R332" s="314">
        <v>47508.253820261336</v>
      </c>
      <c r="S332" s="315">
        <v>52618.859600474374</v>
      </c>
      <c r="U332" s="7" t="s">
        <v>1664</v>
      </c>
    </row>
    <row r="333" spans="1:21" s="74" customFormat="1" ht="16.5" thickBot="1">
      <c r="A333" s="50" t="s">
        <v>35</v>
      </c>
      <c r="B333" s="51">
        <f t="shared" si="18"/>
        <v>75</v>
      </c>
      <c r="C333" s="51" t="s">
        <v>3</v>
      </c>
      <c r="D333" s="51">
        <f t="shared" si="19"/>
        <v>400</v>
      </c>
      <c r="E333" s="51" t="s">
        <v>3</v>
      </c>
      <c r="F333" s="110">
        <f t="shared" si="20"/>
        <v>1500</v>
      </c>
      <c r="G333" s="51" t="s">
        <v>3</v>
      </c>
      <c r="H333" s="48">
        <v>4</v>
      </c>
      <c r="I333" s="49" t="s">
        <v>45</v>
      </c>
      <c r="J333" s="112">
        <v>75</v>
      </c>
      <c r="K333" s="113">
        <v>400</v>
      </c>
      <c r="L333" s="113">
        <v>1500</v>
      </c>
      <c r="M333" s="185">
        <v>18.383139669526841</v>
      </c>
      <c r="N333" s="75">
        <v>673.16278850352001</v>
      </c>
      <c r="O333" s="121">
        <v>27286.002309363081</v>
      </c>
      <c r="P333" s="121">
        <v>32480.692763031348</v>
      </c>
      <c r="Q333" s="120">
        <v>22559.406912354716</v>
      </c>
      <c r="R333" s="314">
        <v>49845.409221717797</v>
      </c>
      <c r="S333" s="315">
        <v>55040.099675386067</v>
      </c>
      <c r="U333" s="7" t="s">
        <v>1665</v>
      </c>
    </row>
    <row r="334" spans="1:21" s="74" customFormat="1" ht="16.5" thickBot="1">
      <c r="A334" s="50" t="s">
        <v>35</v>
      </c>
      <c r="B334" s="51">
        <f t="shared" si="18"/>
        <v>75</v>
      </c>
      <c r="C334" s="51" t="s">
        <v>3</v>
      </c>
      <c r="D334" s="51">
        <f t="shared" si="19"/>
        <v>400</v>
      </c>
      <c r="E334" s="51" t="s">
        <v>3</v>
      </c>
      <c r="F334" s="110">
        <f t="shared" si="20"/>
        <v>1550</v>
      </c>
      <c r="G334" s="51" t="s">
        <v>3</v>
      </c>
      <c r="H334" s="48">
        <v>4</v>
      </c>
      <c r="I334" s="49" t="s">
        <v>45</v>
      </c>
      <c r="J334" s="112">
        <v>75</v>
      </c>
      <c r="K334" s="113">
        <v>400</v>
      </c>
      <c r="L334" s="113">
        <v>1550</v>
      </c>
      <c r="M334" s="185">
        <v>18.943370627023683</v>
      </c>
      <c r="N334" s="75">
        <v>702.43073582976001</v>
      </c>
      <c r="O334" s="121">
        <v>27979.619086235034</v>
      </c>
      <c r="P334" s="121">
        <v>33327.492456940323</v>
      </c>
      <c r="Q334" s="120">
        <v>23161.79860935469</v>
      </c>
      <c r="R334" s="314">
        <v>51141.417695589727</v>
      </c>
      <c r="S334" s="315">
        <v>56489.291066295016</v>
      </c>
      <c r="U334" s="7" t="s">
        <v>1666</v>
      </c>
    </row>
    <row r="335" spans="1:21" s="74" customFormat="1" ht="16.5" thickBot="1">
      <c r="A335" s="47" t="s">
        <v>35</v>
      </c>
      <c r="B335" s="48">
        <f t="shared" si="18"/>
        <v>75</v>
      </c>
      <c r="C335" s="48" t="s">
        <v>3</v>
      </c>
      <c r="D335" s="48">
        <f t="shared" si="19"/>
        <v>400</v>
      </c>
      <c r="E335" s="48" t="s">
        <v>3</v>
      </c>
      <c r="F335" s="110">
        <f t="shared" si="20"/>
        <v>1600</v>
      </c>
      <c r="G335" s="48" t="s">
        <v>3</v>
      </c>
      <c r="H335" s="48">
        <v>4</v>
      </c>
      <c r="I335" s="49" t="s">
        <v>45</v>
      </c>
      <c r="J335" s="112">
        <v>75</v>
      </c>
      <c r="K335" s="113">
        <v>400</v>
      </c>
      <c r="L335" s="113">
        <v>1600</v>
      </c>
      <c r="M335" s="185">
        <v>19.503601584520524</v>
      </c>
      <c r="N335" s="75">
        <v>731.6986831559999</v>
      </c>
      <c r="O335" s="121">
        <v>28673.236003500344</v>
      </c>
      <c r="P335" s="121">
        <v>34174.292150849295</v>
      </c>
      <c r="Q335" s="120">
        <v>23764.190446748027</v>
      </c>
      <c r="R335" s="314">
        <v>52437.426450248371</v>
      </c>
      <c r="S335" s="315">
        <v>57938.482597597322</v>
      </c>
      <c r="U335" s="7" t="s">
        <v>1667</v>
      </c>
    </row>
    <row r="336" spans="1:21" s="74" customFormat="1" ht="16.5" thickBot="1">
      <c r="A336" s="50" t="s">
        <v>35</v>
      </c>
      <c r="B336" s="51">
        <f t="shared" si="18"/>
        <v>75</v>
      </c>
      <c r="C336" s="51" t="s">
        <v>3</v>
      </c>
      <c r="D336" s="51">
        <f t="shared" si="19"/>
        <v>400</v>
      </c>
      <c r="E336" s="51" t="s">
        <v>3</v>
      </c>
      <c r="F336" s="110">
        <f t="shared" si="20"/>
        <v>1650</v>
      </c>
      <c r="G336" s="51" t="s">
        <v>3</v>
      </c>
      <c r="H336" s="48">
        <v>4</v>
      </c>
      <c r="I336" s="49" t="s">
        <v>45</v>
      </c>
      <c r="J336" s="112">
        <v>75</v>
      </c>
      <c r="K336" s="113">
        <v>400</v>
      </c>
      <c r="L336" s="113">
        <v>1650</v>
      </c>
      <c r="M336" s="185">
        <v>20.080872542017367</v>
      </c>
      <c r="N336" s="75">
        <v>760.96663048224002</v>
      </c>
      <c r="O336" s="121">
        <v>29366.852920765657</v>
      </c>
      <c r="P336" s="121">
        <v>35021.091844758274</v>
      </c>
      <c r="Q336" s="120">
        <v>24597.164061924639</v>
      </c>
      <c r="R336" s="314">
        <v>53964.0169826903</v>
      </c>
      <c r="S336" s="315">
        <v>59618.255906682913</v>
      </c>
      <c r="U336" s="7" t="s">
        <v>1668</v>
      </c>
    </row>
    <row r="337" spans="1:21" s="74" customFormat="1" ht="16.5" thickBot="1">
      <c r="A337" s="50" t="s">
        <v>35</v>
      </c>
      <c r="B337" s="51">
        <f t="shared" si="18"/>
        <v>75</v>
      </c>
      <c r="C337" s="51" t="s">
        <v>3</v>
      </c>
      <c r="D337" s="51">
        <f t="shared" si="19"/>
        <v>400</v>
      </c>
      <c r="E337" s="51" t="s">
        <v>3</v>
      </c>
      <c r="F337" s="110">
        <f t="shared" si="20"/>
        <v>1700</v>
      </c>
      <c r="G337" s="51" t="s">
        <v>3</v>
      </c>
      <c r="H337" s="48">
        <v>4</v>
      </c>
      <c r="I337" s="49" t="s">
        <v>45</v>
      </c>
      <c r="J337" s="112">
        <v>75</v>
      </c>
      <c r="K337" s="113">
        <v>400</v>
      </c>
      <c r="L337" s="113">
        <v>1700</v>
      </c>
      <c r="M337" s="185">
        <v>20.641103499514209</v>
      </c>
      <c r="N337" s="75">
        <v>790.23457780848003</v>
      </c>
      <c r="O337" s="121">
        <v>30060.469697637607</v>
      </c>
      <c r="P337" s="121">
        <v>35867.891679060609</v>
      </c>
      <c r="Q337" s="120">
        <v>25199.55575892462</v>
      </c>
      <c r="R337" s="314">
        <v>55260.025456562231</v>
      </c>
      <c r="S337" s="315">
        <v>61067.447437985233</v>
      </c>
      <c r="U337" s="7" t="s">
        <v>1669</v>
      </c>
    </row>
    <row r="338" spans="1:21" s="74" customFormat="1" ht="16.5" thickBot="1">
      <c r="A338" s="50" t="s">
        <v>35</v>
      </c>
      <c r="B338" s="51">
        <f t="shared" si="18"/>
        <v>75</v>
      </c>
      <c r="C338" s="51" t="s">
        <v>3</v>
      </c>
      <c r="D338" s="51">
        <f t="shared" si="19"/>
        <v>400</v>
      </c>
      <c r="E338" s="51" t="s">
        <v>3</v>
      </c>
      <c r="F338" s="110">
        <f t="shared" si="20"/>
        <v>1750</v>
      </c>
      <c r="G338" s="51" t="s">
        <v>3</v>
      </c>
      <c r="H338" s="48">
        <v>4</v>
      </c>
      <c r="I338" s="49" t="s">
        <v>45</v>
      </c>
      <c r="J338" s="112">
        <v>75</v>
      </c>
      <c r="K338" s="113">
        <v>400</v>
      </c>
      <c r="L338" s="113">
        <v>1750</v>
      </c>
      <c r="M338" s="185">
        <v>21.218374457011052</v>
      </c>
      <c r="N338" s="75">
        <v>819.50252513472003</v>
      </c>
      <c r="O338" s="121">
        <v>30754.086614902917</v>
      </c>
      <c r="P338" s="121">
        <v>36714.691372969581</v>
      </c>
      <c r="Q338" s="120">
        <v>26032.529374101232</v>
      </c>
      <c r="R338" s="314">
        <v>56786.615989004145</v>
      </c>
      <c r="S338" s="315">
        <v>62747.220747070809</v>
      </c>
      <c r="U338" s="7" t="s">
        <v>1670</v>
      </c>
    </row>
    <row r="339" spans="1:21" s="74" customFormat="1" ht="16.5" thickBot="1">
      <c r="A339" s="50" t="s">
        <v>35</v>
      </c>
      <c r="B339" s="51">
        <f t="shared" si="18"/>
        <v>75</v>
      </c>
      <c r="C339" s="51" t="s">
        <v>3</v>
      </c>
      <c r="D339" s="51">
        <f t="shared" si="19"/>
        <v>400</v>
      </c>
      <c r="E339" s="51" t="s">
        <v>3</v>
      </c>
      <c r="F339" s="110">
        <f t="shared" si="20"/>
        <v>1800</v>
      </c>
      <c r="G339" s="51" t="s">
        <v>3</v>
      </c>
      <c r="H339" s="48">
        <v>4</v>
      </c>
      <c r="I339" s="49" t="s">
        <v>45</v>
      </c>
      <c r="J339" s="112">
        <v>75</v>
      </c>
      <c r="K339" s="113">
        <v>400</v>
      </c>
      <c r="L339" s="113">
        <v>1800</v>
      </c>
      <c r="M339" s="185">
        <v>21.778605414507894</v>
      </c>
      <c r="N339" s="75">
        <v>848.77047246096004</v>
      </c>
      <c r="O339" s="121">
        <v>31447.70339177487</v>
      </c>
      <c r="P339" s="121">
        <v>37561.49106687856</v>
      </c>
      <c r="Q339" s="120">
        <v>26634.921071101206</v>
      </c>
      <c r="R339" s="314">
        <v>58082.624462876076</v>
      </c>
      <c r="S339" s="315">
        <v>64196.412137979765</v>
      </c>
      <c r="U339" s="7" t="s">
        <v>1671</v>
      </c>
    </row>
    <row r="340" spans="1:21" s="74" customFormat="1" ht="16.5" thickBot="1">
      <c r="A340" s="50" t="s">
        <v>35</v>
      </c>
      <c r="B340" s="51">
        <f t="shared" si="18"/>
        <v>75</v>
      </c>
      <c r="C340" s="51" t="s">
        <v>3</v>
      </c>
      <c r="D340" s="51">
        <f t="shared" si="19"/>
        <v>400</v>
      </c>
      <c r="E340" s="51" t="s">
        <v>3</v>
      </c>
      <c r="F340" s="110">
        <f t="shared" si="20"/>
        <v>1850</v>
      </c>
      <c r="G340" s="51" t="s">
        <v>3</v>
      </c>
      <c r="H340" s="48">
        <v>4</v>
      </c>
      <c r="I340" s="49" t="s">
        <v>45</v>
      </c>
      <c r="J340" s="112">
        <v>75</v>
      </c>
      <c r="K340" s="113">
        <v>400</v>
      </c>
      <c r="L340" s="113">
        <v>1850</v>
      </c>
      <c r="M340" s="185">
        <v>22.35587637200474</v>
      </c>
      <c r="N340" s="75">
        <v>878.03841978720004</v>
      </c>
      <c r="O340" s="121">
        <v>32141.320309040184</v>
      </c>
      <c r="P340" s="121">
        <v>38408.290901180895</v>
      </c>
      <c r="Q340" s="120">
        <v>27467.894686277818</v>
      </c>
      <c r="R340" s="314">
        <v>59609.214995318005</v>
      </c>
      <c r="S340" s="315">
        <v>65876.18558745872</v>
      </c>
      <c r="U340" s="7" t="s">
        <v>1672</v>
      </c>
    </row>
    <row r="341" spans="1:21" s="74" customFormat="1" ht="16.5" thickBot="1">
      <c r="A341" s="50" t="s">
        <v>35</v>
      </c>
      <c r="B341" s="51">
        <f t="shared" si="18"/>
        <v>75</v>
      </c>
      <c r="C341" s="51" t="s">
        <v>3</v>
      </c>
      <c r="D341" s="51">
        <f t="shared" si="19"/>
        <v>400</v>
      </c>
      <c r="E341" s="51" t="s">
        <v>3</v>
      </c>
      <c r="F341" s="110">
        <f t="shared" si="20"/>
        <v>1900</v>
      </c>
      <c r="G341" s="51" t="s">
        <v>3</v>
      </c>
      <c r="H341" s="48">
        <v>4</v>
      </c>
      <c r="I341" s="49" t="s">
        <v>45</v>
      </c>
      <c r="J341" s="112">
        <v>75</v>
      </c>
      <c r="K341" s="113">
        <v>400</v>
      </c>
      <c r="L341" s="113">
        <v>1900</v>
      </c>
      <c r="M341" s="185">
        <v>22.916107329501578</v>
      </c>
      <c r="N341" s="75">
        <v>907.30636711343993</v>
      </c>
      <c r="O341" s="121">
        <v>32834.937085912126</v>
      </c>
      <c r="P341" s="121">
        <v>39255.090595089874</v>
      </c>
      <c r="Q341" s="120">
        <v>28070.286383277791</v>
      </c>
      <c r="R341" s="314">
        <v>60905.223469189921</v>
      </c>
      <c r="S341" s="315">
        <v>67325.376978367669</v>
      </c>
      <c r="U341" s="7" t="s">
        <v>1673</v>
      </c>
    </row>
    <row r="342" spans="1:21" s="74" customFormat="1" ht="16.5" thickBot="1">
      <c r="A342" s="50" t="s">
        <v>35</v>
      </c>
      <c r="B342" s="51">
        <f t="shared" si="18"/>
        <v>75</v>
      </c>
      <c r="C342" s="51" t="s">
        <v>3</v>
      </c>
      <c r="D342" s="51">
        <f t="shared" si="19"/>
        <v>400</v>
      </c>
      <c r="E342" s="51" t="s">
        <v>3</v>
      </c>
      <c r="F342" s="110">
        <f t="shared" si="20"/>
        <v>1950</v>
      </c>
      <c r="G342" s="51" t="s">
        <v>3</v>
      </c>
      <c r="H342" s="48">
        <v>4</v>
      </c>
      <c r="I342" s="49" t="s">
        <v>45</v>
      </c>
      <c r="J342" s="112">
        <v>75</v>
      </c>
      <c r="K342" s="113">
        <v>400</v>
      </c>
      <c r="L342" s="113">
        <v>1950</v>
      </c>
      <c r="M342" s="185">
        <v>23.554838286998425</v>
      </c>
      <c r="N342" s="75">
        <v>936.57431443967994</v>
      </c>
      <c r="O342" s="121">
        <v>33605.708439079586</v>
      </c>
      <c r="P342" s="121">
        <v>40176.692995685749</v>
      </c>
      <c r="Q342" s="120">
        <v>28672.678220671129</v>
      </c>
      <c r="R342" s="314">
        <v>62278.386659750715</v>
      </c>
      <c r="S342" s="315">
        <v>68849.371216356871</v>
      </c>
      <c r="U342" s="7" t="s">
        <v>1674</v>
      </c>
    </row>
    <row r="343" spans="1:21" s="74" customFormat="1" ht="16.5" thickBot="1">
      <c r="A343" s="50" t="s">
        <v>35</v>
      </c>
      <c r="B343" s="51">
        <f t="shared" si="18"/>
        <v>75</v>
      </c>
      <c r="C343" s="51" t="s">
        <v>3</v>
      </c>
      <c r="D343" s="51">
        <f t="shared" si="19"/>
        <v>400</v>
      </c>
      <c r="E343" s="51" t="s">
        <v>3</v>
      </c>
      <c r="F343" s="110">
        <f t="shared" si="20"/>
        <v>2000</v>
      </c>
      <c r="G343" s="51" t="s">
        <v>3</v>
      </c>
      <c r="H343" s="48">
        <v>4</v>
      </c>
      <c r="I343" s="49" t="s">
        <v>45</v>
      </c>
      <c r="J343" s="112">
        <v>75</v>
      </c>
      <c r="K343" s="113">
        <v>400</v>
      </c>
      <c r="L343" s="113">
        <v>2000</v>
      </c>
      <c r="M343" s="185">
        <v>24.223671644495262</v>
      </c>
      <c r="N343" s="75">
        <v>965.84226176591994</v>
      </c>
      <c r="O343" s="121">
        <v>34529.868245166756</v>
      </c>
      <c r="P343" s="121">
        <v>41324.803239471868</v>
      </c>
      <c r="Q343" s="120">
        <v>29505.651695454384</v>
      </c>
      <c r="R343" s="314">
        <v>64035.51994062114</v>
      </c>
      <c r="S343" s="315">
        <v>70830.454934926252</v>
      </c>
      <c r="U343" s="7" t="s">
        <v>1675</v>
      </c>
    </row>
    <row r="344" spans="1:21" s="74" customFormat="1" ht="16.5" thickBot="1">
      <c r="A344" s="50" t="s">
        <v>35</v>
      </c>
      <c r="B344" s="51">
        <f t="shared" si="18"/>
        <v>75</v>
      </c>
      <c r="C344" s="51" t="s">
        <v>3</v>
      </c>
      <c r="D344" s="51">
        <f t="shared" si="19"/>
        <v>400</v>
      </c>
      <c r="E344" s="51" t="s">
        <v>3</v>
      </c>
      <c r="F344" s="110">
        <f t="shared" si="20"/>
        <v>2050</v>
      </c>
      <c r="G344" s="51" t="s">
        <v>3</v>
      </c>
      <c r="H344" s="48">
        <v>4</v>
      </c>
      <c r="I344" s="49" t="s">
        <v>45</v>
      </c>
      <c r="J344" s="112">
        <v>75</v>
      </c>
      <c r="K344" s="113">
        <v>400</v>
      </c>
      <c r="L344" s="113">
        <v>2050</v>
      </c>
      <c r="M344" s="185">
        <v>24.783902601992104</v>
      </c>
      <c r="N344" s="75">
        <v>995.11020909215995</v>
      </c>
      <c r="O344" s="121">
        <v>35223.485162432073</v>
      </c>
      <c r="P344" s="121">
        <v>42171.603073774211</v>
      </c>
      <c r="Q344" s="120">
        <v>30108.043532847722</v>
      </c>
      <c r="R344" s="314">
        <v>65331.528695279791</v>
      </c>
      <c r="S344" s="315">
        <v>72279.646606621929</v>
      </c>
      <c r="U344" s="7" t="s">
        <v>1676</v>
      </c>
    </row>
    <row r="345" spans="1:21" s="74" customFormat="1" ht="16.5" thickBot="1">
      <c r="A345" s="47" t="s">
        <v>35</v>
      </c>
      <c r="B345" s="48">
        <f t="shared" si="18"/>
        <v>75</v>
      </c>
      <c r="C345" s="48" t="s">
        <v>3</v>
      </c>
      <c r="D345" s="48">
        <f t="shared" si="19"/>
        <v>400</v>
      </c>
      <c r="E345" s="48" t="s">
        <v>3</v>
      </c>
      <c r="F345" s="110">
        <f t="shared" si="20"/>
        <v>2100</v>
      </c>
      <c r="G345" s="48" t="s">
        <v>3</v>
      </c>
      <c r="H345" s="48">
        <v>4</v>
      </c>
      <c r="I345" s="49" t="s">
        <v>45</v>
      </c>
      <c r="J345" s="112">
        <v>75</v>
      </c>
      <c r="K345" s="113">
        <v>400</v>
      </c>
      <c r="L345" s="113">
        <v>2100</v>
      </c>
      <c r="M345" s="185">
        <v>25.361173559488947</v>
      </c>
      <c r="N345" s="75">
        <v>1024.3781564183998</v>
      </c>
      <c r="O345" s="121">
        <v>35917.101939304019</v>
      </c>
      <c r="P345" s="121">
        <v>43018.402767683183</v>
      </c>
      <c r="Q345" s="120">
        <v>30941.01700763097</v>
      </c>
      <c r="R345" s="314">
        <v>66858.118946934992</v>
      </c>
      <c r="S345" s="315">
        <v>73959.419775314149</v>
      </c>
      <c r="U345" s="7" t="s">
        <v>1677</v>
      </c>
    </row>
    <row r="346" spans="1:21" s="74" customFormat="1" ht="16.5" thickBot="1">
      <c r="A346" s="50" t="s">
        <v>35</v>
      </c>
      <c r="B346" s="51">
        <f t="shared" si="18"/>
        <v>75</v>
      </c>
      <c r="C346" s="51" t="s">
        <v>3</v>
      </c>
      <c r="D346" s="51">
        <f t="shared" si="19"/>
        <v>400</v>
      </c>
      <c r="E346" s="51" t="s">
        <v>3</v>
      </c>
      <c r="F346" s="110">
        <f t="shared" si="20"/>
        <v>2150</v>
      </c>
      <c r="G346" s="51" t="s">
        <v>3</v>
      </c>
      <c r="H346" s="48">
        <v>4</v>
      </c>
      <c r="I346" s="49" t="s">
        <v>45</v>
      </c>
      <c r="J346" s="112">
        <v>75</v>
      </c>
      <c r="K346" s="113">
        <v>400</v>
      </c>
      <c r="L346" s="113">
        <v>2150</v>
      </c>
      <c r="M346" s="185">
        <v>25.921404516985788</v>
      </c>
      <c r="N346" s="75">
        <v>1053.64610374464</v>
      </c>
      <c r="O346" s="121">
        <v>36610.718856569329</v>
      </c>
      <c r="P346" s="121">
        <v>43865.202461592162</v>
      </c>
      <c r="Q346" s="120">
        <v>31543.408845024307</v>
      </c>
      <c r="R346" s="314">
        <v>68154.127701593636</v>
      </c>
      <c r="S346" s="315">
        <v>75408.611306616469</v>
      </c>
      <c r="U346" s="7" t="s">
        <v>1678</v>
      </c>
    </row>
    <row r="347" spans="1:21" s="74" customFormat="1" ht="16.5" thickBot="1">
      <c r="A347" s="50" t="s">
        <v>35</v>
      </c>
      <c r="B347" s="51">
        <f t="shared" si="18"/>
        <v>75</v>
      </c>
      <c r="C347" s="51" t="s">
        <v>3</v>
      </c>
      <c r="D347" s="51">
        <f t="shared" si="19"/>
        <v>400</v>
      </c>
      <c r="E347" s="51" t="s">
        <v>3</v>
      </c>
      <c r="F347" s="110">
        <f t="shared" si="20"/>
        <v>2200</v>
      </c>
      <c r="G347" s="51" t="s">
        <v>3</v>
      </c>
      <c r="H347" s="48">
        <v>4</v>
      </c>
      <c r="I347" s="49" t="s">
        <v>45</v>
      </c>
      <c r="J347" s="112">
        <v>75</v>
      </c>
      <c r="K347" s="113">
        <v>400</v>
      </c>
      <c r="L347" s="113">
        <v>2200</v>
      </c>
      <c r="M347" s="185">
        <v>26.498675474482631</v>
      </c>
      <c r="N347" s="75">
        <v>1082.9140510708799</v>
      </c>
      <c r="O347" s="121">
        <v>37304.335773834646</v>
      </c>
      <c r="P347" s="121">
        <v>44712.002155501134</v>
      </c>
      <c r="Q347" s="120">
        <v>32376.382319807555</v>
      </c>
      <c r="R347" s="314">
        <v>69680.718093642208</v>
      </c>
      <c r="S347" s="315">
        <v>77088.384475308689</v>
      </c>
      <c r="U347" s="7" t="s">
        <v>1679</v>
      </c>
    </row>
    <row r="348" spans="1:21" s="74" customFormat="1" ht="16.5" thickBot="1">
      <c r="A348" s="50" t="s">
        <v>35</v>
      </c>
      <c r="B348" s="51">
        <f t="shared" si="18"/>
        <v>75</v>
      </c>
      <c r="C348" s="51" t="s">
        <v>3</v>
      </c>
      <c r="D348" s="51">
        <f t="shared" si="19"/>
        <v>400</v>
      </c>
      <c r="E348" s="51" t="s">
        <v>3</v>
      </c>
      <c r="F348" s="110">
        <f t="shared" si="20"/>
        <v>2250</v>
      </c>
      <c r="G348" s="51" t="s">
        <v>3</v>
      </c>
      <c r="H348" s="48">
        <v>4</v>
      </c>
      <c r="I348" s="49" t="s">
        <v>45</v>
      </c>
      <c r="J348" s="112">
        <v>75</v>
      </c>
      <c r="K348" s="113">
        <v>400</v>
      </c>
      <c r="L348" s="113">
        <v>2250</v>
      </c>
      <c r="M348" s="185">
        <v>27.058906431979469</v>
      </c>
      <c r="N348" s="75">
        <v>1112.18199839712</v>
      </c>
      <c r="O348" s="121">
        <v>37997.952550706599</v>
      </c>
      <c r="P348" s="121">
        <v>45558.801989803469</v>
      </c>
      <c r="Q348" s="120">
        <v>32978.774157200758</v>
      </c>
      <c r="R348" s="314">
        <v>70976.726707907364</v>
      </c>
      <c r="S348" s="315">
        <v>78537.576147004234</v>
      </c>
      <c r="U348" s="7" t="s">
        <v>1680</v>
      </c>
    </row>
    <row r="349" spans="1:21" s="74" customFormat="1" ht="16.5" thickBot="1">
      <c r="A349" s="50" t="s">
        <v>35</v>
      </c>
      <c r="B349" s="51">
        <f t="shared" si="18"/>
        <v>75</v>
      </c>
      <c r="C349" s="51" t="s">
        <v>3</v>
      </c>
      <c r="D349" s="51">
        <f t="shared" si="19"/>
        <v>400</v>
      </c>
      <c r="E349" s="51" t="s">
        <v>3</v>
      </c>
      <c r="F349" s="110">
        <f t="shared" si="20"/>
        <v>2300</v>
      </c>
      <c r="G349" s="51" t="s">
        <v>3</v>
      </c>
      <c r="H349" s="48">
        <v>4</v>
      </c>
      <c r="I349" s="49" t="s">
        <v>45</v>
      </c>
      <c r="J349" s="112">
        <v>75</v>
      </c>
      <c r="K349" s="113">
        <v>400</v>
      </c>
      <c r="L349" s="113">
        <v>2300</v>
      </c>
      <c r="M349" s="185">
        <v>27.619137389476315</v>
      </c>
      <c r="N349" s="75">
        <v>1141.4499457233599</v>
      </c>
      <c r="O349" s="121">
        <v>38691.569467971909</v>
      </c>
      <c r="P349" s="121">
        <v>46405.601683712448</v>
      </c>
      <c r="Q349" s="120">
        <v>33581.165854200874</v>
      </c>
      <c r="R349" s="314">
        <v>72272.735322172783</v>
      </c>
      <c r="S349" s="315">
        <v>79986.767537913314</v>
      </c>
      <c r="U349" s="7" t="s">
        <v>1681</v>
      </c>
    </row>
    <row r="350" spans="1:21" s="74" customFormat="1" ht="16.5" thickBot="1">
      <c r="A350" s="50" t="s">
        <v>35</v>
      </c>
      <c r="B350" s="51">
        <f t="shared" si="18"/>
        <v>75</v>
      </c>
      <c r="C350" s="51" t="s">
        <v>3</v>
      </c>
      <c r="D350" s="51">
        <f t="shared" si="19"/>
        <v>400</v>
      </c>
      <c r="E350" s="51" t="s">
        <v>3</v>
      </c>
      <c r="F350" s="110">
        <f t="shared" si="20"/>
        <v>2350</v>
      </c>
      <c r="G350" s="51" t="s">
        <v>3</v>
      </c>
      <c r="H350" s="48">
        <v>4</v>
      </c>
      <c r="I350" s="49" t="s">
        <v>45</v>
      </c>
      <c r="J350" s="112">
        <v>75</v>
      </c>
      <c r="K350" s="113">
        <v>400</v>
      </c>
      <c r="L350" s="113">
        <v>2350</v>
      </c>
      <c r="M350" s="185">
        <v>28.196408346973158</v>
      </c>
      <c r="N350" s="75">
        <v>1170.7178930496</v>
      </c>
      <c r="O350" s="121">
        <v>39385.186244843855</v>
      </c>
      <c r="P350" s="121">
        <v>47252.401377621427</v>
      </c>
      <c r="Q350" s="120">
        <v>34414.139469377486</v>
      </c>
      <c r="R350" s="314">
        <v>73799.325714221341</v>
      </c>
      <c r="S350" s="315">
        <v>81666.54084699892</v>
      </c>
      <c r="U350" s="7" t="s">
        <v>1682</v>
      </c>
    </row>
    <row r="351" spans="1:21" s="74" customFormat="1" ht="16.5" thickBot="1">
      <c r="A351" s="50" t="s">
        <v>35</v>
      </c>
      <c r="B351" s="51">
        <f t="shared" si="18"/>
        <v>75</v>
      </c>
      <c r="C351" s="51" t="s">
        <v>3</v>
      </c>
      <c r="D351" s="51">
        <f t="shared" si="19"/>
        <v>400</v>
      </c>
      <c r="E351" s="51" t="s">
        <v>3</v>
      </c>
      <c r="F351" s="110">
        <f t="shared" si="20"/>
        <v>2400</v>
      </c>
      <c r="G351" s="51" t="s">
        <v>3</v>
      </c>
      <c r="H351" s="48">
        <v>4</v>
      </c>
      <c r="I351" s="49" t="s">
        <v>45</v>
      </c>
      <c r="J351" s="112">
        <v>75</v>
      </c>
      <c r="K351" s="113">
        <v>400</v>
      </c>
      <c r="L351" s="113">
        <v>2400</v>
      </c>
      <c r="M351" s="185">
        <v>28.756639304469999</v>
      </c>
      <c r="N351" s="75">
        <v>1199.9858403758399</v>
      </c>
      <c r="O351" s="121">
        <v>40078.803162109172</v>
      </c>
      <c r="P351" s="121">
        <v>48099.201211923755</v>
      </c>
      <c r="Q351" s="120">
        <v>35016.531306770819</v>
      </c>
      <c r="R351" s="314">
        <v>75095.334468879999</v>
      </c>
      <c r="S351" s="315">
        <v>83115.732518694567</v>
      </c>
      <c r="U351" s="7" t="s">
        <v>1683</v>
      </c>
    </row>
    <row r="352" spans="1:21" s="74" customFormat="1" ht="16.5" thickBot="1">
      <c r="A352" s="50" t="s">
        <v>35</v>
      </c>
      <c r="B352" s="51">
        <f t="shared" si="18"/>
        <v>75</v>
      </c>
      <c r="C352" s="51" t="s">
        <v>3</v>
      </c>
      <c r="D352" s="51">
        <f t="shared" si="19"/>
        <v>400</v>
      </c>
      <c r="E352" s="51" t="s">
        <v>3</v>
      </c>
      <c r="F352" s="110">
        <f t="shared" si="20"/>
        <v>2450</v>
      </c>
      <c r="G352" s="51" t="s">
        <v>3</v>
      </c>
      <c r="H352" s="48">
        <v>4</v>
      </c>
      <c r="I352" s="49" t="s">
        <v>45</v>
      </c>
      <c r="J352" s="112">
        <v>75</v>
      </c>
      <c r="K352" s="113">
        <v>400</v>
      </c>
      <c r="L352" s="113">
        <v>2450</v>
      </c>
      <c r="M352" s="185">
        <v>29.531808805326843</v>
      </c>
      <c r="N352" s="75">
        <v>1229.25378770208</v>
      </c>
      <c r="O352" s="121">
        <v>41582.984807995657</v>
      </c>
      <c r="P352" s="121">
        <v>49687.46753126548</v>
      </c>
      <c r="Q352" s="120">
        <v>35849.504781554067</v>
      </c>
      <c r="R352" s="314">
        <v>77432.489589549717</v>
      </c>
      <c r="S352" s="315">
        <v>85536.972312819547</v>
      </c>
      <c r="U352" s="7" t="s">
        <v>1684</v>
      </c>
    </row>
    <row r="353" spans="1:21" s="74" customFormat="1" ht="16.5" thickBot="1">
      <c r="A353" s="50" t="s">
        <v>35</v>
      </c>
      <c r="B353" s="51">
        <f t="shared" si="18"/>
        <v>75</v>
      </c>
      <c r="C353" s="51" t="s">
        <v>3</v>
      </c>
      <c r="D353" s="51">
        <f t="shared" si="19"/>
        <v>400</v>
      </c>
      <c r="E353" s="51" t="s">
        <v>3</v>
      </c>
      <c r="F353" s="110">
        <f t="shared" si="20"/>
        <v>2500</v>
      </c>
      <c r="G353" s="51" t="s">
        <v>3</v>
      </c>
      <c r="H353" s="48">
        <v>4</v>
      </c>
      <c r="I353" s="49" t="s">
        <v>45</v>
      </c>
      <c r="J353" s="112">
        <v>75</v>
      </c>
      <c r="K353" s="113">
        <v>400</v>
      </c>
      <c r="L353" s="113">
        <v>2500</v>
      </c>
      <c r="M353" s="185">
        <v>30.092039762823685</v>
      </c>
      <c r="N353" s="75">
        <v>1258.5217350283199</v>
      </c>
      <c r="O353" s="121">
        <v>42276.601725260967</v>
      </c>
      <c r="P353" s="121">
        <v>50534.26736556767</v>
      </c>
      <c r="Q353" s="120">
        <v>36451.896618947409</v>
      </c>
      <c r="R353" s="314">
        <v>78728.498344208376</v>
      </c>
      <c r="S353" s="315">
        <v>86986.163984515078</v>
      </c>
      <c r="U353" s="7" t="s">
        <v>1685</v>
      </c>
    </row>
    <row r="354" spans="1:21" s="74" customFormat="1" ht="16.5" thickBot="1">
      <c r="A354" s="50" t="s">
        <v>35</v>
      </c>
      <c r="B354" s="51">
        <f t="shared" si="18"/>
        <v>75</v>
      </c>
      <c r="C354" s="51" t="s">
        <v>3</v>
      </c>
      <c r="D354" s="51">
        <f t="shared" si="19"/>
        <v>400</v>
      </c>
      <c r="E354" s="51" t="s">
        <v>3</v>
      </c>
      <c r="F354" s="110">
        <f t="shared" si="20"/>
        <v>2550</v>
      </c>
      <c r="G354" s="51" t="s">
        <v>3</v>
      </c>
      <c r="H354" s="48">
        <v>4</v>
      </c>
      <c r="I354" s="49" t="s">
        <v>45</v>
      </c>
      <c r="J354" s="112">
        <v>75</v>
      </c>
      <c r="K354" s="113">
        <v>400</v>
      </c>
      <c r="L354" s="113">
        <v>2550</v>
      </c>
      <c r="M354" s="185">
        <v>30.669310720320524</v>
      </c>
      <c r="N354" s="75">
        <v>1287.7896823545598</v>
      </c>
      <c r="O354" s="121">
        <v>42970.218642526284</v>
      </c>
      <c r="P354" s="121">
        <v>51381.067059476787</v>
      </c>
      <c r="Q354" s="120">
        <v>37284.870093730657</v>
      </c>
      <c r="R354" s="314">
        <v>80255.088736256934</v>
      </c>
      <c r="S354" s="315">
        <v>88665.937153207444</v>
      </c>
      <c r="U354" s="7" t="s">
        <v>1686</v>
      </c>
    </row>
    <row r="355" spans="1:21" s="74" customFormat="1" ht="16.5" thickBot="1">
      <c r="A355" s="47" t="s">
        <v>35</v>
      </c>
      <c r="B355" s="48">
        <f t="shared" si="18"/>
        <v>75</v>
      </c>
      <c r="C355" s="48" t="s">
        <v>3</v>
      </c>
      <c r="D355" s="48">
        <f t="shared" si="19"/>
        <v>400</v>
      </c>
      <c r="E355" s="48" t="s">
        <v>3</v>
      </c>
      <c r="F355" s="110">
        <f t="shared" si="20"/>
        <v>2600</v>
      </c>
      <c r="G355" s="48" t="s">
        <v>3</v>
      </c>
      <c r="H355" s="48">
        <v>4</v>
      </c>
      <c r="I355" s="49" t="s">
        <v>45</v>
      </c>
      <c r="J355" s="112">
        <v>75</v>
      </c>
      <c r="K355" s="113">
        <v>400</v>
      </c>
      <c r="L355" s="113">
        <v>2600</v>
      </c>
      <c r="M355" s="185">
        <v>31.22954167781737</v>
      </c>
      <c r="N355" s="75">
        <v>1317.0576296807999</v>
      </c>
      <c r="O355" s="121">
        <v>43663.835419398238</v>
      </c>
      <c r="P355" s="121">
        <v>52227.866753385759</v>
      </c>
      <c r="Q355" s="120">
        <v>37887.261931123991</v>
      </c>
      <c r="R355" s="314">
        <v>81551.097350522236</v>
      </c>
      <c r="S355" s="315">
        <v>90115.128684509749</v>
      </c>
      <c r="U355" s="7" t="s">
        <v>1687</v>
      </c>
    </row>
    <row r="356" spans="1:21" s="74" customFormat="1" ht="16.5" thickBot="1">
      <c r="A356" s="50" t="s">
        <v>35</v>
      </c>
      <c r="B356" s="51">
        <f t="shared" si="18"/>
        <v>75</v>
      </c>
      <c r="C356" s="51" t="s">
        <v>3</v>
      </c>
      <c r="D356" s="51">
        <f t="shared" si="19"/>
        <v>400</v>
      </c>
      <c r="E356" s="51" t="s">
        <v>3</v>
      </c>
      <c r="F356" s="110">
        <f t="shared" si="20"/>
        <v>2650</v>
      </c>
      <c r="G356" s="51" t="s">
        <v>3</v>
      </c>
      <c r="H356" s="48">
        <v>4</v>
      </c>
      <c r="I356" s="49" t="s">
        <v>45</v>
      </c>
      <c r="J356" s="112">
        <v>75</v>
      </c>
      <c r="K356" s="113">
        <v>400</v>
      </c>
      <c r="L356" s="113">
        <v>2650</v>
      </c>
      <c r="M356" s="185">
        <v>31.806812635314216</v>
      </c>
      <c r="N356" s="75">
        <v>1346.32557700704</v>
      </c>
      <c r="O356" s="121">
        <v>44357.452336663548</v>
      </c>
      <c r="P356" s="121">
        <v>53074.666587688102</v>
      </c>
      <c r="Q356" s="120">
        <v>38720.235405907246</v>
      </c>
      <c r="R356" s="314">
        <v>83077.687742570793</v>
      </c>
      <c r="S356" s="315">
        <v>91794.901993595355</v>
      </c>
      <c r="U356" s="7" t="s">
        <v>1688</v>
      </c>
    </row>
    <row r="357" spans="1:21" s="74" customFormat="1" ht="16.5" thickBot="1">
      <c r="A357" s="50" t="s">
        <v>35</v>
      </c>
      <c r="B357" s="51">
        <f t="shared" si="18"/>
        <v>75</v>
      </c>
      <c r="C357" s="51" t="s">
        <v>3</v>
      </c>
      <c r="D357" s="51">
        <f t="shared" si="19"/>
        <v>400</v>
      </c>
      <c r="E357" s="51" t="s">
        <v>3</v>
      </c>
      <c r="F357" s="110">
        <f t="shared" si="20"/>
        <v>2700</v>
      </c>
      <c r="G357" s="51" t="s">
        <v>3</v>
      </c>
      <c r="H357" s="48">
        <v>4</v>
      </c>
      <c r="I357" s="49" t="s">
        <v>45</v>
      </c>
      <c r="J357" s="112">
        <v>75</v>
      </c>
      <c r="K357" s="113">
        <v>400</v>
      </c>
      <c r="L357" s="113">
        <v>2700</v>
      </c>
      <c r="M357" s="185">
        <v>32.445543592811056</v>
      </c>
      <c r="N357" s="75">
        <v>1375.5935243332799</v>
      </c>
      <c r="O357" s="121">
        <v>45128.223549437636</v>
      </c>
      <c r="P357" s="121">
        <v>53996.268988283977</v>
      </c>
      <c r="Q357" s="120">
        <v>39322.627243300587</v>
      </c>
      <c r="R357" s="314">
        <v>84450.850792738231</v>
      </c>
      <c r="S357" s="315">
        <v>93318.896231584571</v>
      </c>
      <c r="U357" s="7" t="s">
        <v>1689</v>
      </c>
    </row>
    <row r="358" spans="1:21" s="74" customFormat="1" ht="16.5" thickBot="1">
      <c r="A358" s="50" t="s">
        <v>35</v>
      </c>
      <c r="B358" s="51">
        <f t="shared" si="18"/>
        <v>75</v>
      </c>
      <c r="C358" s="51" t="s">
        <v>3</v>
      </c>
      <c r="D358" s="51">
        <f t="shared" si="19"/>
        <v>400</v>
      </c>
      <c r="E358" s="51" t="s">
        <v>3</v>
      </c>
      <c r="F358" s="110">
        <f t="shared" si="20"/>
        <v>2750</v>
      </c>
      <c r="G358" s="51" t="s">
        <v>3</v>
      </c>
      <c r="H358" s="48">
        <v>4</v>
      </c>
      <c r="I358" s="49" t="s">
        <v>45</v>
      </c>
      <c r="J358" s="112">
        <v>75</v>
      </c>
      <c r="K358" s="113">
        <v>400</v>
      </c>
      <c r="L358" s="113">
        <v>2750</v>
      </c>
      <c r="M358" s="185">
        <v>33.005774550307898</v>
      </c>
      <c r="N358" s="75">
        <v>1404.86147165952</v>
      </c>
      <c r="O358" s="121">
        <v>45821.840466702946</v>
      </c>
      <c r="P358" s="121">
        <v>54843.068682192948</v>
      </c>
      <c r="Q358" s="120">
        <v>39925.018940300557</v>
      </c>
      <c r="R358" s="314">
        <v>85746.859407003503</v>
      </c>
      <c r="S358" s="315">
        <v>94768.087622493505</v>
      </c>
      <c r="U358" s="7" t="s">
        <v>1690</v>
      </c>
    </row>
    <row r="359" spans="1:21" s="74" customFormat="1" ht="16.5" thickBot="1">
      <c r="A359" s="50" t="s">
        <v>35</v>
      </c>
      <c r="B359" s="51">
        <f t="shared" si="18"/>
        <v>75</v>
      </c>
      <c r="C359" s="51" t="s">
        <v>3</v>
      </c>
      <c r="D359" s="51">
        <f t="shared" si="19"/>
        <v>400</v>
      </c>
      <c r="E359" s="51" t="s">
        <v>3</v>
      </c>
      <c r="F359" s="110">
        <f t="shared" si="20"/>
        <v>2800</v>
      </c>
      <c r="G359" s="51" t="s">
        <v>3</v>
      </c>
      <c r="H359" s="48">
        <v>4</v>
      </c>
      <c r="I359" s="49" t="s">
        <v>45</v>
      </c>
      <c r="J359" s="112">
        <v>75</v>
      </c>
      <c r="K359" s="113">
        <v>400</v>
      </c>
      <c r="L359" s="113">
        <v>2800</v>
      </c>
      <c r="M359" s="185">
        <v>33.583045507804741</v>
      </c>
      <c r="N359" s="75">
        <v>1434.1294189857597</v>
      </c>
      <c r="O359" s="121">
        <v>46515.4572435749</v>
      </c>
      <c r="P359" s="121">
        <v>55689.86837610192</v>
      </c>
      <c r="Q359" s="120">
        <v>40757.992555477169</v>
      </c>
      <c r="R359" s="314">
        <v>87273.449799052061</v>
      </c>
      <c r="S359" s="315">
        <v>96447.860931579082</v>
      </c>
      <c r="U359" s="7" t="s">
        <v>1691</v>
      </c>
    </row>
    <row r="360" spans="1:21" s="74" customFormat="1" ht="16.5" thickBot="1">
      <c r="A360" s="50" t="s">
        <v>35</v>
      </c>
      <c r="B360" s="51">
        <f t="shared" si="18"/>
        <v>75</v>
      </c>
      <c r="C360" s="51" t="s">
        <v>3</v>
      </c>
      <c r="D360" s="51">
        <f t="shared" si="19"/>
        <v>400</v>
      </c>
      <c r="E360" s="51" t="s">
        <v>3</v>
      </c>
      <c r="F360" s="110">
        <f t="shared" si="20"/>
        <v>2850</v>
      </c>
      <c r="G360" s="51" t="s">
        <v>3</v>
      </c>
      <c r="H360" s="48">
        <v>4</v>
      </c>
      <c r="I360" s="49" t="s">
        <v>45</v>
      </c>
      <c r="J360" s="112">
        <v>75</v>
      </c>
      <c r="K360" s="113">
        <v>400</v>
      </c>
      <c r="L360" s="113">
        <v>2850</v>
      </c>
      <c r="M360" s="185">
        <v>34.143276465301582</v>
      </c>
      <c r="N360" s="75">
        <v>1463.3973663119998</v>
      </c>
      <c r="O360" s="121">
        <v>47209.07416084021</v>
      </c>
      <c r="P360" s="121">
        <v>56536.668210404263</v>
      </c>
      <c r="Q360" s="120">
        <v>41360.384252477146</v>
      </c>
      <c r="R360" s="314">
        <v>88569.458413317363</v>
      </c>
      <c r="S360" s="315">
        <v>97897.052462881402</v>
      </c>
      <c r="U360" s="7" t="s">
        <v>1692</v>
      </c>
    </row>
    <row r="361" spans="1:21" s="74" customFormat="1" ht="16.5" thickBot="1">
      <c r="A361" s="50" t="s">
        <v>35</v>
      </c>
      <c r="B361" s="51">
        <f t="shared" si="18"/>
        <v>75</v>
      </c>
      <c r="C361" s="51" t="s">
        <v>3</v>
      </c>
      <c r="D361" s="51">
        <f t="shared" si="19"/>
        <v>400</v>
      </c>
      <c r="E361" s="51" t="s">
        <v>3</v>
      </c>
      <c r="F361" s="110">
        <f t="shared" si="20"/>
        <v>2900</v>
      </c>
      <c r="G361" s="51" t="s">
        <v>3</v>
      </c>
      <c r="H361" s="48">
        <v>4</v>
      </c>
      <c r="I361" s="49" t="s">
        <v>45</v>
      </c>
      <c r="J361" s="112">
        <v>75</v>
      </c>
      <c r="K361" s="113">
        <v>400</v>
      </c>
      <c r="L361" s="113">
        <v>2900</v>
      </c>
      <c r="M361" s="185">
        <v>34.720547422798418</v>
      </c>
      <c r="N361" s="75">
        <v>1492.6653136382397</v>
      </c>
      <c r="O361" s="121">
        <v>47902.690937712156</v>
      </c>
      <c r="P361" s="121">
        <v>57383.467904313235</v>
      </c>
      <c r="Q361" s="120">
        <v>42193.357867653758</v>
      </c>
      <c r="R361" s="314">
        <v>90096.048805365921</v>
      </c>
      <c r="S361" s="315">
        <v>99576.825771966993</v>
      </c>
      <c r="U361" s="7" t="s">
        <v>1693</v>
      </c>
    </row>
    <row r="362" spans="1:21" s="74" customFormat="1" ht="16.5" thickBot="1">
      <c r="A362" s="50" t="s">
        <v>35</v>
      </c>
      <c r="B362" s="51">
        <f t="shared" si="18"/>
        <v>75</v>
      </c>
      <c r="C362" s="51" t="s">
        <v>3</v>
      </c>
      <c r="D362" s="51">
        <f t="shared" si="19"/>
        <v>400</v>
      </c>
      <c r="E362" s="51" t="s">
        <v>3</v>
      </c>
      <c r="F362" s="110">
        <f t="shared" si="20"/>
        <v>2950</v>
      </c>
      <c r="G362" s="51" t="s">
        <v>3</v>
      </c>
      <c r="H362" s="48">
        <v>4</v>
      </c>
      <c r="I362" s="49" t="s">
        <v>45</v>
      </c>
      <c r="J362" s="112">
        <v>75</v>
      </c>
      <c r="K362" s="113">
        <v>400</v>
      </c>
      <c r="L362" s="113">
        <v>2950</v>
      </c>
      <c r="M362" s="185">
        <v>35.28077838029526</v>
      </c>
      <c r="N362" s="75">
        <v>1521.93326096448</v>
      </c>
      <c r="O362" s="121">
        <v>48596.30785497748</v>
      </c>
      <c r="P362" s="121">
        <v>58230.267598222214</v>
      </c>
      <c r="Q362" s="120">
        <v>42795.749564653735</v>
      </c>
      <c r="R362" s="314">
        <v>91392.057419631223</v>
      </c>
      <c r="S362" s="315">
        <v>101026.01716287594</v>
      </c>
      <c r="U362" s="7" t="s">
        <v>1694</v>
      </c>
    </row>
    <row r="363" spans="1:21" s="74" customFormat="1" ht="16.5" thickBot="1">
      <c r="A363" s="52" t="s">
        <v>35</v>
      </c>
      <c r="B363" s="53">
        <f t="shared" si="18"/>
        <v>75</v>
      </c>
      <c r="C363" s="53" t="s">
        <v>3</v>
      </c>
      <c r="D363" s="53">
        <f t="shared" si="19"/>
        <v>400</v>
      </c>
      <c r="E363" s="53" t="s">
        <v>3</v>
      </c>
      <c r="F363" s="111">
        <f t="shared" si="20"/>
        <v>3000</v>
      </c>
      <c r="G363" s="53" t="s">
        <v>3</v>
      </c>
      <c r="H363" s="55">
        <v>4</v>
      </c>
      <c r="I363" s="54" t="s">
        <v>45</v>
      </c>
      <c r="J363" s="146">
        <v>75</v>
      </c>
      <c r="K363" s="157">
        <v>400</v>
      </c>
      <c r="L363" s="157">
        <v>3000</v>
      </c>
      <c r="M363" s="187">
        <v>35.858049337792103</v>
      </c>
      <c r="N363" s="147">
        <v>1551.2012082907199</v>
      </c>
      <c r="O363" s="158">
        <v>49289.92477224279</v>
      </c>
      <c r="P363" s="158">
        <v>59077.067292131185</v>
      </c>
      <c r="Q363" s="159">
        <v>43628.723179830347</v>
      </c>
      <c r="R363" s="316">
        <v>92918.647952073137</v>
      </c>
      <c r="S363" s="317">
        <v>102705.79047196153</v>
      </c>
      <c r="U363" s="7" t="s">
        <v>1695</v>
      </c>
    </row>
    <row r="364" spans="1:21" s="74" customFormat="1" ht="16.5" customHeight="1" thickBot="1">
      <c r="A364" s="2583" t="s">
        <v>136</v>
      </c>
      <c r="B364" s="2584"/>
      <c r="C364" s="2584"/>
      <c r="D364" s="2584"/>
      <c r="E364" s="2584"/>
      <c r="F364" s="2584"/>
      <c r="G364" s="2584"/>
      <c r="H364" s="2584"/>
      <c r="I364" s="2584"/>
      <c r="J364" s="2584"/>
      <c r="K364" s="2584"/>
      <c r="L364" s="2584"/>
      <c r="M364" s="2584"/>
      <c r="N364" s="2584"/>
      <c r="O364" s="2584"/>
      <c r="P364" s="2584"/>
      <c r="Q364" s="2584"/>
      <c r="R364" s="2584"/>
      <c r="S364" s="2585"/>
      <c r="U364" s="7"/>
    </row>
    <row r="365" spans="1:21" s="74" customFormat="1" ht="16.5" thickBot="1">
      <c r="A365" s="47" t="s">
        <v>35</v>
      </c>
      <c r="B365" s="48">
        <f>J365</f>
        <v>75</v>
      </c>
      <c r="C365" s="48" t="s">
        <v>3</v>
      </c>
      <c r="D365" s="48">
        <f>K365</f>
        <v>400</v>
      </c>
      <c r="E365" s="48" t="s">
        <v>3</v>
      </c>
      <c r="F365" s="110">
        <f>L365</f>
        <v>600</v>
      </c>
      <c r="G365" s="48" t="s">
        <v>3</v>
      </c>
      <c r="H365" s="48">
        <v>6</v>
      </c>
      <c r="I365" s="49" t="s">
        <v>45</v>
      </c>
      <c r="J365" s="142">
        <v>75</v>
      </c>
      <c r="K365" s="168">
        <v>400</v>
      </c>
      <c r="L365" s="168">
        <v>600</v>
      </c>
      <c r="M365" s="182">
        <v>8.3708270111386867</v>
      </c>
      <c r="N365" s="143">
        <v>190.608</v>
      </c>
      <c r="O365" s="183">
        <v>16292.321899623566</v>
      </c>
      <c r="P365" s="183">
        <v>18675.733965763167</v>
      </c>
      <c r="Q365" s="169">
        <v>9871.7007401553401</v>
      </c>
      <c r="R365" s="312">
        <v>26164.022639778908</v>
      </c>
      <c r="S365" s="313">
        <v>28547.434705918509</v>
      </c>
      <c r="U365" s="7" t="s">
        <v>1696</v>
      </c>
    </row>
    <row r="366" spans="1:21" s="74" customFormat="1" ht="16.5" thickBot="1">
      <c r="A366" s="50" t="s">
        <v>35</v>
      </c>
      <c r="B366" s="51">
        <f t="shared" ref="B366:B413" si="21">J366</f>
        <v>75</v>
      </c>
      <c r="C366" s="51" t="s">
        <v>3</v>
      </c>
      <c r="D366" s="51">
        <f t="shared" ref="D366:D413" si="22">K366</f>
        <v>400</v>
      </c>
      <c r="E366" s="51" t="s">
        <v>3</v>
      </c>
      <c r="F366" s="110">
        <f t="shared" ref="F366:F413" si="23">L366</f>
        <v>650</v>
      </c>
      <c r="G366" s="51" t="s">
        <v>3</v>
      </c>
      <c r="H366" s="48">
        <v>6</v>
      </c>
      <c r="I366" s="49" t="s">
        <v>45</v>
      </c>
      <c r="J366" s="112">
        <v>75</v>
      </c>
      <c r="K366" s="113">
        <v>400</v>
      </c>
      <c r="L366" s="113">
        <v>650</v>
      </c>
      <c r="M366" s="185">
        <v>9.0206310262555256</v>
      </c>
      <c r="N366" s="75">
        <v>228.7296</v>
      </c>
      <c r="O366" s="121">
        <v>17193.828394311193</v>
      </c>
      <c r="P366" s="121">
        <v>19800.847074804977</v>
      </c>
      <c r="Q366" s="120">
        <v>10474.092577548676</v>
      </c>
      <c r="R366" s="314">
        <v>27667.920971859869</v>
      </c>
      <c r="S366" s="315">
        <v>30274.939652353652</v>
      </c>
      <c r="U366" s="7" t="s">
        <v>1697</v>
      </c>
    </row>
    <row r="367" spans="1:21" s="74" customFormat="1" ht="16.5" thickBot="1">
      <c r="A367" s="50" t="s">
        <v>35</v>
      </c>
      <c r="B367" s="51">
        <f t="shared" si="21"/>
        <v>75</v>
      </c>
      <c r="C367" s="51" t="s">
        <v>3</v>
      </c>
      <c r="D367" s="51">
        <f t="shared" si="22"/>
        <v>400</v>
      </c>
      <c r="E367" s="51" t="s">
        <v>3</v>
      </c>
      <c r="F367" s="110">
        <f t="shared" si="23"/>
        <v>700</v>
      </c>
      <c r="G367" s="51" t="s">
        <v>3</v>
      </c>
      <c r="H367" s="48">
        <v>6</v>
      </c>
      <c r="I367" s="49" t="s">
        <v>45</v>
      </c>
      <c r="J367" s="112">
        <v>75</v>
      </c>
      <c r="K367" s="113">
        <v>400</v>
      </c>
      <c r="L367" s="113">
        <v>700</v>
      </c>
      <c r="M367" s="185">
        <v>9.6645243736323678</v>
      </c>
      <c r="N367" s="75">
        <v>266.85120000000001</v>
      </c>
      <c r="O367" s="121">
        <v>18095.334748605455</v>
      </c>
      <c r="P367" s="121">
        <v>20851.033650214169</v>
      </c>
      <c r="Q367" s="120">
        <v>11307.066052331927</v>
      </c>
      <c r="R367" s="314">
        <v>29402.400800937383</v>
      </c>
      <c r="S367" s="315">
        <v>32158.099702546097</v>
      </c>
      <c r="U367" s="7" t="s">
        <v>1698</v>
      </c>
    </row>
    <row r="368" spans="1:21" s="74" customFormat="1" ht="16.5" thickBot="1">
      <c r="A368" s="50" t="s">
        <v>35</v>
      </c>
      <c r="B368" s="51">
        <f t="shared" si="21"/>
        <v>75</v>
      </c>
      <c r="C368" s="51" t="s">
        <v>3</v>
      </c>
      <c r="D368" s="51">
        <f t="shared" si="22"/>
        <v>400</v>
      </c>
      <c r="E368" s="51" t="s">
        <v>3</v>
      </c>
      <c r="F368" s="110">
        <f t="shared" si="23"/>
        <v>750</v>
      </c>
      <c r="G368" s="51" t="s">
        <v>3</v>
      </c>
      <c r="H368" s="48">
        <v>6</v>
      </c>
      <c r="I368" s="49" t="s">
        <v>45</v>
      </c>
      <c r="J368" s="112">
        <v>75</v>
      </c>
      <c r="K368" s="113">
        <v>400</v>
      </c>
      <c r="L368" s="113">
        <v>750</v>
      </c>
      <c r="M368" s="185">
        <v>10.29137772100921</v>
      </c>
      <c r="N368" s="75">
        <v>304.97280000000001</v>
      </c>
      <c r="O368" s="121">
        <v>18996.841102899718</v>
      </c>
      <c r="P368" s="121">
        <v>21901.220366016718</v>
      </c>
      <c r="Q368" s="120">
        <v>11909.457889725263</v>
      </c>
      <c r="R368" s="314">
        <v>30906.298992624979</v>
      </c>
      <c r="S368" s="315">
        <v>33810.678255741979</v>
      </c>
      <c r="U368" s="7" t="s">
        <v>1699</v>
      </c>
    </row>
    <row r="369" spans="1:21" s="74" customFormat="1" ht="16.5" thickBot="1">
      <c r="A369" s="50" t="s">
        <v>35</v>
      </c>
      <c r="B369" s="51">
        <f t="shared" si="21"/>
        <v>75</v>
      </c>
      <c r="C369" s="51" t="s">
        <v>3</v>
      </c>
      <c r="D369" s="51">
        <f t="shared" si="22"/>
        <v>400</v>
      </c>
      <c r="E369" s="51" t="s">
        <v>3</v>
      </c>
      <c r="F369" s="110">
        <f t="shared" si="23"/>
        <v>800</v>
      </c>
      <c r="G369" s="51" t="s">
        <v>3</v>
      </c>
      <c r="H369" s="48">
        <v>6</v>
      </c>
      <c r="I369" s="49" t="s">
        <v>45</v>
      </c>
      <c r="J369" s="112">
        <v>75</v>
      </c>
      <c r="K369" s="113">
        <v>400</v>
      </c>
      <c r="L369" s="113">
        <v>800</v>
      </c>
      <c r="M369" s="185">
        <v>10.918231068386053</v>
      </c>
      <c r="N369" s="75">
        <v>343.09439999999995</v>
      </c>
      <c r="O369" s="121">
        <v>19898.347597587344</v>
      </c>
      <c r="P369" s="121">
        <v>22951.406941425903</v>
      </c>
      <c r="Q369" s="120">
        <v>12511.84958672524</v>
      </c>
      <c r="R369" s="314">
        <v>32410.197184312587</v>
      </c>
      <c r="S369" s="315">
        <v>35463.256528151142</v>
      </c>
      <c r="U369" s="7" t="s">
        <v>1700</v>
      </c>
    </row>
    <row r="370" spans="1:21" s="74" customFormat="1" ht="16.5" thickBot="1">
      <c r="A370" s="50" t="s">
        <v>35</v>
      </c>
      <c r="B370" s="51">
        <f t="shared" si="21"/>
        <v>75</v>
      </c>
      <c r="C370" s="51" t="s">
        <v>3</v>
      </c>
      <c r="D370" s="51">
        <f t="shared" si="22"/>
        <v>400</v>
      </c>
      <c r="E370" s="51" t="s">
        <v>3</v>
      </c>
      <c r="F370" s="110">
        <f t="shared" si="23"/>
        <v>850</v>
      </c>
      <c r="G370" s="51" t="s">
        <v>3</v>
      </c>
      <c r="H370" s="48">
        <v>6</v>
      </c>
      <c r="I370" s="49" t="s">
        <v>45</v>
      </c>
      <c r="J370" s="112">
        <v>75</v>
      </c>
      <c r="K370" s="113">
        <v>400</v>
      </c>
      <c r="L370" s="113">
        <v>850</v>
      </c>
      <c r="M370" s="185">
        <v>11.562124415762895</v>
      </c>
      <c r="N370" s="75">
        <v>381.21600000000001</v>
      </c>
      <c r="O370" s="121">
        <v>20799.853951881603</v>
      </c>
      <c r="P370" s="121">
        <v>24001.593657228455</v>
      </c>
      <c r="Q370" s="120">
        <v>13344.823201901852</v>
      </c>
      <c r="R370" s="314">
        <v>34144.677153783457</v>
      </c>
      <c r="S370" s="315">
        <v>37346.41685913031</v>
      </c>
      <c r="U370" s="7" t="s">
        <v>1701</v>
      </c>
    </row>
    <row r="371" spans="1:21" s="74" customFormat="1" ht="16.5" thickBot="1">
      <c r="A371" s="50" t="s">
        <v>35</v>
      </c>
      <c r="B371" s="51">
        <f t="shared" si="21"/>
        <v>75</v>
      </c>
      <c r="C371" s="51" t="s">
        <v>3</v>
      </c>
      <c r="D371" s="51">
        <f t="shared" si="22"/>
        <v>400</v>
      </c>
      <c r="E371" s="51" t="s">
        <v>3</v>
      </c>
      <c r="F371" s="110">
        <f t="shared" si="23"/>
        <v>900</v>
      </c>
      <c r="G371" s="51" t="s">
        <v>3</v>
      </c>
      <c r="H371" s="48">
        <v>6</v>
      </c>
      <c r="I371" s="49" t="s">
        <v>45</v>
      </c>
      <c r="J371" s="112">
        <v>75</v>
      </c>
      <c r="K371" s="113">
        <v>400</v>
      </c>
      <c r="L371" s="113">
        <v>900</v>
      </c>
      <c r="M371" s="185">
        <v>12.188977763139739</v>
      </c>
      <c r="N371" s="75">
        <v>419.33759999999995</v>
      </c>
      <c r="O371" s="121">
        <v>21701.360306175866</v>
      </c>
      <c r="P371" s="121">
        <v>25051.780232637644</v>
      </c>
      <c r="Q371" s="120">
        <v>13947.21489890183</v>
      </c>
      <c r="R371" s="314">
        <v>35648.575205077694</v>
      </c>
      <c r="S371" s="315">
        <v>38998.995131539472</v>
      </c>
      <c r="U371" s="7" t="s">
        <v>1702</v>
      </c>
    </row>
    <row r="372" spans="1:21" s="74" customFormat="1" ht="16.5" thickBot="1">
      <c r="A372" s="50" t="s">
        <v>35</v>
      </c>
      <c r="B372" s="51">
        <f t="shared" si="21"/>
        <v>75</v>
      </c>
      <c r="C372" s="51" t="s">
        <v>3</v>
      </c>
      <c r="D372" s="51">
        <f t="shared" si="22"/>
        <v>400</v>
      </c>
      <c r="E372" s="51" t="s">
        <v>3</v>
      </c>
      <c r="F372" s="110">
        <f t="shared" si="23"/>
        <v>950</v>
      </c>
      <c r="G372" s="51" t="s">
        <v>3</v>
      </c>
      <c r="H372" s="48">
        <v>6</v>
      </c>
      <c r="I372" s="49" t="s">
        <v>45</v>
      </c>
      <c r="J372" s="112">
        <v>75</v>
      </c>
      <c r="K372" s="113">
        <v>400</v>
      </c>
      <c r="L372" s="113">
        <v>950</v>
      </c>
      <c r="M372" s="185">
        <v>12.832871110516578</v>
      </c>
      <c r="N372" s="75">
        <v>457.45920000000001</v>
      </c>
      <c r="O372" s="121">
        <v>22602.866800863492</v>
      </c>
      <c r="P372" s="121">
        <v>26101.966948440193</v>
      </c>
      <c r="Q372" s="120">
        <v>14780.188514078442</v>
      </c>
      <c r="R372" s="314">
        <v>37383.055314941936</v>
      </c>
      <c r="S372" s="315">
        <v>40882.155462518633</v>
      </c>
      <c r="U372" s="7" t="s">
        <v>1703</v>
      </c>
    </row>
    <row r="373" spans="1:21" s="74" customFormat="1" ht="16.5" thickBot="1">
      <c r="A373" s="50" t="s">
        <v>35</v>
      </c>
      <c r="B373" s="51">
        <f t="shared" si="21"/>
        <v>75</v>
      </c>
      <c r="C373" s="51" t="s">
        <v>3</v>
      </c>
      <c r="D373" s="51">
        <f t="shared" si="22"/>
        <v>400</v>
      </c>
      <c r="E373" s="51" t="s">
        <v>3</v>
      </c>
      <c r="F373" s="110">
        <f t="shared" si="23"/>
        <v>1000</v>
      </c>
      <c r="G373" s="51" t="s">
        <v>3</v>
      </c>
      <c r="H373" s="48">
        <v>6</v>
      </c>
      <c r="I373" s="49" t="s">
        <v>45</v>
      </c>
      <c r="J373" s="112">
        <v>75</v>
      </c>
      <c r="K373" s="113">
        <v>400</v>
      </c>
      <c r="L373" s="113">
        <v>1000</v>
      </c>
      <c r="M373" s="185">
        <v>13.459724457893421</v>
      </c>
      <c r="N373" s="75">
        <v>495.58079999999995</v>
      </c>
      <c r="O373" s="121">
        <v>23504.373155157755</v>
      </c>
      <c r="P373" s="121">
        <v>27152.153523849382</v>
      </c>
      <c r="Q373" s="120">
        <v>15382.580351471779</v>
      </c>
      <c r="R373" s="314">
        <v>38886.953506629536</v>
      </c>
      <c r="S373" s="315">
        <v>42534.733875321159</v>
      </c>
      <c r="U373" s="7" t="s">
        <v>1704</v>
      </c>
    </row>
    <row r="374" spans="1:21" s="74" customFormat="1" ht="16.5" thickBot="1">
      <c r="A374" s="50" t="s">
        <v>35</v>
      </c>
      <c r="B374" s="51">
        <f t="shared" si="21"/>
        <v>75</v>
      </c>
      <c r="C374" s="51" t="s">
        <v>3</v>
      </c>
      <c r="D374" s="51">
        <f t="shared" si="22"/>
        <v>400</v>
      </c>
      <c r="E374" s="51" t="s">
        <v>3</v>
      </c>
      <c r="F374" s="110">
        <f t="shared" si="23"/>
        <v>1050</v>
      </c>
      <c r="G374" s="51" t="s">
        <v>3</v>
      </c>
      <c r="H374" s="48">
        <v>6</v>
      </c>
      <c r="I374" s="49" t="s">
        <v>45</v>
      </c>
      <c r="J374" s="112">
        <v>75</v>
      </c>
      <c r="K374" s="113">
        <v>400</v>
      </c>
      <c r="L374" s="113">
        <v>1050</v>
      </c>
      <c r="M374" s="185">
        <v>14.103617805270261</v>
      </c>
      <c r="N374" s="75">
        <v>533.70240000000001</v>
      </c>
      <c r="O374" s="121">
        <v>24405.879509452017</v>
      </c>
      <c r="P374" s="121">
        <v>28202.34023965193</v>
      </c>
      <c r="Q374" s="120">
        <v>16215.553826255029</v>
      </c>
      <c r="R374" s="314">
        <v>40621.433335707043</v>
      </c>
      <c r="S374" s="315">
        <v>44417.894065906963</v>
      </c>
      <c r="U374" s="7" t="s">
        <v>1705</v>
      </c>
    </row>
    <row r="375" spans="1:21" s="74" customFormat="1" ht="16.5" thickBot="1">
      <c r="A375" s="47" t="s">
        <v>35</v>
      </c>
      <c r="B375" s="48">
        <f t="shared" si="21"/>
        <v>75</v>
      </c>
      <c r="C375" s="48" t="s">
        <v>3</v>
      </c>
      <c r="D375" s="48">
        <f t="shared" si="22"/>
        <v>400</v>
      </c>
      <c r="E375" s="48" t="s">
        <v>3</v>
      </c>
      <c r="F375" s="110">
        <f t="shared" si="23"/>
        <v>1100</v>
      </c>
      <c r="G375" s="48" t="s">
        <v>3</v>
      </c>
      <c r="H375" s="48">
        <v>6</v>
      </c>
      <c r="I375" s="49" t="s">
        <v>45</v>
      </c>
      <c r="J375" s="112">
        <v>75</v>
      </c>
      <c r="K375" s="113">
        <v>400</v>
      </c>
      <c r="L375" s="113">
        <v>1100</v>
      </c>
      <c r="M375" s="185">
        <v>14.730471152647105</v>
      </c>
      <c r="N375" s="75">
        <v>571.82399999999996</v>
      </c>
      <c r="O375" s="121">
        <v>25307.385863746276</v>
      </c>
      <c r="P375" s="121">
        <v>29252.526815061119</v>
      </c>
      <c r="Q375" s="120">
        <v>16817.945663648366</v>
      </c>
      <c r="R375" s="314">
        <v>42125.331527394643</v>
      </c>
      <c r="S375" s="315">
        <v>46070.472478709489</v>
      </c>
      <c r="U375" s="7" t="s">
        <v>1706</v>
      </c>
    </row>
    <row r="376" spans="1:21" s="74" customFormat="1" ht="16.5" thickBot="1">
      <c r="A376" s="50" t="s">
        <v>35</v>
      </c>
      <c r="B376" s="51">
        <f t="shared" si="21"/>
        <v>75</v>
      </c>
      <c r="C376" s="51" t="s">
        <v>3</v>
      </c>
      <c r="D376" s="51">
        <f t="shared" si="22"/>
        <v>400</v>
      </c>
      <c r="E376" s="51" t="s">
        <v>3</v>
      </c>
      <c r="F376" s="110">
        <f t="shared" si="23"/>
        <v>1150</v>
      </c>
      <c r="G376" s="51" t="s">
        <v>3</v>
      </c>
      <c r="H376" s="48">
        <v>6</v>
      </c>
      <c r="I376" s="49" t="s">
        <v>45</v>
      </c>
      <c r="J376" s="112">
        <v>75</v>
      </c>
      <c r="K376" s="113">
        <v>400</v>
      </c>
      <c r="L376" s="113">
        <v>1150</v>
      </c>
      <c r="M376" s="185">
        <v>15.357324500023948</v>
      </c>
      <c r="N376" s="75">
        <v>609.94560000000001</v>
      </c>
      <c r="O376" s="121">
        <v>26208.892358433903</v>
      </c>
      <c r="P376" s="121">
        <v>30302.713530863672</v>
      </c>
      <c r="Q376" s="120">
        <v>17420.33736064834</v>
      </c>
      <c r="R376" s="314">
        <v>43629.229719082243</v>
      </c>
      <c r="S376" s="315">
        <v>47723.050891512015</v>
      </c>
      <c r="U376" s="7" t="s">
        <v>1707</v>
      </c>
    </row>
    <row r="377" spans="1:21" s="74" customFormat="1" ht="16.5" thickBot="1">
      <c r="A377" s="50" t="s">
        <v>35</v>
      </c>
      <c r="B377" s="51">
        <f t="shared" si="21"/>
        <v>75</v>
      </c>
      <c r="C377" s="51" t="s">
        <v>3</v>
      </c>
      <c r="D377" s="51">
        <f t="shared" si="22"/>
        <v>400</v>
      </c>
      <c r="E377" s="51" t="s">
        <v>3</v>
      </c>
      <c r="F377" s="110">
        <f t="shared" si="23"/>
        <v>1200</v>
      </c>
      <c r="G377" s="51" t="s">
        <v>3</v>
      </c>
      <c r="H377" s="48">
        <v>6</v>
      </c>
      <c r="I377" s="49" t="s">
        <v>45</v>
      </c>
      <c r="J377" s="112">
        <v>75</v>
      </c>
      <c r="K377" s="113">
        <v>400</v>
      </c>
      <c r="L377" s="113">
        <v>1200</v>
      </c>
      <c r="M377" s="185">
        <v>16.118967847400789</v>
      </c>
      <c r="N377" s="75">
        <v>648.06720000000007</v>
      </c>
      <c r="O377" s="121">
        <v>27233.424854713467</v>
      </c>
      <c r="P377" s="121">
        <v>31472.176341545783</v>
      </c>
      <c r="Q377" s="120">
        <v>18253.310975824952</v>
      </c>
      <c r="R377" s="314">
        <v>45486.735830538419</v>
      </c>
      <c r="S377" s="315">
        <v>49725.487317370731</v>
      </c>
      <c r="U377" s="7" t="s">
        <v>1708</v>
      </c>
    </row>
    <row r="378" spans="1:21" s="74" customFormat="1" ht="16.5" thickBot="1">
      <c r="A378" s="50" t="s">
        <v>35</v>
      </c>
      <c r="B378" s="51">
        <f t="shared" si="21"/>
        <v>75</v>
      </c>
      <c r="C378" s="51" t="s">
        <v>3</v>
      </c>
      <c r="D378" s="51">
        <f t="shared" si="22"/>
        <v>400</v>
      </c>
      <c r="E378" s="51" t="s">
        <v>3</v>
      </c>
      <c r="F378" s="110">
        <f t="shared" si="23"/>
        <v>1250</v>
      </c>
      <c r="G378" s="51" t="s">
        <v>3</v>
      </c>
      <c r="H378" s="48">
        <v>6</v>
      </c>
      <c r="I378" s="49" t="s">
        <v>45</v>
      </c>
      <c r="J378" s="112">
        <v>75</v>
      </c>
      <c r="K378" s="113">
        <v>400</v>
      </c>
      <c r="L378" s="113">
        <v>1250</v>
      </c>
      <c r="M378" s="185">
        <v>16.745821194777633</v>
      </c>
      <c r="N378" s="75">
        <v>686.1887999999999</v>
      </c>
      <c r="O378" s="121">
        <v>28134.931349401093</v>
      </c>
      <c r="P378" s="121">
        <v>32522.363057348331</v>
      </c>
      <c r="Q378" s="120">
        <v>18855.702672824929</v>
      </c>
      <c r="R378" s="314">
        <v>46990.634022226019</v>
      </c>
      <c r="S378" s="315">
        <v>51378.065730173257</v>
      </c>
      <c r="U378" s="7" t="s">
        <v>1709</v>
      </c>
    </row>
    <row r="379" spans="1:21" s="74" customFormat="1" ht="16.5" thickBot="1">
      <c r="A379" s="50" t="s">
        <v>35</v>
      </c>
      <c r="B379" s="51">
        <f t="shared" si="21"/>
        <v>75</v>
      </c>
      <c r="C379" s="51" t="s">
        <v>3</v>
      </c>
      <c r="D379" s="51">
        <f t="shared" si="22"/>
        <v>400</v>
      </c>
      <c r="E379" s="51" t="s">
        <v>3</v>
      </c>
      <c r="F379" s="110">
        <f t="shared" si="23"/>
        <v>1300</v>
      </c>
      <c r="G379" s="51" t="s">
        <v>3</v>
      </c>
      <c r="H379" s="48">
        <v>6</v>
      </c>
      <c r="I379" s="49" t="s">
        <v>45</v>
      </c>
      <c r="J379" s="112">
        <v>75</v>
      </c>
      <c r="K379" s="113">
        <v>400</v>
      </c>
      <c r="L379" s="113">
        <v>1300</v>
      </c>
      <c r="M379" s="185">
        <v>17.389714542154472</v>
      </c>
      <c r="N379" s="75">
        <v>724.31039999999996</v>
      </c>
      <c r="O379" s="121">
        <v>29036.437703695356</v>
      </c>
      <c r="P379" s="121">
        <v>33572.549632757517</v>
      </c>
      <c r="Q379" s="120">
        <v>19688.676288001541</v>
      </c>
      <c r="R379" s="314">
        <v>48725.113991696897</v>
      </c>
      <c r="S379" s="315">
        <v>53261.225920759054</v>
      </c>
      <c r="U379" s="7" t="s">
        <v>1710</v>
      </c>
    </row>
    <row r="380" spans="1:21" s="74" customFormat="1" ht="16.5" thickBot="1">
      <c r="A380" s="50" t="s">
        <v>35</v>
      </c>
      <c r="B380" s="51">
        <f t="shared" si="21"/>
        <v>75</v>
      </c>
      <c r="C380" s="51" t="s">
        <v>3</v>
      </c>
      <c r="D380" s="51">
        <f t="shared" si="22"/>
        <v>400</v>
      </c>
      <c r="E380" s="51" t="s">
        <v>3</v>
      </c>
      <c r="F380" s="110">
        <f t="shared" si="23"/>
        <v>1350</v>
      </c>
      <c r="G380" s="51" t="s">
        <v>3</v>
      </c>
      <c r="H380" s="48">
        <v>6</v>
      </c>
      <c r="I380" s="49" t="s">
        <v>45</v>
      </c>
      <c r="J380" s="112">
        <v>75</v>
      </c>
      <c r="K380" s="113">
        <v>400</v>
      </c>
      <c r="L380" s="113">
        <v>1350</v>
      </c>
      <c r="M380" s="185">
        <v>18.016567889531316</v>
      </c>
      <c r="N380" s="75">
        <v>762.43200000000002</v>
      </c>
      <c r="O380" s="121">
        <v>29937.944057989618</v>
      </c>
      <c r="P380" s="121">
        <v>34622.736348560065</v>
      </c>
      <c r="Q380" s="120">
        <v>20291.067985001515</v>
      </c>
      <c r="R380" s="314">
        <v>50229.012042991133</v>
      </c>
      <c r="S380" s="315">
        <v>54913.80433356158</v>
      </c>
      <c r="U380" s="7" t="s">
        <v>1711</v>
      </c>
    </row>
    <row r="381" spans="1:21" s="74" customFormat="1" ht="16.5" thickBot="1">
      <c r="A381" s="50" t="s">
        <v>35</v>
      </c>
      <c r="B381" s="51">
        <f t="shared" si="21"/>
        <v>75</v>
      </c>
      <c r="C381" s="51" t="s">
        <v>3</v>
      </c>
      <c r="D381" s="51">
        <f t="shared" si="22"/>
        <v>400</v>
      </c>
      <c r="E381" s="51" t="s">
        <v>3</v>
      </c>
      <c r="F381" s="110">
        <f t="shared" si="23"/>
        <v>1400</v>
      </c>
      <c r="G381" s="51" t="s">
        <v>3</v>
      </c>
      <c r="H381" s="48">
        <v>6</v>
      </c>
      <c r="I381" s="49" t="s">
        <v>45</v>
      </c>
      <c r="J381" s="112">
        <v>75</v>
      </c>
      <c r="K381" s="113">
        <v>400</v>
      </c>
      <c r="L381" s="113">
        <v>1400</v>
      </c>
      <c r="M381" s="185">
        <v>18.660461236908159</v>
      </c>
      <c r="N381" s="75">
        <v>800.55360000000007</v>
      </c>
      <c r="O381" s="121">
        <v>30839.450552677245</v>
      </c>
      <c r="P381" s="121">
        <v>35672.922923969258</v>
      </c>
      <c r="Q381" s="120">
        <v>21124.04160017813</v>
      </c>
      <c r="R381" s="314">
        <v>51963.492152855375</v>
      </c>
      <c r="S381" s="315">
        <v>56796.964524147392</v>
      </c>
      <c r="U381" s="7" t="s">
        <v>1712</v>
      </c>
    </row>
    <row r="382" spans="1:21" s="74" customFormat="1" ht="16.5" thickBot="1">
      <c r="A382" s="50" t="s">
        <v>35</v>
      </c>
      <c r="B382" s="51">
        <f t="shared" si="21"/>
        <v>75</v>
      </c>
      <c r="C382" s="51" t="s">
        <v>3</v>
      </c>
      <c r="D382" s="51">
        <f t="shared" si="22"/>
        <v>400</v>
      </c>
      <c r="E382" s="51" t="s">
        <v>3</v>
      </c>
      <c r="F382" s="110">
        <f t="shared" si="23"/>
        <v>1450</v>
      </c>
      <c r="G382" s="51" t="s">
        <v>3</v>
      </c>
      <c r="H382" s="48">
        <v>6</v>
      </c>
      <c r="I382" s="49" t="s">
        <v>45</v>
      </c>
      <c r="J382" s="112">
        <v>75</v>
      </c>
      <c r="K382" s="113">
        <v>400</v>
      </c>
      <c r="L382" s="113">
        <v>1450</v>
      </c>
      <c r="M382" s="185">
        <v>19.287314584284999</v>
      </c>
      <c r="N382" s="75">
        <v>838.6751999999999</v>
      </c>
      <c r="O382" s="121">
        <v>31740.956906971507</v>
      </c>
      <c r="P382" s="121">
        <v>36723.109639771807</v>
      </c>
      <c r="Q382" s="120">
        <v>21726.433297178104</v>
      </c>
      <c r="R382" s="314">
        <v>53467.390204149611</v>
      </c>
      <c r="S382" s="315">
        <v>58449.542936949911</v>
      </c>
      <c r="U382" s="7" t="s">
        <v>1713</v>
      </c>
    </row>
    <row r="383" spans="1:21" s="74" customFormat="1" ht="16.5" thickBot="1">
      <c r="A383" s="50" t="s">
        <v>35</v>
      </c>
      <c r="B383" s="51">
        <f t="shared" si="21"/>
        <v>75</v>
      </c>
      <c r="C383" s="51" t="s">
        <v>3</v>
      </c>
      <c r="D383" s="51">
        <f t="shared" si="22"/>
        <v>400</v>
      </c>
      <c r="E383" s="51" t="s">
        <v>3</v>
      </c>
      <c r="F383" s="110">
        <f t="shared" si="23"/>
        <v>1500</v>
      </c>
      <c r="G383" s="51" t="s">
        <v>3</v>
      </c>
      <c r="H383" s="48">
        <v>6</v>
      </c>
      <c r="I383" s="49" t="s">
        <v>45</v>
      </c>
      <c r="J383" s="112">
        <v>75</v>
      </c>
      <c r="K383" s="113">
        <v>400</v>
      </c>
      <c r="L383" s="113">
        <v>1500</v>
      </c>
      <c r="M383" s="185">
        <v>20.129106475021842</v>
      </c>
      <c r="N383" s="75">
        <v>876.79679999999996</v>
      </c>
      <c r="O383" s="121">
        <v>33453.028130280305</v>
      </c>
      <c r="P383" s="121">
        <v>38514.762981007094</v>
      </c>
      <c r="Q383" s="120">
        <v>22559.406912354716</v>
      </c>
      <c r="R383" s="314">
        <v>56012.435042635021</v>
      </c>
      <c r="S383" s="315">
        <v>61074.16989336181</v>
      </c>
      <c r="U383" s="7" t="s">
        <v>1714</v>
      </c>
    </row>
    <row r="384" spans="1:21" s="74" customFormat="1" ht="16.5" thickBot="1">
      <c r="A384" s="50" t="s">
        <v>35</v>
      </c>
      <c r="B384" s="51">
        <f t="shared" si="21"/>
        <v>75</v>
      </c>
      <c r="C384" s="51" t="s">
        <v>3</v>
      </c>
      <c r="D384" s="51">
        <f t="shared" si="22"/>
        <v>400</v>
      </c>
      <c r="E384" s="51" t="s">
        <v>3</v>
      </c>
      <c r="F384" s="110">
        <f t="shared" si="23"/>
        <v>1550</v>
      </c>
      <c r="G384" s="51" t="s">
        <v>3</v>
      </c>
      <c r="H384" s="48">
        <v>6</v>
      </c>
      <c r="I384" s="49" t="s">
        <v>45</v>
      </c>
      <c r="J384" s="112">
        <v>75</v>
      </c>
      <c r="K384" s="113">
        <v>400</v>
      </c>
      <c r="L384" s="113">
        <v>1550</v>
      </c>
      <c r="M384" s="185">
        <v>20.755959822398683</v>
      </c>
      <c r="N384" s="75">
        <v>914.91840000000002</v>
      </c>
      <c r="O384" s="121">
        <v>34354.534484574571</v>
      </c>
      <c r="P384" s="121">
        <v>39564.949556416286</v>
      </c>
      <c r="Q384" s="120">
        <v>23161.79860935469</v>
      </c>
      <c r="R384" s="314">
        <v>57516.333093929265</v>
      </c>
      <c r="S384" s="315">
        <v>62726.748165770972</v>
      </c>
      <c r="U384" s="7" t="s">
        <v>1715</v>
      </c>
    </row>
    <row r="385" spans="1:21" s="74" customFormat="1" ht="16.5" thickBot="1">
      <c r="A385" s="47" t="s">
        <v>35</v>
      </c>
      <c r="B385" s="48">
        <f t="shared" si="21"/>
        <v>75</v>
      </c>
      <c r="C385" s="48" t="s">
        <v>3</v>
      </c>
      <c r="D385" s="48">
        <f t="shared" si="22"/>
        <v>400</v>
      </c>
      <c r="E385" s="48" t="s">
        <v>3</v>
      </c>
      <c r="F385" s="110">
        <f t="shared" si="23"/>
        <v>1600</v>
      </c>
      <c r="G385" s="48" t="s">
        <v>3</v>
      </c>
      <c r="H385" s="48">
        <v>6</v>
      </c>
      <c r="I385" s="49" t="s">
        <v>45</v>
      </c>
      <c r="J385" s="112">
        <v>75</v>
      </c>
      <c r="K385" s="113">
        <v>400</v>
      </c>
      <c r="L385" s="113">
        <v>1600</v>
      </c>
      <c r="M385" s="185">
        <v>21.382813169775524</v>
      </c>
      <c r="N385" s="75">
        <v>953.04</v>
      </c>
      <c r="O385" s="121">
        <v>35256.040979262194</v>
      </c>
      <c r="P385" s="121">
        <v>40615.136272218835</v>
      </c>
      <c r="Q385" s="120">
        <v>23764.190446748027</v>
      </c>
      <c r="R385" s="314">
        <v>59020.231426010221</v>
      </c>
      <c r="S385" s="315">
        <v>64379.326718966862</v>
      </c>
      <c r="U385" s="7" t="s">
        <v>1716</v>
      </c>
    </row>
    <row r="386" spans="1:21" s="74" customFormat="1" ht="16.5" thickBot="1">
      <c r="A386" s="50" t="s">
        <v>35</v>
      </c>
      <c r="B386" s="51">
        <f t="shared" si="21"/>
        <v>75</v>
      </c>
      <c r="C386" s="51" t="s">
        <v>3</v>
      </c>
      <c r="D386" s="51">
        <f t="shared" si="22"/>
        <v>400</v>
      </c>
      <c r="E386" s="51" t="s">
        <v>3</v>
      </c>
      <c r="F386" s="110">
        <f t="shared" si="23"/>
        <v>1650</v>
      </c>
      <c r="G386" s="51" t="s">
        <v>3</v>
      </c>
      <c r="H386" s="48">
        <v>6</v>
      </c>
      <c r="I386" s="49" t="s">
        <v>45</v>
      </c>
      <c r="J386" s="112">
        <v>75</v>
      </c>
      <c r="K386" s="113">
        <v>400</v>
      </c>
      <c r="L386" s="113">
        <v>1650</v>
      </c>
      <c r="M386" s="185">
        <v>22.026706517152366</v>
      </c>
      <c r="N386" s="75">
        <v>991.16159999999991</v>
      </c>
      <c r="O386" s="121">
        <v>36157.547333556453</v>
      </c>
      <c r="P386" s="121">
        <v>41665.32284762802</v>
      </c>
      <c r="Q386" s="120">
        <v>24597.164061924639</v>
      </c>
      <c r="R386" s="314">
        <v>60754.711395481092</v>
      </c>
      <c r="S386" s="315">
        <v>66262.486909552652</v>
      </c>
      <c r="U386" s="7" t="s">
        <v>1717</v>
      </c>
    </row>
    <row r="387" spans="1:21" s="74" customFormat="1" ht="16.5" thickBot="1">
      <c r="A387" s="50" t="s">
        <v>35</v>
      </c>
      <c r="B387" s="51">
        <f t="shared" si="21"/>
        <v>75</v>
      </c>
      <c r="C387" s="51" t="s">
        <v>3</v>
      </c>
      <c r="D387" s="51">
        <f t="shared" si="22"/>
        <v>400</v>
      </c>
      <c r="E387" s="51" t="s">
        <v>3</v>
      </c>
      <c r="F387" s="110">
        <f t="shared" si="23"/>
        <v>1700</v>
      </c>
      <c r="G387" s="51" t="s">
        <v>3</v>
      </c>
      <c r="H387" s="48">
        <v>6</v>
      </c>
      <c r="I387" s="49" t="s">
        <v>45</v>
      </c>
      <c r="J387" s="112">
        <v>75</v>
      </c>
      <c r="K387" s="113">
        <v>400</v>
      </c>
      <c r="L387" s="113">
        <v>1700</v>
      </c>
      <c r="M387" s="185">
        <v>22.65355986452921</v>
      </c>
      <c r="N387" s="75">
        <v>1029.2831999999999</v>
      </c>
      <c r="O387" s="121">
        <v>37059.053687850719</v>
      </c>
      <c r="P387" s="121">
        <v>42715.509563430569</v>
      </c>
      <c r="Q387" s="120">
        <v>25199.55575892462</v>
      </c>
      <c r="R387" s="314">
        <v>62258.609446775343</v>
      </c>
      <c r="S387" s="315">
        <v>67915.065322355193</v>
      </c>
      <c r="U387" s="7" t="s">
        <v>1718</v>
      </c>
    </row>
    <row r="388" spans="1:21" s="74" customFormat="1" ht="16.5" thickBot="1">
      <c r="A388" s="50" t="s">
        <v>35</v>
      </c>
      <c r="B388" s="51">
        <f t="shared" si="21"/>
        <v>75</v>
      </c>
      <c r="C388" s="51" t="s">
        <v>3</v>
      </c>
      <c r="D388" s="51">
        <f t="shared" si="22"/>
        <v>400</v>
      </c>
      <c r="E388" s="51" t="s">
        <v>3</v>
      </c>
      <c r="F388" s="110">
        <f t="shared" si="23"/>
        <v>1750</v>
      </c>
      <c r="G388" s="51" t="s">
        <v>3</v>
      </c>
      <c r="H388" s="48">
        <v>6</v>
      </c>
      <c r="I388" s="49" t="s">
        <v>45</v>
      </c>
      <c r="J388" s="112">
        <v>75</v>
      </c>
      <c r="K388" s="113">
        <v>400</v>
      </c>
      <c r="L388" s="113">
        <v>1750</v>
      </c>
      <c r="M388" s="185">
        <v>23.297453211906053</v>
      </c>
      <c r="N388" s="75">
        <v>1067.4048</v>
      </c>
      <c r="O388" s="121">
        <v>37960.560182538342</v>
      </c>
      <c r="P388" s="121">
        <v>43765.696138839761</v>
      </c>
      <c r="Q388" s="120">
        <v>26032.529374101232</v>
      </c>
      <c r="R388" s="314">
        <v>63993.089556639577</v>
      </c>
      <c r="S388" s="315">
        <v>69798.22551294099</v>
      </c>
      <c r="U388" s="7" t="s">
        <v>1719</v>
      </c>
    </row>
    <row r="389" spans="1:21" s="74" customFormat="1" ht="16.5" thickBot="1">
      <c r="A389" s="50" t="s">
        <v>35</v>
      </c>
      <c r="B389" s="51">
        <f t="shared" si="21"/>
        <v>75</v>
      </c>
      <c r="C389" s="51" t="s">
        <v>3</v>
      </c>
      <c r="D389" s="51">
        <f t="shared" si="22"/>
        <v>400</v>
      </c>
      <c r="E389" s="51" t="s">
        <v>3</v>
      </c>
      <c r="F389" s="110">
        <f t="shared" si="23"/>
        <v>1800</v>
      </c>
      <c r="G389" s="51" t="s">
        <v>3</v>
      </c>
      <c r="H389" s="48">
        <v>6</v>
      </c>
      <c r="I389" s="49" t="s">
        <v>45</v>
      </c>
      <c r="J389" s="112">
        <v>75</v>
      </c>
      <c r="K389" s="113">
        <v>400</v>
      </c>
      <c r="L389" s="113">
        <v>1800</v>
      </c>
      <c r="M389" s="185">
        <v>23.92430655928289</v>
      </c>
      <c r="N389" s="75">
        <v>1105.5264</v>
      </c>
      <c r="O389" s="121">
        <v>38862.066536832608</v>
      </c>
      <c r="P389" s="121">
        <v>44815.882714248946</v>
      </c>
      <c r="Q389" s="120">
        <v>26634.921071101206</v>
      </c>
      <c r="R389" s="314">
        <v>65496.987607933814</v>
      </c>
      <c r="S389" s="315">
        <v>71450.803785350145</v>
      </c>
      <c r="U389" s="7" t="s">
        <v>1720</v>
      </c>
    </row>
    <row r="390" spans="1:21" s="74" customFormat="1" ht="16.5" thickBot="1">
      <c r="A390" s="50" t="s">
        <v>35</v>
      </c>
      <c r="B390" s="51">
        <f t="shared" si="21"/>
        <v>75</v>
      </c>
      <c r="C390" s="51" t="s">
        <v>3</v>
      </c>
      <c r="D390" s="51">
        <f t="shared" si="22"/>
        <v>400</v>
      </c>
      <c r="E390" s="51" t="s">
        <v>3</v>
      </c>
      <c r="F390" s="110">
        <f t="shared" si="23"/>
        <v>1850</v>
      </c>
      <c r="G390" s="51" t="s">
        <v>3</v>
      </c>
      <c r="H390" s="48">
        <v>6</v>
      </c>
      <c r="I390" s="49" t="s">
        <v>45</v>
      </c>
      <c r="J390" s="112">
        <v>75</v>
      </c>
      <c r="K390" s="113">
        <v>400</v>
      </c>
      <c r="L390" s="113">
        <v>1850</v>
      </c>
      <c r="M390" s="185">
        <v>24.568199906659743</v>
      </c>
      <c r="N390" s="75">
        <v>1143.6479999999999</v>
      </c>
      <c r="O390" s="121">
        <v>39763.572891126867</v>
      </c>
      <c r="P390" s="121">
        <v>45866.069430051495</v>
      </c>
      <c r="Q390" s="120">
        <v>27467.894686277818</v>
      </c>
      <c r="R390" s="314">
        <v>67231.467577404692</v>
      </c>
      <c r="S390" s="315">
        <v>73333.964116329313</v>
      </c>
      <c r="U390" s="7" t="s">
        <v>1721</v>
      </c>
    </row>
    <row r="391" spans="1:21" s="74" customFormat="1" ht="16.5" thickBot="1">
      <c r="A391" s="50" t="s">
        <v>35</v>
      </c>
      <c r="B391" s="51">
        <f t="shared" si="21"/>
        <v>75</v>
      </c>
      <c r="C391" s="51" t="s">
        <v>3</v>
      </c>
      <c r="D391" s="51">
        <f t="shared" si="22"/>
        <v>400</v>
      </c>
      <c r="E391" s="51" t="s">
        <v>3</v>
      </c>
      <c r="F391" s="110">
        <f t="shared" si="23"/>
        <v>1900</v>
      </c>
      <c r="G391" s="51" t="s">
        <v>3</v>
      </c>
      <c r="H391" s="48">
        <v>6</v>
      </c>
      <c r="I391" s="49" t="s">
        <v>45</v>
      </c>
      <c r="J391" s="112">
        <v>75</v>
      </c>
      <c r="K391" s="113">
        <v>400</v>
      </c>
      <c r="L391" s="113">
        <v>1900</v>
      </c>
      <c r="M391" s="185">
        <v>25.19505325403658</v>
      </c>
      <c r="N391" s="75">
        <v>1181.7695999999999</v>
      </c>
      <c r="O391" s="121">
        <v>40665.079385814497</v>
      </c>
      <c r="P391" s="121">
        <v>46916.256005460687</v>
      </c>
      <c r="Q391" s="120">
        <v>28070.286383277791</v>
      </c>
      <c r="R391" s="314">
        <v>68735.365769092285</v>
      </c>
      <c r="S391" s="315">
        <v>74986.542388738482</v>
      </c>
      <c r="U391" s="7" t="s">
        <v>1722</v>
      </c>
    </row>
    <row r="392" spans="1:21" s="74" customFormat="1" ht="16.5" thickBot="1">
      <c r="A392" s="50" t="s">
        <v>35</v>
      </c>
      <c r="B392" s="51">
        <f t="shared" si="21"/>
        <v>75</v>
      </c>
      <c r="C392" s="51" t="s">
        <v>3</v>
      </c>
      <c r="D392" s="51">
        <f t="shared" si="22"/>
        <v>400</v>
      </c>
      <c r="E392" s="51" t="s">
        <v>3</v>
      </c>
      <c r="F392" s="110">
        <f t="shared" si="23"/>
        <v>1950</v>
      </c>
      <c r="G392" s="51" t="s">
        <v>3</v>
      </c>
      <c r="H392" s="48">
        <v>6</v>
      </c>
      <c r="I392" s="49" t="s">
        <v>45</v>
      </c>
      <c r="J392" s="112">
        <v>75</v>
      </c>
      <c r="K392" s="113">
        <v>400</v>
      </c>
      <c r="L392" s="113">
        <v>1950</v>
      </c>
      <c r="M392" s="185">
        <v>25.939656601413425</v>
      </c>
      <c r="N392" s="75">
        <v>1219.8912</v>
      </c>
      <c r="O392" s="121">
        <v>41689.611882094061</v>
      </c>
      <c r="P392" s="121">
        <v>48085.718956536162</v>
      </c>
      <c r="Q392" s="120">
        <v>28672.678220671129</v>
      </c>
      <c r="R392" s="314">
        <v>70362.290102765197</v>
      </c>
      <c r="S392" s="315">
        <v>76758.397177207284</v>
      </c>
      <c r="U392" s="7" t="s">
        <v>1723</v>
      </c>
    </row>
    <row r="393" spans="1:21" s="74" customFormat="1" ht="16.5" thickBot="1">
      <c r="A393" s="50" t="s">
        <v>35</v>
      </c>
      <c r="B393" s="51">
        <f t="shared" si="21"/>
        <v>75</v>
      </c>
      <c r="C393" s="51" t="s">
        <v>3</v>
      </c>
      <c r="D393" s="51">
        <f t="shared" si="22"/>
        <v>400</v>
      </c>
      <c r="E393" s="51" t="s">
        <v>3</v>
      </c>
      <c r="F393" s="110">
        <f t="shared" si="23"/>
        <v>2000</v>
      </c>
      <c r="G393" s="51" t="s">
        <v>3</v>
      </c>
      <c r="H393" s="48">
        <v>6</v>
      </c>
      <c r="I393" s="49" t="s">
        <v>45</v>
      </c>
      <c r="J393" s="112">
        <v>75</v>
      </c>
      <c r="K393" s="113">
        <v>400</v>
      </c>
      <c r="L393" s="113">
        <v>2000</v>
      </c>
      <c r="M393" s="185">
        <v>26.675112348790265</v>
      </c>
      <c r="N393" s="75">
        <v>1258.0128</v>
      </c>
      <c r="O393" s="121">
        <v>42821.66126560355</v>
      </c>
      <c r="P393" s="121">
        <v>49437.216222215859</v>
      </c>
      <c r="Q393" s="120">
        <v>29505.651695454384</v>
      </c>
      <c r="R393" s="314">
        <v>72327.312961057934</v>
      </c>
      <c r="S393" s="315">
        <v>78942.867917670243</v>
      </c>
      <c r="U393" s="7" t="s">
        <v>1724</v>
      </c>
    </row>
    <row r="394" spans="1:21" s="74" customFormat="1" ht="16.5" thickBot="1">
      <c r="A394" s="50" t="s">
        <v>35</v>
      </c>
      <c r="B394" s="51">
        <f t="shared" si="21"/>
        <v>75</v>
      </c>
      <c r="C394" s="51" t="s">
        <v>3</v>
      </c>
      <c r="D394" s="51">
        <f t="shared" si="22"/>
        <v>400</v>
      </c>
      <c r="E394" s="51" t="s">
        <v>3</v>
      </c>
      <c r="F394" s="110">
        <f t="shared" si="23"/>
        <v>2050</v>
      </c>
      <c r="G394" s="51" t="s">
        <v>3</v>
      </c>
      <c r="H394" s="48">
        <v>6</v>
      </c>
      <c r="I394" s="49" t="s">
        <v>45</v>
      </c>
      <c r="J394" s="112">
        <v>75</v>
      </c>
      <c r="K394" s="113">
        <v>400</v>
      </c>
      <c r="L394" s="113">
        <v>2050</v>
      </c>
      <c r="M394" s="185">
        <v>27.301965696167102</v>
      </c>
      <c r="N394" s="75">
        <v>1296.1344000000001</v>
      </c>
      <c r="O394" s="121">
        <v>43723.167760291166</v>
      </c>
      <c r="P394" s="121">
        <v>50487.402797625051</v>
      </c>
      <c r="Q394" s="120">
        <v>30108.043532847722</v>
      </c>
      <c r="R394" s="314">
        <v>73831.211293138884</v>
      </c>
      <c r="S394" s="315">
        <v>80595.446330472769</v>
      </c>
      <c r="U394" s="7" t="s">
        <v>1725</v>
      </c>
    </row>
    <row r="395" spans="1:21" s="74" customFormat="1" ht="16.5" thickBot="1">
      <c r="A395" s="47" t="s">
        <v>35</v>
      </c>
      <c r="B395" s="48">
        <f t="shared" si="21"/>
        <v>75</v>
      </c>
      <c r="C395" s="48" t="s">
        <v>3</v>
      </c>
      <c r="D395" s="48">
        <f t="shared" si="22"/>
        <v>400</v>
      </c>
      <c r="E395" s="48" t="s">
        <v>3</v>
      </c>
      <c r="F395" s="110">
        <f t="shared" si="23"/>
        <v>2100</v>
      </c>
      <c r="G395" s="48" t="s">
        <v>3</v>
      </c>
      <c r="H395" s="48">
        <v>6</v>
      </c>
      <c r="I395" s="49" t="s">
        <v>45</v>
      </c>
      <c r="J395" s="112">
        <v>75</v>
      </c>
      <c r="K395" s="113">
        <v>400</v>
      </c>
      <c r="L395" s="113">
        <v>2100</v>
      </c>
      <c r="M395" s="185">
        <v>27.945859043543944</v>
      </c>
      <c r="N395" s="75">
        <v>1334.2560000000001</v>
      </c>
      <c r="O395" s="121">
        <v>44624.674114585439</v>
      </c>
      <c r="P395" s="121">
        <v>51537.589373034236</v>
      </c>
      <c r="Q395" s="120">
        <v>30941.01700763097</v>
      </c>
      <c r="R395" s="314">
        <v>75565.691122216405</v>
      </c>
      <c r="S395" s="315">
        <v>82478.606380665209</v>
      </c>
      <c r="U395" s="7" t="s">
        <v>1726</v>
      </c>
    </row>
    <row r="396" spans="1:21" s="74" customFormat="1" ht="16.5" thickBot="1">
      <c r="A396" s="50" t="s">
        <v>35</v>
      </c>
      <c r="B396" s="51">
        <f t="shared" si="21"/>
        <v>75</v>
      </c>
      <c r="C396" s="51" t="s">
        <v>3</v>
      </c>
      <c r="D396" s="51">
        <f t="shared" si="22"/>
        <v>400</v>
      </c>
      <c r="E396" s="51" t="s">
        <v>3</v>
      </c>
      <c r="F396" s="110">
        <f t="shared" si="23"/>
        <v>2150</v>
      </c>
      <c r="G396" s="51" t="s">
        <v>3</v>
      </c>
      <c r="H396" s="48">
        <v>6</v>
      </c>
      <c r="I396" s="49" t="s">
        <v>45</v>
      </c>
      <c r="J396" s="112">
        <v>75</v>
      </c>
      <c r="K396" s="113">
        <v>400</v>
      </c>
      <c r="L396" s="113">
        <v>2150</v>
      </c>
      <c r="M396" s="185">
        <v>28.572712390920792</v>
      </c>
      <c r="N396" s="75">
        <v>1372.3775999999998</v>
      </c>
      <c r="O396" s="121">
        <v>45526.180468879698</v>
      </c>
      <c r="P396" s="121">
        <v>52587.776088836792</v>
      </c>
      <c r="Q396" s="120">
        <v>31543.408845024307</v>
      </c>
      <c r="R396" s="314">
        <v>77069.589313903998</v>
      </c>
      <c r="S396" s="315">
        <v>84131.184933861106</v>
      </c>
      <c r="U396" s="7" t="s">
        <v>1727</v>
      </c>
    </row>
    <row r="397" spans="1:21" s="74" customFormat="1" ht="16.5" thickBot="1">
      <c r="A397" s="50" t="s">
        <v>35</v>
      </c>
      <c r="B397" s="51">
        <f t="shared" si="21"/>
        <v>75</v>
      </c>
      <c r="C397" s="51" t="s">
        <v>3</v>
      </c>
      <c r="D397" s="51">
        <f t="shared" si="22"/>
        <v>400</v>
      </c>
      <c r="E397" s="51" t="s">
        <v>3</v>
      </c>
      <c r="F397" s="110">
        <f t="shared" si="23"/>
        <v>2200</v>
      </c>
      <c r="G397" s="51" t="s">
        <v>3</v>
      </c>
      <c r="H397" s="48">
        <v>6</v>
      </c>
      <c r="I397" s="49" t="s">
        <v>45</v>
      </c>
      <c r="J397" s="112">
        <v>75</v>
      </c>
      <c r="K397" s="113">
        <v>400</v>
      </c>
      <c r="L397" s="113">
        <v>2200</v>
      </c>
      <c r="M397" s="185">
        <v>29.216605738297631</v>
      </c>
      <c r="N397" s="75">
        <v>1410.4992</v>
      </c>
      <c r="O397" s="121">
        <v>46427.686823173957</v>
      </c>
      <c r="P397" s="121">
        <v>53637.962664245977</v>
      </c>
      <c r="Q397" s="120">
        <v>32376.382319807555</v>
      </c>
      <c r="R397" s="314">
        <v>78804.06914298152</v>
      </c>
      <c r="S397" s="315">
        <v>86014.344984053532</v>
      </c>
      <c r="U397" s="7" t="s">
        <v>1728</v>
      </c>
    </row>
    <row r="398" spans="1:21" s="74" customFormat="1" ht="16.5" thickBot="1">
      <c r="A398" s="50" t="s">
        <v>35</v>
      </c>
      <c r="B398" s="51">
        <f t="shared" si="21"/>
        <v>75</v>
      </c>
      <c r="C398" s="51" t="s">
        <v>3</v>
      </c>
      <c r="D398" s="51">
        <f t="shared" si="22"/>
        <v>400</v>
      </c>
      <c r="E398" s="51" t="s">
        <v>3</v>
      </c>
      <c r="F398" s="110">
        <f t="shared" si="23"/>
        <v>2250</v>
      </c>
      <c r="G398" s="51" t="s">
        <v>3</v>
      </c>
      <c r="H398" s="48">
        <v>6</v>
      </c>
      <c r="I398" s="49" t="s">
        <v>45</v>
      </c>
      <c r="J398" s="112">
        <v>75</v>
      </c>
      <c r="K398" s="113">
        <v>400</v>
      </c>
      <c r="L398" s="113">
        <v>2250</v>
      </c>
      <c r="M398" s="185">
        <v>29.843459085674468</v>
      </c>
      <c r="N398" s="75">
        <v>1448.6207999999999</v>
      </c>
      <c r="O398" s="121">
        <v>47329.19331786158</v>
      </c>
      <c r="P398" s="121">
        <v>54688.149380048526</v>
      </c>
      <c r="Q398" s="120">
        <v>32978.774157200758</v>
      </c>
      <c r="R398" s="314">
        <v>80307.967475062338</v>
      </c>
      <c r="S398" s="315">
        <v>87666.923537249284</v>
      </c>
      <c r="U398" s="7" t="s">
        <v>1729</v>
      </c>
    </row>
    <row r="399" spans="1:21" s="74" customFormat="1" ht="16.5" thickBot="1">
      <c r="A399" s="50" t="s">
        <v>35</v>
      </c>
      <c r="B399" s="51">
        <f t="shared" si="21"/>
        <v>75</v>
      </c>
      <c r="C399" s="51" t="s">
        <v>3</v>
      </c>
      <c r="D399" s="51">
        <f t="shared" si="22"/>
        <v>400</v>
      </c>
      <c r="E399" s="51" t="s">
        <v>3</v>
      </c>
      <c r="F399" s="110">
        <f t="shared" si="23"/>
        <v>2300</v>
      </c>
      <c r="G399" s="51" t="s">
        <v>3</v>
      </c>
      <c r="H399" s="48">
        <v>6</v>
      </c>
      <c r="I399" s="49" t="s">
        <v>45</v>
      </c>
      <c r="J399" s="112">
        <v>75</v>
      </c>
      <c r="K399" s="113">
        <v>400</v>
      </c>
      <c r="L399" s="113">
        <v>2300</v>
      </c>
      <c r="M399" s="185">
        <v>30.470312433051312</v>
      </c>
      <c r="N399" s="75">
        <v>1486.7423999999999</v>
      </c>
      <c r="O399" s="121">
        <v>48230.699672155853</v>
      </c>
      <c r="P399" s="121">
        <v>55738.335955457711</v>
      </c>
      <c r="Q399" s="120">
        <v>33581.165854200874</v>
      </c>
      <c r="R399" s="314">
        <v>81811.865526356734</v>
      </c>
      <c r="S399" s="315">
        <v>89319.501809658585</v>
      </c>
      <c r="U399" s="7" t="s">
        <v>1730</v>
      </c>
    </row>
    <row r="400" spans="1:21" s="74" customFormat="1" ht="16.5" thickBot="1">
      <c r="A400" s="50" t="s">
        <v>35</v>
      </c>
      <c r="B400" s="51">
        <f t="shared" si="21"/>
        <v>75</v>
      </c>
      <c r="C400" s="51" t="s">
        <v>3</v>
      </c>
      <c r="D400" s="51">
        <f t="shared" si="22"/>
        <v>400</v>
      </c>
      <c r="E400" s="51" t="s">
        <v>3</v>
      </c>
      <c r="F400" s="110">
        <f t="shared" si="23"/>
        <v>2350</v>
      </c>
      <c r="G400" s="51" t="s">
        <v>3</v>
      </c>
      <c r="H400" s="48">
        <v>6</v>
      </c>
      <c r="I400" s="49" t="s">
        <v>45</v>
      </c>
      <c r="J400" s="112">
        <v>75</v>
      </c>
      <c r="K400" s="113">
        <v>400</v>
      </c>
      <c r="L400" s="113">
        <v>2350</v>
      </c>
      <c r="M400" s="185">
        <v>31.114205780428158</v>
      </c>
      <c r="N400" s="75">
        <v>1524.864</v>
      </c>
      <c r="O400" s="121">
        <v>49132.206026450105</v>
      </c>
      <c r="P400" s="121">
        <v>56788.522671260267</v>
      </c>
      <c r="Q400" s="120">
        <v>34414.139469377486</v>
      </c>
      <c r="R400" s="314">
        <v>83546.345495827583</v>
      </c>
      <c r="S400" s="315">
        <v>91202.662140637753</v>
      </c>
      <c r="U400" s="7" t="s">
        <v>1731</v>
      </c>
    </row>
    <row r="401" spans="1:21" s="74" customFormat="1" ht="16.5" thickBot="1">
      <c r="A401" s="50" t="s">
        <v>35</v>
      </c>
      <c r="B401" s="51">
        <f t="shared" si="21"/>
        <v>75</v>
      </c>
      <c r="C401" s="51" t="s">
        <v>3</v>
      </c>
      <c r="D401" s="51">
        <f t="shared" si="22"/>
        <v>400</v>
      </c>
      <c r="E401" s="51" t="s">
        <v>3</v>
      </c>
      <c r="F401" s="110">
        <f t="shared" si="23"/>
        <v>2400</v>
      </c>
      <c r="G401" s="51" t="s">
        <v>3</v>
      </c>
      <c r="H401" s="48">
        <v>6</v>
      </c>
      <c r="I401" s="49" t="s">
        <v>45</v>
      </c>
      <c r="J401" s="112">
        <v>75</v>
      </c>
      <c r="K401" s="113">
        <v>400</v>
      </c>
      <c r="L401" s="113">
        <v>2400</v>
      </c>
      <c r="M401" s="185">
        <v>31.741059127804998</v>
      </c>
      <c r="N401" s="75">
        <v>1562.9856</v>
      </c>
      <c r="O401" s="121">
        <v>50033.712521137735</v>
      </c>
      <c r="P401" s="121">
        <v>57838.709246669445</v>
      </c>
      <c r="Q401" s="120">
        <v>35016.531306770819</v>
      </c>
      <c r="R401" s="314">
        <v>85050.243827908562</v>
      </c>
      <c r="S401" s="315">
        <v>92855.240553440264</v>
      </c>
      <c r="U401" s="7" t="s">
        <v>1732</v>
      </c>
    </row>
    <row r="402" spans="1:21" s="74" customFormat="1" ht="16.5" thickBot="1">
      <c r="A402" s="50" t="s">
        <v>35</v>
      </c>
      <c r="B402" s="51">
        <f t="shared" si="21"/>
        <v>75</v>
      </c>
      <c r="C402" s="51" t="s">
        <v>3</v>
      </c>
      <c r="D402" s="51">
        <f t="shared" si="22"/>
        <v>400</v>
      </c>
      <c r="E402" s="51" t="s">
        <v>3</v>
      </c>
      <c r="F402" s="110">
        <f t="shared" si="23"/>
        <v>2450</v>
      </c>
      <c r="G402" s="51" t="s">
        <v>3</v>
      </c>
      <c r="H402" s="48">
        <v>6</v>
      </c>
      <c r="I402" s="49" t="s">
        <v>45</v>
      </c>
      <c r="J402" s="112">
        <v>75</v>
      </c>
      <c r="K402" s="113">
        <v>400</v>
      </c>
      <c r="L402" s="113">
        <v>2450</v>
      </c>
      <c r="M402" s="185">
        <v>32.582851018541845</v>
      </c>
      <c r="N402" s="75">
        <v>1601.1072000000001</v>
      </c>
      <c r="O402" s="121">
        <v>51745.783744446533</v>
      </c>
      <c r="P402" s="121">
        <v>59630.362587904739</v>
      </c>
      <c r="Q402" s="120">
        <v>35849.504781554067</v>
      </c>
      <c r="R402" s="314">
        <v>87595.288526000601</v>
      </c>
      <c r="S402" s="315">
        <v>95479.867369458807</v>
      </c>
      <c r="U402" s="7" t="s">
        <v>1733</v>
      </c>
    </row>
    <row r="403" spans="1:21" s="74" customFormat="1" ht="16.5" thickBot="1">
      <c r="A403" s="50" t="s">
        <v>35</v>
      </c>
      <c r="B403" s="51">
        <f t="shared" si="21"/>
        <v>75</v>
      </c>
      <c r="C403" s="51" t="s">
        <v>3</v>
      </c>
      <c r="D403" s="51">
        <f t="shared" si="22"/>
        <v>400</v>
      </c>
      <c r="E403" s="51" t="s">
        <v>3</v>
      </c>
      <c r="F403" s="110">
        <f t="shared" si="23"/>
        <v>2500</v>
      </c>
      <c r="G403" s="51" t="s">
        <v>3</v>
      </c>
      <c r="H403" s="48">
        <v>6</v>
      </c>
      <c r="I403" s="49" t="s">
        <v>45</v>
      </c>
      <c r="J403" s="112">
        <v>75</v>
      </c>
      <c r="K403" s="113">
        <v>400</v>
      </c>
      <c r="L403" s="113">
        <v>2500</v>
      </c>
      <c r="M403" s="185">
        <v>33.209704365918682</v>
      </c>
      <c r="N403" s="75">
        <v>1639.2287999999999</v>
      </c>
      <c r="O403" s="121">
        <v>52647.290098740799</v>
      </c>
      <c r="P403" s="121">
        <v>60680.549303707288</v>
      </c>
      <c r="Q403" s="120">
        <v>36451.896618947409</v>
      </c>
      <c r="R403" s="314">
        <v>89099.186717688208</v>
      </c>
      <c r="S403" s="315">
        <v>97132.445922654704</v>
      </c>
      <c r="U403" s="7" t="s">
        <v>1734</v>
      </c>
    </row>
    <row r="404" spans="1:21" s="74" customFormat="1" ht="16.5" thickBot="1">
      <c r="A404" s="50" t="s">
        <v>35</v>
      </c>
      <c r="B404" s="51">
        <f t="shared" si="21"/>
        <v>75</v>
      </c>
      <c r="C404" s="51" t="s">
        <v>3</v>
      </c>
      <c r="D404" s="51">
        <f t="shared" si="22"/>
        <v>400</v>
      </c>
      <c r="E404" s="51" t="s">
        <v>3</v>
      </c>
      <c r="F404" s="110">
        <f t="shared" si="23"/>
        <v>2550</v>
      </c>
      <c r="G404" s="51" t="s">
        <v>3</v>
      </c>
      <c r="H404" s="48">
        <v>6</v>
      </c>
      <c r="I404" s="49" t="s">
        <v>45</v>
      </c>
      <c r="J404" s="112">
        <v>75</v>
      </c>
      <c r="K404" s="113">
        <v>400</v>
      </c>
      <c r="L404" s="113">
        <v>2550</v>
      </c>
      <c r="M404" s="185">
        <v>33.853597713295528</v>
      </c>
      <c r="N404" s="75">
        <v>1677.3503999999998</v>
      </c>
      <c r="O404" s="121">
        <v>53548.796593428429</v>
      </c>
      <c r="P404" s="121">
        <v>61730.735879116473</v>
      </c>
      <c r="Q404" s="120">
        <v>37284.870093730657</v>
      </c>
      <c r="R404" s="314">
        <v>90833.666687159086</v>
      </c>
      <c r="S404" s="315">
        <v>99015.60597284713</v>
      </c>
      <c r="U404" s="7" t="s">
        <v>1735</v>
      </c>
    </row>
    <row r="405" spans="1:21" s="74" customFormat="1" ht="16.5" thickBot="1">
      <c r="A405" s="47" t="s">
        <v>35</v>
      </c>
      <c r="B405" s="48">
        <f t="shared" si="21"/>
        <v>75</v>
      </c>
      <c r="C405" s="48" t="s">
        <v>3</v>
      </c>
      <c r="D405" s="48">
        <f t="shared" si="22"/>
        <v>400</v>
      </c>
      <c r="E405" s="48" t="s">
        <v>3</v>
      </c>
      <c r="F405" s="110">
        <f t="shared" si="23"/>
        <v>2600</v>
      </c>
      <c r="G405" s="48" t="s">
        <v>3</v>
      </c>
      <c r="H405" s="48">
        <v>6</v>
      </c>
      <c r="I405" s="49" t="s">
        <v>45</v>
      </c>
      <c r="J405" s="112">
        <v>75</v>
      </c>
      <c r="K405" s="113">
        <v>400</v>
      </c>
      <c r="L405" s="113">
        <v>2600</v>
      </c>
      <c r="M405" s="185">
        <v>34.480451060672365</v>
      </c>
      <c r="N405" s="75">
        <v>1715.472</v>
      </c>
      <c r="O405" s="121">
        <v>54450.302947722681</v>
      </c>
      <c r="P405" s="121">
        <v>62780.92259491903</v>
      </c>
      <c r="Q405" s="120">
        <v>37887.261931123991</v>
      </c>
      <c r="R405" s="314">
        <v>92337.564878846664</v>
      </c>
      <c r="S405" s="315">
        <v>100668.18452604301</v>
      </c>
      <c r="U405" s="7" t="s">
        <v>1736</v>
      </c>
    </row>
    <row r="406" spans="1:21" s="74" customFormat="1" ht="16.5" thickBot="1">
      <c r="A406" s="50" t="s">
        <v>35</v>
      </c>
      <c r="B406" s="51">
        <f t="shared" si="21"/>
        <v>75</v>
      </c>
      <c r="C406" s="51" t="s">
        <v>3</v>
      </c>
      <c r="D406" s="51">
        <f t="shared" si="22"/>
        <v>400</v>
      </c>
      <c r="E406" s="51" t="s">
        <v>3</v>
      </c>
      <c r="F406" s="110">
        <f t="shared" si="23"/>
        <v>2650</v>
      </c>
      <c r="G406" s="51" t="s">
        <v>3</v>
      </c>
      <c r="H406" s="48">
        <v>6</v>
      </c>
      <c r="I406" s="49" t="s">
        <v>45</v>
      </c>
      <c r="J406" s="112">
        <v>75</v>
      </c>
      <c r="K406" s="113">
        <v>400</v>
      </c>
      <c r="L406" s="113">
        <v>2650</v>
      </c>
      <c r="M406" s="185">
        <v>35.124344408049218</v>
      </c>
      <c r="N406" s="75">
        <v>1753.5935999999999</v>
      </c>
      <c r="O406" s="121">
        <v>55351.809302016954</v>
      </c>
      <c r="P406" s="121">
        <v>63831.109170328215</v>
      </c>
      <c r="Q406" s="120">
        <v>38720.235405907246</v>
      </c>
      <c r="R406" s="314">
        <v>94072.0447079242</v>
      </c>
      <c r="S406" s="315">
        <v>102551.34457623545</v>
      </c>
      <c r="U406" s="7" t="s">
        <v>1737</v>
      </c>
    </row>
    <row r="407" spans="1:21" s="74" customFormat="1" ht="16.5" thickBot="1">
      <c r="A407" s="50" t="s">
        <v>35</v>
      </c>
      <c r="B407" s="51">
        <f t="shared" si="21"/>
        <v>75</v>
      </c>
      <c r="C407" s="51" t="s">
        <v>3</v>
      </c>
      <c r="D407" s="51">
        <f t="shared" si="22"/>
        <v>400</v>
      </c>
      <c r="E407" s="51" t="s">
        <v>3</v>
      </c>
      <c r="F407" s="110">
        <f t="shared" si="23"/>
        <v>2700</v>
      </c>
      <c r="G407" s="51" t="s">
        <v>3</v>
      </c>
      <c r="H407" s="48">
        <v>6</v>
      </c>
      <c r="I407" s="49" t="s">
        <v>45</v>
      </c>
      <c r="J407" s="112">
        <v>75</v>
      </c>
      <c r="K407" s="113">
        <v>400</v>
      </c>
      <c r="L407" s="113">
        <v>2700</v>
      </c>
      <c r="M407" s="185">
        <v>35.868947755426056</v>
      </c>
      <c r="N407" s="75">
        <v>1791.7151999999999</v>
      </c>
      <c r="O407" s="121">
        <v>56376.341938689875</v>
      </c>
      <c r="P407" s="121">
        <v>65000.572121403689</v>
      </c>
      <c r="Q407" s="120">
        <v>39322.627243300587</v>
      </c>
      <c r="R407" s="314">
        <v>95698.969181990455</v>
      </c>
      <c r="S407" s="315">
        <v>104323.19936470428</v>
      </c>
      <c r="U407" s="7" t="s">
        <v>1738</v>
      </c>
    </row>
    <row r="408" spans="1:21" s="74" customFormat="1" ht="16.5" thickBot="1">
      <c r="A408" s="50" t="s">
        <v>35</v>
      </c>
      <c r="B408" s="51">
        <f t="shared" si="21"/>
        <v>75</v>
      </c>
      <c r="C408" s="51" t="s">
        <v>3</v>
      </c>
      <c r="D408" s="51">
        <f t="shared" si="22"/>
        <v>400</v>
      </c>
      <c r="E408" s="51" t="s">
        <v>3</v>
      </c>
      <c r="F408" s="110">
        <f t="shared" si="23"/>
        <v>2750</v>
      </c>
      <c r="G408" s="51" t="s">
        <v>3</v>
      </c>
      <c r="H408" s="48">
        <v>6</v>
      </c>
      <c r="I408" s="49" t="s">
        <v>45</v>
      </c>
      <c r="J408" s="112">
        <v>75</v>
      </c>
      <c r="K408" s="113">
        <v>400</v>
      </c>
      <c r="L408" s="113">
        <v>2750</v>
      </c>
      <c r="M408" s="185">
        <v>36.495801102802901</v>
      </c>
      <c r="N408" s="75">
        <v>1829.8368</v>
      </c>
      <c r="O408" s="121">
        <v>57277.848292984134</v>
      </c>
      <c r="P408" s="121">
        <v>66050.758696812874</v>
      </c>
      <c r="Q408" s="120">
        <v>39925.018940300557</v>
      </c>
      <c r="R408" s="314">
        <v>97202.867233284691</v>
      </c>
      <c r="S408" s="315">
        <v>105975.77763711344</v>
      </c>
      <c r="U408" s="7" t="s">
        <v>1739</v>
      </c>
    </row>
    <row r="409" spans="1:21" s="74" customFormat="1" ht="16.5" thickBot="1">
      <c r="A409" s="50" t="s">
        <v>35</v>
      </c>
      <c r="B409" s="51">
        <f t="shared" si="21"/>
        <v>75</v>
      </c>
      <c r="C409" s="51" t="s">
        <v>3</v>
      </c>
      <c r="D409" s="51">
        <f t="shared" si="22"/>
        <v>400</v>
      </c>
      <c r="E409" s="51" t="s">
        <v>3</v>
      </c>
      <c r="F409" s="110">
        <f t="shared" si="23"/>
        <v>2800</v>
      </c>
      <c r="G409" s="51" t="s">
        <v>3</v>
      </c>
      <c r="H409" s="48">
        <v>6</v>
      </c>
      <c r="I409" s="49" t="s">
        <v>45</v>
      </c>
      <c r="J409" s="112">
        <v>75</v>
      </c>
      <c r="K409" s="113">
        <v>400</v>
      </c>
      <c r="L409" s="113">
        <v>2800</v>
      </c>
      <c r="M409" s="185">
        <v>37.139694450179739</v>
      </c>
      <c r="N409" s="75">
        <v>1867.9584</v>
      </c>
      <c r="O409" s="121">
        <v>58179.3546472784</v>
      </c>
      <c r="P409" s="121">
        <v>67100.945412615431</v>
      </c>
      <c r="Q409" s="120">
        <v>40757.992555477169</v>
      </c>
      <c r="R409" s="314">
        <v>98937.347202755569</v>
      </c>
      <c r="S409" s="315">
        <v>107858.93796809259</v>
      </c>
      <c r="U409" s="7" t="s">
        <v>1740</v>
      </c>
    </row>
    <row r="410" spans="1:21" s="74" customFormat="1" ht="16.5" thickBot="1">
      <c r="A410" s="50" t="s">
        <v>35</v>
      </c>
      <c r="B410" s="51">
        <f t="shared" si="21"/>
        <v>75</v>
      </c>
      <c r="C410" s="51" t="s">
        <v>3</v>
      </c>
      <c r="D410" s="51">
        <f t="shared" si="22"/>
        <v>400</v>
      </c>
      <c r="E410" s="51" t="s">
        <v>3</v>
      </c>
      <c r="F410" s="110">
        <f t="shared" si="23"/>
        <v>2850</v>
      </c>
      <c r="G410" s="51" t="s">
        <v>3</v>
      </c>
      <c r="H410" s="48">
        <v>6</v>
      </c>
      <c r="I410" s="49" t="s">
        <v>45</v>
      </c>
      <c r="J410" s="112">
        <v>75</v>
      </c>
      <c r="K410" s="113">
        <v>400</v>
      </c>
      <c r="L410" s="113">
        <v>2850</v>
      </c>
      <c r="M410" s="185">
        <v>37.766547797556584</v>
      </c>
      <c r="N410" s="75">
        <v>1906.08</v>
      </c>
      <c r="O410" s="121">
        <v>59080.86114196603</v>
      </c>
      <c r="P410" s="121">
        <v>68151.131988024616</v>
      </c>
      <c r="Q410" s="120">
        <v>41360.384252477146</v>
      </c>
      <c r="R410" s="314">
        <v>100441.24539444318</v>
      </c>
      <c r="S410" s="315">
        <v>109511.51624050176</v>
      </c>
      <c r="U410" s="7" t="s">
        <v>1741</v>
      </c>
    </row>
    <row r="411" spans="1:21" s="74" customFormat="1" ht="16.5" thickBot="1">
      <c r="A411" s="50" t="s">
        <v>35</v>
      </c>
      <c r="B411" s="51">
        <f t="shared" si="21"/>
        <v>75</v>
      </c>
      <c r="C411" s="51" t="s">
        <v>3</v>
      </c>
      <c r="D411" s="51">
        <f t="shared" si="22"/>
        <v>400</v>
      </c>
      <c r="E411" s="51" t="s">
        <v>3</v>
      </c>
      <c r="F411" s="110">
        <f t="shared" si="23"/>
        <v>2900</v>
      </c>
      <c r="G411" s="51" t="s">
        <v>3</v>
      </c>
      <c r="H411" s="48">
        <v>6</v>
      </c>
      <c r="I411" s="49" t="s">
        <v>45</v>
      </c>
      <c r="J411" s="112">
        <v>75</v>
      </c>
      <c r="K411" s="113">
        <v>400</v>
      </c>
      <c r="L411" s="113">
        <v>2900</v>
      </c>
      <c r="M411" s="185">
        <v>38.410441144933422</v>
      </c>
      <c r="N411" s="75">
        <v>1944.2015999999999</v>
      </c>
      <c r="O411" s="121">
        <v>59982.367496260289</v>
      </c>
      <c r="P411" s="121">
        <v>69201.318703827157</v>
      </c>
      <c r="Q411" s="120">
        <v>42193.357867653758</v>
      </c>
      <c r="R411" s="314">
        <v>102175.72536391404</v>
      </c>
      <c r="S411" s="315">
        <v>111394.67657148092</v>
      </c>
      <c r="U411" s="7" t="s">
        <v>1742</v>
      </c>
    </row>
    <row r="412" spans="1:21" s="74" customFormat="1" ht="16.5" thickBot="1">
      <c r="A412" s="50" t="s">
        <v>35</v>
      </c>
      <c r="B412" s="51">
        <f t="shared" si="21"/>
        <v>75</v>
      </c>
      <c r="C412" s="51" t="s">
        <v>3</v>
      </c>
      <c r="D412" s="51">
        <f t="shared" si="22"/>
        <v>400</v>
      </c>
      <c r="E412" s="51" t="s">
        <v>3</v>
      </c>
      <c r="F412" s="110">
        <f t="shared" si="23"/>
        <v>2950</v>
      </c>
      <c r="G412" s="51" t="s">
        <v>3</v>
      </c>
      <c r="H412" s="48">
        <v>6</v>
      </c>
      <c r="I412" s="49" t="s">
        <v>45</v>
      </c>
      <c r="J412" s="112">
        <v>75</v>
      </c>
      <c r="K412" s="113">
        <v>400</v>
      </c>
      <c r="L412" s="113">
        <v>2950</v>
      </c>
      <c r="M412" s="185">
        <v>39.037294492310266</v>
      </c>
      <c r="N412" s="75">
        <v>1982.3231999999998</v>
      </c>
      <c r="O412" s="121">
        <v>60883.873850554555</v>
      </c>
      <c r="P412" s="121">
        <v>70251.505279236357</v>
      </c>
      <c r="Q412" s="120">
        <v>42795.749564653735</v>
      </c>
      <c r="R412" s="314">
        <v>103679.62341520829</v>
      </c>
      <c r="S412" s="315">
        <v>113047.25484389008</v>
      </c>
      <c r="U412" s="7" t="s">
        <v>1743</v>
      </c>
    </row>
    <row r="413" spans="1:21" s="74" customFormat="1" ht="16.5" thickBot="1">
      <c r="A413" s="50" t="s">
        <v>35</v>
      </c>
      <c r="B413" s="51">
        <f t="shared" si="21"/>
        <v>75</v>
      </c>
      <c r="C413" s="51" t="s">
        <v>3</v>
      </c>
      <c r="D413" s="51">
        <f t="shared" si="22"/>
        <v>400</v>
      </c>
      <c r="E413" s="51" t="s">
        <v>3</v>
      </c>
      <c r="F413" s="110">
        <f t="shared" si="23"/>
        <v>3000</v>
      </c>
      <c r="G413" s="51" t="s">
        <v>3</v>
      </c>
      <c r="H413" s="48">
        <v>6</v>
      </c>
      <c r="I413" s="49" t="s">
        <v>45</v>
      </c>
      <c r="J413" s="146">
        <v>75</v>
      </c>
      <c r="K413" s="157">
        <v>400</v>
      </c>
      <c r="L413" s="157">
        <v>3000</v>
      </c>
      <c r="M413" s="187">
        <v>39.681187839687098</v>
      </c>
      <c r="N413" s="147">
        <v>2020.4447999999998</v>
      </c>
      <c r="O413" s="158">
        <v>61785.380345242178</v>
      </c>
      <c r="P413" s="158">
        <v>71301.691995038898</v>
      </c>
      <c r="Q413" s="159">
        <v>43628.723179830347</v>
      </c>
      <c r="R413" s="316">
        <v>105414.10352507253</v>
      </c>
      <c r="S413" s="317">
        <v>114930.41517486924</v>
      </c>
      <c r="U413" s="7" t="s">
        <v>1744</v>
      </c>
    </row>
  </sheetData>
  <mergeCells count="24">
    <mergeCell ref="A110:S110"/>
    <mergeCell ref="A111:S111"/>
    <mergeCell ref="A161:S161"/>
    <mergeCell ref="A162:S162"/>
    <mergeCell ref="A7:S7"/>
    <mergeCell ref="A8:S8"/>
    <mergeCell ref="A9:S9"/>
    <mergeCell ref="A59:S59"/>
    <mergeCell ref="A60:S60"/>
    <mergeCell ref="A364:S364"/>
    <mergeCell ref="A212:S212"/>
    <mergeCell ref="A262:S262"/>
    <mergeCell ref="A263:S263"/>
    <mergeCell ref="A313:S313"/>
    <mergeCell ref="A314:S314"/>
    <mergeCell ref="Q4:Q5"/>
    <mergeCell ref="R4:R5"/>
    <mergeCell ref="S4:S5"/>
    <mergeCell ref="O6:S6"/>
    <mergeCell ref="A4:I6"/>
    <mergeCell ref="J4:M5"/>
    <mergeCell ref="N4:N6"/>
    <mergeCell ref="O4:O5"/>
    <mergeCell ref="P4:P5"/>
  </mergeCells>
  <hyperlinks>
    <hyperlink ref="A1:I1" location="Главная!A1" display="Вернуться на главную страницу" xr:uid="{00000000-0004-0000-1200-000000000000}"/>
    <hyperlink ref="A2" location="'Калькулятор теплоотдач ВК'!R1C1" display="Вернуться Калькулятор теплоотдач ВК" xr:uid="{00000000-0004-0000-1200-000001000000}"/>
  </hyperlink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Лист21">
    <tabColor rgb="FFFFC000"/>
  </sheetPr>
  <dimension ref="A1:U413"/>
  <sheetViews>
    <sheetView zoomScale="70" zoomScaleNormal="70" workbookViewId="0">
      <pane ySplit="6" topLeftCell="A7" activePane="bottomLeft" state="frozen"/>
      <selection pane="bottomLeft" activeCell="U2" sqref="U2"/>
    </sheetView>
  </sheetViews>
  <sheetFormatPr defaultRowHeight="15"/>
  <cols>
    <col min="1" max="1" width="3.7109375" style="74" customWidth="1"/>
    <col min="2" max="2" width="6" style="74" customWidth="1"/>
    <col min="3" max="3" width="3" style="74" customWidth="1"/>
    <col min="4" max="4" width="6" style="74" customWidth="1"/>
    <col min="5" max="5" width="3" style="74" customWidth="1"/>
    <col min="6" max="6" width="7.7109375" style="74" customWidth="1"/>
    <col min="7" max="7" width="3" style="74" customWidth="1"/>
    <col min="8" max="8" width="6" style="74" customWidth="1"/>
    <col min="9" max="9" width="4.5703125" style="74" customWidth="1"/>
    <col min="10" max="12" width="11.28515625" style="74" customWidth="1"/>
    <col min="13" max="13" width="15.5703125" style="74" customWidth="1"/>
    <col min="14" max="14" width="19.140625" style="74" customWidth="1"/>
    <col min="15" max="16" width="27.7109375" style="74" customWidth="1"/>
    <col min="17" max="17" width="26.28515625" style="74" customWidth="1"/>
    <col min="18" max="19" width="27.7109375" style="74" customWidth="1"/>
    <col min="21" max="21" width="22.42578125" customWidth="1"/>
  </cols>
  <sheetData>
    <row r="1" spans="1:21" s="74" customFormat="1" ht="16.5" customHeight="1">
      <c r="A1" s="1217" t="s">
        <v>9</v>
      </c>
      <c r="B1" s="1217"/>
      <c r="C1" s="1217"/>
      <c r="D1" s="1217"/>
      <c r="E1" s="1217"/>
      <c r="F1" s="97"/>
      <c r="G1" s="1217"/>
      <c r="H1" s="1217"/>
      <c r="I1" s="1217"/>
      <c r="J1" s="7"/>
      <c r="K1" s="96"/>
      <c r="L1" s="96"/>
      <c r="M1" s="175"/>
      <c r="N1" s="7"/>
      <c r="O1" s="117"/>
      <c r="P1" s="117"/>
      <c r="Q1" s="117"/>
      <c r="R1" s="117"/>
      <c r="S1" s="117"/>
    </row>
    <row r="2" spans="1:21" s="74" customFormat="1" ht="16.5" customHeight="1">
      <c r="A2" s="956" t="s">
        <v>378</v>
      </c>
      <c r="B2" s="1217"/>
      <c r="C2" s="1217"/>
      <c r="D2" s="1217"/>
      <c r="E2" s="1217"/>
      <c r="F2" s="97"/>
      <c r="G2" s="1217"/>
      <c r="H2" s="1217"/>
      <c r="I2" s="1217"/>
      <c r="J2" s="7"/>
      <c r="K2" s="96"/>
      <c r="L2" s="96"/>
      <c r="M2" s="175"/>
      <c r="N2" s="7"/>
      <c r="O2" s="117"/>
      <c r="P2" s="117"/>
      <c r="Q2" s="117"/>
      <c r="R2" s="117"/>
      <c r="S2" s="117"/>
    </row>
    <row r="3" spans="1:21" s="74" customFormat="1" ht="13.5" customHeight="1" thickBot="1">
      <c r="A3" s="16"/>
      <c r="B3" s="16"/>
      <c r="C3" s="16"/>
      <c r="D3" s="16"/>
      <c r="E3" s="16"/>
      <c r="F3" s="109"/>
      <c r="G3" s="16"/>
      <c r="H3" s="16"/>
      <c r="I3" s="16"/>
      <c r="J3" s="16"/>
      <c r="K3" s="108"/>
      <c r="L3" s="108"/>
      <c r="M3" s="175"/>
      <c r="N3" s="7"/>
      <c r="O3" s="116"/>
      <c r="P3" s="116"/>
      <c r="Q3" s="117"/>
      <c r="R3" s="117"/>
      <c r="S3" s="117"/>
    </row>
    <row r="4" spans="1:21" s="74" customFormat="1" ht="69" customHeight="1">
      <c r="A4" s="2643" t="s">
        <v>8</v>
      </c>
      <c r="B4" s="2644"/>
      <c r="C4" s="2644"/>
      <c r="D4" s="2644"/>
      <c r="E4" s="2644"/>
      <c r="F4" s="2644"/>
      <c r="G4" s="2644"/>
      <c r="H4" s="2644"/>
      <c r="I4" s="2645"/>
      <c r="J4" s="2637" t="s">
        <v>97</v>
      </c>
      <c r="K4" s="2638"/>
      <c r="L4" s="2638"/>
      <c r="M4" s="2639"/>
      <c r="N4" s="2652" t="s">
        <v>96</v>
      </c>
      <c r="O4" s="2655" t="s">
        <v>170</v>
      </c>
      <c r="P4" s="2617" t="s">
        <v>166</v>
      </c>
      <c r="Q4" s="2655" t="s">
        <v>171</v>
      </c>
      <c r="R4" s="2630" t="s">
        <v>460</v>
      </c>
      <c r="S4" s="2590" t="s">
        <v>461</v>
      </c>
    </row>
    <row r="5" spans="1:21" s="74" customFormat="1" ht="72.75" customHeight="1" thickBot="1">
      <c r="A5" s="2646"/>
      <c r="B5" s="2647"/>
      <c r="C5" s="2647"/>
      <c r="D5" s="2647"/>
      <c r="E5" s="2647"/>
      <c r="F5" s="2647"/>
      <c r="G5" s="2647"/>
      <c r="H5" s="2647"/>
      <c r="I5" s="2648"/>
      <c r="J5" s="2640"/>
      <c r="K5" s="2641"/>
      <c r="L5" s="2641"/>
      <c r="M5" s="2642"/>
      <c r="N5" s="2653"/>
      <c r="O5" s="2656"/>
      <c r="P5" s="2618"/>
      <c r="Q5" s="2656"/>
      <c r="R5" s="2631"/>
      <c r="S5" s="2591"/>
    </row>
    <row r="6" spans="1:21" s="74" customFormat="1" ht="61.5" customHeight="1" thickBot="1">
      <c r="A6" s="2649"/>
      <c r="B6" s="2650"/>
      <c r="C6" s="2650"/>
      <c r="D6" s="2650"/>
      <c r="E6" s="2650"/>
      <c r="F6" s="2650"/>
      <c r="G6" s="2650"/>
      <c r="H6" s="2650"/>
      <c r="I6" s="2651"/>
      <c r="J6" s="1223" t="s">
        <v>0</v>
      </c>
      <c r="K6" s="115" t="s">
        <v>1</v>
      </c>
      <c r="L6" s="115" t="s">
        <v>2</v>
      </c>
      <c r="M6" s="180" t="s">
        <v>94</v>
      </c>
      <c r="N6" s="2654"/>
      <c r="O6" s="2634" t="s">
        <v>169</v>
      </c>
      <c r="P6" s="2635"/>
      <c r="Q6" s="2635"/>
      <c r="R6" s="2635"/>
      <c r="S6" s="2636"/>
    </row>
    <row r="7" spans="1:21" s="74" customFormat="1" ht="22.5" customHeight="1" thickBot="1">
      <c r="A7" s="2580" t="s">
        <v>519</v>
      </c>
      <c r="B7" s="2581"/>
      <c r="C7" s="2581"/>
      <c r="D7" s="2581"/>
      <c r="E7" s="2581"/>
      <c r="F7" s="2581"/>
      <c r="G7" s="2581"/>
      <c r="H7" s="2581"/>
      <c r="I7" s="2581"/>
      <c r="J7" s="2581"/>
      <c r="K7" s="2581"/>
      <c r="L7" s="2581"/>
      <c r="M7" s="2581"/>
      <c r="N7" s="2581"/>
      <c r="O7" s="2581"/>
      <c r="P7" s="2581"/>
      <c r="Q7" s="2581"/>
      <c r="R7" s="2581"/>
      <c r="S7" s="2582"/>
    </row>
    <row r="8" spans="1:21" s="74" customFormat="1" ht="22.5" customHeight="1" thickBot="1">
      <c r="A8" s="2624" t="s">
        <v>69</v>
      </c>
      <c r="B8" s="2625"/>
      <c r="C8" s="2625"/>
      <c r="D8" s="2625"/>
      <c r="E8" s="2625"/>
      <c r="F8" s="2625"/>
      <c r="G8" s="2625"/>
      <c r="H8" s="2625"/>
      <c r="I8" s="2625"/>
      <c r="J8" s="2625"/>
      <c r="K8" s="2625"/>
      <c r="L8" s="2625"/>
      <c r="M8" s="2625"/>
      <c r="N8" s="2625"/>
      <c r="O8" s="2625"/>
      <c r="P8" s="2625"/>
      <c r="Q8" s="2625"/>
      <c r="R8" s="2625"/>
      <c r="S8" s="2626"/>
    </row>
    <row r="9" spans="1:21" s="74" customFormat="1" ht="16.5" customHeight="1" thickBot="1">
      <c r="A9" s="2583" t="s">
        <v>134</v>
      </c>
      <c r="B9" s="2584"/>
      <c r="C9" s="2584"/>
      <c r="D9" s="2584"/>
      <c r="E9" s="2584"/>
      <c r="F9" s="2584"/>
      <c r="G9" s="2584"/>
      <c r="H9" s="2584"/>
      <c r="I9" s="2584"/>
      <c r="J9" s="2584"/>
      <c r="K9" s="2584"/>
      <c r="L9" s="2584"/>
      <c r="M9" s="2584"/>
      <c r="N9" s="2584"/>
      <c r="O9" s="2584"/>
      <c r="P9" s="2584"/>
      <c r="Q9" s="2584"/>
      <c r="R9" s="2632"/>
      <c r="S9" s="2633"/>
    </row>
    <row r="10" spans="1:21" s="74" customFormat="1" ht="16.5" customHeight="1" thickBot="1">
      <c r="A10" s="47" t="s">
        <v>35</v>
      </c>
      <c r="B10" s="48">
        <f>J10</f>
        <v>80</v>
      </c>
      <c r="C10" s="48" t="s">
        <v>3</v>
      </c>
      <c r="D10" s="48">
        <f>K10</f>
        <v>160</v>
      </c>
      <c r="E10" s="48" t="s">
        <v>3</v>
      </c>
      <c r="F10" s="110">
        <f>L10</f>
        <v>600</v>
      </c>
      <c r="G10" s="48" t="s">
        <v>3</v>
      </c>
      <c r="H10" s="48">
        <v>2</v>
      </c>
      <c r="I10" s="49" t="s">
        <v>45</v>
      </c>
      <c r="J10" s="181">
        <v>80</v>
      </c>
      <c r="K10" s="168">
        <v>160</v>
      </c>
      <c r="L10" s="168">
        <v>600</v>
      </c>
      <c r="M10" s="182">
        <v>4.3521141819602631</v>
      </c>
      <c r="N10" s="144">
        <v>78.747192819503994</v>
      </c>
      <c r="O10" s="188">
        <v>9459.710661771227</v>
      </c>
      <c r="P10" s="183">
        <v>10932.535309749977</v>
      </c>
      <c r="Q10" s="309">
        <v>5867.7029602663515</v>
      </c>
      <c r="R10" s="312">
        <v>15327.413622037579</v>
      </c>
      <c r="S10" s="313">
        <v>16800.238270016329</v>
      </c>
      <c r="U10" s="7" t="s">
        <v>1745</v>
      </c>
    </row>
    <row r="11" spans="1:21" s="74" customFormat="1" ht="16.5" customHeight="1" thickBot="1">
      <c r="A11" s="50" t="s">
        <v>35</v>
      </c>
      <c r="B11" s="51">
        <f t="shared" ref="B11:B58" si="0">J11</f>
        <v>80</v>
      </c>
      <c r="C11" s="51" t="s">
        <v>3</v>
      </c>
      <c r="D11" s="51">
        <f t="shared" ref="D11:D58" si="1">K11</f>
        <v>160</v>
      </c>
      <c r="E11" s="51" t="s">
        <v>3</v>
      </c>
      <c r="F11" s="110">
        <f t="shared" ref="F11:F58" si="2">L11</f>
        <v>650</v>
      </c>
      <c r="G11" s="51" t="s">
        <v>3</v>
      </c>
      <c r="H11" s="48">
        <v>2</v>
      </c>
      <c r="I11" s="49" t="s">
        <v>45</v>
      </c>
      <c r="J11" s="184">
        <v>80</v>
      </c>
      <c r="K11" s="113">
        <v>160</v>
      </c>
      <c r="L11" s="113">
        <v>650</v>
      </c>
      <c r="M11" s="185">
        <v>4.6700721118402635</v>
      </c>
      <c r="N11" s="87">
        <v>94.49663138340479</v>
      </c>
      <c r="O11" s="119">
        <v>9851.7081637618885</v>
      </c>
      <c r="P11" s="121">
        <v>11412.935563846277</v>
      </c>
      <c r="Q11" s="310">
        <v>6177.3270434973019</v>
      </c>
      <c r="R11" s="314">
        <v>16029.03520725919</v>
      </c>
      <c r="S11" s="315">
        <v>17590.262607343579</v>
      </c>
      <c r="U11" s="7" t="s">
        <v>1746</v>
      </c>
    </row>
    <row r="12" spans="1:21" s="74" customFormat="1" ht="16.5" customHeight="1" thickBot="1">
      <c r="A12" s="50" t="s">
        <v>35</v>
      </c>
      <c r="B12" s="51">
        <f t="shared" si="0"/>
        <v>80</v>
      </c>
      <c r="C12" s="51" t="s">
        <v>3</v>
      </c>
      <c r="D12" s="51">
        <f t="shared" si="1"/>
        <v>160</v>
      </c>
      <c r="E12" s="51" t="s">
        <v>3</v>
      </c>
      <c r="F12" s="110">
        <f t="shared" si="2"/>
        <v>700</v>
      </c>
      <c r="G12" s="51" t="s">
        <v>3</v>
      </c>
      <c r="H12" s="48">
        <v>2</v>
      </c>
      <c r="I12" s="49" t="s">
        <v>45</v>
      </c>
      <c r="J12" s="184">
        <v>80</v>
      </c>
      <c r="K12" s="113">
        <v>160</v>
      </c>
      <c r="L12" s="113">
        <v>700</v>
      </c>
      <c r="M12" s="185">
        <v>4.988030041720263</v>
      </c>
      <c r="N12" s="87">
        <v>110.24606994730559</v>
      </c>
      <c r="O12" s="119">
        <v>10243.70552535919</v>
      </c>
      <c r="P12" s="121">
        <v>11893.33595833594</v>
      </c>
      <c r="Q12" s="310">
        <v>6717.5327641181639</v>
      </c>
      <c r="R12" s="314">
        <v>16961.238289477355</v>
      </c>
      <c r="S12" s="315">
        <v>18610.868722454103</v>
      </c>
      <c r="U12" s="7" t="s">
        <v>1747</v>
      </c>
    </row>
    <row r="13" spans="1:21" s="74" customFormat="1" ht="16.5" customHeight="1" thickBot="1">
      <c r="A13" s="50" t="s">
        <v>35</v>
      </c>
      <c r="B13" s="51">
        <f t="shared" si="0"/>
        <v>80</v>
      </c>
      <c r="C13" s="51" t="s">
        <v>3</v>
      </c>
      <c r="D13" s="51">
        <f t="shared" si="1"/>
        <v>160</v>
      </c>
      <c r="E13" s="51" t="s">
        <v>3</v>
      </c>
      <c r="F13" s="110">
        <f t="shared" si="2"/>
        <v>750</v>
      </c>
      <c r="G13" s="51" t="s">
        <v>3</v>
      </c>
      <c r="H13" s="48">
        <v>2</v>
      </c>
      <c r="I13" s="49" t="s">
        <v>45</v>
      </c>
      <c r="J13" s="184">
        <v>80</v>
      </c>
      <c r="K13" s="113">
        <v>160</v>
      </c>
      <c r="L13" s="113">
        <v>750</v>
      </c>
      <c r="M13" s="185">
        <v>5.3059879716002634</v>
      </c>
      <c r="N13" s="87">
        <v>125.9955085112064</v>
      </c>
      <c r="O13" s="119">
        <v>10635.702886956489</v>
      </c>
      <c r="P13" s="121">
        <v>12373.736352825601</v>
      </c>
      <c r="Q13" s="310">
        <v>7027.1568473491143</v>
      </c>
      <c r="R13" s="314">
        <v>17662.859734305603</v>
      </c>
      <c r="S13" s="315">
        <v>19400.893200174716</v>
      </c>
      <c r="U13" s="7" t="s">
        <v>1748</v>
      </c>
    </row>
    <row r="14" spans="1:21" s="74" customFormat="1" ht="16.5" customHeight="1" thickBot="1">
      <c r="A14" s="50" t="s">
        <v>35</v>
      </c>
      <c r="B14" s="51">
        <f t="shared" si="0"/>
        <v>80</v>
      </c>
      <c r="C14" s="51" t="s">
        <v>3</v>
      </c>
      <c r="D14" s="51">
        <f t="shared" si="1"/>
        <v>160</v>
      </c>
      <c r="E14" s="51" t="s">
        <v>3</v>
      </c>
      <c r="F14" s="110">
        <f t="shared" si="2"/>
        <v>800</v>
      </c>
      <c r="G14" s="51" t="s">
        <v>3</v>
      </c>
      <c r="H14" s="48">
        <v>2</v>
      </c>
      <c r="I14" s="49" t="s">
        <v>45</v>
      </c>
      <c r="J14" s="184">
        <v>80</v>
      </c>
      <c r="K14" s="113">
        <v>160</v>
      </c>
      <c r="L14" s="113">
        <v>800</v>
      </c>
      <c r="M14" s="185">
        <v>5.6239459014802637</v>
      </c>
      <c r="N14" s="87">
        <v>141.74494707510721</v>
      </c>
      <c r="O14" s="119">
        <v>11027.700388947153</v>
      </c>
      <c r="P14" s="121">
        <v>12854.136747315266</v>
      </c>
      <c r="Q14" s="310">
        <v>7336.7809305800638</v>
      </c>
      <c r="R14" s="314">
        <v>18364.481319527215</v>
      </c>
      <c r="S14" s="315">
        <v>20190.91767789533</v>
      </c>
      <c r="U14" s="7" t="s">
        <v>1749</v>
      </c>
    </row>
    <row r="15" spans="1:21" s="74" customFormat="1" ht="16.5" customHeight="1" thickBot="1">
      <c r="A15" s="50" t="s">
        <v>35</v>
      </c>
      <c r="B15" s="51">
        <f t="shared" si="0"/>
        <v>80</v>
      </c>
      <c r="C15" s="51" t="s">
        <v>3</v>
      </c>
      <c r="D15" s="51">
        <f t="shared" si="1"/>
        <v>160</v>
      </c>
      <c r="E15" s="51" t="s">
        <v>3</v>
      </c>
      <c r="F15" s="110">
        <f t="shared" si="2"/>
        <v>850</v>
      </c>
      <c r="G15" s="51" t="s">
        <v>3</v>
      </c>
      <c r="H15" s="48">
        <v>2</v>
      </c>
      <c r="I15" s="49" t="s">
        <v>45</v>
      </c>
      <c r="J15" s="184">
        <v>80</v>
      </c>
      <c r="K15" s="113">
        <v>160</v>
      </c>
      <c r="L15" s="113">
        <v>850</v>
      </c>
      <c r="M15" s="185">
        <v>5.9419038313602641</v>
      </c>
      <c r="N15" s="87">
        <v>157.49438563900799</v>
      </c>
      <c r="O15" s="119">
        <v>11419.697750544452</v>
      </c>
      <c r="P15" s="121">
        <v>13334.537141804927</v>
      </c>
      <c r="Q15" s="310">
        <v>7876.9867915942896</v>
      </c>
      <c r="R15" s="314">
        <v>19296.684542138741</v>
      </c>
      <c r="S15" s="315">
        <v>21211.523933399218</v>
      </c>
      <c r="U15" s="7" t="s">
        <v>1750</v>
      </c>
    </row>
    <row r="16" spans="1:21" s="74" customFormat="1" ht="16.5" customHeight="1" thickBot="1">
      <c r="A16" s="50" t="s">
        <v>35</v>
      </c>
      <c r="B16" s="51">
        <f t="shared" si="0"/>
        <v>80</v>
      </c>
      <c r="C16" s="51" t="s">
        <v>3</v>
      </c>
      <c r="D16" s="51">
        <f t="shared" si="1"/>
        <v>160</v>
      </c>
      <c r="E16" s="51" t="s">
        <v>3</v>
      </c>
      <c r="F16" s="110">
        <f t="shared" si="2"/>
        <v>900</v>
      </c>
      <c r="G16" s="51" t="s">
        <v>3</v>
      </c>
      <c r="H16" s="48">
        <v>2</v>
      </c>
      <c r="I16" s="49" t="s">
        <v>45</v>
      </c>
      <c r="J16" s="184">
        <v>80</v>
      </c>
      <c r="K16" s="113">
        <v>160</v>
      </c>
      <c r="L16" s="113">
        <v>900</v>
      </c>
      <c r="M16" s="185">
        <v>6.2598617612402627</v>
      </c>
      <c r="N16" s="87">
        <v>173.2438242029088</v>
      </c>
      <c r="O16" s="119">
        <v>11811.695112141753</v>
      </c>
      <c r="P16" s="121">
        <v>13814.93753629459</v>
      </c>
      <c r="Q16" s="310">
        <v>8186.6107344318762</v>
      </c>
      <c r="R16" s="314">
        <v>19998.305846573629</v>
      </c>
      <c r="S16" s="315">
        <v>22001.548270726467</v>
      </c>
      <c r="U16" s="7" t="s">
        <v>1751</v>
      </c>
    </row>
    <row r="17" spans="1:21" s="74" customFormat="1" ht="16.5" customHeight="1" thickBot="1">
      <c r="A17" s="50" t="s">
        <v>35</v>
      </c>
      <c r="B17" s="51">
        <f t="shared" si="0"/>
        <v>80</v>
      </c>
      <c r="C17" s="51" t="s">
        <v>3</v>
      </c>
      <c r="D17" s="51">
        <f t="shared" si="1"/>
        <v>160</v>
      </c>
      <c r="E17" s="51" t="s">
        <v>3</v>
      </c>
      <c r="F17" s="110">
        <f t="shared" si="2"/>
        <v>950</v>
      </c>
      <c r="G17" s="51" t="s">
        <v>3</v>
      </c>
      <c r="H17" s="48">
        <v>2</v>
      </c>
      <c r="I17" s="49" t="s">
        <v>45</v>
      </c>
      <c r="J17" s="184">
        <v>80</v>
      </c>
      <c r="K17" s="113">
        <v>160</v>
      </c>
      <c r="L17" s="113">
        <v>950</v>
      </c>
      <c r="M17" s="185">
        <v>6.5778196911202631</v>
      </c>
      <c r="N17" s="87">
        <v>188.99326276680958</v>
      </c>
      <c r="O17" s="119">
        <v>12203.692473739051</v>
      </c>
      <c r="P17" s="121">
        <v>14295.337930784252</v>
      </c>
      <c r="Q17" s="310">
        <v>8726.8165954461019</v>
      </c>
      <c r="R17" s="314">
        <v>20930.509069185151</v>
      </c>
      <c r="S17" s="315">
        <v>23022.154526230355</v>
      </c>
      <c r="U17" s="7" t="s">
        <v>1752</v>
      </c>
    </row>
    <row r="18" spans="1:21" s="74" customFormat="1" ht="16.5" customHeight="1" thickBot="1">
      <c r="A18" s="50" t="s">
        <v>35</v>
      </c>
      <c r="B18" s="51">
        <f t="shared" si="0"/>
        <v>80</v>
      </c>
      <c r="C18" s="51" t="s">
        <v>3</v>
      </c>
      <c r="D18" s="51">
        <f t="shared" si="1"/>
        <v>160</v>
      </c>
      <c r="E18" s="51" t="s">
        <v>3</v>
      </c>
      <c r="F18" s="110">
        <f t="shared" si="2"/>
        <v>1000</v>
      </c>
      <c r="G18" s="51" t="s">
        <v>3</v>
      </c>
      <c r="H18" s="48">
        <v>2</v>
      </c>
      <c r="I18" s="49" t="s">
        <v>45</v>
      </c>
      <c r="J18" s="184">
        <v>80</v>
      </c>
      <c r="K18" s="113">
        <v>160</v>
      </c>
      <c r="L18" s="113">
        <v>1000</v>
      </c>
      <c r="M18" s="185">
        <v>6.8957776210002635</v>
      </c>
      <c r="N18" s="87">
        <v>204.74270133071039</v>
      </c>
      <c r="O18" s="119">
        <v>12595.689975729714</v>
      </c>
      <c r="P18" s="121">
        <v>14775.738184880553</v>
      </c>
      <c r="Q18" s="310">
        <v>9036.4406786770523</v>
      </c>
      <c r="R18" s="314">
        <v>21632.130654406767</v>
      </c>
      <c r="S18" s="315">
        <v>23812.178863557605</v>
      </c>
      <c r="U18" s="7" t="s">
        <v>1753</v>
      </c>
    </row>
    <row r="19" spans="1:21" s="74" customFormat="1" ht="16.5" customHeight="1" thickBot="1">
      <c r="A19" s="50" t="s">
        <v>35</v>
      </c>
      <c r="B19" s="51">
        <f t="shared" si="0"/>
        <v>80</v>
      </c>
      <c r="C19" s="51" t="s">
        <v>3</v>
      </c>
      <c r="D19" s="51">
        <f t="shared" si="1"/>
        <v>160</v>
      </c>
      <c r="E19" s="51" t="s">
        <v>3</v>
      </c>
      <c r="F19" s="110">
        <f t="shared" si="2"/>
        <v>1050</v>
      </c>
      <c r="G19" s="51" t="s">
        <v>3</v>
      </c>
      <c r="H19" s="48">
        <v>2</v>
      </c>
      <c r="I19" s="49" t="s">
        <v>45</v>
      </c>
      <c r="J19" s="184">
        <v>80</v>
      </c>
      <c r="K19" s="113">
        <v>160</v>
      </c>
      <c r="L19" s="113">
        <v>1050</v>
      </c>
      <c r="M19" s="185">
        <v>7.2137355508802621</v>
      </c>
      <c r="N19" s="87">
        <v>220.49213989461117</v>
      </c>
      <c r="O19" s="119">
        <v>12987.687337327015</v>
      </c>
      <c r="P19" s="121">
        <v>15256.138579370216</v>
      </c>
      <c r="Q19" s="310">
        <v>9576.6465396912772</v>
      </c>
      <c r="R19" s="314">
        <v>22564.333877018293</v>
      </c>
      <c r="S19" s="315">
        <v>24832.785119061493</v>
      </c>
      <c r="U19" s="7" t="s">
        <v>1754</v>
      </c>
    </row>
    <row r="20" spans="1:21" s="74" customFormat="1" ht="16.5" customHeight="1" thickBot="1">
      <c r="A20" s="47" t="s">
        <v>35</v>
      </c>
      <c r="B20" s="48">
        <f t="shared" si="0"/>
        <v>80</v>
      </c>
      <c r="C20" s="48" t="s">
        <v>3</v>
      </c>
      <c r="D20" s="48">
        <f t="shared" si="1"/>
        <v>160</v>
      </c>
      <c r="E20" s="48" t="s">
        <v>3</v>
      </c>
      <c r="F20" s="110">
        <f t="shared" si="2"/>
        <v>1100</v>
      </c>
      <c r="G20" s="48" t="s">
        <v>3</v>
      </c>
      <c r="H20" s="48">
        <v>2</v>
      </c>
      <c r="I20" s="49" t="s">
        <v>45</v>
      </c>
      <c r="J20" s="184">
        <v>80</v>
      </c>
      <c r="K20" s="113">
        <v>160</v>
      </c>
      <c r="L20" s="113">
        <v>1100</v>
      </c>
      <c r="M20" s="185">
        <v>7.5316934807602625</v>
      </c>
      <c r="N20" s="87">
        <v>236.24157845851198</v>
      </c>
      <c r="O20" s="119">
        <v>13379.684698924315</v>
      </c>
      <c r="P20" s="121">
        <v>15736.538973859877</v>
      </c>
      <c r="Q20" s="310">
        <v>9886.2704825288656</v>
      </c>
      <c r="R20" s="314">
        <v>23265.955181453181</v>
      </c>
      <c r="S20" s="315">
        <v>25622.809456388743</v>
      </c>
      <c r="U20" s="7" t="s">
        <v>1755</v>
      </c>
    </row>
    <row r="21" spans="1:21" s="74" customFormat="1" ht="16.5" customHeight="1" thickBot="1">
      <c r="A21" s="50" t="s">
        <v>35</v>
      </c>
      <c r="B21" s="51">
        <f t="shared" si="0"/>
        <v>80</v>
      </c>
      <c r="C21" s="51" t="s">
        <v>3</v>
      </c>
      <c r="D21" s="51">
        <f t="shared" si="1"/>
        <v>160</v>
      </c>
      <c r="E21" s="51" t="s">
        <v>3</v>
      </c>
      <c r="F21" s="110">
        <f t="shared" si="2"/>
        <v>1150</v>
      </c>
      <c r="G21" s="51" t="s">
        <v>3</v>
      </c>
      <c r="H21" s="48">
        <v>2</v>
      </c>
      <c r="I21" s="49" t="s">
        <v>45</v>
      </c>
      <c r="J21" s="184">
        <v>80</v>
      </c>
      <c r="K21" s="113">
        <v>160</v>
      </c>
      <c r="L21" s="113">
        <v>1150</v>
      </c>
      <c r="M21" s="185">
        <v>7.8496514106402628</v>
      </c>
      <c r="N21" s="87">
        <v>251.99101702241279</v>
      </c>
      <c r="O21" s="119">
        <v>13771.682060521616</v>
      </c>
      <c r="P21" s="121">
        <v>16216.939368349542</v>
      </c>
      <c r="Q21" s="310">
        <v>10195.894565759814</v>
      </c>
      <c r="R21" s="314">
        <v>23967.576626281429</v>
      </c>
      <c r="S21" s="315">
        <v>26412.833934109356</v>
      </c>
      <c r="U21" s="7" t="s">
        <v>1756</v>
      </c>
    </row>
    <row r="22" spans="1:21" s="74" customFormat="1" ht="16.5" customHeight="1" thickBot="1">
      <c r="A22" s="50" t="s">
        <v>35</v>
      </c>
      <c r="B22" s="51">
        <f t="shared" si="0"/>
        <v>80</v>
      </c>
      <c r="C22" s="51" t="s">
        <v>3</v>
      </c>
      <c r="D22" s="51">
        <f t="shared" si="1"/>
        <v>160</v>
      </c>
      <c r="E22" s="51" t="s">
        <v>3</v>
      </c>
      <c r="F22" s="110">
        <f t="shared" si="2"/>
        <v>1200</v>
      </c>
      <c r="G22" s="51" t="s">
        <v>3</v>
      </c>
      <c r="H22" s="48">
        <v>2</v>
      </c>
      <c r="I22" s="49" t="s">
        <v>45</v>
      </c>
      <c r="J22" s="184">
        <v>80</v>
      </c>
      <c r="K22" s="113">
        <v>160</v>
      </c>
      <c r="L22" s="113">
        <v>1200</v>
      </c>
      <c r="M22" s="185">
        <v>8.2068593405202641</v>
      </c>
      <c r="N22" s="87">
        <v>267.74045558631354</v>
      </c>
      <c r="O22" s="119">
        <v>14209.55126859544</v>
      </c>
      <c r="P22" s="121">
        <v>16741.813291425227</v>
      </c>
      <c r="Q22" s="310">
        <v>10736.100426774039</v>
      </c>
      <c r="R22" s="314">
        <v>24945.651695369481</v>
      </c>
      <c r="S22" s="315">
        <v>27477.913718199266</v>
      </c>
      <c r="U22" s="7" t="s">
        <v>1757</v>
      </c>
    </row>
    <row r="23" spans="1:21" s="74" customFormat="1" ht="16.5" customHeight="1" thickBot="1">
      <c r="A23" s="50" t="s">
        <v>35</v>
      </c>
      <c r="B23" s="51">
        <f t="shared" si="0"/>
        <v>80</v>
      </c>
      <c r="C23" s="51" t="s">
        <v>3</v>
      </c>
      <c r="D23" s="51">
        <f t="shared" si="1"/>
        <v>160</v>
      </c>
      <c r="E23" s="51" t="s">
        <v>3</v>
      </c>
      <c r="F23" s="110">
        <f t="shared" si="2"/>
        <v>1250</v>
      </c>
      <c r="G23" s="51" t="s">
        <v>3</v>
      </c>
      <c r="H23" s="48">
        <v>2</v>
      </c>
      <c r="I23" s="49" t="s">
        <v>45</v>
      </c>
      <c r="J23" s="184">
        <v>80</v>
      </c>
      <c r="K23" s="113">
        <v>160</v>
      </c>
      <c r="L23" s="113">
        <v>1250</v>
      </c>
      <c r="M23" s="185">
        <v>8.5248172704002627</v>
      </c>
      <c r="N23" s="87">
        <v>283.48989415021441</v>
      </c>
      <c r="O23" s="119">
        <v>14601.548630192739</v>
      </c>
      <c r="P23" s="121">
        <v>17222.213685914892</v>
      </c>
      <c r="Q23" s="310">
        <v>11045.724510004989</v>
      </c>
      <c r="R23" s="314">
        <v>25647.273140197729</v>
      </c>
      <c r="S23" s="315">
        <v>28267.93819591988</v>
      </c>
      <c r="U23" s="7" t="s">
        <v>1758</v>
      </c>
    </row>
    <row r="24" spans="1:21" s="74" customFormat="1" ht="16.5" customHeight="1" thickBot="1">
      <c r="A24" s="50" t="s">
        <v>35</v>
      </c>
      <c r="B24" s="51">
        <f t="shared" si="0"/>
        <v>80</v>
      </c>
      <c r="C24" s="51" t="s">
        <v>3</v>
      </c>
      <c r="D24" s="51">
        <f t="shared" si="1"/>
        <v>160</v>
      </c>
      <c r="E24" s="51" t="s">
        <v>3</v>
      </c>
      <c r="F24" s="110">
        <f t="shared" si="2"/>
        <v>1300</v>
      </c>
      <c r="G24" s="51" t="s">
        <v>3</v>
      </c>
      <c r="H24" s="48">
        <v>2</v>
      </c>
      <c r="I24" s="49" t="s">
        <v>45</v>
      </c>
      <c r="J24" s="184">
        <v>80</v>
      </c>
      <c r="K24" s="113">
        <v>160</v>
      </c>
      <c r="L24" s="113">
        <v>1300</v>
      </c>
      <c r="M24" s="185">
        <v>8.8427752002802631</v>
      </c>
      <c r="N24" s="87">
        <v>299.23933271411516</v>
      </c>
      <c r="O24" s="119">
        <v>14993.546132183403</v>
      </c>
      <c r="P24" s="121">
        <v>17702.614080404554</v>
      </c>
      <c r="Q24" s="310">
        <v>11585.930230625852</v>
      </c>
      <c r="R24" s="314">
        <v>26579.476362809255</v>
      </c>
      <c r="S24" s="315">
        <v>29288.544311030404</v>
      </c>
      <c r="U24" s="7" t="s">
        <v>1759</v>
      </c>
    </row>
    <row r="25" spans="1:21" s="74" customFormat="1" ht="16.5" customHeight="1" thickBot="1">
      <c r="A25" s="50" t="s">
        <v>35</v>
      </c>
      <c r="B25" s="51">
        <f t="shared" si="0"/>
        <v>80</v>
      </c>
      <c r="C25" s="51" t="s">
        <v>3</v>
      </c>
      <c r="D25" s="51">
        <f t="shared" si="1"/>
        <v>160</v>
      </c>
      <c r="E25" s="51" t="s">
        <v>3</v>
      </c>
      <c r="F25" s="110">
        <f t="shared" si="2"/>
        <v>1350</v>
      </c>
      <c r="G25" s="51" t="s">
        <v>3</v>
      </c>
      <c r="H25" s="48">
        <v>2</v>
      </c>
      <c r="I25" s="49" t="s">
        <v>45</v>
      </c>
      <c r="J25" s="184">
        <v>80</v>
      </c>
      <c r="K25" s="113">
        <v>160</v>
      </c>
      <c r="L25" s="113">
        <v>1350</v>
      </c>
      <c r="M25" s="185">
        <v>9.1607331301602635</v>
      </c>
      <c r="N25" s="87">
        <v>314.98877127801597</v>
      </c>
      <c r="O25" s="119">
        <v>15385.543493780704</v>
      </c>
      <c r="P25" s="121">
        <v>18183.014474894218</v>
      </c>
      <c r="Q25" s="310">
        <v>11895.554313856801</v>
      </c>
      <c r="R25" s="314">
        <v>27281.097807637503</v>
      </c>
      <c r="S25" s="315">
        <v>30078.568788751021</v>
      </c>
      <c r="U25" s="7" t="s">
        <v>1760</v>
      </c>
    </row>
    <row r="26" spans="1:21" s="74" customFormat="1" ht="16.5" customHeight="1" thickBot="1">
      <c r="A26" s="50" t="s">
        <v>35</v>
      </c>
      <c r="B26" s="51">
        <f t="shared" si="0"/>
        <v>80</v>
      </c>
      <c r="C26" s="51" t="s">
        <v>3</v>
      </c>
      <c r="D26" s="51">
        <f t="shared" si="1"/>
        <v>160</v>
      </c>
      <c r="E26" s="51" t="s">
        <v>3</v>
      </c>
      <c r="F26" s="110">
        <f t="shared" si="2"/>
        <v>1400</v>
      </c>
      <c r="G26" s="51" t="s">
        <v>3</v>
      </c>
      <c r="H26" s="48">
        <v>2</v>
      </c>
      <c r="I26" s="49" t="s">
        <v>45</v>
      </c>
      <c r="J26" s="184">
        <v>80</v>
      </c>
      <c r="K26" s="113">
        <v>160</v>
      </c>
      <c r="L26" s="113">
        <v>1400</v>
      </c>
      <c r="M26" s="185">
        <v>9.4786910600402638</v>
      </c>
      <c r="N26" s="87">
        <v>330.73820984191678</v>
      </c>
      <c r="O26" s="119">
        <v>15777.540855378003</v>
      </c>
      <c r="P26" s="121">
        <v>18663.41486938388</v>
      </c>
      <c r="Q26" s="310">
        <v>12435.760174871028</v>
      </c>
      <c r="R26" s="314">
        <v>28213.301030249029</v>
      </c>
      <c r="S26" s="315">
        <v>31099.175044254909</v>
      </c>
      <c r="U26" s="7" t="s">
        <v>1761</v>
      </c>
    </row>
    <row r="27" spans="1:21" s="74" customFormat="1" ht="16.5" customHeight="1" thickBot="1">
      <c r="A27" s="50" t="s">
        <v>35</v>
      </c>
      <c r="B27" s="51">
        <f t="shared" si="0"/>
        <v>80</v>
      </c>
      <c r="C27" s="51" t="s">
        <v>3</v>
      </c>
      <c r="D27" s="51">
        <f t="shared" si="1"/>
        <v>160</v>
      </c>
      <c r="E27" s="51" t="s">
        <v>3</v>
      </c>
      <c r="F27" s="110">
        <f t="shared" si="2"/>
        <v>1450</v>
      </c>
      <c r="G27" s="51" t="s">
        <v>3</v>
      </c>
      <c r="H27" s="48">
        <v>2</v>
      </c>
      <c r="I27" s="49" t="s">
        <v>45</v>
      </c>
      <c r="J27" s="184">
        <v>80</v>
      </c>
      <c r="K27" s="113">
        <v>160</v>
      </c>
      <c r="L27" s="113">
        <v>1450</v>
      </c>
      <c r="M27" s="185">
        <v>9.7966489899202625</v>
      </c>
      <c r="N27" s="87">
        <v>346.48764840581759</v>
      </c>
      <c r="O27" s="119">
        <v>16169.538216975305</v>
      </c>
      <c r="P27" s="121">
        <v>19143.815123480177</v>
      </c>
      <c r="Q27" s="310">
        <v>12745.384258101978</v>
      </c>
      <c r="R27" s="314">
        <v>28914.922475077285</v>
      </c>
      <c r="S27" s="315">
        <v>31889.199381582155</v>
      </c>
      <c r="U27" s="7" t="s">
        <v>1762</v>
      </c>
    </row>
    <row r="28" spans="1:21" s="74" customFormat="1" ht="16.5" customHeight="1" thickBot="1">
      <c r="A28" s="50" t="s">
        <v>35</v>
      </c>
      <c r="B28" s="51">
        <f t="shared" si="0"/>
        <v>80</v>
      </c>
      <c r="C28" s="51" t="s">
        <v>3</v>
      </c>
      <c r="D28" s="51">
        <f t="shared" si="1"/>
        <v>160</v>
      </c>
      <c r="E28" s="51" t="s">
        <v>3</v>
      </c>
      <c r="F28" s="110">
        <f t="shared" si="2"/>
        <v>1500</v>
      </c>
      <c r="G28" s="51" t="s">
        <v>3</v>
      </c>
      <c r="H28" s="48">
        <v>2</v>
      </c>
      <c r="I28" s="49" t="s">
        <v>45</v>
      </c>
      <c r="J28" s="184">
        <v>80</v>
      </c>
      <c r="K28" s="113">
        <v>160</v>
      </c>
      <c r="L28" s="113">
        <v>1500</v>
      </c>
      <c r="M28" s="185">
        <v>10.186369348600262</v>
      </c>
      <c r="N28" s="87">
        <v>362.23708696971835</v>
      </c>
      <c r="O28" s="119">
        <v>17100.970820420065</v>
      </c>
      <c r="P28" s="121">
        <v>20071.705181208978</v>
      </c>
      <c r="Q28" s="310">
        <v>13285.589978722841</v>
      </c>
      <c r="R28" s="314">
        <v>30386.560799142906</v>
      </c>
      <c r="S28" s="315">
        <v>33357.295159931818</v>
      </c>
      <c r="U28" s="7" t="s">
        <v>1763</v>
      </c>
    </row>
    <row r="29" spans="1:21" s="74" customFormat="1" ht="16.5" customHeight="1" thickBot="1">
      <c r="A29" s="50" t="s">
        <v>35</v>
      </c>
      <c r="B29" s="51">
        <f t="shared" si="0"/>
        <v>80</v>
      </c>
      <c r="C29" s="51" t="s">
        <v>3</v>
      </c>
      <c r="D29" s="51">
        <f t="shared" si="1"/>
        <v>160</v>
      </c>
      <c r="E29" s="51" t="s">
        <v>3</v>
      </c>
      <c r="F29" s="110">
        <f t="shared" si="2"/>
        <v>1550</v>
      </c>
      <c r="G29" s="51" t="s">
        <v>3</v>
      </c>
      <c r="H29" s="48">
        <v>2</v>
      </c>
      <c r="I29" s="49" t="s">
        <v>45</v>
      </c>
      <c r="J29" s="184">
        <v>80</v>
      </c>
      <c r="K29" s="113">
        <v>160</v>
      </c>
      <c r="L29" s="113">
        <v>1550</v>
      </c>
      <c r="M29" s="185">
        <v>10.504327278480263</v>
      </c>
      <c r="N29" s="87">
        <v>377.98652553361916</v>
      </c>
      <c r="O29" s="119">
        <v>17492.968182017365</v>
      </c>
      <c r="P29" s="121">
        <v>20552.105575698642</v>
      </c>
      <c r="Q29" s="310">
        <v>13595.214061953789</v>
      </c>
      <c r="R29" s="314">
        <v>31088.182243971154</v>
      </c>
      <c r="S29" s="315">
        <v>34147.319637652428</v>
      </c>
      <c r="U29" s="7" t="s">
        <v>1764</v>
      </c>
    </row>
    <row r="30" spans="1:21" s="74" customFormat="1" ht="16.5" customHeight="1" thickBot="1">
      <c r="A30" s="47" t="s">
        <v>35</v>
      </c>
      <c r="B30" s="48">
        <f t="shared" si="0"/>
        <v>80</v>
      </c>
      <c r="C30" s="48" t="s">
        <v>3</v>
      </c>
      <c r="D30" s="48">
        <f t="shared" si="1"/>
        <v>160</v>
      </c>
      <c r="E30" s="48" t="s">
        <v>3</v>
      </c>
      <c r="F30" s="110">
        <f t="shared" si="2"/>
        <v>1600</v>
      </c>
      <c r="G30" s="48" t="s">
        <v>3</v>
      </c>
      <c r="H30" s="48">
        <v>2</v>
      </c>
      <c r="I30" s="49" t="s">
        <v>45</v>
      </c>
      <c r="J30" s="184">
        <v>80</v>
      </c>
      <c r="K30" s="113">
        <v>160</v>
      </c>
      <c r="L30" s="113">
        <v>1600</v>
      </c>
      <c r="M30" s="185">
        <v>10.822285208360261</v>
      </c>
      <c r="N30" s="87">
        <v>393.73596409751997</v>
      </c>
      <c r="O30" s="119">
        <v>17884.965543614664</v>
      </c>
      <c r="P30" s="121">
        <v>21032.505970188304</v>
      </c>
      <c r="Q30" s="310">
        <v>13904.83814518474</v>
      </c>
      <c r="R30" s="314">
        <v>31789.803688799402</v>
      </c>
      <c r="S30" s="315">
        <v>34937.344115373045</v>
      </c>
      <c r="U30" s="7" t="s">
        <v>1765</v>
      </c>
    </row>
    <row r="31" spans="1:21" s="74" customFormat="1" ht="16.5" customHeight="1" thickBot="1">
      <c r="A31" s="50" t="s">
        <v>35</v>
      </c>
      <c r="B31" s="51">
        <f t="shared" si="0"/>
        <v>80</v>
      </c>
      <c r="C31" s="51" t="s">
        <v>3</v>
      </c>
      <c r="D31" s="51">
        <f t="shared" si="1"/>
        <v>160</v>
      </c>
      <c r="E31" s="51" t="s">
        <v>3</v>
      </c>
      <c r="F31" s="110">
        <f t="shared" si="2"/>
        <v>1650</v>
      </c>
      <c r="G31" s="51" t="s">
        <v>3</v>
      </c>
      <c r="H31" s="48">
        <v>2</v>
      </c>
      <c r="I31" s="49" t="s">
        <v>45</v>
      </c>
      <c r="J31" s="184">
        <v>80</v>
      </c>
      <c r="K31" s="113">
        <v>160</v>
      </c>
      <c r="L31" s="113">
        <v>1650</v>
      </c>
      <c r="M31" s="185">
        <v>11.140243138240262</v>
      </c>
      <c r="N31" s="87">
        <v>409.48540266142078</v>
      </c>
      <c r="O31" s="119">
        <v>18276.962905211967</v>
      </c>
      <c r="P31" s="121">
        <v>21512.906364677969</v>
      </c>
      <c r="Q31" s="310">
        <v>14445.044006198967</v>
      </c>
      <c r="R31" s="314">
        <v>32722.006911410936</v>
      </c>
      <c r="S31" s="315">
        <v>35957.950370876933</v>
      </c>
      <c r="U31" s="7" t="s">
        <v>1766</v>
      </c>
    </row>
    <row r="32" spans="1:21" s="74" customFormat="1" ht="16.5" customHeight="1" thickBot="1">
      <c r="A32" s="50" t="s">
        <v>35</v>
      </c>
      <c r="B32" s="51">
        <f t="shared" si="0"/>
        <v>80</v>
      </c>
      <c r="C32" s="51" t="s">
        <v>3</v>
      </c>
      <c r="D32" s="51">
        <f t="shared" si="1"/>
        <v>160</v>
      </c>
      <c r="E32" s="51" t="s">
        <v>3</v>
      </c>
      <c r="F32" s="110">
        <f t="shared" si="2"/>
        <v>1700</v>
      </c>
      <c r="G32" s="51" t="s">
        <v>3</v>
      </c>
      <c r="H32" s="48">
        <v>2</v>
      </c>
      <c r="I32" s="49" t="s">
        <v>45</v>
      </c>
      <c r="J32" s="184">
        <v>80</v>
      </c>
      <c r="K32" s="113">
        <v>160</v>
      </c>
      <c r="L32" s="113">
        <v>1700</v>
      </c>
      <c r="M32" s="185">
        <v>11.458201068120262</v>
      </c>
      <c r="N32" s="87">
        <v>425.23484122532159</v>
      </c>
      <c r="O32" s="119">
        <v>18668.96040720263</v>
      </c>
      <c r="P32" s="121">
        <v>21993.306618774266</v>
      </c>
      <c r="Q32" s="310">
        <v>14754.667949036411</v>
      </c>
      <c r="R32" s="314">
        <v>33423.628356239045</v>
      </c>
      <c r="S32" s="315">
        <v>36747.974567810677</v>
      </c>
      <c r="U32" s="7" t="s">
        <v>1767</v>
      </c>
    </row>
    <row r="33" spans="1:21" s="74" customFormat="1" ht="16.5" customHeight="1" thickBot="1">
      <c r="A33" s="50" t="s">
        <v>35</v>
      </c>
      <c r="B33" s="51">
        <f t="shared" si="0"/>
        <v>80</v>
      </c>
      <c r="C33" s="51" t="s">
        <v>3</v>
      </c>
      <c r="D33" s="51">
        <f t="shared" si="1"/>
        <v>160</v>
      </c>
      <c r="E33" s="51" t="s">
        <v>3</v>
      </c>
      <c r="F33" s="110">
        <f t="shared" si="2"/>
        <v>1750</v>
      </c>
      <c r="G33" s="51" t="s">
        <v>3</v>
      </c>
      <c r="H33" s="48">
        <v>2</v>
      </c>
      <c r="I33" s="49" t="s">
        <v>45</v>
      </c>
      <c r="J33" s="184">
        <v>80</v>
      </c>
      <c r="K33" s="113">
        <v>160</v>
      </c>
      <c r="L33" s="113">
        <v>1750</v>
      </c>
      <c r="M33" s="185">
        <v>11.776158998000263</v>
      </c>
      <c r="N33" s="87">
        <v>440.98427978922234</v>
      </c>
      <c r="O33" s="119">
        <v>19060.95776879993</v>
      </c>
      <c r="P33" s="121">
        <v>22473.707013263927</v>
      </c>
      <c r="Q33" s="310">
        <v>15294.87381005078</v>
      </c>
      <c r="R33" s="314">
        <v>34355.83157885071</v>
      </c>
      <c r="S33" s="315">
        <v>37768.580823314711</v>
      </c>
      <c r="U33" s="7" t="s">
        <v>1768</v>
      </c>
    </row>
    <row r="34" spans="1:21" s="74" customFormat="1" ht="16.5" customHeight="1" thickBot="1">
      <c r="A34" s="50" t="s">
        <v>35</v>
      </c>
      <c r="B34" s="51">
        <f t="shared" si="0"/>
        <v>80</v>
      </c>
      <c r="C34" s="51" t="s">
        <v>3</v>
      </c>
      <c r="D34" s="51">
        <f t="shared" si="1"/>
        <v>160</v>
      </c>
      <c r="E34" s="51" t="s">
        <v>3</v>
      </c>
      <c r="F34" s="110">
        <f t="shared" si="2"/>
        <v>1800</v>
      </c>
      <c r="G34" s="51" t="s">
        <v>3</v>
      </c>
      <c r="H34" s="48">
        <v>2</v>
      </c>
      <c r="I34" s="49" t="s">
        <v>45</v>
      </c>
      <c r="J34" s="184">
        <v>80</v>
      </c>
      <c r="K34" s="113">
        <v>160</v>
      </c>
      <c r="L34" s="113">
        <v>1800</v>
      </c>
      <c r="M34" s="185">
        <v>12.094116927880261</v>
      </c>
      <c r="N34" s="87">
        <v>456.73371835312315</v>
      </c>
      <c r="O34" s="119">
        <v>19452.955130397229</v>
      </c>
      <c r="P34" s="121">
        <v>22954.107407753592</v>
      </c>
      <c r="Q34" s="310">
        <v>15604.497893281728</v>
      </c>
      <c r="R34" s="314">
        <v>35057.453023678958</v>
      </c>
      <c r="S34" s="315">
        <v>38558.605301035321</v>
      </c>
      <c r="U34" s="7" t="s">
        <v>1769</v>
      </c>
    </row>
    <row r="35" spans="1:21" s="74" customFormat="1" ht="16.5" customHeight="1" thickBot="1">
      <c r="A35" s="50" t="s">
        <v>35</v>
      </c>
      <c r="B35" s="51">
        <f t="shared" si="0"/>
        <v>80</v>
      </c>
      <c r="C35" s="51" t="s">
        <v>3</v>
      </c>
      <c r="D35" s="51">
        <f t="shared" si="1"/>
        <v>160</v>
      </c>
      <c r="E35" s="51" t="s">
        <v>3</v>
      </c>
      <c r="F35" s="110">
        <f t="shared" si="2"/>
        <v>1850</v>
      </c>
      <c r="G35" s="51" t="s">
        <v>3</v>
      </c>
      <c r="H35" s="48">
        <v>2</v>
      </c>
      <c r="I35" s="49" t="s">
        <v>45</v>
      </c>
      <c r="J35" s="184">
        <v>80</v>
      </c>
      <c r="K35" s="113">
        <v>160</v>
      </c>
      <c r="L35" s="113">
        <v>1850</v>
      </c>
      <c r="M35" s="185">
        <v>12.412074857760263</v>
      </c>
      <c r="N35" s="87">
        <v>472.48315691702396</v>
      </c>
      <c r="O35" s="119">
        <v>19844.952632387893</v>
      </c>
      <c r="P35" s="121">
        <v>23434.507802243254</v>
      </c>
      <c r="Q35" s="310">
        <v>16144.703754295953</v>
      </c>
      <c r="R35" s="314">
        <v>35989.656386683848</v>
      </c>
      <c r="S35" s="315">
        <v>39579.211556539209</v>
      </c>
      <c r="U35" s="7" t="s">
        <v>1770</v>
      </c>
    </row>
    <row r="36" spans="1:21" s="74" customFormat="1" ht="16.5" customHeight="1" thickBot="1">
      <c r="A36" s="50" t="s">
        <v>35</v>
      </c>
      <c r="B36" s="51">
        <f t="shared" si="0"/>
        <v>80</v>
      </c>
      <c r="C36" s="51" t="s">
        <v>3</v>
      </c>
      <c r="D36" s="51">
        <f t="shared" si="1"/>
        <v>160</v>
      </c>
      <c r="E36" s="51" t="s">
        <v>3</v>
      </c>
      <c r="F36" s="110">
        <f t="shared" si="2"/>
        <v>1900</v>
      </c>
      <c r="G36" s="51" t="s">
        <v>3</v>
      </c>
      <c r="H36" s="48">
        <v>2</v>
      </c>
      <c r="I36" s="49" t="s">
        <v>45</v>
      </c>
      <c r="J36" s="184">
        <v>80</v>
      </c>
      <c r="K36" s="113">
        <v>160</v>
      </c>
      <c r="L36" s="113">
        <v>1900</v>
      </c>
      <c r="M36" s="185">
        <v>12.730032787640262</v>
      </c>
      <c r="N36" s="87">
        <v>488.23259548092477</v>
      </c>
      <c r="O36" s="119">
        <v>20236.949993985192</v>
      </c>
      <c r="P36" s="121">
        <v>23914.908196732918</v>
      </c>
      <c r="Q36" s="310">
        <v>16454.32769713354</v>
      </c>
      <c r="R36" s="314">
        <v>36691.277691118732</v>
      </c>
      <c r="S36" s="315">
        <v>40369.235893866455</v>
      </c>
      <c r="U36" s="7" t="s">
        <v>1771</v>
      </c>
    </row>
    <row r="37" spans="1:21" s="74" customFormat="1" ht="16.5" customHeight="1" thickBot="1">
      <c r="A37" s="50" t="s">
        <v>35</v>
      </c>
      <c r="B37" s="51">
        <f t="shared" si="0"/>
        <v>80</v>
      </c>
      <c r="C37" s="51" t="s">
        <v>3</v>
      </c>
      <c r="D37" s="51">
        <f t="shared" si="1"/>
        <v>160</v>
      </c>
      <c r="E37" s="51" t="s">
        <v>3</v>
      </c>
      <c r="F37" s="110">
        <f t="shared" si="2"/>
        <v>1950</v>
      </c>
      <c r="G37" s="51" t="s">
        <v>3</v>
      </c>
      <c r="H37" s="48">
        <v>2</v>
      </c>
      <c r="I37" s="49" t="s">
        <v>45</v>
      </c>
      <c r="J37" s="184">
        <v>80</v>
      </c>
      <c r="K37" s="113">
        <v>160</v>
      </c>
      <c r="L37" s="113">
        <v>1950</v>
      </c>
      <c r="M37" s="185">
        <v>13.087240717520263</v>
      </c>
      <c r="N37" s="87">
        <v>503.98203404482558</v>
      </c>
      <c r="O37" s="119">
        <v>20674.819202059018</v>
      </c>
      <c r="P37" s="121">
        <v>24439.782119808606</v>
      </c>
      <c r="Q37" s="310">
        <v>16763.951780364492</v>
      </c>
      <c r="R37" s="314">
        <v>37438.770982423506</v>
      </c>
      <c r="S37" s="315">
        <v>41203.733900173102</v>
      </c>
      <c r="U37" s="7" t="s">
        <v>1772</v>
      </c>
    </row>
    <row r="38" spans="1:21" s="74" customFormat="1" ht="16.5" customHeight="1" thickBot="1">
      <c r="A38" s="50" t="s">
        <v>35</v>
      </c>
      <c r="B38" s="51">
        <f t="shared" si="0"/>
        <v>80</v>
      </c>
      <c r="C38" s="51" t="s">
        <v>3</v>
      </c>
      <c r="D38" s="51">
        <f t="shared" si="1"/>
        <v>160</v>
      </c>
      <c r="E38" s="51" t="s">
        <v>3</v>
      </c>
      <c r="F38" s="110">
        <f t="shared" si="2"/>
        <v>2000</v>
      </c>
      <c r="G38" s="51" t="s">
        <v>3</v>
      </c>
      <c r="H38" s="48">
        <v>2</v>
      </c>
      <c r="I38" s="49" t="s">
        <v>45</v>
      </c>
      <c r="J38" s="184">
        <v>80</v>
      </c>
      <c r="K38" s="113">
        <v>160</v>
      </c>
      <c r="L38" s="113">
        <v>2000</v>
      </c>
      <c r="M38" s="185">
        <v>13.496761047400263</v>
      </c>
      <c r="N38" s="87">
        <v>519.73147260872634</v>
      </c>
      <c r="O38" s="119">
        <v>21297.359592871544</v>
      </c>
      <c r="P38" s="121">
        <v>25221.493064175418</v>
      </c>
      <c r="Q38" s="310">
        <v>17304.157641378715</v>
      </c>
      <c r="R38" s="314">
        <v>38601.517234250263</v>
      </c>
      <c r="S38" s="315">
        <v>42525.65070555413</v>
      </c>
      <c r="U38" s="7" t="s">
        <v>1773</v>
      </c>
    </row>
    <row r="39" spans="1:21" s="74" customFormat="1" ht="16.5" customHeight="1" thickBot="1">
      <c r="A39" s="50" t="s">
        <v>35</v>
      </c>
      <c r="B39" s="51">
        <f t="shared" si="0"/>
        <v>80</v>
      </c>
      <c r="C39" s="51" t="s">
        <v>3</v>
      </c>
      <c r="D39" s="51">
        <f t="shared" si="1"/>
        <v>160</v>
      </c>
      <c r="E39" s="51" t="s">
        <v>3</v>
      </c>
      <c r="F39" s="110">
        <f t="shared" si="2"/>
        <v>2050</v>
      </c>
      <c r="G39" s="51" t="s">
        <v>3</v>
      </c>
      <c r="H39" s="48">
        <v>2</v>
      </c>
      <c r="I39" s="49" t="s">
        <v>45</v>
      </c>
      <c r="J39" s="184">
        <v>80</v>
      </c>
      <c r="K39" s="113">
        <v>160</v>
      </c>
      <c r="L39" s="113">
        <v>2050</v>
      </c>
      <c r="M39" s="185">
        <v>13.814718977280261</v>
      </c>
      <c r="N39" s="87">
        <v>535.48091117262709</v>
      </c>
      <c r="O39" s="119">
        <v>21689.35695446884</v>
      </c>
      <c r="P39" s="121">
        <v>25701.893458665083</v>
      </c>
      <c r="Q39" s="310">
        <v>17613.781724609664</v>
      </c>
      <c r="R39" s="314">
        <v>39303.138679078504</v>
      </c>
      <c r="S39" s="315">
        <v>43315.675183274747</v>
      </c>
      <c r="U39" s="7" t="s">
        <v>1774</v>
      </c>
    </row>
    <row r="40" spans="1:21" s="74" customFormat="1" ht="16.5" customHeight="1" thickBot="1">
      <c r="A40" s="47" t="s">
        <v>35</v>
      </c>
      <c r="B40" s="48">
        <f t="shared" si="0"/>
        <v>80</v>
      </c>
      <c r="C40" s="48" t="s">
        <v>3</v>
      </c>
      <c r="D40" s="48">
        <f t="shared" si="1"/>
        <v>160</v>
      </c>
      <c r="E40" s="48" t="s">
        <v>3</v>
      </c>
      <c r="F40" s="110">
        <f t="shared" si="2"/>
        <v>2100</v>
      </c>
      <c r="G40" s="48" t="s">
        <v>3</v>
      </c>
      <c r="H40" s="48">
        <v>2</v>
      </c>
      <c r="I40" s="49" t="s">
        <v>45</v>
      </c>
      <c r="J40" s="184">
        <v>80</v>
      </c>
      <c r="K40" s="113">
        <v>160</v>
      </c>
      <c r="L40" s="113">
        <v>2100</v>
      </c>
      <c r="M40" s="185">
        <v>14.132676907160262</v>
      </c>
      <c r="N40" s="87">
        <v>551.23034973652796</v>
      </c>
      <c r="O40" s="119">
        <v>22081.354316066143</v>
      </c>
      <c r="P40" s="121">
        <v>26182.293853154741</v>
      </c>
      <c r="Q40" s="310">
        <v>18153.98758562389</v>
      </c>
      <c r="R40" s="314">
        <v>40235.34190169003</v>
      </c>
      <c r="S40" s="315">
        <v>44336.281438778635</v>
      </c>
      <c r="U40" s="7" t="s">
        <v>1775</v>
      </c>
    </row>
    <row r="41" spans="1:21" s="74" customFormat="1" ht="16.5" customHeight="1" thickBot="1">
      <c r="A41" s="50" t="s">
        <v>35</v>
      </c>
      <c r="B41" s="51">
        <f t="shared" si="0"/>
        <v>80</v>
      </c>
      <c r="C41" s="51" t="s">
        <v>3</v>
      </c>
      <c r="D41" s="51">
        <f t="shared" si="1"/>
        <v>160</v>
      </c>
      <c r="E41" s="51" t="s">
        <v>3</v>
      </c>
      <c r="F41" s="110">
        <f t="shared" si="2"/>
        <v>2150</v>
      </c>
      <c r="G41" s="51" t="s">
        <v>3</v>
      </c>
      <c r="H41" s="48">
        <v>2</v>
      </c>
      <c r="I41" s="49" t="s">
        <v>45</v>
      </c>
      <c r="J41" s="184">
        <v>80</v>
      </c>
      <c r="K41" s="113">
        <v>160</v>
      </c>
      <c r="L41" s="113">
        <v>2150</v>
      </c>
      <c r="M41" s="185">
        <v>14.450634837040264</v>
      </c>
      <c r="N41" s="87">
        <v>566.97978830042882</v>
      </c>
      <c r="O41" s="119">
        <v>22473.351677663442</v>
      </c>
      <c r="P41" s="121">
        <v>26662.694107251042</v>
      </c>
      <c r="Q41" s="310">
        <v>18463.611528461479</v>
      </c>
      <c r="R41" s="314">
        <v>40936.963206124921</v>
      </c>
      <c r="S41" s="315">
        <v>45126.305635712517</v>
      </c>
      <c r="U41" s="7" t="s">
        <v>1776</v>
      </c>
    </row>
    <row r="42" spans="1:21" s="74" customFormat="1" ht="16.5" customHeight="1" thickBot="1">
      <c r="A42" s="50" t="s">
        <v>35</v>
      </c>
      <c r="B42" s="51">
        <f t="shared" si="0"/>
        <v>80</v>
      </c>
      <c r="C42" s="51" t="s">
        <v>3</v>
      </c>
      <c r="D42" s="51">
        <f t="shared" si="1"/>
        <v>160</v>
      </c>
      <c r="E42" s="51" t="s">
        <v>3</v>
      </c>
      <c r="F42" s="110">
        <f t="shared" si="2"/>
        <v>2200</v>
      </c>
      <c r="G42" s="51" t="s">
        <v>3</v>
      </c>
      <c r="H42" s="48">
        <v>2</v>
      </c>
      <c r="I42" s="49" t="s">
        <v>45</v>
      </c>
      <c r="J42" s="184">
        <v>80</v>
      </c>
      <c r="K42" s="113">
        <v>160</v>
      </c>
      <c r="L42" s="113">
        <v>2200</v>
      </c>
      <c r="M42" s="185">
        <v>14.768592766920261</v>
      </c>
      <c r="N42" s="87">
        <v>582.72922686432958</v>
      </c>
      <c r="O42" s="119">
        <v>22865.349179654106</v>
      </c>
      <c r="P42" s="121">
        <v>27143.094501740707</v>
      </c>
      <c r="Q42" s="310">
        <v>19003.817389475706</v>
      </c>
      <c r="R42" s="314">
        <v>41869.166569129811</v>
      </c>
      <c r="S42" s="315">
        <v>46146.911891216412</v>
      </c>
      <c r="U42" s="7" t="s">
        <v>1777</v>
      </c>
    </row>
    <row r="43" spans="1:21" s="74" customFormat="1" ht="16.5" customHeight="1" thickBot="1">
      <c r="A43" s="50" t="s">
        <v>35</v>
      </c>
      <c r="B43" s="51">
        <f t="shared" si="0"/>
        <v>80</v>
      </c>
      <c r="C43" s="51" t="s">
        <v>3</v>
      </c>
      <c r="D43" s="51">
        <f t="shared" si="1"/>
        <v>160</v>
      </c>
      <c r="E43" s="51" t="s">
        <v>3</v>
      </c>
      <c r="F43" s="110">
        <f t="shared" si="2"/>
        <v>2250</v>
      </c>
      <c r="G43" s="51" t="s">
        <v>3</v>
      </c>
      <c r="H43" s="48">
        <v>2</v>
      </c>
      <c r="I43" s="49" t="s">
        <v>45</v>
      </c>
      <c r="J43" s="184">
        <v>80</v>
      </c>
      <c r="K43" s="113">
        <v>160</v>
      </c>
      <c r="L43" s="113">
        <v>2250</v>
      </c>
      <c r="M43" s="185">
        <v>15.086550696800263</v>
      </c>
      <c r="N43" s="87">
        <v>598.47866542823033</v>
      </c>
      <c r="O43" s="119">
        <v>23257.346541251405</v>
      </c>
      <c r="P43" s="121">
        <v>27623.494896230368</v>
      </c>
      <c r="Q43" s="310">
        <v>19313.441472706654</v>
      </c>
      <c r="R43" s="314">
        <v>42570.788013958059</v>
      </c>
      <c r="S43" s="315">
        <v>46936.936368937022</v>
      </c>
      <c r="U43" s="7" t="s">
        <v>1778</v>
      </c>
    </row>
    <row r="44" spans="1:21" s="74" customFormat="1" ht="16.5" customHeight="1" thickBot="1">
      <c r="A44" s="50" t="s">
        <v>35</v>
      </c>
      <c r="B44" s="51">
        <f t="shared" si="0"/>
        <v>80</v>
      </c>
      <c r="C44" s="51" t="s">
        <v>3</v>
      </c>
      <c r="D44" s="51">
        <f t="shared" si="1"/>
        <v>160</v>
      </c>
      <c r="E44" s="51" t="s">
        <v>3</v>
      </c>
      <c r="F44" s="110">
        <f t="shared" si="2"/>
        <v>2300</v>
      </c>
      <c r="G44" s="51" t="s">
        <v>3</v>
      </c>
      <c r="H44" s="48">
        <v>2</v>
      </c>
      <c r="I44" s="49" t="s">
        <v>45</v>
      </c>
      <c r="J44" s="184">
        <v>80</v>
      </c>
      <c r="K44" s="113">
        <v>160</v>
      </c>
      <c r="L44" s="113">
        <v>2300</v>
      </c>
      <c r="M44" s="185">
        <v>15.404508626680261</v>
      </c>
      <c r="N44" s="87">
        <v>614.22810399213108</v>
      </c>
      <c r="O44" s="119">
        <v>23649.343902848708</v>
      </c>
      <c r="P44" s="121">
        <v>28103.895290720033</v>
      </c>
      <c r="Q44" s="310">
        <v>19623.065415544243</v>
      </c>
      <c r="R44" s="314">
        <v>43272.409318392951</v>
      </c>
      <c r="S44" s="315">
        <v>47726.960706264275</v>
      </c>
      <c r="U44" s="7" t="s">
        <v>1779</v>
      </c>
    </row>
    <row r="45" spans="1:21" s="74" customFormat="1" ht="16.5" customHeight="1" thickBot="1">
      <c r="A45" s="50" t="s">
        <v>35</v>
      </c>
      <c r="B45" s="51">
        <f t="shared" si="0"/>
        <v>80</v>
      </c>
      <c r="C45" s="51" t="s">
        <v>3</v>
      </c>
      <c r="D45" s="51">
        <f t="shared" si="1"/>
        <v>160</v>
      </c>
      <c r="E45" s="51" t="s">
        <v>3</v>
      </c>
      <c r="F45" s="110">
        <f t="shared" si="2"/>
        <v>2350</v>
      </c>
      <c r="G45" s="51" t="s">
        <v>3</v>
      </c>
      <c r="H45" s="48">
        <v>2</v>
      </c>
      <c r="I45" s="49" t="s">
        <v>45</v>
      </c>
      <c r="J45" s="184">
        <v>80</v>
      </c>
      <c r="K45" s="113">
        <v>160</v>
      </c>
      <c r="L45" s="113">
        <v>2350</v>
      </c>
      <c r="M45" s="185">
        <v>15.722466556560263</v>
      </c>
      <c r="N45" s="87">
        <v>629.97754255603195</v>
      </c>
      <c r="O45" s="119">
        <v>24041.341264446008</v>
      </c>
      <c r="P45" s="121">
        <v>28584.295685209694</v>
      </c>
      <c r="Q45" s="310">
        <v>20163.271276558466</v>
      </c>
      <c r="R45" s="314">
        <v>44204.612541004477</v>
      </c>
      <c r="S45" s="315">
        <v>48747.566961768156</v>
      </c>
      <c r="U45" s="7" t="s">
        <v>1780</v>
      </c>
    </row>
    <row r="46" spans="1:21" s="74" customFormat="1" ht="16.5" customHeight="1" thickBot="1">
      <c r="A46" s="50" t="s">
        <v>35</v>
      </c>
      <c r="B46" s="51">
        <f t="shared" si="0"/>
        <v>80</v>
      </c>
      <c r="C46" s="51" t="s">
        <v>3</v>
      </c>
      <c r="D46" s="51">
        <f t="shared" si="1"/>
        <v>160</v>
      </c>
      <c r="E46" s="51" t="s">
        <v>3</v>
      </c>
      <c r="F46" s="110">
        <f t="shared" si="2"/>
        <v>2400</v>
      </c>
      <c r="G46" s="51" t="s">
        <v>3</v>
      </c>
      <c r="H46" s="48">
        <v>2</v>
      </c>
      <c r="I46" s="49" t="s">
        <v>45</v>
      </c>
      <c r="J46" s="184">
        <v>80</v>
      </c>
      <c r="K46" s="113">
        <v>160</v>
      </c>
      <c r="L46" s="113">
        <v>2400</v>
      </c>
      <c r="M46" s="185">
        <v>16.040424486440262</v>
      </c>
      <c r="N46" s="87">
        <v>645.7269811199327</v>
      </c>
      <c r="O46" s="119">
        <v>24433.338766436671</v>
      </c>
      <c r="P46" s="121">
        <v>29064.696079699355</v>
      </c>
      <c r="Q46" s="310">
        <v>20472.895359789418</v>
      </c>
      <c r="R46" s="314">
        <v>44906.234126226089</v>
      </c>
      <c r="S46" s="315">
        <v>49537.591439488773</v>
      </c>
      <c r="U46" s="7" t="s">
        <v>1781</v>
      </c>
    </row>
    <row r="47" spans="1:21" s="74" customFormat="1" ht="16.5" customHeight="1" thickBot="1">
      <c r="A47" s="50" t="s">
        <v>35</v>
      </c>
      <c r="B47" s="51">
        <f t="shared" si="0"/>
        <v>80</v>
      </c>
      <c r="C47" s="51" t="s">
        <v>3</v>
      </c>
      <c r="D47" s="51">
        <f t="shared" si="1"/>
        <v>160</v>
      </c>
      <c r="E47" s="51" t="s">
        <v>3</v>
      </c>
      <c r="F47" s="110">
        <f t="shared" si="2"/>
        <v>2450</v>
      </c>
      <c r="G47" s="51" t="s">
        <v>3</v>
      </c>
      <c r="H47" s="48">
        <v>2</v>
      </c>
      <c r="I47" s="49" t="s">
        <v>45</v>
      </c>
      <c r="J47" s="184">
        <v>80</v>
      </c>
      <c r="K47" s="113">
        <v>160</v>
      </c>
      <c r="L47" s="113">
        <v>2450</v>
      </c>
      <c r="M47" s="185">
        <v>16.43014484512026</v>
      </c>
      <c r="N47" s="87">
        <v>661.47641968383357</v>
      </c>
      <c r="O47" s="119">
        <v>25364.771229488066</v>
      </c>
      <c r="P47" s="121">
        <v>29992.585997034796</v>
      </c>
      <c r="Q47" s="310">
        <v>21013.101220803645</v>
      </c>
      <c r="R47" s="314">
        <v>46377.87245029171</v>
      </c>
      <c r="S47" s="315">
        <v>51005.687217838436</v>
      </c>
      <c r="U47" s="7" t="s">
        <v>1782</v>
      </c>
    </row>
    <row r="48" spans="1:21" s="74" customFormat="1" ht="16.5" customHeight="1" thickBot="1">
      <c r="A48" s="50" t="s">
        <v>35</v>
      </c>
      <c r="B48" s="51">
        <f t="shared" si="0"/>
        <v>80</v>
      </c>
      <c r="C48" s="51" t="s">
        <v>3</v>
      </c>
      <c r="D48" s="51">
        <f t="shared" si="1"/>
        <v>160</v>
      </c>
      <c r="E48" s="51" t="s">
        <v>3</v>
      </c>
      <c r="F48" s="110">
        <f t="shared" si="2"/>
        <v>2500</v>
      </c>
      <c r="G48" s="51" t="s">
        <v>3</v>
      </c>
      <c r="H48" s="48">
        <v>2</v>
      </c>
      <c r="I48" s="49" t="s">
        <v>45</v>
      </c>
      <c r="J48" s="184">
        <v>80</v>
      </c>
      <c r="K48" s="113">
        <v>160</v>
      </c>
      <c r="L48" s="113">
        <v>2500</v>
      </c>
      <c r="M48" s="185">
        <v>16.748102775000262</v>
      </c>
      <c r="N48" s="87">
        <v>677.22585824773432</v>
      </c>
      <c r="O48" s="119">
        <v>25756.768591085369</v>
      </c>
      <c r="P48" s="121">
        <v>30472.986391524457</v>
      </c>
      <c r="Q48" s="310">
        <v>21322.725304034593</v>
      </c>
      <c r="R48" s="314">
        <v>47079.493895119958</v>
      </c>
      <c r="S48" s="315">
        <v>51795.711695559046</v>
      </c>
      <c r="U48" s="7" t="s">
        <v>1783</v>
      </c>
    </row>
    <row r="49" spans="1:21" s="74" customFormat="1" ht="16.5" customHeight="1" thickBot="1">
      <c r="A49" s="50" t="s">
        <v>35</v>
      </c>
      <c r="B49" s="51">
        <f t="shared" si="0"/>
        <v>80</v>
      </c>
      <c r="C49" s="51" t="s">
        <v>3</v>
      </c>
      <c r="D49" s="51">
        <f t="shared" si="1"/>
        <v>160</v>
      </c>
      <c r="E49" s="51" t="s">
        <v>3</v>
      </c>
      <c r="F49" s="110">
        <f t="shared" si="2"/>
        <v>2550</v>
      </c>
      <c r="G49" s="51" t="s">
        <v>3</v>
      </c>
      <c r="H49" s="48">
        <v>2</v>
      </c>
      <c r="I49" s="49" t="s">
        <v>45</v>
      </c>
      <c r="J49" s="184">
        <v>80</v>
      </c>
      <c r="K49" s="113">
        <v>160</v>
      </c>
      <c r="L49" s="113">
        <v>2550</v>
      </c>
      <c r="M49" s="185">
        <v>17.066060704880261</v>
      </c>
      <c r="N49" s="87">
        <v>692.97529681163519</v>
      </c>
      <c r="O49" s="119">
        <v>26148.765952682668</v>
      </c>
      <c r="P49" s="121">
        <v>30953.386786014118</v>
      </c>
      <c r="Q49" s="310">
        <v>21862.931024655456</v>
      </c>
      <c r="R49" s="314">
        <v>48011.696977338128</v>
      </c>
      <c r="S49" s="315">
        <v>52816.31781066957</v>
      </c>
      <c r="U49" s="7" t="s">
        <v>1784</v>
      </c>
    </row>
    <row r="50" spans="1:21" s="74" customFormat="1" ht="16.5" customHeight="1" thickBot="1">
      <c r="A50" s="47" t="s">
        <v>35</v>
      </c>
      <c r="B50" s="48">
        <f t="shared" si="0"/>
        <v>80</v>
      </c>
      <c r="C50" s="48" t="s">
        <v>3</v>
      </c>
      <c r="D50" s="48">
        <f t="shared" si="1"/>
        <v>160</v>
      </c>
      <c r="E50" s="48" t="s">
        <v>3</v>
      </c>
      <c r="F50" s="110">
        <f t="shared" si="2"/>
        <v>2600</v>
      </c>
      <c r="G50" s="48" t="s">
        <v>3</v>
      </c>
      <c r="H50" s="48">
        <v>2</v>
      </c>
      <c r="I50" s="49" t="s">
        <v>45</v>
      </c>
      <c r="J50" s="184">
        <v>80</v>
      </c>
      <c r="K50" s="113">
        <v>160</v>
      </c>
      <c r="L50" s="113">
        <v>2600</v>
      </c>
      <c r="M50" s="185">
        <v>17.384018634760267</v>
      </c>
      <c r="N50" s="87">
        <v>708.72473537553594</v>
      </c>
      <c r="O50" s="119">
        <v>26540.763454673332</v>
      </c>
      <c r="P50" s="121">
        <v>31433.787180503783</v>
      </c>
      <c r="Q50" s="310">
        <v>22172.555107886405</v>
      </c>
      <c r="R50" s="314">
        <v>48713.31856255974</v>
      </c>
      <c r="S50" s="315">
        <v>53606.342288390188</v>
      </c>
      <c r="U50" s="7" t="s">
        <v>1785</v>
      </c>
    </row>
    <row r="51" spans="1:21" s="74" customFormat="1" ht="16.5" customHeight="1" thickBot="1">
      <c r="A51" s="50" t="s">
        <v>35</v>
      </c>
      <c r="B51" s="51">
        <f t="shared" si="0"/>
        <v>80</v>
      </c>
      <c r="C51" s="51" t="s">
        <v>3</v>
      </c>
      <c r="D51" s="51">
        <f t="shared" si="1"/>
        <v>160</v>
      </c>
      <c r="E51" s="51" t="s">
        <v>3</v>
      </c>
      <c r="F51" s="110">
        <f t="shared" si="2"/>
        <v>2650</v>
      </c>
      <c r="G51" s="51" t="s">
        <v>3</v>
      </c>
      <c r="H51" s="48">
        <v>2</v>
      </c>
      <c r="I51" s="49" t="s">
        <v>45</v>
      </c>
      <c r="J51" s="184">
        <v>80</v>
      </c>
      <c r="K51" s="113">
        <v>160</v>
      </c>
      <c r="L51" s="113">
        <v>2650</v>
      </c>
      <c r="M51" s="185">
        <v>17.701976564640262</v>
      </c>
      <c r="N51" s="87">
        <v>724.4741739394367</v>
      </c>
      <c r="O51" s="119">
        <v>26932.760816270631</v>
      </c>
      <c r="P51" s="121">
        <v>31914.187574993444</v>
      </c>
      <c r="Q51" s="310">
        <v>22712.760968900628</v>
      </c>
      <c r="R51" s="314">
        <v>49645.521785171259</v>
      </c>
      <c r="S51" s="315">
        <v>54626.948543894076</v>
      </c>
      <c r="U51" s="7" t="s">
        <v>1786</v>
      </c>
    </row>
    <row r="52" spans="1:21" s="74" customFormat="1" ht="16.5" customHeight="1" thickBot="1">
      <c r="A52" s="50" t="s">
        <v>35</v>
      </c>
      <c r="B52" s="51">
        <f t="shared" si="0"/>
        <v>80</v>
      </c>
      <c r="C52" s="51" t="s">
        <v>3</v>
      </c>
      <c r="D52" s="51">
        <f t="shared" si="1"/>
        <v>160</v>
      </c>
      <c r="E52" s="51" t="s">
        <v>3</v>
      </c>
      <c r="F52" s="110">
        <f t="shared" si="2"/>
        <v>2700</v>
      </c>
      <c r="G52" s="51" t="s">
        <v>3</v>
      </c>
      <c r="H52" s="48">
        <v>2</v>
      </c>
      <c r="I52" s="49" t="s">
        <v>45</v>
      </c>
      <c r="J52" s="184">
        <v>80</v>
      </c>
      <c r="K52" s="113">
        <v>160</v>
      </c>
      <c r="L52" s="113">
        <v>2700</v>
      </c>
      <c r="M52" s="185">
        <v>18.059184494520267</v>
      </c>
      <c r="N52" s="87">
        <v>740.22361250333756</v>
      </c>
      <c r="O52" s="119">
        <v>27370.630024344457</v>
      </c>
      <c r="P52" s="121">
        <v>32439.061498069132</v>
      </c>
      <c r="Q52" s="310">
        <v>23022.385052131584</v>
      </c>
      <c r="R52" s="314">
        <v>50393.01507647604</v>
      </c>
      <c r="S52" s="315">
        <v>55461.446550200715</v>
      </c>
      <c r="U52" s="7" t="s">
        <v>1787</v>
      </c>
    </row>
    <row r="53" spans="1:21" s="74" customFormat="1" ht="16.5" customHeight="1" thickBot="1">
      <c r="A53" s="50" t="s">
        <v>35</v>
      </c>
      <c r="B53" s="51">
        <f t="shared" si="0"/>
        <v>80</v>
      </c>
      <c r="C53" s="51" t="s">
        <v>3</v>
      </c>
      <c r="D53" s="51">
        <f t="shared" si="1"/>
        <v>160</v>
      </c>
      <c r="E53" s="51" t="s">
        <v>3</v>
      </c>
      <c r="F53" s="110">
        <f t="shared" si="2"/>
        <v>2750</v>
      </c>
      <c r="G53" s="51" t="s">
        <v>3</v>
      </c>
      <c r="H53" s="48">
        <v>2</v>
      </c>
      <c r="I53" s="49" t="s">
        <v>45</v>
      </c>
      <c r="J53" s="184">
        <v>80</v>
      </c>
      <c r="K53" s="113">
        <v>160</v>
      </c>
      <c r="L53" s="113">
        <v>2750</v>
      </c>
      <c r="M53" s="185">
        <v>18.377142424400262</v>
      </c>
      <c r="N53" s="87">
        <v>755.97305106723832</v>
      </c>
      <c r="O53" s="119">
        <v>27762.627385941752</v>
      </c>
      <c r="P53" s="121">
        <v>32919.461892558793</v>
      </c>
      <c r="Q53" s="310">
        <v>23332.008994969165</v>
      </c>
      <c r="R53" s="314">
        <v>51094.636380910917</v>
      </c>
      <c r="S53" s="315">
        <v>56251.470887527961</v>
      </c>
      <c r="U53" s="7" t="s">
        <v>1788</v>
      </c>
    </row>
    <row r="54" spans="1:21" s="74" customFormat="1" ht="16.5" customHeight="1" thickBot="1">
      <c r="A54" s="50" t="s">
        <v>35</v>
      </c>
      <c r="B54" s="51">
        <f t="shared" si="0"/>
        <v>80</v>
      </c>
      <c r="C54" s="51" t="s">
        <v>3</v>
      </c>
      <c r="D54" s="51">
        <f t="shared" si="1"/>
        <v>160</v>
      </c>
      <c r="E54" s="51" t="s">
        <v>3</v>
      </c>
      <c r="F54" s="110">
        <f t="shared" si="2"/>
        <v>2800</v>
      </c>
      <c r="G54" s="51" t="s">
        <v>3</v>
      </c>
      <c r="H54" s="48">
        <v>2</v>
      </c>
      <c r="I54" s="49" t="s">
        <v>45</v>
      </c>
      <c r="J54" s="184">
        <v>80</v>
      </c>
      <c r="K54" s="113">
        <v>160</v>
      </c>
      <c r="L54" s="113">
        <v>2800</v>
      </c>
      <c r="M54" s="185">
        <v>18.695100354280264</v>
      </c>
      <c r="N54" s="87">
        <v>771.72248963113918</v>
      </c>
      <c r="O54" s="119">
        <v>28154.624747539059</v>
      </c>
      <c r="P54" s="121">
        <v>33399.862287048461</v>
      </c>
      <c r="Q54" s="310">
        <v>23872.214855983391</v>
      </c>
      <c r="R54" s="314">
        <v>52026.83960352245</v>
      </c>
      <c r="S54" s="315">
        <v>57272.077143031856</v>
      </c>
      <c r="U54" s="7" t="s">
        <v>1789</v>
      </c>
    </row>
    <row r="55" spans="1:21" s="74" customFormat="1" ht="16.5" customHeight="1" thickBot="1">
      <c r="A55" s="50" t="s">
        <v>35</v>
      </c>
      <c r="B55" s="51">
        <f t="shared" si="0"/>
        <v>80</v>
      </c>
      <c r="C55" s="51" t="s">
        <v>3</v>
      </c>
      <c r="D55" s="51">
        <f t="shared" si="1"/>
        <v>160</v>
      </c>
      <c r="E55" s="51" t="s">
        <v>3</v>
      </c>
      <c r="F55" s="110">
        <f t="shared" si="2"/>
        <v>2850</v>
      </c>
      <c r="G55" s="51" t="s">
        <v>3</v>
      </c>
      <c r="H55" s="48">
        <v>2</v>
      </c>
      <c r="I55" s="49" t="s">
        <v>45</v>
      </c>
      <c r="J55" s="184">
        <v>80</v>
      </c>
      <c r="K55" s="113">
        <v>160</v>
      </c>
      <c r="L55" s="113">
        <v>2850</v>
      </c>
      <c r="M55" s="185">
        <v>19.013058284160262</v>
      </c>
      <c r="N55" s="87">
        <v>787.47192819503994</v>
      </c>
      <c r="O55" s="119">
        <v>28546.622249529722</v>
      </c>
      <c r="P55" s="121">
        <v>33880.262541144759</v>
      </c>
      <c r="Q55" s="310">
        <v>24181.838939214344</v>
      </c>
      <c r="R55" s="314">
        <v>52728.46118874407</v>
      </c>
      <c r="S55" s="315">
        <v>58062.101480359102</v>
      </c>
      <c r="U55" s="7" t="s">
        <v>1790</v>
      </c>
    </row>
    <row r="56" spans="1:21" s="74" customFormat="1" ht="16.5" customHeight="1" thickBot="1">
      <c r="A56" s="50" t="s">
        <v>35</v>
      </c>
      <c r="B56" s="51">
        <f t="shared" si="0"/>
        <v>80</v>
      </c>
      <c r="C56" s="51" t="s">
        <v>3</v>
      </c>
      <c r="D56" s="51">
        <f t="shared" si="1"/>
        <v>160</v>
      </c>
      <c r="E56" s="51" t="s">
        <v>3</v>
      </c>
      <c r="F56" s="110">
        <f t="shared" si="2"/>
        <v>2900</v>
      </c>
      <c r="G56" s="51" t="s">
        <v>3</v>
      </c>
      <c r="H56" s="48">
        <v>2</v>
      </c>
      <c r="I56" s="49" t="s">
        <v>45</v>
      </c>
      <c r="J56" s="184">
        <v>80</v>
      </c>
      <c r="K56" s="113">
        <v>160</v>
      </c>
      <c r="L56" s="113">
        <v>2900</v>
      </c>
      <c r="M56" s="185">
        <v>19.331016214040265</v>
      </c>
      <c r="N56" s="87">
        <v>803.22136675894069</v>
      </c>
      <c r="O56" s="119">
        <v>28938.619611127018</v>
      </c>
      <c r="P56" s="121">
        <v>34360.66293563442</v>
      </c>
      <c r="Q56" s="310">
        <v>24722.044800228567</v>
      </c>
      <c r="R56" s="314">
        <v>53660.664411355581</v>
      </c>
      <c r="S56" s="315">
        <v>59082.70773586299</v>
      </c>
      <c r="U56" s="7" t="s">
        <v>1791</v>
      </c>
    </row>
    <row r="57" spans="1:21" s="74" customFormat="1" ht="16.5" customHeight="1" thickBot="1">
      <c r="A57" s="50" t="s">
        <v>35</v>
      </c>
      <c r="B57" s="51">
        <f t="shared" si="0"/>
        <v>80</v>
      </c>
      <c r="C57" s="51" t="s">
        <v>3</v>
      </c>
      <c r="D57" s="51">
        <f t="shared" si="1"/>
        <v>160</v>
      </c>
      <c r="E57" s="51" t="s">
        <v>3</v>
      </c>
      <c r="F57" s="110">
        <f t="shared" si="2"/>
        <v>2950</v>
      </c>
      <c r="G57" s="51" t="s">
        <v>3</v>
      </c>
      <c r="H57" s="48">
        <v>2</v>
      </c>
      <c r="I57" s="49" t="s">
        <v>45</v>
      </c>
      <c r="J57" s="184">
        <v>80</v>
      </c>
      <c r="K57" s="113">
        <v>160</v>
      </c>
      <c r="L57" s="113">
        <v>2950</v>
      </c>
      <c r="M57" s="185">
        <v>19.648974143920263</v>
      </c>
      <c r="N57" s="87">
        <v>818.97080532284156</v>
      </c>
      <c r="O57" s="119">
        <v>29330.616972724318</v>
      </c>
      <c r="P57" s="121">
        <v>34841.063330124081</v>
      </c>
      <c r="Q57" s="310">
        <v>25031.668743066155</v>
      </c>
      <c r="R57" s="314">
        <v>54362.285715790473</v>
      </c>
      <c r="S57" s="315">
        <v>59872.732073190236</v>
      </c>
      <c r="U57" s="7" t="s">
        <v>1792</v>
      </c>
    </row>
    <row r="58" spans="1:21" s="74" customFormat="1" ht="16.5" customHeight="1" thickBot="1">
      <c r="A58" s="52" t="s">
        <v>35</v>
      </c>
      <c r="B58" s="53">
        <f t="shared" si="0"/>
        <v>80</v>
      </c>
      <c r="C58" s="53" t="s">
        <v>3</v>
      </c>
      <c r="D58" s="53">
        <f t="shared" si="1"/>
        <v>160</v>
      </c>
      <c r="E58" s="53" t="s">
        <v>3</v>
      </c>
      <c r="F58" s="111">
        <f t="shared" si="2"/>
        <v>3000</v>
      </c>
      <c r="G58" s="53" t="s">
        <v>3</v>
      </c>
      <c r="H58" s="55">
        <v>2</v>
      </c>
      <c r="I58" s="54" t="s">
        <v>45</v>
      </c>
      <c r="J58" s="184">
        <v>80</v>
      </c>
      <c r="K58" s="157">
        <v>160</v>
      </c>
      <c r="L58" s="157">
        <v>3000</v>
      </c>
      <c r="M58" s="187">
        <v>19.966932073800262</v>
      </c>
      <c r="N58" s="148">
        <v>834.72024388674231</v>
      </c>
      <c r="O58" s="189">
        <v>29722.614334321617</v>
      </c>
      <c r="P58" s="158">
        <v>35321.463724613743</v>
      </c>
      <c r="Q58" s="311">
        <v>25571.874604080382</v>
      </c>
      <c r="R58" s="316">
        <v>55294.488938401999</v>
      </c>
      <c r="S58" s="317">
        <v>60893.338328694124</v>
      </c>
      <c r="U58" s="7" t="s">
        <v>1793</v>
      </c>
    </row>
    <row r="59" spans="1:21" s="74" customFormat="1" ht="23.25" customHeight="1" thickBot="1">
      <c r="A59" s="2621" t="s">
        <v>51</v>
      </c>
      <c r="B59" s="2622"/>
      <c r="C59" s="2622"/>
      <c r="D59" s="2622"/>
      <c r="E59" s="2622"/>
      <c r="F59" s="2622"/>
      <c r="G59" s="2622"/>
      <c r="H59" s="2622"/>
      <c r="I59" s="2622"/>
      <c r="J59" s="2622"/>
      <c r="K59" s="2622"/>
      <c r="L59" s="2622"/>
      <c r="M59" s="2622"/>
      <c r="N59" s="2622"/>
      <c r="O59" s="2622"/>
      <c r="P59" s="2622"/>
      <c r="Q59" s="2622"/>
      <c r="R59" s="2659"/>
      <c r="S59" s="2660"/>
      <c r="U59" s="7"/>
    </row>
    <row r="60" spans="1:21" s="74" customFormat="1" ht="17.25" customHeight="1" thickBot="1">
      <c r="A60" s="2583" t="s">
        <v>134</v>
      </c>
      <c r="B60" s="2584"/>
      <c r="C60" s="2584"/>
      <c r="D60" s="2584"/>
      <c r="E60" s="2584"/>
      <c r="F60" s="2584"/>
      <c r="G60" s="2584"/>
      <c r="H60" s="2584"/>
      <c r="I60" s="2584"/>
      <c r="J60" s="2584"/>
      <c r="K60" s="2584"/>
      <c r="L60" s="2584"/>
      <c r="M60" s="2584"/>
      <c r="N60" s="2584"/>
      <c r="O60" s="2584"/>
      <c r="P60" s="2584"/>
      <c r="Q60" s="2584"/>
      <c r="R60" s="2584"/>
      <c r="S60" s="2585"/>
      <c r="U60" s="7"/>
    </row>
    <row r="61" spans="1:21" s="74" customFormat="1" ht="16.5" customHeight="1" thickBot="1">
      <c r="A61" s="47" t="s">
        <v>35</v>
      </c>
      <c r="B61" s="48">
        <f>J61</f>
        <v>80</v>
      </c>
      <c r="C61" s="48" t="s">
        <v>3</v>
      </c>
      <c r="D61" s="48">
        <f>K61</f>
        <v>200</v>
      </c>
      <c r="E61" s="48" t="s">
        <v>3</v>
      </c>
      <c r="F61" s="110">
        <f>L61</f>
        <v>600</v>
      </c>
      <c r="G61" s="48" t="s">
        <v>3</v>
      </c>
      <c r="H61" s="48">
        <v>2</v>
      </c>
      <c r="I61" s="49" t="s">
        <v>45</v>
      </c>
      <c r="J61" s="181">
        <v>80</v>
      </c>
      <c r="K61" s="168">
        <v>200</v>
      </c>
      <c r="L61" s="168">
        <v>600</v>
      </c>
      <c r="M61" s="182">
        <v>4.886854405328684</v>
      </c>
      <c r="N61" s="144">
        <v>89.485446385799989</v>
      </c>
      <c r="O61" s="183">
        <v>9706.8104206194403</v>
      </c>
      <c r="P61" s="188">
        <v>10940.283619426353</v>
      </c>
      <c r="Q61" s="169">
        <v>6535.0358533845019</v>
      </c>
      <c r="R61" s="312">
        <v>16241.846274003943</v>
      </c>
      <c r="S61" s="313">
        <v>17475.319472810854</v>
      </c>
      <c r="U61" s="7" t="s">
        <v>1794</v>
      </c>
    </row>
    <row r="62" spans="1:21" s="74" customFormat="1" ht="16.5" customHeight="1" thickBot="1">
      <c r="A62" s="50" t="s">
        <v>35</v>
      </c>
      <c r="B62" s="51">
        <f t="shared" ref="B62:B109" si="3">J62</f>
        <v>80</v>
      </c>
      <c r="C62" s="51" t="s">
        <v>3</v>
      </c>
      <c r="D62" s="51">
        <f t="shared" ref="D62:D109" si="4">K62</f>
        <v>200</v>
      </c>
      <c r="E62" s="51" t="s">
        <v>3</v>
      </c>
      <c r="F62" s="110">
        <f t="shared" ref="F62:F109" si="5">L62</f>
        <v>650</v>
      </c>
      <c r="G62" s="51" t="s">
        <v>3</v>
      </c>
      <c r="H62" s="48">
        <v>2</v>
      </c>
      <c r="I62" s="49" t="s">
        <v>45</v>
      </c>
      <c r="J62" s="184">
        <v>80</v>
      </c>
      <c r="K62" s="113">
        <v>200</v>
      </c>
      <c r="L62" s="113">
        <v>650</v>
      </c>
      <c r="M62" s="185">
        <v>5.2375586746823686</v>
      </c>
      <c r="N62" s="87">
        <v>107.38253566295998</v>
      </c>
      <c r="O62" s="121">
        <v>10098.490493217489</v>
      </c>
      <c r="P62" s="119">
        <v>11420.991615773251</v>
      </c>
      <c r="Q62" s="120">
        <v>6893.4546325058636</v>
      </c>
      <c r="R62" s="314">
        <v>16991.945125723352</v>
      </c>
      <c r="S62" s="315">
        <v>18314.446248279113</v>
      </c>
      <c r="U62" s="7" t="s">
        <v>1795</v>
      </c>
    </row>
    <row r="63" spans="1:21" s="74" customFormat="1" ht="16.5" customHeight="1" thickBot="1">
      <c r="A63" s="50" t="s">
        <v>35</v>
      </c>
      <c r="B63" s="51">
        <f t="shared" si="3"/>
        <v>80</v>
      </c>
      <c r="C63" s="51" t="s">
        <v>3</v>
      </c>
      <c r="D63" s="51">
        <f t="shared" si="4"/>
        <v>200</v>
      </c>
      <c r="E63" s="51" t="s">
        <v>3</v>
      </c>
      <c r="F63" s="110">
        <f t="shared" si="5"/>
        <v>700</v>
      </c>
      <c r="G63" s="51" t="s">
        <v>3</v>
      </c>
      <c r="H63" s="48">
        <v>2</v>
      </c>
      <c r="I63" s="49" t="s">
        <v>45</v>
      </c>
      <c r="J63" s="184">
        <v>80</v>
      </c>
      <c r="K63" s="113">
        <v>200</v>
      </c>
      <c r="L63" s="113">
        <v>700</v>
      </c>
      <c r="M63" s="185">
        <v>5.5882629440360523</v>
      </c>
      <c r="N63" s="87">
        <v>125.27962494011997</v>
      </c>
      <c r="O63" s="121">
        <v>10490.170565815539</v>
      </c>
      <c r="P63" s="119">
        <v>11901.699612120152</v>
      </c>
      <c r="Q63" s="120">
        <v>7482.4550490171396</v>
      </c>
      <c r="R63" s="314">
        <v>17972.625614832679</v>
      </c>
      <c r="S63" s="315">
        <v>19384.154661137291</v>
      </c>
      <c r="U63" s="7" t="s">
        <v>1796</v>
      </c>
    </row>
    <row r="64" spans="1:21" s="74" customFormat="1" ht="16.5" customHeight="1" thickBot="1">
      <c r="A64" s="50" t="s">
        <v>35</v>
      </c>
      <c r="B64" s="51">
        <f t="shared" si="3"/>
        <v>80</v>
      </c>
      <c r="C64" s="51" t="s">
        <v>3</v>
      </c>
      <c r="D64" s="51">
        <f t="shared" si="4"/>
        <v>200</v>
      </c>
      <c r="E64" s="51" t="s">
        <v>3</v>
      </c>
      <c r="F64" s="110">
        <f t="shared" si="5"/>
        <v>750</v>
      </c>
      <c r="G64" s="51" t="s">
        <v>3</v>
      </c>
      <c r="H64" s="48">
        <v>2</v>
      </c>
      <c r="I64" s="49" t="s">
        <v>45</v>
      </c>
      <c r="J64" s="184">
        <v>80</v>
      </c>
      <c r="K64" s="113">
        <v>200</v>
      </c>
      <c r="L64" s="113">
        <v>750</v>
      </c>
      <c r="M64" s="185">
        <v>5.9389672133897378</v>
      </c>
      <c r="N64" s="87">
        <v>143.17671421727999</v>
      </c>
      <c r="O64" s="121">
        <v>10881.850638413591</v>
      </c>
      <c r="P64" s="119">
        <v>12382.407608467052</v>
      </c>
      <c r="Q64" s="120">
        <v>7840.8736877451383</v>
      </c>
      <c r="R64" s="314">
        <v>18722.724326158728</v>
      </c>
      <c r="S64" s="315">
        <v>20223.28129621219</v>
      </c>
      <c r="U64" s="7" t="s">
        <v>1797</v>
      </c>
    </row>
    <row r="65" spans="1:21" s="74" customFormat="1" ht="16.5" customHeight="1" thickBot="1">
      <c r="A65" s="50" t="s">
        <v>35</v>
      </c>
      <c r="B65" s="51">
        <f t="shared" si="3"/>
        <v>80</v>
      </c>
      <c r="C65" s="51" t="s">
        <v>3</v>
      </c>
      <c r="D65" s="51">
        <f t="shared" si="4"/>
        <v>200</v>
      </c>
      <c r="E65" s="51" t="s">
        <v>3</v>
      </c>
      <c r="F65" s="110">
        <f t="shared" si="5"/>
        <v>800</v>
      </c>
      <c r="G65" s="51" t="s">
        <v>3</v>
      </c>
      <c r="H65" s="48">
        <v>2</v>
      </c>
      <c r="I65" s="49" t="s">
        <v>45</v>
      </c>
      <c r="J65" s="184">
        <v>80</v>
      </c>
      <c r="K65" s="113">
        <v>200</v>
      </c>
      <c r="L65" s="113">
        <v>800</v>
      </c>
      <c r="M65" s="185">
        <v>6.2896714827434206</v>
      </c>
      <c r="N65" s="87">
        <v>161.07380349443997</v>
      </c>
      <c r="O65" s="121">
        <v>11273.530711011639</v>
      </c>
      <c r="P65" s="119">
        <v>12863.115604813955</v>
      </c>
      <c r="Q65" s="120">
        <v>8199.2923264731398</v>
      </c>
      <c r="R65" s="314">
        <v>19472.823037484777</v>
      </c>
      <c r="S65" s="315">
        <v>21062.407931287096</v>
      </c>
      <c r="U65" s="7" t="s">
        <v>1798</v>
      </c>
    </row>
    <row r="66" spans="1:21" s="74" customFormat="1" ht="16.5" customHeight="1" thickBot="1">
      <c r="A66" s="50" t="s">
        <v>35</v>
      </c>
      <c r="B66" s="51">
        <f t="shared" si="3"/>
        <v>80</v>
      </c>
      <c r="C66" s="51" t="s">
        <v>3</v>
      </c>
      <c r="D66" s="51">
        <f t="shared" si="4"/>
        <v>200</v>
      </c>
      <c r="E66" s="51" t="s">
        <v>3</v>
      </c>
      <c r="F66" s="110">
        <f t="shared" si="5"/>
        <v>850</v>
      </c>
      <c r="G66" s="51" t="s">
        <v>3</v>
      </c>
      <c r="H66" s="48">
        <v>2</v>
      </c>
      <c r="I66" s="49" t="s">
        <v>45</v>
      </c>
      <c r="J66" s="184">
        <v>80</v>
      </c>
      <c r="K66" s="113">
        <v>200</v>
      </c>
      <c r="L66" s="113">
        <v>850</v>
      </c>
      <c r="M66" s="185">
        <v>6.6403757520971052</v>
      </c>
      <c r="N66" s="87">
        <v>178.97089277159998</v>
      </c>
      <c r="O66" s="121">
        <v>11665.210783609691</v>
      </c>
      <c r="P66" s="119">
        <v>13343.823741554215</v>
      </c>
      <c r="Q66" s="120">
        <v>8788.2927429844149</v>
      </c>
      <c r="R66" s="314">
        <v>20453.503526594104</v>
      </c>
      <c r="S66" s="315">
        <v>22132.11648453863</v>
      </c>
      <c r="U66" s="7" t="s">
        <v>1799</v>
      </c>
    </row>
    <row r="67" spans="1:21" s="74" customFormat="1" ht="16.5" customHeight="1" thickBot="1">
      <c r="A67" s="50" t="s">
        <v>35</v>
      </c>
      <c r="B67" s="51">
        <f t="shared" si="3"/>
        <v>80</v>
      </c>
      <c r="C67" s="51" t="s">
        <v>3</v>
      </c>
      <c r="D67" s="51">
        <f t="shared" si="4"/>
        <v>200</v>
      </c>
      <c r="E67" s="51" t="s">
        <v>3</v>
      </c>
      <c r="F67" s="110">
        <f t="shared" si="5"/>
        <v>900</v>
      </c>
      <c r="G67" s="51" t="s">
        <v>3</v>
      </c>
      <c r="H67" s="48">
        <v>2</v>
      </c>
      <c r="I67" s="49" t="s">
        <v>45</v>
      </c>
      <c r="J67" s="184">
        <v>80</v>
      </c>
      <c r="K67" s="113">
        <v>200</v>
      </c>
      <c r="L67" s="113">
        <v>900</v>
      </c>
      <c r="M67" s="185">
        <v>6.9910800214507898</v>
      </c>
      <c r="N67" s="87">
        <v>196.86798204875998</v>
      </c>
      <c r="O67" s="121">
        <v>12056.890856207741</v>
      </c>
      <c r="P67" s="119">
        <v>13824.531737901116</v>
      </c>
      <c r="Q67" s="120">
        <v>9146.7115221057775</v>
      </c>
      <c r="R67" s="314">
        <v>21203.602378313517</v>
      </c>
      <c r="S67" s="315">
        <v>22971.243260006893</v>
      </c>
      <c r="U67" s="7" t="s">
        <v>1800</v>
      </c>
    </row>
    <row r="68" spans="1:21" s="74" customFormat="1" ht="16.5" customHeight="1" thickBot="1">
      <c r="A68" s="50" t="s">
        <v>35</v>
      </c>
      <c r="B68" s="51">
        <f t="shared" si="3"/>
        <v>80</v>
      </c>
      <c r="C68" s="51" t="s">
        <v>3</v>
      </c>
      <c r="D68" s="51">
        <f t="shared" si="4"/>
        <v>200</v>
      </c>
      <c r="E68" s="51" t="s">
        <v>3</v>
      </c>
      <c r="F68" s="110">
        <f t="shared" si="5"/>
        <v>950</v>
      </c>
      <c r="G68" s="51" t="s">
        <v>3</v>
      </c>
      <c r="H68" s="48">
        <v>2</v>
      </c>
      <c r="I68" s="49" t="s">
        <v>45</v>
      </c>
      <c r="J68" s="184">
        <v>80</v>
      </c>
      <c r="K68" s="113">
        <v>200</v>
      </c>
      <c r="L68" s="113">
        <v>950</v>
      </c>
      <c r="M68" s="185">
        <v>7.3417842908044735</v>
      </c>
      <c r="N68" s="87">
        <v>214.76507132591996</v>
      </c>
      <c r="O68" s="121">
        <v>12448.57092880579</v>
      </c>
      <c r="P68" s="119">
        <v>14305.239734248016</v>
      </c>
      <c r="Q68" s="120">
        <v>9735.7119386170507</v>
      </c>
      <c r="R68" s="314">
        <v>22184.28286742284</v>
      </c>
      <c r="S68" s="315">
        <v>24040.951672865067</v>
      </c>
      <c r="U68" s="7" t="s">
        <v>1801</v>
      </c>
    </row>
    <row r="69" spans="1:21" s="74" customFormat="1" ht="16.5" customHeight="1" thickBot="1">
      <c r="A69" s="50" t="s">
        <v>35</v>
      </c>
      <c r="B69" s="51">
        <f t="shared" si="3"/>
        <v>80</v>
      </c>
      <c r="C69" s="51" t="s">
        <v>3</v>
      </c>
      <c r="D69" s="51">
        <f t="shared" si="4"/>
        <v>200</v>
      </c>
      <c r="E69" s="51" t="s">
        <v>3</v>
      </c>
      <c r="F69" s="110">
        <f t="shared" si="5"/>
        <v>1000</v>
      </c>
      <c r="G69" s="51" t="s">
        <v>3</v>
      </c>
      <c r="H69" s="48">
        <v>2</v>
      </c>
      <c r="I69" s="49" t="s">
        <v>45</v>
      </c>
      <c r="J69" s="184">
        <v>80</v>
      </c>
      <c r="K69" s="113">
        <v>200</v>
      </c>
      <c r="L69" s="113">
        <v>1000</v>
      </c>
      <c r="M69" s="185">
        <v>7.6924885601581572</v>
      </c>
      <c r="N69" s="87">
        <v>232.66216060307997</v>
      </c>
      <c r="O69" s="121">
        <v>12840.25100140384</v>
      </c>
      <c r="P69" s="119">
        <v>14785.947730594915</v>
      </c>
      <c r="Q69" s="120">
        <v>10094.130577345051</v>
      </c>
      <c r="R69" s="314">
        <v>22934.381578748893</v>
      </c>
      <c r="S69" s="315">
        <v>24880.078307939966</v>
      </c>
      <c r="U69" s="7" t="s">
        <v>1802</v>
      </c>
    </row>
    <row r="70" spans="1:21" s="74" customFormat="1" ht="16.5" customHeight="1" thickBot="1">
      <c r="A70" s="50" t="s">
        <v>35</v>
      </c>
      <c r="B70" s="51">
        <f t="shared" si="3"/>
        <v>80</v>
      </c>
      <c r="C70" s="51" t="s">
        <v>3</v>
      </c>
      <c r="D70" s="51">
        <f t="shared" si="4"/>
        <v>200</v>
      </c>
      <c r="E70" s="51" t="s">
        <v>3</v>
      </c>
      <c r="F70" s="110">
        <f t="shared" si="5"/>
        <v>1050</v>
      </c>
      <c r="G70" s="51" t="s">
        <v>3</v>
      </c>
      <c r="H70" s="48">
        <v>2</v>
      </c>
      <c r="I70" s="49" t="s">
        <v>45</v>
      </c>
      <c r="J70" s="184">
        <v>80</v>
      </c>
      <c r="K70" s="113">
        <v>200</v>
      </c>
      <c r="L70" s="113">
        <v>1050</v>
      </c>
      <c r="M70" s="185">
        <v>8.0431928295118418</v>
      </c>
      <c r="N70" s="87">
        <v>250.55924988023995</v>
      </c>
      <c r="O70" s="121">
        <v>13231.93107400189</v>
      </c>
      <c r="P70" s="119">
        <v>15266.655726941817</v>
      </c>
      <c r="Q70" s="120">
        <v>10683.130993856326</v>
      </c>
      <c r="R70" s="314">
        <v>23915.062067858216</v>
      </c>
      <c r="S70" s="315">
        <v>25949.786720798144</v>
      </c>
      <c r="U70" s="7" t="s">
        <v>1803</v>
      </c>
    </row>
    <row r="71" spans="1:21" s="74" customFormat="1" ht="16.5" customHeight="1" thickBot="1">
      <c r="A71" s="47" t="s">
        <v>35</v>
      </c>
      <c r="B71" s="48">
        <f t="shared" si="3"/>
        <v>80</v>
      </c>
      <c r="C71" s="48" t="s">
        <v>3</v>
      </c>
      <c r="D71" s="48">
        <f t="shared" si="4"/>
        <v>200</v>
      </c>
      <c r="E71" s="48" t="s">
        <v>3</v>
      </c>
      <c r="F71" s="110">
        <f t="shared" si="5"/>
        <v>1100</v>
      </c>
      <c r="G71" s="48" t="s">
        <v>3</v>
      </c>
      <c r="H71" s="48">
        <v>2</v>
      </c>
      <c r="I71" s="49" t="s">
        <v>45</v>
      </c>
      <c r="J71" s="184">
        <v>80</v>
      </c>
      <c r="K71" s="113">
        <v>200</v>
      </c>
      <c r="L71" s="113">
        <v>1100</v>
      </c>
      <c r="M71" s="185">
        <v>8.3938970988655264</v>
      </c>
      <c r="N71" s="87">
        <v>268.45633915739995</v>
      </c>
      <c r="O71" s="121">
        <v>13623.61114659994</v>
      </c>
      <c r="P71" s="119">
        <v>15747.363723288716</v>
      </c>
      <c r="Q71" s="120">
        <v>11041.549772977691</v>
      </c>
      <c r="R71" s="314">
        <v>24665.160919577633</v>
      </c>
      <c r="S71" s="315">
        <v>26788.913496266407</v>
      </c>
      <c r="U71" s="7" t="s">
        <v>1804</v>
      </c>
    </row>
    <row r="72" spans="1:21" s="74" customFormat="1" ht="16.5" customHeight="1" thickBot="1">
      <c r="A72" s="50" t="s">
        <v>35</v>
      </c>
      <c r="B72" s="51">
        <f t="shared" si="3"/>
        <v>80</v>
      </c>
      <c r="C72" s="51" t="s">
        <v>3</v>
      </c>
      <c r="D72" s="51">
        <f t="shared" si="4"/>
        <v>200</v>
      </c>
      <c r="E72" s="51" t="s">
        <v>3</v>
      </c>
      <c r="F72" s="110">
        <f t="shared" si="5"/>
        <v>1150</v>
      </c>
      <c r="G72" s="51" t="s">
        <v>3</v>
      </c>
      <c r="H72" s="48">
        <v>2</v>
      </c>
      <c r="I72" s="49" t="s">
        <v>45</v>
      </c>
      <c r="J72" s="184">
        <v>80</v>
      </c>
      <c r="K72" s="113">
        <v>200</v>
      </c>
      <c r="L72" s="113">
        <v>1150</v>
      </c>
      <c r="M72" s="185">
        <v>8.744601368219211</v>
      </c>
      <c r="N72" s="87">
        <v>286.35342843455999</v>
      </c>
      <c r="O72" s="121">
        <v>14015.291359591352</v>
      </c>
      <c r="P72" s="119">
        <v>16228.071719635616</v>
      </c>
      <c r="Q72" s="120">
        <v>11399.96841170569</v>
      </c>
      <c r="R72" s="314">
        <v>25415.259771297042</v>
      </c>
      <c r="S72" s="315">
        <v>27628.040131341306</v>
      </c>
      <c r="U72" s="7" t="s">
        <v>1805</v>
      </c>
    </row>
    <row r="73" spans="1:21" s="74" customFormat="1" ht="16.5" customHeight="1" thickBot="1">
      <c r="A73" s="50" t="s">
        <v>35</v>
      </c>
      <c r="B73" s="51">
        <f t="shared" si="3"/>
        <v>80</v>
      </c>
      <c r="C73" s="51" t="s">
        <v>3</v>
      </c>
      <c r="D73" s="51">
        <f t="shared" si="4"/>
        <v>200</v>
      </c>
      <c r="E73" s="51" t="s">
        <v>3</v>
      </c>
      <c r="F73" s="110">
        <f t="shared" si="5"/>
        <v>1200</v>
      </c>
      <c r="G73" s="51" t="s">
        <v>3</v>
      </c>
      <c r="H73" s="48">
        <v>2</v>
      </c>
      <c r="I73" s="49" t="s">
        <v>45</v>
      </c>
      <c r="J73" s="184">
        <v>80</v>
      </c>
      <c r="K73" s="113">
        <v>200</v>
      </c>
      <c r="L73" s="113">
        <v>1200</v>
      </c>
      <c r="M73" s="185">
        <v>9.1345556375728947</v>
      </c>
      <c r="N73" s="87">
        <v>304.25051771171997</v>
      </c>
      <c r="O73" s="121">
        <v>14452.843138272565</v>
      </c>
      <c r="P73" s="119">
        <v>16753.253384961903</v>
      </c>
      <c r="Q73" s="120">
        <v>11988.968828216965</v>
      </c>
      <c r="R73" s="314">
        <v>26441.811966489528</v>
      </c>
      <c r="S73" s="315">
        <v>28742.222213178866</v>
      </c>
      <c r="U73" s="7" t="s">
        <v>1806</v>
      </c>
    </row>
    <row r="74" spans="1:21" s="74" customFormat="1" ht="16.5" customHeight="1" thickBot="1">
      <c r="A74" s="50" t="s">
        <v>35</v>
      </c>
      <c r="B74" s="51">
        <f t="shared" si="3"/>
        <v>80</v>
      </c>
      <c r="C74" s="51" t="s">
        <v>3</v>
      </c>
      <c r="D74" s="51">
        <f t="shared" si="4"/>
        <v>200</v>
      </c>
      <c r="E74" s="51" t="s">
        <v>3</v>
      </c>
      <c r="F74" s="110">
        <f t="shared" si="5"/>
        <v>1250</v>
      </c>
      <c r="G74" s="51" t="s">
        <v>3</v>
      </c>
      <c r="H74" s="48">
        <v>2</v>
      </c>
      <c r="I74" s="49" t="s">
        <v>45</v>
      </c>
      <c r="J74" s="184">
        <v>80</v>
      </c>
      <c r="K74" s="113">
        <v>200</v>
      </c>
      <c r="L74" s="113">
        <v>1250</v>
      </c>
      <c r="M74" s="185">
        <v>9.4852599069265793</v>
      </c>
      <c r="N74" s="87">
        <v>322.14760698887994</v>
      </c>
      <c r="O74" s="121">
        <v>14844.523210870615</v>
      </c>
      <c r="P74" s="119">
        <v>17233.961381308804</v>
      </c>
      <c r="Q74" s="120">
        <v>12347.387466944965</v>
      </c>
      <c r="R74" s="314">
        <v>27191.91067781558</v>
      </c>
      <c r="S74" s="315">
        <v>29581.348848253769</v>
      </c>
      <c r="U74" s="7" t="s">
        <v>1807</v>
      </c>
    </row>
    <row r="75" spans="1:21" s="74" customFormat="1" ht="16.5" customHeight="1" thickBot="1">
      <c r="A75" s="50" t="s">
        <v>35</v>
      </c>
      <c r="B75" s="51">
        <f t="shared" si="3"/>
        <v>80</v>
      </c>
      <c r="C75" s="51" t="s">
        <v>3</v>
      </c>
      <c r="D75" s="51">
        <f t="shared" si="4"/>
        <v>200</v>
      </c>
      <c r="E75" s="51" t="s">
        <v>3</v>
      </c>
      <c r="F75" s="110">
        <f t="shared" si="5"/>
        <v>1300</v>
      </c>
      <c r="G75" s="51" t="s">
        <v>3</v>
      </c>
      <c r="H75" s="48">
        <v>2</v>
      </c>
      <c r="I75" s="49" t="s">
        <v>45</v>
      </c>
      <c r="J75" s="184">
        <v>80</v>
      </c>
      <c r="K75" s="113">
        <v>200</v>
      </c>
      <c r="L75" s="113">
        <v>1300</v>
      </c>
      <c r="M75" s="185">
        <v>9.8359641762802621</v>
      </c>
      <c r="N75" s="87">
        <v>340.04469626603992</v>
      </c>
      <c r="O75" s="121">
        <v>15236.203283468667</v>
      </c>
      <c r="P75" s="119">
        <v>17714.669377655704</v>
      </c>
      <c r="Q75" s="120">
        <v>12936.38788345624</v>
      </c>
      <c r="R75" s="314">
        <v>28172.591166924907</v>
      </c>
      <c r="S75" s="315">
        <v>30651.057261111942</v>
      </c>
      <c r="U75" s="7" t="s">
        <v>1808</v>
      </c>
    </row>
    <row r="76" spans="1:21" s="74" customFormat="1" ht="16.5" customHeight="1" thickBot="1">
      <c r="A76" s="50" t="s">
        <v>35</v>
      </c>
      <c r="B76" s="51">
        <f t="shared" si="3"/>
        <v>80</v>
      </c>
      <c r="C76" s="51" t="s">
        <v>3</v>
      </c>
      <c r="D76" s="51">
        <f t="shared" si="4"/>
        <v>200</v>
      </c>
      <c r="E76" s="51" t="s">
        <v>3</v>
      </c>
      <c r="F76" s="110">
        <f t="shared" si="5"/>
        <v>1350</v>
      </c>
      <c r="G76" s="51" t="s">
        <v>3</v>
      </c>
      <c r="H76" s="48">
        <v>2</v>
      </c>
      <c r="I76" s="49" t="s">
        <v>45</v>
      </c>
      <c r="J76" s="184">
        <v>80</v>
      </c>
      <c r="K76" s="113">
        <v>200</v>
      </c>
      <c r="L76" s="113">
        <v>1350</v>
      </c>
      <c r="M76" s="185">
        <v>10.186668445633947</v>
      </c>
      <c r="N76" s="87">
        <v>357.94178554319996</v>
      </c>
      <c r="O76" s="121">
        <v>15627.883356066717</v>
      </c>
      <c r="P76" s="119">
        <v>18195.377374002604</v>
      </c>
      <c r="Q76" s="120">
        <v>13294.806662577603</v>
      </c>
      <c r="R76" s="314">
        <v>28922.69001864432</v>
      </c>
      <c r="S76" s="315">
        <v>31490.184036580205</v>
      </c>
      <c r="U76" s="7" t="s">
        <v>1809</v>
      </c>
    </row>
    <row r="77" spans="1:21" s="74" customFormat="1" ht="16.5" customHeight="1" thickBot="1">
      <c r="A77" s="50" t="s">
        <v>35</v>
      </c>
      <c r="B77" s="51">
        <f t="shared" si="3"/>
        <v>80</v>
      </c>
      <c r="C77" s="51" t="s">
        <v>3</v>
      </c>
      <c r="D77" s="51">
        <f t="shared" si="4"/>
        <v>200</v>
      </c>
      <c r="E77" s="51" t="s">
        <v>3</v>
      </c>
      <c r="F77" s="110">
        <f t="shared" si="5"/>
        <v>1400</v>
      </c>
      <c r="G77" s="51" t="s">
        <v>3</v>
      </c>
      <c r="H77" s="48">
        <v>2</v>
      </c>
      <c r="I77" s="49" t="s">
        <v>45</v>
      </c>
      <c r="J77" s="184">
        <v>80</v>
      </c>
      <c r="K77" s="113">
        <v>200</v>
      </c>
      <c r="L77" s="113">
        <v>1400</v>
      </c>
      <c r="M77" s="185">
        <v>10.537372714987631</v>
      </c>
      <c r="N77" s="87">
        <v>375.83887482035999</v>
      </c>
      <c r="O77" s="121">
        <v>16019.563428664766</v>
      </c>
      <c r="P77" s="119">
        <v>18676.085370349501</v>
      </c>
      <c r="Q77" s="120">
        <v>13883.807079088876</v>
      </c>
      <c r="R77" s="314">
        <v>29903.370507753643</v>
      </c>
      <c r="S77" s="315">
        <v>32559.892449438375</v>
      </c>
      <c r="U77" s="7" t="s">
        <v>1810</v>
      </c>
    </row>
    <row r="78" spans="1:21" s="74" customFormat="1" ht="16.5" customHeight="1" thickBot="1">
      <c r="A78" s="50" t="s">
        <v>35</v>
      </c>
      <c r="B78" s="51">
        <f t="shared" si="3"/>
        <v>80</v>
      </c>
      <c r="C78" s="51" t="s">
        <v>3</v>
      </c>
      <c r="D78" s="51">
        <f t="shared" si="4"/>
        <v>200</v>
      </c>
      <c r="E78" s="51" t="s">
        <v>3</v>
      </c>
      <c r="F78" s="110">
        <f t="shared" si="5"/>
        <v>1450</v>
      </c>
      <c r="G78" s="51" t="s">
        <v>3</v>
      </c>
      <c r="H78" s="48">
        <v>2</v>
      </c>
      <c r="I78" s="49" t="s">
        <v>45</v>
      </c>
      <c r="J78" s="184">
        <v>80</v>
      </c>
      <c r="K78" s="113">
        <v>200</v>
      </c>
      <c r="L78" s="113">
        <v>1450</v>
      </c>
      <c r="M78" s="185">
        <v>10.888076984341316</v>
      </c>
      <c r="N78" s="87">
        <v>393.73596409751997</v>
      </c>
      <c r="O78" s="121">
        <v>16411.243641656176</v>
      </c>
      <c r="P78" s="119">
        <v>19156.793507089766</v>
      </c>
      <c r="Q78" s="120">
        <v>14242.225717816877</v>
      </c>
      <c r="R78" s="314">
        <v>30653.469359473052</v>
      </c>
      <c r="S78" s="315">
        <v>33399.019224906646</v>
      </c>
      <c r="U78" s="7" t="s">
        <v>1811</v>
      </c>
    </row>
    <row r="79" spans="1:21" s="74" customFormat="1" ht="16.5" customHeight="1" thickBot="1">
      <c r="A79" s="50" t="s">
        <v>35</v>
      </c>
      <c r="B79" s="51">
        <f t="shared" si="3"/>
        <v>80</v>
      </c>
      <c r="C79" s="51" t="s">
        <v>3</v>
      </c>
      <c r="D79" s="51">
        <f t="shared" si="4"/>
        <v>200</v>
      </c>
      <c r="E79" s="51" t="s">
        <v>3</v>
      </c>
      <c r="F79" s="110">
        <f t="shared" si="5"/>
        <v>1500</v>
      </c>
      <c r="G79" s="51" t="s">
        <v>3</v>
      </c>
      <c r="H79" s="48">
        <v>2</v>
      </c>
      <c r="I79" s="49" t="s">
        <v>45</v>
      </c>
      <c r="J79" s="184">
        <v>80</v>
      </c>
      <c r="K79" s="113">
        <v>200</v>
      </c>
      <c r="L79" s="113">
        <v>1500</v>
      </c>
      <c r="M79" s="185">
        <v>11.331344386494999</v>
      </c>
      <c r="N79" s="87">
        <v>411.63305337467989</v>
      </c>
      <c r="O79" s="121">
        <v>17342.358815708329</v>
      </c>
      <c r="P79" s="119">
        <v>20084.991026282441</v>
      </c>
      <c r="Q79" s="120">
        <v>14831.226134328155</v>
      </c>
      <c r="R79" s="314">
        <v>32173.584950036486</v>
      </c>
      <c r="S79" s="315">
        <v>34916.217160610599</v>
      </c>
      <c r="U79" s="7" t="s">
        <v>1812</v>
      </c>
    </row>
    <row r="80" spans="1:21" s="74" customFormat="1" ht="16.5" customHeight="1" thickBot="1">
      <c r="A80" s="50" t="s">
        <v>35</v>
      </c>
      <c r="B80" s="51">
        <f t="shared" si="3"/>
        <v>80</v>
      </c>
      <c r="C80" s="51" t="s">
        <v>3</v>
      </c>
      <c r="D80" s="51">
        <f t="shared" si="4"/>
        <v>200</v>
      </c>
      <c r="E80" s="51" t="s">
        <v>3</v>
      </c>
      <c r="F80" s="110">
        <f t="shared" si="5"/>
        <v>1550</v>
      </c>
      <c r="G80" s="51" t="s">
        <v>3</v>
      </c>
      <c r="H80" s="48">
        <v>2</v>
      </c>
      <c r="I80" s="49" t="s">
        <v>45</v>
      </c>
      <c r="J80" s="184">
        <v>80</v>
      </c>
      <c r="K80" s="113">
        <v>200</v>
      </c>
      <c r="L80" s="113">
        <v>1550</v>
      </c>
      <c r="M80" s="185">
        <v>11.682048655848686</v>
      </c>
      <c r="N80" s="87">
        <v>429.53014265183992</v>
      </c>
      <c r="O80" s="121">
        <v>17734.038888306379</v>
      </c>
      <c r="P80" s="119">
        <v>20565.699163022702</v>
      </c>
      <c r="Q80" s="120">
        <v>15189.644913449516</v>
      </c>
      <c r="R80" s="314">
        <v>32923.683801755891</v>
      </c>
      <c r="S80" s="315">
        <v>35755.344076472218</v>
      </c>
      <c r="U80" s="7" t="s">
        <v>1813</v>
      </c>
    </row>
    <row r="81" spans="1:21" s="74" customFormat="1" ht="16.5" customHeight="1" thickBot="1">
      <c r="A81" s="47" t="s">
        <v>35</v>
      </c>
      <c r="B81" s="48">
        <f t="shared" si="3"/>
        <v>80</v>
      </c>
      <c r="C81" s="48" t="s">
        <v>3</v>
      </c>
      <c r="D81" s="48">
        <f t="shared" si="4"/>
        <v>200</v>
      </c>
      <c r="E81" s="48" t="s">
        <v>3</v>
      </c>
      <c r="F81" s="110">
        <f t="shared" si="5"/>
        <v>1600</v>
      </c>
      <c r="G81" s="48" t="s">
        <v>3</v>
      </c>
      <c r="H81" s="48">
        <v>2</v>
      </c>
      <c r="I81" s="49" t="s">
        <v>45</v>
      </c>
      <c r="J81" s="184">
        <v>80</v>
      </c>
      <c r="K81" s="113">
        <v>200</v>
      </c>
      <c r="L81" s="113">
        <v>1600</v>
      </c>
      <c r="M81" s="185">
        <v>12.032752925202367</v>
      </c>
      <c r="N81" s="87">
        <v>447.42723192899996</v>
      </c>
      <c r="O81" s="121">
        <v>18125.718960904429</v>
      </c>
      <c r="P81" s="119">
        <v>21046.407159369606</v>
      </c>
      <c r="Q81" s="120">
        <v>15548.063552177517</v>
      </c>
      <c r="R81" s="314">
        <v>33673.782513081947</v>
      </c>
      <c r="S81" s="315">
        <v>36594.470711547125</v>
      </c>
      <c r="U81" s="7" t="s">
        <v>1814</v>
      </c>
    </row>
    <row r="82" spans="1:21" s="74" customFormat="1" ht="16.5" customHeight="1" thickBot="1">
      <c r="A82" s="50" t="s">
        <v>35</v>
      </c>
      <c r="B82" s="51">
        <f t="shared" si="3"/>
        <v>80</v>
      </c>
      <c r="C82" s="51" t="s">
        <v>3</v>
      </c>
      <c r="D82" s="51">
        <f t="shared" si="4"/>
        <v>200</v>
      </c>
      <c r="E82" s="51" t="s">
        <v>3</v>
      </c>
      <c r="F82" s="110">
        <f t="shared" si="5"/>
        <v>1650</v>
      </c>
      <c r="G82" s="51" t="s">
        <v>3</v>
      </c>
      <c r="H82" s="48">
        <v>2</v>
      </c>
      <c r="I82" s="49" t="s">
        <v>45</v>
      </c>
      <c r="J82" s="184">
        <v>80</v>
      </c>
      <c r="K82" s="113">
        <v>200</v>
      </c>
      <c r="L82" s="113">
        <v>1650</v>
      </c>
      <c r="M82" s="185">
        <v>12.383457194556051</v>
      </c>
      <c r="N82" s="87">
        <v>465.32432120615994</v>
      </c>
      <c r="O82" s="121">
        <v>18517.399033502479</v>
      </c>
      <c r="P82" s="119">
        <v>21527.115155716503</v>
      </c>
      <c r="Q82" s="120">
        <v>16137.063968688792</v>
      </c>
      <c r="R82" s="314">
        <v>34654.463002191274</v>
      </c>
      <c r="S82" s="315">
        <v>37664.179124405295</v>
      </c>
      <c r="U82" s="7" t="s">
        <v>1815</v>
      </c>
    </row>
    <row r="83" spans="1:21" s="74" customFormat="1" ht="16.5" customHeight="1" thickBot="1">
      <c r="A83" s="50" t="s">
        <v>35</v>
      </c>
      <c r="B83" s="51">
        <f t="shared" si="3"/>
        <v>80</v>
      </c>
      <c r="C83" s="51" t="s">
        <v>3</v>
      </c>
      <c r="D83" s="51">
        <f t="shared" si="4"/>
        <v>200</v>
      </c>
      <c r="E83" s="51" t="s">
        <v>3</v>
      </c>
      <c r="F83" s="110">
        <f t="shared" si="5"/>
        <v>1700</v>
      </c>
      <c r="G83" s="51" t="s">
        <v>3</v>
      </c>
      <c r="H83" s="48">
        <v>2</v>
      </c>
      <c r="I83" s="49" t="s">
        <v>45</v>
      </c>
      <c r="J83" s="184">
        <v>80</v>
      </c>
      <c r="K83" s="113">
        <v>200</v>
      </c>
      <c r="L83" s="113">
        <v>1700</v>
      </c>
      <c r="M83" s="185">
        <v>12.734161463909736</v>
      </c>
      <c r="N83" s="87">
        <v>483.22141048331997</v>
      </c>
      <c r="O83" s="121">
        <v>18909.079106100529</v>
      </c>
      <c r="P83" s="119">
        <v>22007.823152063404</v>
      </c>
      <c r="Q83" s="120">
        <v>16495.48260741679</v>
      </c>
      <c r="R83" s="314">
        <v>35404.561713517323</v>
      </c>
      <c r="S83" s="315">
        <v>38503.305759480194</v>
      </c>
      <c r="U83" s="7" t="s">
        <v>1816</v>
      </c>
    </row>
    <row r="84" spans="1:21" s="74" customFormat="1" ht="16.5" customHeight="1" thickBot="1">
      <c r="A84" s="50" t="s">
        <v>35</v>
      </c>
      <c r="B84" s="51">
        <f t="shared" si="3"/>
        <v>80</v>
      </c>
      <c r="C84" s="51" t="s">
        <v>3</v>
      </c>
      <c r="D84" s="51">
        <f t="shared" si="4"/>
        <v>200</v>
      </c>
      <c r="E84" s="51" t="s">
        <v>3</v>
      </c>
      <c r="F84" s="110">
        <f t="shared" si="5"/>
        <v>1750</v>
      </c>
      <c r="G84" s="51" t="s">
        <v>3</v>
      </c>
      <c r="H84" s="48">
        <v>2</v>
      </c>
      <c r="I84" s="49" t="s">
        <v>45</v>
      </c>
      <c r="J84" s="184">
        <v>80</v>
      </c>
      <c r="K84" s="113">
        <v>200</v>
      </c>
      <c r="L84" s="113">
        <v>1750</v>
      </c>
      <c r="M84" s="185">
        <v>13.08486573326342</v>
      </c>
      <c r="N84" s="87">
        <v>501.11849976047989</v>
      </c>
      <c r="O84" s="121">
        <v>19300.759178698579</v>
      </c>
      <c r="P84" s="119">
        <v>22488.531148410304</v>
      </c>
      <c r="Q84" s="120">
        <v>17084.483023928067</v>
      </c>
      <c r="R84" s="314">
        <v>36385.242202626643</v>
      </c>
      <c r="S84" s="315">
        <v>39573.014172338371</v>
      </c>
      <c r="U84" s="7" t="s">
        <v>1817</v>
      </c>
    </row>
    <row r="85" spans="1:21" s="74" customFormat="1" ht="16.5" customHeight="1" thickBot="1">
      <c r="A85" s="50" t="s">
        <v>35</v>
      </c>
      <c r="B85" s="51">
        <f t="shared" si="3"/>
        <v>80</v>
      </c>
      <c r="C85" s="51" t="s">
        <v>3</v>
      </c>
      <c r="D85" s="51">
        <f t="shared" si="4"/>
        <v>200</v>
      </c>
      <c r="E85" s="51" t="s">
        <v>3</v>
      </c>
      <c r="F85" s="110">
        <f t="shared" si="5"/>
        <v>1800</v>
      </c>
      <c r="G85" s="51" t="s">
        <v>3</v>
      </c>
      <c r="H85" s="48">
        <v>2</v>
      </c>
      <c r="I85" s="49" t="s">
        <v>45</v>
      </c>
      <c r="J85" s="184">
        <v>80</v>
      </c>
      <c r="K85" s="113">
        <v>200</v>
      </c>
      <c r="L85" s="113">
        <v>1800</v>
      </c>
      <c r="M85" s="185">
        <v>13.435570002617101</v>
      </c>
      <c r="N85" s="87">
        <v>519.01558903763987</v>
      </c>
      <c r="O85" s="121">
        <v>19692.43925129663</v>
      </c>
      <c r="P85" s="119">
        <v>22969.239144757204</v>
      </c>
      <c r="Q85" s="120">
        <v>17442.90180304943</v>
      </c>
      <c r="R85" s="314">
        <v>37135.341054346063</v>
      </c>
      <c r="S85" s="315">
        <v>40412.140947806634</v>
      </c>
      <c r="U85" s="7" t="s">
        <v>1818</v>
      </c>
    </row>
    <row r="86" spans="1:21" s="74" customFormat="1" ht="16.5" customHeight="1" thickBot="1">
      <c r="A86" s="50" t="s">
        <v>35</v>
      </c>
      <c r="B86" s="51">
        <f t="shared" si="3"/>
        <v>80</v>
      </c>
      <c r="C86" s="51" t="s">
        <v>3</v>
      </c>
      <c r="D86" s="51">
        <f t="shared" si="4"/>
        <v>200</v>
      </c>
      <c r="E86" s="51" t="s">
        <v>3</v>
      </c>
      <c r="F86" s="110">
        <f t="shared" si="5"/>
        <v>1850</v>
      </c>
      <c r="G86" s="51" t="s">
        <v>3</v>
      </c>
      <c r="H86" s="48">
        <v>2</v>
      </c>
      <c r="I86" s="49" t="s">
        <v>45</v>
      </c>
      <c r="J86" s="184">
        <v>80</v>
      </c>
      <c r="K86" s="113">
        <v>200</v>
      </c>
      <c r="L86" s="113">
        <v>1850</v>
      </c>
      <c r="M86" s="185">
        <v>13.78627427197079</v>
      </c>
      <c r="N86" s="87">
        <v>536.9126783147999</v>
      </c>
      <c r="O86" s="121">
        <v>20084.11932389468</v>
      </c>
      <c r="P86" s="119">
        <v>23449.947141104105</v>
      </c>
      <c r="Q86" s="120">
        <v>18031.902219560703</v>
      </c>
      <c r="R86" s="314">
        <v>38116.021543455383</v>
      </c>
      <c r="S86" s="315">
        <v>41481.849360664812</v>
      </c>
      <c r="U86" s="7" t="s">
        <v>1819</v>
      </c>
    </row>
    <row r="87" spans="1:21" s="74" customFormat="1" ht="16.5" customHeight="1" thickBot="1">
      <c r="A87" s="50" t="s">
        <v>35</v>
      </c>
      <c r="B87" s="51">
        <f t="shared" si="3"/>
        <v>80</v>
      </c>
      <c r="C87" s="51" t="s">
        <v>3</v>
      </c>
      <c r="D87" s="51">
        <f t="shared" si="4"/>
        <v>200</v>
      </c>
      <c r="E87" s="51" t="s">
        <v>3</v>
      </c>
      <c r="F87" s="110">
        <f t="shared" si="5"/>
        <v>1900</v>
      </c>
      <c r="G87" s="51" t="s">
        <v>3</v>
      </c>
      <c r="H87" s="48">
        <v>2</v>
      </c>
      <c r="I87" s="49" t="s">
        <v>45</v>
      </c>
      <c r="J87" s="184">
        <v>80</v>
      </c>
      <c r="K87" s="113">
        <v>200</v>
      </c>
      <c r="L87" s="113">
        <v>1900</v>
      </c>
      <c r="M87" s="185">
        <v>14.136978541324471</v>
      </c>
      <c r="N87" s="87">
        <v>554.80976759195994</v>
      </c>
      <c r="O87" s="121">
        <v>20475.799396492726</v>
      </c>
      <c r="P87" s="119">
        <v>23930.655277844369</v>
      </c>
      <c r="Q87" s="120">
        <v>18390.320858288702</v>
      </c>
      <c r="R87" s="314">
        <v>38866.120254781432</v>
      </c>
      <c r="S87" s="315">
        <v>42320.976136133075</v>
      </c>
      <c r="U87" s="7" t="s">
        <v>1820</v>
      </c>
    </row>
    <row r="88" spans="1:21" s="74" customFormat="1" ht="16.5" customHeight="1" thickBot="1">
      <c r="A88" s="50" t="s">
        <v>35</v>
      </c>
      <c r="B88" s="51">
        <f t="shared" si="3"/>
        <v>80</v>
      </c>
      <c r="C88" s="51" t="s">
        <v>3</v>
      </c>
      <c r="D88" s="51">
        <f t="shared" si="4"/>
        <v>200</v>
      </c>
      <c r="E88" s="51" t="s">
        <v>3</v>
      </c>
      <c r="F88" s="110">
        <f t="shared" si="5"/>
        <v>1950</v>
      </c>
      <c r="G88" s="51" t="s">
        <v>3</v>
      </c>
      <c r="H88" s="48">
        <v>2</v>
      </c>
      <c r="I88" s="49" t="s">
        <v>45</v>
      </c>
      <c r="J88" s="184">
        <v>80</v>
      </c>
      <c r="K88" s="113">
        <v>200</v>
      </c>
      <c r="L88" s="113">
        <v>1950</v>
      </c>
      <c r="M88" s="185">
        <v>14.526932810678158</v>
      </c>
      <c r="N88" s="87">
        <v>572.70685686911997</v>
      </c>
      <c r="O88" s="121">
        <v>20913.351315567303</v>
      </c>
      <c r="P88" s="119">
        <v>24455.836802777292</v>
      </c>
      <c r="Q88" s="120">
        <v>18748.739497016704</v>
      </c>
      <c r="R88" s="314">
        <v>39662.090812584007</v>
      </c>
      <c r="S88" s="315">
        <v>43204.576299793996</v>
      </c>
      <c r="U88" s="7" t="s">
        <v>1821</v>
      </c>
    </row>
    <row r="89" spans="1:21" s="74" customFormat="1" ht="16.5" customHeight="1" thickBot="1">
      <c r="A89" s="50" t="s">
        <v>35</v>
      </c>
      <c r="B89" s="51">
        <f t="shared" si="3"/>
        <v>80</v>
      </c>
      <c r="C89" s="51" t="s">
        <v>3</v>
      </c>
      <c r="D89" s="51">
        <f t="shared" si="4"/>
        <v>200</v>
      </c>
      <c r="E89" s="51" t="s">
        <v>3</v>
      </c>
      <c r="F89" s="110">
        <f t="shared" si="5"/>
        <v>2000</v>
      </c>
      <c r="G89" s="51" t="s">
        <v>3</v>
      </c>
      <c r="H89" s="48">
        <v>2</v>
      </c>
      <c r="I89" s="49" t="s">
        <v>45</v>
      </c>
      <c r="J89" s="184">
        <v>80</v>
      </c>
      <c r="K89" s="113">
        <v>200</v>
      </c>
      <c r="L89" s="113">
        <v>2000</v>
      </c>
      <c r="M89" s="185">
        <v>14.96919948003184</v>
      </c>
      <c r="N89" s="87">
        <v>590.6039461462799</v>
      </c>
      <c r="O89" s="121">
        <v>21535.57441738058</v>
      </c>
      <c r="P89" s="119">
        <v>25237.85534900134</v>
      </c>
      <c r="Q89" s="120">
        <v>19337.740053921341</v>
      </c>
      <c r="R89" s="314">
        <v>40873.314471301921</v>
      </c>
      <c r="S89" s="315">
        <v>44575.595402922685</v>
      </c>
      <c r="U89" s="7" t="s">
        <v>1822</v>
      </c>
    </row>
    <row r="90" spans="1:21" s="74" customFormat="1" ht="16.5" customHeight="1" thickBot="1">
      <c r="A90" s="50" t="s">
        <v>35</v>
      </c>
      <c r="B90" s="51">
        <f t="shared" si="3"/>
        <v>80</v>
      </c>
      <c r="C90" s="51" t="s">
        <v>3</v>
      </c>
      <c r="D90" s="51">
        <f t="shared" si="4"/>
        <v>200</v>
      </c>
      <c r="E90" s="51" t="s">
        <v>3</v>
      </c>
      <c r="F90" s="110">
        <f t="shared" si="5"/>
        <v>2050</v>
      </c>
      <c r="G90" s="51" t="s">
        <v>3</v>
      </c>
      <c r="H90" s="48">
        <v>2</v>
      </c>
      <c r="I90" s="49" t="s">
        <v>45</v>
      </c>
      <c r="J90" s="184">
        <v>80</v>
      </c>
      <c r="K90" s="113">
        <v>200</v>
      </c>
      <c r="L90" s="113">
        <v>2050</v>
      </c>
      <c r="M90" s="185">
        <v>15.319903749385524</v>
      </c>
      <c r="N90" s="87">
        <v>608.50103542343993</v>
      </c>
      <c r="O90" s="121">
        <v>21927.25448997863</v>
      </c>
      <c r="P90" s="119">
        <v>25718.563345348244</v>
      </c>
      <c r="Q90" s="120">
        <v>19696.15869264934</v>
      </c>
      <c r="R90" s="314">
        <v>41623.41318262797</v>
      </c>
      <c r="S90" s="315">
        <v>45414.722037997584</v>
      </c>
      <c r="U90" s="7" t="s">
        <v>1823</v>
      </c>
    </row>
    <row r="91" spans="1:21" s="74" customFormat="1" ht="16.5" customHeight="1" thickBot="1">
      <c r="A91" s="47" t="s">
        <v>35</v>
      </c>
      <c r="B91" s="48">
        <f t="shared" si="3"/>
        <v>80</v>
      </c>
      <c r="C91" s="48" t="s">
        <v>3</v>
      </c>
      <c r="D91" s="48">
        <f t="shared" si="4"/>
        <v>200</v>
      </c>
      <c r="E91" s="48" t="s">
        <v>3</v>
      </c>
      <c r="F91" s="110">
        <f t="shared" si="5"/>
        <v>2100</v>
      </c>
      <c r="G91" s="48" t="s">
        <v>3</v>
      </c>
      <c r="H91" s="48">
        <v>2</v>
      </c>
      <c r="I91" s="49" t="s">
        <v>45</v>
      </c>
      <c r="J91" s="184">
        <v>80</v>
      </c>
      <c r="K91" s="113">
        <v>200</v>
      </c>
      <c r="L91" s="113">
        <v>2100</v>
      </c>
      <c r="M91" s="185">
        <v>15.670608018739207</v>
      </c>
      <c r="N91" s="87">
        <v>626.39812470059996</v>
      </c>
      <c r="O91" s="121">
        <v>22318.93456257668</v>
      </c>
      <c r="P91" s="119">
        <v>26199.271341695145</v>
      </c>
      <c r="Q91" s="120">
        <v>20285.159109160617</v>
      </c>
      <c r="R91" s="314">
        <v>42604.093671737297</v>
      </c>
      <c r="S91" s="315">
        <v>46484.430450855762</v>
      </c>
      <c r="U91" s="7" t="s">
        <v>1824</v>
      </c>
    </row>
    <row r="92" spans="1:21" s="74" customFormat="1" ht="16.5" customHeight="1" thickBot="1">
      <c r="A92" s="50" t="s">
        <v>35</v>
      </c>
      <c r="B92" s="51">
        <f t="shared" si="3"/>
        <v>80</v>
      </c>
      <c r="C92" s="51" t="s">
        <v>3</v>
      </c>
      <c r="D92" s="51">
        <f t="shared" si="4"/>
        <v>200</v>
      </c>
      <c r="E92" s="51" t="s">
        <v>3</v>
      </c>
      <c r="F92" s="110">
        <f t="shared" si="5"/>
        <v>2150</v>
      </c>
      <c r="G92" s="51" t="s">
        <v>3</v>
      </c>
      <c r="H92" s="48">
        <v>2</v>
      </c>
      <c r="I92" s="49" t="s">
        <v>45</v>
      </c>
      <c r="J92" s="184">
        <v>80</v>
      </c>
      <c r="K92" s="113">
        <v>200</v>
      </c>
      <c r="L92" s="113">
        <v>2150</v>
      </c>
      <c r="M92" s="185">
        <v>16.021312288092894</v>
      </c>
      <c r="N92" s="87">
        <v>644.29521397775989</v>
      </c>
      <c r="O92" s="121">
        <v>22710.61463517473</v>
      </c>
      <c r="P92" s="119">
        <v>26679.979478435409</v>
      </c>
      <c r="Q92" s="120">
        <v>20643.577747888616</v>
      </c>
      <c r="R92" s="314">
        <v>43354.192383063346</v>
      </c>
      <c r="S92" s="315">
        <v>47323.557226324025</v>
      </c>
      <c r="U92" s="7" t="s">
        <v>1825</v>
      </c>
    </row>
    <row r="93" spans="1:21" s="74" customFormat="1" ht="16.5" customHeight="1" thickBot="1">
      <c r="A93" s="50" t="s">
        <v>35</v>
      </c>
      <c r="B93" s="51">
        <f t="shared" si="3"/>
        <v>80</v>
      </c>
      <c r="C93" s="51" t="s">
        <v>3</v>
      </c>
      <c r="D93" s="51">
        <f t="shared" si="4"/>
        <v>200</v>
      </c>
      <c r="E93" s="51" t="s">
        <v>3</v>
      </c>
      <c r="F93" s="110">
        <f t="shared" si="5"/>
        <v>2200</v>
      </c>
      <c r="G93" s="51" t="s">
        <v>3</v>
      </c>
      <c r="H93" s="48">
        <v>2</v>
      </c>
      <c r="I93" s="49" t="s">
        <v>45</v>
      </c>
      <c r="J93" s="184">
        <v>80</v>
      </c>
      <c r="K93" s="113">
        <v>200</v>
      </c>
      <c r="L93" s="113">
        <v>2200</v>
      </c>
      <c r="M93" s="185">
        <v>16.372016557446578</v>
      </c>
      <c r="N93" s="87">
        <v>662.19230325491992</v>
      </c>
      <c r="O93" s="121">
        <v>23102.29470777278</v>
      </c>
      <c r="P93" s="119">
        <v>27160.687474782306</v>
      </c>
      <c r="Q93" s="120">
        <v>21232.578164399893</v>
      </c>
      <c r="R93" s="314">
        <v>44334.872872172673</v>
      </c>
      <c r="S93" s="315">
        <v>48393.265639182195</v>
      </c>
      <c r="U93" s="7" t="s">
        <v>1826</v>
      </c>
    </row>
    <row r="94" spans="1:21" s="74" customFormat="1" ht="16.5" customHeight="1" thickBot="1">
      <c r="A94" s="50" t="s">
        <v>35</v>
      </c>
      <c r="B94" s="51">
        <f t="shared" si="3"/>
        <v>80</v>
      </c>
      <c r="C94" s="51" t="s">
        <v>3</v>
      </c>
      <c r="D94" s="51">
        <f t="shared" si="4"/>
        <v>200</v>
      </c>
      <c r="E94" s="51" t="s">
        <v>3</v>
      </c>
      <c r="F94" s="110">
        <f t="shared" si="5"/>
        <v>2250</v>
      </c>
      <c r="G94" s="51" t="s">
        <v>3</v>
      </c>
      <c r="H94" s="48">
        <v>2</v>
      </c>
      <c r="I94" s="49" t="s">
        <v>45</v>
      </c>
      <c r="J94" s="184">
        <v>80</v>
      </c>
      <c r="K94" s="113">
        <v>200</v>
      </c>
      <c r="L94" s="113">
        <v>2250</v>
      </c>
      <c r="M94" s="185">
        <v>16.722720826800263</v>
      </c>
      <c r="N94" s="87">
        <v>680.08939253207984</v>
      </c>
      <c r="O94" s="121">
        <v>23493.974780370831</v>
      </c>
      <c r="P94" s="119">
        <v>27641.395471129206</v>
      </c>
      <c r="Q94" s="120">
        <v>21590.996943521255</v>
      </c>
      <c r="R94" s="314">
        <v>45084.971723892086</v>
      </c>
      <c r="S94" s="315">
        <v>49232.392414650458</v>
      </c>
      <c r="U94" s="7" t="s">
        <v>1827</v>
      </c>
    </row>
    <row r="95" spans="1:21" s="74" customFormat="1" ht="16.5" customHeight="1" thickBot="1">
      <c r="A95" s="50" t="s">
        <v>35</v>
      </c>
      <c r="B95" s="51">
        <f t="shared" si="3"/>
        <v>80</v>
      </c>
      <c r="C95" s="51" t="s">
        <v>3</v>
      </c>
      <c r="D95" s="51">
        <f t="shared" si="4"/>
        <v>200</v>
      </c>
      <c r="E95" s="51" t="s">
        <v>3</v>
      </c>
      <c r="F95" s="110">
        <f t="shared" si="5"/>
        <v>2300</v>
      </c>
      <c r="G95" s="51" t="s">
        <v>3</v>
      </c>
      <c r="H95" s="48">
        <v>2</v>
      </c>
      <c r="I95" s="49" t="s">
        <v>45</v>
      </c>
      <c r="J95" s="184">
        <v>80</v>
      </c>
      <c r="K95" s="113">
        <v>200</v>
      </c>
      <c r="L95" s="113">
        <v>2300</v>
      </c>
      <c r="M95" s="185">
        <v>17.073425096153947</v>
      </c>
      <c r="N95" s="87">
        <v>697.98648180923988</v>
      </c>
      <c r="O95" s="121">
        <v>23885.654852968881</v>
      </c>
      <c r="P95" s="119">
        <v>28122.103467476107</v>
      </c>
      <c r="Q95" s="120">
        <v>21949.415582249254</v>
      </c>
      <c r="R95" s="314">
        <v>45835.070435218135</v>
      </c>
      <c r="S95" s="315">
        <v>50071.519049725364</v>
      </c>
      <c r="U95" s="7" t="s">
        <v>1828</v>
      </c>
    </row>
    <row r="96" spans="1:21" s="74" customFormat="1" ht="16.5" customHeight="1" thickBot="1">
      <c r="A96" s="50" t="s">
        <v>35</v>
      </c>
      <c r="B96" s="51">
        <f t="shared" si="3"/>
        <v>80</v>
      </c>
      <c r="C96" s="51" t="s">
        <v>3</v>
      </c>
      <c r="D96" s="51">
        <f t="shared" si="4"/>
        <v>200</v>
      </c>
      <c r="E96" s="51" t="s">
        <v>3</v>
      </c>
      <c r="F96" s="110">
        <f t="shared" si="5"/>
        <v>2350</v>
      </c>
      <c r="G96" s="51" t="s">
        <v>3</v>
      </c>
      <c r="H96" s="48">
        <v>2</v>
      </c>
      <c r="I96" s="49" t="s">
        <v>45</v>
      </c>
      <c r="J96" s="184">
        <v>80</v>
      </c>
      <c r="K96" s="113">
        <v>200</v>
      </c>
      <c r="L96" s="113">
        <v>2350</v>
      </c>
      <c r="M96" s="185">
        <v>17.424129365507632</v>
      </c>
      <c r="N96" s="87">
        <v>715.88357108639991</v>
      </c>
      <c r="O96" s="121">
        <v>24277.334925566931</v>
      </c>
      <c r="P96" s="119">
        <v>28602.811463823004</v>
      </c>
      <c r="Q96" s="120">
        <v>22538.415998760531</v>
      </c>
      <c r="R96" s="314">
        <v>46815.750924327462</v>
      </c>
      <c r="S96" s="315">
        <v>51141.227462583534</v>
      </c>
      <c r="U96" s="7" t="s">
        <v>1829</v>
      </c>
    </row>
    <row r="97" spans="1:21" s="74" customFormat="1" ht="16.5" customHeight="1" thickBot="1">
      <c r="A97" s="50" t="s">
        <v>35</v>
      </c>
      <c r="B97" s="51">
        <f t="shared" si="3"/>
        <v>80</v>
      </c>
      <c r="C97" s="51" t="s">
        <v>3</v>
      </c>
      <c r="D97" s="51">
        <f t="shared" si="4"/>
        <v>200</v>
      </c>
      <c r="E97" s="51" t="s">
        <v>3</v>
      </c>
      <c r="F97" s="110">
        <f t="shared" si="5"/>
        <v>2400</v>
      </c>
      <c r="G97" s="51" t="s">
        <v>3</v>
      </c>
      <c r="H97" s="48">
        <v>2</v>
      </c>
      <c r="I97" s="49" t="s">
        <v>45</v>
      </c>
      <c r="J97" s="184">
        <v>80</v>
      </c>
      <c r="K97" s="113">
        <v>200</v>
      </c>
      <c r="L97" s="113">
        <v>2400</v>
      </c>
      <c r="M97" s="185">
        <v>17.774833634861313</v>
      </c>
      <c r="N97" s="87">
        <v>733.78066036355983</v>
      </c>
      <c r="O97" s="121">
        <v>24669.014998164981</v>
      </c>
      <c r="P97" s="119">
        <v>29083.519460169904</v>
      </c>
      <c r="Q97" s="120">
        <v>22896.83463748853</v>
      </c>
      <c r="R97" s="314">
        <v>47565.849635653511</v>
      </c>
      <c r="S97" s="315">
        <v>51980.354097658434</v>
      </c>
      <c r="U97" s="7" t="s">
        <v>1830</v>
      </c>
    </row>
    <row r="98" spans="1:21" s="74" customFormat="1" ht="16.5" customHeight="1" thickBot="1">
      <c r="A98" s="50" t="s">
        <v>35</v>
      </c>
      <c r="B98" s="51">
        <f t="shared" si="3"/>
        <v>80</v>
      </c>
      <c r="C98" s="51" t="s">
        <v>3</v>
      </c>
      <c r="D98" s="51">
        <f t="shared" si="4"/>
        <v>200</v>
      </c>
      <c r="E98" s="51" t="s">
        <v>3</v>
      </c>
      <c r="F98" s="110">
        <f t="shared" si="5"/>
        <v>2450</v>
      </c>
      <c r="G98" s="51" t="s">
        <v>3</v>
      </c>
      <c r="H98" s="48">
        <v>2</v>
      </c>
      <c r="I98" s="49" t="s">
        <v>45</v>
      </c>
      <c r="J98" s="184">
        <v>80</v>
      </c>
      <c r="K98" s="113">
        <v>200</v>
      </c>
      <c r="L98" s="113">
        <v>2450</v>
      </c>
      <c r="M98" s="185">
        <v>18.218101037015</v>
      </c>
      <c r="N98" s="87">
        <v>751.67774964071998</v>
      </c>
      <c r="O98" s="121">
        <v>25600.13017221713</v>
      </c>
      <c r="P98" s="119">
        <v>30011.717119755944</v>
      </c>
      <c r="Q98" s="120">
        <v>23485.83519439317</v>
      </c>
      <c r="R98" s="314">
        <v>49085.965366610297</v>
      </c>
      <c r="S98" s="315">
        <v>53497.552314149114</v>
      </c>
      <c r="U98" s="7" t="s">
        <v>1831</v>
      </c>
    </row>
    <row r="99" spans="1:21" s="74" customFormat="1" ht="16.5" customHeight="1" thickBot="1">
      <c r="A99" s="50" t="s">
        <v>35</v>
      </c>
      <c r="B99" s="51">
        <f t="shared" si="3"/>
        <v>80</v>
      </c>
      <c r="C99" s="51" t="s">
        <v>3</v>
      </c>
      <c r="D99" s="51">
        <f t="shared" si="4"/>
        <v>200</v>
      </c>
      <c r="E99" s="51" t="s">
        <v>3</v>
      </c>
      <c r="F99" s="110">
        <f t="shared" si="5"/>
        <v>2500</v>
      </c>
      <c r="G99" s="51" t="s">
        <v>3</v>
      </c>
      <c r="H99" s="48">
        <v>2</v>
      </c>
      <c r="I99" s="49" t="s">
        <v>45</v>
      </c>
      <c r="J99" s="184">
        <v>80</v>
      </c>
      <c r="K99" s="113">
        <v>200</v>
      </c>
      <c r="L99" s="113">
        <v>2500</v>
      </c>
      <c r="M99" s="185">
        <v>18.568805306368684</v>
      </c>
      <c r="N99" s="87">
        <v>769.5748389178799</v>
      </c>
      <c r="O99" s="121">
        <v>25991.810385208544</v>
      </c>
      <c r="P99" s="119">
        <v>30492.425116102848</v>
      </c>
      <c r="Q99" s="120">
        <v>23844.253833121165</v>
      </c>
      <c r="R99" s="314">
        <v>49836.06421832971</v>
      </c>
      <c r="S99" s="315">
        <v>54336.678949224013</v>
      </c>
      <c r="U99" s="7" t="s">
        <v>1832</v>
      </c>
    </row>
    <row r="100" spans="1:21" s="74" customFormat="1" ht="16.5" customHeight="1" thickBot="1">
      <c r="A100" s="50" t="s">
        <v>35</v>
      </c>
      <c r="B100" s="51">
        <f t="shared" si="3"/>
        <v>80</v>
      </c>
      <c r="C100" s="51" t="s">
        <v>3</v>
      </c>
      <c r="D100" s="51">
        <f t="shared" si="4"/>
        <v>200</v>
      </c>
      <c r="E100" s="51" t="s">
        <v>3</v>
      </c>
      <c r="F100" s="110">
        <f t="shared" si="5"/>
        <v>2550</v>
      </c>
      <c r="G100" s="51" t="s">
        <v>3</v>
      </c>
      <c r="H100" s="48">
        <v>2</v>
      </c>
      <c r="I100" s="49" t="s">
        <v>45</v>
      </c>
      <c r="J100" s="184">
        <v>80</v>
      </c>
      <c r="K100" s="113">
        <v>200</v>
      </c>
      <c r="L100" s="113">
        <v>2550</v>
      </c>
      <c r="M100" s="185">
        <v>18.919509575722365</v>
      </c>
      <c r="N100" s="87">
        <v>787.47192819503994</v>
      </c>
      <c r="O100" s="121">
        <v>26383.490457806591</v>
      </c>
      <c r="P100" s="119">
        <v>30973.133112449745</v>
      </c>
      <c r="Q100" s="120">
        <v>24433.254249632446</v>
      </c>
      <c r="R100" s="314">
        <v>50816.744707439037</v>
      </c>
      <c r="S100" s="315">
        <v>55406.387362082191</v>
      </c>
      <c r="U100" s="7" t="s">
        <v>1833</v>
      </c>
    </row>
    <row r="101" spans="1:21" s="74" customFormat="1" ht="16.5" customHeight="1" thickBot="1">
      <c r="A101" s="47" t="s">
        <v>35</v>
      </c>
      <c r="B101" s="48">
        <f t="shared" si="3"/>
        <v>80</v>
      </c>
      <c r="C101" s="48" t="s">
        <v>3</v>
      </c>
      <c r="D101" s="48">
        <f t="shared" si="4"/>
        <v>200</v>
      </c>
      <c r="E101" s="48" t="s">
        <v>3</v>
      </c>
      <c r="F101" s="110">
        <f t="shared" si="5"/>
        <v>2600</v>
      </c>
      <c r="G101" s="48" t="s">
        <v>3</v>
      </c>
      <c r="H101" s="48">
        <v>2</v>
      </c>
      <c r="I101" s="49" t="s">
        <v>45</v>
      </c>
      <c r="J101" s="184">
        <v>80</v>
      </c>
      <c r="K101" s="113">
        <v>200</v>
      </c>
      <c r="L101" s="113">
        <v>2600</v>
      </c>
      <c r="M101" s="185">
        <v>19.27021384507605</v>
      </c>
      <c r="N101" s="87">
        <v>805.36901747219986</v>
      </c>
      <c r="O101" s="121">
        <v>26775.170530404641</v>
      </c>
      <c r="P101" s="119">
        <v>31453.841249190009</v>
      </c>
      <c r="Q101" s="120">
        <v>24791.672888360441</v>
      </c>
      <c r="R101" s="314">
        <v>51566.843418765086</v>
      </c>
      <c r="S101" s="315">
        <v>56245.514137550446</v>
      </c>
      <c r="U101" s="7" t="s">
        <v>1834</v>
      </c>
    </row>
    <row r="102" spans="1:21" s="74" customFormat="1" ht="16.5" customHeight="1" thickBot="1">
      <c r="A102" s="50" t="s">
        <v>35</v>
      </c>
      <c r="B102" s="51">
        <f t="shared" si="3"/>
        <v>80</v>
      </c>
      <c r="C102" s="51" t="s">
        <v>3</v>
      </c>
      <c r="D102" s="51">
        <f t="shared" si="4"/>
        <v>200</v>
      </c>
      <c r="E102" s="51" t="s">
        <v>3</v>
      </c>
      <c r="F102" s="110">
        <f t="shared" si="5"/>
        <v>2650</v>
      </c>
      <c r="G102" s="51" t="s">
        <v>3</v>
      </c>
      <c r="H102" s="48">
        <v>2</v>
      </c>
      <c r="I102" s="49" t="s">
        <v>45</v>
      </c>
      <c r="J102" s="184">
        <v>80</v>
      </c>
      <c r="K102" s="113">
        <v>200</v>
      </c>
      <c r="L102" s="113">
        <v>2650</v>
      </c>
      <c r="M102" s="185">
        <v>19.620918114429735</v>
      </c>
      <c r="N102" s="87">
        <v>823.26610674935978</v>
      </c>
      <c r="O102" s="121">
        <v>27166.850603002691</v>
      </c>
      <c r="P102" s="119">
        <v>31934.549245536909</v>
      </c>
      <c r="Q102" s="120">
        <v>25380.673304871718</v>
      </c>
      <c r="R102" s="314">
        <v>52547.523907874405</v>
      </c>
      <c r="S102" s="315">
        <v>57315.222550408624</v>
      </c>
      <c r="U102" s="7" t="s">
        <v>1835</v>
      </c>
    </row>
    <row r="103" spans="1:21" s="74" customFormat="1" ht="16.5" customHeight="1" thickBot="1">
      <c r="A103" s="50" t="s">
        <v>35</v>
      </c>
      <c r="B103" s="51">
        <f t="shared" si="3"/>
        <v>80</v>
      </c>
      <c r="C103" s="51" t="s">
        <v>3</v>
      </c>
      <c r="D103" s="51">
        <f t="shared" si="4"/>
        <v>200</v>
      </c>
      <c r="E103" s="51" t="s">
        <v>3</v>
      </c>
      <c r="F103" s="110">
        <f t="shared" si="5"/>
        <v>2700</v>
      </c>
      <c r="G103" s="51" t="s">
        <v>3</v>
      </c>
      <c r="H103" s="48">
        <v>2</v>
      </c>
      <c r="I103" s="49" t="s">
        <v>45</v>
      </c>
      <c r="J103" s="184">
        <v>80</v>
      </c>
      <c r="K103" s="113">
        <v>200</v>
      </c>
      <c r="L103" s="113">
        <v>2700</v>
      </c>
      <c r="M103" s="185">
        <v>20.010872383783422</v>
      </c>
      <c r="N103" s="87">
        <v>841.16319602651993</v>
      </c>
      <c r="O103" s="121">
        <v>27604.402381683904</v>
      </c>
      <c r="P103" s="119">
        <v>32459.730770469829</v>
      </c>
      <c r="Q103" s="120">
        <v>25739.09208399308</v>
      </c>
      <c r="R103" s="314">
        <v>53343.49446567698</v>
      </c>
      <c r="S103" s="315">
        <v>58198.822854462909</v>
      </c>
      <c r="U103" s="7" t="s">
        <v>1836</v>
      </c>
    </row>
    <row r="104" spans="1:21" s="74" customFormat="1" ht="16.5" customHeight="1" thickBot="1">
      <c r="A104" s="50" t="s">
        <v>35</v>
      </c>
      <c r="B104" s="51">
        <f t="shared" si="3"/>
        <v>80</v>
      </c>
      <c r="C104" s="51" t="s">
        <v>3</v>
      </c>
      <c r="D104" s="51">
        <f t="shared" si="4"/>
        <v>200</v>
      </c>
      <c r="E104" s="51" t="s">
        <v>3</v>
      </c>
      <c r="F104" s="110">
        <f t="shared" si="5"/>
        <v>2750</v>
      </c>
      <c r="G104" s="51" t="s">
        <v>3</v>
      </c>
      <c r="H104" s="48">
        <v>2</v>
      </c>
      <c r="I104" s="49" t="s">
        <v>45</v>
      </c>
      <c r="J104" s="184">
        <v>80</v>
      </c>
      <c r="K104" s="113">
        <v>200</v>
      </c>
      <c r="L104" s="113">
        <v>2750</v>
      </c>
      <c r="M104" s="185">
        <v>20.361576653137107</v>
      </c>
      <c r="N104" s="87">
        <v>859.06028530367985</v>
      </c>
      <c r="O104" s="121">
        <v>27996.082454281954</v>
      </c>
      <c r="P104" s="119">
        <v>32940.438766816733</v>
      </c>
      <c r="Q104" s="120">
        <v>26097.510722721079</v>
      </c>
      <c r="R104" s="314">
        <v>54093.593177003029</v>
      </c>
      <c r="S104" s="315">
        <v>59037.949489537816</v>
      </c>
      <c r="U104" s="7" t="s">
        <v>1837</v>
      </c>
    </row>
    <row r="105" spans="1:21" s="74" customFormat="1" ht="16.5" customHeight="1" thickBot="1">
      <c r="A105" s="50" t="s">
        <v>35</v>
      </c>
      <c r="B105" s="51">
        <f t="shared" si="3"/>
        <v>80</v>
      </c>
      <c r="C105" s="51" t="s">
        <v>3</v>
      </c>
      <c r="D105" s="51">
        <f t="shared" si="4"/>
        <v>200</v>
      </c>
      <c r="E105" s="51" t="s">
        <v>3</v>
      </c>
      <c r="F105" s="110">
        <f t="shared" si="5"/>
        <v>2800</v>
      </c>
      <c r="G105" s="51" t="s">
        <v>3</v>
      </c>
      <c r="H105" s="48">
        <v>2</v>
      </c>
      <c r="I105" s="49" t="s">
        <v>45</v>
      </c>
      <c r="J105" s="184">
        <v>80</v>
      </c>
      <c r="K105" s="113">
        <v>200</v>
      </c>
      <c r="L105" s="113">
        <v>2800</v>
      </c>
      <c r="M105" s="185">
        <v>20.712280922490788</v>
      </c>
      <c r="N105" s="87">
        <v>876.95737458084</v>
      </c>
      <c r="O105" s="121">
        <v>28387.762667273371</v>
      </c>
      <c r="P105" s="119">
        <v>33421.14690355699</v>
      </c>
      <c r="Q105" s="120">
        <v>26686.511139232356</v>
      </c>
      <c r="R105" s="314">
        <v>55074.273806505727</v>
      </c>
      <c r="S105" s="315">
        <v>60107.65804278935</v>
      </c>
      <c r="U105" s="7" t="s">
        <v>1838</v>
      </c>
    </row>
    <row r="106" spans="1:21" s="74" customFormat="1" ht="16.5" customHeight="1" thickBot="1">
      <c r="A106" s="50" t="s">
        <v>35</v>
      </c>
      <c r="B106" s="51">
        <f t="shared" si="3"/>
        <v>80</v>
      </c>
      <c r="C106" s="51" t="s">
        <v>3</v>
      </c>
      <c r="D106" s="51">
        <f t="shared" si="4"/>
        <v>200</v>
      </c>
      <c r="E106" s="51" t="s">
        <v>3</v>
      </c>
      <c r="F106" s="110">
        <f t="shared" si="5"/>
        <v>2850</v>
      </c>
      <c r="G106" s="51" t="s">
        <v>3</v>
      </c>
      <c r="H106" s="48">
        <v>2</v>
      </c>
      <c r="I106" s="49" t="s">
        <v>45</v>
      </c>
      <c r="J106" s="184">
        <v>80</v>
      </c>
      <c r="K106" s="113">
        <v>200</v>
      </c>
      <c r="L106" s="113">
        <v>2850</v>
      </c>
      <c r="M106" s="185">
        <v>21.062985191844472</v>
      </c>
      <c r="N106" s="87">
        <v>894.85446385799992</v>
      </c>
      <c r="O106" s="121">
        <v>28779.442739871422</v>
      </c>
      <c r="P106" s="119">
        <v>33901.854899903898</v>
      </c>
      <c r="Q106" s="120">
        <v>27044.929777960355</v>
      </c>
      <c r="R106" s="314">
        <v>55824.372517831776</v>
      </c>
      <c r="S106" s="315">
        <v>60946.784677864256</v>
      </c>
      <c r="U106" s="7" t="s">
        <v>1839</v>
      </c>
    </row>
    <row r="107" spans="1:21" s="74" customFormat="1" ht="16.5" customHeight="1" thickBot="1">
      <c r="A107" s="50" t="s">
        <v>35</v>
      </c>
      <c r="B107" s="51">
        <f t="shared" si="3"/>
        <v>80</v>
      </c>
      <c r="C107" s="51" t="s">
        <v>3</v>
      </c>
      <c r="D107" s="51">
        <f t="shared" si="4"/>
        <v>200</v>
      </c>
      <c r="E107" s="51" t="s">
        <v>3</v>
      </c>
      <c r="F107" s="110">
        <f t="shared" si="5"/>
        <v>2900</v>
      </c>
      <c r="G107" s="51" t="s">
        <v>3</v>
      </c>
      <c r="H107" s="48">
        <v>2</v>
      </c>
      <c r="I107" s="49" t="s">
        <v>45</v>
      </c>
      <c r="J107" s="184">
        <v>80</v>
      </c>
      <c r="K107" s="113">
        <v>200</v>
      </c>
      <c r="L107" s="113">
        <v>2900</v>
      </c>
      <c r="M107" s="185">
        <v>21.413689461198157</v>
      </c>
      <c r="N107" s="87">
        <v>912.75155313515984</v>
      </c>
      <c r="O107" s="121">
        <v>29171.122812469472</v>
      </c>
      <c r="P107" s="119">
        <v>34382.562896250798</v>
      </c>
      <c r="Q107" s="120">
        <v>27633.930194471632</v>
      </c>
      <c r="R107" s="314">
        <v>56805.053006941103</v>
      </c>
      <c r="S107" s="315">
        <v>62016.493090722433</v>
      </c>
      <c r="U107" s="7" t="s">
        <v>1840</v>
      </c>
    </row>
    <row r="108" spans="1:21" s="74" customFormat="1" ht="16.5" customHeight="1" thickBot="1">
      <c r="A108" s="50" t="s">
        <v>35</v>
      </c>
      <c r="B108" s="51">
        <f t="shared" si="3"/>
        <v>80</v>
      </c>
      <c r="C108" s="51" t="s">
        <v>3</v>
      </c>
      <c r="D108" s="51">
        <f t="shared" si="4"/>
        <v>200</v>
      </c>
      <c r="E108" s="51" t="s">
        <v>3</v>
      </c>
      <c r="F108" s="110">
        <f t="shared" si="5"/>
        <v>2950</v>
      </c>
      <c r="G108" s="51" t="s">
        <v>3</v>
      </c>
      <c r="H108" s="48">
        <v>2</v>
      </c>
      <c r="I108" s="49" t="s">
        <v>45</v>
      </c>
      <c r="J108" s="184">
        <v>80</v>
      </c>
      <c r="K108" s="113">
        <v>200</v>
      </c>
      <c r="L108" s="113">
        <v>2950</v>
      </c>
      <c r="M108" s="185">
        <v>21.764393730551841</v>
      </c>
      <c r="N108" s="87">
        <v>930.64864241231987</v>
      </c>
      <c r="O108" s="121">
        <v>29562.802885067518</v>
      </c>
      <c r="P108" s="119">
        <v>34863.270892597699</v>
      </c>
      <c r="Q108" s="120">
        <v>27992.348973592994</v>
      </c>
      <c r="R108" s="314">
        <v>57555.151858660509</v>
      </c>
      <c r="S108" s="315">
        <v>62855.619866190696</v>
      </c>
      <c r="U108" s="7" t="s">
        <v>1841</v>
      </c>
    </row>
    <row r="109" spans="1:21" s="74" customFormat="1" ht="16.5" customHeight="1" thickBot="1">
      <c r="A109" s="52" t="s">
        <v>35</v>
      </c>
      <c r="B109" s="53">
        <f t="shared" si="3"/>
        <v>80</v>
      </c>
      <c r="C109" s="53" t="s">
        <v>3</v>
      </c>
      <c r="D109" s="53">
        <f t="shared" si="4"/>
        <v>200</v>
      </c>
      <c r="E109" s="53" t="s">
        <v>3</v>
      </c>
      <c r="F109" s="111">
        <f t="shared" si="5"/>
        <v>3000</v>
      </c>
      <c r="G109" s="53" t="s">
        <v>3</v>
      </c>
      <c r="H109" s="55">
        <v>2</v>
      </c>
      <c r="I109" s="54" t="s">
        <v>45</v>
      </c>
      <c r="J109" s="184">
        <v>80</v>
      </c>
      <c r="K109" s="157">
        <v>200</v>
      </c>
      <c r="L109" s="157">
        <v>3000</v>
      </c>
      <c r="M109" s="187">
        <v>22.115097999905526</v>
      </c>
      <c r="N109" s="148">
        <v>948.54573168947979</v>
      </c>
      <c r="O109" s="158">
        <v>31129.640263524045</v>
      </c>
      <c r="P109" s="189">
        <v>35343.978888944592</v>
      </c>
      <c r="Q109" s="159">
        <v>28581.349390104271</v>
      </c>
      <c r="R109" s="316">
        <v>59710.98965362832</v>
      </c>
      <c r="S109" s="317">
        <v>63925.328279048859</v>
      </c>
      <c r="U109" s="7" t="s">
        <v>1842</v>
      </c>
    </row>
    <row r="110" spans="1:21" s="74" customFormat="1" ht="21.75" customHeight="1" thickBot="1">
      <c r="A110" s="2621" t="s">
        <v>50</v>
      </c>
      <c r="B110" s="2622"/>
      <c r="C110" s="2622"/>
      <c r="D110" s="2622"/>
      <c r="E110" s="2622"/>
      <c r="F110" s="2622"/>
      <c r="G110" s="2622"/>
      <c r="H110" s="2622"/>
      <c r="I110" s="2622"/>
      <c r="J110" s="2622"/>
      <c r="K110" s="2622"/>
      <c r="L110" s="2622"/>
      <c r="M110" s="2622"/>
      <c r="N110" s="2622"/>
      <c r="O110" s="2622"/>
      <c r="P110" s="2622"/>
      <c r="Q110" s="2622"/>
      <c r="R110" s="2622"/>
      <c r="S110" s="2623"/>
      <c r="U110" s="7"/>
    </row>
    <row r="111" spans="1:21" s="74" customFormat="1" ht="16.5" customHeight="1" thickBot="1">
      <c r="A111" s="2583" t="s">
        <v>134</v>
      </c>
      <c r="B111" s="2584"/>
      <c r="C111" s="2584"/>
      <c r="D111" s="2584"/>
      <c r="E111" s="2584"/>
      <c r="F111" s="2584"/>
      <c r="G111" s="2584"/>
      <c r="H111" s="2584"/>
      <c r="I111" s="2584"/>
      <c r="J111" s="2584"/>
      <c r="K111" s="2584"/>
      <c r="L111" s="2584"/>
      <c r="M111" s="2584"/>
      <c r="N111" s="2584"/>
      <c r="O111" s="2584"/>
      <c r="P111" s="2584"/>
      <c r="Q111" s="2584"/>
      <c r="R111" s="2584"/>
      <c r="S111" s="2585"/>
      <c r="U111" s="7"/>
    </row>
    <row r="112" spans="1:21" s="74" customFormat="1" ht="16.5" thickBot="1">
      <c r="A112" s="47" t="s">
        <v>35</v>
      </c>
      <c r="B112" s="48">
        <f>J112</f>
        <v>80</v>
      </c>
      <c r="C112" s="48" t="s">
        <v>3</v>
      </c>
      <c r="D112" s="48">
        <f>K112</f>
        <v>260</v>
      </c>
      <c r="E112" s="48" t="s">
        <v>3</v>
      </c>
      <c r="F112" s="110">
        <f>L112</f>
        <v>600</v>
      </c>
      <c r="G112" s="48" t="s">
        <v>3</v>
      </c>
      <c r="H112" s="48">
        <v>2</v>
      </c>
      <c r="I112" s="49" t="s">
        <v>45</v>
      </c>
      <c r="J112" s="181">
        <v>80</v>
      </c>
      <c r="K112" s="168">
        <v>260</v>
      </c>
      <c r="L112" s="168">
        <v>600</v>
      </c>
      <c r="M112" s="182">
        <v>5.6889647403813157</v>
      </c>
      <c r="N112" s="143">
        <v>113.06720065802681</v>
      </c>
      <c r="O112" s="188">
        <v>10038.241102880702</v>
      </c>
      <c r="P112" s="188">
        <v>11841.673868409827</v>
      </c>
      <c r="Q112" s="169">
        <v>7536.0353334550891</v>
      </c>
      <c r="R112" s="312">
        <v>17574.276436335793</v>
      </c>
      <c r="S112" s="313">
        <v>19377.709201864916</v>
      </c>
      <c r="U112" s="7" t="s">
        <v>1843</v>
      </c>
    </row>
    <row r="113" spans="1:21" s="74" customFormat="1" ht="16.5" thickBot="1">
      <c r="A113" s="50" t="s">
        <v>35</v>
      </c>
      <c r="B113" s="51">
        <f t="shared" ref="B113:B160" si="6">J113</f>
        <v>80</v>
      </c>
      <c r="C113" s="51" t="s">
        <v>3</v>
      </c>
      <c r="D113" s="51">
        <f t="shared" ref="D113:D160" si="7">K113</f>
        <v>260</v>
      </c>
      <c r="E113" s="51" t="s">
        <v>3</v>
      </c>
      <c r="F113" s="110">
        <f t="shared" ref="F113:F160" si="8">L113</f>
        <v>650</v>
      </c>
      <c r="G113" s="51" t="s">
        <v>3</v>
      </c>
      <c r="H113" s="48">
        <v>2</v>
      </c>
      <c r="I113" s="49" t="s">
        <v>45</v>
      </c>
      <c r="J113" s="184">
        <v>80</v>
      </c>
      <c r="K113" s="113">
        <v>260</v>
      </c>
      <c r="L113" s="113">
        <v>650</v>
      </c>
      <c r="M113" s="185">
        <v>6.0887885189455258</v>
      </c>
      <c r="N113" s="75">
        <v>135.68064078963215</v>
      </c>
      <c r="O113" s="119">
        <v>10458.357570266402</v>
      </c>
      <c r="P113" s="119">
        <v>12369.84001583614</v>
      </c>
      <c r="Q113" s="120">
        <v>7967.645945822027</v>
      </c>
      <c r="R113" s="314">
        <v>18426.003516088429</v>
      </c>
      <c r="S113" s="315">
        <v>20337.485961658167</v>
      </c>
      <c r="U113" s="7" t="s">
        <v>1844</v>
      </c>
    </row>
    <row r="114" spans="1:21" s="74" customFormat="1" ht="16.5" thickBot="1">
      <c r="A114" s="50" t="s">
        <v>35</v>
      </c>
      <c r="B114" s="51">
        <f t="shared" si="6"/>
        <v>80</v>
      </c>
      <c r="C114" s="51" t="s">
        <v>3</v>
      </c>
      <c r="D114" s="51">
        <f t="shared" si="7"/>
        <v>260</v>
      </c>
      <c r="E114" s="51" t="s">
        <v>3</v>
      </c>
      <c r="F114" s="110">
        <f t="shared" si="8"/>
        <v>700</v>
      </c>
      <c r="G114" s="51" t="s">
        <v>3</v>
      </c>
      <c r="H114" s="48">
        <v>2</v>
      </c>
      <c r="I114" s="49" t="s">
        <v>45</v>
      </c>
      <c r="J114" s="184">
        <v>80</v>
      </c>
      <c r="K114" s="113">
        <v>260</v>
      </c>
      <c r="L114" s="113">
        <v>700</v>
      </c>
      <c r="M114" s="185">
        <v>6.4886122975097376</v>
      </c>
      <c r="N114" s="75">
        <v>158.29408092123751</v>
      </c>
      <c r="O114" s="119">
        <v>10878.47389725874</v>
      </c>
      <c r="P114" s="119">
        <v>12898.006022869091</v>
      </c>
      <c r="Q114" s="120">
        <v>8629.8383359722393</v>
      </c>
      <c r="R114" s="314">
        <v>19508.312233230979</v>
      </c>
      <c r="S114" s="315">
        <v>21527.844358841328</v>
      </c>
      <c r="U114" s="7" t="s">
        <v>1845</v>
      </c>
    </row>
    <row r="115" spans="1:21" s="74" customFormat="1" ht="16.5" thickBot="1">
      <c r="A115" s="50" t="s">
        <v>35</v>
      </c>
      <c r="B115" s="51">
        <f t="shared" si="6"/>
        <v>80</v>
      </c>
      <c r="C115" s="51" t="s">
        <v>3</v>
      </c>
      <c r="D115" s="51">
        <f t="shared" si="7"/>
        <v>260</v>
      </c>
      <c r="E115" s="51" t="s">
        <v>3</v>
      </c>
      <c r="F115" s="110">
        <f t="shared" si="8"/>
        <v>750</v>
      </c>
      <c r="G115" s="51" t="s">
        <v>3</v>
      </c>
      <c r="H115" s="48">
        <v>2</v>
      </c>
      <c r="I115" s="49" t="s">
        <v>45</v>
      </c>
      <c r="J115" s="184">
        <v>80</v>
      </c>
      <c r="K115" s="113">
        <v>260</v>
      </c>
      <c r="L115" s="113">
        <v>750</v>
      </c>
      <c r="M115" s="185">
        <v>6.8884360760739476</v>
      </c>
      <c r="N115" s="75">
        <v>180.9075210528429</v>
      </c>
      <c r="O115" s="119">
        <v>11298.590224251078</v>
      </c>
      <c r="P115" s="119">
        <v>13426.17202990204</v>
      </c>
      <c r="Q115" s="120">
        <v>9061.4489483391772</v>
      </c>
      <c r="R115" s="314">
        <v>20360.039172590255</v>
      </c>
      <c r="S115" s="315">
        <v>22487.620978241219</v>
      </c>
      <c r="U115" s="7" t="s">
        <v>1846</v>
      </c>
    </row>
    <row r="116" spans="1:21" s="74" customFormat="1" ht="16.5" thickBot="1">
      <c r="A116" s="50" t="s">
        <v>35</v>
      </c>
      <c r="B116" s="51">
        <f t="shared" si="6"/>
        <v>80</v>
      </c>
      <c r="C116" s="51" t="s">
        <v>3</v>
      </c>
      <c r="D116" s="51">
        <f t="shared" si="7"/>
        <v>260</v>
      </c>
      <c r="E116" s="51" t="s">
        <v>3</v>
      </c>
      <c r="F116" s="110">
        <f t="shared" si="8"/>
        <v>800</v>
      </c>
      <c r="G116" s="51" t="s">
        <v>3</v>
      </c>
      <c r="H116" s="48">
        <v>2</v>
      </c>
      <c r="I116" s="49" t="s">
        <v>45</v>
      </c>
      <c r="J116" s="184">
        <v>80</v>
      </c>
      <c r="K116" s="113">
        <v>260</v>
      </c>
      <c r="L116" s="113">
        <v>800</v>
      </c>
      <c r="M116" s="185">
        <v>7.2882598546381576</v>
      </c>
      <c r="N116" s="75">
        <v>203.52096118444825</v>
      </c>
      <c r="O116" s="119">
        <v>11718.706691636777</v>
      </c>
      <c r="P116" s="119">
        <v>13954.338036934978</v>
      </c>
      <c r="Q116" s="120">
        <v>9493.059560706115</v>
      </c>
      <c r="R116" s="314">
        <v>21211.766252342892</v>
      </c>
      <c r="S116" s="315">
        <v>23447.397597641095</v>
      </c>
      <c r="U116" s="7" t="s">
        <v>1847</v>
      </c>
    </row>
    <row r="117" spans="1:21" s="74" customFormat="1" ht="16.5" thickBot="1">
      <c r="A117" s="50" t="s">
        <v>35</v>
      </c>
      <c r="B117" s="51">
        <f t="shared" si="6"/>
        <v>80</v>
      </c>
      <c r="C117" s="51" t="s">
        <v>3</v>
      </c>
      <c r="D117" s="51">
        <f t="shared" si="7"/>
        <v>260</v>
      </c>
      <c r="E117" s="51" t="s">
        <v>3</v>
      </c>
      <c r="F117" s="110">
        <f t="shared" si="8"/>
        <v>850</v>
      </c>
      <c r="G117" s="51" t="s">
        <v>3</v>
      </c>
      <c r="H117" s="48">
        <v>2</v>
      </c>
      <c r="I117" s="49" t="s">
        <v>45</v>
      </c>
      <c r="J117" s="184">
        <v>80</v>
      </c>
      <c r="K117" s="113">
        <v>260</v>
      </c>
      <c r="L117" s="113">
        <v>850</v>
      </c>
      <c r="M117" s="185">
        <v>7.6880836332023677</v>
      </c>
      <c r="N117" s="75">
        <v>226.13440131605361</v>
      </c>
      <c r="O117" s="119">
        <v>12138.823018629113</v>
      </c>
      <c r="P117" s="119">
        <v>14482.504184361302</v>
      </c>
      <c r="Q117" s="120">
        <v>10155.251950856327</v>
      </c>
      <c r="R117" s="314">
        <v>22294.074969485438</v>
      </c>
      <c r="S117" s="315">
        <v>24637.756135217627</v>
      </c>
      <c r="U117" s="7" t="s">
        <v>1848</v>
      </c>
    </row>
    <row r="118" spans="1:21" s="74" customFormat="1" ht="16.5" thickBot="1">
      <c r="A118" s="50" t="s">
        <v>35</v>
      </c>
      <c r="B118" s="51">
        <f t="shared" si="6"/>
        <v>80</v>
      </c>
      <c r="C118" s="51" t="s">
        <v>3</v>
      </c>
      <c r="D118" s="51">
        <f t="shared" si="7"/>
        <v>260</v>
      </c>
      <c r="E118" s="51" t="s">
        <v>3</v>
      </c>
      <c r="F118" s="110">
        <f t="shared" si="8"/>
        <v>900</v>
      </c>
      <c r="G118" s="51" t="s">
        <v>3</v>
      </c>
      <c r="H118" s="48">
        <v>2</v>
      </c>
      <c r="I118" s="49" t="s">
        <v>45</v>
      </c>
      <c r="J118" s="184">
        <v>80</v>
      </c>
      <c r="K118" s="113">
        <v>260</v>
      </c>
      <c r="L118" s="113">
        <v>900</v>
      </c>
      <c r="M118" s="185">
        <v>8.0879074117665795</v>
      </c>
      <c r="N118" s="75">
        <v>248.747841447659</v>
      </c>
      <c r="O118" s="119">
        <v>12558.939345621453</v>
      </c>
      <c r="P118" s="119">
        <v>15010.670191394252</v>
      </c>
      <c r="Q118" s="120">
        <v>10586.862563223265</v>
      </c>
      <c r="R118" s="314">
        <v>23145.801908844718</v>
      </c>
      <c r="S118" s="315">
        <v>25597.532754617518</v>
      </c>
      <c r="U118" s="7" t="s">
        <v>1849</v>
      </c>
    </row>
    <row r="119" spans="1:21" s="74" customFormat="1" ht="16.5" thickBot="1">
      <c r="A119" s="50" t="s">
        <v>35</v>
      </c>
      <c r="B119" s="51">
        <f t="shared" si="6"/>
        <v>80</v>
      </c>
      <c r="C119" s="51" t="s">
        <v>3</v>
      </c>
      <c r="D119" s="51">
        <f t="shared" si="7"/>
        <v>260</v>
      </c>
      <c r="E119" s="51" t="s">
        <v>3</v>
      </c>
      <c r="F119" s="110">
        <f t="shared" si="8"/>
        <v>950</v>
      </c>
      <c r="G119" s="51" t="s">
        <v>3</v>
      </c>
      <c r="H119" s="48">
        <v>2</v>
      </c>
      <c r="I119" s="49" t="s">
        <v>45</v>
      </c>
      <c r="J119" s="184">
        <v>80</v>
      </c>
      <c r="K119" s="113">
        <v>260</v>
      </c>
      <c r="L119" s="113">
        <v>950</v>
      </c>
      <c r="M119" s="185">
        <v>8.4877311903307895</v>
      </c>
      <c r="N119" s="75">
        <v>271.3612815792643</v>
      </c>
      <c r="O119" s="119">
        <v>12979.055813007153</v>
      </c>
      <c r="P119" s="119">
        <v>15538.836198427203</v>
      </c>
      <c r="Q119" s="120">
        <v>11249.054953373477</v>
      </c>
      <c r="R119" s="314">
        <v>24228.110766380632</v>
      </c>
      <c r="S119" s="315">
        <v>26787.891151800679</v>
      </c>
      <c r="U119" s="7" t="s">
        <v>1850</v>
      </c>
    </row>
    <row r="120" spans="1:21" s="74" customFormat="1" ht="16.5" thickBot="1">
      <c r="A120" s="50" t="s">
        <v>35</v>
      </c>
      <c r="B120" s="51">
        <f t="shared" si="6"/>
        <v>80</v>
      </c>
      <c r="C120" s="51" t="s">
        <v>3</v>
      </c>
      <c r="D120" s="51">
        <f t="shared" si="7"/>
        <v>260</v>
      </c>
      <c r="E120" s="51" t="s">
        <v>3</v>
      </c>
      <c r="F120" s="110">
        <f t="shared" si="8"/>
        <v>1000</v>
      </c>
      <c r="G120" s="51" t="s">
        <v>3</v>
      </c>
      <c r="H120" s="48">
        <v>2</v>
      </c>
      <c r="I120" s="49" t="s">
        <v>45</v>
      </c>
      <c r="J120" s="184">
        <v>80</v>
      </c>
      <c r="K120" s="113">
        <v>260</v>
      </c>
      <c r="L120" s="113">
        <v>1000</v>
      </c>
      <c r="M120" s="185">
        <v>8.8875549688949995</v>
      </c>
      <c r="N120" s="75">
        <v>293.97472171086969</v>
      </c>
      <c r="O120" s="119">
        <v>13399.172139999489</v>
      </c>
      <c r="P120" s="119">
        <v>16067.002205460152</v>
      </c>
      <c r="Q120" s="120">
        <v>11680.665565740415</v>
      </c>
      <c r="R120" s="314">
        <v>25079.837705739905</v>
      </c>
      <c r="S120" s="315">
        <v>27747.667771200569</v>
      </c>
      <c r="U120" s="7" t="s">
        <v>1851</v>
      </c>
    </row>
    <row r="121" spans="1:21" s="74" customFormat="1" ht="16.5" thickBot="1">
      <c r="A121" s="50" t="s">
        <v>35</v>
      </c>
      <c r="B121" s="51">
        <f t="shared" si="6"/>
        <v>80</v>
      </c>
      <c r="C121" s="51" t="s">
        <v>3</v>
      </c>
      <c r="D121" s="51">
        <f t="shared" si="7"/>
        <v>260</v>
      </c>
      <c r="E121" s="51" t="s">
        <v>3</v>
      </c>
      <c r="F121" s="110">
        <f t="shared" si="8"/>
        <v>1050</v>
      </c>
      <c r="G121" s="51" t="s">
        <v>3</v>
      </c>
      <c r="H121" s="48">
        <v>2</v>
      </c>
      <c r="I121" s="49" t="s">
        <v>45</v>
      </c>
      <c r="J121" s="184">
        <v>80</v>
      </c>
      <c r="K121" s="113">
        <v>260</v>
      </c>
      <c r="L121" s="113">
        <v>1050</v>
      </c>
      <c r="M121" s="185">
        <v>9.2873787474592095</v>
      </c>
      <c r="N121" s="75">
        <v>316.58816184247502</v>
      </c>
      <c r="O121" s="119">
        <v>13819.28860738519</v>
      </c>
      <c r="P121" s="119">
        <v>16595.168352886467</v>
      </c>
      <c r="Q121" s="120">
        <v>12342.857815497266</v>
      </c>
      <c r="R121" s="314">
        <v>26162.146422882455</v>
      </c>
      <c r="S121" s="315">
        <v>28938.026168383731</v>
      </c>
      <c r="U121" s="7" t="s">
        <v>1852</v>
      </c>
    </row>
    <row r="122" spans="1:21" s="74" customFormat="1" ht="16.5" thickBot="1">
      <c r="A122" s="47" t="s">
        <v>35</v>
      </c>
      <c r="B122" s="48">
        <f t="shared" si="6"/>
        <v>80</v>
      </c>
      <c r="C122" s="48" t="s">
        <v>3</v>
      </c>
      <c r="D122" s="48">
        <f t="shared" si="7"/>
        <v>260</v>
      </c>
      <c r="E122" s="48" t="s">
        <v>3</v>
      </c>
      <c r="F122" s="110">
        <f t="shared" si="8"/>
        <v>1100</v>
      </c>
      <c r="G122" s="48" t="s">
        <v>3</v>
      </c>
      <c r="H122" s="48">
        <v>2</v>
      </c>
      <c r="I122" s="49" t="s">
        <v>45</v>
      </c>
      <c r="J122" s="184">
        <v>80</v>
      </c>
      <c r="K122" s="113">
        <v>260</v>
      </c>
      <c r="L122" s="113">
        <v>1100</v>
      </c>
      <c r="M122" s="185">
        <v>9.6872025260234214</v>
      </c>
      <c r="N122" s="75">
        <v>339.2016019740804</v>
      </c>
      <c r="O122" s="119">
        <v>14239.40493437753</v>
      </c>
      <c r="P122" s="119">
        <v>17123.334359919416</v>
      </c>
      <c r="Q122" s="120">
        <v>12774.468427864203</v>
      </c>
      <c r="R122" s="314">
        <v>27013.873362241735</v>
      </c>
      <c r="S122" s="315">
        <v>29897.802787783621</v>
      </c>
      <c r="U122" s="7" t="s">
        <v>1853</v>
      </c>
    </row>
    <row r="123" spans="1:21" s="74" customFormat="1" ht="16.5" thickBot="1">
      <c r="A123" s="50" t="s">
        <v>35</v>
      </c>
      <c r="B123" s="51">
        <f t="shared" si="6"/>
        <v>80</v>
      </c>
      <c r="C123" s="51" t="s">
        <v>3</v>
      </c>
      <c r="D123" s="51">
        <f t="shared" si="7"/>
        <v>260</v>
      </c>
      <c r="E123" s="51" t="s">
        <v>3</v>
      </c>
      <c r="F123" s="110">
        <f t="shared" si="8"/>
        <v>1150</v>
      </c>
      <c r="G123" s="51" t="s">
        <v>3</v>
      </c>
      <c r="H123" s="48">
        <v>2</v>
      </c>
      <c r="I123" s="49" t="s">
        <v>45</v>
      </c>
      <c r="J123" s="184">
        <v>80</v>
      </c>
      <c r="K123" s="113">
        <v>260</v>
      </c>
      <c r="L123" s="113">
        <v>1150</v>
      </c>
      <c r="M123" s="185">
        <v>10.087026304587631</v>
      </c>
      <c r="N123" s="75">
        <v>361.81504210568579</v>
      </c>
      <c r="O123" s="119">
        <v>14659.521261369866</v>
      </c>
      <c r="P123" s="119">
        <v>17651.500366952365</v>
      </c>
      <c r="Q123" s="120">
        <v>13206.07904023114</v>
      </c>
      <c r="R123" s="314">
        <v>27865.600301601007</v>
      </c>
      <c r="S123" s="315">
        <v>30857.579407183504</v>
      </c>
      <c r="U123" s="7" t="s">
        <v>1854</v>
      </c>
    </row>
    <row r="124" spans="1:21" s="74" customFormat="1" ht="16.5" thickBot="1">
      <c r="A124" s="50" t="s">
        <v>35</v>
      </c>
      <c r="B124" s="51">
        <f t="shared" si="6"/>
        <v>80</v>
      </c>
      <c r="C124" s="51" t="s">
        <v>3</v>
      </c>
      <c r="D124" s="51">
        <f t="shared" si="7"/>
        <v>260</v>
      </c>
      <c r="E124" s="51" t="s">
        <v>3</v>
      </c>
      <c r="F124" s="110">
        <f t="shared" si="8"/>
        <v>1200</v>
      </c>
      <c r="G124" s="51" t="s">
        <v>3</v>
      </c>
      <c r="H124" s="48">
        <v>2</v>
      </c>
      <c r="I124" s="49" t="s">
        <v>45</v>
      </c>
      <c r="J124" s="184">
        <v>80</v>
      </c>
      <c r="K124" s="113">
        <v>260</v>
      </c>
      <c r="L124" s="113">
        <v>1200</v>
      </c>
      <c r="M124" s="185">
        <v>10.526100083151842</v>
      </c>
      <c r="N124" s="75">
        <v>384.42848223729112</v>
      </c>
      <c r="O124" s="119">
        <v>15125.509434838586</v>
      </c>
      <c r="P124" s="119">
        <v>18224.140042964704</v>
      </c>
      <c r="Q124" s="120">
        <v>13868.271430381354</v>
      </c>
      <c r="R124" s="314">
        <v>28993.780865219938</v>
      </c>
      <c r="S124" s="315">
        <v>32092.411473346059</v>
      </c>
      <c r="U124" s="7" t="s">
        <v>1855</v>
      </c>
    </row>
    <row r="125" spans="1:21" s="74" customFormat="1" ht="16.5" thickBot="1">
      <c r="A125" s="50" t="s">
        <v>35</v>
      </c>
      <c r="B125" s="51">
        <f t="shared" si="6"/>
        <v>80</v>
      </c>
      <c r="C125" s="51" t="s">
        <v>3</v>
      </c>
      <c r="D125" s="51">
        <f t="shared" si="7"/>
        <v>260</v>
      </c>
      <c r="E125" s="51" t="s">
        <v>3</v>
      </c>
      <c r="F125" s="110">
        <f t="shared" si="8"/>
        <v>1250</v>
      </c>
      <c r="G125" s="51" t="s">
        <v>3</v>
      </c>
      <c r="H125" s="48">
        <v>2</v>
      </c>
      <c r="I125" s="49" t="s">
        <v>45</v>
      </c>
      <c r="J125" s="184">
        <v>80</v>
      </c>
      <c r="K125" s="113">
        <v>260</v>
      </c>
      <c r="L125" s="113">
        <v>1250</v>
      </c>
      <c r="M125" s="185">
        <v>10.925923861716052</v>
      </c>
      <c r="N125" s="75">
        <v>407.04192236889651</v>
      </c>
      <c r="O125" s="119">
        <v>15545.625761831065</v>
      </c>
      <c r="P125" s="119">
        <v>18752.306049997653</v>
      </c>
      <c r="Q125" s="120">
        <v>14299.882042748291</v>
      </c>
      <c r="R125" s="314">
        <v>29845.507804579356</v>
      </c>
      <c r="S125" s="315">
        <v>33052.188092745942</v>
      </c>
      <c r="U125" s="7" t="s">
        <v>1856</v>
      </c>
    </row>
    <row r="126" spans="1:21" s="74" customFormat="1" ht="16.5" thickBot="1">
      <c r="A126" s="50" t="s">
        <v>35</v>
      </c>
      <c r="B126" s="51">
        <f t="shared" si="6"/>
        <v>80</v>
      </c>
      <c r="C126" s="51" t="s">
        <v>3</v>
      </c>
      <c r="D126" s="51">
        <f t="shared" si="7"/>
        <v>260</v>
      </c>
      <c r="E126" s="51" t="s">
        <v>3</v>
      </c>
      <c r="F126" s="110">
        <f t="shared" si="8"/>
        <v>1300</v>
      </c>
      <c r="G126" s="51" t="s">
        <v>3</v>
      </c>
      <c r="H126" s="48">
        <v>2</v>
      </c>
      <c r="I126" s="49" t="s">
        <v>45</v>
      </c>
      <c r="J126" s="184">
        <v>80</v>
      </c>
      <c r="K126" s="113">
        <v>260</v>
      </c>
      <c r="L126" s="113">
        <v>1300</v>
      </c>
      <c r="M126" s="185">
        <v>11.325747640280262</v>
      </c>
      <c r="N126" s="75">
        <v>429.65536250050184</v>
      </c>
      <c r="O126" s="119">
        <v>15965.742229216767</v>
      </c>
      <c r="P126" s="119">
        <v>19280.472057030605</v>
      </c>
      <c r="Q126" s="120">
        <v>14962.074432898504</v>
      </c>
      <c r="R126" s="314">
        <v>30927.81666211527</v>
      </c>
      <c r="S126" s="315">
        <v>34242.546489929111</v>
      </c>
      <c r="U126" s="7" t="s">
        <v>1857</v>
      </c>
    </row>
    <row r="127" spans="1:21" s="74" customFormat="1" ht="16.5" thickBot="1">
      <c r="A127" s="50" t="s">
        <v>35</v>
      </c>
      <c r="B127" s="51">
        <f t="shared" si="6"/>
        <v>80</v>
      </c>
      <c r="C127" s="51" t="s">
        <v>3</v>
      </c>
      <c r="D127" s="51">
        <f t="shared" si="7"/>
        <v>260</v>
      </c>
      <c r="E127" s="51" t="s">
        <v>3</v>
      </c>
      <c r="F127" s="110">
        <f t="shared" si="8"/>
        <v>1350</v>
      </c>
      <c r="G127" s="51" t="s">
        <v>3</v>
      </c>
      <c r="H127" s="48">
        <v>2</v>
      </c>
      <c r="I127" s="49" t="s">
        <v>45</v>
      </c>
      <c r="J127" s="184">
        <v>80</v>
      </c>
      <c r="K127" s="113">
        <v>260</v>
      </c>
      <c r="L127" s="113">
        <v>1350</v>
      </c>
      <c r="M127" s="185">
        <v>11.725571418844472</v>
      </c>
      <c r="N127" s="75">
        <v>452.26880263210722</v>
      </c>
      <c r="O127" s="119">
        <v>16385.858556209103</v>
      </c>
      <c r="P127" s="119">
        <v>19808.638064063554</v>
      </c>
      <c r="Q127" s="120">
        <v>15393.685045265442</v>
      </c>
      <c r="R127" s="314">
        <v>31779.543601474543</v>
      </c>
      <c r="S127" s="315">
        <v>35202.323109328994</v>
      </c>
      <c r="U127" s="7" t="s">
        <v>1858</v>
      </c>
    </row>
    <row r="128" spans="1:21" s="74" customFormat="1" ht="16.5" thickBot="1">
      <c r="A128" s="50" t="s">
        <v>35</v>
      </c>
      <c r="B128" s="51">
        <f t="shared" si="6"/>
        <v>80</v>
      </c>
      <c r="C128" s="51" t="s">
        <v>3</v>
      </c>
      <c r="D128" s="51">
        <f t="shared" si="7"/>
        <v>260</v>
      </c>
      <c r="E128" s="51" t="s">
        <v>3</v>
      </c>
      <c r="F128" s="110">
        <f t="shared" si="8"/>
        <v>1400</v>
      </c>
      <c r="G128" s="51" t="s">
        <v>3</v>
      </c>
      <c r="H128" s="48">
        <v>2</v>
      </c>
      <c r="I128" s="49" t="s">
        <v>45</v>
      </c>
      <c r="J128" s="184">
        <v>80</v>
      </c>
      <c r="K128" s="113">
        <v>260</v>
      </c>
      <c r="L128" s="113">
        <v>1400</v>
      </c>
      <c r="M128" s="185">
        <v>12.125395197408682</v>
      </c>
      <c r="N128" s="75">
        <v>474.88224276371261</v>
      </c>
      <c r="O128" s="119">
        <v>16805.974883201441</v>
      </c>
      <c r="P128" s="119">
        <v>20336.804211489867</v>
      </c>
      <c r="Q128" s="120">
        <v>16055.877435415654</v>
      </c>
      <c r="R128" s="314">
        <v>32861.852318617093</v>
      </c>
      <c r="S128" s="315">
        <v>36392.681646905519</v>
      </c>
      <c r="U128" s="7" t="s">
        <v>1859</v>
      </c>
    </row>
    <row r="129" spans="1:21" s="74" customFormat="1" ht="16.5" thickBot="1">
      <c r="A129" s="50" t="s">
        <v>35</v>
      </c>
      <c r="B129" s="51">
        <f t="shared" si="6"/>
        <v>80</v>
      </c>
      <c r="C129" s="51" t="s">
        <v>3</v>
      </c>
      <c r="D129" s="51">
        <f t="shared" si="7"/>
        <v>260</v>
      </c>
      <c r="E129" s="51" t="s">
        <v>3</v>
      </c>
      <c r="F129" s="110">
        <f t="shared" si="8"/>
        <v>1450</v>
      </c>
      <c r="G129" s="51" t="s">
        <v>3</v>
      </c>
      <c r="H129" s="48">
        <v>2</v>
      </c>
      <c r="I129" s="49" t="s">
        <v>45</v>
      </c>
      <c r="J129" s="184">
        <v>80</v>
      </c>
      <c r="K129" s="113">
        <v>260</v>
      </c>
      <c r="L129" s="113">
        <v>1450</v>
      </c>
      <c r="M129" s="185">
        <v>12.525218975972894</v>
      </c>
      <c r="N129" s="75">
        <v>497.495682895318</v>
      </c>
      <c r="O129" s="119">
        <v>17226.091350587139</v>
      </c>
      <c r="P129" s="119">
        <v>20864.970218522816</v>
      </c>
      <c r="Q129" s="120">
        <v>16487.48804778259</v>
      </c>
      <c r="R129" s="314">
        <v>33713.579398369729</v>
      </c>
      <c r="S129" s="315">
        <v>37352.458266305403</v>
      </c>
      <c r="U129" s="7" t="s">
        <v>1860</v>
      </c>
    </row>
    <row r="130" spans="1:21" s="74" customFormat="1" ht="16.5" thickBot="1">
      <c r="A130" s="50" t="s">
        <v>35</v>
      </c>
      <c r="B130" s="51">
        <f t="shared" si="6"/>
        <v>80</v>
      </c>
      <c r="C130" s="51" t="s">
        <v>3</v>
      </c>
      <c r="D130" s="51">
        <f t="shared" si="7"/>
        <v>260</v>
      </c>
      <c r="E130" s="51" t="s">
        <v>3</v>
      </c>
      <c r="F130" s="110">
        <f t="shared" si="8"/>
        <v>1500</v>
      </c>
      <c r="G130" s="51" t="s">
        <v>3</v>
      </c>
      <c r="H130" s="48">
        <v>2</v>
      </c>
      <c r="I130" s="49" t="s">
        <v>45</v>
      </c>
      <c r="J130" s="184">
        <v>80</v>
      </c>
      <c r="K130" s="113">
        <v>260</v>
      </c>
      <c r="L130" s="113">
        <v>1500</v>
      </c>
      <c r="M130" s="185">
        <v>13.048806943337105</v>
      </c>
      <c r="N130" s="75">
        <v>520.10912302692327</v>
      </c>
      <c r="O130" s="119">
        <v>18235.614954055276</v>
      </c>
      <c r="P130" s="119">
        <v>21909.268134735306</v>
      </c>
      <c r="Q130" s="120">
        <v>17149.680437932802</v>
      </c>
      <c r="R130" s="314">
        <v>35385.295391988082</v>
      </c>
      <c r="S130" s="315">
        <v>39058.948572668109</v>
      </c>
      <c r="U130" s="7" t="s">
        <v>1861</v>
      </c>
    </row>
    <row r="131" spans="1:21" s="74" customFormat="1" ht="16.5" thickBot="1">
      <c r="A131" s="50" t="s">
        <v>35</v>
      </c>
      <c r="B131" s="51">
        <f t="shared" si="6"/>
        <v>80</v>
      </c>
      <c r="C131" s="51" t="s">
        <v>3</v>
      </c>
      <c r="D131" s="51">
        <f t="shared" si="7"/>
        <v>260</v>
      </c>
      <c r="E131" s="51" t="s">
        <v>3</v>
      </c>
      <c r="F131" s="110">
        <f t="shared" si="8"/>
        <v>1550</v>
      </c>
      <c r="G131" s="51" t="s">
        <v>3</v>
      </c>
      <c r="H131" s="48">
        <v>2</v>
      </c>
      <c r="I131" s="49" t="s">
        <v>45</v>
      </c>
      <c r="J131" s="184">
        <v>80</v>
      </c>
      <c r="K131" s="113">
        <v>260</v>
      </c>
      <c r="L131" s="113">
        <v>1550</v>
      </c>
      <c r="M131" s="185">
        <v>13.448630721901313</v>
      </c>
      <c r="N131" s="75">
        <v>542.7225631585286</v>
      </c>
      <c r="O131" s="119">
        <v>18655.731421440978</v>
      </c>
      <c r="P131" s="119">
        <v>22437.434141768255</v>
      </c>
      <c r="Q131" s="120">
        <v>17581.29105029974</v>
      </c>
      <c r="R131" s="314">
        <v>36237.022471740718</v>
      </c>
      <c r="S131" s="315">
        <v>40018.725192067999</v>
      </c>
      <c r="U131" s="7" t="s">
        <v>1862</v>
      </c>
    </row>
    <row r="132" spans="1:21" s="74" customFormat="1" ht="16.5" thickBot="1">
      <c r="A132" s="47" t="s">
        <v>35</v>
      </c>
      <c r="B132" s="48">
        <f t="shared" si="6"/>
        <v>80</v>
      </c>
      <c r="C132" s="48" t="s">
        <v>3</v>
      </c>
      <c r="D132" s="48">
        <f t="shared" si="7"/>
        <v>260</v>
      </c>
      <c r="E132" s="48" t="s">
        <v>3</v>
      </c>
      <c r="F132" s="110">
        <f t="shared" si="8"/>
        <v>1600</v>
      </c>
      <c r="G132" s="48" t="s">
        <v>3</v>
      </c>
      <c r="H132" s="48">
        <v>2</v>
      </c>
      <c r="I132" s="49" t="s">
        <v>45</v>
      </c>
      <c r="J132" s="184">
        <v>80</v>
      </c>
      <c r="K132" s="113">
        <v>260</v>
      </c>
      <c r="L132" s="113">
        <v>1600</v>
      </c>
      <c r="M132" s="185">
        <v>13.848454500465525</v>
      </c>
      <c r="N132" s="75">
        <v>565.33600329013404</v>
      </c>
      <c r="O132" s="119">
        <v>19075.847748433316</v>
      </c>
      <c r="P132" s="119">
        <v>22965.600289194568</v>
      </c>
      <c r="Q132" s="120">
        <v>18012.901662666678</v>
      </c>
      <c r="R132" s="314">
        <v>37088.749411099998</v>
      </c>
      <c r="S132" s="315">
        <v>40978.501951861246</v>
      </c>
      <c r="U132" s="7" t="s">
        <v>1863</v>
      </c>
    </row>
    <row r="133" spans="1:21" s="74" customFormat="1" ht="16.5" thickBot="1">
      <c r="A133" s="50" t="s">
        <v>35</v>
      </c>
      <c r="B133" s="51">
        <f t="shared" si="6"/>
        <v>80</v>
      </c>
      <c r="C133" s="51" t="s">
        <v>3</v>
      </c>
      <c r="D133" s="51">
        <f t="shared" si="7"/>
        <v>260</v>
      </c>
      <c r="E133" s="51" t="s">
        <v>3</v>
      </c>
      <c r="F133" s="110">
        <f t="shared" si="8"/>
        <v>1650</v>
      </c>
      <c r="G133" s="51" t="s">
        <v>3</v>
      </c>
      <c r="H133" s="48">
        <v>2</v>
      </c>
      <c r="I133" s="49" t="s">
        <v>45</v>
      </c>
      <c r="J133" s="184">
        <v>80</v>
      </c>
      <c r="K133" s="113">
        <v>260</v>
      </c>
      <c r="L133" s="113">
        <v>1650</v>
      </c>
      <c r="M133" s="185">
        <v>14.248278279029735</v>
      </c>
      <c r="N133" s="75">
        <v>587.94944342173937</v>
      </c>
      <c r="O133" s="119">
        <v>19495.964075425654</v>
      </c>
      <c r="P133" s="119">
        <v>23493.766296227521</v>
      </c>
      <c r="Q133" s="120">
        <v>18675.09391242353</v>
      </c>
      <c r="R133" s="314">
        <v>38171.057987849184</v>
      </c>
      <c r="S133" s="315">
        <v>42168.860208651051</v>
      </c>
      <c r="U133" s="7" t="s">
        <v>1864</v>
      </c>
    </row>
    <row r="134" spans="1:21" s="74" customFormat="1" ht="16.5" thickBot="1">
      <c r="A134" s="50" t="s">
        <v>35</v>
      </c>
      <c r="B134" s="51">
        <f t="shared" si="6"/>
        <v>80</v>
      </c>
      <c r="C134" s="51" t="s">
        <v>3</v>
      </c>
      <c r="D134" s="51">
        <f t="shared" si="7"/>
        <v>260</v>
      </c>
      <c r="E134" s="51" t="s">
        <v>3</v>
      </c>
      <c r="F134" s="110">
        <f t="shared" si="8"/>
        <v>1700</v>
      </c>
      <c r="G134" s="51" t="s">
        <v>3</v>
      </c>
      <c r="H134" s="48">
        <v>2</v>
      </c>
      <c r="I134" s="49" t="s">
        <v>45</v>
      </c>
      <c r="J134" s="184">
        <v>80</v>
      </c>
      <c r="K134" s="113">
        <v>260</v>
      </c>
      <c r="L134" s="113">
        <v>1700</v>
      </c>
      <c r="M134" s="185">
        <v>14.648102057593945</v>
      </c>
      <c r="N134" s="75">
        <v>610.56288355334482</v>
      </c>
      <c r="O134" s="119">
        <v>19916.080542811356</v>
      </c>
      <c r="P134" s="119">
        <v>24021.932303260466</v>
      </c>
      <c r="Q134" s="120">
        <v>19106.704524790468</v>
      </c>
      <c r="R134" s="314">
        <v>39022.785067601828</v>
      </c>
      <c r="S134" s="315">
        <v>43128.636828050934</v>
      </c>
      <c r="U134" s="7" t="s">
        <v>1865</v>
      </c>
    </row>
    <row r="135" spans="1:21" s="74" customFormat="1" ht="16.5" thickBot="1">
      <c r="A135" s="50" t="s">
        <v>35</v>
      </c>
      <c r="B135" s="51">
        <f t="shared" si="6"/>
        <v>80</v>
      </c>
      <c r="C135" s="51" t="s">
        <v>3</v>
      </c>
      <c r="D135" s="51">
        <f t="shared" si="7"/>
        <v>260</v>
      </c>
      <c r="E135" s="51" t="s">
        <v>3</v>
      </c>
      <c r="F135" s="110">
        <f t="shared" si="8"/>
        <v>1750</v>
      </c>
      <c r="G135" s="51" t="s">
        <v>3</v>
      </c>
      <c r="H135" s="48">
        <v>2</v>
      </c>
      <c r="I135" s="49" t="s">
        <v>45</v>
      </c>
      <c r="J135" s="184">
        <v>80</v>
      </c>
      <c r="K135" s="113">
        <v>260</v>
      </c>
      <c r="L135" s="113">
        <v>1750</v>
      </c>
      <c r="M135" s="185">
        <v>15.047925836158157</v>
      </c>
      <c r="N135" s="75">
        <v>633.17632368495003</v>
      </c>
      <c r="O135" s="119">
        <v>20336.196869803694</v>
      </c>
      <c r="P135" s="119">
        <v>24550.098310293415</v>
      </c>
      <c r="Q135" s="120">
        <v>19768.89691494068</v>
      </c>
      <c r="R135" s="314">
        <v>40105.093784744371</v>
      </c>
      <c r="S135" s="315">
        <v>44318.995225234095</v>
      </c>
      <c r="U135" s="7" t="s">
        <v>1866</v>
      </c>
    </row>
    <row r="136" spans="1:21" s="74" customFormat="1" ht="16.5" thickBot="1">
      <c r="A136" s="50" t="s">
        <v>35</v>
      </c>
      <c r="B136" s="51">
        <f t="shared" si="6"/>
        <v>80</v>
      </c>
      <c r="C136" s="51" t="s">
        <v>3</v>
      </c>
      <c r="D136" s="51">
        <f t="shared" si="7"/>
        <v>260</v>
      </c>
      <c r="E136" s="51" t="s">
        <v>3</v>
      </c>
      <c r="F136" s="110">
        <f t="shared" si="8"/>
        <v>1800</v>
      </c>
      <c r="G136" s="51" t="s">
        <v>3</v>
      </c>
      <c r="H136" s="48">
        <v>2</v>
      </c>
      <c r="I136" s="49" t="s">
        <v>45</v>
      </c>
      <c r="J136" s="184">
        <v>80</v>
      </c>
      <c r="K136" s="113">
        <v>260</v>
      </c>
      <c r="L136" s="113">
        <v>1800</v>
      </c>
      <c r="M136" s="185">
        <v>15.447749614722367</v>
      </c>
      <c r="N136" s="75">
        <v>655.78976381655548</v>
      </c>
      <c r="O136" s="119">
        <v>20756.313196796029</v>
      </c>
      <c r="P136" s="119">
        <v>25078.264457719728</v>
      </c>
      <c r="Q136" s="120">
        <v>20200.507527307618</v>
      </c>
      <c r="R136" s="314">
        <v>40956.820724103643</v>
      </c>
      <c r="S136" s="315">
        <v>45278.771985027342</v>
      </c>
      <c r="U136" s="7" t="s">
        <v>1867</v>
      </c>
    </row>
    <row r="137" spans="1:21" s="74" customFormat="1" ht="16.5" thickBot="1">
      <c r="A137" s="50" t="s">
        <v>35</v>
      </c>
      <c r="B137" s="51">
        <f t="shared" si="6"/>
        <v>80</v>
      </c>
      <c r="C137" s="51" t="s">
        <v>3</v>
      </c>
      <c r="D137" s="51">
        <f t="shared" si="7"/>
        <v>260</v>
      </c>
      <c r="E137" s="51" t="s">
        <v>3</v>
      </c>
      <c r="F137" s="110">
        <f t="shared" si="8"/>
        <v>1850</v>
      </c>
      <c r="G137" s="51" t="s">
        <v>3</v>
      </c>
      <c r="H137" s="48">
        <v>2</v>
      </c>
      <c r="I137" s="49" t="s">
        <v>45</v>
      </c>
      <c r="J137" s="184">
        <v>80</v>
      </c>
      <c r="K137" s="113">
        <v>260</v>
      </c>
      <c r="L137" s="113">
        <v>1850</v>
      </c>
      <c r="M137" s="185">
        <v>15.847573393286577</v>
      </c>
      <c r="N137" s="75">
        <v>678.40320394816081</v>
      </c>
      <c r="O137" s="119">
        <v>21176.429664181731</v>
      </c>
      <c r="P137" s="119">
        <v>25606.430464752681</v>
      </c>
      <c r="Q137" s="120">
        <v>20862.69991745783</v>
      </c>
      <c r="R137" s="314">
        <v>42039.129581639558</v>
      </c>
      <c r="S137" s="315">
        <v>46469.130382210511</v>
      </c>
      <c r="U137" s="7" t="s">
        <v>1868</v>
      </c>
    </row>
    <row r="138" spans="1:21" s="74" customFormat="1" ht="16.5" thickBot="1">
      <c r="A138" s="50" t="s">
        <v>35</v>
      </c>
      <c r="B138" s="51">
        <f t="shared" si="6"/>
        <v>80</v>
      </c>
      <c r="C138" s="51" t="s">
        <v>3</v>
      </c>
      <c r="D138" s="51">
        <f t="shared" si="7"/>
        <v>260</v>
      </c>
      <c r="E138" s="51" t="s">
        <v>3</v>
      </c>
      <c r="F138" s="110">
        <f t="shared" si="8"/>
        <v>1900</v>
      </c>
      <c r="G138" s="51" t="s">
        <v>3</v>
      </c>
      <c r="H138" s="48">
        <v>2</v>
      </c>
      <c r="I138" s="49" t="s">
        <v>45</v>
      </c>
      <c r="J138" s="184">
        <v>80</v>
      </c>
      <c r="K138" s="113">
        <v>260</v>
      </c>
      <c r="L138" s="113">
        <v>1900</v>
      </c>
      <c r="M138" s="185">
        <v>16.247397171850789</v>
      </c>
      <c r="N138" s="75">
        <v>701.01664407976625</v>
      </c>
      <c r="O138" s="119">
        <v>21596.545991174065</v>
      </c>
      <c r="P138" s="119">
        <v>26134.59647178563</v>
      </c>
      <c r="Q138" s="120">
        <v>21294.310529824768</v>
      </c>
      <c r="R138" s="314">
        <v>42890.85652099883</v>
      </c>
      <c r="S138" s="315">
        <v>47428.907001610394</v>
      </c>
      <c r="U138" s="7" t="s">
        <v>1869</v>
      </c>
    </row>
    <row r="139" spans="1:21" s="74" customFormat="1" ht="16.5" thickBot="1">
      <c r="A139" s="50" t="s">
        <v>35</v>
      </c>
      <c r="B139" s="51">
        <f t="shared" si="6"/>
        <v>80</v>
      </c>
      <c r="C139" s="51" t="s">
        <v>3</v>
      </c>
      <c r="D139" s="51">
        <f t="shared" si="7"/>
        <v>260</v>
      </c>
      <c r="E139" s="51" t="s">
        <v>3</v>
      </c>
      <c r="F139" s="110">
        <f t="shared" si="8"/>
        <v>1950</v>
      </c>
      <c r="G139" s="51" t="s">
        <v>3</v>
      </c>
      <c r="H139" s="48">
        <v>2</v>
      </c>
      <c r="I139" s="49" t="s">
        <v>45</v>
      </c>
      <c r="J139" s="184">
        <v>80</v>
      </c>
      <c r="K139" s="113">
        <v>260</v>
      </c>
      <c r="L139" s="113">
        <v>1950</v>
      </c>
      <c r="M139" s="185">
        <v>16.686470950415</v>
      </c>
      <c r="N139" s="75">
        <v>723.63008421137158</v>
      </c>
      <c r="O139" s="119">
        <v>22062.53416464293</v>
      </c>
      <c r="P139" s="119">
        <v>26707.236147797968</v>
      </c>
      <c r="Q139" s="120">
        <v>21725.921142191706</v>
      </c>
      <c r="R139" s="314">
        <v>43788.455306834636</v>
      </c>
      <c r="S139" s="315">
        <v>48433.157289989671</v>
      </c>
      <c r="U139" s="7" t="s">
        <v>1870</v>
      </c>
    </row>
    <row r="140" spans="1:21" s="74" customFormat="1" ht="16.5" thickBot="1">
      <c r="A140" s="50" t="s">
        <v>35</v>
      </c>
      <c r="B140" s="51">
        <f t="shared" si="6"/>
        <v>80</v>
      </c>
      <c r="C140" s="51" t="s">
        <v>3</v>
      </c>
      <c r="D140" s="51">
        <f t="shared" si="7"/>
        <v>260</v>
      </c>
      <c r="E140" s="51" t="s">
        <v>3</v>
      </c>
      <c r="F140" s="110">
        <f t="shared" si="8"/>
        <v>2000</v>
      </c>
      <c r="G140" s="51" t="s">
        <v>3</v>
      </c>
      <c r="H140" s="48">
        <v>2</v>
      </c>
      <c r="I140" s="49" t="s">
        <v>45</v>
      </c>
      <c r="J140" s="184">
        <v>80</v>
      </c>
      <c r="K140" s="113">
        <v>260</v>
      </c>
      <c r="L140" s="113">
        <v>2000</v>
      </c>
      <c r="M140" s="185">
        <v>17.177857128979209</v>
      </c>
      <c r="N140" s="75">
        <v>746.24352434297691</v>
      </c>
      <c r="O140" s="119">
        <v>22713.193520850491</v>
      </c>
      <c r="P140" s="119">
        <v>27536.712704708068</v>
      </c>
      <c r="Q140" s="120">
        <v>22388.113532341918</v>
      </c>
      <c r="R140" s="314">
        <v>45101.30705319241</v>
      </c>
      <c r="S140" s="315">
        <v>49924.826237049987</v>
      </c>
      <c r="U140" s="7" t="s">
        <v>1871</v>
      </c>
    </row>
    <row r="141" spans="1:21" s="74" customFormat="1" ht="16.5" thickBot="1">
      <c r="A141" s="50" t="s">
        <v>35</v>
      </c>
      <c r="B141" s="51">
        <f t="shared" si="6"/>
        <v>80</v>
      </c>
      <c r="C141" s="51" t="s">
        <v>3</v>
      </c>
      <c r="D141" s="51">
        <f t="shared" si="7"/>
        <v>260</v>
      </c>
      <c r="E141" s="51" t="s">
        <v>3</v>
      </c>
      <c r="F141" s="110">
        <f t="shared" si="8"/>
        <v>2050</v>
      </c>
      <c r="G141" s="51" t="s">
        <v>3</v>
      </c>
      <c r="H141" s="48">
        <v>2</v>
      </c>
      <c r="I141" s="49" t="s">
        <v>45</v>
      </c>
      <c r="J141" s="184">
        <v>80</v>
      </c>
      <c r="K141" s="113">
        <v>260</v>
      </c>
      <c r="L141" s="113">
        <v>2050</v>
      </c>
      <c r="M141" s="185">
        <v>17.577680907543417</v>
      </c>
      <c r="N141" s="75">
        <v>768.85696447458224</v>
      </c>
      <c r="O141" s="119">
        <v>23133.309988236193</v>
      </c>
      <c r="P141" s="119">
        <v>28064.878711741021</v>
      </c>
      <c r="Q141" s="120">
        <v>22819.724144708856</v>
      </c>
      <c r="R141" s="314">
        <v>45953.034132945046</v>
      </c>
      <c r="S141" s="315">
        <v>50884.602856449877</v>
      </c>
      <c r="U141" s="7" t="s">
        <v>1872</v>
      </c>
    </row>
    <row r="142" spans="1:21" s="74" customFormat="1" ht="16.5" thickBot="1">
      <c r="A142" s="47" t="s">
        <v>35</v>
      </c>
      <c r="B142" s="48">
        <f t="shared" si="6"/>
        <v>80</v>
      </c>
      <c r="C142" s="48" t="s">
        <v>3</v>
      </c>
      <c r="D142" s="48">
        <f t="shared" si="7"/>
        <v>260</v>
      </c>
      <c r="E142" s="48" t="s">
        <v>3</v>
      </c>
      <c r="F142" s="110">
        <f t="shared" si="8"/>
        <v>2100</v>
      </c>
      <c r="G142" s="48" t="s">
        <v>3</v>
      </c>
      <c r="H142" s="48">
        <v>2</v>
      </c>
      <c r="I142" s="49" t="s">
        <v>45</v>
      </c>
      <c r="J142" s="184">
        <v>80</v>
      </c>
      <c r="K142" s="113">
        <v>260</v>
      </c>
      <c r="L142" s="113">
        <v>2100</v>
      </c>
      <c r="M142" s="185">
        <v>17.977504686107629</v>
      </c>
      <c r="N142" s="75">
        <v>791.47040460618769</v>
      </c>
      <c r="O142" s="119">
        <v>23553.426315228528</v>
      </c>
      <c r="P142" s="119">
        <v>28593.04471877397</v>
      </c>
      <c r="Q142" s="120">
        <v>23481.916534859069</v>
      </c>
      <c r="R142" s="314">
        <v>47035.342850087596</v>
      </c>
      <c r="S142" s="315">
        <v>52074.961253633039</v>
      </c>
      <c r="U142" s="7" t="s">
        <v>1873</v>
      </c>
    </row>
    <row r="143" spans="1:21" s="74" customFormat="1" ht="16.5" thickBot="1">
      <c r="A143" s="50" t="s">
        <v>35</v>
      </c>
      <c r="B143" s="51">
        <f t="shared" si="6"/>
        <v>80</v>
      </c>
      <c r="C143" s="51" t="s">
        <v>3</v>
      </c>
      <c r="D143" s="51">
        <f t="shared" si="7"/>
        <v>260</v>
      </c>
      <c r="E143" s="51" t="s">
        <v>3</v>
      </c>
      <c r="F143" s="110">
        <f t="shared" si="8"/>
        <v>2150</v>
      </c>
      <c r="G143" s="51" t="s">
        <v>3</v>
      </c>
      <c r="H143" s="48">
        <v>2</v>
      </c>
      <c r="I143" s="49" t="s">
        <v>45</v>
      </c>
      <c r="J143" s="184">
        <v>80</v>
      </c>
      <c r="K143" s="113">
        <v>260</v>
      </c>
      <c r="L143" s="113">
        <v>2150</v>
      </c>
      <c r="M143" s="185">
        <v>18.377328464671841</v>
      </c>
      <c r="N143" s="75">
        <v>814.08384473779302</v>
      </c>
      <c r="O143" s="119">
        <v>23973.542642220869</v>
      </c>
      <c r="P143" s="119">
        <v>29121.210866200283</v>
      </c>
      <c r="Q143" s="120">
        <v>23913.527147226006</v>
      </c>
      <c r="R143" s="314">
        <v>47887.069789446876</v>
      </c>
      <c r="S143" s="315">
        <v>53034.738013426293</v>
      </c>
      <c r="U143" s="7" t="s">
        <v>1874</v>
      </c>
    </row>
    <row r="144" spans="1:21" s="74" customFormat="1" ht="16.5" thickBot="1">
      <c r="A144" s="50" t="s">
        <v>35</v>
      </c>
      <c r="B144" s="51">
        <f t="shared" si="6"/>
        <v>80</v>
      </c>
      <c r="C144" s="51" t="s">
        <v>3</v>
      </c>
      <c r="D144" s="51">
        <f t="shared" si="7"/>
        <v>260</v>
      </c>
      <c r="E144" s="51" t="s">
        <v>3</v>
      </c>
      <c r="F144" s="110">
        <f t="shared" si="8"/>
        <v>2200</v>
      </c>
      <c r="G144" s="51" t="s">
        <v>3</v>
      </c>
      <c r="H144" s="48">
        <v>2</v>
      </c>
      <c r="I144" s="49" t="s">
        <v>45</v>
      </c>
      <c r="J144" s="184">
        <v>80</v>
      </c>
      <c r="K144" s="113">
        <v>260</v>
      </c>
      <c r="L144" s="113">
        <v>2200</v>
      </c>
      <c r="M144" s="185">
        <v>18.777152243236049</v>
      </c>
      <c r="N144" s="75">
        <v>836.69728486939846</v>
      </c>
      <c r="O144" s="119">
        <v>24393.659109606568</v>
      </c>
      <c r="P144" s="119">
        <v>29649.376873233228</v>
      </c>
      <c r="Q144" s="120">
        <v>24575.719537376219</v>
      </c>
      <c r="R144" s="314">
        <v>48969.37864698279</v>
      </c>
      <c r="S144" s="315">
        <v>54225.096410609447</v>
      </c>
      <c r="U144" s="7" t="s">
        <v>1875</v>
      </c>
    </row>
    <row r="145" spans="1:21" s="74" customFormat="1" ht="16.5" thickBot="1">
      <c r="A145" s="50" t="s">
        <v>35</v>
      </c>
      <c r="B145" s="51">
        <f t="shared" si="6"/>
        <v>80</v>
      </c>
      <c r="C145" s="51" t="s">
        <v>3</v>
      </c>
      <c r="D145" s="51">
        <f t="shared" si="7"/>
        <v>260</v>
      </c>
      <c r="E145" s="51" t="s">
        <v>3</v>
      </c>
      <c r="F145" s="110">
        <f t="shared" si="8"/>
        <v>2250</v>
      </c>
      <c r="G145" s="51" t="s">
        <v>3</v>
      </c>
      <c r="H145" s="48">
        <v>2</v>
      </c>
      <c r="I145" s="49" t="s">
        <v>45</v>
      </c>
      <c r="J145" s="184">
        <v>80</v>
      </c>
      <c r="K145" s="113">
        <v>260</v>
      </c>
      <c r="L145" s="113">
        <v>2250</v>
      </c>
      <c r="M145" s="185">
        <v>19.176976021800257</v>
      </c>
      <c r="N145" s="75">
        <v>859.31072500100368</v>
      </c>
      <c r="O145" s="119">
        <v>24813.775436598906</v>
      </c>
      <c r="P145" s="119">
        <v>30177.542880266185</v>
      </c>
      <c r="Q145" s="120">
        <v>25007.330009349789</v>
      </c>
      <c r="R145" s="314">
        <v>49821.105445948691</v>
      </c>
      <c r="S145" s="315">
        <v>55184.872889615974</v>
      </c>
      <c r="U145" s="7" t="s">
        <v>1876</v>
      </c>
    </row>
    <row r="146" spans="1:21" s="74" customFormat="1" ht="16.5" thickBot="1">
      <c r="A146" s="50" t="s">
        <v>35</v>
      </c>
      <c r="B146" s="51">
        <f t="shared" si="6"/>
        <v>80</v>
      </c>
      <c r="C146" s="51" t="s">
        <v>3</v>
      </c>
      <c r="D146" s="51">
        <f t="shared" si="7"/>
        <v>260</v>
      </c>
      <c r="E146" s="51" t="s">
        <v>3</v>
      </c>
      <c r="F146" s="110">
        <f t="shared" si="8"/>
        <v>2300</v>
      </c>
      <c r="G146" s="51" t="s">
        <v>3</v>
      </c>
      <c r="H146" s="48">
        <v>2</v>
      </c>
      <c r="I146" s="49" t="s">
        <v>45</v>
      </c>
      <c r="J146" s="184">
        <v>80</v>
      </c>
      <c r="K146" s="113">
        <v>260</v>
      </c>
      <c r="L146" s="113">
        <v>2300</v>
      </c>
      <c r="M146" s="185">
        <v>19.576799800364473</v>
      </c>
      <c r="N146" s="75">
        <v>881.92416513260912</v>
      </c>
      <c r="O146" s="119">
        <v>25233.891763591106</v>
      </c>
      <c r="P146" s="119">
        <v>30705.709027692497</v>
      </c>
      <c r="Q146" s="120">
        <v>25438.940621716731</v>
      </c>
      <c r="R146" s="314">
        <v>50672.832385307833</v>
      </c>
      <c r="S146" s="315">
        <v>56144.649649409228</v>
      </c>
      <c r="U146" s="7" t="s">
        <v>1877</v>
      </c>
    </row>
    <row r="147" spans="1:21" s="74" customFormat="1" ht="16.5" thickBot="1">
      <c r="A147" s="50" t="s">
        <v>35</v>
      </c>
      <c r="B147" s="51">
        <f t="shared" si="6"/>
        <v>80</v>
      </c>
      <c r="C147" s="51" t="s">
        <v>3</v>
      </c>
      <c r="D147" s="51">
        <f t="shared" si="7"/>
        <v>260</v>
      </c>
      <c r="E147" s="51" t="s">
        <v>3</v>
      </c>
      <c r="F147" s="110">
        <f t="shared" si="8"/>
        <v>2350</v>
      </c>
      <c r="G147" s="51" t="s">
        <v>3</v>
      </c>
      <c r="H147" s="48">
        <v>2</v>
      </c>
      <c r="I147" s="49" t="s">
        <v>45</v>
      </c>
      <c r="J147" s="184">
        <v>80</v>
      </c>
      <c r="K147" s="113">
        <v>260</v>
      </c>
      <c r="L147" s="113">
        <v>2350</v>
      </c>
      <c r="M147" s="185">
        <v>19.976623578928681</v>
      </c>
      <c r="N147" s="75">
        <v>904.53760526421445</v>
      </c>
      <c r="O147" s="119">
        <v>25654.008230976942</v>
      </c>
      <c r="P147" s="119">
        <v>31233.875034725443</v>
      </c>
      <c r="Q147" s="120">
        <v>26101.133011866939</v>
      </c>
      <c r="R147" s="314">
        <v>51755.141242843878</v>
      </c>
      <c r="S147" s="315">
        <v>57335.008046592382</v>
      </c>
      <c r="U147" s="7" t="s">
        <v>1878</v>
      </c>
    </row>
    <row r="148" spans="1:21" s="74" customFormat="1" ht="16.5" thickBot="1">
      <c r="A148" s="50" t="s">
        <v>35</v>
      </c>
      <c r="B148" s="51">
        <f t="shared" si="6"/>
        <v>80</v>
      </c>
      <c r="C148" s="51" t="s">
        <v>3</v>
      </c>
      <c r="D148" s="51">
        <f t="shared" si="7"/>
        <v>260</v>
      </c>
      <c r="E148" s="51" t="s">
        <v>3</v>
      </c>
      <c r="F148" s="110">
        <f t="shared" si="8"/>
        <v>2400</v>
      </c>
      <c r="G148" s="51" t="s">
        <v>3</v>
      </c>
      <c r="H148" s="48">
        <v>2</v>
      </c>
      <c r="I148" s="49" t="s">
        <v>45</v>
      </c>
      <c r="J148" s="184">
        <v>80</v>
      </c>
      <c r="K148" s="113">
        <v>260</v>
      </c>
      <c r="L148" s="113">
        <v>2400</v>
      </c>
      <c r="M148" s="185">
        <v>20.376447357492893</v>
      </c>
      <c r="N148" s="75">
        <v>927.15104539581978</v>
      </c>
      <c r="O148" s="119">
        <v>26074.12455796928</v>
      </c>
      <c r="P148" s="119">
        <v>31762.041041758392</v>
      </c>
      <c r="Q148" s="120">
        <v>26532.743624233881</v>
      </c>
      <c r="R148" s="314">
        <v>52606.868182203165</v>
      </c>
      <c r="S148" s="315">
        <v>58294.784665992272</v>
      </c>
      <c r="U148" s="7" t="s">
        <v>1879</v>
      </c>
    </row>
    <row r="149" spans="1:21" s="74" customFormat="1" ht="16.5" thickBot="1">
      <c r="A149" s="50" t="s">
        <v>35</v>
      </c>
      <c r="B149" s="51">
        <f t="shared" si="6"/>
        <v>80</v>
      </c>
      <c r="C149" s="51" t="s">
        <v>3</v>
      </c>
      <c r="D149" s="51">
        <f t="shared" si="7"/>
        <v>260</v>
      </c>
      <c r="E149" s="51" t="s">
        <v>3</v>
      </c>
      <c r="F149" s="110">
        <f t="shared" si="8"/>
        <v>2450</v>
      </c>
      <c r="G149" s="51" t="s">
        <v>3</v>
      </c>
      <c r="H149" s="48">
        <v>2</v>
      </c>
      <c r="I149" s="49" t="s">
        <v>45</v>
      </c>
      <c r="J149" s="184">
        <v>80</v>
      </c>
      <c r="K149" s="113">
        <v>260</v>
      </c>
      <c r="L149" s="113">
        <v>2450</v>
      </c>
      <c r="M149" s="185">
        <v>20.9000353248571</v>
      </c>
      <c r="N149" s="75">
        <v>949.76448552742522</v>
      </c>
      <c r="O149" s="119">
        <v>27083.648301830781</v>
      </c>
      <c r="P149" s="119">
        <v>32806.338957970882</v>
      </c>
      <c r="Q149" s="120">
        <v>27194.936014384097</v>
      </c>
      <c r="R149" s="314">
        <v>54278.584316214881</v>
      </c>
      <c r="S149" s="315">
        <v>60001.274972354979</v>
      </c>
      <c r="U149" s="7" t="s">
        <v>1880</v>
      </c>
    </row>
    <row r="150" spans="1:21" s="74" customFormat="1" ht="16.5" thickBot="1">
      <c r="A150" s="50" t="s">
        <v>35</v>
      </c>
      <c r="B150" s="51">
        <f t="shared" si="6"/>
        <v>80</v>
      </c>
      <c r="C150" s="51" t="s">
        <v>3</v>
      </c>
      <c r="D150" s="51">
        <f t="shared" si="7"/>
        <v>260</v>
      </c>
      <c r="E150" s="51" t="s">
        <v>3</v>
      </c>
      <c r="F150" s="110">
        <f t="shared" si="8"/>
        <v>2500</v>
      </c>
      <c r="G150" s="51" t="s">
        <v>3</v>
      </c>
      <c r="H150" s="48">
        <v>2</v>
      </c>
      <c r="I150" s="49" t="s">
        <v>45</v>
      </c>
      <c r="J150" s="184">
        <v>80</v>
      </c>
      <c r="K150" s="113">
        <v>260</v>
      </c>
      <c r="L150" s="113">
        <v>2500</v>
      </c>
      <c r="M150" s="185">
        <v>21.299859103421312</v>
      </c>
      <c r="N150" s="75">
        <v>972.37792565903044</v>
      </c>
      <c r="O150" s="119">
        <v>27503.764628823119</v>
      </c>
      <c r="P150" s="119">
        <v>33334.504965003835</v>
      </c>
      <c r="Q150" s="120">
        <v>27626.546626751031</v>
      </c>
      <c r="R150" s="314">
        <v>55130.311255574154</v>
      </c>
      <c r="S150" s="315">
        <v>60961.051591754862</v>
      </c>
      <c r="U150" s="7" t="s">
        <v>1881</v>
      </c>
    </row>
    <row r="151" spans="1:21" s="74" customFormat="1" ht="16.5" thickBot="1">
      <c r="A151" s="50" t="s">
        <v>35</v>
      </c>
      <c r="B151" s="51">
        <f t="shared" si="6"/>
        <v>80</v>
      </c>
      <c r="C151" s="51" t="s">
        <v>3</v>
      </c>
      <c r="D151" s="51">
        <f t="shared" si="7"/>
        <v>260</v>
      </c>
      <c r="E151" s="51" t="s">
        <v>3</v>
      </c>
      <c r="F151" s="110">
        <f t="shared" si="8"/>
        <v>2550</v>
      </c>
      <c r="G151" s="51" t="s">
        <v>3</v>
      </c>
      <c r="H151" s="48">
        <v>2</v>
      </c>
      <c r="I151" s="49" t="s">
        <v>45</v>
      </c>
      <c r="J151" s="184">
        <v>80</v>
      </c>
      <c r="K151" s="113">
        <v>260</v>
      </c>
      <c r="L151" s="113">
        <v>2550</v>
      </c>
      <c r="M151" s="185">
        <v>21.699682881985524</v>
      </c>
      <c r="N151" s="75">
        <v>994.991365790636</v>
      </c>
      <c r="O151" s="119">
        <v>27923.880955815453</v>
      </c>
      <c r="P151" s="119">
        <v>33862.671112430144</v>
      </c>
      <c r="Q151" s="120">
        <v>28288.739016901247</v>
      </c>
      <c r="R151" s="314">
        <v>56212.619972716697</v>
      </c>
      <c r="S151" s="315">
        <v>62151.410129331387</v>
      </c>
      <c r="U151" s="7" t="s">
        <v>1882</v>
      </c>
    </row>
    <row r="152" spans="1:21" s="74" customFormat="1" ht="16.5" thickBot="1">
      <c r="A152" s="47" t="s">
        <v>35</v>
      </c>
      <c r="B152" s="48">
        <f t="shared" si="6"/>
        <v>80</v>
      </c>
      <c r="C152" s="48" t="s">
        <v>3</v>
      </c>
      <c r="D152" s="48">
        <f t="shared" si="7"/>
        <v>260</v>
      </c>
      <c r="E152" s="48" t="s">
        <v>3</v>
      </c>
      <c r="F152" s="110">
        <f t="shared" si="8"/>
        <v>2600</v>
      </c>
      <c r="G152" s="48" t="s">
        <v>3</v>
      </c>
      <c r="H152" s="48">
        <v>2</v>
      </c>
      <c r="I152" s="49" t="s">
        <v>45</v>
      </c>
      <c r="J152" s="184">
        <v>80</v>
      </c>
      <c r="K152" s="113">
        <v>260</v>
      </c>
      <c r="L152" s="113">
        <v>2600</v>
      </c>
      <c r="M152" s="185">
        <v>22.099506660549736</v>
      </c>
      <c r="N152" s="75">
        <v>1017.6048059222412</v>
      </c>
      <c r="O152" s="119">
        <v>28343.997423201155</v>
      </c>
      <c r="P152" s="119">
        <v>34390.837119463096</v>
      </c>
      <c r="Q152" s="120">
        <v>28720.349629268181</v>
      </c>
      <c r="R152" s="314">
        <v>57064.34705246934</v>
      </c>
      <c r="S152" s="315">
        <v>63111.186748731277</v>
      </c>
      <c r="U152" s="7" t="s">
        <v>1883</v>
      </c>
    </row>
    <row r="153" spans="1:21" s="74" customFormat="1" ht="16.5" thickBot="1">
      <c r="A153" s="50" t="s">
        <v>35</v>
      </c>
      <c r="B153" s="51">
        <f t="shared" si="6"/>
        <v>80</v>
      </c>
      <c r="C153" s="51" t="s">
        <v>3</v>
      </c>
      <c r="D153" s="51">
        <f t="shared" si="7"/>
        <v>260</v>
      </c>
      <c r="E153" s="51" t="s">
        <v>3</v>
      </c>
      <c r="F153" s="110">
        <f t="shared" si="8"/>
        <v>2650</v>
      </c>
      <c r="G153" s="51" t="s">
        <v>3</v>
      </c>
      <c r="H153" s="48">
        <v>2</v>
      </c>
      <c r="I153" s="49" t="s">
        <v>45</v>
      </c>
      <c r="J153" s="184">
        <v>80</v>
      </c>
      <c r="K153" s="113">
        <v>260</v>
      </c>
      <c r="L153" s="113">
        <v>2650</v>
      </c>
      <c r="M153" s="185">
        <v>22.499330439113947</v>
      </c>
      <c r="N153" s="75">
        <v>1040.2182460538465</v>
      </c>
      <c r="O153" s="119">
        <v>28764.113750193494</v>
      </c>
      <c r="P153" s="119">
        <v>34919.003126496042</v>
      </c>
      <c r="Q153" s="120">
        <v>29382.542019418397</v>
      </c>
      <c r="R153" s="314">
        <v>58146.655769611891</v>
      </c>
      <c r="S153" s="315">
        <v>64301.545145914439</v>
      </c>
      <c r="U153" s="7" t="s">
        <v>1884</v>
      </c>
    </row>
    <row r="154" spans="1:21" s="74" customFormat="1" ht="16.5" thickBot="1">
      <c r="A154" s="50" t="s">
        <v>35</v>
      </c>
      <c r="B154" s="51">
        <f t="shared" si="6"/>
        <v>80</v>
      </c>
      <c r="C154" s="51" t="s">
        <v>3</v>
      </c>
      <c r="D154" s="51">
        <f t="shared" si="7"/>
        <v>260</v>
      </c>
      <c r="E154" s="51" t="s">
        <v>3</v>
      </c>
      <c r="F154" s="110">
        <f t="shared" si="8"/>
        <v>2700</v>
      </c>
      <c r="G154" s="51" t="s">
        <v>3</v>
      </c>
      <c r="H154" s="48">
        <v>2</v>
      </c>
      <c r="I154" s="49" t="s">
        <v>45</v>
      </c>
      <c r="J154" s="184">
        <v>80</v>
      </c>
      <c r="K154" s="113">
        <v>260</v>
      </c>
      <c r="L154" s="113">
        <v>2700</v>
      </c>
      <c r="M154" s="185">
        <v>22.938404217678162</v>
      </c>
      <c r="N154" s="75">
        <v>1062.8316861854521</v>
      </c>
      <c r="O154" s="119">
        <v>29230.101923662354</v>
      </c>
      <c r="P154" s="119">
        <v>35491.642802508381</v>
      </c>
      <c r="Q154" s="120">
        <v>29814.152631785331</v>
      </c>
      <c r="R154" s="314">
        <v>59044.254555447682</v>
      </c>
      <c r="S154" s="315">
        <v>65305.795434293716</v>
      </c>
      <c r="U154" s="7" t="s">
        <v>1885</v>
      </c>
    </row>
    <row r="155" spans="1:21" s="74" customFormat="1" ht="16.5" thickBot="1">
      <c r="A155" s="50" t="s">
        <v>35</v>
      </c>
      <c r="B155" s="51">
        <f t="shared" si="6"/>
        <v>80</v>
      </c>
      <c r="C155" s="51" t="s">
        <v>3</v>
      </c>
      <c r="D155" s="51">
        <f t="shared" si="7"/>
        <v>260</v>
      </c>
      <c r="E155" s="51" t="s">
        <v>3</v>
      </c>
      <c r="F155" s="110">
        <f t="shared" si="8"/>
        <v>2750</v>
      </c>
      <c r="G155" s="51" t="s">
        <v>3</v>
      </c>
      <c r="H155" s="48">
        <v>2</v>
      </c>
      <c r="I155" s="49" t="s">
        <v>45</v>
      </c>
      <c r="J155" s="184">
        <v>80</v>
      </c>
      <c r="K155" s="113">
        <v>260</v>
      </c>
      <c r="L155" s="113">
        <v>2750</v>
      </c>
      <c r="M155" s="185">
        <v>23.33822799624237</v>
      </c>
      <c r="N155" s="75">
        <v>1085.4451263170572</v>
      </c>
      <c r="O155" s="119">
        <v>29650.218250654696</v>
      </c>
      <c r="P155" s="119">
        <v>36019.808809541333</v>
      </c>
      <c r="Q155" s="120">
        <v>30245.763244152273</v>
      </c>
      <c r="R155" s="314">
        <v>59895.981494806969</v>
      </c>
      <c r="S155" s="315">
        <v>66265.572053693613</v>
      </c>
      <c r="U155" s="7" t="s">
        <v>1886</v>
      </c>
    </row>
    <row r="156" spans="1:21" s="74" customFormat="1" ht="16.5" thickBot="1">
      <c r="A156" s="50" t="s">
        <v>35</v>
      </c>
      <c r="B156" s="51">
        <f t="shared" si="6"/>
        <v>80</v>
      </c>
      <c r="C156" s="51" t="s">
        <v>3</v>
      </c>
      <c r="D156" s="51">
        <f t="shared" si="7"/>
        <v>260</v>
      </c>
      <c r="E156" s="51" t="s">
        <v>3</v>
      </c>
      <c r="F156" s="110">
        <f t="shared" si="8"/>
        <v>2800</v>
      </c>
      <c r="G156" s="51" t="s">
        <v>3</v>
      </c>
      <c r="H156" s="48">
        <v>2</v>
      </c>
      <c r="I156" s="49" t="s">
        <v>45</v>
      </c>
      <c r="J156" s="184">
        <v>80</v>
      </c>
      <c r="K156" s="113">
        <v>260</v>
      </c>
      <c r="L156" s="113">
        <v>2800</v>
      </c>
      <c r="M156" s="185">
        <v>23.738051774806578</v>
      </c>
      <c r="N156" s="75">
        <v>1108.0585664486628</v>
      </c>
      <c r="O156" s="119">
        <v>30070.334577647031</v>
      </c>
      <c r="P156" s="119">
        <v>36547.974816574286</v>
      </c>
      <c r="Q156" s="120">
        <v>30907.955493909118</v>
      </c>
      <c r="R156" s="314">
        <v>60978.290071556148</v>
      </c>
      <c r="S156" s="315">
        <v>67455.930310483411</v>
      </c>
      <c r="U156" s="7" t="s">
        <v>1887</v>
      </c>
    </row>
    <row r="157" spans="1:21" s="74" customFormat="1" ht="16.5" thickBot="1">
      <c r="A157" s="50" t="s">
        <v>35</v>
      </c>
      <c r="B157" s="51">
        <f t="shared" si="6"/>
        <v>80</v>
      </c>
      <c r="C157" s="51" t="s">
        <v>3</v>
      </c>
      <c r="D157" s="51">
        <f t="shared" si="7"/>
        <v>260</v>
      </c>
      <c r="E157" s="51" t="s">
        <v>3</v>
      </c>
      <c r="F157" s="110">
        <f t="shared" si="8"/>
        <v>2850</v>
      </c>
      <c r="G157" s="51" t="s">
        <v>3</v>
      </c>
      <c r="H157" s="48">
        <v>2</v>
      </c>
      <c r="I157" s="49" t="s">
        <v>45</v>
      </c>
      <c r="J157" s="184">
        <v>80</v>
      </c>
      <c r="K157" s="113">
        <v>260</v>
      </c>
      <c r="L157" s="113">
        <v>2850</v>
      </c>
      <c r="M157" s="185">
        <v>24.13787555337079</v>
      </c>
      <c r="N157" s="75">
        <v>1130.6720065802681</v>
      </c>
      <c r="O157" s="119">
        <v>30490.451045032733</v>
      </c>
      <c r="P157" s="119">
        <v>37076.140964000595</v>
      </c>
      <c r="Q157" s="120">
        <v>31339.566106276056</v>
      </c>
      <c r="R157" s="314">
        <v>61830.017151308784</v>
      </c>
      <c r="S157" s="315">
        <v>68415.70707027665</v>
      </c>
      <c r="U157" s="7" t="s">
        <v>1888</v>
      </c>
    </row>
    <row r="158" spans="1:21" s="74" customFormat="1" ht="16.5" thickBot="1">
      <c r="A158" s="50" t="s">
        <v>35</v>
      </c>
      <c r="B158" s="51">
        <f t="shared" si="6"/>
        <v>80</v>
      </c>
      <c r="C158" s="51" t="s">
        <v>3</v>
      </c>
      <c r="D158" s="51">
        <f t="shared" si="7"/>
        <v>260</v>
      </c>
      <c r="E158" s="51" t="s">
        <v>3</v>
      </c>
      <c r="F158" s="110">
        <f t="shared" si="8"/>
        <v>2900</v>
      </c>
      <c r="G158" s="51" t="s">
        <v>3</v>
      </c>
      <c r="H158" s="48">
        <v>2</v>
      </c>
      <c r="I158" s="49" t="s">
        <v>45</v>
      </c>
      <c r="J158" s="184">
        <v>80</v>
      </c>
      <c r="K158" s="113">
        <v>260</v>
      </c>
      <c r="L158" s="113">
        <v>2900</v>
      </c>
      <c r="M158" s="185">
        <v>24.537699331935002</v>
      </c>
      <c r="N158" s="75">
        <v>1153.2854467118734</v>
      </c>
      <c r="O158" s="119">
        <v>30910.567372025067</v>
      </c>
      <c r="P158" s="119">
        <v>37604.306971033548</v>
      </c>
      <c r="Q158" s="120">
        <v>32001.758496426271</v>
      </c>
      <c r="R158" s="314">
        <v>62912.325868451342</v>
      </c>
      <c r="S158" s="315">
        <v>69606.065467459819</v>
      </c>
      <c r="U158" s="7" t="s">
        <v>1889</v>
      </c>
    </row>
    <row r="159" spans="1:21" s="74" customFormat="1" ht="16.5" thickBot="1">
      <c r="A159" s="50" t="s">
        <v>35</v>
      </c>
      <c r="B159" s="51">
        <f t="shared" si="6"/>
        <v>80</v>
      </c>
      <c r="C159" s="51" t="s">
        <v>3</v>
      </c>
      <c r="D159" s="51">
        <f t="shared" si="7"/>
        <v>260</v>
      </c>
      <c r="E159" s="51" t="s">
        <v>3</v>
      </c>
      <c r="F159" s="110">
        <f t="shared" si="8"/>
        <v>2950</v>
      </c>
      <c r="G159" s="51" t="s">
        <v>3</v>
      </c>
      <c r="H159" s="48">
        <v>2</v>
      </c>
      <c r="I159" s="49" t="s">
        <v>45</v>
      </c>
      <c r="J159" s="184">
        <v>80</v>
      </c>
      <c r="K159" s="113">
        <v>260</v>
      </c>
      <c r="L159" s="113">
        <v>2950</v>
      </c>
      <c r="M159" s="185">
        <v>24.93752311049921</v>
      </c>
      <c r="N159" s="75">
        <v>1175.8988868434787</v>
      </c>
      <c r="O159" s="119">
        <v>31330.683699017409</v>
      </c>
      <c r="P159" s="119">
        <v>38132.472978066493</v>
      </c>
      <c r="Q159" s="120">
        <v>32433.369108793206</v>
      </c>
      <c r="R159" s="314">
        <v>63764.052807810614</v>
      </c>
      <c r="S159" s="315">
        <v>70565.842086859702</v>
      </c>
      <c r="U159" s="7" t="s">
        <v>1890</v>
      </c>
    </row>
    <row r="160" spans="1:21" s="74" customFormat="1" ht="16.5" thickBot="1">
      <c r="A160" s="52" t="s">
        <v>35</v>
      </c>
      <c r="B160" s="53">
        <f t="shared" si="6"/>
        <v>80</v>
      </c>
      <c r="C160" s="53" t="s">
        <v>3</v>
      </c>
      <c r="D160" s="53">
        <f t="shared" si="7"/>
        <v>260</v>
      </c>
      <c r="E160" s="53" t="s">
        <v>3</v>
      </c>
      <c r="F160" s="111">
        <f t="shared" si="8"/>
        <v>3000</v>
      </c>
      <c r="G160" s="53" t="s">
        <v>3</v>
      </c>
      <c r="H160" s="55">
        <v>2</v>
      </c>
      <c r="I160" s="54" t="s">
        <v>45</v>
      </c>
      <c r="J160" s="184">
        <v>80</v>
      </c>
      <c r="K160" s="157">
        <v>260</v>
      </c>
      <c r="L160" s="157">
        <v>3000</v>
      </c>
      <c r="M160" s="187">
        <v>25.337346889063426</v>
      </c>
      <c r="N160" s="147">
        <v>1198.5123269750841</v>
      </c>
      <c r="O160" s="189">
        <v>31750.800166403107</v>
      </c>
      <c r="P160" s="189">
        <v>38660.638985099446</v>
      </c>
      <c r="Q160" s="159">
        <v>33095.561498943418</v>
      </c>
      <c r="R160" s="316">
        <v>64846.361665346529</v>
      </c>
      <c r="S160" s="317">
        <v>71756.200484042871</v>
      </c>
      <c r="U160" s="7" t="s">
        <v>1891</v>
      </c>
    </row>
    <row r="161" spans="1:21" s="74" customFormat="1" ht="22.5" customHeight="1" thickBot="1">
      <c r="A161" s="2621" t="s">
        <v>48</v>
      </c>
      <c r="B161" s="2622"/>
      <c r="C161" s="2622"/>
      <c r="D161" s="2622"/>
      <c r="E161" s="2622"/>
      <c r="F161" s="2622"/>
      <c r="G161" s="2622"/>
      <c r="H161" s="2622"/>
      <c r="I161" s="2622"/>
      <c r="J161" s="2622"/>
      <c r="K161" s="2622"/>
      <c r="L161" s="2622"/>
      <c r="M161" s="2622"/>
      <c r="N161" s="2622"/>
      <c r="O161" s="2622"/>
      <c r="P161" s="2622"/>
      <c r="Q161" s="2622"/>
      <c r="R161" s="2622"/>
      <c r="S161" s="2623"/>
      <c r="U161" s="7"/>
    </row>
    <row r="162" spans="1:21" s="74" customFormat="1" ht="16.5" thickBot="1">
      <c r="A162" s="2583" t="s">
        <v>134</v>
      </c>
      <c r="B162" s="2584"/>
      <c r="C162" s="2584"/>
      <c r="D162" s="2584"/>
      <c r="E162" s="2584"/>
      <c r="F162" s="2584"/>
      <c r="G162" s="2584"/>
      <c r="H162" s="2584"/>
      <c r="I162" s="2584"/>
      <c r="J162" s="2584"/>
      <c r="K162" s="2584"/>
      <c r="L162" s="2584"/>
      <c r="M162" s="2584"/>
      <c r="N162" s="2584"/>
      <c r="O162" s="2584"/>
      <c r="P162" s="2584"/>
      <c r="Q162" s="2584"/>
      <c r="R162" s="2584"/>
      <c r="S162" s="2585"/>
      <c r="U162" s="7"/>
    </row>
    <row r="163" spans="1:21" s="74" customFormat="1" ht="16.5" thickBot="1">
      <c r="A163" s="47" t="s">
        <v>35</v>
      </c>
      <c r="B163" s="48">
        <f>J163</f>
        <v>80</v>
      </c>
      <c r="C163" s="48" t="s">
        <v>3</v>
      </c>
      <c r="D163" s="48">
        <f>K163</f>
        <v>300</v>
      </c>
      <c r="E163" s="48" t="s">
        <v>3</v>
      </c>
      <c r="F163" s="110">
        <f>L163</f>
        <v>600</v>
      </c>
      <c r="G163" s="48" t="s">
        <v>3</v>
      </c>
      <c r="H163" s="48">
        <v>2</v>
      </c>
      <c r="I163" s="49" t="s">
        <v>45</v>
      </c>
      <c r="J163" s="181">
        <v>80</v>
      </c>
      <c r="K163" s="168">
        <v>300</v>
      </c>
      <c r="L163" s="168">
        <v>600</v>
      </c>
      <c r="M163" s="182">
        <v>6.2237049637497366</v>
      </c>
      <c r="N163" s="143">
        <v>121.11039540158848</v>
      </c>
      <c r="O163" s="183">
        <v>10518.757743074513</v>
      </c>
      <c r="P163" s="183">
        <v>12497.764201452339</v>
      </c>
      <c r="Q163" s="169">
        <v>8203.3683669666007</v>
      </c>
      <c r="R163" s="312">
        <v>18722.126110041114</v>
      </c>
      <c r="S163" s="313">
        <v>20701.13256841894</v>
      </c>
      <c r="U163" s="7" t="s">
        <v>1892</v>
      </c>
    </row>
    <row r="164" spans="1:21" s="74" customFormat="1" ht="16.5" thickBot="1">
      <c r="A164" s="50" t="s">
        <v>35</v>
      </c>
      <c r="B164" s="51">
        <f t="shared" ref="B164:B211" si="9">J164</f>
        <v>80</v>
      </c>
      <c r="C164" s="51" t="s">
        <v>3</v>
      </c>
      <c r="D164" s="51">
        <f t="shared" ref="D164:D211" si="10">K164</f>
        <v>300</v>
      </c>
      <c r="E164" s="51" t="s">
        <v>3</v>
      </c>
      <c r="F164" s="110">
        <f t="shared" ref="F164:F211" si="11">L164</f>
        <v>650</v>
      </c>
      <c r="G164" s="51" t="s">
        <v>3</v>
      </c>
      <c r="H164" s="48">
        <v>2</v>
      </c>
      <c r="I164" s="49" t="s">
        <v>45</v>
      </c>
      <c r="J164" s="184">
        <v>80</v>
      </c>
      <c r="K164" s="113">
        <v>300</v>
      </c>
      <c r="L164" s="113">
        <v>650</v>
      </c>
      <c r="M164" s="185">
        <v>6.6562750817876308</v>
      </c>
      <c r="N164" s="75">
        <v>145.33247448190616</v>
      </c>
      <c r="O164" s="121">
        <v>10957.620093794665</v>
      </c>
      <c r="P164" s="121">
        <v>13057.568975871565</v>
      </c>
      <c r="Q164" s="120">
        <v>8683.7735348305905</v>
      </c>
      <c r="R164" s="314">
        <v>19641.393628625257</v>
      </c>
      <c r="S164" s="315">
        <v>21741.342510702154</v>
      </c>
      <c r="U164" s="7" t="s">
        <v>1893</v>
      </c>
    </row>
    <row r="165" spans="1:21" s="74" customFormat="1" ht="16.5" thickBot="1">
      <c r="A165" s="50" t="s">
        <v>35</v>
      </c>
      <c r="B165" s="51">
        <f t="shared" si="9"/>
        <v>80</v>
      </c>
      <c r="C165" s="51" t="s">
        <v>3</v>
      </c>
      <c r="D165" s="51">
        <f t="shared" si="10"/>
        <v>300</v>
      </c>
      <c r="E165" s="51" t="s">
        <v>3</v>
      </c>
      <c r="F165" s="110">
        <f t="shared" si="11"/>
        <v>700</v>
      </c>
      <c r="G165" s="51" t="s">
        <v>3</v>
      </c>
      <c r="H165" s="48">
        <v>2</v>
      </c>
      <c r="I165" s="49" t="s">
        <v>45</v>
      </c>
      <c r="J165" s="184">
        <v>80</v>
      </c>
      <c r="K165" s="113">
        <v>300</v>
      </c>
      <c r="L165" s="113">
        <v>700</v>
      </c>
      <c r="M165" s="185">
        <v>7.088845199825526</v>
      </c>
      <c r="N165" s="75">
        <v>169.55455356222384</v>
      </c>
      <c r="O165" s="121">
        <v>11396.482444514815</v>
      </c>
      <c r="P165" s="121">
        <v>13617.37375029079</v>
      </c>
      <c r="Q165" s="120">
        <v>9394.7606208712132</v>
      </c>
      <c r="R165" s="314">
        <v>20791.243065386028</v>
      </c>
      <c r="S165" s="315">
        <v>23012.134371162003</v>
      </c>
      <c r="U165" s="7" t="s">
        <v>1894</v>
      </c>
    </row>
    <row r="166" spans="1:21" s="74" customFormat="1" ht="16.5" thickBot="1">
      <c r="A166" s="50" t="s">
        <v>35</v>
      </c>
      <c r="B166" s="51">
        <f t="shared" si="9"/>
        <v>80</v>
      </c>
      <c r="C166" s="51" t="s">
        <v>3</v>
      </c>
      <c r="D166" s="51">
        <f t="shared" si="10"/>
        <v>300</v>
      </c>
      <c r="E166" s="51" t="s">
        <v>3</v>
      </c>
      <c r="F166" s="110">
        <f t="shared" si="11"/>
        <v>750</v>
      </c>
      <c r="G166" s="51" t="s">
        <v>3</v>
      </c>
      <c r="H166" s="48">
        <v>2</v>
      </c>
      <c r="I166" s="49" t="s">
        <v>45</v>
      </c>
      <c r="J166" s="184">
        <v>80</v>
      </c>
      <c r="K166" s="113">
        <v>300</v>
      </c>
      <c r="L166" s="113">
        <v>750</v>
      </c>
      <c r="M166" s="185">
        <v>7.5214153178634202</v>
      </c>
      <c r="N166" s="75">
        <v>193.77663264254159</v>
      </c>
      <c r="O166" s="121">
        <v>11835.344795234963</v>
      </c>
      <c r="P166" s="121">
        <v>14177.178384316654</v>
      </c>
      <c r="Q166" s="120">
        <v>9875.165788735203</v>
      </c>
      <c r="R166" s="314">
        <v>21710.510583970165</v>
      </c>
      <c r="S166" s="315">
        <v>24052.344173051857</v>
      </c>
      <c r="U166" s="7" t="s">
        <v>1895</v>
      </c>
    </row>
    <row r="167" spans="1:21" s="74" customFormat="1" ht="16.5" thickBot="1">
      <c r="A167" s="50" t="s">
        <v>35</v>
      </c>
      <c r="B167" s="51">
        <f t="shared" si="9"/>
        <v>80</v>
      </c>
      <c r="C167" s="51" t="s">
        <v>3</v>
      </c>
      <c r="D167" s="51">
        <f t="shared" si="10"/>
        <v>300</v>
      </c>
      <c r="E167" s="51" t="s">
        <v>3</v>
      </c>
      <c r="F167" s="110">
        <f t="shared" si="11"/>
        <v>800</v>
      </c>
      <c r="G167" s="51" t="s">
        <v>3</v>
      </c>
      <c r="H167" s="48">
        <v>2</v>
      </c>
      <c r="I167" s="49" t="s">
        <v>45</v>
      </c>
      <c r="J167" s="184">
        <v>80</v>
      </c>
      <c r="K167" s="113">
        <v>300</v>
      </c>
      <c r="L167" s="113">
        <v>800</v>
      </c>
      <c r="M167" s="185">
        <v>7.9539854359013162</v>
      </c>
      <c r="N167" s="75">
        <v>217.99871172285927</v>
      </c>
      <c r="O167" s="121">
        <v>12274.207145955115</v>
      </c>
      <c r="P167" s="121">
        <v>14736.983158735879</v>
      </c>
      <c r="Q167" s="120">
        <v>10355.570956599189</v>
      </c>
      <c r="R167" s="314">
        <v>22629.778102554304</v>
      </c>
      <c r="S167" s="315">
        <v>25092.554115335068</v>
      </c>
      <c r="U167" s="7" t="s">
        <v>1896</v>
      </c>
    </row>
    <row r="168" spans="1:21" s="74" customFormat="1" ht="16.5" thickBot="1">
      <c r="A168" s="50" t="s">
        <v>35</v>
      </c>
      <c r="B168" s="51">
        <f t="shared" si="9"/>
        <v>80</v>
      </c>
      <c r="C168" s="51" t="s">
        <v>3</v>
      </c>
      <c r="D168" s="51">
        <f t="shared" si="10"/>
        <v>300</v>
      </c>
      <c r="E168" s="51" t="s">
        <v>3</v>
      </c>
      <c r="F168" s="110">
        <f t="shared" si="11"/>
        <v>850</v>
      </c>
      <c r="G168" s="51" t="s">
        <v>3</v>
      </c>
      <c r="H168" s="48">
        <v>2</v>
      </c>
      <c r="I168" s="49" t="s">
        <v>45</v>
      </c>
      <c r="J168" s="184">
        <v>80</v>
      </c>
      <c r="K168" s="113">
        <v>300</v>
      </c>
      <c r="L168" s="113">
        <v>850</v>
      </c>
      <c r="M168" s="185">
        <v>8.3865555539392105</v>
      </c>
      <c r="N168" s="75">
        <v>242.22079080317695</v>
      </c>
      <c r="O168" s="121">
        <v>12713.069496675265</v>
      </c>
      <c r="P168" s="121">
        <v>15296.787933155105</v>
      </c>
      <c r="Q168" s="120">
        <v>11066.558042639816</v>
      </c>
      <c r="R168" s="314">
        <v>23779.627539315079</v>
      </c>
      <c r="S168" s="315">
        <v>26363.34597579492</v>
      </c>
      <c r="U168" s="7" t="s">
        <v>1897</v>
      </c>
    </row>
    <row r="169" spans="1:21" s="74" customFormat="1" ht="16.5" thickBot="1">
      <c r="A169" s="50" t="s">
        <v>35</v>
      </c>
      <c r="B169" s="51">
        <f t="shared" si="9"/>
        <v>80</v>
      </c>
      <c r="C169" s="51" t="s">
        <v>3</v>
      </c>
      <c r="D169" s="51">
        <f t="shared" si="10"/>
        <v>300</v>
      </c>
      <c r="E169" s="51" t="s">
        <v>3</v>
      </c>
      <c r="F169" s="110">
        <f t="shared" si="11"/>
        <v>900</v>
      </c>
      <c r="G169" s="51" t="s">
        <v>3</v>
      </c>
      <c r="H169" s="48">
        <v>2</v>
      </c>
      <c r="I169" s="49" t="s">
        <v>45</v>
      </c>
      <c r="J169" s="184">
        <v>80</v>
      </c>
      <c r="K169" s="113">
        <v>300</v>
      </c>
      <c r="L169" s="113">
        <v>900</v>
      </c>
      <c r="M169" s="185">
        <v>8.8191256719771047</v>
      </c>
      <c r="N169" s="75">
        <v>266.44286988349467</v>
      </c>
      <c r="O169" s="121">
        <v>13151.931847395415</v>
      </c>
      <c r="P169" s="121">
        <v>15856.592567180965</v>
      </c>
      <c r="Q169" s="120">
        <v>11546.963210503804</v>
      </c>
      <c r="R169" s="314">
        <v>24698.895057899219</v>
      </c>
      <c r="S169" s="315">
        <v>27403.555777684771</v>
      </c>
      <c r="U169" s="7" t="s">
        <v>1898</v>
      </c>
    </row>
    <row r="170" spans="1:21" s="74" customFormat="1" ht="16.5" thickBot="1">
      <c r="A170" s="50" t="s">
        <v>35</v>
      </c>
      <c r="B170" s="51">
        <f t="shared" si="9"/>
        <v>80</v>
      </c>
      <c r="C170" s="51" t="s">
        <v>3</v>
      </c>
      <c r="D170" s="51">
        <f t="shared" si="10"/>
        <v>300</v>
      </c>
      <c r="E170" s="51" t="s">
        <v>3</v>
      </c>
      <c r="F170" s="110">
        <f t="shared" si="11"/>
        <v>950</v>
      </c>
      <c r="G170" s="51" t="s">
        <v>3</v>
      </c>
      <c r="H170" s="48">
        <v>2</v>
      </c>
      <c r="I170" s="49" t="s">
        <v>45</v>
      </c>
      <c r="J170" s="184">
        <v>80</v>
      </c>
      <c r="K170" s="113">
        <v>300</v>
      </c>
      <c r="L170" s="113">
        <v>950</v>
      </c>
      <c r="M170" s="185">
        <v>9.251695790014999</v>
      </c>
      <c r="N170" s="75">
        <v>290.66494896381232</v>
      </c>
      <c r="O170" s="121">
        <v>13590.794198115565</v>
      </c>
      <c r="P170" s="121">
        <v>16416.39734160019</v>
      </c>
      <c r="Q170" s="120">
        <v>12257.950156151066</v>
      </c>
      <c r="R170" s="314">
        <v>25848.74435426663</v>
      </c>
      <c r="S170" s="315">
        <v>28674.347497751256</v>
      </c>
      <c r="U170" s="7" t="s">
        <v>1899</v>
      </c>
    </row>
    <row r="171" spans="1:21" s="74" customFormat="1" ht="16.5" thickBot="1">
      <c r="A171" s="50" t="s">
        <v>35</v>
      </c>
      <c r="B171" s="51">
        <f t="shared" si="9"/>
        <v>80</v>
      </c>
      <c r="C171" s="51" t="s">
        <v>3</v>
      </c>
      <c r="D171" s="51">
        <f t="shared" si="10"/>
        <v>300</v>
      </c>
      <c r="E171" s="51" t="s">
        <v>3</v>
      </c>
      <c r="F171" s="110">
        <f t="shared" si="11"/>
        <v>1000</v>
      </c>
      <c r="G171" s="51" t="s">
        <v>3</v>
      </c>
      <c r="H171" s="48">
        <v>2</v>
      </c>
      <c r="I171" s="49" t="s">
        <v>45</v>
      </c>
      <c r="J171" s="184">
        <v>80</v>
      </c>
      <c r="K171" s="113">
        <v>300</v>
      </c>
      <c r="L171" s="113">
        <v>1000</v>
      </c>
      <c r="M171" s="185">
        <v>9.684265908052895</v>
      </c>
      <c r="N171" s="75">
        <v>314.88702804413003</v>
      </c>
      <c r="O171" s="121">
        <v>14029.656548835714</v>
      </c>
      <c r="P171" s="121">
        <v>16976.202116019416</v>
      </c>
      <c r="Q171" s="120">
        <v>12738.355464408416</v>
      </c>
      <c r="R171" s="314">
        <v>26768.01201324413</v>
      </c>
      <c r="S171" s="315">
        <v>29714.557580427834</v>
      </c>
      <c r="U171" s="7" t="s">
        <v>1900</v>
      </c>
    </row>
    <row r="172" spans="1:21" s="74" customFormat="1" ht="16.5" thickBot="1">
      <c r="A172" s="50" t="s">
        <v>35</v>
      </c>
      <c r="B172" s="51">
        <f t="shared" si="9"/>
        <v>80</v>
      </c>
      <c r="C172" s="51" t="s">
        <v>3</v>
      </c>
      <c r="D172" s="51">
        <f t="shared" si="10"/>
        <v>300</v>
      </c>
      <c r="E172" s="51" t="s">
        <v>3</v>
      </c>
      <c r="F172" s="110">
        <f t="shared" si="11"/>
        <v>1050</v>
      </c>
      <c r="G172" s="51" t="s">
        <v>3</v>
      </c>
      <c r="H172" s="48">
        <v>2</v>
      </c>
      <c r="I172" s="49" t="s">
        <v>45</v>
      </c>
      <c r="J172" s="184">
        <v>80</v>
      </c>
      <c r="K172" s="113">
        <v>300</v>
      </c>
      <c r="L172" s="113">
        <v>1050</v>
      </c>
      <c r="M172" s="185">
        <v>10.116836026090789</v>
      </c>
      <c r="N172" s="75">
        <v>339.10910712444769</v>
      </c>
      <c r="O172" s="121">
        <v>14468.518899555866</v>
      </c>
      <c r="P172" s="121">
        <v>17536.006750045279</v>
      </c>
      <c r="Q172" s="120">
        <v>13449.342410055679</v>
      </c>
      <c r="R172" s="314">
        <v>27917.861309611544</v>
      </c>
      <c r="S172" s="315">
        <v>30985.349160100959</v>
      </c>
      <c r="U172" s="7" t="s">
        <v>1901</v>
      </c>
    </row>
    <row r="173" spans="1:21" s="74" customFormat="1" ht="16.5" thickBot="1">
      <c r="A173" s="47" t="s">
        <v>35</v>
      </c>
      <c r="B173" s="48">
        <f t="shared" si="9"/>
        <v>80</v>
      </c>
      <c r="C173" s="48" t="s">
        <v>3</v>
      </c>
      <c r="D173" s="48">
        <f t="shared" si="10"/>
        <v>300</v>
      </c>
      <c r="E173" s="48" t="s">
        <v>3</v>
      </c>
      <c r="F173" s="110">
        <f t="shared" si="11"/>
        <v>1100</v>
      </c>
      <c r="G173" s="48" t="s">
        <v>3</v>
      </c>
      <c r="H173" s="48">
        <v>2</v>
      </c>
      <c r="I173" s="49" t="s">
        <v>45</v>
      </c>
      <c r="J173" s="184">
        <v>80</v>
      </c>
      <c r="K173" s="113">
        <v>300</v>
      </c>
      <c r="L173" s="113">
        <v>1100</v>
      </c>
      <c r="M173" s="185">
        <v>10.549406144128683</v>
      </c>
      <c r="N173" s="75">
        <v>363.33118620476546</v>
      </c>
      <c r="O173" s="121">
        <v>14907.381250276017</v>
      </c>
      <c r="P173" s="121">
        <v>18095.811524464501</v>
      </c>
      <c r="Q173" s="120">
        <v>13929.747718313029</v>
      </c>
      <c r="R173" s="314">
        <v>28837.128968589044</v>
      </c>
      <c r="S173" s="315">
        <v>32025.55924277753</v>
      </c>
      <c r="U173" s="7" t="s">
        <v>1902</v>
      </c>
    </row>
    <row r="174" spans="1:21" s="74" customFormat="1" ht="16.5" thickBot="1">
      <c r="A174" s="50" t="s">
        <v>35</v>
      </c>
      <c r="B174" s="51">
        <f t="shared" si="9"/>
        <v>80</v>
      </c>
      <c r="C174" s="51" t="s">
        <v>3</v>
      </c>
      <c r="D174" s="51">
        <f t="shared" si="10"/>
        <v>300</v>
      </c>
      <c r="E174" s="51" t="s">
        <v>3</v>
      </c>
      <c r="F174" s="110">
        <f t="shared" si="11"/>
        <v>1150</v>
      </c>
      <c r="G174" s="51" t="s">
        <v>3</v>
      </c>
      <c r="H174" s="48">
        <v>2</v>
      </c>
      <c r="I174" s="49" t="s">
        <v>45</v>
      </c>
      <c r="J174" s="184">
        <v>80</v>
      </c>
      <c r="K174" s="113">
        <v>300</v>
      </c>
      <c r="L174" s="113">
        <v>1150</v>
      </c>
      <c r="M174" s="185">
        <v>10.98197626216658</v>
      </c>
      <c r="N174" s="75">
        <v>387.55326528508317</v>
      </c>
      <c r="O174" s="121">
        <v>15346.243600996166</v>
      </c>
      <c r="P174" s="121">
        <v>18655.616298883728</v>
      </c>
      <c r="Q174" s="120">
        <v>14410.152886177015</v>
      </c>
      <c r="R174" s="314">
        <v>29756.396487173181</v>
      </c>
      <c r="S174" s="315">
        <v>33065.769185060744</v>
      </c>
      <c r="U174" s="7" t="s">
        <v>1903</v>
      </c>
    </row>
    <row r="175" spans="1:21" s="74" customFormat="1" ht="16.5" thickBot="1">
      <c r="A175" s="50" t="s">
        <v>35</v>
      </c>
      <c r="B175" s="51">
        <f t="shared" si="9"/>
        <v>80</v>
      </c>
      <c r="C175" s="51" t="s">
        <v>3</v>
      </c>
      <c r="D175" s="51">
        <f t="shared" si="10"/>
        <v>300</v>
      </c>
      <c r="E175" s="51" t="s">
        <v>3</v>
      </c>
      <c r="F175" s="110">
        <f t="shared" si="11"/>
        <v>1200</v>
      </c>
      <c r="G175" s="51" t="s">
        <v>3</v>
      </c>
      <c r="H175" s="48">
        <v>2</v>
      </c>
      <c r="I175" s="49" t="s">
        <v>45</v>
      </c>
      <c r="J175" s="184">
        <v>80</v>
      </c>
      <c r="K175" s="113">
        <v>300</v>
      </c>
      <c r="L175" s="113">
        <v>1200</v>
      </c>
      <c r="M175" s="185">
        <v>11.453796380204473</v>
      </c>
      <c r="N175" s="75">
        <v>411.77534436540083</v>
      </c>
      <c r="O175" s="121">
        <v>15830.97779819284</v>
      </c>
      <c r="P175" s="121">
        <v>19259.894601888976</v>
      </c>
      <c r="Q175" s="120">
        <v>15121.139831824277</v>
      </c>
      <c r="R175" s="314">
        <v>30952.117630017117</v>
      </c>
      <c r="S175" s="315">
        <v>34381.034433713256</v>
      </c>
      <c r="U175" s="7" t="s">
        <v>1904</v>
      </c>
    </row>
    <row r="176" spans="1:21" s="74" customFormat="1" ht="16.5" thickBot="1">
      <c r="A176" s="50" t="s">
        <v>35</v>
      </c>
      <c r="B176" s="51">
        <f t="shared" si="9"/>
        <v>80</v>
      </c>
      <c r="C176" s="51" t="s">
        <v>3</v>
      </c>
      <c r="D176" s="51">
        <f t="shared" si="10"/>
        <v>300</v>
      </c>
      <c r="E176" s="51" t="s">
        <v>3</v>
      </c>
      <c r="F176" s="110">
        <f t="shared" si="11"/>
        <v>1250</v>
      </c>
      <c r="G176" s="51" t="s">
        <v>3</v>
      </c>
      <c r="H176" s="48">
        <v>2</v>
      </c>
      <c r="I176" s="49" t="s">
        <v>45</v>
      </c>
      <c r="J176" s="184">
        <v>80</v>
      </c>
      <c r="K176" s="113">
        <v>300</v>
      </c>
      <c r="L176" s="113">
        <v>1250</v>
      </c>
      <c r="M176" s="185">
        <v>11.886366498242367</v>
      </c>
      <c r="N176" s="75">
        <v>435.99742344571854</v>
      </c>
      <c r="O176" s="121">
        <v>16269.84014891299</v>
      </c>
      <c r="P176" s="121">
        <v>19819.699235914843</v>
      </c>
      <c r="Q176" s="120">
        <v>15601.545140081627</v>
      </c>
      <c r="R176" s="314">
        <v>31871.385288994617</v>
      </c>
      <c r="S176" s="315">
        <v>35421.244375996466</v>
      </c>
      <c r="U176" s="7" t="s">
        <v>1905</v>
      </c>
    </row>
    <row r="177" spans="1:21" s="74" customFormat="1" ht="16.5" thickBot="1">
      <c r="A177" s="50" t="s">
        <v>35</v>
      </c>
      <c r="B177" s="51">
        <f t="shared" si="9"/>
        <v>80</v>
      </c>
      <c r="C177" s="51" t="s">
        <v>3</v>
      </c>
      <c r="D177" s="51">
        <f t="shared" si="10"/>
        <v>300</v>
      </c>
      <c r="E177" s="51" t="s">
        <v>3</v>
      </c>
      <c r="F177" s="110">
        <f t="shared" si="11"/>
        <v>1300</v>
      </c>
      <c r="G177" s="51" t="s">
        <v>3</v>
      </c>
      <c r="H177" s="48">
        <v>2</v>
      </c>
      <c r="I177" s="49" t="s">
        <v>45</v>
      </c>
      <c r="J177" s="184">
        <v>80</v>
      </c>
      <c r="K177" s="113">
        <v>300</v>
      </c>
      <c r="L177" s="113">
        <v>1300</v>
      </c>
      <c r="M177" s="185">
        <v>12.318936616280261</v>
      </c>
      <c r="N177" s="75">
        <v>460.21950252603619</v>
      </c>
      <c r="O177" s="121">
        <v>16708.702499633142</v>
      </c>
      <c r="P177" s="121">
        <v>20379.504010334069</v>
      </c>
      <c r="Q177" s="120">
        <v>16312.53208572889</v>
      </c>
      <c r="R177" s="314">
        <v>33021.234585362035</v>
      </c>
      <c r="S177" s="315">
        <v>36692.036096062962</v>
      </c>
      <c r="U177" s="7" t="s">
        <v>1906</v>
      </c>
    </row>
    <row r="178" spans="1:21" s="74" customFormat="1" ht="16.5" thickBot="1">
      <c r="A178" s="50" t="s">
        <v>35</v>
      </c>
      <c r="B178" s="51">
        <f t="shared" si="9"/>
        <v>80</v>
      </c>
      <c r="C178" s="51" t="s">
        <v>3</v>
      </c>
      <c r="D178" s="51">
        <f t="shared" si="10"/>
        <v>300</v>
      </c>
      <c r="E178" s="51" t="s">
        <v>3</v>
      </c>
      <c r="F178" s="110">
        <f t="shared" si="11"/>
        <v>1350</v>
      </c>
      <c r="G178" s="51" t="s">
        <v>3</v>
      </c>
      <c r="H178" s="48">
        <v>2</v>
      </c>
      <c r="I178" s="49" t="s">
        <v>45</v>
      </c>
      <c r="J178" s="184">
        <v>80</v>
      </c>
      <c r="K178" s="113">
        <v>300</v>
      </c>
      <c r="L178" s="113">
        <v>1350</v>
      </c>
      <c r="M178" s="185">
        <v>12.751506734318159</v>
      </c>
      <c r="N178" s="75">
        <v>484.44158160635391</v>
      </c>
      <c r="O178" s="121">
        <v>17147.56485035329</v>
      </c>
      <c r="P178" s="121">
        <v>20939.308784753292</v>
      </c>
      <c r="Q178" s="120">
        <v>16792.937253592878</v>
      </c>
      <c r="R178" s="314">
        <v>33940.502103946172</v>
      </c>
      <c r="S178" s="315">
        <v>37732.246038346173</v>
      </c>
      <c r="U178" s="7" t="s">
        <v>1907</v>
      </c>
    </row>
    <row r="179" spans="1:21" s="74" customFormat="1" ht="16.5" thickBot="1">
      <c r="A179" s="50" t="s">
        <v>35</v>
      </c>
      <c r="B179" s="51">
        <f t="shared" si="9"/>
        <v>80</v>
      </c>
      <c r="C179" s="51" t="s">
        <v>3</v>
      </c>
      <c r="D179" s="51">
        <f t="shared" si="10"/>
        <v>300</v>
      </c>
      <c r="E179" s="51" t="s">
        <v>3</v>
      </c>
      <c r="F179" s="110">
        <f t="shared" si="11"/>
        <v>1400</v>
      </c>
      <c r="G179" s="51" t="s">
        <v>3</v>
      </c>
      <c r="H179" s="48">
        <v>2</v>
      </c>
      <c r="I179" s="49" t="s">
        <v>45</v>
      </c>
      <c r="J179" s="184">
        <v>80</v>
      </c>
      <c r="K179" s="113">
        <v>300</v>
      </c>
      <c r="L179" s="113">
        <v>1400</v>
      </c>
      <c r="M179" s="185">
        <v>13.184076852356052</v>
      </c>
      <c r="N179" s="75">
        <v>508.66366068667162</v>
      </c>
      <c r="O179" s="121">
        <v>17586.427201073442</v>
      </c>
      <c r="P179" s="121">
        <v>21499.113418779154</v>
      </c>
      <c r="Q179" s="120">
        <v>17503.924339633504</v>
      </c>
      <c r="R179" s="314">
        <v>35090.35154070695</v>
      </c>
      <c r="S179" s="315">
        <v>39003.037758412655</v>
      </c>
      <c r="U179" s="7" t="s">
        <v>1908</v>
      </c>
    </row>
    <row r="180" spans="1:21" s="74" customFormat="1" ht="16.5" thickBot="1">
      <c r="A180" s="50" t="s">
        <v>35</v>
      </c>
      <c r="B180" s="51">
        <f t="shared" si="9"/>
        <v>80</v>
      </c>
      <c r="C180" s="51" t="s">
        <v>3</v>
      </c>
      <c r="D180" s="51">
        <f t="shared" si="10"/>
        <v>300</v>
      </c>
      <c r="E180" s="51" t="s">
        <v>3</v>
      </c>
      <c r="F180" s="110">
        <f t="shared" si="11"/>
        <v>1450</v>
      </c>
      <c r="G180" s="51" t="s">
        <v>3</v>
      </c>
      <c r="H180" s="48">
        <v>2</v>
      </c>
      <c r="I180" s="49" t="s">
        <v>45</v>
      </c>
      <c r="J180" s="184">
        <v>80</v>
      </c>
      <c r="K180" s="113">
        <v>300</v>
      </c>
      <c r="L180" s="113">
        <v>1450</v>
      </c>
      <c r="M180" s="185">
        <v>13.616646970393948</v>
      </c>
      <c r="N180" s="75">
        <v>532.88573976698933</v>
      </c>
      <c r="O180" s="121">
        <v>18025.28955179359</v>
      </c>
      <c r="P180" s="121">
        <v>22058.91819319838</v>
      </c>
      <c r="Q180" s="120">
        <v>17984.32950749735</v>
      </c>
      <c r="R180" s="314">
        <v>36009.619059290941</v>
      </c>
      <c r="S180" s="315">
        <v>40043.247700695734</v>
      </c>
      <c r="U180" s="7" t="s">
        <v>1909</v>
      </c>
    </row>
    <row r="181" spans="1:21" s="74" customFormat="1" ht="16.5" thickBot="1">
      <c r="A181" s="50" t="s">
        <v>35</v>
      </c>
      <c r="B181" s="51">
        <f t="shared" si="9"/>
        <v>80</v>
      </c>
      <c r="C181" s="51" t="s">
        <v>3</v>
      </c>
      <c r="D181" s="51">
        <f t="shared" si="10"/>
        <v>300</v>
      </c>
      <c r="E181" s="51" t="s">
        <v>3</v>
      </c>
      <c r="F181" s="110">
        <f t="shared" si="11"/>
        <v>1500</v>
      </c>
      <c r="G181" s="51" t="s">
        <v>3</v>
      </c>
      <c r="H181" s="48">
        <v>2</v>
      </c>
      <c r="I181" s="49" t="s">
        <v>45</v>
      </c>
      <c r="J181" s="184">
        <v>80</v>
      </c>
      <c r="K181" s="113">
        <v>300</v>
      </c>
      <c r="L181" s="113">
        <v>1500</v>
      </c>
      <c r="M181" s="185">
        <v>14.19378198123184</v>
      </c>
      <c r="N181" s="75">
        <v>557.10781884730693</v>
      </c>
      <c r="O181" s="121">
        <v>19142.799237109128</v>
      </c>
      <c r="P181" s="121">
        <v>23213.148604835969</v>
      </c>
      <c r="Q181" s="120">
        <v>18695.316593538118</v>
      </c>
      <c r="R181" s="314">
        <v>37838.11583064725</v>
      </c>
      <c r="S181" s="315">
        <v>41908.465198374091</v>
      </c>
      <c r="U181" s="7" t="s">
        <v>1910</v>
      </c>
    </row>
    <row r="182" spans="1:21" s="74" customFormat="1" ht="16.5" thickBot="1">
      <c r="A182" s="50" t="s">
        <v>35</v>
      </c>
      <c r="B182" s="51">
        <f t="shared" si="9"/>
        <v>80</v>
      </c>
      <c r="C182" s="51" t="s">
        <v>3</v>
      </c>
      <c r="D182" s="51">
        <f t="shared" si="10"/>
        <v>300</v>
      </c>
      <c r="E182" s="51" t="s">
        <v>3</v>
      </c>
      <c r="F182" s="110">
        <f t="shared" si="11"/>
        <v>1550</v>
      </c>
      <c r="G182" s="51" t="s">
        <v>3</v>
      </c>
      <c r="H182" s="48">
        <v>2</v>
      </c>
      <c r="I182" s="49" t="s">
        <v>45</v>
      </c>
      <c r="J182" s="184">
        <v>80</v>
      </c>
      <c r="K182" s="113">
        <v>300</v>
      </c>
      <c r="L182" s="113">
        <v>1550</v>
      </c>
      <c r="M182" s="185">
        <v>14.626352099269738</v>
      </c>
      <c r="N182" s="75">
        <v>581.32989792762464</v>
      </c>
      <c r="O182" s="121">
        <v>19581.66158782928</v>
      </c>
      <c r="P182" s="121">
        <v>23772.953379255196</v>
      </c>
      <c r="Q182" s="120">
        <v>19175.721761402103</v>
      </c>
      <c r="R182" s="314">
        <v>38757.383349231386</v>
      </c>
      <c r="S182" s="315">
        <v>42948.675140657302</v>
      </c>
      <c r="U182" s="7" t="s">
        <v>1911</v>
      </c>
    </row>
    <row r="183" spans="1:21" s="74" customFormat="1" ht="16.5" thickBot="1">
      <c r="A183" s="47" t="s">
        <v>35</v>
      </c>
      <c r="B183" s="48">
        <f t="shared" si="9"/>
        <v>80</v>
      </c>
      <c r="C183" s="48" t="s">
        <v>3</v>
      </c>
      <c r="D183" s="48">
        <f t="shared" si="10"/>
        <v>300</v>
      </c>
      <c r="E183" s="48" t="s">
        <v>3</v>
      </c>
      <c r="F183" s="110">
        <f t="shared" si="11"/>
        <v>1600</v>
      </c>
      <c r="G183" s="48" t="s">
        <v>3</v>
      </c>
      <c r="H183" s="48">
        <v>2</v>
      </c>
      <c r="I183" s="49" t="s">
        <v>45</v>
      </c>
      <c r="J183" s="184">
        <v>80</v>
      </c>
      <c r="K183" s="113">
        <v>300</v>
      </c>
      <c r="L183" s="113">
        <v>1600</v>
      </c>
      <c r="M183" s="185">
        <v>15.058922217307632</v>
      </c>
      <c r="N183" s="75">
        <v>605.55197700794236</v>
      </c>
      <c r="O183" s="121">
        <v>20020.523938549428</v>
      </c>
      <c r="P183" s="121">
        <v>24332.758153674418</v>
      </c>
      <c r="Q183" s="120">
        <v>19656.126929266091</v>
      </c>
      <c r="R183" s="314">
        <v>39676.650867815522</v>
      </c>
      <c r="S183" s="315">
        <v>43988.885082940513</v>
      </c>
      <c r="U183" s="7" t="s">
        <v>1912</v>
      </c>
    </row>
    <row r="184" spans="1:21" s="74" customFormat="1" ht="16.5" thickBot="1">
      <c r="A184" s="50" t="s">
        <v>35</v>
      </c>
      <c r="B184" s="51">
        <f t="shared" si="9"/>
        <v>80</v>
      </c>
      <c r="C184" s="51" t="s">
        <v>3</v>
      </c>
      <c r="D184" s="51">
        <f t="shared" si="10"/>
        <v>300</v>
      </c>
      <c r="E184" s="51" t="s">
        <v>3</v>
      </c>
      <c r="F184" s="110">
        <f t="shared" si="11"/>
        <v>1650</v>
      </c>
      <c r="G184" s="51" t="s">
        <v>3</v>
      </c>
      <c r="H184" s="48">
        <v>2</v>
      </c>
      <c r="I184" s="49" t="s">
        <v>45</v>
      </c>
      <c r="J184" s="184">
        <v>80</v>
      </c>
      <c r="K184" s="113">
        <v>300</v>
      </c>
      <c r="L184" s="113">
        <v>1650</v>
      </c>
      <c r="M184" s="185">
        <v>15.491492335345526</v>
      </c>
      <c r="N184" s="75">
        <v>629.77405608826007</v>
      </c>
      <c r="O184" s="121">
        <v>20459.38628926958</v>
      </c>
      <c r="P184" s="121">
        <v>24892.562787700281</v>
      </c>
      <c r="Q184" s="120">
        <v>20367.114015306717</v>
      </c>
      <c r="R184" s="314">
        <v>40826.500304576301</v>
      </c>
      <c r="S184" s="315">
        <v>45259.676803006994</v>
      </c>
      <c r="U184" s="7" t="s">
        <v>1913</v>
      </c>
    </row>
    <row r="185" spans="1:21" s="74" customFormat="1" ht="16.5" thickBot="1">
      <c r="A185" s="50" t="s">
        <v>35</v>
      </c>
      <c r="B185" s="51">
        <f t="shared" si="9"/>
        <v>80</v>
      </c>
      <c r="C185" s="51" t="s">
        <v>3</v>
      </c>
      <c r="D185" s="51">
        <f t="shared" si="10"/>
        <v>300</v>
      </c>
      <c r="E185" s="51" t="s">
        <v>3</v>
      </c>
      <c r="F185" s="110">
        <f t="shared" si="11"/>
        <v>1700</v>
      </c>
      <c r="G185" s="51" t="s">
        <v>3</v>
      </c>
      <c r="H185" s="48">
        <v>2</v>
      </c>
      <c r="I185" s="49" t="s">
        <v>45</v>
      </c>
      <c r="J185" s="184">
        <v>80</v>
      </c>
      <c r="K185" s="113">
        <v>300</v>
      </c>
      <c r="L185" s="113">
        <v>1700</v>
      </c>
      <c r="M185" s="185">
        <v>15.924062453383421</v>
      </c>
      <c r="N185" s="75">
        <v>653.99613516857778</v>
      </c>
      <c r="O185" s="121">
        <v>20898.248639989728</v>
      </c>
      <c r="P185" s="121">
        <v>25452.367562119507</v>
      </c>
      <c r="Q185" s="120">
        <v>20847.519183170705</v>
      </c>
      <c r="R185" s="314">
        <v>41745.767823160437</v>
      </c>
      <c r="S185" s="315">
        <v>46299.886745290212</v>
      </c>
      <c r="U185" s="7" t="s">
        <v>1914</v>
      </c>
    </row>
    <row r="186" spans="1:21" s="74" customFormat="1" ht="16.5" thickBot="1">
      <c r="A186" s="50" t="s">
        <v>35</v>
      </c>
      <c r="B186" s="51">
        <f t="shared" si="9"/>
        <v>80</v>
      </c>
      <c r="C186" s="51" t="s">
        <v>3</v>
      </c>
      <c r="D186" s="51">
        <f t="shared" si="10"/>
        <v>300</v>
      </c>
      <c r="E186" s="51" t="s">
        <v>3</v>
      </c>
      <c r="F186" s="110">
        <f t="shared" si="11"/>
        <v>1750</v>
      </c>
      <c r="G186" s="51" t="s">
        <v>3</v>
      </c>
      <c r="H186" s="48">
        <v>2</v>
      </c>
      <c r="I186" s="49" t="s">
        <v>45</v>
      </c>
      <c r="J186" s="184">
        <v>80</v>
      </c>
      <c r="K186" s="113">
        <v>300</v>
      </c>
      <c r="L186" s="113">
        <v>1750</v>
      </c>
      <c r="M186" s="185">
        <v>16.356632571421315</v>
      </c>
      <c r="N186" s="75">
        <v>678.21821424889538</v>
      </c>
      <c r="O186" s="121">
        <v>21337.11099070988</v>
      </c>
      <c r="P186" s="121">
        <v>26012.17233653873</v>
      </c>
      <c r="Q186" s="120">
        <v>21558.506269211328</v>
      </c>
      <c r="R186" s="314">
        <v>42895.617259921208</v>
      </c>
      <c r="S186" s="315">
        <v>47570.678605750058</v>
      </c>
      <c r="U186" s="7" t="s">
        <v>1915</v>
      </c>
    </row>
    <row r="187" spans="1:21" s="74" customFormat="1" ht="16.5" thickBot="1">
      <c r="A187" s="50" t="s">
        <v>35</v>
      </c>
      <c r="B187" s="51">
        <f t="shared" si="9"/>
        <v>80</v>
      </c>
      <c r="C187" s="51" t="s">
        <v>3</v>
      </c>
      <c r="D187" s="51">
        <f t="shared" si="10"/>
        <v>300</v>
      </c>
      <c r="E187" s="51" t="s">
        <v>3</v>
      </c>
      <c r="F187" s="110">
        <f t="shared" si="11"/>
        <v>1800</v>
      </c>
      <c r="G187" s="51" t="s">
        <v>3</v>
      </c>
      <c r="H187" s="48">
        <v>2</v>
      </c>
      <c r="I187" s="49" t="s">
        <v>45</v>
      </c>
      <c r="J187" s="184">
        <v>80</v>
      </c>
      <c r="K187" s="113">
        <v>300</v>
      </c>
      <c r="L187" s="113">
        <v>1800</v>
      </c>
      <c r="M187" s="185">
        <v>16.789202689459209</v>
      </c>
      <c r="N187" s="75">
        <v>702.44029332921309</v>
      </c>
      <c r="O187" s="121">
        <v>21775.973341430028</v>
      </c>
      <c r="P187" s="121">
        <v>26571.976970564592</v>
      </c>
      <c r="Q187" s="120">
        <v>22038.911437075316</v>
      </c>
      <c r="R187" s="314">
        <v>43814.884778505344</v>
      </c>
      <c r="S187" s="315">
        <v>48610.888407639912</v>
      </c>
      <c r="U187" s="7" t="s">
        <v>1916</v>
      </c>
    </row>
    <row r="188" spans="1:21" s="74" customFormat="1" ht="16.5" thickBot="1">
      <c r="A188" s="50" t="s">
        <v>35</v>
      </c>
      <c r="B188" s="51">
        <f t="shared" si="9"/>
        <v>80</v>
      </c>
      <c r="C188" s="51" t="s">
        <v>3</v>
      </c>
      <c r="D188" s="51">
        <f t="shared" si="10"/>
        <v>300</v>
      </c>
      <c r="E188" s="51" t="s">
        <v>3</v>
      </c>
      <c r="F188" s="110">
        <f t="shared" si="11"/>
        <v>1850</v>
      </c>
      <c r="G188" s="51" t="s">
        <v>3</v>
      </c>
      <c r="H188" s="48">
        <v>2</v>
      </c>
      <c r="I188" s="49" t="s">
        <v>45</v>
      </c>
      <c r="J188" s="184">
        <v>80</v>
      </c>
      <c r="K188" s="113">
        <v>300</v>
      </c>
      <c r="L188" s="113">
        <v>1850</v>
      </c>
      <c r="M188" s="185">
        <v>17.221772807497103</v>
      </c>
      <c r="N188" s="75">
        <v>726.66237240953092</v>
      </c>
      <c r="O188" s="121">
        <v>22214.83569215018</v>
      </c>
      <c r="P188" s="121">
        <v>27131.781744983818</v>
      </c>
      <c r="Q188" s="120">
        <v>22749.898382722578</v>
      </c>
      <c r="R188" s="314">
        <v>44964.734074872758</v>
      </c>
      <c r="S188" s="315">
        <v>49881.680127706393</v>
      </c>
      <c r="U188" s="7" t="s">
        <v>1917</v>
      </c>
    </row>
    <row r="189" spans="1:21" s="74" customFormat="1" ht="16.5" thickBot="1">
      <c r="A189" s="50" t="s">
        <v>35</v>
      </c>
      <c r="B189" s="51">
        <f t="shared" si="9"/>
        <v>80</v>
      </c>
      <c r="C189" s="51" t="s">
        <v>3</v>
      </c>
      <c r="D189" s="51">
        <f t="shared" si="10"/>
        <v>300</v>
      </c>
      <c r="E189" s="51" t="s">
        <v>3</v>
      </c>
      <c r="F189" s="110">
        <f t="shared" si="11"/>
        <v>1900</v>
      </c>
      <c r="G189" s="51" t="s">
        <v>3</v>
      </c>
      <c r="H189" s="48">
        <v>2</v>
      </c>
      <c r="I189" s="49" t="s">
        <v>45</v>
      </c>
      <c r="J189" s="184">
        <v>80</v>
      </c>
      <c r="K189" s="113">
        <v>300</v>
      </c>
      <c r="L189" s="113">
        <v>1900</v>
      </c>
      <c r="M189" s="185">
        <v>17.654342925535001</v>
      </c>
      <c r="N189" s="75">
        <v>750.88445148984863</v>
      </c>
      <c r="O189" s="121">
        <v>22653.698042870332</v>
      </c>
      <c r="P189" s="121">
        <v>27691.586519403045</v>
      </c>
      <c r="Q189" s="120">
        <v>23230.30369097993</v>
      </c>
      <c r="R189" s="314">
        <v>45884.001733850266</v>
      </c>
      <c r="S189" s="315">
        <v>50921.890210382975</v>
      </c>
      <c r="U189" s="7" t="s">
        <v>1918</v>
      </c>
    </row>
    <row r="190" spans="1:21" s="74" customFormat="1" ht="16.5" thickBot="1">
      <c r="A190" s="50" t="s">
        <v>35</v>
      </c>
      <c r="B190" s="51">
        <f t="shared" si="9"/>
        <v>80</v>
      </c>
      <c r="C190" s="51" t="s">
        <v>3</v>
      </c>
      <c r="D190" s="51">
        <f t="shared" si="10"/>
        <v>300</v>
      </c>
      <c r="E190" s="51" t="s">
        <v>3</v>
      </c>
      <c r="F190" s="110">
        <f t="shared" si="11"/>
        <v>1950</v>
      </c>
      <c r="G190" s="51" t="s">
        <v>3</v>
      </c>
      <c r="H190" s="48">
        <v>2</v>
      </c>
      <c r="I190" s="49" t="s">
        <v>45</v>
      </c>
      <c r="J190" s="184">
        <v>80</v>
      </c>
      <c r="K190" s="113">
        <v>300</v>
      </c>
      <c r="L190" s="113">
        <v>1950</v>
      </c>
      <c r="M190" s="185">
        <v>18.126163043572895</v>
      </c>
      <c r="N190" s="75">
        <v>775.10653057016634</v>
      </c>
      <c r="O190" s="121">
        <v>23138.432240067006</v>
      </c>
      <c r="P190" s="121">
        <v>28295.864822408297</v>
      </c>
      <c r="Q190" s="120">
        <v>23710.708858843918</v>
      </c>
      <c r="R190" s="314">
        <v>46849.141098910928</v>
      </c>
      <c r="S190" s="315">
        <v>52006.573681252215</v>
      </c>
      <c r="U190" s="7" t="s">
        <v>1919</v>
      </c>
    </row>
    <row r="191" spans="1:21" s="74" customFormat="1" ht="16.5" thickBot="1">
      <c r="A191" s="50" t="s">
        <v>35</v>
      </c>
      <c r="B191" s="51">
        <f t="shared" si="9"/>
        <v>80</v>
      </c>
      <c r="C191" s="51" t="s">
        <v>3</v>
      </c>
      <c r="D191" s="51">
        <f t="shared" si="10"/>
        <v>300</v>
      </c>
      <c r="E191" s="51" t="s">
        <v>3</v>
      </c>
      <c r="F191" s="110">
        <f t="shared" si="11"/>
        <v>2000</v>
      </c>
      <c r="G191" s="51" t="s">
        <v>3</v>
      </c>
      <c r="H191" s="48">
        <v>2</v>
      </c>
      <c r="I191" s="49" t="s">
        <v>45</v>
      </c>
      <c r="J191" s="184">
        <v>80</v>
      </c>
      <c r="K191" s="113">
        <v>300</v>
      </c>
      <c r="L191" s="113">
        <v>2000</v>
      </c>
      <c r="M191" s="185">
        <v>18.65029556161079</v>
      </c>
      <c r="N191" s="75">
        <v>799.32860965048394</v>
      </c>
      <c r="O191" s="121">
        <v>23807.837620002381</v>
      </c>
      <c r="P191" s="121">
        <v>29156.980006311307</v>
      </c>
      <c r="Q191" s="120">
        <v>24421.695804491177</v>
      </c>
      <c r="R191" s="314">
        <v>48229.533424493558</v>
      </c>
      <c r="S191" s="315">
        <v>53578.675810802481</v>
      </c>
      <c r="U191" s="7" t="s">
        <v>1920</v>
      </c>
    </row>
    <row r="192" spans="1:21" s="74" customFormat="1" ht="16.5" thickBot="1">
      <c r="A192" s="50" t="s">
        <v>35</v>
      </c>
      <c r="B192" s="51">
        <f t="shared" si="9"/>
        <v>80</v>
      </c>
      <c r="C192" s="51" t="s">
        <v>3</v>
      </c>
      <c r="D192" s="51">
        <f t="shared" si="10"/>
        <v>300</v>
      </c>
      <c r="E192" s="51" t="s">
        <v>3</v>
      </c>
      <c r="F192" s="110">
        <f t="shared" si="11"/>
        <v>2050</v>
      </c>
      <c r="G192" s="51" t="s">
        <v>3</v>
      </c>
      <c r="H192" s="48">
        <v>2</v>
      </c>
      <c r="I192" s="49" t="s">
        <v>45</v>
      </c>
      <c r="J192" s="184">
        <v>80</v>
      </c>
      <c r="K192" s="113">
        <v>300</v>
      </c>
      <c r="L192" s="113">
        <v>2050</v>
      </c>
      <c r="M192" s="185">
        <v>19.082865679648684</v>
      </c>
      <c r="N192" s="75">
        <v>823.55068873080165</v>
      </c>
      <c r="O192" s="121">
        <v>24246.69997072253</v>
      </c>
      <c r="P192" s="121">
        <v>29716.784780730533</v>
      </c>
      <c r="Q192" s="120">
        <v>24902.101112748529</v>
      </c>
      <c r="R192" s="314">
        <v>49148.801083471059</v>
      </c>
      <c r="S192" s="315">
        <v>54618.885893479062</v>
      </c>
      <c r="U192" s="7" t="s">
        <v>1921</v>
      </c>
    </row>
    <row r="193" spans="1:21" s="74" customFormat="1" ht="16.5" thickBot="1">
      <c r="A193" s="47" t="s">
        <v>35</v>
      </c>
      <c r="B193" s="48">
        <f t="shared" si="9"/>
        <v>80</v>
      </c>
      <c r="C193" s="48" t="s">
        <v>3</v>
      </c>
      <c r="D193" s="48">
        <f t="shared" si="10"/>
        <v>300</v>
      </c>
      <c r="E193" s="48" t="s">
        <v>3</v>
      </c>
      <c r="F193" s="110">
        <f t="shared" si="11"/>
        <v>2100</v>
      </c>
      <c r="G193" s="48" t="s">
        <v>3</v>
      </c>
      <c r="H193" s="48">
        <v>2</v>
      </c>
      <c r="I193" s="49" t="s">
        <v>45</v>
      </c>
      <c r="J193" s="184">
        <v>80</v>
      </c>
      <c r="K193" s="113">
        <v>300</v>
      </c>
      <c r="L193" s="113">
        <v>2100</v>
      </c>
      <c r="M193" s="185">
        <v>19.515435797686578</v>
      </c>
      <c r="N193" s="75">
        <v>847.77276781111937</v>
      </c>
      <c r="O193" s="121">
        <v>24685.562321442678</v>
      </c>
      <c r="P193" s="121">
        <v>30276.58955514976</v>
      </c>
      <c r="Q193" s="120">
        <v>25613.088058395791</v>
      </c>
      <c r="R193" s="314">
        <v>50298.650379838466</v>
      </c>
      <c r="S193" s="315">
        <v>55889.677613545551</v>
      </c>
      <c r="U193" s="7" t="s">
        <v>1922</v>
      </c>
    </row>
    <row r="194" spans="1:21" s="74" customFormat="1" ht="16.5" thickBot="1">
      <c r="A194" s="50" t="s">
        <v>35</v>
      </c>
      <c r="B194" s="51">
        <f t="shared" si="9"/>
        <v>80</v>
      </c>
      <c r="C194" s="51" t="s">
        <v>3</v>
      </c>
      <c r="D194" s="51">
        <f t="shared" si="10"/>
        <v>300</v>
      </c>
      <c r="E194" s="51" t="s">
        <v>3</v>
      </c>
      <c r="F194" s="110">
        <f t="shared" si="11"/>
        <v>2150</v>
      </c>
      <c r="G194" s="51" t="s">
        <v>3</v>
      </c>
      <c r="H194" s="48">
        <v>2</v>
      </c>
      <c r="I194" s="49" t="s">
        <v>45</v>
      </c>
      <c r="J194" s="184">
        <v>80</v>
      </c>
      <c r="K194" s="113">
        <v>300</v>
      </c>
      <c r="L194" s="113">
        <v>2150</v>
      </c>
      <c r="M194" s="185">
        <v>19.948005915724472</v>
      </c>
      <c r="N194" s="75">
        <v>871.99484689143708</v>
      </c>
      <c r="O194" s="121">
        <v>25124.424672162833</v>
      </c>
      <c r="P194" s="121">
        <v>30836.394189175619</v>
      </c>
      <c r="Q194" s="120">
        <v>26093.493366653143</v>
      </c>
      <c r="R194" s="314">
        <v>51217.918038815973</v>
      </c>
      <c r="S194" s="315">
        <v>56929.887555828762</v>
      </c>
      <c r="U194" s="7" t="s">
        <v>1923</v>
      </c>
    </row>
    <row r="195" spans="1:21" s="74" customFormat="1" ht="16.5" thickBot="1">
      <c r="A195" s="50" t="s">
        <v>35</v>
      </c>
      <c r="B195" s="51">
        <f t="shared" si="9"/>
        <v>80</v>
      </c>
      <c r="C195" s="51" t="s">
        <v>3</v>
      </c>
      <c r="D195" s="51">
        <f t="shared" si="10"/>
        <v>300</v>
      </c>
      <c r="E195" s="51" t="s">
        <v>3</v>
      </c>
      <c r="F195" s="110">
        <f t="shared" si="11"/>
        <v>2200</v>
      </c>
      <c r="G195" s="51" t="s">
        <v>3</v>
      </c>
      <c r="H195" s="48">
        <v>2</v>
      </c>
      <c r="I195" s="49" t="s">
        <v>45</v>
      </c>
      <c r="J195" s="184">
        <v>80</v>
      </c>
      <c r="K195" s="113">
        <v>300</v>
      </c>
      <c r="L195" s="113">
        <v>2200</v>
      </c>
      <c r="M195" s="185">
        <v>20.380576033762367</v>
      </c>
      <c r="N195" s="75">
        <v>896.21692597175479</v>
      </c>
      <c r="O195" s="121">
        <v>25563.287022882982</v>
      </c>
      <c r="P195" s="121">
        <v>31396.198963594845</v>
      </c>
      <c r="Q195" s="120">
        <v>26804.480312300402</v>
      </c>
      <c r="R195" s="314">
        <v>52367.76733518338</v>
      </c>
      <c r="S195" s="315">
        <v>58200.679275895251</v>
      </c>
      <c r="U195" s="7" t="s">
        <v>1924</v>
      </c>
    </row>
    <row r="196" spans="1:21" s="74" customFormat="1" ht="16.5" thickBot="1">
      <c r="A196" s="50" t="s">
        <v>35</v>
      </c>
      <c r="B196" s="51">
        <f t="shared" si="9"/>
        <v>80</v>
      </c>
      <c r="C196" s="51" t="s">
        <v>3</v>
      </c>
      <c r="D196" s="51">
        <f t="shared" si="10"/>
        <v>300</v>
      </c>
      <c r="E196" s="51" t="s">
        <v>3</v>
      </c>
      <c r="F196" s="110">
        <f t="shared" si="11"/>
        <v>2250</v>
      </c>
      <c r="G196" s="51" t="s">
        <v>3</v>
      </c>
      <c r="H196" s="48">
        <v>2</v>
      </c>
      <c r="I196" s="49" t="s">
        <v>45</v>
      </c>
      <c r="J196" s="184">
        <v>80</v>
      </c>
      <c r="K196" s="113">
        <v>300</v>
      </c>
      <c r="L196" s="113">
        <v>2250</v>
      </c>
      <c r="M196" s="185">
        <v>20.813146151800265</v>
      </c>
      <c r="N196" s="75">
        <v>920.43900505207239</v>
      </c>
      <c r="O196" s="121">
        <v>26002.14937360313</v>
      </c>
      <c r="P196" s="121">
        <v>31956.003597620707</v>
      </c>
      <c r="Q196" s="120">
        <v>27284.885480164394</v>
      </c>
      <c r="R196" s="314">
        <v>53287.034853767524</v>
      </c>
      <c r="S196" s="315">
        <v>59240.889077785105</v>
      </c>
      <c r="U196" s="7" t="s">
        <v>1925</v>
      </c>
    </row>
    <row r="197" spans="1:21" s="74" customFormat="1" ht="16.5" thickBot="1">
      <c r="A197" s="50" t="s">
        <v>35</v>
      </c>
      <c r="B197" s="51">
        <f t="shared" si="9"/>
        <v>80</v>
      </c>
      <c r="C197" s="51" t="s">
        <v>3</v>
      </c>
      <c r="D197" s="51">
        <f t="shared" si="10"/>
        <v>300</v>
      </c>
      <c r="E197" s="51" t="s">
        <v>3</v>
      </c>
      <c r="F197" s="110">
        <f t="shared" si="11"/>
        <v>2300</v>
      </c>
      <c r="G197" s="51" t="s">
        <v>3</v>
      </c>
      <c r="H197" s="48">
        <v>2</v>
      </c>
      <c r="I197" s="49" t="s">
        <v>45</v>
      </c>
      <c r="J197" s="184">
        <v>80</v>
      </c>
      <c r="K197" s="113">
        <v>300</v>
      </c>
      <c r="L197" s="113">
        <v>2300</v>
      </c>
      <c r="M197" s="185">
        <v>21.245716269838159</v>
      </c>
      <c r="N197" s="75">
        <v>944.6610841323901</v>
      </c>
      <c r="O197" s="121">
        <v>26441.011724323278</v>
      </c>
      <c r="P197" s="121">
        <v>32515.80837203993</v>
      </c>
      <c r="Q197" s="120">
        <v>27765.290788421746</v>
      </c>
      <c r="R197" s="314">
        <v>54206.302512745024</v>
      </c>
      <c r="S197" s="315">
        <v>60281.099160461672</v>
      </c>
      <c r="U197" s="7" t="s">
        <v>1926</v>
      </c>
    </row>
    <row r="198" spans="1:21" s="74" customFormat="1" ht="16.5" thickBot="1">
      <c r="A198" s="50" t="s">
        <v>35</v>
      </c>
      <c r="B198" s="51">
        <f t="shared" si="9"/>
        <v>80</v>
      </c>
      <c r="C198" s="51" t="s">
        <v>3</v>
      </c>
      <c r="D198" s="51">
        <f t="shared" si="10"/>
        <v>300</v>
      </c>
      <c r="E198" s="51" t="s">
        <v>3</v>
      </c>
      <c r="F198" s="110">
        <f t="shared" si="11"/>
        <v>2350</v>
      </c>
      <c r="G198" s="51" t="s">
        <v>3</v>
      </c>
      <c r="H198" s="48">
        <v>2</v>
      </c>
      <c r="I198" s="49" t="s">
        <v>45</v>
      </c>
      <c r="J198" s="184">
        <v>80</v>
      </c>
      <c r="K198" s="113">
        <v>300</v>
      </c>
      <c r="L198" s="113">
        <v>2350</v>
      </c>
      <c r="M198" s="185">
        <v>21.678286387876049</v>
      </c>
      <c r="N198" s="75">
        <v>968.88316321270781</v>
      </c>
      <c r="O198" s="121">
        <v>26879.874075043434</v>
      </c>
      <c r="P198" s="121">
        <v>33075.61314645916</v>
      </c>
      <c r="Q198" s="120">
        <v>28476.277734069005</v>
      </c>
      <c r="R198" s="314">
        <v>55356.151809112438</v>
      </c>
      <c r="S198" s="315">
        <v>61551.890880528168</v>
      </c>
      <c r="U198" s="7" t="s">
        <v>1927</v>
      </c>
    </row>
    <row r="199" spans="1:21" s="74" customFormat="1" ht="16.5" thickBot="1">
      <c r="A199" s="50" t="s">
        <v>35</v>
      </c>
      <c r="B199" s="51">
        <f t="shared" si="9"/>
        <v>80</v>
      </c>
      <c r="C199" s="51" t="s">
        <v>3</v>
      </c>
      <c r="D199" s="51">
        <f t="shared" si="10"/>
        <v>300</v>
      </c>
      <c r="E199" s="51" t="s">
        <v>3</v>
      </c>
      <c r="F199" s="110">
        <f t="shared" si="11"/>
        <v>2400</v>
      </c>
      <c r="G199" s="51" t="s">
        <v>3</v>
      </c>
      <c r="H199" s="48">
        <v>2</v>
      </c>
      <c r="I199" s="49" t="s">
        <v>45</v>
      </c>
      <c r="J199" s="184">
        <v>80</v>
      </c>
      <c r="K199" s="113">
        <v>300</v>
      </c>
      <c r="L199" s="113">
        <v>2400</v>
      </c>
      <c r="M199" s="185">
        <v>22.110856505913944</v>
      </c>
      <c r="N199" s="75">
        <v>993.10524229302541</v>
      </c>
      <c r="O199" s="121">
        <v>27318.736425763582</v>
      </c>
      <c r="P199" s="121">
        <v>33635.417780485019</v>
      </c>
      <c r="Q199" s="120">
        <v>28956.682901932996</v>
      </c>
      <c r="R199" s="314">
        <v>56275.419327696582</v>
      </c>
      <c r="S199" s="315">
        <v>62592.100682418015</v>
      </c>
      <c r="U199" s="7" t="s">
        <v>1928</v>
      </c>
    </row>
    <row r="200" spans="1:21" s="74" customFormat="1" ht="16.5" thickBot="1">
      <c r="A200" s="50" t="s">
        <v>35</v>
      </c>
      <c r="B200" s="51">
        <f t="shared" si="9"/>
        <v>80</v>
      </c>
      <c r="C200" s="51" t="s">
        <v>3</v>
      </c>
      <c r="D200" s="51">
        <f t="shared" si="10"/>
        <v>300</v>
      </c>
      <c r="E200" s="51" t="s">
        <v>3</v>
      </c>
      <c r="F200" s="110">
        <f t="shared" si="11"/>
        <v>2450</v>
      </c>
      <c r="G200" s="51" t="s">
        <v>3</v>
      </c>
      <c r="H200" s="48">
        <v>2</v>
      </c>
      <c r="I200" s="49" t="s">
        <v>45</v>
      </c>
      <c r="J200" s="184">
        <v>80</v>
      </c>
      <c r="K200" s="113">
        <v>300</v>
      </c>
      <c r="L200" s="113">
        <v>2450</v>
      </c>
      <c r="M200" s="185">
        <v>22.68799151675184</v>
      </c>
      <c r="N200" s="75">
        <v>1017.3273213733432</v>
      </c>
      <c r="O200" s="121">
        <v>28436.246111079119</v>
      </c>
      <c r="P200" s="121">
        <v>34789.648332515972</v>
      </c>
      <c r="Q200" s="120">
        <v>29667.669987973619</v>
      </c>
      <c r="R200" s="314">
        <v>58103.916099052738</v>
      </c>
      <c r="S200" s="315">
        <v>64457.31832048959</v>
      </c>
      <c r="U200" s="7" t="s">
        <v>1929</v>
      </c>
    </row>
    <row r="201" spans="1:21" s="74" customFormat="1" ht="16.5" thickBot="1">
      <c r="A201" s="50" t="s">
        <v>35</v>
      </c>
      <c r="B201" s="51">
        <f t="shared" si="9"/>
        <v>80</v>
      </c>
      <c r="C201" s="51" t="s">
        <v>3</v>
      </c>
      <c r="D201" s="51">
        <f t="shared" si="10"/>
        <v>300</v>
      </c>
      <c r="E201" s="51" t="s">
        <v>3</v>
      </c>
      <c r="F201" s="110">
        <f t="shared" si="11"/>
        <v>2500</v>
      </c>
      <c r="G201" s="51" t="s">
        <v>3</v>
      </c>
      <c r="H201" s="48">
        <v>2</v>
      </c>
      <c r="I201" s="49" t="s">
        <v>45</v>
      </c>
      <c r="J201" s="184">
        <v>80</v>
      </c>
      <c r="K201" s="113">
        <v>300</v>
      </c>
      <c r="L201" s="113">
        <v>2500</v>
      </c>
      <c r="M201" s="185">
        <v>23.120561634789738</v>
      </c>
      <c r="N201" s="75">
        <v>1041.5494004536608</v>
      </c>
      <c r="O201" s="121">
        <v>28875.108461799267</v>
      </c>
      <c r="P201" s="121">
        <v>35349.45296654183</v>
      </c>
      <c r="Q201" s="120">
        <v>30148.075155837607</v>
      </c>
      <c r="R201" s="314">
        <v>59023.183617636874</v>
      </c>
      <c r="S201" s="315">
        <v>65497.528122379437</v>
      </c>
      <c r="U201" s="7" t="s">
        <v>1930</v>
      </c>
    </row>
    <row r="202" spans="1:21" s="74" customFormat="1" ht="16.5" thickBot="1">
      <c r="A202" s="50" t="s">
        <v>35</v>
      </c>
      <c r="B202" s="51">
        <f t="shared" si="9"/>
        <v>80</v>
      </c>
      <c r="C202" s="51" t="s">
        <v>3</v>
      </c>
      <c r="D202" s="51">
        <f t="shared" si="10"/>
        <v>300</v>
      </c>
      <c r="E202" s="51" t="s">
        <v>3</v>
      </c>
      <c r="F202" s="110">
        <f t="shared" si="11"/>
        <v>2550</v>
      </c>
      <c r="G202" s="51" t="s">
        <v>3</v>
      </c>
      <c r="H202" s="48">
        <v>2</v>
      </c>
      <c r="I202" s="49" t="s">
        <v>45</v>
      </c>
      <c r="J202" s="184">
        <v>80</v>
      </c>
      <c r="K202" s="113">
        <v>300</v>
      </c>
      <c r="L202" s="113">
        <v>2550</v>
      </c>
      <c r="M202" s="185">
        <v>23.553131752827632</v>
      </c>
      <c r="N202" s="75">
        <v>1065.7714795339787</v>
      </c>
      <c r="O202" s="121">
        <v>29313.970812519416</v>
      </c>
      <c r="P202" s="121">
        <v>35909.257740961053</v>
      </c>
      <c r="Q202" s="120">
        <v>30859.06224187823</v>
      </c>
      <c r="R202" s="314">
        <v>60173.033054397645</v>
      </c>
      <c r="S202" s="315">
        <v>66768.319982839283</v>
      </c>
      <c r="U202" s="7" t="s">
        <v>1931</v>
      </c>
    </row>
    <row r="203" spans="1:21" s="74" customFormat="1" ht="16.5" thickBot="1">
      <c r="A203" s="47" t="s">
        <v>35</v>
      </c>
      <c r="B203" s="48">
        <f t="shared" si="9"/>
        <v>80</v>
      </c>
      <c r="C203" s="48" t="s">
        <v>3</v>
      </c>
      <c r="D203" s="48">
        <f t="shared" si="10"/>
        <v>300</v>
      </c>
      <c r="E203" s="48" t="s">
        <v>3</v>
      </c>
      <c r="F203" s="110">
        <f t="shared" si="11"/>
        <v>2600</v>
      </c>
      <c r="G203" s="48" t="s">
        <v>3</v>
      </c>
      <c r="H203" s="48">
        <v>2</v>
      </c>
      <c r="I203" s="49" t="s">
        <v>45</v>
      </c>
      <c r="J203" s="184">
        <v>80</v>
      </c>
      <c r="K203" s="113">
        <v>300</v>
      </c>
      <c r="L203" s="113">
        <v>2600</v>
      </c>
      <c r="M203" s="185">
        <v>23.985701870865526</v>
      </c>
      <c r="N203" s="75">
        <v>1089.9935586142963</v>
      </c>
      <c r="O203" s="121">
        <v>29752.833163239571</v>
      </c>
      <c r="P203" s="121">
        <v>36469.062515380283</v>
      </c>
      <c r="Q203" s="120">
        <v>31339.467409742221</v>
      </c>
      <c r="R203" s="314">
        <v>61092.300572981796</v>
      </c>
      <c r="S203" s="315">
        <v>67808.529925122508</v>
      </c>
      <c r="U203" s="7" t="s">
        <v>1932</v>
      </c>
    </row>
    <row r="204" spans="1:21" s="74" customFormat="1" ht="16.5" thickBot="1">
      <c r="A204" s="50" t="s">
        <v>35</v>
      </c>
      <c r="B204" s="51">
        <f t="shared" si="9"/>
        <v>80</v>
      </c>
      <c r="C204" s="51" t="s">
        <v>3</v>
      </c>
      <c r="D204" s="51">
        <f t="shared" si="10"/>
        <v>300</v>
      </c>
      <c r="E204" s="51" t="s">
        <v>3</v>
      </c>
      <c r="F204" s="110">
        <f t="shared" si="11"/>
        <v>2650</v>
      </c>
      <c r="G204" s="51" t="s">
        <v>3</v>
      </c>
      <c r="H204" s="48">
        <v>2</v>
      </c>
      <c r="I204" s="49" t="s">
        <v>45</v>
      </c>
      <c r="J204" s="184">
        <v>80</v>
      </c>
      <c r="K204" s="113">
        <v>300</v>
      </c>
      <c r="L204" s="113">
        <v>2650</v>
      </c>
      <c r="M204" s="185">
        <v>24.41827198890342</v>
      </c>
      <c r="N204" s="75">
        <v>1114.2156376946139</v>
      </c>
      <c r="O204" s="121">
        <v>30191.695513959719</v>
      </c>
      <c r="P204" s="121">
        <v>37028.867149406149</v>
      </c>
      <c r="Q204" s="120">
        <v>32050.45435538948</v>
      </c>
      <c r="R204" s="314">
        <v>62242.149869349203</v>
      </c>
      <c r="S204" s="315">
        <v>69079.321504795633</v>
      </c>
      <c r="U204" s="7" t="s">
        <v>1933</v>
      </c>
    </row>
    <row r="205" spans="1:21" s="74" customFormat="1" ht="16.5" thickBot="1">
      <c r="A205" s="50" t="s">
        <v>35</v>
      </c>
      <c r="B205" s="51">
        <f t="shared" si="9"/>
        <v>80</v>
      </c>
      <c r="C205" s="51" t="s">
        <v>3</v>
      </c>
      <c r="D205" s="51">
        <f t="shared" si="10"/>
        <v>300</v>
      </c>
      <c r="E205" s="51" t="s">
        <v>3</v>
      </c>
      <c r="F205" s="110">
        <f t="shared" si="11"/>
        <v>2700</v>
      </c>
      <c r="G205" s="51" t="s">
        <v>3</v>
      </c>
      <c r="H205" s="48">
        <v>2</v>
      </c>
      <c r="I205" s="49" t="s">
        <v>45</v>
      </c>
      <c r="J205" s="184">
        <v>80</v>
      </c>
      <c r="K205" s="113">
        <v>300</v>
      </c>
      <c r="L205" s="113">
        <v>2700</v>
      </c>
      <c r="M205" s="185">
        <v>24.890092106941317</v>
      </c>
      <c r="N205" s="75">
        <v>1138.4377167749317</v>
      </c>
      <c r="O205" s="121">
        <v>30676.429711156394</v>
      </c>
      <c r="P205" s="121">
        <v>37633.145452411394</v>
      </c>
      <c r="Q205" s="120">
        <v>32530.859663646832</v>
      </c>
      <c r="R205" s="314">
        <v>63207.289374803222</v>
      </c>
      <c r="S205" s="315">
        <v>70164.005116058222</v>
      </c>
      <c r="U205" s="7" t="s">
        <v>1934</v>
      </c>
    </row>
    <row r="206" spans="1:21" s="74" customFormat="1" ht="16.5" thickBot="1">
      <c r="A206" s="50" t="s">
        <v>35</v>
      </c>
      <c r="B206" s="51">
        <f t="shared" si="9"/>
        <v>80</v>
      </c>
      <c r="C206" s="51" t="s">
        <v>3</v>
      </c>
      <c r="D206" s="51">
        <f t="shared" si="10"/>
        <v>300</v>
      </c>
      <c r="E206" s="51" t="s">
        <v>3</v>
      </c>
      <c r="F206" s="110">
        <f t="shared" si="11"/>
        <v>2750</v>
      </c>
      <c r="G206" s="51" t="s">
        <v>3</v>
      </c>
      <c r="H206" s="48">
        <v>2</v>
      </c>
      <c r="I206" s="49" t="s">
        <v>45</v>
      </c>
      <c r="J206" s="184">
        <v>80</v>
      </c>
      <c r="K206" s="113">
        <v>300</v>
      </c>
      <c r="L206" s="113">
        <v>2750</v>
      </c>
      <c r="M206" s="185">
        <v>25.322662224979211</v>
      </c>
      <c r="N206" s="75">
        <v>1162.6597958552493</v>
      </c>
      <c r="O206" s="121">
        <v>31115.292061876542</v>
      </c>
      <c r="P206" s="121">
        <v>38192.950226830617</v>
      </c>
      <c r="Q206" s="120">
        <v>33011.264831510824</v>
      </c>
      <c r="R206" s="314">
        <v>64126.556893387366</v>
      </c>
      <c r="S206" s="315">
        <v>71204.215058341448</v>
      </c>
      <c r="U206" s="7" t="s">
        <v>1935</v>
      </c>
    </row>
    <row r="207" spans="1:21" s="74" customFormat="1" ht="16.5" thickBot="1">
      <c r="A207" s="50" t="s">
        <v>35</v>
      </c>
      <c r="B207" s="51">
        <f t="shared" si="9"/>
        <v>80</v>
      </c>
      <c r="C207" s="51" t="s">
        <v>3</v>
      </c>
      <c r="D207" s="51">
        <f t="shared" si="10"/>
        <v>300</v>
      </c>
      <c r="E207" s="51" t="s">
        <v>3</v>
      </c>
      <c r="F207" s="110">
        <f t="shared" si="11"/>
        <v>2800</v>
      </c>
      <c r="G207" s="51" t="s">
        <v>3</v>
      </c>
      <c r="H207" s="48">
        <v>2</v>
      </c>
      <c r="I207" s="49" t="s">
        <v>45</v>
      </c>
      <c r="J207" s="184">
        <v>80</v>
      </c>
      <c r="K207" s="113">
        <v>300</v>
      </c>
      <c r="L207" s="113">
        <v>2800</v>
      </c>
      <c r="M207" s="185">
        <v>25.755232343017106</v>
      </c>
      <c r="N207" s="75">
        <v>1186.8818749355671</v>
      </c>
      <c r="O207" s="121">
        <v>31554.154412596694</v>
      </c>
      <c r="P207" s="121">
        <v>38752.755001249847</v>
      </c>
      <c r="Q207" s="120">
        <v>33722.251777158082</v>
      </c>
      <c r="R207" s="314">
        <v>65276.40618975478</v>
      </c>
      <c r="S207" s="315">
        <v>72475.006778407929</v>
      </c>
      <c r="U207" s="7" t="s">
        <v>1936</v>
      </c>
    </row>
    <row r="208" spans="1:21" s="74" customFormat="1" ht="16.5" thickBot="1">
      <c r="A208" s="50" t="s">
        <v>35</v>
      </c>
      <c r="B208" s="51">
        <f t="shared" si="9"/>
        <v>80</v>
      </c>
      <c r="C208" s="51" t="s">
        <v>3</v>
      </c>
      <c r="D208" s="51">
        <f t="shared" si="10"/>
        <v>300</v>
      </c>
      <c r="E208" s="51" t="s">
        <v>3</v>
      </c>
      <c r="F208" s="110">
        <f t="shared" si="11"/>
        <v>2850</v>
      </c>
      <c r="G208" s="51" t="s">
        <v>3</v>
      </c>
      <c r="H208" s="48">
        <v>2</v>
      </c>
      <c r="I208" s="49" t="s">
        <v>45</v>
      </c>
      <c r="J208" s="184">
        <v>80</v>
      </c>
      <c r="K208" s="113">
        <v>300</v>
      </c>
      <c r="L208" s="113">
        <v>2850</v>
      </c>
      <c r="M208" s="185">
        <v>26.187802461055</v>
      </c>
      <c r="N208" s="75">
        <v>1211.1039540158847</v>
      </c>
      <c r="O208" s="121">
        <v>31993.016763316846</v>
      </c>
      <c r="P208" s="121">
        <v>39312.559635275706</v>
      </c>
      <c r="Q208" s="120">
        <v>34202.657085415434</v>
      </c>
      <c r="R208" s="314">
        <v>66195.673848732287</v>
      </c>
      <c r="S208" s="315">
        <v>73515.21672069114</v>
      </c>
      <c r="U208" s="7" t="s">
        <v>1937</v>
      </c>
    </row>
    <row r="209" spans="1:21" s="74" customFormat="1" ht="16.5" thickBot="1">
      <c r="A209" s="50" t="s">
        <v>35</v>
      </c>
      <c r="B209" s="51">
        <f t="shared" si="9"/>
        <v>80</v>
      </c>
      <c r="C209" s="51" t="s">
        <v>3</v>
      </c>
      <c r="D209" s="51">
        <f t="shared" si="10"/>
        <v>300</v>
      </c>
      <c r="E209" s="51" t="s">
        <v>3</v>
      </c>
      <c r="F209" s="110">
        <f t="shared" si="11"/>
        <v>2900</v>
      </c>
      <c r="G209" s="51" t="s">
        <v>3</v>
      </c>
      <c r="H209" s="48">
        <v>2</v>
      </c>
      <c r="I209" s="49" t="s">
        <v>45</v>
      </c>
      <c r="J209" s="184">
        <v>80</v>
      </c>
      <c r="K209" s="113">
        <v>300</v>
      </c>
      <c r="L209" s="113">
        <v>2900</v>
      </c>
      <c r="M209" s="185">
        <v>26.620372579092898</v>
      </c>
      <c r="N209" s="75">
        <v>1235.3260330962023</v>
      </c>
      <c r="O209" s="121">
        <v>32431.879114036994</v>
      </c>
      <c r="P209" s="121">
        <v>39872.364409694928</v>
      </c>
      <c r="Q209" s="120">
        <v>34913.644031062693</v>
      </c>
      <c r="R209" s="314">
        <v>67345.523145099694</v>
      </c>
      <c r="S209" s="315">
        <v>74786.008440757621</v>
      </c>
      <c r="U209" s="7" t="s">
        <v>1938</v>
      </c>
    </row>
    <row r="210" spans="1:21" s="74" customFormat="1" ht="16.5" thickBot="1">
      <c r="A210" s="50" t="s">
        <v>35</v>
      </c>
      <c r="B210" s="51">
        <f t="shared" si="9"/>
        <v>80</v>
      </c>
      <c r="C210" s="51" t="s">
        <v>3</v>
      </c>
      <c r="D210" s="51">
        <f t="shared" si="10"/>
        <v>300</v>
      </c>
      <c r="E210" s="51" t="s">
        <v>3</v>
      </c>
      <c r="F210" s="110">
        <f t="shared" si="11"/>
        <v>2950</v>
      </c>
      <c r="G210" s="51" t="s">
        <v>3</v>
      </c>
      <c r="H210" s="48">
        <v>2</v>
      </c>
      <c r="I210" s="49" t="s">
        <v>45</v>
      </c>
      <c r="J210" s="184">
        <v>80</v>
      </c>
      <c r="K210" s="113">
        <v>300</v>
      </c>
      <c r="L210" s="113">
        <v>2950</v>
      </c>
      <c r="M210" s="185">
        <v>27.052942697130788</v>
      </c>
      <c r="N210" s="75">
        <v>1259.5481121765201</v>
      </c>
      <c r="O210" s="121">
        <v>32870.74146475715</v>
      </c>
      <c r="P210" s="121">
        <v>40432.169184114158</v>
      </c>
      <c r="Q210" s="120">
        <v>35394.049339320045</v>
      </c>
      <c r="R210" s="314">
        <v>68264.790804077202</v>
      </c>
      <c r="S210" s="315">
        <v>75826.218523434203</v>
      </c>
      <c r="U210" s="7" t="s">
        <v>1939</v>
      </c>
    </row>
    <row r="211" spans="1:21" s="74" customFormat="1" ht="16.5" thickBot="1">
      <c r="A211" s="52" t="s">
        <v>35</v>
      </c>
      <c r="B211" s="53">
        <f t="shared" si="9"/>
        <v>80</v>
      </c>
      <c r="C211" s="53" t="s">
        <v>3</v>
      </c>
      <c r="D211" s="53">
        <f t="shared" si="10"/>
        <v>300</v>
      </c>
      <c r="E211" s="53" t="s">
        <v>3</v>
      </c>
      <c r="F211" s="111">
        <f t="shared" si="11"/>
        <v>3000</v>
      </c>
      <c r="G211" s="53" t="s">
        <v>3</v>
      </c>
      <c r="H211" s="55">
        <v>2</v>
      </c>
      <c r="I211" s="54" t="s">
        <v>45</v>
      </c>
      <c r="J211" s="184">
        <v>80</v>
      </c>
      <c r="K211" s="157">
        <v>300</v>
      </c>
      <c r="L211" s="157">
        <v>3000</v>
      </c>
      <c r="M211" s="187">
        <v>27.485512815168683</v>
      </c>
      <c r="N211" s="147">
        <v>1283.7701912568377</v>
      </c>
      <c r="O211" s="158">
        <v>33309.603815477298</v>
      </c>
      <c r="P211" s="158">
        <v>40991.973818140017</v>
      </c>
      <c r="Q211" s="159">
        <v>36105.036284967304</v>
      </c>
      <c r="R211" s="316">
        <v>69414.640100444609</v>
      </c>
      <c r="S211" s="317">
        <v>77097.010103107314</v>
      </c>
      <c r="U211" s="7" t="s">
        <v>1940</v>
      </c>
    </row>
    <row r="212" spans="1:21" s="74" customFormat="1" ht="16.5" thickBot="1">
      <c r="A212" s="2583" t="s">
        <v>135</v>
      </c>
      <c r="B212" s="2584"/>
      <c r="C212" s="2584"/>
      <c r="D212" s="2584"/>
      <c r="E212" s="2584"/>
      <c r="F212" s="2584"/>
      <c r="G212" s="2584"/>
      <c r="H212" s="2584"/>
      <c r="I212" s="2584"/>
      <c r="J212" s="2584"/>
      <c r="K212" s="2584"/>
      <c r="L212" s="2584"/>
      <c r="M212" s="2584"/>
      <c r="N212" s="2584"/>
      <c r="O212" s="2584"/>
      <c r="P212" s="2584"/>
      <c r="Q212" s="2584"/>
      <c r="R212" s="2584"/>
      <c r="S212" s="2585"/>
      <c r="U212" s="7"/>
    </row>
    <row r="213" spans="1:21" s="74" customFormat="1" ht="16.5" thickBot="1">
      <c r="A213" s="47" t="s">
        <v>35</v>
      </c>
      <c r="B213" s="48">
        <f>J213</f>
        <v>80</v>
      </c>
      <c r="C213" s="48" t="s">
        <v>3</v>
      </c>
      <c r="D213" s="48">
        <f>K213</f>
        <v>300</v>
      </c>
      <c r="E213" s="48" t="s">
        <v>3</v>
      </c>
      <c r="F213" s="110">
        <f>L213</f>
        <v>600</v>
      </c>
      <c r="G213" s="48" t="s">
        <v>3</v>
      </c>
      <c r="H213" s="48">
        <v>4</v>
      </c>
      <c r="I213" s="49" t="s">
        <v>45</v>
      </c>
      <c r="J213" s="181">
        <v>80</v>
      </c>
      <c r="K213" s="168">
        <v>300</v>
      </c>
      <c r="L213" s="168">
        <v>600</v>
      </c>
      <c r="M213" s="182">
        <v>6.7312187514047368</v>
      </c>
      <c r="N213" s="143">
        <v>154.04846737559998</v>
      </c>
      <c r="O213" s="183">
        <v>12868.721792565302</v>
      </c>
      <c r="P213" s="183">
        <v>14798.107620901128</v>
      </c>
      <c r="Q213" s="169">
        <v>8203.3683669666007</v>
      </c>
      <c r="R213" s="312">
        <v>21072.090159531901</v>
      </c>
      <c r="S213" s="313">
        <v>23001.475987867729</v>
      </c>
      <c r="U213" s="7" t="s">
        <v>1941</v>
      </c>
    </row>
    <row r="214" spans="1:21" s="74" customFormat="1" ht="16.5" thickBot="1">
      <c r="A214" s="50" t="s">
        <v>35</v>
      </c>
      <c r="B214" s="51">
        <f t="shared" ref="B214:B261" si="12">J214</f>
        <v>80</v>
      </c>
      <c r="C214" s="51" t="s">
        <v>3</v>
      </c>
      <c r="D214" s="51">
        <f t="shared" ref="D214:D261" si="13">K214</f>
        <v>300</v>
      </c>
      <c r="E214" s="51" t="s">
        <v>3</v>
      </c>
      <c r="F214" s="110">
        <f t="shared" ref="F214:F261" si="14">L214</f>
        <v>650</v>
      </c>
      <c r="G214" s="51" t="s">
        <v>3</v>
      </c>
      <c r="H214" s="48">
        <v>4</v>
      </c>
      <c r="I214" s="49" t="s">
        <v>45</v>
      </c>
      <c r="J214" s="184">
        <v>80</v>
      </c>
      <c r="K214" s="113">
        <v>300</v>
      </c>
      <c r="L214" s="113">
        <v>650</v>
      </c>
      <c r="M214" s="185">
        <v>7.2304112593226302</v>
      </c>
      <c r="N214" s="75">
        <v>184.85816085071997</v>
      </c>
      <c r="O214" s="121">
        <v>13515.473720707765</v>
      </c>
      <c r="P214" s="121">
        <v>15561.299276820566</v>
      </c>
      <c r="Q214" s="120">
        <v>8683.7735348305905</v>
      </c>
      <c r="R214" s="314">
        <v>22199.247255538357</v>
      </c>
      <c r="S214" s="315">
        <v>24245.072811651156</v>
      </c>
      <c r="U214" s="7" t="s">
        <v>1942</v>
      </c>
    </row>
    <row r="215" spans="1:21" s="74" customFormat="1" ht="16.5" thickBot="1">
      <c r="A215" s="50" t="s">
        <v>35</v>
      </c>
      <c r="B215" s="51">
        <f t="shared" si="12"/>
        <v>80</v>
      </c>
      <c r="C215" s="51" t="s">
        <v>3</v>
      </c>
      <c r="D215" s="51">
        <f t="shared" si="13"/>
        <v>300</v>
      </c>
      <c r="E215" s="51" t="s">
        <v>3</v>
      </c>
      <c r="F215" s="110">
        <f t="shared" si="14"/>
        <v>700</v>
      </c>
      <c r="G215" s="51" t="s">
        <v>3</v>
      </c>
      <c r="H215" s="48">
        <v>4</v>
      </c>
      <c r="I215" s="49" t="s">
        <v>45</v>
      </c>
      <c r="J215" s="184">
        <v>80</v>
      </c>
      <c r="K215" s="113">
        <v>300</v>
      </c>
      <c r="L215" s="113">
        <v>700</v>
      </c>
      <c r="M215" s="185">
        <v>7.7296037672405253</v>
      </c>
      <c r="N215" s="75">
        <v>215.66785432583995</v>
      </c>
      <c r="O215" s="121">
        <v>14162.225508456866</v>
      </c>
      <c r="P215" s="121">
        <v>16324.490932740004</v>
      </c>
      <c r="Q215" s="120">
        <v>9394.7606208712132</v>
      </c>
      <c r="R215" s="314">
        <v>23556.986129328077</v>
      </c>
      <c r="S215" s="315">
        <v>25719.251553611219</v>
      </c>
      <c r="U215" s="7" t="s">
        <v>1943</v>
      </c>
    </row>
    <row r="216" spans="1:21" s="74" customFormat="1" ht="16.5" thickBot="1">
      <c r="A216" s="50" t="s">
        <v>35</v>
      </c>
      <c r="B216" s="51">
        <f t="shared" si="12"/>
        <v>80</v>
      </c>
      <c r="C216" s="51" t="s">
        <v>3</v>
      </c>
      <c r="D216" s="51">
        <f t="shared" si="13"/>
        <v>300</v>
      </c>
      <c r="E216" s="51" t="s">
        <v>3</v>
      </c>
      <c r="F216" s="110">
        <f t="shared" si="14"/>
        <v>750</v>
      </c>
      <c r="G216" s="51" t="s">
        <v>3</v>
      </c>
      <c r="H216" s="48">
        <v>4</v>
      </c>
      <c r="I216" s="49" t="s">
        <v>45</v>
      </c>
      <c r="J216" s="184">
        <v>80</v>
      </c>
      <c r="K216" s="113">
        <v>300</v>
      </c>
      <c r="L216" s="113">
        <v>750</v>
      </c>
      <c r="M216" s="185">
        <v>8.2287962751584196</v>
      </c>
      <c r="N216" s="75">
        <v>246.47754780096</v>
      </c>
      <c r="O216" s="121">
        <v>14808.977436599329</v>
      </c>
      <c r="P216" s="121">
        <v>17087.682448266078</v>
      </c>
      <c r="Q216" s="120">
        <v>9875.165788735203</v>
      </c>
      <c r="R216" s="314">
        <v>24684.143225334534</v>
      </c>
      <c r="S216" s="315">
        <v>26962.848237001279</v>
      </c>
      <c r="U216" s="7" t="s">
        <v>1944</v>
      </c>
    </row>
    <row r="217" spans="1:21" s="74" customFormat="1" ht="16.5" thickBot="1">
      <c r="A217" s="50" t="s">
        <v>35</v>
      </c>
      <c r="B217" s="51">
        <f t="shared" si="12"/>
        <v>80</v>
      </c>
      <c r="C217" s="51" t="s">
        <v>3</v>
      </c>
      <c r="D217" s="51">
        <f t="shared" si="13"/>
        <v>300</v>
      </c>
      <c r="E217" s="51" t="s">
        <v>3</v>
      </c>
      <c r="F217" s="110">
        <f t="shared" si="14"/>
        <v>800</v>
      </c>
      <c r="G217" s="51" t="s">
        <v>3</v>
      </c>
      <c r="H217" s="48">
        <v>4</v>
      </c>
      <c r="I217" s="49" t="s">
        <v>45</v>
      </c>
      <c r="J217" s="184">
        <v>80</v>
      </c>
      <c r="K217" s="113">
        <v>300</v>
      </c>
      <c r="L217" s="113">
        <v>800</v>
      </c>
      <c r="M217" s="185">
        <v>8.7279887830763148</v>
      </c>
      <c r="N217" s="75">
        <v>277.28724127607995</v>
      </c>
      <c r="O217" s="121">
        <v>15455.729364741792</v>
      </c>
      <c r="P217" s="121">
        <v>17850.874104185517</v>
      </c>
      <c r="Q217" s="120">
        <v>10355.570956599189</v>
      </c>
      <c r="R217" s="314">
        <v>25811.300321340983</v>
      </c>
      <c r="S217" s="315">
        <v>28206.445060784707</v>
      </c>
      <c r="U217" s="7" t="s">
        <v>1945</v>
      </c>
    </row>
    <row r="218" spans="1:21" s="74" customFormat="1" ht="16.5" thickBot="1">
      <c r="A218" s="50" t="s">
        <v>35</v>
      </c>
      <c r="B218" s="51">
        <f t="shared" si="12"/>
        <v>80</v>
      </c>
      <c r="C218" s="51" t="s">
        <v>3</v>
      </c>
      <c r="D218" s="51">
        <f t="shared" si="13"/>
        <v>300</v>
      </c>
      <c r="E218" s="51" t="s">
        <v>3</v>
      </c>
      <c r="F218" s="110">
        <f t="shared" si="14"/>
        <v>850</v>
      </c>
      <c r="G218" s="51" t="s">
        <v>3</v>
      </c>
      <c r="H218" s="48">
        <v>4</v>
      </c>
      <c r="I218" s="49" t="s">
        <v>45</v>
      </c>
      <c r="J218" s="184">
        <v>80</v>
      </c>
      <c r="K218" s="113">
        <v>300</v>
      </c>
      <c r="L218" s="113">
        <v>850</v>
      </c>
      <c r="M218" s="185">
        <v>9.2271812909942099</v>
      </c>
      <c r="N218" s="75">
        <v>308.09693475119997</v>
      </c>
      <c r="O218" s="121">
        <v>16102.481292884253</v>
      </c>
      <c r="P218" s="121">
        <v>18614.065760104953</v>
      </c>
      <c r="Q218" s="120">
        <v>11066.558042639816</v>
      </c>
      <c r="R218" s="314">
        <v>27169.039335524067</v>
      </c>
      <c r="S218" s="315">
        <v>29680.623802744769</v>
      </c>
      <c r="U218" s="7" t="s">
        <v>1946</v>
      </c>
    </row>
    <row r="219" spans="1:21" s="74" customFormat="1" ht="16.5" thickBot="1">
      <c r="A219" s="50" t="s">
        <v>35</v>
      </c>
      <c r="B219" s="51">
        <f t="shared" si="12"/>
        <v>80</v>
      </c>
      <c r="C219" s="51" t="s">
        <v>3</v>
      </c>
      <c r="D219" s="51">
        <f t="shared" si="13"/>
        <v>300</v>
      </c>
      <c r="E219" s="51" t="s">
        <v>3</v>
      </c>
      <c r="F219" s="110">
        <f t="shared" si="14"/>
        <v>900</v>
      </c>
      <c r="G219" s="51" t="s">
        <v>3</v>
      </c>
      <c r="H219" s="48">
        <v>4</v>
      </c>
      <c r="I219" s="49" t="s">
        <v>45</v>
      </c>
      <c r="J219" s="184">
        <v>80</v>
      </c>
      <c r="K219" s="113">
        <v>300</v>
      </c>
      <c r="L219" s="113">
        <v>900</v>
      </c>
      <c r="M219" s="185">
        <v>9.7263737989121051</v>
      </c>
      <c r="N219" s="75">
        <v>338.90662822631998</v>
      </c>
      <c r="O219" s="121">
        <v>16749.233080633352</v>
      </c>
      <c r="P219" s="121">
        <v>19377.257416024389</v>
      </c>
      <c r="Q219" s="120">
        <v>11546.963210503804</v>
      </c>
      <c r="R219" s="314">
        <v>28296.196291137156</v>
      </c>
      <c r="S219" s="315">
        <v>30924.220626528193</v>
      </c>
      <c r="U219" s="7" t="s">
        <v>1947</v>
      </c>
    </row>
    <row r="220" spans="1:21" s="74" customFormat="1" ht="16.5" thickBot="1">
      <c r="A220" s="50" t="s">
        <v>35</v>
      </c>
      <c r="B220" s="51">
        <f t="shared" si="12"/>
        <v>80</v>
      </c>
      <c r="C220" s="51" t="s">
        <v>3</v>
      </c>
      <c r="D220" s="51">
        <f t="shared" si="13"/>
        <v>300</v>
      </c>
      <c r="E220" s="51" t="s">
        <v>3</v>
      </c>
      <c r="F220" s="110">
        <f t="shared" si="14"/>
        <v>950</v>
      </c>
      <c r="G220" s="51" t="s">
        <v>3</v>
      </c>
      <c r="H220" s="48">
        <v>4</v>
      </c>
      <c r="I220" s="49" t="s">
        <v>45</v>
      </c>
      <c r="J220" s="184">
        <v>80</v>
      </c>
      <c r="K220" s="113">
        <v>300</v>
      </c>
      <c r="L220" s="113">
        <v>950</v>
      </c>
      <c r="M220" s="185">
        <v>10.225566306829998</v>
      </c>
      <c r="N220" s="75">
        <v>369.71632170143994</v>
      </c>
      <c r="O220" s="121">
        <v>17395.985008775813</v>
      </c>
      <c r="P220" s="121">
        <v>20140.449071943829</v>
      </c>
      <c r="Q220" s="120">
        <v>12257.950156151066</v>
      </c>
      <c r="R220" s="314">
        <v>29653.935164926879</v>
      </c>
      <c r="S220" s="315">
        <v>32398.399228094895</v>
      </c>
      <c r="U220" s="7" t="s">
        <v>1948</v>
      </c>
    </row>
    <row r="221" spans="1:21" s="74" customFormat="1" ht="16.5" thickBot="1">
      <c r="A221" s="50" t="s">
        <v>35</v>
      </c>
      <c r="B221" s="51">
        <f t="shared" si="12"/>
        <v>80</v>
      </c>
      <c r="C221" s="51" t="s">
        <v>3</v>
      </c>
      <c r="D221" s="51">
        <f t="shared" si="13"/>
        <v>300</v>
      </c>
      <c r="E221" s="51" t="s">
        <v>3</v>
      </c>
      <c r="F221" s="110">
        <f t="shared" si="14"/>
        <v>1000</v>
      </c>
      <c r="G221" s="51" t="s">
        <v>3</v>
      </c>
      <c r="H221" s="48">
        <v>4</v>
      </c>
      <c r="I221" s="49" t="s">
        <v>45</v>
      </c>
      <c r="J221" s="184">
        <v>80</v>
      </c>
      <c r="K221" s="113">
        <v>300</v>
      </c>
      <c r="L221" s="113">
        <v>1000</v>
      </c>
      <c r="M221" s="185">
        <v>10.724758814747894</v>
      </c>
      <c r="N221" s="75">
        <v>400.52601517655995</v>
      </c>
      <c r="O221" s="121">
        <v>18042.736936918282</v>
      </c>
      <c r="P221" s="121">
        <v>20903.640727863269</v>
      </c>
      <c r="Q221" s="120">
        <v>12738.355464408416</v>
      </c>
      <c r="R221" s="314">
        <v>30781.092401326699</v>
      </c>
      <c r="S221" s="315">
        <v>33641.996192271683</v>
      </c>
      <c r="U221" s="7" t="s">
        <v>1949</v>
      </c>
    </row>
    <row r="222" spans="1:21" s="74" customFormat="1" ht="16.5" thickBot="1">
      <c r="A222" s="50" t="s">
        <v>35</v>
      </c>
      <c r="B222" s="51">
        <f t="shared" si="12"/>
        <v>80</v>
      </c>
      <c r="C222" s="51" t="s">
        <v>3</v>
      </c>
      <c r="D222" s="51">
        <f t="shared" si="13"/>
        <v>300</v>
      </c>
      <c r="E222" s="51" t="s">
        <v>3</v>
      </c>
      <c r="F222" s="110">
        <f t="shared" si="14"/>
        <v>1050</v>
      </c>
      <c r="G222" s="51" t="s">
        <v>3</v>
      </c>
      <c r="H222" s="48">
        <v>4</v>
      </c>
      <c r="I222" s="49" t="s">
        <v>45</v>
      </c>
      <c r="J222" s="184">
        <v>80</v>
      </c>
      <c r="K222" s="113">
        <v>300</v>
      </c>
      <c r="L222" s="113">
        <v>1050</v>
      </c>
      <c r="M222" s="185">
        <v>11.223951322665787</v>
      </c>
      <c r="N222" s="75">
        <v>431.33570865167991</v>
      </c>
      <c r="O222" s="121">
        <v>18689.488865060743</v>
      </c>
      <c r="P222" s="121">
        <v>21666.832383782705</v>
      </c>
      <c r="Q222" s="120">
        <v>13449.342410055679</v>
      </c>
      <c r="R222" s="314">
        <v>32138.831275116419</v>
      </c>
      <c r="S222" s="315">
        <v>35116.174793838385</v>
      </c>
      <c r="U222" s="7" t="s">
        <v>1950</v>
      </c>
    </row>
    <row r="223" spans="1:21" s="74" customFormat="1" ht="16.5" thickBot="1">
      <c r="A223" s="47" t="s">
        <v>35</v>
      </c>
      <c r="B223" s="48">
        <f t="shared" si="12"/>
        <v>80</v>
      </c>
      <c r="C223" s="48" t="s">
        <v>3</v>
      </c>
      <c r="D223" s="48">
        <f t="shared" si="13"/>
        <v>300</v>
      </c>
      <c r="E223" s="48" t="s">
        <v>3</v>
      </c>
      <c r="F223" s="110">
        <f t="shared" si="14"/>
        <v>1100</v>
      </c>
      <c r="G223" s="48" t="s">
        <v>3</v>
      </c>
      <c r="H223" s="48">
        <v>4</v>
      </c>
      <c r="I223" s="49" t="s">
        <v>45</v>
      </c>
      <c r="J223" s="184">
        <v>80</v>
      </c>
      <c r="K223" s="113">
        <v>300</v>
      </c>
      <c r="L223" s="113">
        <v>1100</v>
      </c>
      <c r="M223" s="185">
        <v>11.723143830583684</v>
      </c>
      <c r="N223" s="75">
        <v>462.14540212679992</v>
      </c>
      <c r="O223" s="121">
        <v>19336.240793203204</v>
      </c>
      <c r="P223" s="121">
        <v>22430.023899308781</v>
      </c>
      <c r="Q223" s="120">
        <v>13929.747718313029</v>
      </c>
      <c r="R223" s="314">
        <v>33265.988511516232</v>
      </c>
      <c r="S223" s="315">
        <v>36359.771617621809</v>
      </c>
      <c r="U223" s="7" t="s">
        <v>1951</v>
      </c>
    </row>
    <row r="224" spans="1:21" s="74" customFormat="1" ht="16.5" thickBot="1">
      <c r="A224" s="50" t="s">
        <v>35</v>
      </c>
      <c r="B224" s="51">
        <f t="shared" si="12"/>
        <v>80</v>
      </c>
      <c r="C224" s="51" t="s">
        <v>3</v>
      </c>
      <c r="D224" s="51">
        <f t="shared" si="13"/>
        <v>300</v>
      </c>
      <c r="E224" s="51" t="s">
        <v>3</v>
      </c>
      <c r="F224" s="110">
        <f t="shared" si="14"/>
        <v>1150</v>
      </c>
      <c r="G224" s="51" t="s">
        <v>3</v>
      </c>
      <c r="H224" s="48">
        <v>4</v>
      </c>
      <c r="I224" s="49" t="s">
        <v>45</v>
      </c>
      <c r="J224" s="184">
        <v>80</v>
      </c>
      <c r="K224" s="113">
        <v>300</v>
      </c>
      <c r="L224" s="113">
        <v>1150</v>
      </c>
      <c r="M224" s="185">
        <v>12.222336338501581</v>
      </c>
      <c r="N224" s="75">
        <v>492.95509560191999</v>
      </c>
      <c r="O224" s="121">
        <v>19982.992580952305</v>
      </c>
      <c r="P224" s="121">
        <v>23193.215555228217</v>
      </c>
      <c r="Q224" s="120">
        <v>14410.152886177015</v>
      </c>
      <c r="R224" s="314">
        <v>34393.145467129318</v>
      </c>
      <c r="S224" s="315">
        <v>37603.368441405233</v>
      </c>
      <c r="U224" s="7" t="s">
        <v>1952</v>
      </c>
    </row>
    <row r="225" spans="1:21" s="74" customFormat="1" ht="16.5" thickBot="1">
      <c r="A225" s="50" t="s">
        <v>35</v>
      </c>
      <c r="B225" s="51">
        <f t="shared" si="12"/>
        <v>80</v>
      </c>
      <c r="C225" s="51" t="s">
        <v>3</v>
      </c>
      <c r="D225" s="51">
        <f t="shared" si="13"/>
        <v>300</v>
      </c>
      <c r="E225" s="51" t="s">
        <v>3</v>
      </c>
      <c r="F225" s="110">
        <f t="shared" si="14"/>
        <v>1200</v>
      </c>
      <c r="G225" s="51" t="s">
        <v>3</v>
      </c>
      <c r="H225" s="48">
        <v>4</v>
      </c>
      <c r="I225" s="49" t="s">
        <v>45</v>
      </c>
      <c r="J225" s="184">
        <v>80</v>
      </c>
      <c r="K225" s="113">
        <v>300</v>
      </c>
      <c r="L225" s="113">
        <v>1200</v>
      </c>
      <c r="M225" s="185">
        <v>12.800028846419474</v>
      </c>
      <c r="N225" s="75">
        <v>523.76478907703995</v>
      </c>
      <c r="O225" s="121">
        <v>20706.898944996905</v>
      </c>
      <c r="P225" s="121">
        <v>24031.209917834556</v>
      </c>
      <c r="Q225" s="120">
        <v>15121.139831824277</v>
      </c>
      <c r="R225" s="314">
        <v>35828.03877682118</v>
      </c>
      <c r="S225" s="315">
        <v>39152.349749658832</v>
      </c>
      <c r="U225" s="7" t="s">
        <v>1953</v>
      </c>
    </row>
    <row r="226" spans="1:21" s="74" customFormat="1" ht="16.5" thickBot="1">
      <c r="A226" s="50" t="s">
        <v>35</v>
      </c>
      <c r="B226" s="51">
        <f t="shared" si="12"/>
        <v>80</v>
      </c>
      <c r="C226" s="51" t="s">
        <v>3</v>
      </c>
      <c r="D226" s="51">
        <f t="shared" si="13"/>
        <v>300</v>
      </c>
      <c r="E226" s="51" t="s">
        <v>3</v>
      </c>
      <c r="F226" s="110">
        <f t="shared" si="14"/>
        <v>1250</v>
      </c>
      <c r="G226" s="51" t="s">
        <v>3</v>
      </c>
      <c r="H226" s="48">
        <v>4</v>
      </c>
      <c r="I226" s="49" t="s">
        <v>45</v>
      </c>
      <c r="J226" s="184">
        <v>80</v>
      </c>
      <c r="K226" s="113">
        <v>300</v>
      </c>
      <c r="L226" s="113">
        <v>1250</v>
      </c>
      <c r="M226" s="185">
        <v>13.299221354337368</v>
      </c>
      <c r="N226" s="75">
        <v>554.57448255215991</v>
      </c>
      <c r="O226" s="121">
        <v>21353.650873139366</v>
      </c>
      <c r="P226" s="121">
        <v>24794.401573753992</v>
      </c>
      <c r="Q226" s="120">
        <v>15601.545140081627</v>
      </c>
      <c r="R226" s="314">
        <v>36955.196013220993</v>
      </c>
      <c r="S226" s="315">
        <v>40395.946713835619</v>
      </c>
      <c r="U226" s="7" t="s">
        <v>1954</v>
      </c>
    </row>
    <row r="227" spans="1:21" s="74" customFormat="1" ht="16.5" thickBot="1">
      <c r="A227" s="50" t="s">
        <v>35</v>
      </c>
      <c r="B227" s="51">
        <f t="shared" si="12"/>
        <v>80</v>
      </c>
      <c r="C227" s="51" t="s">
        <v>3</v>
      </c>
      <c r="D227" s="51">
        <f t="shared" si="13"/>
        <v>300</v>
      </c>
      <c r="E227" s="51" t="s">
        <v>3</v>
      </c>
      <c r="F227" s="110">
        <f t="shared" si="14"/>
        <v>1300</v>
      </c>
      <c r="G227" s="51" t="s">
        <v>3</v>
      </c>
      <c r="H227" s="48">
        <v>4</v>
      </c>
      <c r="I227" s="49" t="s">
        <v>45</v>
      </c>
      <c r="J227" s="184">
        <v>80</v>
      </c>
      <c r="K227" s="113">
        <v>300</v>
      </c>
      <c r="L227" s="113">
        <v>1300</v>
      </c>
      <c r="M227" s="185">
        <v>13.798413862255263</v>
      </c>
      <c r="N227" s="75">
        <v>585.38417602727986</v>
      </c>
      <c r="O227" s="121">
        <v>22000.402660888467</v>
      </c>
      <c r="P227" s="121">
        <v>25557.593089280068</v>
      </c>
      <c r="Q227" s="120">
        <v>16312.53208572889</v>
      </c>
      <c r="R227" s="314">
        <v>38312.934746617357</v>
      </c>
      <c r="S227" s="315">
        <v>41870.125175008958</v>
      </c>
      <c r="U227" s="7" t="s">
        <v>1955</v>
      </c>
    </row>
    <row r="228" spans="1:21" s="74" customFormat="1" ht="16.5" thickBot="1">
      <c r="A228" s="50" t="s">
        <v>35</v>
      </c>
      <c r="B228" s="51">
        <f t="shared" si="12"/>
        <v>80</v>
      </c>
      <c r="C228" s="51" t="s">
        <v>3</v>
      </c>
      <c r="D228" s="51">
        <f t="shared" si="13"/>
        <v>300</v>
      </c>
      <c r="E228" s="51" t="s">
        <v>3</v>
      </c>
      <c r="F228" s="110">
        <f t="shared" si="14"/>
        <v>1350</v>
      </c>
      <c r="G228" s="51" t="s">
        <v>3</v>
      </c>
      <c r="H228" s="48">
        <v>4</v>
      </c>
      <c r="I228" s="49" t="s">
        <v>45</v>
      </c>
      <c r="J228" s="184">
        <v>80</v>
      </c>
      <c r="K228" s="113">
        <v>300</v>
      </c>
      <c r="L228" s="113">
        <v>1350</v>
      </c>
      <c r="M228" s="185">
        <v>14.297606370173156</v>
      </c>
      <c r="N228" s="75">
        <v>616.19386950239993</v>
      </c>
      <c r="O228" s="121">
        <v>22647.154589030928</v>
      </c>
      <c r="P228" s="121">
        <v>26320.784745199504</v>
      </c>
      <c r="Q228" s="120">
        <v>16792.937253592878</v>
      </c>
      <c r="R228" s="314">
        <v>39440.091842623806</v>
      </c>
      <c r="S228" s="315">
        <v>43113.721998792382</v>
      </c>
      <c r="U228" s="7" t="s">
        <v>1956</v>
      </c>
    </row>
    <row r="229" spans="1:21" s="74" customFormat="1" ht="16.5" thickBot="1">
      <c r="A229" s="50" t="s">
        <v>35</v>
      </c>
      <c r="B229" s="51">
        <f t="shared" si="12"/>
        <v>80</v>
      </c>
      <c r="C229" s="51" t="s">
        <v>3</v>
      </c>
      <c r="D229" s="51">
        <f t="shared" si="13"/>
        <v>300</v>
      </c>
      <c r="E229" s="51" t="s">
        <v>3</v>
      </c>
      <c r="F229" s="110">
        <f t="shared" si="14"/>
        <v>1400</v>
      </c>
      <c r="G229" s="51" t="s">
        <v>3</v>
      </c>
      <c r="H229" s="48">
        <v>4</v>
      </c>
      <c r="I229" s="49" t="s">
        <v>45</v>
      </c>
      <c r="J229" s="184">
        <v>80</v>
      </c>
      <c r="K229" s="113">
        <v>300</v>
      </c>
      <c r="L229" s="113">
        <v>1400</v>
      </c>
      <c r="M229" s="185">
        <v>14.796798878091051</v>
      </c>
      <c r="N229" s="75">
        <v>647.00356297752001</v>
      </c>
      <c r="O229" s="121">
        <v>23293.906517173393</v>
      </c>
      <c r="P229" s="121">
        <v>27083.976401118944</v>
      </c>
      <c r="Q229" s="120">
        <v>17503.924339633504</v>
      </c>
      <c r="R229" s="314">
        <v>40797.830856806897</v>
      </c>
      <c r="S229" s="315">
        <v>44587.900740752448</v>
      </c>
      <c r="U229" s="7" t="s">
        <v>1957</v>
      </c>
    </row>
    <row r="230" spans="1:21" s="74" customFormat="1" ht="16.5" thickBot="1">
      <c r="A230" s="50" t="s">
        <v>35</v>
      </c>
      <c r="B230" s="51">
        <f t="shared" si="12"/>
        <v>80</v>
      </c>
      <c r="C230" s="51" t="s">
        <v>3</v>
      </c>
      <c r="D230" s="51">
        <f t="shared" si="13"/>
        <v>300</v>
      </c>
      <c r="E230" s="51" t="s">
        <v>3</v>
      </c>
      <c r="F230" s="110">
        <f t="shared" si="14"/>
        <v>1450</v>
      </c>
      <c r="G230" s="51" t="s">
        <v>3</v>
      </c>
      <c r="H230" s="48">
        <v>4</v>
      </c>
      <c r="I230" s="49" t="s">
        <v>45</v>
      </c>
      <c r="J230" s="184">
        <v>80</v>
      </c>
      <c r="K230" s="113">
        <v>300</v>
      </c>
      <c r="L230" s="113">
        <v>1450</v>
      </c>
      <c r="M230" s="185">
        <v>15.295991386008948</v>
      </c>
      <c r="N230" s="75">
        <v>677.81325645263996</v>
      </c>
      <c r="O230" s="121">
        <v>23940.658445315854</v>
      </c>
      <c r="P230" s="121">
        <v>27847.16805703838</v>
      </c>
      <c r="Q230" s="120">
        <v>17984.32950749735</v>
      </c>
      <c r="R230" s="314">
        <v>41924.987952813201</v>
      </c>
      <c r="S230" s="315">
        <v>45831.497564535734</v>
      </c>
      <c r="U230" s="7" t="s">
        <v>1958</v>
      </c>
    </row>
    <row r="231" spans="1:21" s="74" customFormat="1" ht="16.5" thickBot="1">
      <c r="A231" s="50" t="s">
        <v>35</v>
      </c>
      <c r="B231" s="51">
        <f t="shared" si="12"/>
        <v>80</v>
      </c>
      <c r="C231" s="51" t="s">
        <v>3</v>
      </c>
      <c r="D231" s="51">
        <f t="shared" si="13"/>
        <v>300</v>
      </c>
      <c r="E231" s="51" t="s">
        <v>3</v>
      </c>
      <c r="F231" s="110">
        <f t="shared" si="14"/>
        <v>1500</v>
      </c>
      <c r="G231" s="51" t="s">
        <v>3</v>
      </c>
      <c r="H231" s="48">
        <v>4</v>
      </c>
      <c r="I231" s="49" t="s">
        <v>45</v>
      </c>
      <c r="J231" s="184">
        <v>80</v>
      </c>
      <c r="K231" s="113">
        <v>300</v>
      </c>
      <c r="L231" s="113">
        <v>1500</v>
      </c>
      <c r="M231" s="185">
        <v>15.939748786726842</v>
      </c>
      <c r="N231" s="75">
        <v>708.62294992775992</v>
      </c>
      <c r="O231" s="121">
        <v>25266.05756766034</v>
      </c>
      <c r="P231" s="121">
        <v>29204.785490569546</v>
      </c>
      <c r="Q231" s="120">
        <v>18695.316593538118</v>
      </c>
      <c r="R231" s="314">
        <v>43961.374161198459</v>
      </c>
      <c r="S231" s="315">
        <v>47900.102084107668</v>
      </c>
      <c r="U231" s="7" t="s">
        <v>1959</v>
      </c>
    </row>
    <row r="232" spans="1:21" s="74" customFormat="1" ht="16.5" thickBot="1">
      <c r="A232" s="50" t="s">
        <v>35</v>
      </c>
      <c r="B232" s="51">
        <f t="shared" si="12"/>
        <v>80</v>
      </c>
      <c r="C232" s="51" t="s">
        <v>3</v>
      </c>
      <c r="D232" s="51">
        <f t="shared" si="13"/>
        <v>300</v>
      </c>
      <c r="E232" s="51" t="s">
        <v>3</v>
      </c>
      <c r="F232" s="110">
        <f t="shared" si="14"/>
        <v>1550</v>
      </c>
      <c r="G232" s="51" t="s">
        <v>3</v>
      </c>
      <c r="H232" s="48">
        <v>4</v>
      </c>
      <c r="I232" s="49" t="s">
        <v>45</v>
      </c>
      <c r="J232" s="184">
        <v>80</v>
      </c>
      <c r="K232" s="113">
        <v>300</v>
      </c>
      <c r="L232" s="113">
        <v>1550</v>
      </c>
      <c r="M232" s="185">
        <v>16.438941294644735</v>
      </c>
      <c r="N232" s="75">
        <v>739.43264340287988</v>
      </c>
      <c r="O232" s="121">
        <v>25912.809495802805</v>
      </c>
      <c r="P232" s="121">
        <v>29967.977006095618</v>
      </c>
      <c r="Q232" s="120">
        <v>19175.721761402103</v>
      </c>
      <c r="R232" s="314">
        <v>45088.531257204908</v>
      </c>
      <c r="S232" s="315">
        <v>49143.698767497721</v>
      </c>
      <c r="U232" s="7" t="s">
        <v>1960</v>
      </c>
    </row>
    <row r="233" spans="1:21" s="74" customFormat="1" ht="16.5" thickBot="1">
      <c r="A233" s="47" t="s">
        <v>35</v>
      </c>
      <c r="B233" s="48">
        <f t="shared" si="12"/>
        <v>80</v>
      </c>
      <c r="C233" s="48" t="s">
        <v>3</v>
      </c>
      <c r="D233" s="48">
        <f t="shared" si="13"/>
        <v>300</v>
      </c>
      <c r="E233" s="48" t="s">
        <v>3</v>
      </c>
      <c r="F233" s="110">
        <f t="shared" si="14"/>
        <v>1600</v>
      </c>
      <c r="G233" s="48" t="s">
        <v>3</v>
      </c>
      <c r="H233" s="48">
        <v>4</v>
      </c>
      <c r="I233" s="49" t="s">
        <v>45</v>
      </c>
      <c r="J233" s="184">
        <v>80</v>
      </c>
      <c r="K233" s="113">
        <v>300</v>
      </c>
      <c r="L233" s="113">
        <v>1600</v>
      </c>
      <c r="M233" s="185">
        <v>16.938133802562632</v>
      </c>
      <c r="N233" s="75">
        <v>770.24233687799995</v>
      </c>
      <c r="O233" s="121">
        <v>26559.561423945266</v>
      </c>
      <c r="P233" s="121">
        <v>30731.168662015058</v>
      </c>
      <c r="Q233" s="120">
        <v>19656.126929266091</v>
      </c>
      <c r="R233" s="314">
        <v>46215.688353211357</v>
      </c>
      <c r="S233" s="315">
        <v>50387.295591281145</v>
      </c>
      <c r="U233" s="7" t="s">
        <v>1961</v>
      </c>
    </row>
    <row r="234" spans="1:21" s="74" customFormat="1" ht="16.5" thickBot="1">
      <c r="A234" s="50" t="s">
        <v>35</v>
      </c>
      <c r="B234" s="51">
        <f t="shared" si="12"/>
        <v>80</v>
      </c>
      <c r="C234" s="51" t="s">
        <v>3</v>
      </c>
      <c r="D234" s="51">
        <f t="shared" si="13"/>
        <v>300</v>
      </c>
      <c r="E234" s="51" t="s">
        <v>3</v>
      </c>
      <c r="F234" s="110">
        <f t="shared" si="14"/>
        <v>1650</v>
      </c>
      <c r="G234" s="51" t="s">
        <v>3</v>
      </c>
      <c r="H234" s="48">
        <v>4</v>
      </c>
      <c r="I234" s="49" t="s">
        <v>45</v>
      </c>
      <c r="J234" s="184">
        <v>80</v>
      </c>
      <c r="K234" s="113">
        <v>300</v>
      </c>
      <c r="L234" s="113">
        <v>1650</v>
      </c>
      <c r="M234" s="185">
        <v>17.437326310480525</v>
      </c>
      <c r="N234" s="75">
        <v>801.0520303531199</v>
      </c>
      <c r="O234" s="121">
        <v>27206.313211694367</v>
      </c>
      <c r="P234" s="121">
        <v>31494.360317934494</v>
      </c>
      <c r="Q234" s="120">
        <v>20367.114015306717</v>
      </c>
      <c r="R234" s="314">
        <v>47573.427227001084</v>
      </c>
      <c r="S234" s="315">
        <v>51861.474333241211</v>
      </c>
      <c r="U234" s="7" t="s">
        <v>1962</v>
      </c>
    </row>
    <row r="235" spans="1:21" s="74" customFormat="1" ht="16.5" thickBot="1">
      <c r="A235" s="50" t="s">
        <v>35</v>
      </c>
      <c r="B235" s="51">
        <f t="shared" si="12"/>
        <v>80</v>
      </c>
      <c r="C235" s="51" t="s">
        <v>3</v>
      </c>
      <c r="D235" s="51">
        <f t="shared" si="13"/>
        <v>300</v>
      </c>
      <c r="E235" s="51" t="s">
        <v>3</v>
      </c>
      <c r="F235" s="110">
        <f t="shared" si="14"/>
        <v>1700</v>
      </c>
      <c r="G235" s="51" t="s">
        <v>3</v>
      </c>
      <c r="H235" s="48">
        <v>4</v>
      </c>
      <c r="I235" s="49" t="s">
        <v>45</v>
      </c>
      <c r="J235" s="184">
        <v>80</v>
      </c>
      <c r="K235" s="113">
        <v>300</v>
      </c>
      <c r="L235" s="113">
        <v>1700</v>
      </c>
      <c r="M235" s="185">
        <v>17.936518818398422</v>
      </c>
      <c r="N235" s="75">
        <v>831.86172382823997</v>
      </c>
      <c r="O235" s="121">
        <v>27853.065139836832</v>
      </c>
      <c r="P235" s="121">
        <v>32257.55197385393</v>
      </c>
      <c r="Q235" s="120">
        <v>20847.519183170705</v>
      </c>
      <c r="R235" s="314">
        <v>48700.584323007541</v>
      </c>
      <c r="S235" s="315">
        <v>53105.071157024635</v>
      </c>
      <c r="U235" s="7" t="s">
        <v>1963</v>
      </c>
    </row>
    <row r="236" spans="1:21" s="74" customFormat="1" ht="16.5" thickBot="1">
      <c r="A236" s="50" t="s">
        <v>35</v>
      </c>
      <c r="B236" s="51">
        <f t="shared" si="12"/>
        <v>80</v>
      </c>
      <c r="C236" s="51" t="s">
        <v>3</v>
      </c>
      <c r="D236" s="51">
        <f t="shared" si="13"/>
        <v>300</v>
      </c>
      <c r="E236" s="51" t="s">
        <v>3</v>
      </c>
      <c r="F236" s="110">
        <f t="shared" si="14"/>
        <v>1750</v>
      </c>
      <c r="G236" s="51" t="s">
        <v>3</v>
      </c>
      <c r="H236" s="48">
        <v>4</v>
      </c>
      <c r="I236" s="49" t="s">
        <v>45</v>
      </c>
      <c r="J236" s="184">
        <v>80</v>
      </c>
      <c r="K236" s="113">
        <v>300</v>
      </c>
      <c r="L236" s="113">
        <v>1750</v>
      </c>
      <c r="M236" s="185">
        <v>18.435711326316316</v>
      </c>
      <c r="N236" s="75">
        <v>862.67141730335982</v>
      </c>
      <c r="O236" s="121">
        <v>28499.817067979293</v>
      </c>
      <c r="P236" s="121">
        <v>33020.743629773373</v>
      </c>
      <c r="Q236" s="120">
        <v>21558.506269211328</v>
      </c>
      <c r="R236" s="314">
        <v>50058.323337190624</v>
      </c>
      <c r="S236" s="315">
        <v>54579.249898984701</v>
      </c>
      <c r="U236" s="7" t="s">
        <v>1964</v>
      </c>
    </row>
    <row r="237" spans="1:21" s="74" customFormat="1" ht="16.5" thickBot="1">
      <c r="A237" s="50" t="s">
        <v>35</v>
      </c>
      <c r="B237" s="51">
        <f t="shared" si="12"/>
        <v>80</v>
      </c>
      <c r="C237" s="51" t="s">
        <v>3</v>
      </c>
      <c r="D237" s="51">
        <f t="shared" si="13"/>
        <v>300</v>
      </c>
      <c r="E237" s="51" t="s">
        <v>3</v>
      </c>
      <c r="F237" s="110">
        <f t="shared" si="14"/>
        <v>1800</v>
      </c>
      <c r="G237" s="51" t="s">
        <v>3</v>
      </c>
      <c r="H237" s="48">
        <v>4</v>
      </c>
      <c r="I237" s="49" t="s">
        <v>45</v>
      </c>
      <c r="J237" s="184">
        <v>80</v>
      </c>
      <c r="K237" s="113">
        <v>300</v>
      </c>
      <c r="L237" s="113">
        <v>1800</v>
      </c>
      <c r="M237" s="185">
        <v>18.934903834234209</v>
      </c>
      <c r="N237" s="75">
        <v>893.48111077847989</v>
      </c>
      <c r="O237" s="121">
        <v>29146.568996121758</v>
      </c>
      <c r="P237" s="121">
        <v>33783.935285692671</v>
      </c>
      <c r="Q237" s="120">
        <v>22038.911437075316</v>
      </c>
      <c r="R237" s="314">
        <v>51185.480433197074</v>
      </c>
      <c r="S237" s="315">
        <v>55822.846722767987</v>
      </c>
      <c r="U237" s="7" t="s">
        <v>1965</v>
      </c>
    </row>
    <row r="238" spans="1:21" s="74" customFormat="1" ht="16.5" thickBot="1">
      <c r="A238" s="50" t="s">
        <v>35</v>
      </c>
      <c r="B238" s="51">
        <f t="shared" si="12"/>
        <v>80</v>
      </c>
      <c r="C238" s="51" t="s">
        <v>3</v>
      </c>
      <c r="D238" s="51">
        <f t="shared" si="13"/>
        <v>300</v>
      </c>
      <c r="E238" s="51" t="s">
        <v>3</v>
      </c>
      <c r="F238" s="110">
        <f t="shared" si="14"/>
        <v>1850</v>
      </c>
      <c r="G238" s="51" t="s">
        <v>3</v>
      </c>
      <c r="H238" s="48">
        <v>4</v>
      </c>
      <c r="I238" s="49" t="s">
        <v>45</v>
      </c>
      <c r="J238" s="184">
        <v>80</v>
      </c>
      <c r="K238" s="113">
        <v>300</v>
      </c>
      <c r="L238" s="113">
        <v>1850</v>
      </c>
      <c r="M238" s="185">
        <v>19.434096342152106</v>
      </c>
      <c r="N238" s="75">
        <v>924.29080425359984</v>
      </c>
      <c r="O238" s="121">
        <v>29793.320924264219</v>
      </c>
      <c r="P238" s="121">
        <v>34547.126801218881</v>
      </c>
      <c r="Q238" s="120">
        <v>22749.898382722578</v>
      </c>
      <c r="R238" s="314">
        <v>52543.219306986794</v>
      </c>
      <c r="S238" s="315">
        <v>57297.025183941456</v>
      </c>
      <c r="U238" s="7" t="s">
        <v>1966</v>
      </c>
    </row>
    <row r="239" spans="1:21" s="74" customFormat="1" ht="16.5" thickBot="1">
      <c r="A239" s="50" t="s">
        <v>35</v>
      </c>
      <c r="B239" s="51">
        <f t="shared" si="12"/>
        <v>80</v>
      </c>
      <c r="C239" s="51" t="s">
        <v>3</v>
      </c>
      <c r="D239" s="51">
        <f t="shared" si="13"/>
        <v>300</v>
      </c>
      <c r="E239" s="51" t="s">
        <v>3</v>
      </c>
      <c r="F239" s="110">
        <f t="shared" si="14"/>
        <v>1900</v>
      </c>
      <c r="G239" s="51" t="s">
        <v>3</v>
      </c>
      <c r="H239" s="48">
        <v>4</v>
      </c>
      <c r="I239" s="49" t="s">
        <v>45</v>
      </c>
      <c r="J239" s="184">
        <v>80</v>
      </c>
      <c r="K239" s="113">
        <v>300</v>
      </c>
      <c r="L239" s="113">
        <v>1900</v>
      </c>
      <c r="M239" s="185">
        <v>19.933288850069999</v>
      </c>
      <c r="N239" s="75">
        <v>955.10049772871992</v>
      </c>
      <c r="O239" s="121">
        <v>30440.07271201332</v>
      </c>
      <c r="P239" s="121">
        <v>35310.318457138317</v>
      </c>
      <c r="Q239" s="120">
        <v>23230.30369097993</v>
      </c>
      <c r="R239" s="314">
        <v>53670.37640299325</v>
      </c>
      <c r="S239" s="315">
        <v>58540.622148118244</v>
      </c>
      <c r="U239" s="7" t="s">
        <v>1967</v>
      </c>
    </row>
    <row r="240" spans="1:21" s="74" customFormat="1" ht="16.5" thickBot="1">
      <c r="A240" s="50" t="s">
        <v>35</v>
      </c>
      <c r="B240" s="51">
        <f t="shared" si="12"/>
        <v>80</v>
      </c>
      <c r="C240" s="51" t="s">
        <v>3</v>
      </c>
      <c r="D240" s="51">
        <f t="shared" si="13"/>
        <v>300</v>
      </c>
      <c r="E240" s="51" t="s">
        <v>3</v>
      </c>
      <c r="F240" s="110">
        <f t="shared" si="14"/>
        <v>1950</v>
      </c>
      <c r="G240" s="51" t="s">
        <v>3</v>
      </c>
      <c r="H240" s="48">
        <v>4</v>
      </c>
      <c r="I240" s="49" t="s">
        <v>45</v>
      </c>
      <c r="J240" s="184">
        <v>80</v>
      </c>
      <c r="K240" s="113">
        <v>300</v>
      </c>
      <c r="L240" s="113">
        <v>1950</v>
      </c>
      <c r="M240" s="185">
        <v>20.510981357987895</v>
      </c>
      <c r="N240" s="75">
        <v>985.91019120383999</v>
      </c>
      <c r="O240" s="121">
        <v>31163.979076057916</v>
      </c>
      <c r="P240" s="121">
        <v>36148.312819744657</v>
      </c>
      <c r="Q240" s="120">
        <v>23710.708858843918</v>
      </c>
      <c r="R240" s="314">
        <v>54874.687934901835</v>
      </c>
      <c r="S240" s="315">
        <v>59859.021678588571</v>
      </c>
      <c r="U240" s="7" t="s">
        <v>1968</v>
      </c>
    </row>
    <row r="241" spans="1:21" s="74" customFormat="1" ht="16.5" thickBot="1">
      <c r="A241" s="50" t="s">
        <v>35</v>
      </c>
      <c r="B241" s="51">
        <f t="shared" si="12"/>
        <v>80</v>
      </c>
      <c r="C241" s="51" t="s">
        <v>3</v>
      </c>
      <c r="D241" s="51">
        <f t="shared" si="13"/>
        <v>300</v>
      </c>
      <c r="E241" s="51" t="s">
        <v>3</v>
      </c>
      <c r="F241" s="110">
        <f t="shared" si="14"/>
        <v>2000</v>
      </c>
      <c r="G241" s="51" t="s">
        <v>3</v>
      </c>
      <c r="H241" s="48">
        <v>4</v>
      </c>
      <c r="I241" s="49" t="s">
        <v>45</v>
      </c>
      <c r="J241" s="184">
        <v>80</v>
      </c>
      <c r="K241" s="113">
        <v>300</v>
      </c>
      <c r="L241" s="113">
        <v>2000</v>
      </c>
      <c r="M241" s="185">
        <v>21.101736265905789</v>
      </c>
      <c r="N241" s="75">
        <v>1016.7198846789598</v>
      </c>
      <c r="O241" s="121">
        <v>32041.273893022244</v>
      </c>
      <c r="P241" s="121">
        <v>37212.815025541247</v>
      </c>
      <c r="Q241" s="120">
        <v>24421.695804491177</v>
      </c>
      <c r="R241" s="314">
        <v>56462.969697513421</v>
      </c>
      <c r="S241" s="315">
        <v>61634.510830032421</v>
      </c>
      <c r="U241" s="7" t="s">
        <v>1969</v>
      </c>
    </row>
    <row r="242" spans="1:21" s="74" customFormat="1" ht="16.5" thickBot="1">
      <c r="A242" s="50" t="s">
        <v>35</v>
      </c>
      <c r="B242" s="51">
        <f t="shared" si="12"/>
        <v>80</v>
      </c>
      <c r="C242" s="51" t="s">
        <v>3</v>
      </c>
      <c r="D242" s="51">
        <f t="shared" si="13"/>
        <v>300</v>
      </c>
      <c r="E242" s="51" t="s">
        <v>3</v>
      </c>
      <c r="F242" s="110">
        <f t="shared" si="14"/>
        <v>2050</v>
      </c>
      <c r="G242" s="51" t="s">
        <v>3</v>
      </c>
      <c r="H242" s="48">
        <v>4</v>
      </c>
      <c r="I242" s="49" t="s">
        <v>45</v>
      </c>
      <c r="J242" s="184">
        <v>80</v>
      </c>
      <c r="K242" s="113">
        <v>300</v>
      </c>
      <c r="L242" s="113">
        <v>2050</v>
      </c>
      <c r="M242" s="185">
        <v>21.600928773823682</v>
      </c>
      <c r="N242" s="75">
        <v>1047.5295781540799</v>
      </c>
      <c r="O242" s="121">
        <v>32688.025821164705</v>
      </c>
      <c r="P242" s="121">
        <v>37976.006681460683</v>
      </c>
      <c r="Q242" s="120">
        <v>24902.101112748529</v>
      </c>
      <c r="R242" s="314">
        <v>57590.126933913234</v>
      </c>
      <c r="S242" s="315">
        <v>62878.107794209209</v>
      </c>
      <c r="U242" s="7" t="s">
        <v>1970</v>
      </c>
    </row>
    <row r="243" spans="1:21" s="74" customFormat="1" ht="16.5" thickBot="1">
      <c r="A243" s="47" t="s">
        <v>35</v>
      </c>
      <c r="B243" s="48">
        <f t="shared" si="12"/>
        <v>80</v>
      </c>
      <c r="C243" s="48" t="s">
        <v>3</v>
      </c>
      <c r="D243" s="48">
        <f t="shared" si="13"/>
        <v>300</v>
      </c>
      <c r="E243" s="48" t="s">
        <v>3</v>
      </c>
      <c r="F243" s="110">
        <f t="shared" si="14"/>
        <v>2100</v>
      </c>
      <c r="G243" s="48" t="s">
        <v>3</v>
      </c>
      <c r="H243" s="48">
        <v>4</v>
      </c>
      <c r="I243" s="49" t="s">
        <v>45</v>
      </c>
      <c r="J243" s="184">
        <v>80</v>
      </c>
      <c r="K243" s="113">
        <v>300</v>
      </c>
      <c r="L243" s="113">
        <v>2100</v>
      </c>
      <c r="M243" s="185">
        <v>22.100121281741576</v>
      </c>
      <c r="N243" s="75">
        <v>1078.3392716291999</v>
      </c>
      <c r="O243" s="121">
        <v>33334.77774930717</v>
      </c>
      <c r="P243" s="121">
        <v>38739.198196986763</v>
      </c>
      <c r="Q243" s="120">
        <v>25613.088058395791</v>
      </c>
      <c r="R243" s="314">
        <v>58947.865807702961</v>
      </c>
      <c r="S243" s="315">
        <v>64352.286255382554</v>
      </c>
      <c r="U243" s="7" t="s">
        <v>1971</v>
      </c>
    </row>
    <row r="244" spans="1:21" s="74" customFormat="1" ht="16.5" thickBot="1">
      <c r="A244" s="50" t="s">
        <v>35</v>
      </c>
      <c r="B244" s="51">
        <f t="shared" si="12"/>
        <v>80</v>
      </c>
      <c r="C244" s="51" t="s">
        <v>3</v>
      </c>
      <c r="D244" s="51">
        <f t="shared" si="13"/>
        <v>300</v>
      </c>
      <c r="E244" s="51" t="s">
        <v>3</v>
      </c>
      <c r="F244" s="110">
        <f t="shared" si="14"/>
        <v>2150</v>
      </c>
      <c r="G244" s="51" t="s">
        <v>3</v>
      </c>
      <c r="H244" s="48">
        <v>4</v>
      </c>
      <c r="I244" s="49" t="s">
        <v>45</v>
      </c>
      <c r="J244" s="184">
        <v>80</v>
      </c>
      <c r="K244" s="113">
        <v>300</v>
      </c>
      <c r="L244" s="113">
        <v>2150</v>
      </c>
      <c r="M244" s="185">
        <v>22.599313789659472</v>
      </c>
      <c r="N244" s="75">
        <v>1109.1489651043198</v>
      </c>
      <c r="O244" s="121">
        <v>33981.529677449631</v>
      </c>
      <c r="P244" s="121">
        <v>39502.389852906192</v>
      </c>
      <c r="Q244" s="120">
        <v>26093.493366653143</v>
      </c>
      <c r="R244" s="314">
        <v>60075.023044102774</v>
      </c>
      <c r="S244" s="315">
        <v>65595.883219559328</v>
      </c>
      <c r="U244" s="7" t="s">
        <v>1972</v>
      </c>
    </row>
    <row r="245" spans="1:21" s="74" customFormat="1" ht="16.5" thickBot="1">
      <c r="A245" s="50" t="s">
        <v>35</v>
      </c>
      <c r="B245" s="51">
        <f t="shared" si="12"/>
        <v>80</v>
      </c>
      <c r="C245" s="51" t="s">
        <v>3</v>
      </c>
      <c r="D245" s="51">
        <f t="shared" si="13"/>
        <v>300</v>
      </c>
      <c r="E245" s="51" t="s">
        <v>3</v>
      </c>
      <c r="F245" s="110">
        <f t="shared" si="14"/>
        <v>2200</v>
      </c>
      <c r="G245" s="51" t="s">
        <v>3</v>
      </c>
      <c r="H245" s="48">
        <v>4</v>
      </c>
      <c r="I245" s="49" t="s">
        <v>45</v>
      </c>
      <c r="J245" s="184">
        <v>80</v>
      </c>
      <c r="K245" s="113">
        <v>300</v>
      </c>
      <c r="L245" s="113">
        <v>2200</v>
      </c>
      <c r="M245" s="185">
        <v>23.098506297577369</v>
      </c>
      <c r="N245" s="75">
        <v>1139.95865857944</v>
      </c>
      <c r="O245" s="121">
        <v>34628.281605592099</v>
      </c>
      <c r="P245" s="121">
        <v>40265.581508825628</v>
      </c>
      <c r="Q245" s="120">
        <v>26804.480312300402</v>
      </c>
      <c r="R245" s="314">
        <v>61432.761917892502</v>
      </c>
      <c r="S245" s="315">
        <v>67070.06182112603</v>
      </c>
      <c r="U245" s="7" t="s">
        <v>1973</v>
      </c>
    </row>
    <row r="246" spans="1:21" s="74" customFormat="1" ht="16.5" thickBot="1">
      <c r="A246" s="50" t="s">
        <v>35</v>
      </c>
      <c r="B246" s="51">
        <f t="shared" si="12"/>
        <v>80</v>
      </c>
      <c r="C246" s="51" t="s">
        <v>3</v>
      </c>
      <c r="D246" s="51">
        <f t="shared" si="13"/>
        <v>300</v>
      </c>
      <c r="E246" s="51" t="s">
        <v>3</v>
      </c>
      <c r="F246" s="110">
        <f t="shared" si="14"/>
        <v>2250</v>
      </c>
      <c r="G246" s="51" t="s">
        <v>3</v>
      </c>
      <c r="H246" s="48">
        <v>4</v>
      </c>
      <c r="I246" s="49" t="s">
        <v>45</v>
      </c>
      <c r="J246" s="184">
        <v>80</v>
      </c>
      <c r="K246" s="113">
        <v>300</v>
      </c>
      <c r="L246" s="113">
        <v>2250</v>
      </c>
      <c r="M246" s="185">
        <v>23.597698805495263</v>
      </c>
      <c r="N246" s="75">
        <v>1170.7683520545597</v>
      </c>
      <c r="O246" s="121">
        <v>35275.033393341197</v>
      </c>
      <c r="P246" s="121">
        <v>41028.773164745071</v>
      </c>
      <c r="Q246" s="120">
        <v>27284.885480164394</v>
      </c>
      <c r="R246" s="314">
        <v>62559.918873505594</v>
      </c>
      <c r="S246" s="315">
        <v>68313.658644909461</v>
      </c>
      <c r="U246" s="7" t="s">
        <v>1974</v>
      </c>
    </row>
    <row r="247" spans="1:21" s="74" customFormat="1" ht="16.5" thickBot="1">
      <c r="A247" s="50" t="s">
        <v>35</v>
      </c>
      <c r="B247" s="51">
        <f t="shared" si="12"/>
        <v>80</v>
      </c>
      <c r="C247" s="51" t="s">
        <v>3</v>
      </c>
      <c r="D247" s="51">
        <f t="shared" si="13"/>
        <v>300</v>
      </c>
      <c r="E247" s="51" t="s">
        <v>3</v>
      </c>
      <c r="F247" s="110">
        <f t="shared" si="14"/>
        <v>2300</v>
      </c>
      <c r="G247" s="51" t="s">
        <v>3</v>
      </c>
      <c r="H247" s="48">
        <v>4</v>
      </c>
      <c r="I247" s="49" t="s">
        <v>45</v>
      </c>
      <c r="J247" s="184">
        <v>80</v>
      </c>
      <c r="K247" s="113">
        <v>300</v>
      </c>
      <c r="L247" s="113">
        <v>2300</v>
      </c>
      <c r="M247" s="185">
        <v>24.09689131341316</v>
      </c>
      <c r="N247" s="75">
        <v>1201.5780455296799</v>
      </c>
      <c r="O247" s="121">
        <v>35921.785321483658</v>
      </c>
      <c r="P247" s="121">
        <v>41791.964820664507</v>
      </c>
      <c r="Q247" s="120">
        <v>27765.290788421746</v>
      </c>
      <c r="R247" s="314">
        <v>63687.076109905407</v>
      </c>
      <c r="S247" s="315">
        <v>69557.255609086249</v>
      </c>
      <c r="U247" s="7" t="s">
        <v>1975</v>
      </c>
    </row>
    <row r="248" spans="1:21" s="74" customFormat="1" ht="16.5" thickBot="1">
      <c r="A248" s="50" t="s">
        <v>35</v>
      </c>
      <c r="B248" s="51">
        <f t="shared" si="12"/>
        <v>80</v>
      </c>
      <c r="C248" s="51" t="s">
        <v>3</v>
      </c>
      <c r="D248" s="51">
        <f t="shared" si="13"/>
        <v>300</v>
      </c>
      <c r="E248" s="51" t="s">
        <v>3</v>
      </c>
      <c r="F248" s="110">
        <f t="shared" si="14"/>
        <v>2350</v>
      </c>
      <c r="G248" s="51" t="s">
        <v>3</v>
      </c>
      <c r="H248" s="48">
        <v>4</v>
      </c>
      <c r="I248" s="49" t="s">
        <v>45</v>
      </c>
      <c r="J248" s="184">
        <v>80</v>
      </c>
      <c r="K248" s="113">
        <v>300</v>
      </c>
      <c r="L248" s="113">
        <v>2350</v>
      </c>
      <c r="M248" s="185">
        <v>24.596083821331057</v>
      </c>
      <c r="N248" s="75">
        <v>1232.3877390047999</v>
      </c>
      <c r="O248" s="121">
        <v>36568.537249626119</v>
      </c>
      <c r="P248" s="121">
        <v>42555.15647658395</v>
      </c>
      <c r="Q248" s="120">
        <v>28476.277734069005</v>
      </c>
      <c r="R248" s="314">
        <v>65044.81498369512</v>
      </c>
      <c r="S248" s="315">
        <v>71031.434210652951</v>
      </c>
      <c r="U248" s="7" t="s">
        <v>1976</v>
      </c>
    </row>
    <row r="249" spans="1:21" s="74" customFormat="1" ht="16.5" thickBot="1">
      <c r="A249" s="50" t="s">
        <v>35</v>
      </c>
      <c r="B249" s="51">
        <f t="shared" si="12"/>
        <v>80</v>
      </c>
      <c r="C249" s="51" t="s">
        <v>3</v>
      </c>
      <c r="D249" s="51">
        <f t="shared" si="13"/>
        <v>300</v>
      </c>
      <c r="E249" s="51" t="s">
        <v>3</v>
      </c>
      <c r="F249" s="110">
        <f t="shared" si="14"/>
        <v>2400</v>
      </c>
      <c r="G249" s="51" t="s">
        <v>3</v>
      </c>
      <c r="H249" s="48">
        <v>4</v>
      </c>
      <c r="I249" s="49" t="s">
        <v>45</v>
      </c>
      <c r="J249" s="184">
        <v>80</v>
      </c>
      <c r="K249" s="113">
        <v>300</v>
      </c>
      <c r="L249" s="113">
        <v>2400</v>
      </c>
      <c r="M249" s="185">
        <v>25.095276329248946</v>
      </c>
      <c r="N249" s="75">
        <v>1263.1974324799198</v>
      </c>
      <c r="O249" s="121">
        <v>37215.28917776858</v>
      </c>
      <c r="P249" s="121">
        <v>43318.347992110022</v>
      </c>
      <c r="Q249" s="120">
        <v>28956.682901932996</v>
      </c>
      <c r="R249" s="314">
        <v>66171.972079701576</v>
      </c>
      <c r="S249" s="315">
        <v>72275.030894043011</v>
      </c>
      <c r="U249" s="7" t="s">
        <v>1977</v>
      </c>
    </row>
    <row r="250" spans="1:21" s="74" customFormat="1" ht="16.5" thickBot="1">
      <c r="A250" s="50" t="s">
        <v>35</v>
      </c>
      <c r="B250" s="51">
        <f t="shared" si="12"/>
        <v>80</v>
      </c>
      <c r="C250" s="51" t="s">
        <v>3</v>
      </c>
      <c r="D250" s="51">
        <f t="shared" si="13"/>
        <v>300</v>
      </c>
      <c r="E250" s="51" t="s">
        <v>3</v>
      </c>
      <c r="F250" s="110">
        <f t="shared" si="14"/>
        <v>2450</v>
      </c>
      <c r="G250" s="51" t="s">
        <v>3</v>
      </c>
      <c r="H250" s="48">
        <v>4</v>
      </c>
      <c r="I250" s="49" t="s">
        <v>45</v>
      </c>
      <c r="J250" s="184">
        <v>80</v>
      </c>
      <c r="K250" s="113">
        <v>300</v>
      </c>
      <c r="L250" s="113">
        <v>2450</v>
      </c>
      <c r="M250" s="185">
        <v>25.739033729966842</v>
      </c>
      <c r="N250" s="75">
        <v>1294.00712595504</v>
      </c>
      <c r="O250" s="121">
        <v>38540.68830011307</v>
      </c>
      <c r="P250" s="121">
        <v>44675.965425641189</v>
      </c>
      <c r="Q250" s="120">
        <v>29667.669987973619</v>
      </c>
      <c r="R250" s="314">
        <v>68208.358288086689</v>
      </c>
      <c r="S250" s="315">
        <v>74343.6354136148</v>
      </c>
      <c r="U250" s="7" t="s">
        <v>1978</v>
      </c>
    </row>
    <row r="251" spans="1:21" s="74" customFormat="1" ht="16.5" thickBot="1">
      <c r="A251" s="50" t="s">
        <v>35</v>
      </c>
      <c r="B251" s="51">
        <f t="shared" si="12"/>
        <v>80</v>
      </c>
      <c r="C251" s="51" t="s">
        <v>3</v>
      </c>
      <c r="D251" s="51">
        <f t="shared" si="13"/>
        <v>300</v>
      </c>
      <c r="E251" s="51" t="s">
        <v>3</v>
      </c>
      <c r="F251" s="110">
        <f t="shared" si="14"/>
        <v>2500</v>
      </c>
      <c r="G251" s="51" t="s">
        <v>3</v>
      </c>
      <c r="H251" s="48">
        <v>4</v>
      </c>
      <c r="I251" s="49" t="s">
        <v>45</v>
      </c>
      <c r="J251" s="184">
        <v>80</v>
      </c>
      <c r="K251" s="113">
        <v>300</v>
      </c>
      <c r="L251" s="113">
        <v>2500</v>
      </c>
      <c r="M251" s="185">
        <v>26.238226237884735</v>
      </c>
      <c r="N251" s="75">
        <v>1324.8168194301597</v>
      </c>
      <c r="O251" s="121">
        <v>39187.440228255531</v>
      </c>
      <c r="P251" s="121">
        <v>45439.157081560625</v>
      </c>
      <c r="Q251" s="120">
        <v>30148.075155837607</v>
      </c>
      <c r="R251" s="314">
        <v>69335.515384093131</v>
      </c>
      <c r="S251" s="315">
        <v>75587.232237398232</v>
      </c>
      <c r="U251" s="7" t="s">
        <v>1979</v>
      </c>
    </row>
    <row r="252" spans="1:21" s="74" customFormat="1" ht="16.5" thickBot="1">
      <c r="A252" s="50" t="s">
        <v>35</v>
      </c>
      <c r="B252" s="51">
        <f t="shared" si="12"/>
        <v>80</v>
      </c>
      <c r="C252" s="51" t="s">
        <v>3</v>
      </c>
      <c r="D252" s="51">
        <f t="shared" si="13"/>
        <v>300</v>
      </c>
      <c r="E252" s="51" t="s">
        <v>3</v>
      </c>
      <c r="F252" s="110">
        <f t="shared" si="14"/>
        <v>2550</v>
      </c>
      <c r="G252" s="51" t="s">
        <v>3</v>
      </c>
      <c r="H252" s="48">
        <v>4</v>
      </c>
      <c r="I252" s="49" t="s">
        <v>45</v>
      </c>
      <c r="J252" s="184">
        <v>80</v>
      </c>
      <c r="K252" s="113">
        <v>300</v>
      </c>
      <c r="L252" s="113">
        <v>2550</v>
      </c>
      <c r="M252" s="185">
        <v>26.737418745802628</v>
      </c>
      <c r="N252" s="75">
        <v>1355.6265129052799</v>
      </c>
      <c r="O252" s="121">
        <v>39834.192156397992</v>
      </c>
      <c r="P252" s="121">
        <v>46202.348737480061</v>
      </c>
      <c r="Q252" s="120">
        <v>30859.06224187823</v>
      </c>
      <c r="R252" s="314">
        <v>70693.254398276214</v>
      </c>
      <c r="S252" s="315">
        <v>77061.41097935829</v>
      </c>
      <c r="U252" s="7" t="s">
        <v>1980</v>
      </c>
    </row>
    <row r="253" spans="1:21" s="74" customFormat="1" ht="16.5" thickBot="1">
      <c r="A253" s="47" t="s">
        <v>35</v>
      </c>
      <c r="B253" s="48">
        <f t="shared" si="12"/>
        <v>80</v>
      </c>
      <c r="C253" s="48" t="s">
        <v>3</v>
      </c>
      <c r="D253" s="48">
        <f t="shared" si="13"/>
        <v>300</v>
      </c>
      <c r="E253" s="48" t="s">
        <v>3</v>
      </c>
      <c r="F253" s="110">
        <f t="shared" si="14"/>
        <v>2600</v>
      </c>
      <c r="G253" s="48" t="s">
        <v>3</v>
      </c>
      <c r="H253" s="48">
        <v>4</v>
      </c>
      <c r="I253" s="49" t="s">
        <v>45</v>
      </c>
      <c r="J253" s="184">
        <v>80</v>
      </c>
      <c r="K253" s="113">
        <v>300</v>
      </c>
      <c r="L253" s="113">
        <v>2600</v>
      </c>
      <c r="M253" s="185">
        <v>27.236611253720525</v>
      </c>
      <c r="N253" s="75">
        <v>1386.4362063803999</v>
      </c>
      <c r="O253" s="121">
        <v>40480.943944147097</v>
      </c>
      <c r="P253" s="121">
        <v>46965.540393399497</v>
      </c>
      <c r="Q253" s="120">
        <v>31339.467409742221</v>
      </c>
      <c r="R253" s="314">
        <v>71820.411353889314</v>
      </c>
      <c r="S253" s="315">
        <v>78305.007803141722</v>
      </c>
      <c r="U253" s="7" t="s">
        <v>1981</v>
      </c>
    </row>
    <row r="254" spans="1:21" s="74" customFormat="1" ht="16.5" thickBot="1">
      <c r="A254" s="50" t="s">
        <v>35</v>
      </c>
      <c r="B254" s="51">
        <f t="shared" si="12"/>
        <v>80</v>
      </c>
      <c r="C254" s="51" t="s">
        <v>3</v>
      </c>
      <c r="D254" s="51">
        <f t="shared" si="13"/>
        <v>300</v>
      </c>
      <c r="E254" s="51" t="s">
        <v>3</v>
      </c>
      <c r="F254" s="110">
        <f t="shared" si="14"/>
        <v>2650</v>
      </c>
      <c r="G254" s="51" t="s">
        <v>3</v>
      </c>
      <c r="H254" s="48">
        <v>4</v>
      </c>
      <c r="I254" s="49" t="s">
        <v>45</v>
      </c>
      <c r="J254" s="184">
        <v>80</v>
      </c>
      <c r="K254" s="113">
        <v>300</v>
      </c>
      <c r="L254" s="113">
        <v>2650</v>
      </c>
      <c r="M254" s="185">
        <v>27.735803761638422</v>
      </c>
      <c r="N254" s="75">
        <v>1417.2458998555198</v>
      </c>
      <c r="O254" s="121">
        <v>41127.695872289558</v>
      </c>
      <c r="P254" s="121">
        <v>47728.731908925576</v>
      </c>
      <c r="Q254" s="120">
        <v>32050.45435538948</v>
      </c>
      <c r="R254" s="314">
        <v>73178.150227679042</v>
      </c>
      <c r="S254" s="315">
        <v>79779.186264315053</v>
      </c>
      <c r="U254" s="7" t="s">
        <v>1982</v>
      </c>
    </row>
    <row r="255" spans="1:21" s="74" customFormat="1" ht="16.5" thickBot="1">
      <c r="A255" s="50" t="s">
        <v>35</v>
      </c>
      <c r="B255" s="51">
        <f t="shared" si="12"/>
        <v>80</v>
      </c>
      <c r="C255" s="51" t="s">
        <v>3</v>
      </c>
      <c r="D255" s="51">
        <f t="shared" si="13"/>
        <v>300</v>
      </c>
      <c r="E255" s="51" t="s">
        <v>3</v>
      </c>
      <c r="F255" s="110">
        <f t="shared" si="14"/>
        <v>2700</v>
      </c>
      <c r="G255" s="51" t="s">
        <v>3</v>
      </c>
      <c r="H255" s="48">
        <v>4</v>
      </c>
      <c r="I255" s="49" t="s">
        <v>45</v>
      </c>
      <c r="J255" s="184">
        <v>80</v>
      </c>
      <c r="K255" s="113">
        <v>300</v>
      </c>
      <c r="L255" s="113">
        <v>2700</v>
      </c>
      <c r="M255" s="185">
        <v>28.313496269556317</v>
      </c>
      <c r="N255" s="75">
        <v>1448.0555933306398</v>
      </c>
      <c r="O255" s="121">
        <v>41851.602236334162</v>
      </c>
      <c r="P255" s="121">
        <v>48566.726271531916</v>
      </c>
      <c r="Q255" s="120">
        <v>32530.859663646832</v>
      </c>
      <c r="R255" s="314">
        <v>74382.46189998099</v>
      </c>
      <c r="S255" s="315">
        <v>81097.585935178751</v>
      </c>
      <c r="U255" s="7" t="s">
        <v>1983</v>
      </c>
    </row>
    <row r="256" spans="1:21" s="74" customFormat="1" ht="16.5" thickBot="1">
      <c r="A256" s="50" t="s">
        <v>35</v>
      </c>
      <c r="B256" s="51">
        <f t="shared" si="12"/>
        <v>80</v>
      </c>
      <c r="C256" s="51" t="s">
        <v>3</v>
      </c>
      <c r="D256" s="51">
        <f t="shared" si="13"/>
        <v>300</v>
      </c>
      <c r="E256" s="51" t="s">
        <v>3</v>
      </c>
      <c r="F256" s="110">
        <f t="shared" si="14"/>
        <v>2750</v>
      </c>
      <c r="G256" s="51" t="s">
        <v>3</v>
      </c>
      <c r="H256" s="48">
        <v>4</v>
      </c>
      <c r="I256" s="49" t="s">
        <v>45</v>
      </c>
      <c r="J256" s="184">
        <v>80</v>
      </c>
      <c r="K256" s="113">
        <v>300</v>
      </c>
      <c r="L256" s="113">
        <v>2750</v>
      </c>
      <c r="M256" s="185">
        <v>28.812688777474211</v>
      </c>
      <c r="N256" s="75">
        <v>1478.8652868057598</v>
      </c>
      <c r="O256" s="121">
        <v>42498.354024083259</v>
      </c>
      <c r="P256" s="121">
        <v>49329.917927451344</v>
      </c>
      <c r="Q256" s="120">
        <v>33011.264831510824</v>
      </c>
      <c r="R256" s="314">
        <v>75509.618855594075</v>
      </c>
      <c r="S256" s="315">
        <v>82341.182758962168</v>
      </c>
      <c r="U256" s="7" t="s">
        <v>1984</v>
      </c>
    </row>
    <row r="257" spans="1:21" s="74" customFormat="1" ht="16.5" thickBot="1">
      <c r="A257" s="50" t="s">
        <v>35</v>
      </c>
      <c r="B257" s="51">
        <f t="shared" si="12"/>
        <v>80</v>
      </c>
      <c r="C257" s="51" t="s">
        <v>3</v>
      </c>
      <c r="D257" s="51">
        <f t="shared" si="13"/>
        <v>300</v>
      </c>
      <c r="E257" s="51" t="s">
        <v>3</v>
      </c>
      <c r="F257" s="110">
        <f t="shared" si="14"/>
        <v>2800</v>
      </c>
      <c r="G257" s="51" t="s">
        <v>3</v>
      </c>
      <c r="H257" s="48">
        <v>4</v>
      </c>
      <c r="I257" s="49" t="s">
        <v>45</v>
      </c>
      <c r="J257" s="184">
        <v>80</v>
      </c>
      <c r="K257" s="113">
        <v>300</v>
      </c>
      <c r="L257" s="113">
        <v>2800</v>
      </c>
      <c r="M257" s="185">
        <v>29.311881285392104</v>
      </c>
      <c r="N257" s="75">
        <v>1509.6749802808799</v>
      </c>
      <c r="O257" s="121">
        <v>43145.10595222572</v>
      </c>
      <c r="P257" s="121">
        <v>50093.10958337078</v>
      </c>
      <c r="Q257" s="120">
        <v>33722.251777158082</v>
      </c>
      <c r="R257" s="314">
        <v>76867.357729383803</v>
      </c>
      <c r="S257" s="315">
        <v>83815.361360528856</v>
      </c>
      <c r="U257" s="7" t="s">
        <v>1985</v>
      </c>
    </row>
    <row r="258" spans="1:21" s="74" customFormat="1" ht="16.5" thickBot="1">
      <c r="A258" s="50" t="s">
        <v>35</v>
      </c>
      <c r="B258" s="51">
        <f t="shared" si="12"/>
        <v>80</v>
      </c>
      <c r="C258" s="51" t="s">
        <v>3</v>
      </c>
      <c r="D258" s="51">
        <f t="shared" si="13"/>
        <v>300</v>
      </c>
      <c r="E258" s="51" t="s">
        <v>3</v>
      </c>
      <c r="F258" s="110">
        <f t="shared" si="14"/>
        <v>2850</v>
      </c>
      <c r="G258" s="51" t="s">
        <v>3</v>
      </c>
      <c r="H258" s="48">
        <v>4</v>
      </c>
      <c r="I258" s="49" t="s">
        <v>45</v>
      </c>
      <c r="J258" s="184">
        <v>80</v>
      </c>
      <c r="K258" s="113">
        <v>300</v>
      </c>
      <c r="L258" s="113">
        <v>2850</v>
      </c>
      <c r="M258" s="185">
        <v>29.811073793310001</v>
      </c>
      <c r="N258" s="75">
        <v>1540.4846737559999</v>
      </c>
      <c r="O258" s="121">
        <v>43791.857880368188</v>
      </c>
      <c r="P258" s="121">
        <v>50856.301239290216</v>
      </c>
      <c r="Q258" s="120">
        <v>34202.657085415434</v>
      </c>
      <c r="R258" s="314">
        <v>77994.51496578363</v>
      </c>
      <c r="S258" s="315">
        <v>85058.958324705658</v>
      </c>
      <c r="U258" s="7" t="s">
        <v>1986</v>
      </c>
    </row>
    <row r="259" spans="1:21" s="74" customFormat="1" ht="16.5" thickBot="1">
      <c r="A259" s="50" t="s">
        <v>35</v>
      </c>
      <c r="B259" s="51">
        <f t="shared" si="12"/>
        <v>80</v>
      </c>
      <c r="C259" s="51" t="s">
        <v>3</v>
      </c>
      <c r="D259" s="51">
        <f t="shared" si="13"/>
        <v>300</v>
      </c>
      <c r="E259" s="51" t="s">
        <v>3</v>
      </c>
      <c r="F259" s="110">
        <f t="shared" si="14"/>
        <v>2900</v>
      </c>
      <c r="G259" s="51" t="s">
        <v>3</v>
      </c>
      <c r="H259" s="48">
        <v>4</v>
      </c>
      <c r="I259" s="49" t="s">
        <v>45</v>
      </c>
      <c r="J259" s="184">
        <v>80</v>
      </c>
      <c r="K259" s="113">
        <v>300</v>
      </c>
      <c r="L259" s="113">
        <v>2900</v>
      </c>
      <c r="M259" s="185">
        <v>30.310266301227895</v>
      </c>
      <c r="N259" s="75">
        <v>1571.2943672311196</v>
      </c>
      <c r="O259" s="121">
        <v>44438.609808510642</v>
      </c>
      <c r="P259" s="121">
        <v>51619.492754816296</v>
      </c>
      <c r="Q259" s="120">
        <v>34913.644031062693</v>
      </c>
      <c r="R259" s="314">
        <v>79352.253839573328</v>
      </c>
      <c r="S259" s="315">
        <v>86533.136785878989</v>
      </c>
      <c r="U259" s="7" t="s">
        <v>1987</v>
      </c>
    </row>
    <row r="260" spans="1:21" s="74" customFormat="1" ht="16.5" thickBot="1">
      <c r="A260" s="50" t="s">
        <v>35</v>
      </c>
      <c r="B260" s="51">
        <f t="shared" si="12"/>
        <v>80</v>
      </c>
      <c r="C260" s="51" t="s">
        <v>3</v>
      </c>
      <c r="D260" s="51">
        <f t="shared" si="13"/>
        <v>300</v>
      </c>
      <c r="E260" s="51" t="s">
        <v>3</v>
      </c>
      <c r="F260" s="110">
        <f t="shared" si="14"/>
        <v>2950</v>
      </c>
      <c r="G260" s="51" t="s">
        <v>3</v>
      </c>
      <c r="H260" s="48">
        <v>4</v>
      </c>
      <c r="I260" s="49" t="s">
        <v>45</v>
      </c>
      <c r="J260" s="184">
        <v>80</v>
      </c>
      <c r="K260" s="113">
        <v>300</v>
      </c>
      <c r="L260" s="113">
        <v>2950</v>
      </c>
      <c r="M260" s="185">
        <v>30.809458809145788</v>
      </c>
      <c r="N260" s="75">
        <v>1602.1040607062398</v>
      </c>
      <c r="O260" s="121">
        <v>45085.361736653111</v>
      </c>
      <c r="P260" s="121">
        <v>52382.684410735732</v>
      </c>
      <c r="Q260" s="120">
        <v>35394.049339320045</v>
      </c>
      <c r="R260" s="314">
        <v>80479.411075973156</v>
      </c>
      <c r="S260" s="315">
        <v>87776.733750055777</v>
      </c>
      <c r="U260" s="7" t="s">
        <v>1988</v>
      </c>
    </row>
    <row r="261" spans="1:21" s="74" customFormat="1" ht="16.5" thickBot="1">
      <c r="A261" s="52" t="s">
        <v>35</v>
      </c>
      <c r="B261" s="53">
        <f t="shared" si="12"/>
        <v>80</v>
      </c>
      <c r="C261" s="53" t="s">
        <v>3</v>
      </c>
      <c r="D261" s="53">
        <f t="shared" si="13"/>
        <v>300</v>
      </c>
      <c r="E261" s="53" t="s">
        <v>3</v>
      </c>
      <c r="F261" s="111">
        <f t="shared" si="14"/>
        <v>3000</v>
      </c>
      <c r="G261" s="53" t="s">
        <v>3</v>
      </c>
      <c r="H261" s="55">
        <v>4</v>
      </c>
      <c r="I261" s="54" t="s">
        <v>45</v>
      </c>
      <c r="J261" s="184">
        <v>80</v>
      </c>
      <c r="K261" s="157">
        <v>300</v>
      </c>
      <c r="L261" s="157">
        <v>3000</v>
      </c>
      <c r="M261" s="187">
        <v>31.308651317063681</v>
      </c>
      <c r="N261" s="147">
        <v>1632.9137541813598</v>
      </c>
      <c r="O261" s="158">
        <v>45732.113524402208</v>
      </c>
      <c r="P261" s="158">
        <v>53145.876066655175</v>
      </c>
      <c r="Q261" s="159">
        <v>36105.036284967304</v>
      </c>
      <c r="R261" s="316">
        <v>81837.149809369512</v>
      </c>
      <c r="S261" s="317">
        <v>89250.912351622479</v>
      </c>
      <c r="U261" s="7" t="s">
        <v>1989</v>
      </c>
    </row>
    <row r="262" spans="1:21" s="74" customFormat="1" ht="22.5" customHeight="1" thickBot="1">
      <c r="A262" s="2621" t="s">
        <v>49</v>
      </c>
      <c r="B262" s="2622"/>
      <c r="C262" s="2622"/>
      <c r="D262" s="2622"/>
      <c r="E262" s="2622"/>
      <c r="F262" s="2622"/>
      <c r="G262" s="2622"/>
      <c r="H262" s="2622"/>
      <c r="I262" s="2622"/>
      <c r="J262" s="2622"/>
      <c r="K262" s="2622"/>
      <c r="L262" s="2622"/>
      <c r="M262" s="2622"/>
      <c r="N262" s="2622"/>
      <c r="O262" s="2622"/>
      <c r="P262" s="2622"/>
      <c r="Q262" s="2622"/>
      <c r="R262" s="2622"/>
      <c r="S262" s="2623"/>
      <c r="U262" s="7"/>
    </row>
    <row r="263" spans="1:21" s="74" customFormat="1" ht="16.5" thickBot="1">
      <c r="A263" s="2583" t="s">
        <v>135</v>
      </c>
      <c r="B263" s="2584"/>
      <c r="C263" s="2584"/>
      <c r="D263" s="2584"/>
      <c r="E263" s="2584"/>
      <c r="F263" s="2584"/>
      <c r="G263" s="2584"/>
      <c r="H263" s="2584"/>
      <c r="I263" s="2584"/>
      <c r="J263" s="2584"/>
      <c r="K263" s="2584"/>
      <c r="L263" s="2584"/>
      <c r="M263" s="2584"/>
      <c r="N263" s="2584"/>
      <c r="O263" s="2584"/>
      <c r="P263" s="2584"/>
      <c r="Q263" s="2584"/>
      <c r="R263" s="2584"/>
      <c r="S263" s="2585"/>
      <c r="U263" s="7"/>
    </row>
    <row r="264" spans="1:21" s="74" customFormat="1" ht="16.5" thickBot="1">
      <c r="A264" s="47" t="s">
        <v>35</v>
      </c>
      <c r="B264" s="48">
        <f>J264</f>
        <v>80</v>
      </c>
      <c r="C264" s="48" t="s">
        <v>3</v>
      </c>
      <c r="D264" s="48">
        <f>K264</f>
        <v>360</v>
      </c>
      <c r="E264" s="48" t="s">
        <v>3</v>
      </c>
      <c r="F264" s="110">
        <f>L264</f>
        <v>600</v>
      </c>
      <c r="G264" s="48" t="s">
        <v>3</v>
      </c>
      <c r="H264" s="48">
        <v>4</v>
      </c>
      <c r="I264" s="49" t="s">
        <v>45</v>
      </c>
      <c r="J264" s="181">
        <v>80</v>
      </c>
      <c r="K264" s="168">
        <v>360</v>
      </c>
      <c r="L264" s="168">
        <v>600</v>
      </c>
      <c r="M264" s="182">
        <v>7.5753954654047373</v>
      </c>
      <c r="N264" s="143">
        <v>167.33778474144597</v>
      </c>
      <c r="O264" s="183">
        <v>13432.662976623864</v>
      </c>
      <c r="P264" s="183">
        <v>15691.01123151484</v>
      </c>
      <c r="Q264" s="169">
        <v>9204.3678470371888</v>
      </c>
      <c r="R264" s="312">
        <v>22637.030823661051</v>
      </c>
      <c r="S264" s="313">
        <v>24895.379078552029</v>
      </c>
      <c r="U264" s="7" t="s">
        <v>1990</v>
      </c>
    </row>
    <row r="265" spans="1:21" s="74" customFormat="1" ht="16.5" thickBot="1">
      <c r="A265" s="50" t="s">
        <v>35</v>
      </c>
      <c r="B265" s="51">
        <f t="shared" ref="B265:B312" si="15">J265</f>
        <v>80</v>
      </c>
      <c r="C265" s="51" t="s">
        <v>3</v>
      </c>
      <c r="D265" s="51">
        <f t="shared" ref="D265:D312" si="16">K265</f>
        <v>360</v>
      </c>
      <c r="E265" s="51" t="s">
        <v>3</v>
      </c>
      <c r="F265" s="110">
        <f t="shared" ref="F265:F312" si="17">L265</f>
        <v>650</v>
      </c>
      <c r="G265" s="51" t="s">
        <v>3</v>
      </c>
      <c r="H265" s="48">
        <v>4</v>
      </c>
      <c r="I265" s="49" t="s">
        <v>45</v>
      </c>
      <c r="J265" s="184">
        <v>80</v>
      </c>
      <c r="K265" s="113">
        <v>360</v>
      </c>
      <c r="L265" s="113">
        <v>650</v>
      </c>
      <c r="M265" s="185">
        <v>8.1272130141121064</v>
      </c>
      <c r="N265" s="75">
        <v>200.80534168973517</v>
      </c>
      <c r="O265" s="121">
        <v>14107.533870161365</v>
      </c>
      <c r="P265" s="121">
        <v>16574.225594215615</v>
      </c>
      <c r="Q265" s="120">
        <v>9757.9649885401141</v>
      </c>
      <c r="R265" s="314">
        <v>23865.498858701481</v>
      </c>
      <c r="S265" s="315">
        <v>26332.190582755728</v>
      </c>
      <c r="U265" s="7" t="s">
        <v>1991</v>
      </c>
    </row>
    <row r="266" spans="1:21" s="74" customFormat="1" ht="16.5" thickBot="1">
      <c r="A266" s="50" t="s">
        <v>35</v>
      </c>
      <c r="B266" s="51">
        <f t="shared" si="15"/>
        <v>80</v>
      </c>
      <c r="C266" s="51" t="s">
        <v>3</v>
      </c>
      <c r="D266" s="51">
        <f t="shared" si="16"/>
        <v>360</v>
      </c>
      <c r="E266" s="51" t="s">
        <v>3</v>
      </c>
      <c r="F266" s="110">
        <f t="shared" si="17"/>
        <v>700</v>
      </c>
      <c r="G266" s="51" t="s">
        <v>3</v>
      </c>
      <c r="H266" s="48">
        <v>4</v>
      </c>
      <c r="I266" s="49" t="s">
        <v>45</v>
      </c>
      <c r="J266" s="184">
        <v>80</v>
      </c>
      <c r="K266" s="113">
        <v>360</v>
      </c>
      <c r="L266" s="113">
        <v>700</v>
      </c>
      <c r="M266" s="185">
        <v>8.6790305628194737</v>
      </c>
      <c r="N266" s="75">
        <v>234.27289863802434</v>
      </c>
      <c r="O266" s="121">
        <v>14782.404763698865</v>
      </c>
      <c r="P266" s="121">
        <v>17389.027254123677</v>
      </c>
      <c r="Q266" s="120">
        <v>10542.143907826316</v>
      </c>
      <c r="R266" s="314">
        <v>25324.548671525183</v>
      </c>
      <c r="S266" s="315">
        <v>27931.171161949991</v>
      </c>
      <c r="U266" s="7" t="s">
        <v>1992</v>
      </c>
    </row>
    <row r="267" spans="1:21" s="74" customFormat="1" ht="16.5" thickBot="1">
      <c r="A267" s="50" t="s">
        <v>35</v>
      </c>
      <c r="B267" s="51">
        <f t="shared" si="15"/>
        <v>80</v>
      </c>
      <c r="C267" s="51" t="s">
        <v>3</v>
      </c>
      <c r="D267" s="51">
        <f t="shared" si="16"/>
        <v>360</v>
      </c>
      <c r="E267" s="51" t="s">
        <v>3</v>
      </c>
      <c r="F267" s="110">
        <f t="shared" si="17"/>
        <v>750</v>
      </c>
      <c r="G267" s="51" t="s">
        <v>3</v>
      </c>
      <c r="H267" s="48">
        <v>4</v>
      </c>
      <c r="I267" s="49" t="s">
        <v>45</v>
      </c>
      <c r="J267" s="184">
        <v>80</v>
      </c>
      <c r="K267" s="113">
        <v>360</v>
      </c>
      <c r="L267" s="113">
        <v>750</v>
      </c>
      <c r="M267" s="185">
        <v>9.230848111526841</v>
      </c>
      <c r="N267" s="75">
        <v>267.74045558631354</v>
      </c>
      <c r="O267" s="121">
        <v>15457.275657236365</v>
      </c>
      <c r="P267" s="121">
        <v>18203.828773638379</v>
      </c>
      <c r="Q267" s="120">
        <v>11095.741049329239</v>
      </c>
      <c r="R267" s="314">
        <v>26553.016706565606</v>
      </c>
      <c r="S267" s="315">
        <v>29299.56982296762</v>
      </c>
      <c r="U267" s="7" t="s">
        <v>1993</v>
      </c>
    </row>
    <row r="268" spans="1:21" s="74" customFormat="1" ht="16.5" thickBot="1">
      <c r="A268" s="50" t="s">
        <v>35</v>
      </c>
      <c r="B268" s="51">
        <f t="shared" si="15"/>
        <v>80</v>
      </c>
      <c r="C268" s="51" t="s">
        <v>3</v>
      </c>
      <c r="D268" s="51">
        <f t="shared" si="16"/>
        <v>360</v>
      </c>
      <c r="E268" s="51" t="s">
        <v>3</v>
      </c>
      <c r="F268" s="110">
        <f t="shared" si="17"/>
        <v>800</v>
      </c>
      <c r="G268" s="51" t="s">
        <v>3</v>
      </c>
      <c r="H268" s="48">
        <v>4</v>
      </c>
      <c r="I268" s="49" t="s">
        <v>45</v>
      </c>
      <c r="J268" s="184">
        <v>80</v>
      </c>
      <c r="K268" s="113">
        <v>360</v>
      </c>
      <c r="L268" s="113">
        <v>800</v>
      </c>
      <c r="M268" s="185">
        <v>9.7826656602342119</v>
      </c>
      <c r="N268" s="75">
        <v>301.20801253460274</v>
      </c>
      <c r="O268" s="121">
        <v>16132.146550773867</v>
      </c>
      <c r="P268" s="121">
        <v>19018.630433546441</v>
      </c>
      <c r="Q268" s="120">
        <v>11649.338190832164</v>
      </c>
      <c r="R268" s="314">
        <v>27781.484741606029</v>
      </c>
      <c r="S268" s="315">
        <v>30667.968624378605</v>
      </c>
      <c r="U268" s="7" t="s">
        <v>1994</v>
      </c>
    </row>
    <row r="269" spans="1:21" s="74" customFormat="1" ht="16.5" thickBot="1">
      <c r="A269" s="50" t="s">
        <v>35</v>
      </c>
      <c r="B269" s="51">
        <f t="shared" si="15"/>
        <v>80</v>
      </c>
      <c r="C269" s="51" t="s">
        <v>3</v>
      </c>
      <c r="D269" s="51">
        <f t="shared" si="16"/>
        <v>360</v>
      </c>
      <c r="E269" s="51" t="s">
        <v>3</v>
      </c>
      <c r="F269" s="110">
        <f t="shared" si="17"/>
        <v>850</v>
      </c>
      <c r="G269" s="51" t="s">
        <v>3</v>
      </c>
      <c r="H269" s="48">
        <v>4</v>
      </c>
      <c r="I269" s="49" t="s">
        <v>45</v>
      </c>
      <c r="J269" s="184">
        <v>80</v>
      </c>
      <c r="K269" s="113">
        <v>360</v>
      </c>
      <c r="L269" s="113">
        <v>850</v>
      </c>
      <c r="M269" s="185">
        <v>10.334483208941579</v>
      </c>
      <c r="N269" s="75">
        <v>334.67556948289194</v>
      </c>
      <c r="O269" s="121">
        <v>16807.017444311365</v>
      </c>
      <c r="P269" s="121">
        <v>19833.431953061143</v>
      </c>
      <c r="Q269" s="120">
        <v>12433.517110118366</v>
      </c>
      <c r="R269" s="314">
        <v>29240.534554429731</v>
      </c>
      <c r="S269" s="315">
        <v>32266.949063179509</v>
      </c>
      <c r="U269" s="7" t="s">
        <v>1995</v>
      </c>
    </row>
    <row r="270" spans="1:21" s="74" customFormat="1" ht="16.5" thickBot="1">
      <c r="A270" s="50" t="s">
        <v>35</v>
      </c>
      <c r="B270" s="51">
        <f t="shared" si="15"/>
        <v>80</v>
      </c>
      <c r="C270" s="51" t="s">
        <v>3</v>
      </c>
      <c r="D270" s="51">
        <f t="shared" si="16"/>
        <v>360</v>
      </c>
      <c r="E270" s="51" t="s">
        <v>3</v>
      </c>
      <c r="F270" s="110">
        <f t="shared" si="17"/>
        <v>900</v>
      </c>
      <c r="G270" s="51" t="s">
        <v>3</v>
      </c>
      <c r="H270" s="48">
        <v>4</v>
      </c>
      <c r="I270" s="49" t="s">
        <v>45</v>
      </c>
      <c r="J270" s="184">
        <v>80</v>
      </c>
      <c r="K270" s="113">
        <v>360</v>
      </c>
      <c r="L270" s="113">
        <v>900</v>
      </c>
      <c r="M270" s="185">
        <v>10.88630075764895</v>
      </c>
      <c r="N270" s="75">
        <v>368.14312643118114</v>
      </c>
      <c r="O270" s="121">
        <v>17481.888337848868</v>
      </c>
      <c r="P270" s="121">
        <v>20648.233612969205</v>
      </c>
      <c r="Q270" s="120">
        <v>12987.114251621291</v>
      </c>
      <c r="R270" s="314">
        <v>30469.002589470161</v>
      </c>
      <c r="S270" s="315">
        <v>33635.347864590498</v>
      </c>
      <c r="U270" s="7" t="s">
        <v>1996</v>
      </c>
    </row>
    <row r="271" spans="1:21" s="74" customFormat="1" ht="16.5" thickBot="1">
      <c r="A271" s="50" t="s">
        <v>35</v>
      </c>
      <c r="B271" s="51">
        <f t="shared" si="15"/>
        <v>80</v>
      </c>
      <c r="C271" s="51" t="s">
        <v>3</v>
      </c>
      <c r="D271" s="51">
        <f t="shared" si="16"/>
        <v>360</v>
      </c>
      <c r="E271" s="51" t="s">
        <v>3</v>
      </c>
      <c r="F271" s="110">
        <f t="shared" si="17"/>
        <v>950</v>
      </c>
      <c r="G271" s="51" t="s">
        <v>3</v>
      </c>
      <c r="H271" s="48">
        <v>4</v>
      </c>
      <c r="I271" s="49" t="s">
        <v>45</v>
      </c>
      <c r="J271" s="184">
        <v>80</v>
      </c>
      <c r="K271" s="113">
        <v>360</v>
      </c>
      <c r="L271" s="113">
        <v>950</v>
      </c>
      <c r="M271" s="185">
        <v>11.438118306356316</v>
      </c>
      <c r="N271" s="75">
        <v>401.61068337947034</v>
      </c>
      <c r="O271" s="121">
        <v>18156.759090993004</v>
      </c>
      <c r="P271" s="121">
        <v>21463.035132483903</v>
      </c>
      <c r="Q271" s="120">
        <v>13771.293170907491</v>
      </c>
      <c r="R271" s="314">
        <v>31928.052261900495</v>
      </c>
      <c r="S271" s="315">
        <v>35234.32830339139</v>
      </c>
      <c r="U271" s="7" t="s">
        <v>1997</v>
      </c>
    </row>
    <row r="272" spans="1:21" s="74" customFormat="1" ht="16.5" thickBot="1">
      <c r="A272" s="50" t="s">
        <v>35</v>
      </c>
      <c r="B272" s="51">
        <f t="shared" si="15"/>
        <v>80</v>
      </c>
      <c r="C272" s="51" t="s">
        <v>3</v>
      </c>
      <c r="D272" s="51">
        <f t="shared" si="16"/>
        <v>360</v>
      </c>
      <c r="E272" s="51" t="s">
        <v>3</v>
      </c>
      <c r="F272" s="110">
        <f t="shared" si="17"/>
        <v>1000</v>
      </c>
      <c r="G272" s="51" t="s">
        <v>3</v>
      </c>
      <c r="H272" s="48">
        <v>4</v>
      </c>
      <c r="I272" s="49" t="s">
        <v>45</v>
      </c>
      <c r="J272" s="184">
        <v>80</v>
      </c>
      <c r="K272" s="113">
        <v>360</v>
      </c>
      <c r="L272" s="113">
        <v>1000</v>
      </c>
      <c r="M272" s="185">
        <v>11.989935855063685</v>
      </c>
      <c r="N272" s="75">
        <v>435.07824032775954</v>
      </c>
      <c r="O272" s="121">
        <v>18831.629984530504</v>
      </c>
      <c r="P272" s="121">
        <v>22277.836651998605</v>
      </c>
      <c r="Q272" s="120">
        <v>14324.890312410414</v>
      </c>
      <c r="R272" s="314">
        <v>33156.520296940915</v>
      </c>
      <c r="S272" s="315">
        <v>36602.726964409019</v>
      </c>
      <c r="U272" s="7" t="s">
        <v>1998</v>
      </c>
    </row>
    <row r="273" spans="1:21" s="74" customFormat="1" ht="16.5" thickBot="1">
      <c r="A273" s="50" t="s">
        <v>35</v>
      </c>
      <c r="B273" s="51">
        <f t="shared" si="15"/>
        <v>80</v>
      </c>
      <c r="C273" s="51" t="s">
        <v>3</v>
      </c>
      <c r="D273" s="51">
        <f t="shared" si="16"/>
        <v>360</v>
      </c>
      <c r="E273" s="51" t="s">
        <v>3</v>
      </c>
      <c r="F273" s="110">
        <f t="shared" si="17"/>
        <v>1050</v>
      </c>
      <c r="G273" s="51" t="s">
        <v>3</v>
      </c>
      <c r="H273" s="48">
        <v>4</v>
      </c>
      <c r="I273" s="49" t="s">
        <v>45</v>
      </c>
      <c r="J273" s="184">
        <v>80</v>
      </c>
      <c r="K273" s="113">
        <v>360</v>
      </c>
      <c r="L273" s="113">
        <v>1050</v>
      </c>
      <c r="M273" s="185">
        <v>12.54175340377105</v>
      </c>
      <c r="N273" s="75">
        <v>468.54579727604869</v>
      </c>
      <c r="O273" s="121">
        <v>19506.500878068004</v>
      </c>
      <c r="P273" s="121">
        <v>23092.638311906667</v>
      </c>
      <c r="Q273" s="120">
        <v>15109.069231696616</v>
      </c>
      <c r="R273" s="314">
        <v>34615.570109764623</v>
      </c>
      <c r="S273" s="315">
        <v>38201.707543603283</v>
      </c>
      <c r="U273" s="7" t="s">
        <v>1999</v>
      </c>
    </row>
    <row r="274" spans="1:21" s="74" customFormat="1" ht="16.5" thickBot="1">
      <c r="A274" s="47" t="s">
        <v>35</v>
      </c>
      <c r="B274" s="48">
        <f t="shared" si="15"/>
        <v>80</v>
      </c>
      <c r="C274" s="48" t="s">
        <v>3</v>
      </c>
      <c r="D274" s="48">
        <f t="shared" si="16"/>
        <v>360</v>
      </c>
      <c r="E274" s="48" t="s">
        <v>3</v>
      </c>
      <c r="F274" s="110">
        <f t="shared" si="17"/>
        <v>1100</v>
      </c>
      <c r="G274" s="48" t="s">
        <v>3</v>
      </c>
      <c r="H274" s="48">
        <v>4</v>
      </c>
      <c r="I274" s="49" t="s">
        <v>45</v>
      </c>
      <c r="J274" s="184">
        <v>80</v>
      </c>
      <c r="K274" s="113">
        <v>360</v>
      </c>
      <c r="L274" s="113">
        <v>1100</v>
      </c>
      <c r="M274" s="185">
        <v>13.093570952478419</v>
      </c>
      <c r="N274" s="75">
        <v>502.01335422433795</v>
      </c>
      <c r="O274" s="121">
        <v>20181.371771605503</v>
      </c>
      <c r="P274" s="121">
        <v>23907.439831421369</v>
      </c>
      <c r="Q274" s="120">
        <v>15662.66637319954</v>
      </c>
      <c r="R274" s="314">
        <v>35844.038144805047</v>
      </c>
      <c r="S274" s="315">
        <v>39570.106204620912</v>
      </c>
      <c r="U274" s="7" t="s">
        <v>2000</v>
      </c>
    </row>
    <row r="275" spans="1:21" s="74" customFormat="1" ht="16.5" thickBot="1">
      <c r="A275" s="50" t="s">
        <v>35</v>
      </c>
      <c r="B275" s="51">
        <f t="shared" si="15"/>
        <v>80</v>
      </c>
      <c r="C275" s="51" t="s">
        <v>3</v>
      </c>
      <c r="D275" s="51">
        <f t="shared" si="16"/>
        <v>360</v>
      </c>
      <c r="E275" s="51" t="s">
        <v>3</v>
      </c>
      <c r="F275" s="110">
        <f t="shared" si="17"/>
        <v>1150</v>
      </c>
      <c r="G275" s="51" t="s">
        <v>3</v>
      </c>
      <c r="H275" s="48">
        <v>4</v>
      </c>
      <c r="I275" s="49" t="s">
        <v>45</v>
      </c>
      <c r="J275" s="184">
        <v>80</v>
      </c>
      <c r="K275" s="113">
        <v>360</v>
      </c>
      <c r="L275" s="113">
        <v>1150</v>
      </c>
      <c r="M275" s="185">
        <v>13.645388501185788</v>
      </c>
      <c r="N275" s="75">
        <v>535.48091117262709</v>
      </c>
      <c r="O275" s="121">
        <v>20856.242665143003</v>
      </c>
      <c r="P275" s="121">
        <v>24722.241491329431</v>
      </c>
      <c r="Q275" s="120">
        <v>16216.263514702467</v>
      </c>
      <c r="R275" s="314">
        <v>37072.50617984547</v>
      </c>
      <c r="S275" s="315">
        <v>40938.505006031897</v>
      </c>
      <c r="U275" s="7" t="s">
        <v>2001</v>
      </c>
    </row>
    <row r="276" spans="1:21" s="74" customFormat="1" ht="16.5" thickBot="1">
      <c r="A276" s="50" t="s">
        <v>35</v>
      </c>
      <c r="B276" s="51">
        <f t="shared" si="15"/>
        <v>80</v>
      </c>
      <c r="C276" s="51" t="s">
        <v>3</v>
      </c>
      <c r="D276" s="51">
        <f t="shared" si="16"/>
        <v>360</v>
      </c>
      <c r="E276" s="51" t="s">
        <v>3</v>
      </c>
      <c r="F276" s="110">
        <f t="shared" si="17"/>
        <v>1200</v>
      </c>
      <c r="G276" s="51" t="s">
        <v>3</v>
      </c>
      <c r="H276" s="48">
        <v>4</v>
      </c>
      <c r="I276" s="49" t="s">
        <v>45</v>
      </c>
      <c r="J276" s="184">
        <v>80</v>
      </c>
      <c r="K276" s="113">
        <v>360</v>
      </c>
      <c r="L276" s="113">
        <v>1200</v>
      </c>
      <c r="M276" s="185">
        <v>14.275706049893156</v>
      </c>
      <c r="N276" s="75">
        <v>568.94846812091635</v>
      </c>
      <c r="O276" s="121">
        <v>21608.267854189278</v>
      </c>
      <c r="P276" s="121">
        <v>25611.845717531029</v>
      </c>
      <c r="Q276" s="120">
        <v>17000.442574382028</v>
      </c>
      <c r="R276" s="314">
        <v>38608.710428571307</v>
      </c>
      <c r="S276" s="315">
        <v>42612.288291913057</v>
      </c>
      <c r="U276" s="7" t="s">
        <v>2002</v>
      </c>
    </row>
    <row r="277" spans="1:21" s="74" customFormat="1" ht="16.5" thickBot="1">
      <c r="A277" s="50" t="s">
        <v>35</v>
      </c>
      <c r="B277" s="51">
        <f t="shared" si="15"/>
        <v>80</v>
      </c>
      <c r="C277" s="51" t="s">
        <v>3</v>
      </c>
      <c r="D277" s="51">
        <f t="shared" si="16"/>
        <v>360</v>
      </c>
      <c r="E277" s="51" t="s">
        <v>3</v>
      </c>
      <c r="F277" s="110">
        <f t="shared" si="17"/>
        <v>1250</v>
      </c>
      <c r="G277" s="51" t="s">
        <v>3</v>
      </c>
      <c r="H277" s="48">
        <v>4</v>
      </c>
      <c r="I277" s="49" t="s">
        <v>45</v>
      </c>
      <c r="J277" s="184">
        <v>80</v>
      </c>
      <c r="K277" s="113">
        <v>360</v>
      </c>
      <c r="L277" s="113">
        <v>1250</v>
      </c>
      <c r="M277" s="185">
        <v>14.827523598600527</v>
      </c>
      <c r="N277" s="75">
        <v>602.41602506920549</v>
      </c>
      <c r="O277" s="121">
        <v>22283.138747726782</v>
      </c>
      <c r="P277" s="121">
        <v>26426.64723704573</v>
      </c>
      <c r="Q277" s="120">
        <v>17554.039715884952</v>
      </c>
      <c r="R277" s="314">
        <v>39837.178463611737</v>
      </c>
      <c r="S277" s="315">
        <v>43980.686952930686</v>
      </c>
      <c r="U277" s="7" t="s">
        <v>2003</v>
      </c>
    </row>
    <row r="278" spans="1:21" s="74" customFormat="1" ht="16.5" thickBot="1">
      <c r="A278" s="50" t="s">
        <v>35</v>
      </c>
      <c r="B278" s="51">
        <f t="shared" si="15"/>
        <v>80</v>
      </c>
      <c r="C278" s="51" t="s">
        <v>3</v>
      </c>
      <c r="D278" s="51">
        <f t="shared" si="16"/>
        <v>360</v>
      </c>
      <c r="E278" s="51" t="s">
        <v>3</v>
      </c>
      <c r="F278" s="110">
        <f t="shared" si="17"/>
        <v>1300</v>
      </c>
      <c r="G278" s="51" t="s">
        <v>3</v>
      </c>
      <c r="H278" s="48">
        <v>4</v>
      </c>
      <c r="I278" s="49" t="s">
        <v>45</v>
      </c>
      <c r="J278" s="184">
        <v>80</v>
      </c>
      <c r="K278" s="113">
        <v>360</v>
      </c>
      <c r="L278" s="113">
        <v>1300</v>
      </c>
      <c r="M278" s="185">
        <v>15.379341147307894</v>
      </c>
      <c r="N278" s="75">
        <v>635.88358201749463</v>
      </c>
      <c r="O278" s="121">
        <v>22958.009641264278</v>
      </c>
      <c r="P278" s="121">
        <v>27241.448896953792</v>
      </c>
      <c r="Q278" s="120">
        <v>18338.218635171153</v>
      </c>
      <c r="R278" s="314">
        <v>41296.228276435431</v>
      </c>
      <c r="S278" s="315">
        <v>45579.66753212495</v>
      </c>
      <c r="U278" s="7" t="s">
        <v>2004</v>
      </c>
    </row>
    <row r="279" spans="1:21" s="74" customFormat="1" ht="16.5" thickBot="1">
      <c r="A279" s="50" t="s">
        <v>35</v>
      </c>
      <c r="B279" s="51">
        <f t="shared" si="15"/>
        <v>80</v>
      </c>
      <c r="C279" s="51" t="s">
        <v>3</v>
      </c>
      <c r="D279" s="51">
        <f t="shared" si="16"/>
        <v>360</v>
      </c>
      <c r="E279" s="51" t="s">
        <v>3</v>
      </c>
      <c r="F279" s="110">
        <f t="shared" si="17"/>
        <v>1350</v>
      </c>
      <c r="G279" s="51" t="s">
        <v>3</v>
      </c>
      <c r="H279" s="48">
        <v>4</v>
      </c>
      <c r="I279" s="49" t="s">
        <v>45</v>
      </c>
      <c r="J279" s="184">
        <v>80</v>
      </c>
      <c r="K279" s="113">
        <v>360</v>
      </c>
      <c r="L279" s="113">
        <v>1350</v>
      </c>
      <c r="M279" s="185">
        <v>15.931158696015263</v>
      </c>
      <c r="N279" s="75">
        <v>669.35113896578389</v>
      </c>
      <c r="O279" s="121">
        <v>23632.880534801781</v>
      </c>
      <c r="P279" s="121">
        <v>28056.250416468494</v>
      </c>
      <c r="Q279" s="120">
        <v>18891.815776674081</v>
      </c>
      <c r="R279" s="314">
        <v>42524.696311475862</v>
      </c>
      <c r="S279" s="315">
        <v>46948.066193142571</v>
      </c>
      <c r="U279" s="7" t="s">
        <v>2005</v>
      </c>
    </row>
    <row r="280" spans="1:21" s="74" customFormat="1" ht="16.5" thickBot="1">
      <c r="A280" s="50" t="s">
        <v>35</v>
      </c>
      <c r="B280" s="51">
        <f t="shared" si="15"/>
        <v>80</v>
      </c>
      <c r="C280" s="51" t="s">
        <v>3</v>
      </c>
      <c r="D280" s="51">
        <f t="shared" si="16"/>
        <v>360</v>
      </c>
      <c r="E280" s="51" t="s">
        <v>3</v>
      </c>
      <c r="F280" s="110">
        <f t="shared" si="17"/>
        <v>1400</v>
      </c>
      <c r="G280" s="51" t="s">
        <v>3</v>
      </c>
      <c r="H280" s="48">
        <v>4</v>
      </c>
      <c r="I280" s="49" t="s">
        <v>45</v>
      </c>
      <c r="J280" s="184">
        <v>80</v>
      </c>
      <c r="K280" s="113">
        <v>360</v>
      </c>
      <c r="L280" s="113">
        <v>1400</v>
      </c>
      <c r="M280" s="185">
        <v>16.482976244722632</v>
      </c>
      <c r="N280" s="75">
        <v>702.81869591407315</v>
      </c>
      <c r="O280" s="121">
        <v>24307.751428339281</v>
      </c>
      <c r="P280" s="121">
        <v>28871.051935983192</v>
      </c>
      <c r="Q280" s="120">
        <v>19675.994695960278</v>
      </c>
      <c r="R280" s="314">
        <v>43983.746124299563</v>
      </c>
      <c r="S280" s="315">
        <v>48547.046631943471</v>
      </c>
      <c r="U280" s="7" t="s">
        <v>2006</v>
      </c>
    </row>
    <row r="281" spans="1:21" s="74" customFormat="1" ht="16.5" thickBot="1">
      <c r="A281" s="50" t="s">
        <v>35</v>
      </c>
      <c r="B281" s="51">
        <f t="shared" si="15"/>
        <v>80</v>
      </c>
      <c r="C281" s="51" t="s">
        <v>3</v>
      </c>
      <c r="D281" s="51">
        <f t="shared" si="16"/>
        <v>360</v>
      </c>
      <c r="E281" s="51" t="s">
        <v>3</v>
      </c>
      <c r="F281" s="110">
        <f t="shared" si="17"/>
        <v>1450</v>
      </c>
      <c r="G281" s="51" t="s">
        <v>3</v>
      </c>
      <c r="H281" s="48">
        <v>4</v>
      </c>
      <c r="I281" s="49" t="s">
        <v>45</v>
      </c>
      <c r="J281" s="184">
        <v>80</v>
      </c>
      <c r="K281" s="113">
        <v>360</v>
      </c>
      <c r="L281" s="113">
        <v>1450</v>
      </c>
      <c r="M281" s="185">
        <v>17.034793793429998</v>
      </c>
      <c r="N281" s="75">
        <v>736.28625286236229</v>
      </c>
      <c r="O281" s="121">
        <v>24982.622321876781</v>
      </c>
      <c r="P281" s="121">
        <v>29685.853595891258</v>
      </c>
      <c r="Q281" s="120">
        <v>20229.591837463206</v>
      </c>
      <c r="R281" s="314">
        <v>45212.214159339987</v>
      </c>
      <c r="S281" s="315">
        <v>49915.445433354464</v>
      </c>
      <c r="U281" s="7" t="s">
        <v>2007</v>
      </c>
    </row>
    <row r="282" spans="1:21" s="74" customFormat="1" ht="16.5" thickBot="1">
      <c r="A282" s="50" t="s">
        <v>35</v>
      </c>
      <c r="B282" s="51">
        <f t="shared" si="15"/>
        <v>80</v>
      </c>
      <c r="C282" s="51" t="s">
        <v>3</v>
      </c>
      <c r="D282" s="51">
        <f t="shared" si="16"/>
        <v>360</v>
      </c>
      <c r="E282" s="51" t="s">
        <v>3</v>
      </c>
      <c r="F282" s="110">
        <f t="shared" si="17"/>
        <v>1500</v>
      </c>
      <c r="G282" s="51" t="s">
        <v>3</v>
      </c>
      <c r="H282" s="48">
        <v>4</v>
      </c>
      <c r="I282" s="49" t="s">
        <v>45</v>
      </c>
      <c r="J282" s="184">
        <v>80</v>
      </c>
      <c r="K282" s="113">
        <v>360</v>
      </c>
      <c r="L282" s="113">
        <v>1500</v>
      </c>
      <c r="M282" s="185">
        <v>17.762377290937369</v>
      </c>
      <c r="N282" s="75">
        <v>769.75380981065143</v>
      </c>
      <c r="O282" s="121">
        <v>26378.818026309229</v>
      </c>
      <c r="P282" s="121">
        <v>31163.367943750956</v>
      </c>
      <c r="Q282" s="120">
        <v>21013.770756749404</v>
      </c>
      <c r="R282" s="314">
        <v>47392.588783058629</v>
      </c>
      <c r="S282" s="315">
        <v>52177.138700500363</v>
      </c>
      <c r="U282" s="7" t="s">
        <v>2008</v>
      </c>
    </row>
    <row r="283" spans="1:21" s="74" customFormat="1" ht="16.5" thickBot="1">
      <c r="A283" s="50" t="s">
        <v>35</v>
      </c>
      <c r="B283" s="51">
        <f t="shared" si="15"/>
        <v>80</v>
      </c>
      <c r="C283" s="51" t="s">
        <v>3</v>
      </c>
      <c r="D283" s="51">
        <f t="shared" si="16"/>
        <v>360</v>
      </c>
      <c r="E283" s="51" t="s">
        <v>3</v>
      </c>
      <c r="F283" s="110">
        <f t="shared" si="17"/>
        <v>1550</v>
      </c>
      <c r="G283" s="51" t="s">
        <v>3</v>
      </c>
      <c r="H283" s="48">
        <v>4</v>
      </c>
      <c r="I283" s="49" t="s">
        <v>45</v>
      </c>
      <c r="J283" s="184">
        <v>80</v>
      </c>
      <c r="K283" s="113">
        <v>360</v>
      </c>
      <c r="L283" s="113">
        <v>1550</v>
      </c>
      <c r="M283" s="185">
        <v>18.314194839644735</v>
      </c>
      <c r="N283" s="75">
        <v>803.22136675894069</v>
      </c>
      <c r="O283" s="121">
        <v>27053.688919846732</v>
      </c>
      <c r="P283" s="121">
        <v>31978.169463265658</v>
      </c>
      <c r="Q283" s="120">
        <v>21567.367898252327</v>
      </c>
      <c r="R283" s="314">
        <v>48621.056818099059</v>
      </c>
      <c r="S283" s="315">
        <v>53545.537361517985</v>
      </c>
      <c r="U283" s="7" t="s">
        <v>2009</v>
      </c>
    </row>
    <row r="284" spans="1:21" s="74" customFormat="1" ht="16.5" thickBot="1">
      <c r="A284" s="47" t="s">
        <v>35</v>
      </c>
      <c r="B284" s="48">
        <f t="shared" si="15"/>
        <v>80</v>
      </c>
      <c r="C284" s="48" t="s">
        <v>3</v>
      </c>
      <c r="D284" s="48">
        <f t="shared" si="16"/>
        <v>360</v>
      </c>
      <c r="E284" s="48" t="s">
        <v>3</v>
      </c>
      <c r="F284" s="110">
        <f t="shared" si="17"/>
        <v>1600</v>
      </c>
      <c r="G284" s="48" t="s">
        <v>3</v>
      </c>
      <c r="H284" s="48">
        <v>4</v>
      </c>
      <c r="I284" s="49" t="s">
        <v>45</v>
      </c>
      <c r="J284" s="184">
        <v>80</v>
      </c>
      <c r="K284" s="113">
        <v>360</v>
      </c>
      <c r="L284" s="113">
        <v>1600</v>
      </c>
      <c r="M284" s="185">
        <v>18.866012388352104</v>
      </c>
      <c r="N284" s="75">
        <v>836.68892370722983</v>
      </c>
      <c r="O284" s="121">
        <v>27728.559813384232</v>
      </c>
      <c r="P284" s="121">
        <v>32792.971123173724</v>
      </c>
      <c r="Q284" s="120">
        <v>22120.965039755254</v>
      </c>
      <c r="R284" s="314">
        <v>49849.52485313949</v>
      </c>
      <c r="S284" s="315">
        <v>54913.936162928978</v>
      </c>
      <c r="U284" s="7" t="s">
        <v>2010</v>
      </c>
    </row>
    <row r="285" spans="1:21" s="74" customFormat="1" ht="16.5" thickBot="1">
      <c r="A285" s="50" t="s">
        <v>35</v>
      </c>
      <c r="B285" s="51">
        <f t="shared" si="15"/>
        <v>80</v>
      </c>
      <c r="C285" s="51" t="s">
        <v>3</v>
      </c>
      <c r="D285" s="51">
        <f t="shared" si="16"/>
        <v>360</v>
      </c>
      <c r="E285" s="51" t="s">
        <v>3</v>
      </c>
      <c r="F285" s="110">
        <f t="shared" si="17"/>
        <v>1650</v>
      </c>
      <c r="G285" s="51" t="s">
        <v>3</v>
      </c>
      <c r="H285" s="48">
        <v>4</v>
      </c>
      <c r="I285" s="49" t="s">
        <v>45</v>
      </c>
      <c r="J285" s="184">
        <v>80</v>
      </c>
      <c r="K285" s="113">
        <v>360</v>
      </c>
      <c r="L285" s="113">
        <v>1650</v>
      </c>
      <c r="M285" s="185">
        <v>19.417829937059473</v>
      </c>
      <c r="N285" s="75">
        <v>870.15648065551909</v>
      </c>
      <c r="O285" s="121">
        <v>28403.430706921728</v>
      </c>
      <c r="P285" s="121">
        <v>33607.772642688418</v>
      </c>
      <c r="Q285" s="120">
        <v>22905.143959041456</v>
      </c>
      <c r="R285" s="314">
        <v>51308.574665963184</v>
      </c>
      <c r="S285" s="315">
        <v>56512.91660172987</v>
      </c>
      <c r="U285" s="7" t="s">
        <v>2011</v>
      </c>
    </row>
    <row r="286" spans="1:21" s="74" customFormat="1" ht="16.5" thickBot="1">
      <c r="A286" s="50" t="s">
        <v>35</v>
      </c>
      <c r="B286" s="51">
        <f t="shared" si="15"/>
        <v>80</v>
      </c>
      <c r="C286" s="51" t="s">
        <v>3</v>
      </c>
      <c r="D286" s="51">
        <f t="shared" si="16"/>
        <v>360</v>
      </c>
      <c r="E286" s="51" t="s">
        <v>3</v>
      </c>
      <c r="F286" s="110">
        <f t="shared" si="17"/>
        <v>1700</v>
      </c>
      <c r="G286" s="51" t="s">
        <v>3</v>
      </c>
      <c r="H286" s="48">
        <v>4</v>
      </c>
      <c r="I286" s="49" t="s">
        <v>45</v>
      </c>
      <c r="J286" s="184">
        <v>80</v>
      </c>
      <c r="K286" s="113">
        <v>360</v>
      </c>
      <c r="L286" s="113">
        <v>1700</v>
      </c>
      <c r="M286" s="185">
        <v>19.969647485766842</v>
      </c>
      <c r="N286" s="75">
        <v>903.62403760380835</v>
      </c>
      <c r="O286" s="121">
        <v>29078.301600459228</v>
      </c>
      <c r="P286" s="121">
        <v>34422.57416220312</v>
      </c>
      <c r="Q286" s="120">
        <v>23458.741100544379</v>
      </c>
      <c r="R286" s="314">
        <v>52537.042701003607</v>
      </c>
      <c r="S286" s="315">
        <v>57881.315262747499</v>
      </c>
      <c r="U286" s="7" t="s">
        <v>2012</v>
      </c>
    </row>
    <row r="287" spans="1:21" s="74" customFormat="1" ht="16.5" thickBot="1">
      <c r="A287" s="50" t="s">
        <v>35</v>
      </c>
      <c r="B287" s="51">
        <f t="shared" si="15"/>
        <v>80</v>
      </c>
      <c r="C287" s="51" t="s">
        <v>3</v>
      </c>
      <c r="D287" s="51">
        <f t="shared" si="16"/>
        <v>360</v>
      </c>
      <c r="E287" s="51" t="s">
        <v>3</v>
      </c>
      <c r="F287" s="110">
        <f t="shared" si="17"/>
        <v>1750</v>
      </c>
      <c r="G287" s="51" t="s">
        <v>3</v>
      </c>
      <c r="H287" s="48">
        <v>4</v>
      </c>
      <c r="I287" s="49" t="s">
        <v>45</v>
      </c>
      <c r="J287" s="184">
        <v>80</v>
      </c>
      <c r="K287" s="113">
        <v>360</v>
      </c>
      <c r="L287" s="113">
        <v>1750</v>
      </c>
      <c r="M287" s="185">
        <v>20.521465034474208</v>
      </c>
      <c r="N287" s="75">
        <v>937.09159455209738</v>
      </c>
      <c r="O287" s="121">
        <v>29753.172493996732</v>
      </c>
      <c r="P287" s="121">
        <v>35237.375822111178</v>
      </c>
      <c r="Q287" s="120">
        <v>24242.920019830581</v>
      </c>
      <c r="R287" s="314">
        <v>53996.092513827316</v>
      </c>
      <c r="S287" s="315">
        <v>59480.295841941755</v>
      </c>
      <c r="U287" s="7" t="s">
        <v>2013</v>
      </c>
    </row>
    <row r="288" spans="1:21" s="74" customFormat="1" ht="16.5" thickBot="1">
      <c r="A288" s="50" t="s">
        <v>35</v>
      </c>
      <c r="B288" s="51">
        <f t="shared" si="15"/>
        <v>80</v>
      </c>
      <c r="C288" s="51" t="s">
        <v>3</v>
      </c>
      <c r="D288" s="51">
        <f t="shared" si="16"/>
        <v>360</v>
      </c>
      <c r="E288" s="51" t="s">
        <v>3</v>
      </c>
      <c r="F288" s="110">
        <f t="shared" si="17"/>
        <v>1800</v>
      </c>
      <c r="G288" s="51" t="s">
        <v>3</v>
      </c>
      <c r="H288" s="48">
        <v>4</v>
      </c>
      <c r="I288" s="49" t="s">
        <v>45</v>
      </c>
      <c r="J288" s="184">
        <v>80</v>
      </c>
      <c r="K288" s="113">
        <v>360</v>
      </c>
      <c r="L288" s="113">
        <v>1800</v>
      </c>
      <c r="M288" s="185">
        <v>21.07328258318158</v>
      </c>
      <c r="N288" s="75">
        <v>970.55915150038663</v>
      </c>
      <c r="O288" s="121">
        <v>30428.043247140868</v>
      </c>
      <c r="P288" s="121">
        <v>36052.17734162588</v>
      </c>
      <c r="Q288" s="120">
        <v>24796.517161333504</v>
      </c>
      <c r="R288" s="314">
        <v>55224.560408474368</v>
      </c>
      <c r="S288" s="315">
        <v>60848.694502959384</v>
      </c>
      <c r="U288" s="7" t="s">
        <v>2014</v>
      </c>
    </row>
    <row r="289" spans="1:21" s="74" customFormat="1" ht="16.5" thickBot="1">
      <c r="A289" s="50" t="s">
        <v>35</v>
      </c>
      <c r="B289" s="51">
        <f t="shared" si="15"/>
        <v>80</v>
      </c>
      <c r="C289" s="51" t="s">
        <v>3</v>
      </c>
      <c r="D289" s="51">
        <f t="shared" si="16"/>
        <v>360</v>
      </c>
      <c r="E289" s="51" t="s">
        <v>3</v>
      </c>
      <c r="F289" s="110">
        <f t="shared" si="17"/>
        <v>1850</v>
      </c>
      <c r="G289" s="51" t="s">
        <v>3</v>
      </c>
      <c r="H289" s="48">
        <v>4</v>
      </c>
      <c r="I289" s="49" t="s">
        <v>45</v>
      </c>
      <c r="J289" s="184">
        <v>80</v>
      </c>
      <c r="K289" s="113">
        <v>360</v>
      </c>
      <c r="L289" s="113">
        <v>1850</v>
      </c>
      <c r="M289" s="185">
        <v>21.625100131888949</v>
      </c>
      <c r="N289" s="75">
        <v>1004.0267084486759</v>
      </c>
      <c r="O289" s="121">
        <v>31102.914140678367</v>
      </c>
      <c r="P289" s="121">
        <v>36866.979001533946</v>
      </c>
      <c r="Q289" s="120">
        <v>25580.69622101307</v>
      </c>
      <c r="R289" s="314">
        <v>56683.610361691433</v>
      </c>
      <c r="S289" s="315">
        <v>62447.675222547012</v>
      </c>
      <c r="U289" s="7" t="s">
        <v>2015</v>
      </c>
    </row>
    <row r="290" spans="1:21" s="74" customFormat="1" ht="16.5" thickBot="1">
      <c r="A290" s="50" t="s">
        <v>35</v>
      </c>
      <c r="B290" s="51">
        <f t="shared" si="15"/>
        <v>80</v>
      </c>
      <c r="C290" s="51" t="s">
        <v>3</v>
      </c>
      <c r="D290" s="51">
        <f t="shared" si="16"/>
        <v>360</v>
      </c>
      <c r="E290" s="51" t="s">
        <v>3</v>
      </c>
      <c r="F290" s="110">
        <f t="shared" si="17"/>
        <v>1900</v>
      </c>
      <c r="G290" s="51" t="s">
        <v>3</v>
      </c>
      <c r="H290" s="48">
        <v>4</v>
      </c>
      <c r="I290" s="49" t="s">
        <v>45</v>
      </c>
      <c r="J290" s="184">
        <v>80</v>
      </c>
      <c r="K290" s="113">
        <v>360</v>
      </c>
      <c r="L290" s="113">
        <v>1900</v>
      </c>
      <c r="M290" s="185">
        <v>22.176917680596315</v>
      </c>
      <c r="N290" s="75">
        <v>1037.4942653969651</v>
      </c>
      <c r="O290" s="121">
        <v>31777.785034215871</v>
      </c>
      <c r="P290" s="121">
        <v>37681.780521048648</v>
      </c>
      <c r="Q290" s="120">
        <v>26134.293362515993</v>
      </c>
      <c r="R290" s="314">
        <v>57912.078396731864</v>
      </c>
      <c r="S290" s="315">
        <v>63816.073883564641</v>
      </c>
      <c r="U290" s="7" t="s">
        <v>2016</v>
      </c>
    </row>
    <row r="291" spans="1:21" s="74" customFormat="1" ht="16.5" thickBot="1">
      <c r="A291" s="50" t="s">
        <v>35</v>
      </c>
      <c r="B291" s="51">
        <f t="shared" si="15"/>
        <v>80</v>
      </c>
      <c r="C291" s="51" t="s">
        <v>3</v>
      </c>
      <c r="D291" s="51">
        <f t="shared" si="16"/>
        <v>360</v>
      </c>
      <c r="E291" s="51" t="s">
        <v>3</v>
      </c>
      <c r="F291" s="110">
        <f t="shared" si="17"/>
        <v>1950</v>
      </c>
      <c r="G291" s="51" t="s">
        <v>3</v>
      </c>
      <c r="H291" s="48">
        <v>4</v>
      </c>
      <c r="I291" s="49" t="s">
        <v>45</v>
      </c>
      <c r="J291" s="184">
        <v>80</v>
      </c>
      <c r="K291" s="113">
        <v>360</v>
      </c>
      <c r="L291" s="113">
        <v>1950</v>
      </c>
      <c r="M291" s="185">
        <v>22.807235229303686</v>
      </c>
      <c r="N291" s="75">
        <v>1070.9618223452542</v>
      </c>
      <c r="O291" s="121">
        <v>32529.810363655506</v>
      </c>
      <c r="P291" s="121">
        <v>38571.384747250246</v>
      </c>
      <c r="Q291" s="120">
        <v>26687.890504018917</v>
      </c>
      <c r="R291" s="314">
        <v>59217.700867674423</v>
      </c>
      <c r="S291" s="315">
        <v>65259.275251269166</v>
      </c>
      <c r="U291" s="7" t="s">
        <v>2017</v>
      </c>
    </row>
    <row r="292" spans="1:21" s="74" customFormat="1" ht="16.5" thickBot="1">
      <c r="A292" s="50" t="s">
        <v>35</v>
      </c>
      <c r="B292" s="51">
        <f t="shared" si="15"/>
        <v>80</v>
      </c>
      <c r="C292" s="51" t="s">
        <v>3</v>
      </c>
      <c r="D292" s="51">
        <f t="shared" si="16"/>
        <v>360</v>
      </c>
      <c r="E292" s="51" t="s">
        <v>3</v>
      </c>
      <c r="F292" s="110">
        <f t="shared" si="17"/>
        <v>2000</v>
      </c>
      <c r="G292" s="51" t="s">
        <v>3</v>
      </c>
      <c r="H292" s="48">
        <v>4</v>
      </c>
      <c r="I292" s="49" t="s">
        <v>45</v>
      </c>
      <c r="J292" s="184">
        <v>80</v>
      </c>
      <c r="K292" s="113">
        <v>360</v>
      </c>
      <c r="L292" s="113">
        <v>2000</v>
      </c>
      <c r="M292" s="185">
        <v>23.450615178011049</v>
      </c>
      <c r="N292" s="75">
        <v>1104.4293792935434</v>
      </c>
      <c r="O292" s="121">
        <v>33435.224146014873</v>
      </c>
      <c r="P292" s="121">
        <v>39687.496957035459</v>
      </c>
      <c r="Q292" s="120">
        <v>27472.069423305118</v>
      </c>
      <c r="R292" s="314">
        <v>60907.293569319991</v>
      </c>
      <c r="S292" s="315">
        <v>67159.566380340577</v>
      </c>
      <c r="U292" s="7" t="s">
        <v>2018</v>
      </c>
    </row>
    <row r="293" spans="1:21" s="74" customFormat="1" ht="16.5" thickBot="1">
      <c r="A293" s="50" t="s">
        <v>35</v>
      </c>
      <c r="B293" s="51">
        <f t="shared" si="15"/>
        <v>80</v>
      </c>
      <c r="C293" s="51" t="s">
        <v>3</v>
      </c>
      <c r="D293" s="51">
        <f t="shared" si="16"/>
        <v>360</v>
      </c>
      <c r="E293" s="51" t="s">
        <v>3</v>
      </c>
      <c r="F293" s="110">
        <f t="shared" si="17"/>
        <v>2050</v>
      </c>
      <c r="G293" s="51" t="s">
        <v>3</v>
      </c>
      <c r="H293" s="48">
        <v>4</v>
      </c>
      <c r="I293" s="49" t="s">
        <v>45</v>
      </c>
      <c r="J293" s="184">
        <v>80</v>
      </c>
      <c r="K293" s="113">
        <v>360</v>
      </c>
      <c r="L293" s="113">
        <v>2050</v>
      </c>
      <c r="M293" s="185">
        <v>24.002432726718418</v>
      </c>
      <c r="N293" s="75">
        <v>1137.8969362418327</v>
      </c>
      <c r="O293" s="121">
        <v>34110.095039552369</v>
      </c>
      <c r="P293" s="121">
        <v>40502.298476550161</v>
      </c>
      <c r="Q293" s="120">
        <v>28025.666564808042</v>
      </c>
      <c r="R293" s="314">
        <v>62135.761604360407</v>
      </c>
      <c r="S293" s="315">
        <v>68527.965041358199</v>
      </c>
      <c r="U293" s="7" t="s">
        <v>2019</v>
      </c>
    </row>
    <row r="294" spans="1:21" s="74" customFormat="1" ht="16.5" thickBot="1">
      <c r="A294" s="47" t="s">
        <v>35</v>
      </c>
      <c r="B294" s="48">
        <f t="shared" si="15"/>
        <v>80</v>
      </c>
      <c r="C294" s="48" t="s">
        <v>3</v>
      </c>
      <c r="D294" s="48">
        <f t="shared" si="16"/>
        <v>360</v>
      </c>
      <c r="E294" s="48" t="s">
        <v>3</v>
      </c>
      <c r="F294" s="110">
        <f t="shared" si="17"/>
        <v>2100</v>
      </c>
      <c r="G294" s="48" t="s">
        <v>3</v>
      </c>
      <c r="H294" s="48">
        <v>4</v>
      </c>
      <c r="I294" s="49" t="s">
        <v>45</v>
      </c>
      <c r="J294" s="184">
        <v>80</v>
      </c>
      <c r="K294" s="113">
        <v>360</v>
      </c>
      <c r="L294" s="113">
        <v>2100</v>
      </c>
      <c r="M294" s="185">
        <v>24.554250275425787</v>
      </c>
      <c r="N294" s="75">
        <v>1171.3644931901217</v>
      </c>
      <c r="O294" s="121">
        <v>34784.965933089872</v>
      </c>
      <c r="P294" s="121">
        <v>41317.099996064862</v>
      </c>
      <c r="Q294" s="120">
        <v>28809.845484094247</v>
      </c>
      <c r="R294" s="314">
        <v>63594.811417184115</v>
      </c>
      <c r="S294" s="315">
        <v>70126.945480159106</v>
      </c>
      <c r="U294" s="7" t="s">
        <v>2020</v>
      </c>
    </row>
    <row r="295" spans="1:21" s="74" customFormat="1" ht="16.5" thickBot="1">
      <c r="A295" s="50" t="s">
        <v>35</v>
      </c>
      <c r="B295" s="51">
        <f t="shared" si="15"/>
        <v>80</v>
      </c>
      <c r="C295" s="51" t="s">
        <v>3</v>
      </c>
      <c r="D295" s="51">
        <f t="shared" si="16"/>
        <v>360</v>
      </c>
      <c r="E295" s="51" t="s">
        <v>3</v>
      </c>
      <c r="F295" s="110">
        <f t="shared" si="17"/>
        <v>2150</v>
      </c>
      <c r="G295" s="51" t="s">
        <v>3</v>
      </c>
      <c r="H295" s="48">
        <v>4</v>
      </c>
      <c r="I295" s="49" t="s">
        <v>45</v>
      </c>
      <c r="J295" s="184">
        <v>80</v>
      </c>
      <c r="K295" s="113">
        <v>360</v>
      </c>
      <c r="L295" s="113">
        <v>2150</v>
      </c>
      <c r="M295" s="185">
        <v>25.106067824133156</v>
      </c>
      <c r="N295" s="75">
        <v>1204.832050138411</v>
      </c>
      <c r="O295" s="121">
        <v>35459.836826627368</v>
      </c>
      <c r="P295" s="121">
        <v>42131.901655972921</v>
      </c>
      <c r="Q295" s="120">
        <v>29363.442625597167</v>
      </c>
      <c r="R295" s="314">
        <v>64823.279452224539</v>
      </c>
      <c r="S295" s="315">
        <v>71495.344281570084</v>
      </c>
      <c r="U295" s="7" t="s">
        <v>2021</v>
      </c>
    </row>
    <row r="296" spans="1:21" s="74" customFormat="1" ht="16.5" thickBot="1">
      <c r="A296" s="50" t="s">
        <v>35</v>
      </c>
      <c r="B296" s="51">
        <f t="shared" si="15"/>
        <v>80</v>
      </c>
      <c r="C296" s="51" t="s">
        <v>3</v>
      </c>
      <c r="D296" s="51">
        <f t="shared" si="16"/>
        <v>360</v>
      </c>
      <c r="E296" s="51" t="s">
        <v>3</v>
      </c>
      <c r="F296" s="110">
        <f t="shared" si="17"/>
        <v>2200</v>
      </c>
      <c r="G296" s="51" t="s">
        <v>3</v>
      </c>
      <c r="H296" s="48">
        <v>4</v>
      </c>
      <c r="I296" s="49" t="s">
        <v>45</v>
      </c>
      <c r="J296" s="184">
        <v>80</v>
      </c>
      <c r="K296" s="113">
        <v>360</v>
      </c>
      <c r="L296" s="113">
        <v>2200</v>
      </c>
      <c r="M296" s="185">
        <v>25.657885372840525</v>
      </c>
      <c r="N296" s="75">
        <v>1238.2996070867002</v>
      </c>
      <c r="O296" s="121">
        <v>36134.707720164872</v>
      </c>
      <c r="P296" s="121">
        <v>42946.703175487623</v>
      </c>
      <c r="Q296" s="120">
        <v>30147.621544883372</v>
      </c>
      <c r="R296" s="314">
        <v>66282.329265048247</v>
      </c>
      <c r="S296" s="315">
        <v>73094.324720370991</v>
      </c>
      <c r="U296" s="7" t="s">
        <v>2022</v>
      </c>
    </row>
    <row r="297" spans="1:21" s="74" customFormat="1" ht="16.5" thickBot="1">
      <c r="A297" s="50" t="s">
        <v>35</v>
      </c>
      <c r="B297" s="51">
        <f t="shared" si="15"/>
        <v>80</v>
      </c>
      <c r="C297" s="51" t="s">
        <v>3</v>
      </c>
      <c r="D297" s="51">
        <f t="shared" si="16"/>
        <v>360</v>
      </c>
      <c r="E297" s="51" t="s">
        <v>3</v>
      </c>
      <c r="F297" s="110">
        <f t="shared" si="17"/>
        <v>2250</v>
      </c>
      <c r="G297" s="51" t="s">
        <v>3</v>
      </c>
      <c r="H297" s="48">
        <v>4</v>
      </c>
      <c r="I297" s="49" t="s">
        <v>45</v>
      </c>
      <c r="J297" s="184">
        <v>80</v>
      </c>
      <c r="K297" s="113">
        <v>360</v>
      </c>
      <c r="L297" s="113">
        <v>2250</v>
      </c>
      <c r="M297" s="185">
        <v>26.209702921547894</v>
      </c>
      <c r="N297" s="75">
        <v>1271.7671640349893</v>
      </c>
      <c r="O297" s="121">
        <v>36809.578613702368</v>
      </c>
      <c r="P297" s="121">
        <v>43761.504835395688</v>
      </c>
      <c r="Q297" s="120">
        <v>30701.218686386295</v>
      </c>
      <c r="R297" s="314">
        <v>67510.797300088656</v>
      </c>
      <c r="S297" s="315">
        <v>74462.723521781983</v>
      </c>
      <c r="U297" s="7" t="s">
        <v>2023</v>
      </c>
    </row>
    <row r="298" spans="1:21" s="74" customFormat="1" ht="16.5" thickBot="1">
      <c r="A298" s="50" t="s">
        <v>35</v>
      </c>
      <c r="B298" s="51">
        <f t="shared" si="15"/>
        <v>80</v>
      </c>
      <c r="C298" s="51" t="s">
        <v>3</v>
      </c>
      <c r="D298" s="51">
        <f t="shared" si="16"/>
        <v>360</v>
      </c>
      <c r="E298" s="51" t="s">
        <v>3</v>
      </c>
      <c r="F298" s="110">
        <f t="shared" si="17"/>
        <v>2300</v>
      </c>
      <c r="G298" s="51" t="s">
        <v>3</v>
      </c>
      <c r="H298" s="48">
        <v>4</v>
      </c>
      <c r="I298" s="49" t="s">
        <v>45</v>
      </c>
      <c r="J298" s="184">
        <v>80</v>
      </c>
      <c r="K298" s="113">
        <v>360</v>
      </c>
      <c r="L298" s="113">
        <v>2300</v>
      </c>
      <c r="M298" s="185">
        <v>26.761520470255263</v>
      </c>
      <c r="N298" s="75">
        <v>1305.2347209832785</v>
      </c>
      <c r="O298" s="121">
        <v>37484.449507239871</v>
      </c>
      <c r="P298" s="121">
        <v>44576.30635491039</v>
      </c>
      <c r="Q298" s="120">
        <v>31254.815827889219</v>
      </c>
      <c r="R298" s="314">
        <v>68739.265335129094</v>
      </c>
      <c r="S298" s="315">
        <v>75831.122182799605</v>
      </c>
      <c r="U298" s="7" t="s">
        <v>2024</v>
      </c>
    </row>
    <row r="299" spans="1:21" s="74" customFormat="1" ht="16.5" thickBot="1">
      <c r="A299" s="50" t="s">
        <v>35</v>
      </c>
      <c r="B299" s="51">
        <f t="shared" si="15"/>
        <v>80</v>
      </c>
      <c r="C299" s="51" t="s">
        <v>3</v>
      </c>
      <c r="D299" s="51">
        <f t="shared" si="16"/>
        <v>360</v>
      </c>
      <c r="E299" s="51" t="s">
        <v>3</v>
      </c>
      <c r="F299" s="110">
        <f t="shared" si="17"/>
        <v>2350</v>
      </c>
      <c r="G299" s="51" t="s">
        <v>3</v>
      </c>
      <c r="H299" s="48">
        <v>4</v>
      </c>
      <c r="I299" s="49" t="s">
        <v>45</v>
      </c>
      <c r="J299" s="184">
        <v>80</v>
      </c>
      <c r="K299" s="113">
        <v>360</v>
      </c>
      <c r="L299" s="113">
        <v>2350</v>
      </c>
      <c r="M299" s="185">
        <v>27.313338018962632</v>
      </c>
      <c r="N299" s="75">
        <v>1338.7022779315678</v>
      </c>
      <c r="O299" s="121">
        <v>38159.320400777375</v>
      </c>
      <c r="P299" s="121">
        <v>45391.108014818448</v>
      </c>
      <c r="Q299" s="120">
        <v>32038.99474717542</v>
      </c>
      <c r="R299" s="314">
        <v>70198.315147952788</v>
      </c>
      <c r="S299" s="315">
        <v>77430.102761993869</v>
      </c>
      <c r="U299" s="7" t="s">
        <v>2025</v>
      </c>
    </row>
    <row r="300" spans="1:21" s="74" customFormat="1" ht="16.5" thickBot="1">
      <c r="A300" s="50" t="s">
        <v>35</v>
      </c>
      <c r="B300" s="51">
        <f t="shared" si="15"/>
        <v>80</v>
      </c>
      <c r="C300" s="51" t="s">
        <v>3</v>
      </c>
      <c r="D300" s="51">
        <f t="shared" si="16"/>
        <v>360</v>
      </c>
      <c r="E300" s="51" t="s">
        <v>3</v>
      </c>
      <c r="F300" s="110">
        <f t="shared" si="17"/>
        <v>2400</v>
      </c>
      <c r="G300" s="51" t="s">
        <v>3</v>
      </c>
      <c r="H300" s="48">
        <v>4</v>
      </c>
      <c r="I300" s="49" t="s">
        <v>45</v>
      </c>
      <c r="J300" s="184">
        <v>80</v>
      </c>
      <c r="K300" s="113">
        <v>360</v>
      </c>
      <c r="L300" s="113">
        <v>2400</v>
      </c>
      <c r="M300" s="185">
        <v>27.865155567669994</v>
      </c>
      <c r="N300" s="75">
        <v>1372.1698348798568</v>
      </c>
      <c r="O300" s="121">
        <v>38834.191153921507</v>
      </c>
      <c r="P300" s="121">
        <v>46205.90953433315</v>
      </c>
      <c r="Q300" s="120">
        <v>32592.591888678344</v>
      </c>
      <c r="R300" s="314">
        <v>71426.783042599855</v>
      </c>
      <c r="S300" s="315">
        <v>78798.50142301149</v>
      </c>
      <c r="U300" s="7" t="s">
        <v>2026</v>
      </c>
    </row>
    <row r="301" spans="1:21" s="74" customFormat="1" ht="16.5" thickBot="1">
      <c r="A301" s="50" t="s">
        <v>35</v>
      </c>
      <c r="B301" s="51">
        <f t="shared" si="15"/>
        <v>80</v>
      </c>
      <c r="C301" s="51" t="s">
        <v>3</v>
      </c>
      <c r="D301" s="51">
        <f t="shared" si="16"/>
        <v>360</v>
      </c>
      <c r="E301" s="51" t="s">
        <v>3</v>
      </c>
      <c r="F301" s="110">
        <f t="shared" si="17"/>
        <v>2450</v>
      </c>
      <c r="G301" s="51" t="s">
        <v>3</v>
      </c>
      <c r="H301" s="48">
        <v>4</v>
      </c>
      <c r="I301" s="49" t="s">
        <v>45</v>
      </c>
      <c r="J301" s="184">
        <v>80</v>
      </c>
      <c r="K301" s="113">
        <v>360</v>
      </c>
      <c r="L301" s="113">
        <v>2450</v>
      </c>
      <c r="M301" s="185">
        <v>28.592739065177362</v>
      </c>
      <c r="N301" s="75">
        <v>1405.6373918281463</v>
      </c>
      <c r="O301" s="121">
        <v>40230.386998747323</v>
      </c>
      <c r="P301" s="121">
        <v>47683.423882192852</v>
      </c>
      <c r="Q301" s="120">
        <v>33376.770807964545</v>
      </c>
      <c r="R301" s="314">
        <v>73607.157806711868</v>
      </c>
      <c r="S301" s="315">
        <v>81060.194690157397</v>
      </c>
      <c r="U301" s="7" t="s">
        <v>2027</v>
      </c>
    </row>
    <row r="302" spans="1:21" s="74" customFormat="1" ht="16.5" thickBot="1">
      <c r="A302" s="50" t="s">
        <v>35</v>
      </c>
      <c r="B302" s="51">
        <f t="shared" si="15"/>
        <v>80</v>
      </c>
      <c r="C302" s="51" t="s">
        <v>3</v>
      </c>
      <c r="D302" s="51">
        <f t="shared" si="16"/>
        <v>360</v>
      </c>
      <c r="E302" s="51" t="s">
        <v>3</v>
      </c>
      <c r="F302" s="110">
        <f t="shared" si="17"/>
        <v>2500</v>
      </c>
      <c r="G302" s="51" t="s">
        <v>3</v>
      </c>
      <c r="H302" s="48">
        <v>4</v>
      </c>
      <c r="I302" s="49" t="s">
        <v>45</v>
      </c>
      <c r="J302" s="184">
        <v>80</v>
      </c>
      <c r="K302" s="113">
        <v>360</v>
      </c>
      <c r="L302" s="113">
        <v>2500</v>
      </c>
      <c r="M302" s="185">
        <v>29.144556613884731</v>
      </c>
      <c r="N302" s="75">
        <v>1439.1049487764353</v>
      </c>
      <c r="O302" s="121">
        <v>40905.257892284826</v>
      </c>
      <c r="P302" s="121">
        <v>48498.225401707554</v>
      </c>
      <c r="Q302" s="120">
        <v>33930.367949467472</v>
      </c>
      <c r="R302" s="314">
        <v>74835.625841752306</v>
      </c>
      <c r="S302" s="315">
        <v>82428.593351175019</v>
      </c>
      <c r="U302" s="7" t="s">
        <v>2028</v>
      </c>
    </row>
    <row r="303" spans="1:21" s="74" customFormat="1" ht="16.5" thickBot="1">
      <c r="A303" s="50" t="s">
        <v>35</v>
      </c>
      <c r="B303" s="51">
        <f t="shared" si="15"/>
        <v>80</v>
      </c>
      <c r="C303" s="51" t="s">
        <v>3</v>
      </c>
      <c r="D303" s="51">
        <f t="shared" si="16"/>
        <v>360</v>
      </c>
      <c r="E303" s="51" t="s">
        <v>3</v>
      </c>
      <c r="F303" s="110">
        <f t="shared" si="17"/>
        <v>2550</v>
      </c>
      <c r="G303" s="51" t="s">
        <v>3</v>
      </c>
      <c r="H303" s="48">
        <v>4</v>
      </c>
      <c r="I303" s="49" t="s">
        <v>45</v>
      </c>
      <c r="J303" s="184">
        <v>80</v>
      </c>
      <c r="K303" s="113">
        <v>360</v>
      </c>
      <c r="L303" s="113">
        <v>2550</v>
      </c>
      <c r="M303" s="185">
        <v>29.6963741625921</v>
      </c>
      <c r="N303" s="75">
        <v>1472.5725057247246</v>
      </c>
      <c r="O303" s="121">
        <v>41580.128785822322</v>
      </c>
      <c r="P303" s="121">
        <v>49313.027061615612</v>
      </c>
      <c r="Q303" s="120">
        <v>34714.547009147034</v>
      </c>
      <c r="R303" s="314">
        <v>76294.675794969357</v>
      </c>
      <c r="S303" s="315">
        <v>84027.574070762639</v>
      </c>
      <c r="U303" s="7" t="s">
        <v>2029</v>
      </c>
    </row>
    <row r="304" spans="1:21" s="74" customFormat="1" ht="16.5" thickBot="1">
      <c r="A304" s="47" t="s">
        <v>35</v>
      </c>
      <c r="B304" s="48">
        <f t="shared" si="15"/>
        <v>80</v>
      </c>
      <c r="C304" s="48" t="s">
        <v>3</v>
      </c>
      <c r="D304" s="48">
        <f t="shared" si="16"/>
        <v>360</v>
      </c>
      <c r="E304" s="48" t="s">
        <v>3</v>
      </c>
      <c r="F304" s="110">
        <f t="shared" si="17"/>
        <v>2600</v>
      </c>
      <c r="G304" s="48" t="s">
        <v>3</v>
      </c>
      <c r="H304" s="48">
        <v>4</v>
      </c>
      <c r="I304" s="49" t="s">
        <v>45</v>
      </c>
      <c r="J304" s="184">
        <v>80</v>
      </c>
      <c r="K304" s="113">
        <v>360</v>
      </c>
      <c r="L304" s="113">
        <v>2600</v>
      </c>
      <c r="M304" s="185">
        <v>30.248191711299476</v>
      </c>
      <c r="N304" s="75">
        <v>1506.0400626730138</v>
      </c>
      <c r="O304" s="121">
        <v>42254.999679359818</v>
      </c>
      <c r="P304" s="121">
        <v>50127.828581130168</v>
      </c>
      <c r="Q304" s="120">
        <v>35268.144150649961</v>
      </c>
      <c r="R304" s="314">
        <v>77523.14383000978</v>
      </c>
      <c r="S304" s="315">
        <v>85395.97273178013</v>
      </c>
      <c r="U304" s="7" t="s">
        <v>2030</v>
      </c>
    </row>
    <row r="305" spans="1:21" s="74" customFormat="1" ht="16.5" thickBot="1">
      <c r="A305" s="50" t="s">
        <v>35</v>
      </c>
      <c r="B305" s="51">
        <f t="shared" si="15"/>
        <v>80</v>
      </c>
      <c r="C305" s="51" t="s">
        <v>3</v>
      </c>
      <c r="D305" s="51">
        <f t="shared" si="16"/>
        <v>360</v>
      </c>
      <c r="E305" s="51" t="s">
        <v>3</v>
      </c>
      <c r="F305" s="110">
        <f t="shared" si="17"/>
        <v>2650</v>
      </c>
      <c r="G305" s="51" t="s">
        <v>3</v>
      </c>
      <c r="H305" s="48">
        <v>4</v>
      </c>
      <c r="I305" s="49" t="s">
        <v>45</v>
      </c>
      <c r="J305" s="184">
        <v>80</v>
      </c>
      <c r="K305" s="113">
        <v>360</v>
      </c>
      <c r="L305" s="113">
        <v>2650</v>
      </c>
      <c r="M305" s="185">
        <v>30.800009260006838</v>
      </c>
      <c r="N305" s="75">
        <v>1539.5076196213029</v>
      </c>
      <c r="O305" s="121">
        <v>42929.870432503958</v>
      </c>
      <c r="P305" s="121">
        <v>50942.630100645008</v>
      </c>
      <c r="Q305" s="120">
        <v>36052.323069936159</v>
      </c>
      <c r="R305" s="314">
        <v>78982.193502440117</v>
      </c>
      <c r="S305" s="315">
        <v>86994.953170581168</v>
      </c>
      <c r="U305" s="7" t="s">
        <v>2031</v>
      </c>
    </row>
    <row r="306" spans="1:21" s="74" customFormat="1" ht="16.5" thickBot="1">
      <c r="A306" s="50" t="s">
        <v>35</v>
      </c>
      <c r="B306" s="51">
        <f t="shared" si="15"/>
        <v>80</v>
      </c>
      <c r="C306" s="51" t="s">
        <v>3</v>
      </c>
      <c r="D306" s="51">
        <f t="shared" si="16"/>
        <v>360</v>
      </c>
      <c r="E306" s="51" t="s">
        <v>3</v>
      </c>
      <c r="F306" s="110">
        <f t="shared" si="17"/>
        <v>2700</v>
      </c>
      <c r="G306" s="51" t="s">
        <v>3</v>
      </c>
      <c r="H306" s="48">
        <v>4</v>
      </c>
      <c r="I306" s="49" t="s">
        <v>45</v>
      </c>
      <c r="J306" s="184">
        <v>80</v>
      </c>
      <c r="K306" s="113">
        <v>360</v>
      </c>
      <c r="L306" s="113">
        <v>2700</v>
      </c>
      <c r="M306" s="185">
        <v>31.430326808714209</v>
      </c>
      <c r="N306" s="75">
        <v>1572.9751765695921</v>
      </c>
      <c r="O306" s="121">
        <v>43681.895761943597</v>
      </c>
      <c r="P306" s="121">
        <v>51832.23446723997</v>
      </c>
      <c r="Q306" s="120">
        <v>36605.920211439086</v>
      </c>
      <c r="R306" s="314">
        <v>80287.815973382676</v>
      </c>
      <c r="S306" s="315">
        <v>88438.154678679057</v>
      </c>
      <c r="U306" s="7" t="s">
        <v>2032</v>
      </c>
    </row>
    <row r="307" spans="1:21" s="74" customFormat="1" ht="16.5" thickBot="1">
      <c r="A307" s="50" t="s">
        <v>35</v>
      </c>
      <c r="B307" s="51">
        <f t="shared" si="15"/>
        <v>80</v>
      </c>
      <c r="C307" s="51" t="s">
        <v>3</v>
      </c>
      <c r="D307" s="51">
        <f t="shared" si="16"/>
        <v>360</v>
      </c>
      <c r="E307" s="51" t="s">
        <v>3</v>
      </c>
      <c r="F307" s="110">
        <f t="shared" si="17"/>
        <v>2750</v>
      </c>
      <c r="G307" s="51" t="s">
        <v>3</v>
      </c>
      <c r="H307" s="48">
        <v>4</v>
      </c>
      <c r="I307" s="49" t="s">
        <v>45</v>
      </c>
      <c r="J307" s="184">
        <v>80</v>
      </c>
      <c r="K307" s="113">
        <v>360</v>
      </c>
      <c r="L307" s="113">
        <v>2750</v>
      </c>
      <c r="M307" s="185">
        <v>31.982144357421582</v>
      </c>
      <c r="N307" s="75">
        <v>1606.4427335178814</v>
      </c>
      <c r="O307" s="121">
        <v>44356.7666554811</v>
      </c>
      <c r="P307" s="121">
        <v>52647.035986754672</v>
      </c>
      <c r="Q307" s="120">
        <v>37159.517352942006</v>
      </c>
      <c r="R307" s="314">
        <v>81516.284008423099</v>
      </c>
      <c r="S307" s="315">
        <v>89806.553339696678</v>
      </c>
      <c r="U307" s="7" t="s">
        <v>2033</v>
      </c>
    </row>
    <row r="308" spans="1:21" s="74" customFormat="1" ht="16.5" thickBot="1">
      <c r="A308" s="50" t="s">
        <v>35</v>
      </c>
      <c r="B308" s="51">
        <f t="shared" si="15"/>
        <v>80</v>
      </c>
      <c r="C308" s="51" t="s">
        <v>3</v>
      </c>
      <c r="D308" s="51">
        <f t="shared" si="16"/>
        <v>360</v>
      </c>
      <c r="E308" s="51" t="s">
        <v>3</v>
      </c>
      <c r="F308" s="110">
        <f t="shared" si="17"/>
        <v>2800</v>
      </c>
      <c r="G308" s="51" t="s">
        <v>3</v>
      </c>
      <c r="H308" s="48">
        <v>4</v>
      </c>
      <c r="I308" s="49" t="s">
        <v>45</v>
      </c>
      <c r="J308" s="184">
        <v>80</v>
      </c>
      <c r="K308" s="113">
        <v>360</v>
      </c>
      <c r="L308" s="113">
        <v>2800</v>
      </c>
      <c r="M308" s="185">
        <v>32.533961906128937</v>
      </c>
      <c r="N308" s="75">
        <v>1639.9102904661706</v>
      </c>
      <c r="O308" s="121">
        <v>45031.637549018596</v>
      </c>
      <c r="P308" s="121">
        <v>53461.837506269367</v>
      </c>
      <c r="Q308" s="120">
        <v>37943.696272228204</v>
      </c>
      <c r="R308" s="314">
        <v>82975.333821246808</v>
      </c>
      <c r="S308" s="315">
        <v>91405.533778497571</v>
      </c>
      <c r="U308" s="7" t="s">
        <v>2034</v>
      </c>
    </row>
    <row r="309" spans="1:21" s="74" customFormat="1" ht="16.5" thickBot="1">
      <c r="A309" s="50" t="s">
        <v>35</v>
      </c>
      <c r="B309" s="51">
        <f t="shared" si="15"/>
        <v>80</v>
      </c>
      <c r="C309" s="51" t="s">
        <v>3</v>
      </c>
      <c r="D309" s="51">
        <f t="shared" si="16"/>
        <v>360</v>
      </c>
      <c r="E309" s="51" t="s">
        <v>3</v>
      </c>
      <c r="F309" s="110">
        <f t="shared" si="17"/>
        <v>2850</v>
      </c>
      <c r="G309" s="51" t="s">
        <v>3</v>
      </c>
      <c r="H309" s="48">
        <v>4</v>
      </c>
      <c r="I309" s="49" t="s">
        <v>45</v>
      </c>
      <c r="J309" s="184">
        <v>80</v>
      </c>
      <c r="K309" s="113">
        <v>360</v>
      </c>
      <c r="L309" s="113">
        <v>2850</v>
      </c>
      <c r="M309" s="185">
        <v>33.085779454836313</v>
      </c>
      <c r="N309" s="75">
        <v>1673.3778474144597</v>
      </c>
      <c r="O309" s="121">
        <v>45706.508442556093</v>
      </c>
      <c r="P309" s="121">
        <v>54276.63916617744</v>
      </c>
      <c r="Q309" s="120">
        <v>38497.293413731131</v>
      </c>
      <c r="R309" s="314">
        <v>84203.801856287231</v>
      </c>
      <c r="S309" s="315">
        <v>92773.932579908578</v>
      </c>
      <c r="U309" s="7" t="s">
        <v>2035</v>
      </c>
    </row>
    <row r="310" spans="1:21" s="74" customFormat="1" ht="16.5" thickBot="1">
      <c r="A310" s="50" t="s">
        <v>35</v>
      </c>
      <c r="B310" s="51">
        <f t="shared" si="15"/>
        <v>80</v>
      </c>
      <c r="C310" s="51" t="s">
        <v>3</v>
      </c>
      <c r="D310" s="51">
        <f t="shared" si="16"/>
        <v>360</v>
      </c>
      <c r="E310" s="51" t="s">
        <v>3</v>
      </c>
      <c r="F310" s="110">
        <f t="shared" si="17"/>
        <v>2900</v>
      </c>
      <c r="G310" s="51" t="s">
        <v>3</v>
      </c>
      <c r="H310" s="48">
        <v>4</v>
      </c>
      <c r="I310" s="49" t="s">
        <v>45</v>
      </c>
      <c r="J310" s="184">
        <v>80</v>
      </c>
      <c r="K310" s="113">
        <v>360</v>
      </c>
      <c r="L310" s="113">
        <v>2900</v>
      </c>
      <c r="M310" s="185">
        <v>33.637597003543682</v>
      </c>
      <c r="N310" s="75">
        <v>1706.8454043627487</v>
      </c>
      <c r="O310" s="121">
        <v>46381.379195700232</v>
      </c>
      <c r="P310" s="121">
        <v>55091.440685692141</v>
      </c>
      <c r="Q310" s="120">
        <v>39281.472333017329</v>
      </c>
      <c r="R310" s="314">
        <v>85662.851528717554</v>
      </c>
      <c r="S310" s="315">
        <v>94372.913018709471</v>
      </c>
      <c r="U310" s="7" t="s">
        <v>2036</v>
      </c>
    </row>
    <row r="311" spans="1:21" s="74" customFormat="1" ht="16.5" thickBot="1">
      <c r="A311" s="50" t="s">
        <v>35</v>
      </c>
      <c r="B311" s="51">
        <f t="shared" si="15"/>
        <v>80</v>
      </c>
      <c r="C311" s="51" t="s">
        <v>3</v>
      </c>
      <c r="D311" s="51">
        <f t="shared" si="16"/>
        <v>360</v>
      </c>
      <c r="E311" s="51" t="s">
        <v>3</v>
      </c>
      <c r="F311" s="110">
        <f t="shared" si="17"/>
        <v>2950</v>
      </c>
      <c r="G311" s="51" t="s">
        <v>3</v>
      </c>
      <c r="H311" s="48">
        <v>4</v>
      </c>
      <c r="I311" s="49" t="s">
        <v>45</v>
      </c>
      <c r="J311" s="184">
        <v>80</v>
      </c>
      <c r="K311" s="113">
        <v>360</v>
      </c>
      <c r="L311" s="113">
        <v>2950</v>
      </c>
      <c r="M311" s="185">
        <v>34.189414552251051</v>
      </c>
      <c r="N311" s="75">
        <v>1740.3129613110382</v>
      </c>
      <c r="O311" s="121">
        <v>47056.250089237736</v>
      </c>
      <c r="P311" s="121">
        <v>55906.2423456002</v>
      </c>
      <c r="Q311" s="120">
        <v>39835.069474520256</v>
      </c>
      <c r="R311" s="314">
        <v>86891.319563757992</v>
      </c>
      <c r="S311" s="315">
        <v>95741.311820120463</v>
      </c>
      <c r="U311" s="7" t="s">
        <v>2037</v>
      </c>
    </row>
    <row r="312" spans="1:21" s="74" customFormat="1" ht="16.5" thickBot="1">
      <c r="A312" s="52" t="s">
        <v>35</v>
      </c>
      <c r="B312" s="53">
        <f t="shared" si="15"/>
        <v>80</v>
      </c>
      <c r="C312" s="53" t="s">
        <v>3</v>
      </c>
      <c r="D312" s="53">
        <f t="shared" si="16"/>
        <v>360</v>
      </c>
      <c r="E312" s="53" t="s">
        <v>3</v>
      </c>
      <c r="F312" s="111">
        <f t="shared" si="17"/>
        <v>3000</v>
      </c>
      <c r="G312" s="53" t="s">
        <v>3</v>
      </c>
      <c r="H312" s="55">
        <v>4</v>
      </c>
      <c r="I312" s="54" t="s">
        <v>45</v>
      </c>
      <c r="J312" s="184">
        <v>80</v>
      </c>
      <c r="K312" s="157">
        <v>360</v>
      </c>
      <c r="L312" s="157">
        <v>3000</v>
      </c>
      <c r="M312" s="187">
        <v>34.74123210095842</v>
      </c>
      <c r="N312" s="147">
        <v>1773.7805182593272</v>
      </c>
      <c r="O312" s="158">
        <v>47731.120982775232</v>
      </c>
      <c r="P312" s="158">
        <v>56721.043865114894</v>
      </c>
      <c r="Q312" s="159">
        <v>40619.248393806454</v>
      </c>
      <c r="R312" s="316">
        <v>88350.369376581686</v>
      </c>
      <c r="S312" s="317">
        <v>97340.292258921341</v>
      </c>
      <c r="U312" s="7" t="s">
        <v>2038</v>
      </c>
    </row>
    <row r="313" spans="1:21" s="74" customFormat="1" ht="22.5" customHeight="1" thickBot="1">
      <c r="A313" s="2621" t="s">
        <v>67</v>
      </c>
      <c r="B313" s="2622"/>
      <c r="C313" s="2622"/>
      <c r="D313" s="2622"/>
      <c r="E313" s="2622"/>
      <c r="F313" s="2622"/>
      <c r="G313" s="2622"/>
      <c r="H313" s="2622"/>
      <c r="I313" s="2622"/>
      <c r="J313" s="2622"/>
      <c r="K313" s="2622"/>
      <c r="L313" s="2622"/>
      <c r="M313" s="2622"/>
      <c r="N313" s="2622"/>
      <c r="O313" s="2622"/>
      <c r="P313" s="2622"/>
      <c r="Q313" s="2622"/>
      <c r="R313" s="2622"/>
      <c r="S313" s="2623"/>
      <c r="U313" s="7"/>
    </row>
    <row r="314" spans="1:21" s="74" customFormat="1" ht="16.5" thickBot="1">
      <c r="A314" s="2583" t="s">
        <v>135</v>
      </c>
      <c r="B314" s="2584"/>
      <c r="C314" s="2584"/>
      <c r="D314" s="2584"/>
      <c r="E314" s="2584"/>
      <c r="F314" s="2584"/>
      <c r="G314" s="2584"/>
      <c r="H314" s="2584"/>
      <c r="I314" s="2584"/>
      <c r="J314" s="2584"/>
      <c r="K314" s="2584"/>
      <c r="L314" s="2584"/>
      <c r="M314" s="2584"/>
      <c r="N314" s="2584"/>
      <c r="O314" s="2584"/>
      <c r="P314" s="2584"/>
      <c r="Q314" s="2584"/>
      <c r="R314" s="2584"/>
      <c r="S314" s="2585"/>
      <c r="U314" s="7"/>
    </row>
    <row r="315" spans="1:21" s="74" customFormat="1" ht="16.5" thickBot="1">
      <c r="A315" s="47" t="s">
        <v>35</v>
      </c>
      <c r="B315" s="48">
        <f>J315</f>
        <v>80</v>
      </c>
      <c r="C315" s="48" t="s">
        <v>3</v>
      </c>
      <c r="D315" s="48">
        <f>K315</f>
        <v>400</v>
      </c>
      <c r="E315" s="48" t="s">
        <v>3</v>
      </c>
      <c r="F315" s="110">
        <f>L315</f>
        <v>600</v>
      </c>
      <c r="G315" s="48" t="s">
        <v>3</v>
      </c>
      <c r="H315" s="48">
        <v>4</v>
      </c>
      <c r="I315" s="49" t="s">
        <v>45</v>
      </c>
      <c r="J315" s="181">
        <v>80</v>
      </c>
      <c r="K315" s="168">
        <v>400</v>
      </c>
      <c r="L315" s="168">
        <v>600</v>
      </c>
      <c r="M315" s="182">
        <v>8.110135688773159</v>
      </c>
      <c r="N315" s="143">
        <v>174.98195461418246</v>
      </c>
      <c r="O315" s="183">
        <v>13913.179616817679</v>
      </c>
      <c r="P315" s="183">
        <v>16347.101564557353</v>
      </c>
      <c r="Q315" s="169">
        <v>9871.7007401553401</v>
      </c>
      <c r="R315" s="312">
        <v>23784.880356973019</v>
      </c>
      <c r="S315" s="313">
        <v>26218.802304712692</v>
      </c>
      <c r="U315" s="7" t="s">
        <v>2039</v>
      </c>
    </row>
    <row r="316" spans="1:21" s="74" customFormat="1" ht="16.5" thickBot="1">
      <c r="A316" s="50" t="s">
        <v>35</v>
      </c>
      <c r="B316" s="51">
        <f t="shared" ref="B316:B363" si="18">J316</f>
        <v>80</v>
      </c>
      <c r="C316" s="51" t="s">
        <v>3</v>
      </c>
      <c r="D316" s="51">
        <f t="shared" ref="D316:D363" si="19">K316</f>
        <v>400</v>
      </c>
      <c r="E316" s="51" t="s">
        <v>3</v>
      </c>
      <c r="F316" s="110">
        <f t="shared" ref="F316:F363" si="20">L316</f>
        <v>650</v>
      </c>
      <c r="G316" s="51" t="s">
        <v>3</v>
      </c>
      <c r="H316" s="48">
        <v>4</v>
      </c>
      <c r="I316" s="49" t="s">
        <v>45</v>
      </c>
      <c r="J316" s="184">
        <v>80</v>
      </c>
      <c r="K316" s="113">
        <v>400</v>
      </c>
      <c r="L316" s="113">
        <v>650</v>
      </c>
      <c r="M316" s="185">
        <v>8.6946995769542106</v>
      </c>
      <c r="N316" s="75">
        <v>209.97834553701895</v>
      </c>
      <c r="O316" s="121">
        <v>14606.796393689627</v>
      </c>
      <c r="P316" s="121">
        <v>17268.827792098953</v>
      </c>
      <c r="Q316" s="120">
        <v>10474.092577548676</v>
      </c>
      <c r="R316" s="314">
        <v>25080.888971238302</v>
      </c>
      <c r="S316" s="315">
        <v>27742.920369647629</v>
      </c>
      <c r="U316" s="7" t="s">
        <v>2040</v>
      </c>
    </row>
    <row r="317" spans="1:21" s="74" customFormat="1" ht="16.5" thickBot="1">
      <c r="A317" s="50" t="s">
        <v>35</v>
      </c>
      <c r="B317" s="51">
        <f t="shared" si="18"/>
        <v>80</v>
      </c>
      <c r="C317" s="51" t="s">
        <v>3</v>
      </c>
      <c r="D317" s="51">
        <f t="shared" si="19"/>
        <v>400</v>
      </c>
      <c r="E317" s="51" t="s">
        <v>3</v>
      </c>
      <c r="F317" s="110">
        <f t="shared" si="20"/>
        <v>700</v>
      </c>
      <c r="G317" s="51" t="s">
        <v>3</v>
      </c>
      <c r="H317" s="48">
        <v>4</v>
      </c>
      <c r="I317" s="49" t="s">
        <v>45</v>
      </c>
      <c r="J317" s="184">
        <v>80</v>
      </c>
      <c r="K317" s="113">
        <v>400</v>
      </c>
      <c r="L317" s="113">
        <v>700</v>
      </c>
      <c r="M317" s="185">
        <v>9.2792634651352639</v>
      </c>
      <c r="N317" s="75">
        <v>244.97473645985542</v>
      </c>
      <c r="O317" s="121">
        <v>15300.413310954942</v>
      </c>
      <c r="P317" s="121">
        <v>18115.627626401292</v>
      </c>
      <c r="Q317" s="120">
        <v>11307.066052331927</v>
      </c>
      <c r="R317" s="314">
        <v>26607.479363286868</v>
      </c>
      <c r="S317" s="315">
        <v>29422.69367873322</v>
      </c>
      <c r="U317" s="7" t="s">
        <v>2041</v>
      </c>
    </row>
    <row r="318" spans="1:21" s="74" customFormat="1" ht="16.5" thickBot="1">
      <c r="A318" s="50" t="s">
        <v>35</v>
      </c>
      <c r="B318" s="51">
        <f t="shared" si="18"/>
        <v>80</v>
      </c>
      <c r="C318" s="51" t="s">
        <v>3</v>
      </c>
      <c r="D318" s="51">
        <f t="shared" si="19"/>
        <v>400</v>
      </c>
      <c r="E318" s="51" t="s">
        <v>3</v>
      </c>
      <c r="F318" s="110">
        <f t="shared" si="20"/>
        <v>750</v>
      </c>
      <c r="G318" s="51" t="s">
        <v>3</v>
      </c>
      <c r="H318" s="48">
        <v>4</v>
      </c>
      <c r="I318" s="49" t="s">
        <v>45</v>
      </c>
      <c r="J318" s="184">
        <v>80</v>
      </c>
      <c r="K318" s="113">
        <v>400</v>
      </c>
      <c r="L318" s="113">
        <v>750</v>
      </c>
      <c r="M318" s="185">
        <v>9.8638273533163154</v>
      </c>
      <c r="N318" s="75">
        <v>279.97112738269192</v>
      </c>
      <c r="O318" s="121">
        <v>15994.03008782689</v>
      </c>
      <c r="P318" s="121">
        <v>18962.427320310268</v>
      </c>
      <c r="Q318" s="120">
        <v>11909.457889725263</v>
      </c>
      <c r="R318" s="314">
        <v>27903.487977552155</v>
      </c>
      <c r="S318" s="315">
        <v>30871.885210035529</v>
      </c>
      <c r="U318" s="7" t="s">
        <v>2042</v>
      </c>
    </row>
    <row r="319" spans="1:21" s="74" customFormat="1" ht="16.5" thickBot="1">
      <c r="A319" s="50" t="s">
        <v>35</v>
      </c>
      <c r="B319" s="51">
        <f t="shared" si="18"/>
        <v>80</v>
      </c>
      <c r="C319" s="51" t="s">
        <v>3</v>
      </c>
      <c r="D319" s="51">
        <f t="shared" si="19"/>
        <v>400</v>
      </c>
      <c r="E319" s="51" t="s">
        <v>3</v>
      </c>
      <c r="F319" s="110">
        <f t="shared" si="20"/>
        <v>800</v>
      </c>
      <c r="G319" s="51" t="s">
        <v>3</v>
      </c>
      <c r="H319" s="48">
        <v>4</v>
      </c>
      <c r="I319" s="49" t="s">
        <v>45</v>
      </c>
      <c r="J319" s="184">
        <v>80</v>
      </c>
      <c r="K319" s="113">
        <v>400</v>
      </c>
      <c r="L319" s="113">
        <v>800</v>
      </c>
      <c r="M319" s="185">
        <v>10.448391241497369</v>
      </c>
      <c r="N319" s="75">
        <v>314.96751830552842</v>
      </c>
      <c r="O319" s="121">
        <v>16687.647005092203</v>
      </c>
      <c r="P319" s="121">
        <v>19809.227014219239</v>
      </c>
      <c r="Q319" s="120">
        <v>12511.84958672524</v>
      </c>
      <c r="R319" s="314">
        <v>29199.496591817442</v>
      </c>
      <c r="S319" s="315">
        <v>32321.076600944478</v>
      </c>
      <c r="U319" s="7" t="s">
        <v>2043</v>
      </c>
    </row>
    <row r="320" spans="1:21" s="74" customFormat="1" ht="16.5" thickBot="1">
      <c r="A320" s="50" t="s">
        <v>35</v>
      </c>
      <c r="B320" s="51">
        <f t="shared" si="18"/>
        <v>80</v>
      </c>
      <c r="C320" s="51" t="s">
        <v>3</v>
      </c>
      <c r="D320" s="51">
        <f t="shared" si="19"/>
        <v>400</v>
      </c>
      <c r="E320" s="51" t="s">
        <v>3</v>
      </c>
      <c r="F320" s="110">
        <f t="shared" si="20"/>
        <v>850</v>
      </c>
      <c r="G320" s="51" t="s">
        <v>3</v>
      </c>
      <c r="H320" s="48">
        <v>4</v>
      </c>
      <c r="I320" s="49" t="s">
        <v>45</v>
      </c>
      <c r="J320" s="184">
        <v>80</v>
      </c>
      <c r="K320" s="113">
        <v>400</v>
      </c>
      <c r="L320" s="113">
        <v>850</v>
      </c>
      <c r="M320" s="185">
        <v>11.03295512967842</v>
      </c>
      <c r="N320" s="75">
        <v>349.96390922836491</v>
      </c>
      <c r="O320" s="121">
        <v>17381.263922357513</v>
      </c>
      <c r="P320" s="121">
        <v>20656.026708128218</v>
      </c>
      <c r="Q320" s="120">
        <v>13344.823201901852</v>
      </c>
      <c r="R320" s="314">
        <v>30726.087124259364</v>
      </c>
      <c r="S320" s="315">
        <v>34000.849910030069</v>
      </c>
      <c r="U320" s="7" t="s">
        <v>2044</v>
      </c>
    </row>
    <row r="321" spans="1:21" s="74" customFormat="1" ht="16.5" thickBot="1">
      <c r="A321" s="50" t="s">
        <v>35</v>
      </c>
      <c r="B321" s="51">
        <f t="shared" si="18"/>
        <v>80</v>
      </c>
      <c r="C321" s="51" t="s">
        <v>3</v>
      </c>
      <c r="D321" s="51">
        <f t="shared" si="19"/>
        <v>400</v>
      </c>
      <c r="E321" s="51" t="s">
        <v>3</v>
      </c>
      <c r="F321" s="110">
        <f t="shared" si="20"/>
        <v>900</v>
      </c>
      <c r="G321" s="51" t="s">
        <v>3</v>
      </c>
      <c r="H321" s="48">
        <v>4</v>
      </c>
      <c r="I321" s="49" t="s">
        <v>45</v>
      </c>
      <c r="J321" s="184">
        <v>80</v>
      </c>
      <c r="K321" s="113">
        <v>400</v>
      </c>
      <c r="L321" s="113">
        <v>900</v>
      </c>
      <c r="M321" s="185">
        <v>11.617519017859474</v>
      </c>
      <c r="N321" s="75">
        <v>384.96030015120141</v>
      </c>
      <c r="O321" s="121">
        <v>18074.880699229467</v>
      </c>
      <c r="P321" s="121">
        <v>21502.826542430554</v>
      </c>
      <c r="Q321" s="120">
        <v>13947.21489890183</v>
      </c>
      <c r="R321" s="314">
        <v>32022.095598131295</v>
      </c>
      <c r="S321" s="315">
        <v>35450.041441332382</v>
      </c>
      <c r="U321" s="7" t="s">
        <v>2045</v>
      </c>
    </row>
    <row r="322" spans="1:21" s="74" customFormat="1" ht="16.5" thickBot="1">
      <c r="A322" s="50" t="s">
        <v>35</v>
      </c>
      <c r="B322" s="51">
        <f t="shared" si="18"/>
        <v>80</v>
      </c>
      <c r="C322" s="51" t="s">
        <v>3</v>
      </c>
      <c r="D322" s="51">
        <f t="shared" si="19"/>
        <v>400</v>
      </c>
      <c r="E322" s="51" t="s">
        <v>3</v>
      </c>
      <c r="F322" s="110">
        <f t="shared" si="20"/>
        <v>950</v>
      </c>
      <c r="G322" s="51" t="s">
        <v>3</v>
      </c>
      <c r="H322" s="48">
        <v>4</v>
      </c>
      <c r="I322" s="49" t="s">
        <v>45</v>
      </c>
      <c r="J322" s="184">
        <v>80</v>
      </c>
      <c r="K322" s="113">
        <v>400</v>
      </c>
      <c r="L322" s="113">
        <v>950</v>
      </c>
      <c r="M322" s="185">
        <v>12.202082906040525</v>
      </c>
      <c r="N322" s="75">
        <v>419.95669107403791</v>
      </c>
      <c r="O322" s="121">
        <v>18768.497616494777</v>
      </c>
      <c r="P322" s="121">
        <v>22349.626236339529</v>
      </c>
      <c r="Q322" s="120">
        <v>14780.188514078442</v>
      </c>
      <c r="R322" s="314">
        <v>33548.686130573216</v>
      </c>
      <c r="S322" s="315">
        <v>37129.814750417972</v>
      </c>
      <c r="U322" s="7" t="s">
        <v>2046</v>
      </c>
    </row>
    <row r="323" spans="1:21" s="74" customFormat="1" ht="16.5" thickBot="1">
      <c r="A323" s="50" t="s">
        <v>35</v>
      </c>
      <c r="B323" s="51">
        <f t="shared" si="18"/>
        <v>80</v>
      </c>
      <c r="C323" s="51" t="s">
        <v>3</v>
      </c>
      <c r="D323" s="51">
        <f t="shared" si="19"/>
        <v>400</v>
      </c>
      <c r="E323" s="51" t="s">
        <v>3</v>
      </c>
      <c r="F323" s="110">
        <f t="shared" si="20"/>
        <v>1000</v>
      </c>
      <c r="G323" s="51" t="s">
        <v>3</v>
      </c>
      <c r="H323" s="48">
        <v>4</v>
      </c>
      <c r="I323" s="49" t="s">
        <v>45</v>
      </c>
      <c r="J323" s="184">
        <v>80</v>
      </c>
      <c r="K323" s="113">
        <v>400</v>
      </c>
      <c r="L323" s="113">
        <v>1000</v>
      </c>
      <c r="M323" s="185">
        <v>12.786646794221578</v>
      </c>
      <c r="N323" s="75">
        <v>454.9530819968744</v>
      </c>
      <c r="O323" s="121">
        <v>19462.11439336673</v>
      </c>
      <c r="P323" s="121">
        <v>23196.425930248508</v>
      </c>
      <c r="Q323" s="120">
        <v>15382.580351471779</v>
      </c>
      <c r="R323" s="314">
        <v>34844.694744838511</v>
      </c>
      <c r="S323" s="315">
        <v>38579.006281720285</v>
      </c>
      <c r="U323" s="7" t="s">
        <v>2047</v>
      </c>
    </row>
    <row r="324" spans="1:21" s="74" customFormat="1" ht="16.5" thickBot="1">
      <c r="A324" s="50" t="s">
        <v>35</v>
      </c>
      <c r="B324" s="51">
        <f t="shared" si="18"/>
        <v>80</v>
      </c>
      <c r="C324" s="51" t="s">
        <v>3</v>
      </c>
      <c r="D324" s="51">
        <f t="shared" si="19"/>
        <v>400</v>
      </c>
      <c r="E324" s="51" t="s">
        <v>3</v>
      </c>
      <c r="F324" s="110">
        <f t="shared" si="20"/>
        <v>1050</v>
      </c>
      <c r="G324" s="51" t="s">
        <v>3</v>
      </c>
      <c r="H324" s="48">
        <v>4</v>
      </c>
      <c r="I324" s="49" t="s">
        <v>45</v>
      </c>
      <c r="J324" s="184">
        <v>80</v>
      </c>
      <c r="K324" s="113">
        <v>400</v>
      </c>
      <c r="L324" s="113">
        <v>1050</v>
      </c>
      <c r="M324" s="185">
        <v>13.371210682402632</v>
      </c>
      <c r="N324" s="75">
        <v>489.94947291971084</v>
      </c>
      <c r="O324" s="121">
        <v>20155.73131063204</v>
      </c>
      <c r="P324" s="121">
        <v>24043.225764550843</v>
      </c>
      <c r="Q324" s="120">
        <v>16215.553826255029</v>
      </c>
      <c r="R324" s="314">
        <v>36371.285136887069</v>
      </c>
      <c r="S324" s="315">
        <v>40258.779590805876</v>
      </c>
      <c r="U324" s="7" t="s">
        <v>2048</v>
      </c>
    </row>
    <row r="325" spans="1:21" s="74" customFormat="1" ht="16.5" thickBot="1">
      <c r="A325" s="47" t="s">
        <v>35</v>
      </c>
      <c r="B325" s="48">
        <f t="shared" si="18"/>
        <v>80</v>
      </c>
      <c r="C325" s="48" t="s">
        <v>3</v>
      </c>
      <c r="D325" s="48">
        <f t="shared" si="19"/>
        <v>400</v>
      </c>
      <c r="E325" s="48" t="s">
        <v>3</v>
      </c>
      <c r="F325" s="110">
        <f t="shared" si="20"/>
        <v>1100</v>
      </c>
      <c r="G325" s="48" t="s">
        <v>3</v>
      </c>
      <c r="H325" s="48">
        <v>4</v>
      </c>
      <c r="I325" s="49" t="s">
        <v>45</v>
      </c>
      <c r="J325" s="184">
        <v>80</v>
      </c>
      <c r="K325" s="113">
        <v>400</v>
      </c>
      <c r="L325" s="113">
        <v>1100</v>
      </c>
      <c r="M325" s="185">
        <v>13.955774570583685</v>
      </c>
      <c r="N325" s="75">
        <v>524.9458638425474</v>
      </c>
      <c r="O325" s="121">
        <v>20849.348227897353</v>
      </c>
      <c r="P325" s="121">
        <v>24890.025458459819</v>
      </c>
      <c r="Q325" s="120">
        <v>16817.945663648366</v>
      </c>
      <c r="R325" s="314">
        <v>37667.29389154572</v>
      </c>
      <c r="S325" s="315">
        <v>41707.971122108182</v>
      </c>
      <c r="U325" s="7" t="s">
        <v>2049</v>
      </c>
    </row>
    <row r="326" spans="1:21" s="74" customFormat="1" ht="16.5" thickBot="1">
      <c r="A326" s="50" t="s">
        <v>35</v>
      </c>
      <c r="B326" s="51">
        <f t="shared" si="18"/>
        <v>80</v>
      </c>
      <c r="C326" s="51" t="s">
        <v>3</v>
      </c>
      <c r="D326" s="51">
        <f t="shared" si="19"/>
        <v>400</v>
      </c>
      <c r="E326" s="51" t="s">
        <v>3</v>
      </c>
      <c r="F326" s="110">
        <f t="shared" si="20"/>
        <v>1150</v>
      </c>
      <c r="G326" s="51" t="s">
        <v>3</v>
      </c>
      <c r="H326" s="48">
        <v>4</v>
      </c>
      <c r="I326" s="49" t="s">
        <v>45</v>
      </c>
      <c r="J326" s="184">
        <v>80</v>
      </c>
      <c r="K326" s="113">
        <v>400</v>
      </c>
      <c r="L326" s="113">
        <v>1150</v>
      </c>
      <c r="M326" s="185">
        <v>14.540338458764737</v>
      </c>
      <c r="N326" s="75">
        <v>559.94225476538384</v>
      </c>
      <c r="O326" s="121">
        <v>21542.965004769303</v>
      </c>
      <c r="P326" s="121">
        <v>25736.82515236879</v>
      </c>
      <c r="Q326" s="120">
        <v>17420.33736064834</v>
      </c>
      <c r="R326" s="314">
        <v>38963.302365417643</v>
      </c>
      <c r="S326" s="315">
        <v>43157.162513017131</v>
      </c>
      <c r="U326" s="7" t="s">
        <v>2050</v>
      </c>
    </row>
    <row r="327" spans="1:21" s="74" customFormat="1" ht="16.5" thickBot="1">
      <c r="A327" s="50" t="s">
        <v>35</v>
      </c>
      <c r="B327" s="51">
        <f t="shared" si="18"/>
        <v>80</v>
      </c>
      <c r="C327" s="51" t="s">
        <v>3</v>
      </c>
      <c r="D327" s="51">
        <f t="shared" si="19"/>
        <v>400</v>
      </c>
      <c r="E327" s="51" t="s">
        <v>3</v>
      </c>
      <c r="F327" s="110">
        <f t="shared" si="20"/>
        <v>1200</v>
      </c>
      <c r="G327" s="51" t="s">
        <v>3</v>
      </c>
      <c r="H327" s="48">
        <v>4</v>
      </c>
      <c r="I327" s="49" t="s">
        <v>45</v>
      </c>
      <c r="J327" s="184">
        <v>80</v>
      </c>
      <c r="K327" s="113">
        <v>400</v>
      </c>
      <c r="L327" s="113">
        <v>1200</v>
      </c>
      <c r="M327" s="185">
        <v>15.203402346945788</v>
      </c>
      <c r="N327" s="75">
        <v>594.93864568822039</v>
      </c>
      <c r="O327" s="121">
        <v>22313.736217543392</v>
      </c>
      <c r="P327" s="121">
        <v>26658.427552964669</v>
      </c>
      <c r="Q327" s="120">
        <v>18253.310975824952</v>
      </c>
      <c r="R327" s="314">
        <v>40567.047193368344</v>
      </c>
      <c r="S327" s="315">
        <v>44911.738528789618</v>
      </c>
      <c r="U327" s="7" t="s">
        <v>2051</v>
      </c>
    </row>
    <row r="328" spans="1:21" s="74" customFormat="1" ht="16.5" thickBot="1">
      <c r="A328" s="50" t="s">
        <v>35</v>
      </c>
      <c r="B328" s="51">
        <f t="shared" si="18"/>
        <v>80</v>
      </c>
      <c r="C328" s="51" t="s">
        <v>3</v>
      </c>
      <c r="D328" s="51">
        <f t="shared" si="19"/>
        <v>400</v>
      </c>
      <c r="E328" s="51" t="s">
        <v>3</v>
      </c>
      <c r="F328" s="110">
        <f t="shared" si="20"/>
        <v>1250</v>
      </c>
      <c r="G328" s="51" t="s">
        <v>3</v>
      </c>
      <c r="H328" s="48">
        <v>4</v>
      </c>
      <c r="I328" s="49" t="s">
        <v>45</v>
      </c>
      <c r="J328" s="184">
        <v>80</v>
      </c>
      <c r="K328" s="113">
        <v>400</v>
      </c>
      <c r="L328" s="113">
        <v>1250</v>
      </c>
      <c r="M328" s="185">
        <v>15.787966235126841</v>
      </c>
      <c r="N328" s="75">
        <v>629.93503661105683</v>
      </c>
      <c r="O328" s="121">
        <v>23007.353134808705</v>
      </c>
      <c r="P328" s="121">
        <v>27505.227387267008</v>
      </c>
      <c r="Q328" s="120">
        <v>18855.702672824929</v>
      </c>
      <c r="R328" s="314">
        <v>41863.055807633631</v>
      </c>
      <c r="S328" s="315">
        <v>46360.930060091938</v>
      </c>
      <c r="U328" s="7" t="s">
        <v>2052</v>
      </c>
    </row>
    <row r="329" spans="1:21" s="74" customFormat="1" ht="16.5" thickBot="1">
      <c r="A329" s="50" t="s">
        <v>35</v>
      </c>
      <c r="B329" s="51">
        <f t="shared" si="18"/>
        <v>80</v>
      </c>
      <c r="C329" s="51" t="s">
        <v>3</v>
      </c>
      <c r="D329" s="51">
        <f t="shared" si="19"/>
        <v>400</v>
      </c>
      <c r="E329" s="51" t="s">
        <v>3</v>
      </c>
      <c r="F329" s="110">
        <f t="shared" si="20"/>
        <v>1300</v>
      </c>
      <c r="G329" s="51" t="s">
        <v>3</v>
      </c>
      <c r="H329" s="48">
        <v>4</v>
      </c>
      <c r="I329" s="49" t="s">
        <v>45</v>
      </c>
      <c r="J329" s="184">
        <v>80</v>
      </c>
      <c r="K329" s="113">
        <v>400</v>
      </c>
      <c r="L329" s="113">
        <v>1300</v>
      </c>
      <c r="M329" s="185">
        <v>16.372530123307897</v>
      </c>
      <c r="N329" s="75">
        <v>664.93142753389327</v>
      </c>
      <c r="O329" s="121">
        <v>23700.970052074019</v>
      </c>
      <c r="P329" s="121">
        <v>28352.02708117598</v>
      </c>
      <c r="Q329" s="120">
        <v>19688.676288001541</v>
      </c>
      <c r="R329" s="314">
        <v>43389.64634007556</v>
      </c>
      <c r="S329" s="315">
        <v>48040.703369177521</v>
      </c>
      <c r="U329" s="7" t="s">
        <v>2053</v>
      </c>
    </row>
    <row r="330" spans="1:21" s="74" customFormat="1" ht="16.5" thickBot="1">
      <c r="A330" s="50" t="s">
        <v>35</v>
      </c>
      <c r="B330" s="51">
        <f t="shared" si="18"/>
        <v>80</v>
      </c>
      <c r="C330" s="51" t="s">
        <v>3</v>
      </c>
      <c r="D330" s="51">
        <f t="shared" si="19"/>
        <v>400</v>
      </c>
      <c r="E330" s="51" t="s">
        <v>3</v>
      </c>
      <c r="F330" s="110">
        <f t="shared" si="20"/>
        <v>1350</v>
      </c>
      <c r="G330" s="51" t="s">
        <v>3</v>
      </c>
      <c r="H330" s="48">
        <v>4</v>
      </c>
      <c r="I330" s="49" t="s">
        <v>45</v>
      </c>
      <c r="J330" s="184">
        <v>80</v>
      </c>
      <c r="K330" s="113">
        <v>400</v>
      </c>
      <c r="L330" s="113">
        <v>1350</v>
      </c>
      <c r="M330" s="185">
        <v>16.957094011488945</v>
      </c>
      <c r="N330" s="75">
        <v>699.92781845672982</v>
      </c>
      <c r="O330" s="121">
        <v>24394.586828945969</v>
      </c>
      <c r="P330" s="121">
        <v>29198.826775084955</v>
      </c>
      <c r="Q330" s="120">
        <v>20291.067985001515</v>
      </c>
      <c r="R330" s="314">
        <v>44685.654813947483</v>
      </c>
      <c r="S330" s="315">
        <v>49489.89476008647</v>
      </c>
      <c r="U330" s="7" t="s">
        <v>2054</v>
      </c>
    </row>
    <row r="331" spans="1:21" s="74" customFormat="1" ht="16.5" thickBot="1">
      <c r="A331" s="50" t="s">
        <v>35</v>
      </c>
      <c r="B331" s="51">
        <f t="shared" si="18"/>
        <v>80</v>
      </c>
      <c r="C331" s="51" t="s">
        <v>3</v>
      </c>
      <c r="D331" s="51">
        <f t="shared" si="19"/>
        <v>400</v>
      </c>
      <c r="E331" s="51" t="s">
        <v>3</v>
      </c>
      <c r="F331" s="110">
        <f t="shared" si="20"/>
        <v>1400</v>
      </c>
      <c r="G331" s="51" t="s">
        <v>3</v>
      </c>
      <c r="H331" s="48">
        <v>4</v>
      </c>
      <c r="I331" s="49" t="s">
        <v>45</v>
      </c>
      <c r="J331" s="184">
        <v>80</v>
      </c>
      <c r="K331" s="113">
        <v>400</v>
      </c>
      <c r="L331" s="113">
        <v>1400</v>
      </c>
      <c r="M331" s="185">
        <v>17.54165789967</v>
      </c>
      <c r="N331" s="75">
        <v>734.92420937956638</v>
      </c>
      <c r="O331" s="121">
        <v>25088.203746211278</v>
      </c>
      <c r="P331" s="121">
        <v>30045.626468993927</v>
      </c>
      <c r="Q331" s="120">
        <v>21124.04160017813</v>
      </c>
      <c r="R331" s="314">
        <v>46212.245346389405</v>
      </c>
      <c r="S331" s="315">
        <v>51169.668069172054</v>
      </c>
      <c r="U331" s="7" t="s">
        <v>2055</v>
      </c>
    </row>
    <row r="332" spans="1:21" s="74" customFormat="1" ht="16.5" thickBot="1">
      <c r="A332" s="50" t="s">
        <v>35</v>
      </c>
      <c r="B332" s="51">
        <f t="shared" si="18"/>
        <v>80</v>
      </c>
      <c r="C332" s="51" t="s">
        <v>3</v>
      </c>
      <c r="D332" s="51">
        <f t="shared" si="19"/>
        <v>400</v>
      </c>
      <c r="E332" s="51" t="s">
        <v>3</v>
      </c>
      <c r="F332" s="110">
        <f t="shared" si="20"/>
        <v>1450</v>
      </c>
      <c r="G332" s="51" t="s">
        <v>3</v>
      </c>
      <c r="H332" s="48">
        <v>4</v>
      </c>
      <c r="I332" s="49" t="s">
        <v>45</v>
      </c>
      <c r="J332" s="184">
        <v>80</v>
      </c>
      <c r="K332" s="113">
        <v>400</v>
      </c>
      <c r="L332" s="113">
        <v>1450</v>
      </c>
      <c r="M332" s="185">
        <v>18.126221787851055</v>
      </c>
      <c r="N332" s="75">
        <v>769.92060030240282</v>
      </c>
      <c r="O332" s="121">
        <v>25781.820523083232</v>
      </c>
      <c r="P332" s="121">
        <v>30892.426303296266</v>
      </c>
      <c r="Q332" s="120">
        <v>21726.433297178104</v>
      </c>
      <c r="R332" s="314">
        <v>47508.253820261336</v>
      </c>
      <c r="S332" s="315">
        <v>52618.859600474374</v>
      </c>
      <c r="U332" s="7" t="s">
        <v>2056</v>
      </c>
    </row>
    <row r="333" spans="1:21" s="74" customFormat="1" ht="16.5" thickBot="1">
      <c r="A333" s="50" t="s">
        <v>35</v>
      </c>
      <c r="B333" s="51">
        <f t="shared" si="18"/>
        <v>80</v>
      </c>
      <c r="C333" s="51" t="s">
        <v>3</v>
      </c>
      <c r="D333" s="51">
        <f t="shared" si="19"/>
        <v>400</v>
      </c>
      <c r="E333" s="51" t="s">
        <v>3</v>
      </c>
      <c r="F333" s="110">
        <f t="shared" si="20"/>
        <v>1500</v>
      </c>
      <c r="G333" s="51" t="s">
        <v>3</v>
      </c>
      <c r="H333" s="48">
        <v>4</v>
      </c>
      <c r="I333" s="49" t="s">
        <v>45</v>
      </c>
      <c r="J333" s="184">
        <v>80</v>
      </c>
      <c r="K333" s="113">
        <v>400</v>
      </c>
      <c r="L333" s="113">
        <v>1500</v>
      </c>
      <c r="M333" s="185">
        <v>18.907352328832104</v>
      </c>
      <c r="N333" s="75">
        <v>804.91699122523926</v>
      </c>
      <c r="O333" s="121">
        <v>27286.002309363081</v>
      </c>
      <c r="P333" s="121">
        <v>32480.692763031348</v>
      </c>
      <c r="Q333" s="120">
        <v>22559.406912354716</v>
      </c>
      <c r="R333" s="314">
        <v>49845.409221717797</v>
      </c>
      <c r="S333" s="315">
        <v>55040.099675386067</v>
      </c>
      <c r="U333" s="7" t="s">
        <v>2057</v>
      </c>
    </row>
    <row r="334" spans="1:21" s="74" customFormat="1" ht="16.5" thickBot="1">
      <c r="A334" s="50" t="s">
        <v>35</v>
      </c>
      <c r="B334" s="51">
        <f t="shared" si="18"/>
        <v>80</v>
      </c>
      <c r="C334" s="51" t="s">
        <v>3</v>
      </c>
      <c r="D334" s="51">
        <f t="shared" si="19"/>
        <v>400</v>
      </c>
      <c r="E334" s="51" t="s">
        <v>3</v>
      </c>
      <c r="F334" s="110">
        <f t="shared" si="20"/>
        <v>1550</v>
      </c>
      <c r="G334" s="51" t="s">
        <v>3</v>
      </c>
      <c r="H334" s="48">
        <v>4</v>
      </c>
      <c r="I334" s="49" t="s">
        <v>45</v>
      </c>
      <c r="J334" s="184">
        <v>80</v>
      </c>
      <c r="K334" s="113">
        <v>400</v>
      </c>
      <c r="L334" s="113">
        <v>1550</v>
      </c>
      <c r="M334" s="185">
        <v>19.491916217013156</v>
      </c>
      <c r="N334" s="75">
        <v>839.91338214807581</v>
      </c>
      <c r="O334" s="121">
        <v>27979.619086235034</v>
      </c>
      <c r="P334" s="121">
        <v>33327.492456940323</v>
      </c>
      <c r="Q334" s="120">
        <v>23161.79860935469</v>
      </c>
      <c r="R334" s="314">
        <v>51141.417695589727</v>
      </c>
      <c r="S334" s="315">
        <v>56489.291066295016</v>
      </c>
      <c r="U334" s="7" t="s">
        <v>2058</v>
      </c>
    </row>
    <row r="335" spans="1:21" s="74" customFormat="1" ht="16.5" thickBot="1">
      <c r="A335" s="47" t="s">
        <v>35</v>
      </c>
      <c r="B335" s="48">
        <f t="shared" si="18"/>
        <v>80</v>
      </c>
      <c r="C335" s="48" t="s">
        <v>3</v>
      </c>
      <c r="D335" s="48">
        <f t="shared" si="19"/>
        <v>400</v>
      </c>
      <c r="E335" s="48" t="s">
        <v>3</v>
      </c>
      <c r="F335" s="110">
        <f t="shared" si="20"/>
        <v>1600</v>
      </c>
      <c r="G335" s="48" t="s">
        <v>3</v>
      </c>
      <c r="H335" s="48">
        <v>4</v>
      </c>
      <c r="I335" s="49" t="s">
        <v>45</v>
      </c>
      <c r="J335" s="184">
        <v>80</v>
      </c>
      <c r="K335" s="113">
        <v>400</v>
      </c>
      <c r="L335" s="113">
        <v>1600</v>
      </c>
      <c r="M335" s="185">
        <v>20.076480105194211</v>
      </c>
      <c r="N335" s="75">
        <v>874.90977307091225</v>
      </c>
      <c r="O335" s="121">
        <v>28673.236003500344</v>
      </c>
      <c r="P335" s="121">
        <v>34174.292150849295</v>
      </c>
      <c r="Q335" s="120">
        <v>23764.190446748027</v>
      </c>
      <c r="R335" s="314">
        <v>52437.426450248371</v>
      </c>
      <c r="S335" s="315">
        <v>57938.482597597322</v>
      </c>
      <c r="U335" s="7" t="s">
        <v>2059</v>
      </c>
    </row>
    <row r="336" spans="1:21" s="74" customFormat="1" ht="16.5" thickBot="1">
      <c r="A336" s="50" t="s">
        <v>35</v>
      </c>
      <c r="B336" s="51">
        <f t="shared" si="18"/>
        <v>80</v>
      </c>
      <c r="C336" s="51" t="s">
        <v>3</v>
      </c>
      <c r="D336" s="51">
        <f t="shared" si="19"/>
        <v>400</v>
      </c>
      <c r="E336" s="51" t="s">
        <v>3</v>
      </c>
      <c r="F336" s="110">
        <f t="shared" si="20"/>
        <v>1650</v>
      </c>
      <c r="G336" s="51" t="s">
        <v>3</v>
      </c>
      <c r="H336" s="48">
        <v>4</v>
      </c>
      <c r="I336" s="49" t="s">
        <v>45</v>
      </c>
      <c r="J336" s="184">
        <v>80</v>
      </c>
      <c r="K336" s="113">
        <v>400</v>
      </c>
      <c r="L336" s="113">
        <v>1650</v>
      </c>
      <c r="M336" s="185">
        <v>20.661043993375262</v>
      </c>
      <c r="N336" s="75">
        <v>909.90616399374881</v>
      </c>
      <c r="O336" s="121">
        <v>29366.852920765657</v>
      </c>
      <c r="P336" s="121">
        <v>35021.091844758274</v>
      </c>
      <c r="Q336" s="120">
        <v>24597.164061924639</v>
      </c>
      <c r="R336" s="314">
        <v>53964.0169826903</v>
      </c>
      <c r="S336" s="315">
        <v>59618.255906682913</v>
      </c>
      <c r="U336" s="7" t="s">
        <v>2060</v>
      </c>
    </row>
    <row r="337" spans="1:21" s="74" customFormat="1" ht="16.5" thickBot="1">
      <c r="A337" s="50" t="s">
        <v>35</v>
      </c>
      <c r="B337" s="51">
        <f t="shared" si="18"/>
        <v>80</v>
      </c>
      <c r="C337" s="51" t="s">
        <v>3</v>
      </c>
      <c r="D337" s="51">
        <f t="shared" si="19"/>
        <v>400</v>
      </c>
      <c r="E337" s="51" t="s">
        <v>3</v>
      </c>
      <c r="F337" s="110">
        <f t="shared" si="20"/>
        <v>1700</v>
      </c>
      <c r="G337" s="51" t="s">
        <v>3</v>
      </c>
      <c r="H337" s="48">
        <v>4</v>
      </c>
      <c r="I337" s="49" t="s">
        <v>45</v>
      </c>
      <c r="J337" s="184">
        <v>80</v>
      </c>
      <c r="K337" s="113">
        <v>400</v>
      </c>
      <c r="L337" s="113">
        <v>1700</v>
      </c>
      <c r="M337" s="185">
        <v>21.245607881556317</v>
      </c>
      <c r="N337" s="75">
        <v>944.90255491658536</v>
      </c>
      <c r="O337" s="121">
        <v>30060.469697637607</v>
      </c>
      <c r="P337" s="121">
        <v>35867.891679060609</v>
      </c>
      <c r="Q337" s="120">
        <v>25199.55575892462</v>
      </c>
      <c r="R337" s="314">
        <v>55260.025456562231</v>
      </c>
      <c r="S337" s="315">
        <v>61067.447437985233</v>
      </c>
      <c r="U337" s="7" t="s">
        <v>2061</v>
      </c>
    </row>
    <row r="338" spans="1:21" s="74" customFormat="1" ht="16.5" thickBot="1">
      <c r="A338" s="50" t="s">
        <v>35</v>
      </c>
      <c r="B338" s="51">
        <f t="shared" si="18"/>
        <v>80</v>
      </c>
      <c r="C338" s="51" t="s">
        <v>3</v>
      </c>
      <c r="D338" s="51">
        <f t="shared" si="19"/>
        <v>400</v>
      </c>
      <c r="E338" s="51" t="s">
        <v>3</v>
      </c>
      <c r="F338" s="110">
        <f t="shared" si="20"/>
        <v>1750</v>
      </c>
      <c r="G338" s="51" t="s">
        <v>3</v>
      </c>
      <c r="H338" s="48">
        <v>4</v>
      </c>
      <c r="I338" s="49" t="s">
        <v>45</v>
      </c>
      <c r="J338" s="184">
        <v>80</v>
      </c>
      <c r="K338" s="113">
        <v>400</v>
      </c>
      <c r="L338" s="113">
        <v>1750</v>
      </c>
      <c r="M338" s="185">
        <v>21.830171769737369</v>
      </c>
      <c r="N338" s="75">
        <v>979.89894583942169</v>
      </c>
      <c r="O338" s="121">
        <v>30754.086614902917</v>
      </c>
      <c r="P338" s="121">
        <v>36714.691372969581</v>
      </c>
      <c r="Q338" s="120">
        <v>26032.529374101232</v>
      </c>
      <c r="R338" s="314">
        <v>56786.615989004145</v>
      </c>
      <c r="S338" s="315">
        <v>62747.220747070809</v>
      </c>
      <c r="U338" s="7" t="s">
        <v>2062</v>
      </c>
    </row>
    <row r="339" spans="1:21" s="74" customFormat="1" ht="16.5" thickBot="1">
      <c r="A339" s="50" t="s">
        <v>35</v>
      </c>
      <c r="B339" s="51">
        <f t="shared" si="18"/>
        <v>80</v>
      </c>
      <c r="C339" s="51" t="s">
        <v>3</v>
      </c>
      <c r="D339" s="51">
        <f t="shared" si="19"/>
        <v>400</v>
      </c>
      <c r="E339" s="51" t="s">
        <v>3</v>
      </c>
      <c r="F339" s="110">
        <f t="shared" si="20"/>
        <v>1800</v>
      </c>
      <c r="G339" s="51" t="s">
        <v>3</v>
      </c>
      <c r="H339" s="48">
        <v>4</v>
      </c>
      <c r="I339" s="49" t="s">
        <v>45</v>
      </c>
      <c r="J339" s="184">
        <v>80</v>
      </c>
      <c r="K339" s="113">
        <v>400</v>
      </c>
      <c r="L339" s="113">
        <v>1800</v>
      </c>
      <c r="M339" s="185">
        <v>22.41473565791842</v>
      </c>
      <c r="N339" s="75">
        <v>1014.8953367622582</v>
      </c>
      <c r="O339" s="121">
        <v>31447.70339177487</v>
      </c>
      <c r="P339" s="121">
        <v>37561.49106687856</v>
      </c>
      <c r="Q339" s="120">
        <v>26634.921071101206</v>
      </c>
      <c r="R339" s="314">
        <v>58082.624462876076</v>
      </c>
      <c r="S339" s="315">
        <v>64196.412137979765</v>
      </c>
      <c r="U339" s="7" t="s">
        <v>2063</v>
      </c>
    </row>
    <row r="340" spans="1:21" s="74" customFormat="1" ht="16.5" thickBot="1">
      <c r="A340" s="50" t="s">
        <v>35</v>
      </c>
      <c r="B340" s="51">
        <f t="shared" si="18"/>
        <v>80</v>
      </c>
      <c r="C340" s="51" t="s">
        <v>3</v>
      </c>
      <c r="D340" s="51">
        <f t="shared" si="19"/>
        <v>400</v>
      </c>
      <c r="E340" s="51" t="s">
        <v>3</v>
      </c>
      <c r="F340" s="110">
        <f t="shared" si="20"/>
        <v>1850</v>
      </c>
      <c r="G340" s="51" t="s">
        <v>3</v>
      </c>
      <c r="H340" s="48">
        <v>4</v>
      </c>
      <c r="I340" s="49" t="s">
        <v>45</v>
      </c>
      <c r="J340" s="184">
        <v>80</v>
      </c>
      <c r="K340" s="113">
        <v>400</v>
      </c>
      <c r="L340" s="113">
        <v>1850</v>
      </c>
      <c r="M340" s="185">
        <v>22.999299546099472</v>
      </c>
      <c r="N340" s="75">
        <v>1049.8917276850948</v>
      </c>
      <c r="O340" s="121">
        <v>32141.320309040184</v>
      </c>
      <c r="P340" s="121">
        <v>38408.290901180895</v>
      </c>
      <c r="Q340" s="120">
        <v>27467.894686277818</v>
      </c>
      <c r="R340" s="314">
        <v>59609.214995318005</v>
      </c>
      <c r="S340" s="315">
        <v>65876.18558745872</v>
      </c>
      <c r="U340" s="7" t="s">
        <v>2064</v>
      </c>
    </row>
    <row r="341" spans="1:21" s="74" customFormat="1" ht="16.5" thickBot="1">
      <c r="A341" s="50" t="s">
        <v>35</v>
      </c>
      <c r="B341" s="51">
        <f t="shared" si="18"/>
        <v>80</v>
      </c>
      <c r="C341" s="51" t="s">
        <v>3</v>
      </c>
      <c r="D341" s="51">
        <f t="shared" si="19"/>
        <v>400</v>
      </c>
      <c r="E341" s="51" t="s">
        <v>3</v>
      </c>
      <c r="F341" s="110">
        <f t="shared" si="20"/>
        <v>1900</v>
      </c>
      <c r="G341" s="51" t="s">
        <v>3</v>
      </c>
      <c r="H341" s="48">
        <v>4</v>
      </c>
      <c r="I341" s="49" t="s">
        <v>45</v>
      </c>
      <c r="J341" s="184">
        <v>80</v>
      </c>
      <c r="K341" s="113">
        <v>400</v>
      </c>
      <c r="L341" s="113">
        <v>1900</v>
      </c>
      <c r="M341" s="185">
        <v>23.583863434280524</v>
      </c>
      <c r="N341" s="75">
        <v>1084.8881186079313</v>
      </c>
      <c r="O341" s="121">
        <v>32834.937085912126</v>
      </c>
      <c r="P341" s="121">
        <v>39255.090595089874</v>
      </c>
      <c r="Q341" s="120">
        <v>28070.286383277791</v>
      </c>
      <c r="R341" s="314">
        <v>60905.223469189921</v>
      </c>
      <c r="S341" s="315">
        <v>67325.376978367669</v>
      </c>
      <c r="U341" s="7" t="s">
        <v>2065</v>
      </c>
    </row>
    <row r="342" spans="1:21" s="74" customFormat="1" ht="16.5" thickBot="1">
      <c r="A342" s="50" t="s">
        <v>35</v>
      </c>
      <c r="B342" s="51">
        <f t="shared" si="18"/>
        <v>80</v>
      </c>
      <c r="C342" s="51" t="s">
        <v>3</v>
      </c>
      <c r="D342" s="51">
        <f t="shared" si="19"/>
        <v>400</v>
      </c>
      <c r="E342" s="51" t="s">
        <v>3</v>
      </c>
      <c r="F342" s="110">
        <f t="shared" si="20"/>
        <v>1950</v>
      </c>
      <c r="G342" s="51" t="s">
        <v>3</v>
      </c>
      <c r="H342" s="48">
        <v>4</v>
      </c>
      <c r="I342" s="49" t="s">
        <v>45</v>
      </c>
      <c r="J342" s="184">
        <v>80</v>
      </c>
      <c r="K342" s="113">
        <v>400</v>
      </c>
      <c r="L342" s="113">
        <v>1950</v>
      </c>
      <c r="M342" s="185">
        <v>24.24692732246158</v>
      </c>
      <c r="N342" s="75">
        <v>1119.8845095307677</v>
      </c>
      <c r="O342" s="121">
        <v>33605.708439079586</v>
      </c>
      <c r="P342" s="121">
        <v>40176.692995685749</v>
      </c>
      <c r="Q342" s="120">
        <v>28672.678220671129</v>
      </c>
      <c r="R342" s="314">
        <v>62278.386659750715</v>
      </c>
      <c r="S342" s="315">
        <v>68849.371216356871</v>
      </c>
      <c r="U342" s="7" t="s">
        <v>2066</v>
      </c>
    </row>
    <row r="343" spans="1:21" s="74" customFormat="1" ht="16.5" thickBot="1">
      <c r="A343" s="50" t="s">
        <v>35</v>
      </c>
      <c r="B343" s="51">
        <f t="shared" si="18"/>
        <v>80</v>
      </c>
      <c r="C343" s="51" t="s">
        <v>3</v>
      </c>
      <c r="D343" s="51">
        <f t="shared" si="19"/>
        <v>400</v>
      </c>
      <c r="E343" s="51" t="s">
        <v>3</v>
      </c>
      <c r="F343" s="110">
        <f t="shared" si="20"/>
        <v>2000</v>
      </c>
      <c r="G343" s="51" t="s">
        <v>3</v>
      </c>
      <c r="H343" s="48">
        <v>4</v>
      </c>
      <c r="I343" s="49" t="s">
        <v>45</v>
      </c>
      <c r="J343" s="184">
        <v>80</v>
      </c>
      <c r="K343" s="113">
        <v>400</v>
      </c>
      <c r="L343" s="113">
        <v>2000</v>
      </c>
      <c r="M343" s="185">
        <v>24.923053610642629</v>
      </c>
      <c r="N343" s="75">
        <v>1154.8809004536042</v>
      </c>
      <c r="O343" s="121">
        <v>34529.868245166756</v>
      </c>
      <c r="P343" s="121">
        <v>41324.803239471868</v>
      </c>
      <c r="Q343" s="120">
        <v>29505.651695454384</v>
      </c>
      <c r="R343" s="314">
        <v>64035.51994062114</v>
      </c>
      <c r="S343" s="315">
        <v>70830.454934926252</v>
      </c>
      <c r="U343" s="7" t="s">
        <v>2067</v>
      </c>
    </row>
    <row r="344" spans="1:21" s="74" customFormat="1" ht="16.5" thickBot="1">
      <c r="A344" s="50" t="s">
        <v>35</v>
      </c>
      <c r="B344" s="51">
        <f t="shared" si="18"/>
        <v>80</v>
      </c>
      <c r="C344" s="51" t="s">
        <v>3</v>
      </c>
      <c r="D344" s="51">
        <f t="shared" si="19"/>
        <v>400</v>
      </c>
      <c r="E344" s="51" t="s">
        <v>3</v>
      </c>
      <c r="F344" s="110">
        <f t="shared" si="20"/>
        <v>2050</v>
      </c>
      <c r="G344" s="51" t="s">
        <v>3</v>
      </c>
      <c r="H344" s="48">
        <v>4</v>
      </c>
      <c r="I344" s="49" t="s">
        <v>45</v>
      </c>
      <c r="J344" s="184">
        <v>80</v>
      </c>
      <c r="K344" s="113">
        <v>400</v>
      </c>
      <c r="L344" s="113">
        <v>2050</v>
      </c>
      <c r="M344" s="185">
        <v>25.507617498823684</v>
      </c>
      <c r="N344" s="75">
        <v>1189.8772913764408</v>
      </c>
      <c r="O344" s="121">
        <v>35223.485162432073</v>
      </c>
      <c r="P344" s="121">
        <v>42171.603073774211</v>
      </c>
      <c r="Q344" s="120">
        <v>30108.043532847722</v>
      </c>
      <c r="R344" s="314">
        <v>65331.528695279791</v>
      </c>
      <c r="S344" s="315">
        <v>72279.646606621929</v>
      </c>
      <c r="U344" s="7" t="s">
        <v>2068</v>
      </c>
    </row>
    <row r="345" spans="1:21" s="74" customFormat="1" ht="16.5" thickBot="1">
      <c r="A345" s="47" t="s">
        <v>35</v>
      </c>
      <c r="B345" s="48">
        <f t="shared" si="18"/>
        <v>80</v>
      </c>
      <c r="C345" s="48" t="s">
        <v>3</v>
      </c>
      <c r="D345" s="48">
        <f t="shared" si="19"/>
        <v>400</v>
      </c>
      <c r="E345" s="48" t="s">
        <v>3</v>
      </c>
      <c r="F345" s="110">
        <f t="shared" si="20"/>
        <v>2100</v>
      </c>
      <c r="G345" s="48" t="s">
        <v>3</v>
      </c>
      <c r="H345" s="48">
        <v>4</v>
      </c>
      <c r="I345" s="49" t="s">
        <v>45</v>
      </c>
      <c r="J345" s="184">
        <v>80</v>
      </c>
      <c r="K345" s="113">
        <v>400</v>
      </c>
      <c r="L345" s="113">
        <v>2100</v>
      </c>
      <c r="M345" s="185">
        <v>26.092181387004736</v>
      </c>
      <c r="N345" s="75">
        <v>1224.8736822992771</v>
      </c>
      <c r="O345" s="121">
        <v>35917.101939304019</v>
      </c>
      <c r="P345" s="121">
        <v>43018.402767683183</v>
      </c>
      <c r="Q345" s="120">
        <v>30941.01700763097</v>
      </c>
      <c r="R345" s="314">
        <v>66858.118946934992</v>
      </c>
      <c r="S345" s="315">
        <v>73959.419775314149</v>
      </c>
      <c r="U345" s="7" t="s">
        <v>2069</v>
      </c>
    </row>
    <row r="346" spans="1:21" s="74" customFormat="1" ht="16.5" thickBot="1">
      <c r="A346" s="50" t="s">
        <v>35</v>
      </c>
      <c r="B346" s="51">
        <f t="shared" si="18"/>
        <v>80</v>
      </c>
      <c r="C346" s="51" t="s">
        <v>3</v>
      </c>
      <c r="D346" s="51">
        <f t="shared" si="19"/>
        <v>400</v>
      </c>
      <c r="E346" s="51" t="s">
        <v>3</v>
      </c>
      <c r="F346" s="110">
        <f t="shared" si="20"/>
        <v>2150</v>
      </c>
      <c r="G346" s="51" t="s">
        <v>3</v>
      </c>
      <c r="H346" s="48">
        <v>4</v>
      </c>
      <c r="I346" s="49" t="s">
        <v>45</v>
      </c>
      <c r="J346" s="184">
        <v>80</v>
      </c>
      <c r="K346" s="113">
        <v>400</v>
      </c>
      <c r="L346" s="113">
        <v>2150</v>
      </c>
      <c r="M346" s="185">
        <v>26.676745275185787</v>
      </c>
      <c r="N346" s="75">
        <v>1259.8700732221137</v>
      </c>
      <c r="O346" s="121">
        <v>36610.718856569329</v>
      </c>
      <c r="P346" s="121">
        <v>43865.202461592162</v>
      </c>
      <c r="Q346" s="120">
        <v>31543.408845024307</v>
      </c>
      <c r="R346" s="314">
        <v>68154.127701593636</v>
      </c>
      <c r="S346" s="315">
        <v>75408.611306616469</v>
      </c>
      <c r="U346" s="7" t="s">
        <v>2070</v>
      </c>
    </row>
    <row r="347" spans="1:21" s="74" customFormat="1" ht="16.5" thickBot="1">
      <c r="A347" s="50" t="s">
        <v>35</v>
      </c>
      <c r="B347" s="51">
        <f t="shared" si="18"/>
        <v>80</v>
      </c>
      <c r="C347" s="51" t="s">
        <v>3</v>
      </c>
      <c r="D347" s="51">
        <f t="shared" si="19"/>
        <v>400</v>
      </c>
      <c r="E347" s="51" t="s">
        <v>3</v>
      </c>
      <c r="F347" s="110">
        <f t="shared" si="20"/>
        <v>2200</v>
      </c>
      <c r="G347" s="51" t="s">
        <v>3</v>
      </c>
      <c r="H347" s="48">
        <v>4</v>
      </c>
      <c r="I347" s="49" t="s">
        <v>45</v>
      </c>
      <c r="J347" s="184">
        <v>80</v>
      </c>
      <c r="K347" s="113">
        <v>400</v>
      </c>
      <c r="L347" s="113">
        <v>2200</v>
      </c>
      <c r="M347" s="185">
        <v>27.261309163366839</v>
      </c>
      <c r="N347" s="75">
        <v>1294.8664641449502</v>
      </c>
      <c r="O347" s="121">
        <v>37304.335773834646</v>
      </c>
      <c r="P347" s="121">
        <v>44712.002155501134</v>
      </c>
      <c r="Q347" s="120">
        <v>32376.382319807555</v>
      </c>
      <c r="R347" s="314">
        <v>69680.718093642208</v>
      </c>
      <c r="S347" s="315">
        <v>77088.384475308689</v>
      </c>
      <c r="U347" s="7" t="s">
        <v>2071</v>
      </c>
    </row>
    <row r="348" spans="1:21" s="74" customFormat="1" ht="16.5" thickBot="1">
      <c r="A348" s="50" t="s">
        <v>35</v>
      </c>
      <c r="B348" s="51">
        <f t="shared" si="18"/>
        <v>80</v>
      </c>
      <c r="C348" s="51" t="s">
        <v>3</v>
      </c>
      <c r="D348" s="51">
        <f t="shared" si="19"/>
        <v>400</v>
      </c>
      <c r="E348" s="51" t="s">
        <v>3</v>
      </c>
      <c r="F348" s="110">
        <f t="shared" si="20"/>
        <v>2250</v>
      </c>
      <c r="G348" s="51" t="s">
        <v>3</v>
      </c>
      <c r="H348" s="48">
        <v>4</v>
      </c>
      <c r="I348" s="49" t="s">
        <v>45</v>
      </c>
      <c r="J348" s="184">
        <v>80</v>
      </c>
      <c r="K348" s="113">
        <v>400</v>
      </c>
      <c r="L348" s="113">
        <v>2250</v>
      </c>
      <c r="M348" s="185">
        <v>27.84587305154789</v>
      </c>
      <c r="N348" s="75">
        <v>1329.8628550677865</v>
      </c>
      <c r="O348" s="121">
        <v>37997.952550706599</v>
      </c>
      <c r="P348" s="121">
        <v>45558.801989803469</v>
      </c>
      <c r="Q348" s="120">
        <v>32978.774157200758</v>
      </c>
      <c r="R348" s="314">
        <v>70976.726707907364</v>
      </c>
      <c r="S348" s="315">
        <v>78537.576147004234</v>
      </c>
      <c r="U348" s="7" t="s">
        <v>2072</v>
      </c>
    </row>
    <row r="349" spans="1:21" s="74" customFormat="1" ht="16.5" thickBot="1">
      <c r="A349" s="50" t="s">
        <v>35</v>
      </c>
      <c r="B349" s="51">
        <f t="shared" si="18"/>
        <v>80</v>
      </c>
      <c r="C349" s="51" t="s">
        <v>3</v>
      </c>
      <c r="D349" s="51">
        <f t="shared" si="19"/>
        <v>400</v>
      </c>
      <c r="E349" s="51" t="s">
        <v>3</v>
      </c>
      <c r="F349" s="110">
        <f t="shared" si="20"/>
        <v>2300</v>
      </c>
      <c r="G349" s="51" t="s">
        <v>3</v>
      </c>
      <c r="H349" s="48">
        <v>4</v>
      </c>
      <c r="I349" s="49" t="s">
        <v>45</v>
      </c>
      <c r="J349" s="184">
        <v>80</v>
      </c>
      <c r="K349" s="113">
        <v>400</v>
      </c>
      <c r="L349" s="113">
        <v>2300</v>
      </c>
      <c r="M349" s="185">
        <v>28.430436939728942</v>
      </c>
      <c r="N349" s="75">
        <v>1364.8592459906231</v>
      </c>
      <c r="O349" s="121">
        <v>38691.569467971909</v>
      </c>
      <c r="P349" s="121">
        <v>46405.601683712448</v>
      </c>
      <c r="Q349" s="120">
        <v>33581.165854200874</v>
      </c>
      <c r="R349" s="314">
        <v>72272.735322172783</v>
      </c>
      <c r="S349" s="315">
        <v>79986.767537913314</v>
      </c>
      <c r="U349" s="7" t="s">
        <v>2073</v>
      </c>
    </row>
    <row r="350" spans="1:21" s="74" customFormat="1" ht="16.5" thickBot="1">
      <c r="A350" s="50" t="s">
        <v>35</v>
      </c>
      <c r="B350" s="51">
        <f t="shared" si="18"/>
        <v>80</v>
      </c>
      <c r="C350" s="51" t="s">
        <v>3</v>
      </c>
      <c r="D350" s="51">
        <f t="shared" si="19"/>
        <v>400</v>
      </c>
      <c r="E350" s="51" t="s">
        <v>3</v>
      </c>
      <c r="F350" s="110">
        <f t="shared" si="20"/>
        <v>2350</v>
      </c>
      <c r="G350" s="51" t="s">
        <v>3</v>
      </c>
      <c r="H350" s="48">
        <v>4</v>
      </c>
      <c r="I350" s="49" t="s">
        <v>45</v>
      </c>
      <c r="J350" s="184">
        <v>80</v>
      </c>
      <c r="K350" s="113">
        <v>400</v>
      </c>
      <c r="L350" s="113">
        <v>2350</v>
      </c>
      <c r="M350" s="185">
        <v>29.015000827909997</v>
      </c>
      <c r="N350" s="75">
        <v>1399.8556369134596</v>
      </c>
      <c r="O350" s="121">
        <v>39385.186244843855</v>
      </c>
      <c r="P350" s="121">
        <v>47252.401377621427</v>
      </c>
      <c r="Q350" s="120">
        <v>34414.139469377486</v>
      </c>
      <c r="R350" s="314">
        <v>73799.325714221341</v>
      </c>
      <c r="S350" s="315">
        <v>81666.54084699892</v>
      </c>
      <c r="U350" s="7" t="s">
        <v>2074</v>
      </c>
    </row>
    <row r="351" spans="1:21" s="74" customFormat="1" ht="16.5" thickBot="1">
      <c r="A351" s="50" t="s">
        <v>35</v>
      </c>
      <c r="B351" s="51">
        <f t="shared" si="18"/>
        <v>80</v>
      </c>
      <c r="C351" s="51" t="s">
        <v>3</v>
      </c>
      <c r="D351" s="51">
        <f t="shared" si="19"/>
        <v>400</v>
      </c>
      <c r="E351" s="51" t="s">
        <v>3</v>
      </c>
      <c r="F351" s="110">
        <f t="shared" si="20"/>
        <v>2400</v>
      </c>
      <c r="G351" s="51" t="s">
        <v>3</v>
      </c>
      <c r="H351" s="48">
        <v>4</v>
      </c>
      <c r="I351" s="49" t="s">
        <v>45</v>
      </c>
      <c r="J351" s="184">
        <v>80</v>
      </c>
      <c r="K351" s="113">
        <v>400</v>
      </c>
      <c r="L351" s="113">
        <v>2400</v>
      </c>
      <c r="M351" s="185">
        <v>29.599564716091052</v>
      </c>
      <c r="N351" s="75">
        <v>1434.852027836296</v>
      </c>
      <c r="O351" s="121">
        <v>40078.803162109172</v>
      </c>
      <c r="P351" s="121">
        <v>48099.201211923755</v>
      </c>
      <c r="Q351" s="120">
        <v>35016.531306770819</v>
      </c>
      <c r="R351" s="314">
        <v>75095.334468879999</v>
      </c>
      <c r="S351" s="315">
        <v>83115.732518694567</v>
      </c>
      <c r="U351" s="7" t="s">
        <v>2075</v>
      </c>
    </row>
    <row r="352" spans="1:21" s="74" customFormat="1" ht="16.5" thickBot="1">
      <c r="A352" s="50" t="s">
        <v>35</v>
      </c>
      <c r="B352" s="51">
        <f t="shared" si="18"/>
        <v>80</v>
      </c>
      <c r="C352" s="51" t="s">
        <v>3</v>
      </c>
      <c r="D352" s="51">
        <f t="shared" si="19"/>
        <v>400</v>
      </c>
      <c r="E352" s="51" t="s">
        <v>3</v>
      </c>
      <c r="F352" s="110">
        <f t="shared" si="20"/>
        <v>2450</v>
      </c>
      <c r="G352" s="51" t="s">
        <v>3</v>
      </c>
      <c r="H352" s="48">
        <v>4</v>
      </c>
      <c r="I352" s="49" t="s">
        <v>45</v>
      </c>
      <c r="J352" s="184">
        <v>80</v>
      </c>
      <c r="K352" s="113">
        <v>400</v>
      </c>
      <c r="L352" s="113">
        <v>2450</v>
      </c>
      <c r="M352" s="185">
        <v>30.380695257072105</v>
      </c>
      <c r="N352" s="75">
        <v>1469.8484187591328</v>
      </c>
      <c r="O352" s="121">
        <v>41582.984807995657</v>
      </c>
      <c r="P352" s="121">
        <v>49687.46753126548</v>
      </c>
      <c r="Q352" s="120">
        <v>35849.504781554067</v>
      </c>
      <c r="R352" s="314">
        <v>77432.489589549717</v>
      </c>
      <c r="S352" s="315">
        <v>85536.972312819547</v>
      </c>
      <c r="U352" s="7" t="s">
        <v>2076</v>
      </c>
    </row>
    <row r="353" spans="1:21" s="74" customFormat="1" ht="16.5" thickBot="1">
      <c r="A353" s="50" t="s">
        <v>35</v>
      </c>
      <c r="B353" s="51">
        <f t="shared" si="18"/>
        <v>80</v>
      </c>
      <c r="C353" s="51" t="s">
        <v>3</v>
      </c>
      <c r="D353" s="51">
        <f t="shared" si="19"/>
        <v>400</v>
      </c>
      <c r="E353" s="51" t="s">
        <v>3</v>
      </c>
      <c r="F353" s="110">
        <f t="shared" si="20"/>
        <v>2500</v>
      </c>
      <c r="G353" s="51" t="s">
        <v>3</v>
      </c>
      <c r="H353" s="48">
        <v>4</v>
      </c>
      <c r="I353" s="49" t="s">
        <v>45</v>
      </c>
      <c r="J353" s="184">
        <v>80</v>
      </c>
      <c r="K353" s="113">
        <v>400</v>
      </c>
      <c r="L353" s="113">
        <v>2500</v>
      </c>
      <c r="M353" s="185">
        <v>30.965259145253157</v>
      </c>
      <c r="N353" s="75">
        <v>1504.8448096819691</v>
      </c>
      <c r="O353" s="121">
        <v>42276.601725260967</v>
      </c>
      <c r="P353" s="121">
        <v>50534.26736556767</v>
      </c>
      <c r="Q353" s="120">
        <v>36451.896618947409</v>
      </c>
      <c r="R353" s="314">
        <v>78728.498344208376</v>
      </c>
      <c r="S353" s="315">
        <v>86986.163984515078</v>
      </c>
      <c r="U353" s="7" t="s">
        <v>2077</v>
      </c>
    </row>
    <row r="354" spans="1:21" s="74" customFormat="1" ht="16.5" thickBot="1">
      <c r="A354" s="50" t="s">
        <v>35</v>
      </c>
      <c r="B354" s="51">
        <f t="shared" si="18"/>
        <v>80</v>
      </c>
      <c r="C354" s="51" t="s">
        <v>3</v>
      </c>
      <c r="D354" s="51">
        <f t="shared" si="19"/>
        <v>400</v>
      </c>
      <c r="E354" s="51" t="s">
        <v>3</v>
      </c>
      <c r="F354" s="110">
        <f t="shared" si="20"/>
        <v>2550</v>
      </c>
      <c r="G354" s="51" t="s">
        <v>3</v>
      </c>
      <c r="H354" s="48">
        <v>4</v>
      </c>
      <c r="I354" s="49" t="s">
        <v>45</v>
      </c>
      <c r="J354" s="184">
        <v>80</v>
      </c>
      <c r="K354" s="113">
        <v>400</v>
      </c>
      <c r="L354" s="113">
        <v>2550</v>
      </c>
      <c r="M354" s="185">
        <v>31.549823033434208</v>
      </c>
      <c r="N354" s="75">
        <v>1539.8412006048056</v>
      </c>
      <c r="O354" s="121">
        <v>42970.218642526284</v>
      </c>
      <c r="P354" s="121">
        <v>51381.067059476787</v>
      </c>
      <c r="Q354" s="120">
        <v>37284.870093730657</v>
      </c>
      <c r="R354" s="314">
        <v>80255.088736256934</v>
      </c>
      <c r="S354" s="315">
        <v>88665.937153207444</v>
      </c>
      <c r="U354" s="7" t="s">
        <v>2078</v>
      </c>
    </row>
    <row r="355" spans="1:21" s="74" customFormat="1" ht="16.5" thickBot="1">
      <c r="A355" s="47" t="s">
        <v>35</v>
      </c>
      <c r="B355" s="48">
        <f t="shared" si="18"/>
        <v>80</v>
      </c>
      <c r="C355" s="48" t="s">
        <v>3</v>
      </c>
      <c r="D355" s="48">
        <f t="shared" si="19"/>
        <v>400</v>
      </c>
      <c r="E355" s="48" t="s">
        <v>3</v>
      </c>
      <c r="F355" s="110">
        <f t="shared" si="20"/>
        <v>2600</v>
      </c>
      <c r="G355" s="48" t="s">
        <v>3</v>
      </c>
      <c r="H355" s="48">
        <v>4</v>
      </c>
      <c r="I355" s="49" t="s">
        <v>45</v>
      </c>
      <c r="J355" s="184">
        <v>80</v>
      </c>
      <c r="K355" s="113">
        <v>400</v>
      </c>
      <c r="L355" s="113">
        <v>2600</v>
      </c>
      <c r="M355" s="185">
        <v>32.13438692161526</v>
      </c>
      <c r="N355" s="75">
        <v>1574.8375915276422</v>
      </c>
      <c r="O355" s="121">
        <v>43663.835419398238</v>
      </c>
      <c r="P355" s="121">
        <v>52227.866753385759</v>
      </c>
      <c r="Q355" s="120">
        <v>37887.261931123991</v>
      </c>
      <c r="R355" s="314">
        <v>81551.097350522236</v>
      </c>
      <c r="S355" s="315">
        <v>90115.128684509749</v>
      </c>
      <c r="U355" s="7" t="s">
        <v>2079</v>
      </c>
    </row>
    <row r="356" spans="1:21" s="74" customFormat="1" ht="16.5" thickBot="1">
      <c r="A356" s="50" t="s">
        <v>35</v>
      </c>
      <c r="B356" s="51">
        <f t="shared" si="18"/>
        <v>80</v>
      </c>
      <c r="C356" s="51" t="s">
        <v>3</v>
      </c>
      <c r="D356" s="51">
        <f t="shared" si="19"/>
        <v>400</v>
      </c>
      <c r="E356" s="51" t="s">
        <v>3</v>
      </c>
      <c r="F356" s="110">
        <f t="shared" si="20"/>
        <v>2650</v>
      </c>
      <c r="G356" s="51" t="s">
        <v>3</v>
      </c>
      <c r="H356" s="48">
        <v>4</v>
      </c>
      <c r="I356" s="49" t="s">
        <v>45</v>
      </c>
      <c r="J356" s="184">
        <v>80</v>
      </c>
      <c r="K356" s="113">
        <v>400</v>
      </c>
      <c r="L356" s="113">
        <v>2650</v>
      </c>
      <c r="M356" s="185">
        <v>32.718950809796318</v>
      </c>
      <c r="N356" s="75">
        <v>1609.8339824504785</v>
      </c>
      <c r="O356" s="121">
        <v>44357.452336663548</v>
      </c>
      <c r="P356" s="121">
        <v>53074.666587688102</v>
      </c>
      <c r="Q356" s="120">
        <v>38720.235405907246</v>
      </c>
      <c r="R356" s="314">
        <v>83077.687742570793</v>
      </c>
      <c r="S356" s="315">
        <v>91794.901993595355</v>
      </c>
      <c r="U356" s="7" t="s">
        <v>2080</v>
      </c>
    </row>
    <row r="357" spans="1:21" s="74" customFormat="1" ht="16.5" thickBot="1">
      <c r="A357" s="50" t="s">
        <v>35</v>
      </c>
      <c r="B357" s="51">
        <f t="shared" si="18"/>
        <v>80</v>
      </c>
      <c r="C357" s="51" t="s">
        <v>3</v>
      </c>
      <c r="D357" s="51">
        <f t="shared" si="19"/>
        <v>400</v>
      </c>
      <c r="E357" s="51" t="s">
        <v>3</v>
      </c>
      <c r="F357" s="110">
        <f t="shared" si="20"/>
        <v>2700</v>
      </c>
      <c r="G357" s="51" t="s">
        <v>3</v>
      </c>
      <c r="H357" s="48">
        <v>4</v>
      </c>
      <c r="I357" s="49" t="s">
        <v>45</v>
      </c>
      <c r="J357" s="184">
        <v>80</v>
      </c>
      <c r="K357" s="113">
        <v>400</v>
      </c>
      <c r="L357" s="113">
        <v>2700</v>
      </c>
      <c r="M357" s="185">
        <v>33.382014697977368</v>
      </c>
      <c r="N357" s="75">
        <v>1644.8303733733151</v>
      </c>
      <c r="O357" s="121">
        <v>45128.223549437636</v>
      </c>
      <c r="P357" s="121">
        <v>53996.268988283977</v>
      </c>
      <c r="Q357" s="120">
        <v>39322.627243300587</v>
      </c>
      <c r="R357" s="314">
        <v>84450.850792738231</v>
      </c>
      <c r="S357" s="315">
        <v>93318.896231584571</v>
      </c>
      <c r="U357" s="7" t="s">
        <v>2081</v>
      </c>
    </row>
    <row r="358" spans="1:21" s="74" customFormat="1" ht="16.5" thickBot="1">
      <c r="A358" s="50" t="s">
        <v>35</v>
      </c>
      <c r="B358" s="51">
        <f t="shared" si="18"/>
        <v>80</v>
      </c>
      <c r="C358" s="51" t="s">
        <v>3</v>
      </c>
      <c r="D358" s="51">
        <f t="shared" si="19"/>
        <v>400</v>
      </c>
      <c r="E358" s="51" t="s">
        <v>3</v>
      </c>
      <c r="F358" s="110">
        <f t="shared" si="20"/>
        <v>2750</v>
      </c>
      <c r="G358" s="51" t="s">
        <v>3</v>
      </c>
      <c r="H358" s="48">
        <v>4</v>
      </c>
      <c r="I358" s="49" t="s">
        <v>45</v>
      </c>
      <c r="J358" s="184">
        <v>80</v>
      </c>
      <c r="K358" s="113">
        <v>400</v>
      </c>
      <c r="L358" s="113">
        <v>2750</v>
      </c>
      <c r="M358" s="185">
        <v>33.96657858615842</v>
      </c>
      <c r="N358" s="75">
        <v>1679.8267642961516</v>
      </c>
      <c r="O358" s="121">
        <v>45821.840466702946</v>
      </c>
      <c r="P358" s="121">
        <v>54843.068682192948</v>
      </c>
      <c r="Q358" s="120">
        <v>39925.018940300557</v>
      </c>
      <c r="R358" s="314">
        <v>85746.859407003503</v>
      </c>
      <c r="S358" s="315">
        <v>94768.087622493505</v>
      </c>
      <c r="U358" s="7" t="s">
        <v>2082</v>
      </c>
    </row>
    <row r="359" spans="1:21" s="74" customFormat="1" ht="16.5" thickBot="1">
      <c r="A359" s="50" t="s">
        <v>35</v>
      </c>
      <c r="B359" s="51">
        <f t="shared" si="18"/>
        <v>80</v>
      </c>
      <c r="C359" s="51" t="s">
        <v>3</v>
      </c>
      <c r="D359" s="51">
        <f t="shared" si="19"/>
        <v>400</v>
      </c>
      <c r="E359" s="51" t="s">
        <v>3</v>
      </c>
      <c r="F359" s="110">
        <f t="shared" si="20"/>
        <v>2800</v>
      </c>
      <c r="G359" s="51" t="s">
        <v>3</v>
      </c>
      <c r="H359" s="48">
        <v>4</v>
      </c>
      <c r="I359" s="49" t="s">
        <v>45</v>
      </c>
      <c r="J359" s="184">
        <v>80</v>
      </c>
      <c r="K359" s="113">
        <v>400</v>
      </c>
      <c r="L359" s="113">
        <v>2800</v>
      </c>
      <c r="M359" s="185">
        <v>34.551142474339471</v>
      </c>
      <c r="N359" s="75">
        <v>1714.8231552189882</v>
      </c>
      <c r="O359" s="121">
        <v>46515.4572435749</v>
      </c>
      <c r="P359" s="121">
        <v>55689.86837610192</v>
      </c>
      <c r="Q359" s="120">
        <v>40757.992555477169</v>
      </c>
      <c r="R359" s="314">
        <v>87273.449799052061</v>
      </c>
      <c r="S359" s="315">
        <v>96447.860931579082</v>
      </c>
      <c r="U359" s="7" t="s">
        <v>2083</v>
      </c>
    </row>
    <row r="360" spans="1:21" s="74" customFormat="1" ht="16.5" thickBot="1">
      <c r="A360" s="50" t="s">
        <v>35</v>
      </c>
      <c r="B360" s="51">
        <f t="shared" si="18"/>
        <v>80</v>
      </c>
      <c r="C360" s="51" t="s">
        <v>3</v>
      </c>
      <c r="D360" s="51">
        <f t="shared" si="19"/>
        <v>400</v>
      </c>
      <c r="E360" s="51" t="s">
        <v>3</v>
      </c>
      <c r="F360" s="110">
        <f t="shared" si="20"/>
        <v>2850</v>
      </c>
      <c r="G360" s="51" t="s">
        <v>3</v>
      </c>
      <c r="H360" s="48">
        <v>4</v>
      </c>
      <c r="I360" s="49" t="s">
        <v>45</v>
      </c>
      <c r="J360" s="184">
        <v>80</v>
      </c>
      <c r="K360" s="113">
        <v>400</v>
      </c>
      <c r="L360" s="113">
        <v>2850</v>
      </c>
      <c r="M360" s="185">
        <v>35.135706362520523</v>
      </c>
      <c r="N360" s="75">
        <v>1749.8195461418245</v>
      </c>
      <c r="O360" s="121">
        <v>47209.07416084021</v>
      </c>
      <c r="P360" s="121">
        <v>56536.668210404263</v>
      </c>
      <c r="Q360" s="120">
        <v>41360.384252477146</v>
      </c>
      <c r="R360" s="314">
        <v>88569.458413317363</v>
      </c>
      <c r="S360" s="315">
        <v>97897.052462881402</v>
      </c>
      <c r="U360" s="7" t="s">
        <v>2084</v>
      </c>
    </row>
    <row r="361" spans="1:21" s="74" customFormat="1" ht="16.5" thickBot="1">
      <c r="A361" s="50" t="s">
        <v>35</v>
      </c>
      <c r="B361" s="51">
        <f t="shared" si="18"/>
        <v>80</v>
      </c>
      <c r="C361" s="51" t="s">
        <v>3</v>
      </c>
      <c r="D361" s="51">
        <f t="shared" si="19"/>
        <v>400</v>
      </c>
      <c r="E361" s="51" t="s">
        <v>3</v>
      </c>
      <c r="F361" s="110">
        <f t="shared" si="20"/>
        <v>2900</v>
      </c>
      <c r="G361" s="51" t="s">
        <v>3</v>
      </c>
      <c r="H361" s="48">
        <v>4</v>
      </c>
      <c r="I361" s="49" t="s">
        <v>45</v>
      </c>
      <c r="J361" s="184">
        <v>80</v>
      </c>
      <c r="K361" s="113">
        <v>400</v>
      </c>
      <c r="L361" s="113">
        <v>2900</v>
      </c>
      <c r="M361" s="185">
        <v>35.720270250701574</v>
      </c>
      <c r="N361" s="75">
        <v>1784.8159370646608</v>
      </c>
      <c r="O361" s="121">
        <v>47902.690937712156</v>
      </c>
      <c r="P361" s="121">
        <v>57383.467904313235</v>
      </c>
      <c r="Q361" s="120">
        <v>42193.357867653758</v>
      </c>
      <c r="R361" s="314">
        <v>90096.048805365921</v>
      </c>
      <c r="S361" s="315">
        <v>99576.825771966993</v>
      </c>
      <c r="U361" s="7" t="s">
        <v>2085</v>
      </c>
    </row>
    <row r="362" spans="1:21" s="74" customFormat="1" ht="16.5" thickBot="1">
      <c r="A362" s="50" t="s">
        <v>35</v>
      </c>
      <c r="B362" s="51">
        <f t="shared" si="18"/>
        <v>80</v>
      </c>
      <c r="C362" s="51" t="s">
        <v>3</v>
      </c>
      <c r="D362" s="51">
        <f t="shared" si="19"/>
        <v>400</v>
      </c>
      <c r="E362" s="51" t="s">
        <v>3</v>
      </c>
      <c r="F362" s="110">
        <f t="shared" si="20"/>
        <v>2950</v>
      </c>
      <c r="G362" s="51" t="s">
        <v>3</v>
      </c>
      <c r="H362" s="48">
        <v>4</v>
      </c>
      <c r="I362" s="49" t="s">
        <v>45</v>
      </c>
      <c r="J362" s="184">
        <v>80</v>
      </c>
      <c r="K362" s="113">
        <v>400</v>
      </c>
      <c r="L362" s="113">
        <v>2950</v>
      </c>
      <c r="M362" s="185">
        <v>36.304834138882633</v>
      </c>
      <c r="N362" s="75">
        <v>1819.8123279874976</v>
      </c>
      <c r="O362" s="121">
        <v>48596.30785497748</v>
      </c>
      <c r="P362" s="121">
        <v>58230.267598222214</v>
      </c>
      <c r="Q362" s="120">
        <v>42795.749564653735</v>
      </c>
      <c r="R362" s="314">
        <v>91392.057419631223</v>
      </c>
      <c r="S362" s="315">
        <v>101026.01716287594</v>
      </c>
      <c r="U362" s="7" t="s">
        <v>2086</v>
      </c>
    </row>
    <row r="363" spans="1:21" s="74" customFormat="1" ht="16.5" thickBot="1">
      <c r="A363" s="52" t="s">
        <v>35</v>
      </c>
      <c r="B363" s="53">
        <f t="shared" si="18"/>
        <v>80</v>
      </c>
      <c r="C363" s="53" t="s">
        <v>3</v>
      </c>
      <c r="D363" s="53">
        <f t="shared" si="19"/>
        <v>400</v>
      </c>
      <c r="E363" s="53" t="s">
        <v>3</v>
      </c>
      <c r="F363" s="111">
        <f t="shared" si="20"/>
        <v>3000</v>
      </c>
      <c r="G363" s="53" t="s">
        <v>3</v>
      </c>
      <c r="H363" s="55">
        <v>4</v>
      </c>
      <c r="I363" s="54" t="s">
        <v>45</v>
      </c>
      <c r="J363" s="184">
        <v>80</v>
      </c>
      <c r="K363" s="157">
        <v>400</v>
      </c>
      <c r="L363" s="157">
        <v>3000</v>
      </c>
      <c r="M363" s="187">
        <v>36.889398027063685</v>
      </c>
      <c r="N363" s="147">
        <v>1854.8087189103339</v>
      </c>
      <c r="O363" s="158">
        <v>49289.92477224279</v>
      </c>
      <c r="P363" s="158">
        <v>59077.067292131185</v>
      </c>
      <c r="Q363" s="159">
        <v>43628.723179830347</v>
      </c>
      <c r="R363" s="316">
        <v>92918.647952073137</v>
      </c>
      <c r="S363" s="317">
        <v>102705.79047196153</v>
      </c>
      <c r="U363" s="7" t="s">
        <v>2087</v>
      </c>
    </row>
    <row r="364" spans="1:21" s="74" customFormat="1" ht="16.5" thickBot="1">
      <c r="A364" s="2583" t="s">
        <v>136</v>
      </c>
      <c r="B364" s="2584"/>
      <c r="C364" s="2584"/>
      <c r="D364" s="2584"/>
      <c r="E364" s="2584"/>
      <c r="F364" s="2584"/>
      <c r="G364" s="2584"/>
      <c r="H364" s="2584"/>
      <c r="I364" s="2584"/>
      <c r="J364" s="2584"/>
      <c r="K364" s="2584"/>
      <c r="L364" s="2584"/>
      <c r="M364" s="2584"/>
      <c r="N364" s="2584"/>
      <c r="O364" s="2584"/>
      <c r="P364" s="2584"/>
      <c r="Q364" s="2584"/>
      <c r="R364" s="2584"/>
      <c r="S364" s="2585"/>
      <c r="U364" s="7"/>
    </row>
    <row r="365" spans="1:21" s="74" customFormat="1" ht="16.5" thickBot="1">
      <c r="A365" s="47" t="s">
        <v>35</v>
      </c>
      <c r="B365" s="48">
        <f>J365</f>
        <v>80</v>
      </c>
      <c r="C365" s="48" t="s">
        <v>3</v>
      </c>
      <c r="D365" s="48">
        <f>K365</f>
        <v>400</v>
      </c>
      <c r="E365" s="48" t="s">
        <v>3</v>
      </c>
      <c r="F365" s="110">
        <f>L365</f>
        <v>600</v>
      </c>
      <c r="G365" s="48" t="s">
        <v>3</v>
      </c>
      <c r="H365" s="48">
        <v>6</v>
      </c>
      <c r="I365" s="49" t="s">
        <v>45</v>
      </c>
      <c r="J365" s="181">
        <v>80</v>
      </c>
      <c r="K365" s="168">
        <v>400</v>
      </c>
      <c r="L365" s="168">
        <v>600</v>
      </c>
      <c r="M365" s="182">
        <v>8.6176494764281575</v>
      </c>
      <c r="N365" s="143">
        <v>200.21202364415998</v>
      </c>
      <c r="O365" s="183">
        <v>16292.321899623566</v>
      </c>
      <c r="P365" s="183">
        <v>18675.733965763167</v>
      </c>
      <c r="Q365" s="169">
        <v>9871.7007401553401</v>
      </c>
      <c r="R365" s="312">
        <v>26164.022639778908</v>
      </c>
      <c r="S365" s="313">
        <v>28547.434705918509</v>
      </c>
      <c r="U365" s="7" t="s">
        <v>2088</v>
      </c>
    </row>
    <row r="366" spans="1:21" s="74" customFormat="1" ht="16.5" thickBot="1">
      <c r="A366" s="50" t="s">
        <v>35</v>
      </c>
      <c r="B366" s="51">
        <f t="shared" ref="B366:B413" si="21">J366</f>
        <v>80</v>
      </c>
      <c r="C366" s="51" t="s">
        <v>3</v>
      </c>
      <c r="D366" s="51">
        <f t="shared" ref="D366:D413" si="22">K366</f>
        <v>400</v>
      </c>
      <c r="E366" s="51" t="s">
        <v>3</v>
      </c>
      <c r="F366" s="110">
        <f t="shared" ref="F366:F413" si="23">L366</f>
        <v>650</v>
      </c>
      <c r="G366" s="51" t="s">
        <v>3</v>
      </c>
      <c r="H366" s="48">
        <v>6</v>
      </c>
      <c r="I366" s="49" t="s">
        <v>45</v>
      </c>
      <c r="J366" s="184">
        <v>80</v>
      </c>
      <c r="K366" s="113">
        <v>400</v>
      </c>
      <c r="L366" s="113">
        <v>650</v>
      </c>
      <c r="M366" s="185">
        <v>9.2688357544892117</v>
      </c>
      <c r="N366" s="75">
        <v>240.25442837299198</v>
      </c>
      <c r="O366" s="121">
        <v>17193.828394311193</v>
      </c>
      <c r="P366" s="121">
        <v>19800.847074804977</v>
      </c>
      <c r="Q366" s="120">
        <v>10474.092577548676</v>
      </c>
      <c r="R366" s="314">
        <v>27667.920971859869</v>
      </c>
      <c r="S366" s="315">
        <v>30274.939652353652</v>
      </c>
      <c r="U366" s="7" t="s">
        <v>2089</v>
      </c>
    </row>
    <row r="367" spans="1:21" s="74" customFormat="1" ht="16.5" thickBot="1">
      <c r="A367" s="50" t="s">
        <v>35</v>
      </c>
      <c r="B367" s="51">
        <f t="shared" si="21"/>
        <v>80</v>
      </c>
      <c r="C367" s="51" t="s">
        <v>3</v>
      </c>
      <c r="D367" s="51">
        <f t="shared" si="22"/>
        <v>400</v>
      </c>
      <c r="E367" s="51" t="s">
        <v>3</v>
      </c>
      <c r="F367" s="110">
        <f t="shared" si="23"/>
        <v>700</v>
      </c>
      <c r="G367" s="51" t="s">
        <v>3</v>
      </c>
      <c r="H367" s="48">
        <v>6</v>
      </c>
      <c r="I367" s="49" t="s">
        <v>45</v>
      </c>
      <c r="J367" s="184">
        <v>80</v>
      </c>
      <c r="K367" s="113">
        <v>400</v>
      </c>
      <c r="L367" s="113">
        <v>700</v>
      </c>
      <c r="M367" s="185">
        <v>9.9200220325502624</v>
      </c>
      <c r="N367" s="75">
        <v>280.29683310182395</v>
      </c>
      <c r="O367" s="121">
        <v>18095.334748605455</v>
      </c>
      <c r="P367" s="121">
        <v>20851.033650214169</v>
      </c>
      <c r="Q367" s="120">
        <v>11307.066052331927</v>
      </c>
      <c r="R367" s="314">
        <v>29402.400800937383</v>
      </c>
      <c r="S367" s="315">
        <v>32158.099702546097</v>
      </c>
      <c r="U367" s="7" t="s">
        <v>2090</v>
      </c>
    </row>
    <row r="368" spans="1:21" s="74" customFormat="1" ht="16.5" thickBot="1">
      <c r="A368" s="50" t="s">
        <v>35</v>
      </c>
      <c r="B368" s="51">
        <f t="shared" si="21"/>
        <v>80</v>
      </c>
      <c r="C368" s="51" t="s">
        <v>3</v>
      </c>
      <c r="D368" s="51">
        <f t="shared" si="22"/>
        <v>400</v>
      </c>
      <c r="E368" s="51" t="s">
        <v>3</v>
      </c>
      <c r="F368" s="110">
        <f t="shared" si="23"/>
        <v>750</v>
      </c>
      <c r="G368" s="51" t="s">
        <v>3</v>
      </c>
      <c r="H368" s="48">
        <v>6</v>
      </c>
      <c r="I368" s="49" t="s">
        <v>45</v>
      </c>
      <c r="J368" s="184">
        <v>80</v>
      </c>
      <c r="K368" s="113">
        <v>400</v>
      </c>
      <c r="L368" s="113">
        <v>750</v>
      </c>
      <c r="M368" s="185">
        <v>10.571208310611315</v>
      </c>
      <c r="N368" s="75">
        <v>320.33923783065597</v>
      </c>
      <c r="O368" s="121">
        <v>18996.841102899718</v>
      </c>
      <c r="P368" s="121">
        <v>21901.220366016718</v>
      </c>
      <c r="Q368" s="120">
        <v>11909.457889725263</v>
      </c>
      <c r="R368" s="314">
        <v>30906.298992624979</v>
      </c>
      <c r="S368" s="315">
        <v>33810.678255741979</v>
      </c>
      <c r="U368" s="7" t="s">
        <v>2091</v>
      </c>
    </row>
    <row r="369" spans="1:21" s="74" customFormat="1" ht="16.5" thickBot="1">
      <c r="A369" s="50" t="s">
        <v>35</v>
      </c>
      <c r="B369" s="51">
        <f t="shared" si="21"/>
        <v>80</v>
      </c>
      <c r="C369" s="51" t="s">
        <v>3</v>
      </c>
      <c r="D369" s="51">
        <f t="shared" si="22"/>
        <v>400</v>
      </c>
      <c r="E369" s="51" t="s">
        <v>3</v>
      </c>
      <c r="F369" s="110">
        <f t="shared" si="23"/>
        <v>800</v>
      </c>
      <c r="G369" s="51" t="s">
        <v>3</v>
      </c>
      <c r="H369" s="48">
        <v>6</v>
      </c>
      <c r="I369" s="49" t="s">
        <v>45</v>
      </c>
      <c r="J369" s="184">
        <v>80</v>
      </c>
      <c r="K369" s="113">
        <v>400</v>
      </c>
      <c r="L369" s="113">
        <v>800</v>
      </c>
      <c r="M369" s="185">
        <v>11.222394588672369</v>
      </c>
      <c r="N369" s="75">
        <v>360.381642559488</v>
      </c>
      <c r="O369" s="121">
        <v>19898.347597587344</v>
      </c>
      <c r="P369" s="121">
        <v>22951.406941425903</v>
      </c>
      <c r="Q369" s="120">
        <v>12511.84958672524</v>
      </c>
      <c r="R369" s="314">
        <v>32410.197184312587</v>
      </c>
      <c r="S369" s="315">
        <v>35463.256528151142</v>
      </c>
      <c r="U369" s="7" t="s">
        <v>2092</v>
      </c>
    </row>
    <row r="370" spans="1:21" s="74" customFormat="1" ht="16.5" thickBot="1">
      <c r="A370" s="50" t="s">
        <v>35</v>
      </c>
      <c r="B370" s="51">
        <f t="shared" si="21"/>
        <v>80</v>
      </c>
      <c r="C370" s="51" t="s">
        <v>3</v>
      </c>
      <c r="D370" s="51">
        <f t="shared" si="22"/>
        <v>400</v>
      </c>
      <c r="E370" s="51" t="s">
        <v>3</v>
      </c>
      <c r="F370" s="110">
        <f t="shared" si="23"/>
        <v>850</v>
      </c>
      <c r="G370" s="51" t="s">
        <v>3</v>
      </c>
      <c r="H370" s="48">
        <v>6</v>
      </c>
      <c r="I370" s="49" t="s">
        <v>45</v>
      </c>
      <c r="J370" s="184">
        <v>80</v>
      </c>
      <c r="K370" s="113">
        <v>400</v>
      </c>
      <c r="L370" s="113">
        <v>850</v>
      </c>
      <c r="M370" s="185">
        <v>11.87358086673342</v>
      </c>
      <c r="N370" s="75">
        <v>400.42404728831997</v>
      </c>
      <c r="O370" s="121">
        <v>20799.853951881603</v>
      </c>
      <c r="P370" s="121">
        <v>24001.593657228455</v>
      </c>
      <c r="Q370" s="120">
        <v>13344.823201901852</v>
      </c>
      <c r="R370" s="314">
        <v>34144.677153783457</v>
      </c>
      <c r="S370" s="315">
        <v>37346.41685913031</v>
      </c>
      <c r="U370" s="7" t="s">
        <v>2093</v>
      </c>
    </row>
    <row r="371" spans="1:21" s="74" customFormat="1" ht="16.5" thickBot="1">
      <c r="A371" s="50" t="s">
        <v>35</v>
      </c>
      <c r="B371" s="51">
        <f t="shared" si="21"/>
        <v>80</v>
      </c>
      <c r="C371" s="51" t="s">
        <v>3</v>
      </c>
      <c r="D371" s="51">
        <f t="shared" si="22"/>
        <v>400</v>
      </c>
      <c r="E371" s="51" t="s">
        <v>3</v>
      </c>
      <c r="F371" s="110">
        <f t="shared" si="23"/>
        <v>900</v>
      </c>
      <c r="G371" s="51" t="s">
        <v>3</v>
      </c>
      <c r="H371" s="48">
        <v>6</v>
      </c>
      <c r="I371" s="49" t="s">
        <v>45</v>
      </c>
      <c r="J371" s="184">
        <v>80</v>
      </c>
      <c r="K371" s="113">
        <v>400</v>
      </c>
      <c r="L371" s="113">
        <v>900</v>
      </c>
      <c r="M371" s="185">
        <v>12.524767144794474</v>
      </c>
      <c r="N371" s="75">
        <v>440.46645201715199</v>
      </c>
      <c r="O371" s="121">
        <v>21701.360306175866</v>
      </c>
      <c r="P371" s="121">
        <v>25051.780232637644</v>
      </c>
      <c r="Q371" s="120">
        <v>13947.21489890183</v>
      </c>
      <c r="R371" s="314">
        <v>35648.575205077694</v>
      </c>
      <c r="S371" s="315">
        <v>38998.995131539472</v>
      </c>
      <c r="U371" s="7" t="s">
        <v>2094</v>
      </c>
    </row>
    <row r="372" spans="1:21" s="74" customFormat="1" ht="16.5" thickBot="1">
      <c r="A372" s="50" t="s">
        <v>35</v>
      </c>
      <c r="B372" s="51">
        <f t="shared" si="21"/>
        <v>80</v>
      </c>
      <c r="C372" s="51" t="s">
        <v>3</v>
      </c>
      <c r="D372" s="51">
        <f t="shared" si="22"/>
        <v>400</v>
      </c>
      <c r="E372" s="51" t="s">
        <v>3</v>
      </c>
      <c r="F372" s="110">
        <f t="shared" si="23"/>
        <v>950</v>
      </c>
      <c r="G372" s="51" t="s">
        <v>3</v>
      </c>
      <c r="H372" s="48">
        <v>6</v>
      </c>
      <c r="I372" s="49" t="s">
        <v>45</v>
      </c>
      <c r="J372" s="184">
        <v>80</v>
      </c>
      <c r="K372" s="113">
        <v>400</v>
      </c>
      <c r="L372" s="113">
        <v>950</v>
      </c>
      <c r="M372" s="185">
        <v>13.175953422855526</v>
      </c>
      <c r="N372" s="75">
        <v>480.50885674598396</v>
      </c>
      <c r="O372" s="121">
        <v>22602.866800863492</v>
      </c>
      <c r="P372" s="121">
        <v>26101.966948440193</v>
      </c>
      <c r="Q372" s="120">
        <v>14780.188514078442</v>
      </c>
      <c r="R372" s="314">
        <v>37383.055314941936</v>
      </c>
      <c r="S372" s="315">
        <v>40882.155462518633</v>
      </c>
      <c r="U372" s="7" t="s">
        <v>2095</v>
      </c>
    </row>
    <row r="373" spans="1:21" s="74" customFormat="1" ht="16.5" thickBot="1">
      <c r="A373" s="50" t="s">
        <v>35</v>
      </c>
      <c r="B373" s="51">
        <f t="shared" si="21"/>
        <v>80</v>
      </c>
      <c r="C373" s="51" t="s">
        <v>3</v>
      </c>
      <c r="D373" s="51">
        <f t="shared" si="22"/>
        <v>400</v>
      </c>
      <c r="E373" s="51" t="s">
        <v>3</v>
      </c>
      <c r="F373" s="110">
        <f t="shared" si="23"/>
        <v>1000</v>
      </c>
      <c r="G373" s="51" t="s">
        <v>3</v>
      </c>
      <c r="H373" s="48">
        <v>6</v>
      </c>
      <c r="I373" s="49" t="s">
        <v>45</v>
      </c>
      <c r="J373" s="184">
        <v>80</v>
      </c>
      <c r="K373" s="113">
        <v>400</v>
      </c>
      <c r="L373" s="113">
        <v>1000</v>
      </c>
      <c r="M373" s="185">
        <v>13.827139700916579</v>
      </c>
      <c r="N373" s="75">
        <v>520.55126147481599</v>
      </c>
      <c r="O373" s="121">
        <v>23504.373155157755</v>
      </c>
      <c r="P373" s="121">
        <v>27152.153523849382</v>
      </c>
      <c r="Q373" s="120">
        <v>15382.580351471779</v>
      </c>
      <c r="R373" s="314">
        <v>38886.953506629536</v>
      </c>
      <c r="S373" s="315">
        <v>42534.733875321159</v>
      </c>
      <c r="U373" s="7" t="s">
        <v>2096</v>
      </c>
    </row>
    <row r="374" spans="1:21" s="74" customFormat="1" ht="16.5" thickBot="1">
      <c r="A374" s="50" t="s">
        <v>35</v>
      </c>
      <c r="B374" s="51">
        <f t="shared" si="21"/>
        <v>80</v>
      </c>
      <c r="C374" s="51" t="s">
        <v>3</v>
      </c>
      <c r="D374" s="51">
        <f t="shared" si="22"/>
        <v>400</v>
      </c>
      <c r="E374" s="51" t="s">
        <v>3</v>
      </c>
      <c r="F374" s="110">
        <f t="shared" si="23"/>
        <v>1050</v>
      </c>
      <c r="G374" s="51" t="s">
        <v>3</v>
      </c>
      <c r="H374" s="48">
        <v>6</v>
      </c>
      <c r="I374" s="49" t="s">
        <v>45</v>
      </c>
      <c r="J374" s="184">
        <v>80</v>
      </c>
      <c r="K374" s="113">
        <v>400</v>
      </c>
      <c r="L374" s="113">
        <v>1050</v>
      </c>
      <c r="M374" s="185">
        <v>14.478325978977631</v>
      </c>
      <c r="N374" s="75">
        <v>560.5936662036479</v>
      </c>
      <c r="O374" s="121">
        <v>24405.879509452017</v>
      </c>
      <c r="P374" s="121">
        <v>28202.34023965193</v>
      </c>
      <c r="Q374" s="120">
        <v>16215.553826255029</v>
      </c>
      <c r="R374" s="314">
        <v>40621.433335707043</v>
      </c>
      <c r="S374" s="315">
        <v>44417.894065906963</v>
      </c>
      <c r="U374" s="7" t="s">
        <v>2097</v>
      </c>
    </row>
    <row r="375" spans="1:21" s="74" customFormat="1" ht="16.5" thickBot="1">
      <c r="A375" s="47" t="s">
        <v>35</v>
      </c>
      <c r="B375" s="48">
        <f t="shared" si="21"/>
        <v>80</v>
      </c>
      <c r="C375" s="48" t="s">
        <v>3</v>
      </c>
      <c r="D375" s="48">
        <f t="shared" si="22"/>
        <v>400</v>
      </c>
      <c r="E375" s="48" t="s">
        <v>3</v>
      </c>
      <c r="F375" s="110">
        <f t="shared" si="23"/>
        <v>1100</v>
      </c>
      <c r="G375" s="48" t="s">
        <v>3</v>
      </c>
      <c r="H375" s="48">
        <v>6</v>
      </c>
      <c r="I375" s="49" t="s">
        <v>45</v>
      </c>
      <c r="J375" s="184">
        <v>80</v>
      </c>
      <c r="K375" s="113">
        <v>400</v>
      </c>
      <c r="L375" s="113">
        <v>1100</v>
      </c>
      <c r="M375" s="185">
        <v>15.129512257038684</v>
      </c>
      <c r="N375" s="75">
        <v>600.63607093247992</v>
      </c>
      <c r="O375" s="121">
        <v>25307.385863746276</v>
      </c>
      <c r="P375" s="121">
        <v>29252.526815061119</v>
      </c>
      <c r="Q375" s="120">
        <v>16817.945663648366</v>
      </c>
      <c r="R375" s="314">
        <v>42125.331527394643</v>
      </c>
      <c r="S375" s="315">
        <v>46070.472478709489</v>
      </c>
      <c r="U375" s="7" t="s">
        <v>2098</v>
      </c>
    </row>
    <row r="376" spans="1:21" s="74" customFormat="1" ht="16.5" thickBot="1">
      <c r="A376" s="50" t="s">
        <v>35</v>
      </c>
      <c r="B376" s="51">
        <f t="shared" si="21"/>
        <v>80</v>
      </c>
      <c r="C376" s="51" t="s">
        <v>3</v>
      </c>
      <c r="D376" s="51">
        <f t="shared" si="22"/>
        <v>400</v>
      </c>
      <c r="E376" s="51" t="s">
        <v>3</v>
      </c>
      <c r="F376" s="110">
        <f t="shared" si="23"/>
        <v>1150</v>
      </c>
      <c r="G376" s="51" t="s">
        <v>3</v>
      </c>
      <c r="H376" s="48">
        <v>6</v>
      </c>
      <c r="I376" s="49" t="s">
        <v>45</v>
      </c>
      <c r="J376" s="184">
        <v>80</v>
      </c>
      <c r="K376" s="113">
        <v>400</v>
      </c>
      <c r="L376" s="113">
        <v>1150</v>
      </c>
      <c r="M376" s="185">
        <v>15.780698535099738</v>
      </c>
      <c r="N376" s="75">
        <v>640.67847566131195</v>
      </c>
      <c r="O376" s="121">
        <v>26208.892358433903</v>
      </c>
      <c r="P376" s="121">
        <v>30302.713530863672</v>
      </c>
      <c r="Q376" s="120">
        <v>17420.33736064834</v>
      </c>
      <c r="R376" s="314">
        <v>43629.229719082243</v>
      </c>
      <c r="S376" s="315">
        <v>47723.050891512015</v>
      </c>
      <c r="U376" s="7" t="s">
        <v>2099</v>
      </c>
    </row>
    <row r="377" spans="1:21" s="74" customFormat="1" ht="16.5" thickBot="1">
      <c r="A377" s="50" t="s">
        <v>35</v>
      </c>
      <c r="B377" s="51">
        <f t="shared" si="21"/>
        <v>80</v>
      </c>
      <c r="C377" s="51" t="s">
        <v>3</v>
      </c>
      <c r="D377" s="51">
        <f t="shared" si="22"/>
        <v>400</v>
      </c>
      <c r="E377" s="51" t="s">
        <v>3</v>
      </c>
      <c r="F377" s="110">
        <f t="shared" si="23"/>
        <v>1200</v>
      </c>
      <c r="G377" s="51" t="s">
        <v>3</v>
      </c>
      <c r="H377" s="48">
        <v>6</v>
      </c>
      <c r="I377" s="49" t="s">
        <v>45</v>
      </c>
      <c r="J377" s="184">
        <v>80</v>
      </c>
      <c r="K377" s="113">
        <v>400</v>
      </c>
      <c r="L377" s="113">
        <v>1200</v>
      </c>
      <c r="M377" s="185">
        <v>16.549634813160786</v>
      </c>
      <c r="N377" s="75">
        <v>680.72088039014398</v>
      </c>
      <c r="O377" s="121">
        <v>27233.424854713467</v>
      </c>
      <c r="P377" s="121">
        <v>31472.176341545783</v>
      </c>
      <c r="Q377" s="120">
        <v>18253.310975824952</v>
      </c>
      <c r="R377" s="314">
        <v>45486.735830538419</v>
      </c>
      <c r="S377" s="315">
        <v>49725.487317370731</v>
      </c>
      <c r="U377" s="7" t="s">
        <v>2100</v>
      </c>
    </row>
    <row r="378" spans="1:21" s="74" customFormat="1" ht="16.5" thickBot="1">
      <c r="A378" s="50" t="s">
        <v>35</v>
      </c>
      <c r="B378" s="51">
        <f t="shared" si="21"/>
        <v>80</v>
      </c>
      <c r="C378" s="51" t="s">
        <v>3</v>
      </c>
      <c r="D378" s="51">
        <f t="shared" si="22"/>
        <v>400</v>
      </c>
      <c r="E378" s="51" t="s">
        <v>3</v>
      </c>
      <c r="F378" s="110">
        <f t="shared" si="23"/>
        <v>1250</v>
      </c>
      <c r="G378" s="51" t="s">
        <v>3</v>
      </c>
      <c r="H378" s="48">
        <v>6</v>
      </c>
      <c r="I378" s="49" t="s">
        <v>45</v>
      </c>
      <c r="J378" s="184">
        <v>80</v>
      </c>
      <c r="K378" s="113">
        <v>400</v>
      </c>
      <c r="L378" s="113">
        <v>1250</v>
      </c>
      <c r="M378" s="185">
        <v>17.20082109122184</v>
      </c>
      <c r="N378" s="75">
        <v>720.763285118976</v>
      </c>
      <c r="O378" s="121">
        <v>28134.931349401093</v>
      </c>
      <c r="P378" s="121">
        <v>32522.363057348331</v>
      </c>
      <c r="Q378" s="120">
        <v>18855.702672824929</v>
      </c>
      <c r="R378" s="314">
        <v>46990.634022226019</v>
      </c>
      <c r="S378" s="315">
        <v>51378.065730173257</v>
      </c>
      <c r="U378" s="7" t="s">
        <v>2101</v>
      </c>
    </row>
    <row r="379" spans="1:21" s="74" customFormat="1" ht="16.5" thickBot="1">
      <c r="A379" s="50" t="s">
        <v>35</v>
      </c>
      <c r="B379" s="51">
        <f t="shared" si="21"/>
        <v>80</v>
      </c>
      <c r="C379" s="51" t="s">
        <v>3</v>
      </c>
      <c r="D379" s="51">
        <f t="shared" si="22"/>
        <v>400</v>
      </c>
      <c r="E379" s="51" t="s">
        <v>3</v>
      </c>
      <c r="F379" s="110">
        <f t="shared" si="23"/>
        <v>1300</v>
      </c>
      <c r="G379" s="51" t="s">
        <v>3</v>
      </c>
      <c r="H379" s="48">
        <v>6</v>
      </c>
      <c r="I379" s="49" t="s">
        <v>45</v>
      </c>
      <c r="J379" s="184">
        <v>80</v>
      </c>
      <c r="K379" s="113">
        <v>400</v>
      </c>
      <c r="L379" s="113">
        <v>1300</v>
      </c>
      <c r="M379" s="185">
        <v>17.852007369282894</v>
      </c>
      <c r="N379" s="75">
        <v>760.80568984780791</v>
      </c>
      <c r="O379" s="121">
        <v>29036.437703695356</v>
      </c>
      <c r="P379" s="121">
        <v>33572.549632757517</v>
      </c>
      <c r="Q379" s="120">
        <v>19688.676288001541</v>
      </c>
      <c r="R379" s="314">
        <v>48725.113991696897</v>
      </c>
      <c r="S379" s="315">
        <v>53261.225920759054</v>
      </c>
      <c r="U379" s="7" t="s">
        <v>2102</v>
      </c>
    </row>
    <row r="380" spans="1:21" s="74" customFormat="1" ht="16.5" thickBot="1">
      <c r="A380" s="50" t="s">
        <v>35</v>
      </c>
      <c r="B380" s="51">
        <f t="shared" si="21"/>
        <v>80</v>
      </c>
      <c r="C380" s="51" t="s">
        <v>3</v>
      </c>
      <c r="D380" s="51">
        <f t="shared" si="22"/>
        <v>400</v>
      </c>
      <c r="E380" s="51" t="s">
        <v>3</v>
      </c>
      <c r="F380" s="110">
        <f t="shared" si="23"/>
        <v>1350</v>
      </c>
      <c r="G380" s="51" t="s">
        <v>3</v>
      </c>
      <c r="H380" s="48">
        <v>6</v>
      </c>
      <c r="I380" s="49" t="s">
        <v>45</v>
      </c>
      <c r="J380" s="184">
        <v>80</v>
      </c>
      <c r="K380" s="113">
        <v>400</v>
      </c>
      <c r="L380" s="113">
        <v>1350</v>
      </c>
      <c r="M380" s="185">
        <v>18.503193647343945</v>
      </c>
      <c r="N380" s="75">
        <v>800.84809457663994</v>
      </c>
      <c r="O380" s="121">
        <v>29937.944057989618</v>
      </c>
      <c r="P380" s="121">
        <v>34622.736348560065</v>
      </c>
      <c r="Q380" s="120">
        <v>20291.067985001515</v>
      </c>
      <c r="R380" s="314">
        <v>50229.012042991133</v>
      </c>
      <c r="S380" s="315">
        <v>54913.80433356158</v>
      </c>
      <c r="U380" s="7" t="s">
        <v>2103</v>
      </c>
    </row>
    <row r="381" spans="1:21" s="74" customFormat="1" ht="16.5" thickBot="1">
      <c r="A381" s="50" t="s">
        <v>35</v>
      </c>
      <c r="B381" s="51">
        <f t="shared" si="21"/>
        <v>80</v>
      </c>
      <c r="C381" s="51" t="s">
        <v>3</v>
      </c>
      <c r="D381" s="51">
        <f t="shared" si="22"/>
        <v>400</v>
      </c>
      <c r="E381" s="51" t="s">
        <v>3</v>
      </c>
      <c r="F381" s="110">
        <f t="shared" si="23"/>
        <v>1400</v>
      </c>
      <c r="G381" s="51" t="s">
        <v>3</v>
      </c>
      <c r="H381" s="48">
        <v>6</v>
      </c>
      <c r="I381" s="49" t="s">
        <v>45</v>
      </c>
      <c r="J381" s="184">
        <v>80</v>
      </c>
      <c r="K381" s="113">
        <v>400</v>
      </c>
      <c r="L381" s="113">
        <v>1400</v>
      </c>
      <c r="M381" s="185">
        <v>19.154379925404999</v>
      </c>
      <c r="N381" s="75">
        <v>840.89049930547196</v>
      </c>
      <c r="O381" s="121">
        <v>30839.450552677245</v>
      </c>
      <c r="P381" s="121">
        <v>35672.922923969258</v>
      </c>
      <c r="Q381" s="120">
        <v>21124.04160017813</v>
      </c>
      <c r="R381" s="314">
        <v>51963.492152855375</v>
      </c>
      <c r="S381" s="315">
        <v>56796.964524147392</v>
      </c>
      <c r="U381" s="7" t="s">
        <v>2104</v>
      </c>
    </row>
    <row r="382" spans="1:21" s="74" customFormat="1" ht="16.5" thickBot="1">
      <c r="A382" s="50" t="s">
        <v>35</v>
      </c>
      <c r="B382" s="51">
        <f t="shared" si="21"/>
        <v>80</v>
      </c>
      <c r="C382" s="51" t="s">
        <v>3</v>
      </c>
      <c r="D382" s="51">
        <f t="shared" si="22"/>
        <v>400</v>
      </c>
      <c r="E382" s="51" t="s">
        <v>3</v>
      </c>
      <c r="F382" s="110">
        <f t="shared" si="23"/>
        <v>1450</v>
      </c>
      <c r="G382" s="51" t="s">
        <v>3</v>
      </c>
      <c r="H382" s="48">
        <v>6</v>
      </c>
      <c r="I382" s="49" t="s">
        <v>45</v>
      </c>
      <c r="J382" s="184">
        <v>80</v>
      </c>
      <c r="K382" s="113">
        <v>400</v>
      </c>
      <c r="L382" s="113">
        <v>1450</v>
      </c>
      <c r="M382" s="185">
        <v>19.805566203466054</v>
      </c>
      <c r="N382" s="75">
        <v>880.93290403430399</v>
      </c>
      <c r="O382" s="121">
        <v>31740.956906971507</v>
      </c>
      <c r="P382" s="121">
        <v>36723.109639771807</v>
      </c>
      <c r="Q382" s="120">
        <v>21726.433297178104</v>
      </c>
      <c r="R382" s="314">
        <v>53467.390204149611</v>
      </c>
      <c r="S382" s="315">
        <v>58449.542936949911</v>
      </c>
      <c r="U382" s="7" t="s">
        <v>2105</v>
      </c>
    </row>
    <row r="383" spans="1:21" s="74" customFormat="1" ht="16.5" thickBot="1">
      <c r="A383" s="50" t="s">
        <v>35</v>
      </c>
      <c r="B383" s="51">
        <f t="shared" si="21"/>
        <v>80</v>
      </c>
      <c r="C383" s="51" t="s">
        <v>3</v>
      </c>
      <c r="D383" s="51">
        <f t="shared" si="22"/>
        <v>400</v>
      </c>
      <c r="E383" s="51" t="s">
        <v>3</v>
      </c>
      <c r="F383" s="110">
        <f t="shared" si="23"/>
        <v>1500</v>
      </c>
      <c r="G383" s="51" t="s">
        <v>3</v>
      </c>
      <c r="H383" s="48">
        <v>6</v>
      </c>
      <c r="I383" s="49" t="s">
        <v>45</v>
      </c>
      <c r="J383" s="184">
        <v>80</v>
      </c>
      <c r="K383" s="113">
        <v>400</v>
      </c>
      <c r="L383" s="113">
        <v>1500</v>
      </c>
      <c r="M383" s="185">
        <v>20.653319134327106</v>
      </c>
      <c r="N383" s="75">
        <v>920.9753087631359</v>
      </c>
      <c r="O383" s="121">
        <v>33453.028130280305</v>
      </c>
      <c r="P383" s="121">
        <v>38514.762981007094</v>
      </c>
      <c r="Q383" s="120">
        <v>22559.406912354716</v>
      </c>
      <c r="R383" s="314">
        <v>56012.435042635021</v>
      </c>
      <c r="S383" s="315">
        <v>61074.16989336181</v>
      </c>
      <c r="U383" s="7" t="s">
        <v>2106</v>
      </c>
    </row>
    <row r="384" spans="1:21" s="74" customFormat="1" ht="16.5" thickBot="1">
      <c r="A384" s="50" t="s">
        <v>35</v>
      </c>
      <c r="B384" s="51">
        <f t="shared" si="21"/>
        <v>80</v>
      </c>
      <c r="C384" s="51" t="s">
        <v>3</v>
      </c>
      <c r="D384" s="51">
        <f t="shared" si="22"/>
        <v>400</v>
      </c>
      <c r="E384" s="51" t="s">
        <v>3</v>
      </c>
      <c r="F384" s="110">
        <f t="shared" si="23"/>
        <v>1550</v>
      </c>
      <c r="G384" s="51" t="s">
        <v>3</v>
      </c>
      <c r="H384" s="48">
        <v>6</v>
      </c>
      <c r="I384" s="49" t="s">
        <v>45</v>
      </c>
      <c r="J384" s="184">
        <v>80</v>
      </c>
      <c r="K384" s="113">
        <v>400</v>
      </c>
      <c r="L384" s="113">
        <v>1550</v>
      </c>
      <c r="M384" s="185">
        <v>21.30450541238816</v>
      </c>
      <c r="N384" s="75">
        <v>961.01771349196792</v>
      </c>
      <c r="O384" s="121">
        <v>34354.534484574571</v>
      </c>
      <c r="P384" s="121">
        <v>39564.949556416286</v>
      </c>
      <c r="Q384" s="120">
        <v>23161.79860935469</v>
      </c>
      <c r="R384" s="314">
        <v>57516.333093929265</v>
      </c>
      <c r="S384" s="315">
        <v>62726.748165770972</v>
      </c>
      <c r="U384" s="7" t="s">
        <v>2107</v>
      </c>
    </row>
    <row r="385" spans="1:21" s="74" customFormat="1" ht="16.5" thickBot="1">
      <c r="A385" s="47" t="s">
        <v>35</v>
      </c>
      <c r="B385" s="48">
        <f t="shared" si="21"/>
        <v>80</v>
      </c>
      <c r="C385" s="48" t="s">
        <v>3</v>
      </c>
      <c r="D385" s="48">
        <f t="shared" si="22"/>
        <v>400</v>
      </c>
      <c r="E385" s="48" t="s">
        <v>3</v>
      </c>
      <c r="F385" s="110">
        <f t="shared" si="23"/>
        <v>1600</v>
      </c>
      <c r="G385" s="48" t="s">
        <v>3</v>
      </c>
      <c r="H385" s="48">
        <v>6</v>
      </c>
      <c r="I385" s="49" t="s">
        <v>45</v>
      </c>
      <c r="J385" s="184">
        <v>80</v>
      </c>
      <c r="K385" s="113">
        <v>400</v>
      </c>
      <c r="L385" s="113">
        <v>1600</v>
      </c>
      <c r="M385" s="185">
        <v>21.955691690449211</v>
      </c>
      <c r="N385" s="75">
        <v>1001.0601182207999</v>
      </c>
      <c r="O385" s="121">
        <v>35256.040979262194</v>
      </c>
      <c r="P385" s="121">
        <v>40615.136272218835</v>
      </c>
      <c r="Q385" s="120">
        <v>23764.190446748027</v>
      </c>
      <c r="R385" s="314">
        <v>59020.231426010221</v>
      </c>
      <c r="S385" s="315">
        <v>64379.326718966862</v>
      </c>
      <c r="U385" s="7" t="s">
        <v>2108</v>
      </c>
    </row>
    <row r="386" spans="1:21" s="74" customFormat="1" ht="16.5" thickBot="1">
      <c r="A386" s="50" t="s">
        <v>35</v>
      </c>
      <c r="B386" s="51">
        <f t="shared" si="21"/>
        <v>80</v>
      </c>
      <c r="C386" s="51" t="s">
        <v>3</v>
      </c>
      <c r="D386" s="51">
        <f t="shared" si="22"/>
        <v>400</v>
      </c>
      <c r="E386" s="51" t="s">
        <v>3</v>
      </c>
      <c r="F386" s="110">
        <f t="shared" si="23"/>
        <v>1650</v>
      </c>
      <c r="G386" s="51" t="s">
        <v>3</v>
      </c>
      <c r="H386" s="48">
        <v>6</v>
      </c>
      <c r="I386" s="49" t="s">
        <v>45</v>
      </c>
      <c r="J386" s="184">
        <v>80</v>
      </c>
      <c r="K386" s="113">
        <v>400</v>
      </c>
      <c r="L386" s="113">
        <v>1650</v>
      </c>
      <c r="M386" s="185">
        <v>22.606877968510261</v>
      </c>
      <c r="N386" s="75">
        <v>1041.102522949632</v>
      </c>
      <c r="O386" s="121">
        <v>36157.547333556453</v>
      </c>
      <c r="P386" s="121">
        <v>41665.32284762802</v>
      </c>
      <c r="Q386" s="120">
        <v>24597.164061924639</v>
      </c>
      <c r="R386" s="314">
        <v>60754.711395481092</v>
      </c>
      <c r="S386" s="315">
        <v>66262.486909552652</v>
      </c>
      <c r="U386" s="7" t="s">
        <v>2109</v>
      </c>
    </row>
    <row r="387" spans="1:21" s="74" customFormat="1" ht="16.5" thickBot="1">
      <c r="A387" s="50" t="s">
        <v>35</v>
      </c>
      <c r="B387" s="51">
        <f t="shared" si="21"/>
        <v>80</v>
      </c>
      <c r="C387" s="51" t="s">
        <v>3</v>
      </c>
      <c r="D387" s="51">
        <f t="shared" si="22"/>
        <v>400</v>
      </c>
      <c r="E387" s="51" t="s">
        <v>3</v>
      </c>
      <c r="F387" s="110">
        <f t="shared" si="23"/>
        <v>1700</v>
      </c>
      <c r="G387" s="51" t="s">
        <v>3</v>
      </c>
      <c r="H387" s="48">
        <v>6</v>
      </c>
      <c r="I387" s="49" t="s">
        <v>45</v>
      </c>
      <c r="J387" s="184">
        <v>80</v>
      </c>
      <c r="K387" s="113">
        <v>400</v>
      </c>
      <c r="L387" s="113">
        <v>1700</v>
      </c>
      <c r="M387" s="185">
        <v>23.258064246571315</v>
      </c>
      <c r="N387" s="75">
        <v>1081.144927678464</v>
      </c>
      <c r="O387" s="121">
        <v>37059.053687850719</v>
      </c>
      <c r="P387" s="121">
        <v>42715.509563430569</v>
      </c>
      <c r="Q387" s="120">
        <v>25199.55575892462</v>
      </c>
      <c r="R387" s="314">
        <v>62258.609446775343</v>
      </c>
      <c r="S387" s="315">
        <v>67915.065322355193</v>
      </c>
      <c r="U387" s="7" t="s">
        <v>2110</v>
      </c>
    </row>
    <row r="388" spans="1:21" s="74" customFormat="1" ht="16.5" thickBot="1">
      <c r="A388" s="50" t="s">
        <v>35</v>
      </c>
      <c r="B388" s="51">
        <f t="shared" si="21"/>
        <v>80</v>
      </c>
      <c r="C388" s="51" t="s">
        <v>3</v>
      </c>
      <c r="D388" s="51">
        <f t="shared" si="22"/>
        <v>400</v>
      </c>
      <c r="E388" s="51" t="s">
        <v>3</v>
      </c>
      <c r="F388" s="110">
        <f t="shared" si="23"/>
        <v>1750</v>
      </c>
      <c r="G388" s="51" t="s">
        <v>3</v>
      </c>
      <c r="H388" s="48">
        <v>6</v>
      </c>
      <c r="I388" s="49" t="s">
        <v>45</v>
      </c>
      <c r="J388" s="184">
        <v>80</v>
      </c>
      <c r="K388" s="113">
        <v>400</v>
      </c>
      <c r="L388" s="113">
        <v>1750</v>
      </c>
      <c r="M388" s="185">
        <v>23.909250524632366</v>
      </c>
      <c r="N388" s="75">
        <v>1121.1873324072958</v>
      </c>
      <c r="O388" s="121">
        <v>37960.560182538342</v>
      </c>
      <c r="P388" s="121">
        <v>43765.696138839761</v>
      </c>
      <c r="Q388" s="120">
        <v>26032.529374101232</v>
      </c>
      <c r="R388" s="314">
        <v>63993.089556639577</v>
      </c>
      <c r="S388" s="315">
        <v>69798.22551294099</v>
      </c>
      <c r="U388" s="7" t="s">
        <v>2111</v>
      </c>
    </row>
    <row r="389" spans="1:21" s="74" customFormat="1" ht="16.5" thickBot="1">
      <c r="A389" s="50" t="s">
        <v>35</v>
      </c>
      <c r="B389" s="51">
        <f t="shared" si="21"/>
        <v>80</v>
      </c>
      <c r="C389" s="51" t="s">
        <v>3</v>
      </c>
      <c r="D389" s="51">
        <f t="shared" si="22"/>
        <v>400</v>
      </c>
      <c r="E389" s="51" t="s">
        <v>3</v>
      </c>
      <c r="F389" s="110">
        <f t="shared" si="23"/>
        <v>1800</v>
      </c>
      <c r="G389" s="51" t="s">
        <v>3</v>
      </c>
      <c r="H389" s="48">
        <v>6</v>
      </c>
      <c r="I389" s="49" t="s">
        <v>45</v>
      </c>
      <c r="J389" s="184">
        <v>80</v>
      </c>
      <c r="K389" s="113">
        <v>400</v>
      </c>
      <c r="L389" s="113">
        <v>1800</v>
      </c>
      <c r="M389" s="185">
        <v>24.56043680269342</v>
      </c>
      <c r="N389" s="75">
        <v>1161.2297371361278</v>
      </c>
      <c r="O389" s="121">
        <v>38862.066536832608</v>
      </c>
      <c r="P389" s="121">
        <v>44815.882714248946</v>
      </c>
      <c r="Q389" s="120">
        <v>26634.921071101206</v>
      </c>
      <c r="R389" s="314">
        <v>65496.987607933814</v>
      </c>
      <c r="S389" s="315">
        <v>71450.803785350145</v>
      </c>
      <c r="U389" s="7" t="s">
        <v>2112</v>
      </c>
    </row>
    <row r="390" spans="1:21" s="74" customFormat="1" ht="16.5" thickBot="1">
      <c r="A390" s="50" t="s">
        <v>35</v>
      </c>
      <c r="B390" s="51">
        <f t="shared" si="21"/>
        <v>80</v>
      </c>
      <c r="C390" s="51" t="s">
        <v>3</v>
      </c>
      <c r="D390" s="51">
        <f t="shared" si="22"/>
        <v>400</v>
      </c>
      <c r="E390" s="51" t="s">
        <v>3</v>
      </c>
      <c r="F390" s="110">
        <f t="shared" si="23"/>
        <v>1850</v>
      </c>
      <c r="G390" s="51" t="s">
        <v>3</v>
      </c>
      <c r="H390" s="48">
        <v>6</v>
      </c>
      <c r="I390" s="49" t="s">
        <v>45</v>
      </c>
      <c r="J390" s="184">
        <v>80</v>
      </c>
      <c r="K390" s="113">
        <v>400</v>
      </c>
      <c r="L390" s="113">
        <v>1850</v>
      </c>
      <c r="M390" s="185">
        <v>25.211623080754475</v>
      </c>
      <c r="N390" s="75">
        <v>1201.2721418649598</v>
      </c>
      <c r="O390" s="121">
        <v>39763.572891126867</v>
      </c>
      <c r="P390" s="121">
        <v>45866.069430051495</v>
      </c>
      <c r="Q390" s="120">
        <v>27467.894686277818</v>
      </c>
      <c r="R390" s="314">
        <v>67231.467577404692</v>
      </c>
      <c r="S390" s="315">
        <v>73333.964116329313</v>
      </c>
      <c r="U390" s="7" t="s">
        <v>2113</v>
      </c>
    </row>
    <row r="391" spans="1:21" s="74" customFormat="1" ht="16.5" thickBot="1">
      <c r="A391" s="50" t="s">
        <v>35</v>
      </c>
      <c r="B391" s="51">
        <f t="shared" si="21"/>
        <v>80</v>
      </c>
      <c r="C391" s="51" t="s">
        <v>3</v>
      </c>
      <c r="D391" s="51">
        <f t="shared" si="22"/>
        <v>400</v>
      </c>
      <c r="E391" s="51" t="s">
        <v>3</v>
      </c>
      <c r="F391" s="110">
        <f t="shared" si="23"/>
        <v>1900</v>
      </c>
      <c r="G391" s="51" t="s">
        <v>3</v>
      </c>
      <c r="H391" s="48">
        <v>6</v>
      </c>
      <c r="I391" s="49" t="s">
        <v>45</v>
      </c>
      <c r="J391" s="184">
        <v>80</v>
      </c>
      <c r="K391" s="113">
        <v>400</v>
      </c>
      <c r="L391" s="113">
        <v>1900</v>
      </c>
      <c r="M391" s="185">
        <v>25.862809358815522</v>
      </c>
      <c r="N391" s="75">
        <v>1241.3145465937919</v>
      </c>
      <c r="O391" s="121">
        <v>40665.079385814497</v>
      </c>
      <c r="P391" s="121">
        <v>46916.256005460687</v>
      </c>
      <c r="Q391" s="120">
        <v>28070.286383277791</v>
      </c>
      <c r="R391" s="314">
        <v>68735.365769092285</v>
      </c>
      <c r="S391" s="315">
        <v>74986.542388738482</v>
      </c>
      <c r="U391" s="7" t="s">
        <v>2114</v>
      </c>
    </row>
    <row r="392" spans="1:21" s="74" customFormat="1" ht="16.5" thickBot="1">
      <c r="A392" s="50" t="s">
        <v>35</v>
      </c>
      <c r="B392" s="51">
        <f t="shared" si="21"/>
        <v>80</v>
      </c>
      <c r="C392" s="51" t="s">
        <v>3</v>
      </c>
      <c r="D392" s="51">
        <f t="shared" si="22"/>
        <v>400</v>
      </c>
      <c r="E392" s="51" t="s">
        <v>3</v>
      </c>
      <c r="F392" s="110">
        <f t="shared" si="23"/>
        <v>1950</v>
      </c>
      <c r="G392" s="51" t="s">
        <v>3</v>
      </c>
      <c r="H392" s="48">
        <v>6</v>
      </c>
      <c r="I392" s="49" t="s">
        <v>45</v>
      </c>
      <c r="J392" s="184">
        <v>80</v>
      </c>
      <c r="K392" s="113">
        <v>400</v>
      </c>
      <c r="L392" s="113">
        <v>1950</v>
      </c>
      <c r="M392" s="185">
        <v>26.63174563687658</v>
      </c>
      <c r="N392" s="75">
        <v>1281.3569513226239</v>
      </c>
      <c r="O392" s="121">
        <v>41689.611882094061</v>
      </c>
      <c r="P392" s="121">
        <v>48085.718956536162</v>
      </c>
      <c r="Q392" s="120">
        <v>28672.678220671129</v>
      </c>
      <c r="R392" s="314">
        <v>70362.290102765197</v>
      </c>
      <c r="S392" s="315">
        <v>76758.397177207284</v>
      </c>
      <c r="U392" s="7" t="s">
        <v>2115</v>
      </c>
    </row>
    <row r="393" spans="1:21" s="74" customFormat="1" ht="16.5" thickBot="1">
      <c r="A393" s="50" t="s">
        <v>35</v>
      </c>
      <c r="B393" s="51">
        <f t="shared" si="21"/>
        <v>80</v>
      </c>
      <c r="C393" s="51" t="s">
        <v>3</v>
      </c>
      <c r="D393" s="51">
        <f t="shared" si="22"/>
        <v>400</v>
      </c>
      <c r="E393" s="51" t="s">
        <v>3</v>
      </c>
      <c r="F393" s="110">
        <f t="shared" si="23"/>
        <v>2000</v>
      </c>
      <c r="G393" s="51" t="s">
        <v>3</v>
      </c>
      <c r="H393" s="48">
        <v>6</v>
      </c>
      <c r="I393" s="49" t="s">
        <v>45</v>
      </c>
      <c r="J393" s="184">
        <v>80</v>
      </c>
      <c r="K393" s="113">
        <v>400</v>
      </c>
      <c r="L393" s="113">
        <v>2000</v>
      </c>
      <c r="M393" s="185">
        <v>27.374494314937628</v>
      </c>
      <c r="N393" s="75">
        <v>1321.3993560514559</v>
      </c>
      <c r="O393" s="121">
        <v>42821.66126560355</v>
      </c>
      <c r="P393" s="121">
        <v>49437.216222215859</v>
      </c>
      <c r="Q393" s="120">
        <v>29505.651695454384</v>
      </c>
      <c r="R393" s="314">
        <v>72327.312961057934</v>
      </c>
      <c r="S393" s="315">
        <v>78942.867917670243</v>
      </c>
      <c r="U393" s="7" t="s">
        <v>2116</v>
      </c>
    </row>
    <row r="394" spans="1:21" s="74" customFormat="1" ht="16.5" thickBot="1">
      <c r="A394" s="50" t="s">
        <v>35</v>
      </c>
      <c r="B394" s="51">
        <f t="shared" si="21"/>
        <v>80</v>
      </c>
      <c r="C394" s="51" t="s">
        <v>3</v>
      </c>
      <c r="D394" s="51">
        <f t="shared" si="22"/>
        <v>400</v>
      </c>
      <c r="E394" s="51" t="s">
        <v>3</v>
      </c>
      <c r="F394" s="110">
        <f t="shared" si="23"/>
        <v>2050</v>
      </c>
      <c r="G394" s="51" t="s">
        <v>3</v>
      </c>
      <c r="H394" s="48">
        <v>6</v>
      </c>
      <c r="I394" s="49" t="s">
        <v>45</v>
      </c>
      <c r="J394" s="184">
        <v>80</v>
      </c>
      <c r="K394" s="113">
        <v>400</v>
      </c>
      <c r="L394" s="113">
        <v>2050</v>
      </c>
      <c r="M394" s="185">
        <v>28.025680592998683</v>
      </c>
      <c r="N394" s="75">
        <v>1361.441760780288</v>
      </c>
      <c r="O394" s="121">
        <v>43723.167760291166</v>
      </c>
      <c r="P394" s="121">
        <v>50487.402797625051</v>
      </c>
      <c r="Q394" s="120">
        <v>30108.043532847722</v>
      </c>
      <c r="R394" s="314">
        <v>73831.211293138884</v>
      </c>
      <c r="S394" s="315">
        <v>80595.446330472769</v>
      </c>
      <c r="U394" s="7" t="s">
        <v>2117</v>
      </c>
    </row>
    <row r="395" spans="1:21" s="74" customFormat="1" ht="16.5" thickBot="1">
      <c r="A395" s="47" t="s">
        <v>35</v>
      </c>
      <c r="B395" s="48">
        <f t="shared" si="21"/>
        <v>80</v>
      </c>
      <c r="C395" s="48" t="s">
        <v>3</v>
      </c>
      <c r="D395" s="48">
        <f t="shared" si="22"/>
        <v>400</v>
      </c>
      <c r="E395" s="48" t="s">
        <v>3</v>
      </c>
      <c r="F395" s="110">
        <f t="shared" si="23"/>
        <v>2100</v>
      </c>
      <c r="G395" s="48" t="s">
        <v>3</v>
      </c>
      <c r="H395" s="48">
        <v>6</v>
      </c>
      <c r="I395" s="49" t="s">
        <v>45</v>
      </c>
      <c r="J395" s="184">
        <v>80</v>
      </c>
      <c r="K395" s="113">
        <v>400</v>
      </c>
      <c r="L395" s="113">
        <v>2100</v>
      </c>
      <c r="M395" s="185">
        <v>28.67686687105973</v>
      </c>
      <c r="N395" s="75">
        <v>1401.48416550912</v>
      </c>
      <c r="O395" s="121">
        <v>44624.674114585439</v>
      </c>
      <c r="P395" s="121">
        <v>51537.589373034236</v>
      </c>
      <c r="Q395" s="120">
        <v>30941.01700763097</v>
      </c>
      <c r="R395" s="314">
        <v>75565.691122216405</v>
      </c>
      <c r="S395" s="315">
        <v>82478.606380665209</v>
      </c>
      <c r="U395" s="7" t="s">
        <v>2118</v>
      </c>
    </row>
    <row r="396" spans="1:21" s="74" customFormat="1" ht="16.5" thickBot="1">
      <c r="A396" s="50" t="s">
        <v>35</v>
      </c>
      <c r="B396" s="51">
        <f t="shared" si="21"/>
        <v>80</v>
      </c>
      <c r="C396" s="51" t="s">
        <v>3</v>
      </c>
      <c r="D396" s="51">
        <f t="shared" si="22"/>
        <v>400</v>
      </c>
      <c r="E396" s="51" t="s">
        <v>3</v>
      </c>
      <c r="F396" s="110">
        <f t="shared" si="23"/>
        <v>2150</v>
      </c>
      <c r="G396" s="51" t="s">
        <v>3</v>
      </c>
      <c r="H396" s="48">
        <v>6</v>
      </c>
      <c r="I396" s="49" t="s">
        <v>45</v>
      </c>
      <c r="J396" s="184">
        <v>80</v>
      </c>
      <c r="K396" s="113">
        <v>400</v>
      </c>
      <c r="L396" s="113">
        <v>2150</v>
      </c>
      <c r="M396" s="185">
        <v>29.328053149120791</v>
      </c>
      <c r="N396" s="75">
        <v>1441.526570237952</v>
      </c>
      <c r="O396" s="121">
        <v>45526.180468879698</v>
      </c>
      <c r="P396" s="121">
        <v>52587.776088836792</v>
      </c>
      <c r="Q396" s="120">
        <v>31543.408845024307</v>
      </c>
      <c r="R396" s="314">
        <v>77069.589313903998</v>
      </c>
      <c r="S396" s="315">
        <v>84131.184933861106</v>
      </c>
      <c r="U396" s="7" t="s">
        <v>2119</v>
      </c>
    </row>
    <row r="397" spans="1:21" s="74" customFormat="1" ht="16.5" thickBot="1">
      <c r="A397" s="50" t="s">
        <v>35</v>
      </c>
      <c r="B397" s="51">
        <f t="shared" si="21"/>
        <v>80</v>
      </c>
      <c r="C397" s="51" t="s">
        <v>3</v>
      </c>
      <c r="D397" s="51">
        <f t="shared" si="22"/>
        <v>400</v>
      </c>
      <c r="E397" s="51" t="s">
        <v>3</v>
      </c>
      <c r="F397" s="110">
        <f t="shared" si="23"/>
        <v>2200</v>
      </c>
      <c r="G397" s="51" t="s">
        <v>3</v>
      </c>
      <c r="H397" s="48">
        <v>6</v>
      </c>
      <c r="I397" s="49" t="s">
        <v>45</v>
      </c>
      <c r="J397" s="184">
        <v>80</v>
      </c>
      <c r="K397" s="113">
        <v>400</v>
      </c>
      <c r="L397" s="113">
        <v>2200</v>
      </c>
      <c r="M397" s="185">
        <v>29.979239427181838</v>
      </c>
      <c r="N397" s="75">
        <v>1481.568974966784</v>
      </c>
      <c r="O397" s="121">
        <v>46427.686823173957</v>
      </c>
      <c r="P397" s="121">
        <v>53637.962664245977</v>
      </c>
      <c r="Q397" s="120">
        <v>32376.382319807555</v>
      </c>
      <c r="R397" s="314">
        <v>78804.06914298152</v>
      </c>
      <c r="S397" s="315">
        <v>86014.344984053532</v>
      </c>
      <c r="U397" s="7" t="s">
        <v>2120</v>
      </c>
    </row>
    <row r="398" spans="1:21" s="74" customFormat="1" ht="16.5" thickBot="1">
      <c r="A398" s="50" t="s">
        <v>35</v>
      </c>
      <c r="B398" s="51">
        <f t="shared" si="21"/>
        <v>80</v>
      </c>
      <c r="C398" s="51" t="s">
        <v>3</v>
      </c>
      <c r="D398" s="51">
        <f t="shared" si="22"/>
        <v>400</v>
      </c>
      <c r="E398" s="51" t="s">
        <v>3</v>
      </c>
      <c r="F398" s="110">
        <f t="shared" si="23"/>
        <v>2250</v>
      </c>
      <c r="G398" s="51" t="s">
        <v>3</v>
      </c>
      <c r="H398" s="48">
        <v>6</v>
      </c>
      <c r="I398" s="49" t="s">
        <v>45</v>
      </c>
      <c r="J398" s="184">
        <v>80</v>
      </c>
      <c r="K398" s="113">
        <v>400</v>
      </c>
      <c r="L398" s="113">
        <v>2250</v>
      </c>
      <c r="M398" s="185">
        <v>30.630425705242889</v>
      </c>
      <c r="N398" s="75">
        <v>1521.6113796956158</v>
      </c>
      <c r="O398" s="121">
        <v>47329.19331786158</v>
      </c>
      <c r="P398" s="121">
        <v>54688.149380048526</v>
      </c>
      <c r="Q398" s="120">
        <v>32978.774157200758</v>
      </c>
      <c r="R398" s="314">
        <v>80307.967475062338</v>
      </c>
      <c r="S398" s="315">
        <v>87666.923537249284</v>
      </c>
      <c r="U398" s="7" t="s">
        <v>2121</v>
      </c>
    </row>
    <row r="399" spans="1:21" s="74" customFormat="1" ht="16.5" thickBot="1">
      <c r="A399" s="50" t="s">
        <v>35</v>
      </c>
      <c r="B399" s="51">
        <f t="shared" si="21"/>
        <v>80</v>
      </c>
      <c r="C399" s="51" t="s">
        <v>3</v>
      </c>
      <c r="D399" s="51">
        <f t="shared" si="22"/>
        <v>400</v>
      </c>
      <c r="E399" s="51" t="s">
        <v>3</v>
      </c>
      <c r="F399" s="110">
        <f t="shared" si="23"/>
        <v>2300</v>
      </c>
      <c r="G399" s="51" t="s">
        <v>3</v>
      </c>
      <c r="H399" s="48">
        <v>6</v>
      </c>
      <c r="I399" s="49" t="s">
        <v>45</v>
      </c>
      <c r="J399" s="184">
        <v>80</v>
      </c>
      <c r="K399" s="113">
        <v>400</v>
      </c>
      <c r="L399" s="113">
        <v>2300</v>
      </c>
      <c r="M399" s="185">
        <v>31.281611983303947</v>
      </c>
      <c r="N399" s="75">
        <v>1561.6537844244478</v>
      </c>
      <c r="O399" s="121">
        <v>48230.699672155853</v>
      </c>
      <c r="P399" s="121">
        <v>55738.335955457711</v>
      </c>
      <c r="Q399" s="120">
        <v>33581.165854200874</v>
      </c>
      <c r="R399" s="314">
        <v>81811.865526356734</v>
      </c>
      <c r="S399" s="315">
        <v>89319.501809658585</v>
      </c>
      <c r="U399" s="7" t="s">
        <v>2122</v>
      </c>
    </row>
    <row r="400" spans="1:21" s="74" customFormat="1" ht="16.5" thickBot="1">
      <c r="A400" s="50" t="s">
        <v>35</v>
      </c>
      <c r="B400" s="51">
        <f t="shared" si="21"/>
        <v>80</v>
      </c>
      <c r="C400" s="51" t="s">
        <v>3</v>
      </c>
      <c r="D400" s="51">
        <f t="shared" si="22"/>
        <v>400</v>
      </c>
      <c r="E400" s="51" t="s">
        <v>3</v>
      </c>
      <c r="F400" s="110">
        <f t="shared" si="23"/>
        <v>2350</v>
      </c>
      <c r="G400" s="51" t="s">
        <v>3</v>
      </c>
      <c r="H400" s="48">
        <v>6</v>
      </c>
      <c r="I400" s="49" t="s">
        <v>45</v>
      </c>
      <c r="J400" s="184">
        <v>80</v>
      </c>
      <c r="K400" s="113">
        <v>400</v>
      </c>
      <c r="L400" s="113">
        <v>2350</v>
      </c>
      <c r="M400" s="185">
        <v>31.932798261364994</v>
      </c>
      <c r="N400" s="75">
        <v>1601.6961891532799</v>
      </c>
      <c r="O400" s="121">
        <v>49132.206026450105</v>
      </c>
      <c r="P400" s="121">
        <v>56788.522671260267</v>
      </c>
      <c r="Q400" s="120">
        <v>34414.139469377486</v>
      </c>
      <c r="R400" s="314">
        <v>83546.345495827583</v>
      </c>
      <c r="S400" s="315">
        <v>91202.662140637753</v>
      </c>
      <c r="U400" s="7" t="s">
        <v>2123</v>
      </c>
    </row>
    <row r="401" spans="1:21" s="74" customFormat="1" ht="16.5" thickBot="1">
      <c r="A401" s="50" t="s">
        <v>35</v>
      </c>
      <c r="B401" s="51">
        <f t="shared" si="21"/>
        <v>80</v>
      </c>
      <c r="C401" s="51" t="s">
        <v>3</v>
      </c>
      <c r="D401" s="51">
        <f t="shared" si="22"/>
        <v>400</v>
      </c>
      <c r="E401" s="51" t="s">
        <v>3</v>
      </c>
      <c r="F401" s="110">
        <f t="shared" si="23"/>
        <v>2400</v>
      </c>
      <c r="G401" s="51" t="s">
        <v>3</v>
      </c>
      <c r="H401" s="48">
        <v>6</v>
      </c>
      <c r="I401" s="49" t="s">
        <v>45</v>
      </c>
      <c r="J401" s="184">
        <v>80</v>
      </c>
      <c r="K401" s="113">
        <v>400</v>
      </c>
      <c r="L401" s="113">
        <v>2400</v>
      </c>
      <c r="M401" s="185">
        <v>32.583984539426048</v>
      </c>
      <c r="N401" s="75">
        <v>1641.7385938821117</v>
      </c>
      <c r="O401" s="121">
        <v>50033.712521137735</v>
      </c>
      <c r="P401" s="121">
        <v>57838.709246669445</v>
      </c>
      <c r="Q401" s="120">
        <v>35016.531306770819</v>
      </c>
      <c r="R401" s="314">
        <v>85050.243827908562</v>
      </c>
      <c r="S401" s="315">
        <v>92855.240553440264</v>
      </c>
      <c r="U401" s="7" t="s">
        <v>2124</v>
      </c>
    </row>
    <row r="402" spans="1:21" s="74" customFormat="1" ht="16.5" thickBot="1">
      <c r="A402" s="50" t="s">
        <v>35</v>
      </c>
      <c r="B402" s="51">
        <f t="shared" si="21"/>
        <v>80</v>
      </c>
      <c r="C402" s="51" t="s">
        <v>3</v>
      </c>
      <c r="D402" s="51">
        <f t="shared" si="22"/>
        <v>400</v>
      </c>
      <c r="E402" s="51" t="s">
        <v>3</v>
      </c>
      <c r="F402" s="110">
        <f t="shared" si="23"/>
        <v>2450</v>
      </c>
      <c r="G402" s="51" t="s">
        <v>3</v>
      </c>
      <c r="H402" s="48">
        <v>6</v>
      </c>
      <c r="I402" s="49" t="s">
        <v>45</v>
      </c>
      <c r="J402" s="184">
        <v>80</v>
      </c>
      <c r="K402" s="113">
        <v>400</v>
      </c>
      <c r="L402" s="113">
        <v>2450</v>
      </c>
      <c r="M402" s="185">
        <v>33.431737470287104</v>
      </c>
      <c r="N402" s="75">
        <v>1681.7809986109439</v>
      </c>
      <c r="O402" s="121">
        <v>51745.783744446533</v>
      </c>
      <c r="P402" s="121">
        <v>59630.362587904739</v>
      </c>
      <c r="Q402" s="120">
        <v>35849.504781554067</v>
      </c>
      <c r="R402" s="314">
        <v>87595.288526000601</v>
      </c>
      <c r="S402" s="315">
        <v>95479.867369458807</v>
      </c>
      <c r="U402" s="7" t="s">
        <v>2125</v>
      </c>
    </row>
    <row r="403" spans="1:21" s="74" customFormat="1" ht="16.5" thickBot="1">
      <c r="A403" s="50" t="s">
        <v>35</v>
      </c>
      <c r="B403" s="51">
        <f t="shared" si="21"/>
        <v>80</v>
      </c>
      <c r="C403" s="51" t="s">
        <v>3</v>
      </c>
      <c r="D403" s="51">
        <f t="shared" si="22"/>
        <v>400</v>
      </c>
      <c r="E403" s="51" t="s">
        <v>3</v>
      </c>
      <c r="F403" s="110">
        <f t="shared" si="23"/>
        <v>2500</v>
      </c>
      <c r="G403" s="51" t="s">
        <v>3</v>
      </c>
      <c r="H403" s="48">
        <v>6</v>
      </c>
      <c r="I403" s="49" t="s">
        <v>45</v>
      </c>
      <c r="J403" s="184">
        <v>80</v>
      </c>
      <c r="K403" s="113">
        <v>400</v>
      </c>
      <c r="L403" s="113">
        <v>2500</v>
      </c>
      <c r="M403" s="185">
        <v>34.082923748348151</v>
      </c>
      <c r="N403" s="75">
        <v>1721.8234033397757</v>
      </c>
      <c r="O403" s="121">
        <v>52647.290098740799</v>
      </c>
      <c r="P403" s="121">
        <v>60680.549303707288</v>
      </c>
      <c r="Q403" s="120">
        <v>36451.896618947409</v>
      </c>
      <c r="R403" s="314">
        <v>89099.186717688208</v>
      </c>
      <c r="S403" s="315">
        <v>97132.445922654704</v>
      </c>
      <c r="U403" s="7" t="s">
        <v>2126</v>
      </c>
    </row>
    <row r="404" spans="1:21" s="74" customFormat="1" ht="16.5" thickBot="1">
      <c r="A404" s="50" t="s">
        <v>35</v>
      </c>
      <c r="B404" s="51">
        <f t="shared" si="21"/>
        <v>80</v>
      </c>
      <c r="C404" s="51" t="s">
        <v>3</v>
      </c>
      <c r="D404" s="51">
        <f t="shared" si="22"/>
        <v>400</v>
      </c>
      <c r="E404" s="51" t="s">
        <v>3</v>
      </c>
      <c r="F404" s="110">
        <f t="shared" si="23"/>
        <v>2550</v>
      </c>
      <c r="G404" s="51" t="s">
        <v>3</v>
      </c>
      <c r="H404" s="48">
        <v>6</v>
      </c>
      <c r="I404" s="49" t="s">
        <v>45</v>
      </c>
      <c r="J404" s="184">
        <v>80</v>
      </c>
      <c r="K404" s="113">
        <v>400</v>
      </c>
      <c r="L404" s="113">
        <v>2550</v>
      </c>
      <c r="M404" s="185">
        <v>34.734110026409205</v>
      </c>
      <c r="N404" s="75">
        <v>1761.865808068608</v>
      </c>
      <c r="O404" s="121">
        <v>53548.796593428429</v>
      </c>
      <c r="P404" s="121">
        <v>61730.735879116473</v>
      </c>
      <c r="Q404" s="120">
        <v>37284.870093730657</v>
      </c>
      <c r="R404" s="314">
        <v>90833.666687159086</v>
      </c>
      <c r="S404" s="315">
        <v>99015.60597284713</v>
      </c>
      <c r="U404" s="7" t="s">
        <v>2127</v>
      </c>
    </row>
    <row r="405" spans="1:21" s="74" customFormat="1" ht="16.5" thickBot="1">
      <c r="A405" s="47" t="s">
        <v>35</v>
      </c>
      <c r="B405" s="48">
        <f t="shared" si="21"/>
        <v>80</v>
      </c>
      <c r="C405" s="48" t="s">
        <v>3</v>
      </c>
      <c r="D405" s="48">
        <f t="shared" si="22"/>
        <v>400</v>
      </c>
      <c r="E405" s="48" t="s">
        <v>3</v>
      </c>
      <c r="F405" s="110">
        <f t="shared" si="23"/>
        <v>2600</v>
      </c>
      <c r="G405" s="48" t="s">
        <v>3</v>
      </c>
      <c r="H405" s="48">
        <v>6</v>
      </c>
      <c r="I405" s="49" t="s">
        <v>45</v>
      </c>
      <c r="J405" s="184">
        <v>80</v>
      </c>
      <c r="K405" s="113">
        <v>400</v>
      </c>
      <c r="L405" s="113">
        <v>2600</v>
      </c>
      <c r="M405" s="185">
        <v>35.385296304470259</v>
      </c>
      <c r="N405" s="75">
        <v>1801.9082127974398</v>
      </c>
      <c r="O405" s="121">
        <v>54450.302947722681</v>
      </c>
      <c r="P405" s="121">
        <v>62780.92259491903</v>
      </c>
      <c r="Q405" s="120">
        <v>37887.261931123991</v>
      </c>
      <c r="R405" s="314">
        <v>92337.564878846664</v>
      </c>
      <c r="S405" s="315">
        <v>100668.18452604301</v>
      </c>
      <c r="U405" s="7" t="s">
        <v>2128</v>
      </c>
    </row>
    <row r="406" spans="1:21" s="74" customFormat="1" ht="16.5" thickBot="1">
      <c r="A406" s="50" t="s">
        <v>35</v>
      </c>
      <c r="B406" s="51">
        <f t="shared" si="21"/>
        <v>80</v>
      </c>
      <c r="C406" s="51" t="s">
        <v>3</v>
      </c>
      <c r="D406" s="51">
        <f t="shared" si="22"/>
        <v>400</v>
      </c>
      <c r="E406" s="51" t="s">
        <v>3</v>
      </c>
      <c r="F406" s="110">
        <f t="shared" si="23"/>
        <v>2650</v>
      </c>
      <c r="G406" s="51" t="s">
        <v>3</v>
      </c>
      <c r="H406" s="48">
        <v>6</v>
      </c>
      <c r="I406" s="49" t="s">
        <v>45</v>
      </c>
      <c r="J406" s="184">
        <v>80</v>
      </c>
      <c r="K406" s="113">
        <v>400</v>
      </c>
      <c r="L406" s="113">
        <v>2650</v>
      </c>
      <c r="M406" s="185">
        <v>36.03648258253132</v>
      </c>
      <c r="N406" s="75">
        <v>1841.9506175262718</v>
      </c>
      <c r="O406" s="121">
        <v>55351.809302016954</v>
      </c>
      <c r="P406" s="121">
        <v>63831.109170328215</v>
      </c>
      <c r="Q406" s="120">
        <v>38720.235405907246</v>
      </c>
      <c r="R406" s="314">
        <v>94072.0447079242</v>
      </c>
      <c r="S406" s="315">
        <v>102551.34457623545</v>
      </c>
      <c r="U406" s="7" t="s">
        <v>2129</v>
      </c>
    </row>
    <row r="407" spans="1:21" s="74" customFormat="1" ht="16.5" thickBot="1">
      <c r="A407" s="50" t="s">
        <v>35</v>
      </c>
      <c r="B407" s="51">
        <f t="shared" si="21"/>
        <v>80</v>
      </c>
      <c r="C407" s="51" t="s">
        <v>3</v>
      </c>
      <c r="D407" s="51">
        <f t="shared" si="22"/>
        <v>400</v>
      </c>
      <c r="E407" s="51" t="s">
        <v>3</v>
      </c>
      <c r="F407" s="110">
        <f t="shared" si="23"/>
        <v>2700</v>
      </c>
      <c r="G407" s="51" t="s">
        <v>3</v>
      </c>
      <c r="H407" s="48">
        <v>6</v>
      </c>
      <c r="I407" s="49" t="s">
        <v>45</v>
      </c>
      <c r="J407" s="184">
        <v>80</v>
      </c>
      <c r="K407" s="113">
        <v>400</v>
      </c>
      <c r="L407" s="113">
        <v>2700</v>
      </c>
      <c r="M407" s="185">
        <v>36.805418860592368</v>
      </c>
      <c r="N407" s="75">
        <v>1881.9930222551038</v>
      </c>
      <c r="O407" s="121">
        <v>56376.341938689875</v>
      </c>
      <c r="P407" s="121">
        <v>65000.572121403689</v>
      </c>
      <c r="Q407" s="120">
        <v>39322.627243300587</v>
      </c>
      <c r="R407" s="314">
        <v>95698.969181990455</v>
      </c>
      <c r="S407" s="315">
        <v>104323.19936470428</v>
      </c>
      <c r="U407" s="7" t="s">
        <v>2130</v>
      </c>
    </row>
    <row r="408" spans="1:21" s="74" customFormat="1" ht="16.5" thickBot="1">
      <c r="A408" s="50" t="s">
        <v>35</v>
      </c>
      <c r="B408" s="51">
        <f t="shared" si="21"/>
        <v>80</v>
      </c>
      <c r="C408" s="51" t="s">
        <v>3</v>
      </c>
      <c r="D408" s="51">
        <f t="shared" si="22"/>
        <v>400</v>
      </c>
      <c r="E408" s="51" t="s">
        <v>3</v>
      </c>
      <c r="F408" s="110">
        <f t="shared" si="23"/>
        <v>2750</v>
      </c>
      <c r="G408" s="51" t="s">
        <v>3</v>
      </c>
      <c r="H408" s="48">
        <v>6</v>
      </c>
      <c r="I408" s="49" t="s">
        <v>45</v>
      </c>
      <c r="J408" s="184">
        <v>80</v>
      </c>
      <c r="K408" s="113">
        <v>400</v>
      </c>
      <c r="L408" s="113">
        <v>2750</v>
      </c>
      <c r="M408" s="185">
        <v>37.456605138653416</v>
      </c>
      <c r="N408" s="75">
        <v>1922.0354269839358</v>
      </c>
      <c r="O408" s="121">
        <v>57277.848292984134</v>
      </c>
      <c r="P408" s="121">
        <v>66050.758696812874</v>
      </c>
      <c r="Q408" s="120">
        <v>39925.018940300557</v>
      </c>
      <c r="R408" s="314">
        <v>97202.867233284691</v>
      </c>
      <c r="S408" s="315">
        <v>105975.77763711344</v>
      </c>
      <c r="U408" s="7" t="s">
        <v>2131</v>
      </c>
    </row>
    <row r="409" spans="1:21" s="74" customFormat="1" ht="16.5" thickBot="1">
      <c r="A409" s="50" t="s">
        <v>35</v>
      </c>
      <c r="B409" s="51">
        <f t="shared" si="21"/>
        <v>80</v>
      </c>
      <c r="C409" s="51" t="s">
        <v>3</v>
      </c>
      <c r="D409" s="51">
        <f t="shared" si="22"/>
        <v>400</v>
      </c>
      <c r="E409" s="51" t="s">
        <v>3</v>
      </c>
      <c r="F409" s="110">
        <f t="shared" si="23"/>
        <v>2800</v>
      </c>
      <c r="G409" s="51" t="s">
        <v>3</v>
      </c>
      <c r="H409" s="48">
        <v>6</v>
      </c>
      <c r="I409" s="49" t="s">
        <v>45</v>
      </c>
      <c r="J409" s="184">
        <v>80</v>
      </c>
      <c r="K409" s="113">
        <v>400</v>
      </c>
      <c r="L409" s="113">
        <v>2800</v>
      </c>
      <c r="M409" s="185">
        <v>38.107791416714477</v>
      </c>
      <c r="N409" s="75">
        <v>1962.0778317127681</v>
      </c>
      <c r="O409" s="121">
        <v>58179.3546472784</v>
      </c>
      <c r="P409" s="121">
        <v>67100.945412615431</v>
      </c>
      <c r="Q409" s="120">
        <v>40757.992555477169</v>
      </c>
      <c r="R409" s="314">
        <v>98937.347202755569</v>
      </c>
      <c r="S409" s="315">
        <v>107858.93796809259</v>
      </c>
      <c r="U409" s="7" t="s">
        <v>2132</v>
      </c>
    </row>
    <row r="410" spans="1:21" s="74" customFormat="1" ht="16.5" thickBot="1">
      <c r="A410" s="50" t="s">
        <v>35</v>
      </c>
      <c r="B410" s="51">
        <f t="shared" si="21"/>
        <v>80</v>
      </c>
      <c r="C410" s="51" t="s">
        <v>3</v>
      </c>
      <c r="D410" s="51">
        <f t="shared" si="22"/>
        <v>400</v>
      </c>
      <c r="E410" s="51" t="s">
        <v>3</v>
      </c>
      <c r="F410" s="110">
        <f t="shared" si="23"/>
        <v>2850</v>
      </c>
      <c r="G410" s="51" t="s">
        <v>3</v>
      </c>
      <c r="H410" s="48">
        <v>6</v>
      </c>
      <c r="I410" s="49" t="s">
        <v>45</v>
      </c>
      <c r="J410" s="184">
        <v>80</v>
      </c>
      <c r="K410" s="113">
        <v>400</v>
      </c>
      <c r="L410" s="113">
        <v>2850</v>
      </c>
      <c r="M410" s="185">
        <v>38.758977694775524</v>
      </c>
      <c r="N410" s="75">
        <v>2002.1202364415999</v>
      </c>
      <c r="O410" s="121">
        <v>59080.86114196603</v>
      </c>
      <c r="P410" s="121">
        <v>68151.131988024616</v>
      </c>
      <c r="Q410" s="120">
        <v>41360.384252477146</v>
      </c>
      <c r="R410" s="314">
        <v>100441.24539444318</v>
      </c>
      <c r="S410" s="315">
        <v>109511.51624050176</v>
      </c>
      <c r="U410" s="7" t="s">
        <v>2133</v>
      </c>
    </row>
    <row r="411" spans="1:21" s="74" customFormat="1" ht="16.5" thickBot="1">
      <c r="A411" s="50" t="s">
        <v>35</v>
      </c>
      <c r="B411" s="51">
        <f t="shared" si="21"/>
        <v>80</v>
      </c>
      <c r="C411" s="51" t="s">
        <v>3</v>
      </c>
      <c r="D411" s="51">
        <f t="shared" si="22"/>
        <v>400</v>
      </c>
      <c r="E411" s="51" t="s">
        <v>3</v>
      </c>
      <c r="F411" s="110">
        <f t="shared" si="23"/>
        <v>2900</v>
      </c>
      <c r="G411" s="51" t="s">
        <v>3</v>
      </c>
      <c r="H411" s="48">
        <v>6</v>
      </c>
      <c r="I411" s="49" t="s">
        <v>45</v>
      </c>
      <c r="J411" s="184">
        <v>80</v>
      </c>
      <c r="K411" s="113">
        <v>400</v>
      </c>
      <c r="L411" s="113">
        <v>2900</v>
      </c>
      <c r="M411" s="185">
        <v>39.410163972836571</v>
      </c>
      <c r="N411" s="75">
        <v>2042.1626411704317</v>
      </c>
      <c r="O411" s="121">
        <v>59982.367496260289</v>
      </c>
      <c r="P411" s="121">
        <v>69201.318703827157</v>
      </c>
      <c r="Q411" s="120">
        <v>42193.357867653758</v>
      </c>
      <c r="R411" s="314">
        <v>102175.72536391404</v>
      </c>
      <c r="S411" s="315">
        <v>111394.67657148092</v>
      </c>
      <c r="U411" s="7" t="s">
        <v>2134</v>
      </c>
    </row>
    <row r="412" spans="1:21" s="74" customFormat="1" ht="16.5" thickBot="1">
      <c r="A412" s="50" t="s">
        <v>35</v>
      </c>
      <c r="B412" s="51">
        <f t="shared" si="21"/>
        <v>80</v>
      </c>
      <c r="C412" s="51" t="s">
        <v>3</v>
      </c>
      <c r="D412" s="51">
        <f t="shared" si="22"/>
        <v>400</v>
      </c>
      <c r="E412" s="51" t="s">
        <v>3</v>
      </c>
      <c r="F412" s="110">
        <f t="shared" si="23"/>
        <v>2950</v>
      </c>
      <c r="G412" s="51" t="s">
        <v>3</v>
      </c>
      <c r="H412" s="48">
        <v>6</v>
      </c>
      <c r="I412" s="49" t="s">
        <v>45</v>
      </c>
      <c r="J412" s="184">
        <v>80</v>
      </c>
      <c r="K412" s="113">
        <v>400</v>
      </c>
      <c r="L412" s="113">
        <v>2950</v>
      </c>
      <c r="M412" s="185">
        <v>40.061350250897632</v>
      </c>
      <c r="N412" s="75">
        <v>2082.205045899264</v>
      </c>
      <c r="O412" s="121">
        <v>60883.873850554555</v>
      </c>
      <c r="P412" s="121">
        <v>70251.505279236357</v>
      </c>
      <c r="Q412" s="120">
        <v>42795.749564653735</v>
      </c>
      <c r="R412" s="314">
        <v>103679.62341520829</v>
      </c>
      <c r="S412" s="315">
        <v>113047.25484389008</v>
      </c>
      <c r="U412" s="7" t="s">
        <v>2135</v>
      </c>
    </row>
    <row r="413" spans="1:21" s="74" customFormat="1" ht="16.5" thickBot="1">
      <c r="A413" s="50" t="s">
        <v>35</v>
      </c>
      <c r="B413" s="51">
        <f t="shared" si="21"/>
        <v>80</v>
      </c>
      <c r="C413" s="51" t="s">
        <v>3</v>
      </c>
      <c r="D413" s="51">
        <f t="shared" si="22"/>
        <v>400</v>
      </c>
      <c r="E413" s="51" t="s">
        <v>3</v>
      </c>
      <c r="F413" s="110">
        <f t="shared" si="23"/>
        <v>3000</v>
      </c>
      <c r="G413" s="51" t="s">
        <v>3</v>
      </c>
      <c r="H413" s="48">
        <v>6</v>
      </c>
      <c r="I413" s="49" t="s">
        <v>45</v>
      </c>
      <c r="J413" s="186">
        <v>80</v>
      </c>
      <c r="K413" s="157">
        <v>400</v>
      </c>
      <c r="L413" s="157">
        <v>3000</v>
      </c>
      <c r="M413" s="187">
        <v>40.71253652895868</v>
      </c>
      <c r="N413" s="147">
        <v>2122.247450628096</v>
      </c>
      <c r="O413" s="158">
        <v>61785.380345242178</v>
      </c>
      <c r="P413" s="158">
        <v>71301.691995038898</v>
      </c>
      <c r="Q413" s="159">
        <v>43628.723179830347</v>
      </c>
      <c r="R413" s="316">
        <v>105414.10352507253</v>
      </c>
      <c r="S413" s="317">
        <v>114930.41517486924</v>
      </c>
      <c r="U413" s="7" t="s">
        <v>2136</v>
      </c>
    </row>
  </sheetData>
  <mergeCells count="24">
    <mergeCell ref="A60:S60"/>
    <mergeCell ref="A110:S110"/>
    <mergeCell ref="A111:S111"/>
    <mergeCell ref="A59:S59"/>
    <mergeCell ref="A7:S7"/>
    <mergeCell ref="A8:S8"/>
    <mergeCell ref="A9:S9"/>
    <mergeCell ref="A314:S314"/>
    <mergeCell ref="A364:S364"/>
    <mergeCell ref="A161:S161"/>
    <mergeCell ref="A162:S162"/>
    <mergeCell ref="A262:S262"/>
    <mergeCell ref="A263:S263"/>
    <mergeCell ref="A313:S313"/>
    <mergeCell ref="A212:S212"/>
    <mergeCell ref="Q4:Q5"/>
    <mergeCell ref="R4:R5"/>
    <mergeCell ref="S4:S5"/>
    <mergeCell ref="O6:S6"/>
    <mergeCell ref="A4:I6"/>
    <mergeCell ref="J4:M5"/>
    <mergeCell ref="N4:N6"/>
    <mergeCell ref="O4:O5"/>
    <mergeCell ref="P4:P5"/>
  </mergeCells>
  <hyperlinks>
    <hyperlink ref="A1:I1" location="Главная!A1" display="Вернуться на главную страницу" xr:uid="{00000000-0004-0000-1300-000000000000}"/>
    <hyperlink ref="A2" location="'Калькулятор теплоотдач ВК'!R1C1" display="Вернуться Калькулятор теплоотдач ВК" xr:uid="{00000000-0004-0000-1300-000001000000}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22">
    <tabColor rgb="FFFFC000"/>
  </sheetPr>
  <dimension ref="A1:U414"/>
  <sheetViews>
    <sheetView zoomScale="70" zoomScaleNormal="70" workbookViewId="0">
      <pane ySplit="6" topLeftCell="A7" activePane="bottomLeft" state="frozen"/>
      <selection pane="bottomLeft" activeCell="A403" sqref="A403:XFD403"/>
    </sheetView>
  </sheetViews>
  <sheetFormatPr defaultRowHeight="15.75"/>
  <cols>
    <col min="1" max="1" width="3.7109375" style="7" customWidth="1"/>
    <col min="2" max="2" width="6" style="7" customWidth="1"/>
    <col min="3" max="3" width="3" style="7" customWidth="1"/>
    <col min="4" max="4" width="6" style="7" customWidth="1"/>
    <col min="5" max="5" width="3" style="7" customWidth="1"/>
    <col min="6" max="6" width="7.7109375" style="96" customWidth="1"/>
    <col min="7" max="7" width="3" style="7" customWidth="1"/>
    <col min="8" max="8" width="6" style="7" customWidth="1"/>
    <col min="9" max="9" width="4.5703125" style="7" customWidth="1"/>
    <col min="10" max="10" width="11.28515625" style="7" customWidth="1"/>
    <col min="11" max="12" width="11.28515625" style="96" customWidth="1"/>
    <col min="13" max="13" width="15.5703125" style="175" customWidth="1"/>
    <col min="14" max="14" width="19.140625" style="7" customWidth="1"/>
    <col min="15" max="15" width="27.7109375" style="117" customWidth="1"/>
    <col min="16" max="16" width="27.7109375" style="116" customWidth="1"/>
    <col min="17" max="17" width="26.28515625" style="117" customWidth="1"/>
    <col min="18" max="19" width="27.7109375" style="117" customWidth="1"/>
    <col min="21" max="21" width="22.42578125" customWidth="1"/>
  </cols>
  <sheetData>
    <row r="1" spans="1:21" s="74" customFormat="1" ht="16.5" customHeight="1">
      <c r="A1" s="1217" t="s">
        <v>9</v>
      </c>
      <c r="B1" s="1217"/>
      <c r="C1" s="1217"/>
      <c r="D1" s="1217"/>
      <c r="E1" s="1217"/>
      <c r="F1" s="97"/>
      <c r="G1" s="1217"/>
      <c r="H1" s="1217"/>
      <c r="I1" s="1217"/>
      <c r="J1" s="7"/>
      <c r="K1" s="96"/>
      <c r="L1" s="96"/>
      <c r="M1" s="175"/>
      <c r="N1" s="7"/>
      <c r="O1" s="117"/>
      <c r="P1" s="117"/>
      <c r="Q1" s="117"/>
      <c r="R1" s="117"/>
      <c r="S1" s="117"/>
    </row>
    <row r="2" spans="1:21" s="74" customFormat="1" ht="16.5" customHeight="1">
      <c r="A2" s="956" t="s">
        <v>378</v>
      </c>
      <c r="B2" s="1217"/>
      <c r="C2" s="1217"/>
      <c r="D2" s="1217"/>
      <c r="E2" s="1217"/>
      <c r="F2" s="97"/>
      <c r="G2" s="1217"/>
      <c r="H2" s="1217"/>
      <c r="I2" s="1217"/>
      <c r="J2" s="7"/>
      <c r="K2" s="96"/>
      <c r="L2" s="96"/>
      <c r="M2" s="175"/>
      <c r="N2" s="7"/>
      <c r="O2" s="117"/>
      <c r="P2" s="117"/>
      <c r="Q2" s="117"/>
      <c r="R2" s="117"/>
      <c r="S2" s="117"/>
    </row>
    <row r="3" spans="1:21" s="74" customFormat="1" ht="13.5" customHeight="1" thickBot="1">
      <c r="A3" s="16"/>
      <c r="B3" s="16"/>
      <c r="C3" s="16"/>
      <c r="D3" s="16"/>
      <c r="E3" s="16"/>
      <c r="F3" s="109"/>
      <c r="G3" s="16"/>
      <c r="H3" s="16"/>
      <c r="I3" s="16"/>
      <c r="J3" s="16"/>
      <c r="K3" s="108"/>
      <c r="L3" s="108"/>
      <c r="M3" s="175"/>
      <c r="N3" s="7"/>
      <c r="O3" s="116"/>
      <c r="P3" s="116"/>
      <c r="Q3" s="117"/>
      <c r="R3" s="117"/>
      <c r="S3" s="117"/>
    </row>
    <row r="4" spans="1:21" s="74" customFormat="1" ht="69" customHeight="1">
      <c r="A4" s="2643" t="s">
        <v>8</v>
      </c>
      <c r="B4" s="2644"/>
      <c r="C4" s="2644"/>
      <c r="D4" s="2644"/>
      <c r="E4" s="2644"/>
      <c r="F4" s="2644"/>
      <c r="G4" s="2644"/>
      <c r="H4" s="2644"/>
      <c r="I4" s="2645"/>
      <c r="J4" s="2637" t="s">
        <v>97</v>
      </c>
      <c r="K4" s="2638"/>
      <c r="L4" s="2638"/>
      <c r="M4" s="2639"/>
      <c r="N4" s="2652" t="s">
        <v>96</v>
      </c>
      <c r="O4" s="2655" t="s">
        <v>170</v>
      </c>
      <c r="P4" s="2617" t="s">
        <v>166</v>
      </c>
      <c r="Q4" s="2655" t="s">
        <v>171</v>
      </c>
      <c r="R4" s="2630" t="s">
        <v>460</v>
      </c>
      <c r="S4" s="2590" t="s">
        <v>461</v>
      </c>
    </row>
    <row r="5" spans="1:21" s="74" customFormat="1" ht="72.75" customHeight="1" thickBot="1">
      <c r="A5" s="2646"/>
      <c r="B5" s="2647"/>
      <c r="C5" s="2647"/>
      <c r="D5" s="2647"/>
      <c r="E5" s="2647"/>
      <c r="F5" s="2647"/>
      <c r="G5" s="2647"/>
      <c r="H5" s="2647"/>
      <c r="I5" s="2648"/>
      <c r="J5" s="2640"/>
      <c r="K5" s="2641"/>
      <c r="L5" s="2641"/>
      <c r="M5" s="2642"/>
      <c r="N5" s="2653"/>
      <c r="O5" s="2656"/>
      <c r="P5" s="2618"/>
      <c r="Q5" s="2656"/>
      <c r="R5" s="2631"/>
      <c r="S5" s="2591"/>
    </row>
    <row r="6" spans="1:21" s="74" customFormat="1" ht="61.5" customHeight="1" thickBot="1">
      <c r="A6" s="2649"/>
      <c r="B6" s="2650"/>
      <c r="C6" s="2650"/>
      <c r="D6" s="2650"/>
      <c r="E6" s="2650"/>
      <c r="F6" s="2650"/>
      <c r="G6" s="2650"/>
      <c r="H6" s="2650"/>
      <c r="I6" s="2651"/>
      <c r="J6" s="1223" t="s">
        <v>0</v>
      </c>
      <c r="K6" s="115" t="s">
        <v>1</v>
      </c>
      <c r="L6" s="115" t="s">
        <v>2</v>
      </c>
      <c r="M6" s="180" t="s">
        <v>94</v>
      </c>
      <c r="N6" s="2654"/>
      <c r="O6" s="2634" t="s">
        <v>169</v>
      </c>
      <c r="P6" s="2635"/>
      <c r="Q6" s="2635"/>
      <c r="R6" s="2635"/>
      <c r="S6" s="2636"/>
    </row>
    <row r="7" spans="1:21" s="74" customFormat="1" ht="22.5" customHeight="1" thickBot="1">
      <c r="A7" s="2580" t="s">
        <v>519</v>
      </c>
      <c r="B7" s="2581"/>
      <c r="C7" s="2581"/>
      <c r="D7" s="2581"/>
      <c r="E7" s="2581"/>
      <c r="F7" s="2581"/>
      <c r="G7" s="2581"/>
      <c r="H7" s="2581"/>
      <c r="I7" s="2581"/>
      <c r="J7" s="2581"/>
      <c r="K7" s="2581"/>
      <c r="L7" s="2581"/>
      <c r="M7" s="2581"/>
      <c r="N7" s="2581"/>
      <c r="O7" s="2581"/>
      <c r="P7" s="2581"/>
      <c r="Q7" s="2581"/>
      <c r="R7" s="2581"/>
      <c r="S7" s="2582"/>
    </row>
    <row r="8" spans="1:21" s="74" customFormat="1" ht="22.5" customHeight="1" thickBot="1">
      <c r="A8" s="2624" t="s">
        <v>69</v>
      </c>
      <c r="B8" s="2625"/>
      <c r="C8" s="2625"/>
      <c r="D8" s="2625"/>
      <c r="E8" s="2625"/>
      <c r="F8" s="2625"/>
      <c r="G8" s="2625"/>
      <c r="H8" s="2625"/>
      <c r="I8" s="2625"/>
      <c r="J8" s="2625"/>
      <c r="K8" s="2625"/>
      <c r="L8" s="2625"/>
      <c r="M8" s="2625"/>
      <c r="N8" s="2625"/>
      <c r="O8" s="2625"/>
      <c r="P8" s="2625"/>
      <c r="Q8" s="2625"/>
      <c r="R8" s="2625"/>
      <c r="S8" s="2626"/>
    </row>
    <row r="9" spans="1:21" s="74" customFormat="1" ht="16.5" customHeight="1" thickBot="1">
      <c r="A9" s="2583" t="s">
        <v>133</v>
      </c>
      <c r="B9" s="2584"/>
      <c r="C9" s="2584"/>
      <c r="D9" s="2584"/>
      <c r="E9" s="2584"/>
      <c r="F9" s="2584"/>
      <c r="G9" s="2584"/>
      <c r="H9" s="2584"/>
      <c r="I9" s="2584"/>
      <c r="J9" s="2584"/>
      <c r="K9" s="2584"/>
      <c r="L9" s="2584"/>
      <c r="M9" s="2584"/>
      <c r="N9" s="2584"/>
      <c r="O9" s="2584"/>
      <c r="P9" s="2584"/>
      <c r="Q9" s="2584"/>
      <c r="R9" s="2632"/>
      <c r="S9" s="2633"/>
    </row>
    <row r="10" spans="1:21" s="74" customFormat="1" ht="16.5" customHeight="1" thickBot="1">
      <c r="A10" s="47" t="s">
        <v>35</v>
      </c>
      <c r="B10" s="48">
        <f>J10</f>
        <v>90</v>
      </c>
      <c r="C10" s="48" t="s">
        <v>3</v>
      </c>
      <c r="D10" s="48">
        <f>K10</f>
        <v>160</v>
      </c>
      <c r="E10" s="48" t="s">
        <v>3</v>
      </c>
      <c r="F10" s="110">
        <f>L10</f>
        <v>600</v>
      </c>
      <c r="G10" s="48" t="s">
        <v>3</v>
      </c>
      <c r="H10" s="48">
        <v>2</v>
      </c>
      <c r="I10" s="49" t="s">
        <v>45</v>
      </c>
      <c r="J10" s="181">
        <v>90</v>
      </c>
      <c r="K10" s="168">
        <v>160</v>
      </c>
      <c r="L10" s="168">
        <v>600</v>
      </c>
      <c r="M10" s="182">
        <v>4.7566600268813168</v>
      </c>
      <c r="N10" s="144">
        <v>89.444999999999993</v>
      </c>
      <c r="O10" s="183">
        <v>9548.7027852126394</v>
      </c>
      <c r="P10" s="183">
        <v>11093.210318576814</v>
      </c>
      <c r="Q10" s="309">
        <v>5867.7029602663515</v>
      </c>
      <c r="R10" s="312">
        <v>15416.405745478991</v>
      </c>
      <c r="S10" s="313">
        <v>16960.913278843167</v>
      </c>
      <c r="U10" s="7" t="s">
        <v>2137</v>
      </c>
    </row>
    <row r="11" spans="1:21" s="74" customFormat="1" ht="16.5" customHeight="1" thickBot="1">
      <c r="A11" s="50" t="s">
        <v>35</v>
      </c>
      <c r="B11" s="51">
        <f t="shared" ref="B11:B58" si="0">J11</f>
        <v>90</v>
      </c>
      <c r="C11" s="51" t="s">
        <v>3</v>
      </c>
      <c r="D11" s="51">
        <f t="shared" ref="D11:D58" si="1">K11</f>
        <v>160</v>
      </c>
      <c r="E11" s="51" t="s">
        <v>3</v>
      </c>
      <c r="F11" s="110">
        <f t="shared" ref="F11:F58" si="2">L11</f>
        <v>650</v>
      </c>
      <c r="G11" s="51" t="s">
        <v>3</v>
      </c>
      <c r="H11" s="48">
        <v>2</v>
      </c>
      <c r="I11" s="49" t="s">
        <v>45</v>
      </c>
      <c r="J11" s="184">
        <v>90</v>
      </c>
      <c r="K11" s="113">
        <v>160</v>
      </c>
      <c r="L11" s="113">
        <v>650</v>
      </c>
      <c r="M11" s="185">
        <v>5.0896181745244746</v>
      </c>
      <c r="N11" s="87">
        <v>107.33399999999999</v>
      </c>
      <c r="O11" s="121">
        <v>9938.0860224001899</v>
      </c>
      <c r="P11" s="121">
        <v>11583.610651490628</v>
      </c>
      <c r="Q11" s="310">
        <v>6177.3270434973019</v>
      </c>
      <c r="R11" s="314">
        <v>16115.413065897492</v>
      </c>
      <c r="S11" s="315">
        <v>17760.93769498793</v>
      </c>
      <c r="U11" s="7" t="s">
        <v>2138</v>
      </c>
    </row>
    <row r="12" spans="1:21" s="74" customFormat="1" ht="16.5" customHeight="1" thickBot="1">
      <c r="A12" s="50" t="s">
        <v>35</v>
      </c>
      <c r="B12" s="51">
        <f t="shared" si="0"/>
        <v>90</v>
      </c>
      <c r="C12" s="51" t="s">
        <v>3</v>
      </c>
      <c r="D12" s="51">
        <f t="shared" si="1"/>
        <v>160</v>
      </c>
      <c r="E12" s="51" t="s">
        <v>3</v>
      </c>
      <c r="F12" s="110">
        <f t="shared" si="2"/>
        <v>700</v>
      </c>
      <c r="G12" s="51" t="s">
        <v>3</v>
      </c>
      <c r="H12" s="48">
        <v>2</v>
      </c>
      <c r="I12" s="49" t="s">
        <v>45</v>
      </c>
      <c r="J12" s="184">
        <v>90</v>
      </c>
      <c r="K12" s="113">
        <v>160</v>
      </c>
      <c r="L12" s="113">
        <v>700</v>
      </c>
      <c r="M12" s="185">
        <v>5.4396163221676312</v>
      </c>
      <c r="N12" s="87">
        <v>125.22299999999998</v>
      </c>
      <c r="O12" s="121">
        <v>10327.469259587739</v>
      </c>
      <c r="P12" s="121">
        <v>12074.010984404438</v>
      </c>
      <c r="Q12" s="310">
        <v>6717.5327641181639</v>
      </c>
      <c r="R12" s="314">
        <v>17045.002023705903</v>
      </c>
      <c r="S12" s="315">
        <v>18791.543748522603</v>
      </c>
      <c r="U12" s="7" t="s">
        <v>2139</v>
      </c>
    </row>
    <row r="13" spans="1:21" s="74" customFormat="1" ht="16.5" customHeight="1" thickBot="1">
      <c r="A13" s="50" t="s">
        <v>35</v>
      </c>
      <c r="B13" s="51">
        <f t="shared" si="0"/>
        <v>90</v>
      </c>
      <c r="C13" s="51" t="s">
        <v>3</v>
      </c>
      <c r="D13" s="51">
        <f t="shared" si="1"/>
        <v>160</v>
      </c>
      <c r="E13" s="51" t="s">
        <v>3</v>
      </c>
      <c r="F13" s="110">
        <f t="shared" si="2"/>
        <v>750</v>
      </c>
      <c r="G13" s="51" t="s">
        <v>3</v>
      </c>
      <c r="H13" s="48">
        <v>2</v>
      </c>
      <c r="I13" s="49" t="s">
        <v>45</v>
      </c>
      <c r="J13" s="184">
        <v>90</v>
      </c>
      <c r="K13" s="113">
        <v>160</v>
      </c>
      <c r="L13" s="113">
        <v>750</v>
      </c>
      <c r="M13" s="185">
        <v>5.7725744698107899</v>
      </c>
      <c r="N13" s="87">
        <v>143.11199999999999</v>
      </c>
      <c r="O13" s="121">
        <v>10716.852496775291</v>
      </c>
      <c r="P13" s="121">
        <v>12564.411457711616</v>
      </c>
      <c r="Q13" s="310">
        <v>7027.1568473491143</v>
      </c>
      <c r="R13" s="314">
        <v>17744.009344124406</v>
      </c>
      <c r="S13" s="315">
        <v>19591.568305060729</v>
      </c>
      <c r="U13" s="7" t="s">
        <v>2140</v>
      </c>
    </row>
    <row r="14" spans="1:21" s="74" customFormat="1" ht="16.5" customHeight="1" thickBot="1">
      <c r="A14" s="50" t="s">
        <v>35</v>
      </c>
      <c r="B14" s="51">
        <f t="shared" si="0"/>
        <v>90</v>
      </c>
      <c r="C14" s="51" t="s">
        <v>3</v>
      </c>
      <c r="D14" s="51">
        <f t="shared" si="1"/>
        <v>160</v>
      </c>
      <c r="E14" s="51" t="s">
        <v>3</v>
      </c>
      <c r="F14" s="110">
        <f t="shared" si="2"/>
        <v>800</v>
      </c>
      <c r="G14" s="51" t="s">
        <v>3</v>
      </c>
      <c r="H14" s="48">
        <v>2</v>
      </c>
      <c r="I14" s="49" t="s">
        <v>45</v>
      </c>
      <c r="J14" s="184">
        <v>90</v>
      </c>
      <c r="K14" s="113">
        <v>160</v>
      </c>
      <c r="L14" s="113">
        <v>800</v>
      </c>
      <c r="M14" s="185">
        <v>6.1055326174539477</v>
      </c>
      <c r="N14" s="87">
        <v>161.00099999999998</v>
      </c>
      <c r="O14" s="121">
        <v>11106.23573396284</v>
      </c>
      <c r="P14" s="121">
        <v>13054.811790625428</v>
      </c>
      <c r="Q14" s="310">
        <v>7336.7809305800638</v>
      </c>
      <c r="R14" s="314">
        <v>18443.016664542905</v>
      </c>
      <c r="S14" s="315">
        <v>20391.592721205492</v>
      </c>
      <c r="U14" s="7" t="s">
        <v>2141</v>
      </c>
    </row>
    <row r="15" spans="1:21" s="74" customFormat="1" ht="16.5" customHeight="1" thickBot="1">
      <c r="A15" s="50" t="s">
        <v>35</v>
      </c>
      <c r="B15" s="51">
        <f t="shared" si="0"/>
        <v>90</v>
      </c>
      <c r="C15" s="51" t="s">
        <v>3</v>
      </c>
      <c r="D15" s="51">
        <f t="shared" si="1"/>
        <v>160</v>
      </c>
      <c r="E15" s="51" t="s">
        <v>3</v>
      </c>
      <c r="F15" s="110">
        <f t="shared" si="2"/>
        <v>850</v>
      </c>
      <c r="G15" s="51" t="s">
        <v>3</v>
      </c>
      <c r="H15" s="48">
        <v>2</v>
      </c>
      <c r="I15" s="49" t="s">
        <v>45</v>
      </c>
      <c r="J15" s="184">
        <v>90</v>
      </c>
      <c r="K15" s="113">
        <v>160</v>
      </c>
      <c r="L15" s="113">
        <v>850</v>
      </c>
      <c r="M15" s="185">
        <v>6.4555307650971052</v>
      </c>
      <c r="N15" s="87">
        <v>178.89</v>
      </c>
      <c r="O15" s="121">
        <v>11495.61897115039</v>
      </c>
      <c r="P15" s="121">
        <v>13545.212123539241</v>
      </c>
      <c r="Q15" s="310">
        <v>7876.9867915942896</v>
      </c>
      <c r="R15" s="314">
        <v>19372.605762744679</v>
      </c>
      <c r="S15" s="315">
        <v>21422.198915133529</v>
      </c>
      <c r="U15" s="7" t="s">
        <v>2142</v>
      </c>
    </row>
    <row r="16" spans="1:21" s="74" customFormat="1" ht="16.5" customHeight="1" thickBot="1">
      <c r="A16" s="50" t="s">
        <v>35</v>
      </c>
      <c r="B16" s="51">
        <f t="shared" si="0"/>
        <v>90</v>
      </c>
      <c r="C16" s="51" t="s">
        <v>3</v>
      </c>
      <c r="D16" s="51">
        <f t="shared" si="1"/>
        <v>160</v>
      </c>
      <c r="E16" s="51" t="s">
        <v>3</v>
      </c>
      <c r="F16" s="110">
        <f t="shared" si="2"/>
        <v>900</v>
      </c>
      <c r="G16" s="51" t="s">
        <v>3</v>
      </c>
      <c r="H16" s="48">
        <v>2</v>
      </c>
      <c r="I16" s="49" t="s">
        <v>45</v>
      </c>
      <c r="J16" s="184">
        <v>90</v>
      </c>
      <c r="K16" s="113">
        <v>160</v>
      </c>
      <c r="L16" s="113">
        <v>900</v>
      </c>
      <c r="M16" s="185">
        <v>6.7884639977402639</v>
      </c>
      <c r="N16" s="87">
        <v>196.77899999999997</v>
      </c>
      <c r="O16" s="121">
        <v>11885.002208337941</v>
      </c>
      <c r="P16" s="121">
        <v>14035.612456453051</v>
      </c>
      <c r="Q16" s="310">
        <v>8186.6107344318762</v>
      </c>
      <c r="R16" s="314">
        <v>20071.612942769818</v>
      </c>
      <c r="S16" s="315">
        <v>22222.223190884928</v>
      </c>
      <c r="U16" s="7" t="s">
        <v>2143</v>
      </c>
    </row>
    <row r="17" spans="1:21" s="74" customFormat="1" ht="16.5" customHeight="1" thickBot="1">
      <c r="A17" s="50" t="s">
        <v>35</v>
      </c>
      <c r="B17" s="51">
        <f t="shared" si="0"/>
        <v>90</v>
      </c>
      <c r="C17" s="51" t="s">
        <v>3</v>
      </c>
      <c r="D17" s="51">
        <f t="shared" si="1"/>
        <v>160</v>
      </c>
      <c r="E17" s="51" t="s">
        <v>3</v>
      </c>
      <c r="F17" s="110">
        <f t="shared" si="2"/>
        <v>950</v>
      </c>
      <c r="G17" s="51" t="s">
        <v>3</v>
      </c>
      <c r="H17" s="48">
        <v>2</v>
      </c>
      <c r="I17" s="49" t="s">
        <v>45</v>
      </c>
      <c r="J17" s="184">
        <v>90</v>
      </c>
      <c r="K17" s="113">
        <v>160</v>
      </c>
      <c r="L17" s="113">
        <v>950</v>
      </c>
      <c r="M17" s="185">
        <v>7.1384870603834205</v>
      </c>
      <c r="N17" s="87">
        <v>214.66799999999998</v>
      </c>
      <c r="O17" s="121">
        <v>12274.38544552549</v>
      </c>
      <c r="P17" s="121">
        <v>14526.012789366865</v>
      </c>
      <c r="Q17" s="310">
        <v>8726.8165954461019</v>
      </c>
      <c r="R17" s="314">
        <v>21001.202040971591</v>
      </c>
      <c r="S17" s="315">
        <v>23252.829384812969</v>
      </c>
      <c r="U17" s="7" t="s">
        <v>2144</v>
      </c>
    </row>
    <row r="18" spans="1:21" s="74" customFormat="1" ht="16.5" customHeight="1" thickBot="1">
      <c r="A18" s="50" t="s">
        <v>35</v>
      </c>
      <c r="B18" s="51">
        <f t="shared" si="0"/>
        <v>90</v>
      </c>
      <c r="C18" s="51" t="s">
        <v>3</v>
      </c>
      <c r="D18" s="51">
        <f t="shared" si="1"/>
        <v>160</v>
      </c>
      <c r="E18" s="51" t="s">
        <v>3</v>
      </c>
      <c r="F18" s="110">
        <f t="shared" si="2"/>
        <v>1000</v>
      </c>
      <c r="G18" s="51" t="s">
        <v>3</v>
      </c>
      <c r="H18" s="48">
        <v>2</v>
      </c>
      <c r="I18" s="49" t="s">
        <v>45</v>
      </c>
      <c r="J18" s="184">
        <v>90</v>
      </c>
      <c r="K18" s="113">
        <v>160</v>
      </c>
      <c r="L18" s="113">
        <v>1000</v>
      </c>
      <c r="M18" s="185">
        <v>7.4714452080265801</v>
      </c>
      <c r="N18" s="87">
        <v>232.55699999999993</v>
      </c>
      <c r="O18" s="121">
        <v>12663.76868271304</v>
      </c>
      <c r="P18" s="121">
        <v>15016.413122280677</v>
      </c>
      <c r="Q18" s="310">
        <v>9036.4406786770523</v>
      </c>
      <c r="R18" s="314">
        <v>21700.209361390094</v>
      </c>
      <c r="S18" s="315">
        <v>24052.853800957731</v>
      </c>
      <c r="U18" s="7" t="s">
        <v>2145</v>
      </c>
    </row>
    <row r="19" spans="1:21" s="74" customFormat="1" ht="16.5" customHeight="1" thickBot="1">
      <c r="A19" s="50" t="s">
        <v>35</v>
      </c>
      <c r="B19" s="51">
        <f t="shared" si="0"/>
        <v>90</v>
      </c>
      <c r="C19" s="51" t="s">
        <v>3</v>
      </c>
      <c r="D19" s="51">
        <f t="shared" si="1"/>
        <v>160</v>
      </c>
      <c r="E19" s="51" t="s">
        <v>3</v>
      </c>
      <c r="F19" s="110">
        <f t="shared" si="2"/>
        <v>1050</v>
      </c>
      <c r="G19" s="51" t="s">
        <v>3</v>
      </c>
      <c r="H19" s="48">
        <v>2</v>
      </c>
      <c r="I19" s="49" t="s">
        <v>45</v>
      </c>
      <c r="J19" s="184">
        <v>90</v>
      </c>
      <c r="K19" s="113">
        <v>160</v>
      </c>
      <c r="L19" s="113">
        <v>1050</v>
      </c>
      <c r="M19" s="185">
        <v>7.8214433556697367</v>
      </c>
      <c r="N19" s="87">
        <v>250.44599999999997</v>
      </c>
      <c r="O19" s="121">
        <v>13053.151919900591</v>
      </c>
      <c r="P19" s="121">
        <v>15506.81345519449</v>
      </c>
      <c r="Q19" s="310">
        <v>9576.6465396912772</v>
      </c>
      <c r="R19" s="314">
        <v>22629.798459591868</v>
      </c>
      <c r="S19" s="315">
        <v>25083.459994885765</v>
      </c>
      <c r="U19" s="7" t="s">
        <v>2146</v>
      </c>
    </row>
    <row r="20" spans="1:21" s="74" customFormat="1" ht="16.5" customHeight="1" thickBot="1">
      <c r="A20" s="47" t="s">
        <v>35</v>
      </c>
      <c r="B20" s="48">
        <f t="shared" si="0"/>
        <v>90</v>
      </c>
      <c r="C20" s="48" t="s">
        <v>3</v>
      </c>
      <c r="D20" s="48">
        <f t="shared" si="1"/>
        <v>160</v>
      </c>
      <c r="E20" s="48" t="s">
        <v>3</v>
      </c>
      <c r="F20" s="110">
        <f t="shared" si="2"/>
        <v>1100</v>
      </c>
      <c r="G20" s="48" t="s">
        <v>3</v>
      </c>
      <c r="H20" s="48">
        <v>2</v>
      </c>
      <c r="I20" s="49" t="s">
        <v>45</v>
      </c>
      <c r="J20" s="184">
        <v>90</v>
      </c>
      <c r="K20" s="113">
        <v>160</v>
      </c>
      <c r="L20" s="113">
        <v>1100</v>
      </c>
      <c r="M20" s="185">
        <v>8.1544015033128954</v>
      </c>
      <c r="N20" s="87">
        <v>268.33499999999998</v>
      </c>
      <c r="O20" s="121">
        <v>13442.535157088141</v>
      </c>
      <c r="P20" s="121">
        <v>15997.213928501666</v>
      </c>
      <c r="Q20" s="310">
        <v>9886.2704825288656</v>
      </c>
      <c r="R20" s="314">
        <v>23328.805639617007</v>
      </c>
      <c r="S20" s="315">
        <v>25883.484411030531</v>
      </c>
      <c r="U20" s="7" t="s">
        <v>2147</v>
      </c>
    </row>
    <row r="21" spans="1:21" s="74" customFormat="1" ht="16.5" customHeight="1" thickBot="1">
      <c r="A21" s="50" t="s">
        <v>35</v>
      </c>
      <c r="B21" s="51">
        <f t="shared" si="0"/>
        <v>90</v>
      </c>
      <c r="C21" s="51" t="s">
        <v>3</v>
      </c>
      <c r="D21" s="51">
        <f t="shared" si="1"/>
        <v>160</v>
      </c>
      <c r="E21" s="51" t="s">
        <v>3</v>
      </c>
      <c r="F21" s="110">
        <f t="shared" si="2"/>
        <v>1150</v>
      </c>
      <c r="G21" s="51" t="s">
        <v>3</v>
      </c>
      <c r="H21" s="48">
        <v>2</v>
      </c>
      <c r="I21" s="49" t="s">
        <v>45</v>
      </c>
      <c r="J21" s="184">
        <v>90</v>
      </c>
      <c r="K21" s="113">
        <v>160</v>
      </c>
      <c r="L21" s="113">
        <v>1150</v>
      </c>
      <c r="M21" s="185">
        <v>8.4873596509560532</v>
      </c>
      <c r="N21" s="87">
        <v>286.22399999999999</v>
      </c>
      <c r="O21" s="121">
        <v>13831.91839427569</v>
      </c>
      <c r="P21" s="121">
        <v>16487.614261415478</v>
      </c>
      <c r="Q21" s="310">
        <v>10195.894565759814</v>
      </c>
      <c r="R21" s="314">
        <v>24027.812960035502</v>
      </c>
      <c r="S21" s="315">
        <v>26683.50882717529</v>
      </c>
      <c r="U21" s="7" t="s">
        <v>2148</v>
      </c>
    </row>
    <row r="22" spans="1:21" s="74" customFormat="1" ht="16.5" customHeight="1" thickBot="1">
      <c r="A22" s="50" t="s">
        <v>35</v>
      </c>
      <c r="B22" s="51">
        <f t="shared" si="0"/>
        <v>90</v>
      </c>
      <c r="C22" s="51" t="s">
        <v>3</v>
      </c>
      <c r="D22" s="51">
        <f t="shared" si="1"/>
        <v>160</v>
      </c>
      <c r="E22" s="51" t="s">
        <v>3</v>
      </c>
      <c r="F22" s="110">
        <f t="shared" si="2"/>
        <v>1200</v>
      </c>
      <c r="G22" s="51" t="s">
        <v>3</v>
      </c>
      <c r="H22" s="48">
        <v>2</v>
      </c>
      <c r="I22" s="49" t="s">
        <v>45</v>
      </c>
      <c r="J22" s="184">
        <v>90</v>
      </c>
      <c r="K22" s="113">
        <v>160</v>
      </c>
      <c r="L22" s="113">
        <v>1200</v>
      </c>
      <c r="M22" s="185">
        <v>8.8766077985992098</v>
      </c>
      <c r="N22" s="87">
        <v>304.11299999999994</v>
      </c>
      <c r="O22" s="121">
        <v>14265.315652573803</v>
      </c>
      <c r="P22" s="121">
        <v>17024.16638517064</v>
      </c>
      <c r="Q22" s="310">
        <v>10736.100426774039</v>
      </c>
      <c r="R22" s="314">
        <v>25001.416079347844</v>
      </c>
      <c r="S22" s="315">
        <v>27760.266811944679</v>
      </c>
      <c r="U22" s="7" t="s">
        <v>2149</v>
      </c>
    </row>
    <row r="23" spans="1:21" s="74" customFormat="1" ht="16.5" customHeight="1" thickBot="1">
      <c r="A23" s="50" t="s">
        <v>35</v>
      </c>
      <c r="B23" s="51">
        <f t="shared" si="0"/>
        <v>90</v>
      </c>
      <c r="C23" s="51" t="s">
        <v>3</v>
      </c>
      <c r="D23" s="51">
        <f t="shared" si="1"/>
        <v>160</v>
      </c>
      <c r="E23" s="51" t="s">
        <v>3</v>
      </c>
      <c r="F23" s="110">
        <f t="shared" si="2"/>
        <v>1250</v>
      </c>
      <c r="G23" s="51" t="s">
        <v>3</v>
      </c>
      <c r="H23" s="48">
        <v>2</v>
      </c>
      <c r="I23" s="49" t="s">
        <v>45</v>
      </c>
      <c r="J23" s="184">
        <v>90</v>
      </c>
      <c r="K23" s="113">
        <v>160</v>
      </c>
      <c r="L23" s="113">
        <v>1250</v>
      </c>
      <c r="M23" s="185">
        <v>9.2095659462423676</v>
      </c>
      <c r="N23" s="87">
        <v>322.00199999999995</v>
      </c>
      <c r="O23" s="121">
        <v>14654.698889761354</v>
      </c>
      <c r="P23" s="121">
        <v>17514.566718084454</v>
      </c>
      <c r="Q23" s="310">
        <v>11045.724510004989</v>
      </c>
      <c r="R23" s="314">
        <v>25700.423399766343</v>
      </c>
      <c r="S23" s="315">
        <v>28560.291228089445</v>
      </c>
      <c r="U23" s="7" t="s">
        <v>2150</v>
      </c>
    </row>
    <row r="24" spans="1:21" s="74" customFormat="1" ht="16.5" customHeight="1" thickBot="1">
      <c r="A24" s="50" t="s">
        <v>35</v>
      </c>
      <c r="B24" s="51">
        <f t="shared" si="0"/>
        <v>90</v>
      </c>
      <c r="C24" s="51" t="s">
        <v>3</v>
      </c>
      <c r="D24" s="51">
        <f t="shared" si="1"/>
        <v>160</v>
      </c>
      <c r="E24" s="51" t="s">
        <v>3</v>
      </c>
      <c r="F24" s="110">
        <f t="shared" si="2"/>
        <v>1300</v>
      </c>
      <c r="G24" s="51" t="s">
        <v>3</v>
      </c>
      <c r="H24" s="48">
        <v>2</v>
      </c>
      <c r="I24" s="49" t="s">
        <v>45</v>
      </c>
      <c r="J24" s="184">
        <v>90</v>
      </c>
      <c r="K24" s="113">
        <v>160</v>
      </c>
      <c r="L24" s="113">
        <v>1300</v>
      </c>
      <c r="M24" s="185">
        <v>9.5595640938855269</v>
      </c>
      <c r="N24" s="87">
        <v>339.89100000000002</v>
      </c>
      <c r="O24" s="121">
        <v>15044.082126948904</v>
      </c>
      <c r="P24" s="121">
        <v>18004.967050998268</v>
      </c>
      <c r="Q24" s="310">
        <v>11585.930230625852</v>
      </c>
      <c r="R24" s="314">
        <v>26630.012357574757</v>
      </c>
      <c r="S24" s="315">
        <v>29590.897281624122</v>
      </c>
      <c r="U24" s="7" t="s">
        <v>2151</v>
      </c>
    </row>
    <row r="25" spans="1:21" s="74" customFormat="1" ht="16.5" customHeight="1" thickBot="1">
      <c r="A25" s="50" t="s">
        <v>35</v>
      </c>
      <c r="B25" s="51">
        <f t="shared" si="0"/>
        <v>90</v>
      </c>
      <c r="C25" s="51" t="s">
        <v>3</v>
      </c>
      <c r="D25" s="51">
        <f t="shared" si="1"/>
        <v>160</v>
      </c>
      <c r="E25" s="51" t="s">
        <v>3</v>
      </c>
      <c r="F25" s="110">
        <f t="shared" si="2"/>
        <v>1350</v>
      </c>
      <c r="G25" s="51" t="s">
        <v>3</v>
      </c>
      <c r="H25" s="48">
        <v>2</v>
      </c>
      <c r="I25" s="49" t="s">
        <v>45</v>
      </c>
      <c r="J25" s="184">
        <v>90</v>
      </c>
      <c r="K25" s="113">
        <v>160</v>
      </c>
      <c r="L25" s="113">
        <v>1350</v>
      </c>
      <c r="M25" s="185">
        <v>9.8925222415286846</v>
      </c>
      <c r="N25" s="87">
        <v>357.78</v>
      </c>
      <c r="O25" s="121">
        <v>15433.465364136453</v>
      </c>
      <c r="P25" s="121">
        <v>18495.367524305442</v>
      </c>
      <c r="Q25" s="310">
        <v>11895.554313856801</v>
      </c>
      <c r="R25" s="314">
        <v>27329.019677993252</v>
      </c>
      <c r="S25" s="315">
        <v>30390.921838162241</v>
      </c>
      <c r="U25" s="7" t="s">
        <v>2152</v>
      </c>
    </row>
    <row r="26" spans="1:21" s="74" customFormat="1" ht="16.5" customHeight="1" thickBot="1">
      <c r="A26" s="50" t="s">
        <v>35</v>
      </c>
      <c r="B26" s="51">
        <f t="shared" si="0"/>
        <v>90</v>
      </c>
      <c r="C26" s="51" t="s">
        <v>3</v>
      </c>
      <c r="D26" s="51">
        <f t="shared" si="1"/>
        <v>160</v>
      </c>
      <c r="E26" s="51" t="s">
        <v>3</v>
      </c>
      <c r="F26" s="110">
        <f t="shared" si="2"/>
        <v>1400</v>
      </c>
      <c r="G26" s="51" t="s">
        <v>3</v>
      </c>
      <c r="H26" s="48">
        <v>2</v>
      </c>
      <c r="I26" s="49" t="s">
        <v>45</v>
      </c>
      <c r="J26" s="184">
        <v>90</v>
      </c>
      <c r="K26" s="113">
        <v>160</v>
      </c>
      <c r="L26" s="113">
        <v>1400</v>
      </c>
      <c r="M26" s="185">
        <v>10.242520389171842</v>
      </c>
      <c r="N26" s="87">
        <v>375.66899999999998</v>
      </c>
      <c r="O26" s="121">
        <v>15822.848601324004</v>
      </c>
      <c r="P26" s="121">
        <v>18985.767857219253</v>
      </c>
      <c r="Q26" s="310">
        <v>12435.760174871028</v>
      </c>
      <c r="R26" s="314">
        <v>28258.608776195033</v>
      </c>
      <c r="S26" s="315">
        <v>31421.528032090282</v>
      </c>
      <c r="U26" s="7" t="s">
        <v>2153</v>
      </c>
    </row>
    <row r="27" spans="1:21" s="74" customFormat="1" ht="16.5" customHeight="1" thickBot="1">
      <c r="A27" s="50" t="s">
        <v>35</v>
      </c>
      <c r="B27" s="51">
        <f t="shared" si="0"/>
        <v>90</v>
      </c>
      <c r="C27" s="51" t="s">
        <v>3</v>
      </c>
      <c r="D27" s="51">
        <f t="shared" si="1"/>
        <v>160</v>
      </c>
      <c r="E27" s="51" t="s">
        <v>3</v>
      </c>
      <c r="F27" s="110">
        <f t="shared" si="2"/>
        <v>1450</v>
      </c>
      <c r="G27" s="51" t="s">
        <v>3</v>
      </c>
      <c r="H27" s="48">
        <v>2</v>
      </c>
      <c r="I27" s="49" t="s">
        <v>45</v>
      </c>
      <c r="J27" s="184">
        <v>90</v>
      </c>
      <c r="K27" s="113">
        <v>160</v>
      </c>
      <c r="L27" s="113">
        <v>1450</v>
      </c>
      <c r="M27" s="185">
        <v>10.575478536815002</v>
      </c>
      <c r="N27" s="87">
        <v>393.55799999999994</v>
      </c>
      <c r="O27" s="121">
        <v>16212.231838511554</v>
      </c>
      <c r="P27" s="121">
        <v>19476.168190133067</v>
      </c>
      <c r="Q27" s="310">
        <v>12745.384258101978</v>
      </c>
      <c r="R27" s="314">
        <v>28957.616096613532</v>
      </c>
      <c r="S27" s="315">
        <v>32221.552448235045</v>
      </c>
      <c r="U27" s="7" t="s">
        <v>2154</v>
      </c>
    </row>
    <row r="28" spans="1:21" s="74" customFormat="1" ht="16.5" customHeight="1" thickBot="1">
      <c r="A28" s="50" t="s">
        <v>35</v>
      </c>
      <c r="B28" s="51">
        <f t="shared" si="0"/>
        <v>90</v>
      </c>
      <c r="C28" s="51" t="s">
        <v>3</v>
      </c>
      <c r="D28" s="51">
        <f t="shared" si="1"/>
        <v>160</v>
      </c>
      <c r="E28" s="51" t="s">
        <v>3</v>
      </c>
      <c r="F28" s="110">
        <f t="shared" si="2"/>
        <v>1500</v>
      </c>
      <c r="G28" s="51" t="s">
        <v>3</v>
      </c>
      <c r="H28" s="48">
        <v>2</v>
      </c>
      <c r="I28" s="49" t="s">
        <v>45</v>
      </c>
      <c r="J28" s="184">
        <v>90</v>
      </c>
      <c r="K28" s="113">
        <v>160</v>
      </c>
      <c r="L28" s="113">
        <v>1500</v>
      </c>
      <c r="M28" s="185">
        <v>11.01803981725816</v>
      </c>
      <c r="N28" s="87">
        <v>411.447</v>
      </c>
      <c r="O28" s="121">
        <v>17119.203004441129</v>
      </c>
      <c r="P28" s="121">
        <v>20384.924036486744</v>
      </c>
      <c r="Q28" s="310">
        <v>13285.589978722841</v>
      </c>
      <c r="R28" s="314">
        <v>30404.79298316397</v>
      </c>
      <c r="S28" s="315">
        <v>33670.514015209585</v>
      </c>
      <c r="U28" s="7" t="s">
        <v>2155</v>
      </c>
    </row>
    <row r="29" spans="1:21" s="74" customFormat="1" ht="16.5" customHeight="1" thickBot="1">
      <c r="A29" s="50" t="s">
        <v>35</v>
      </c>
      <c r="B29" s="51">
        <f t="shared" si="0"/>
        <v>90</v>
      </c>
      <c r="C29" s="51" t="s">
        <v>3</v>
      </c>
      <c r="D29" s="51">
        <f t="shared" si="1"/>
        <v>160</v>
      </c>
      <c r="E29" s="51" t="s">
        <v>3</v>
      </c>
      <c r="F29" s="110">
        <f t="shared" si="2"/>
        <v>1550</v>
      </c>
      <c r="G29" s="51" t="s">
        <v>3</v>
      </c>
      <c r="H29" s="48">
        <v>2</v>
      </c>
      <c r="I29" s="49" t="s">
        <v>45</v>
      </c>
      <c r="J29" s="184">
        <v>90</v>
      </c>
      <c r="K29" s="113">
        <v>160</v>
      </c>
      <c r="L29" s="113">
        <v>1550</v>
      </c>
      <c r="M29" s="185">
        <v>11.350997964901316</v>
      </c>
      <c r="N29" s="87">
        <v>429.33599999999996</v>
      </c>
      <c r="O29" s="121">
        <v>17508.58624162868</v>
      </c>
      <c r="P29" s="121">
        <v>20875.324369400554</v>
      </c>
      <c r="Q29" s="310">
        <v>13595.214061953789</v>
      </c>
      <c r="R29" s="314">
        <v>31103.800303582469</v>
      </c>
      <c r="S29" s="315">
        <v>34470.538431354347</v>
      </c>
      <c r="U29" s="7" t="s">
        <v>2156</v>
      </c>
    </row>
    <row r="30" spans="1:21" s="74" customFormat="1" ht="16.5" customHeight="1" thickBot="1">
      <c r="A30" s="47" t="s">
        <v>35</v>
      </c>
      <c r="B30" s="48">
        <f t="shared" si="0"/>
        <v>90</v>
      </c>
      <c r="C30" s="48" t="s">
        <v>3</v>
      </c>
      <c r="D30" s="48">
        <f t="shared" si="1"/>
        <v>160</v>
      </c>
      <c r="E30" s="48" t="s">
        <v>3</v>
      </c>
      <c r="F30" s="110">
        <f t="shared" si="2"/>
        <v>1600</v>
      </c>
      <c r="G30" s="48" t="s">
        <v>3</v>
      </c>
      <c r="H30" s="48">
        <v>2</v>
      </c>
      <c r="I30" s="49" t="s">
        <v>45</v>
      </c>
      <c r="J30" s="184">
        <v>90</v>
      </c>
      <c r="K30" s="113">
        <v>160</v>
      </c>
      <c r="L30" s="113">
        <v>1600</v>
      </c>
      <c r="M30" s="185">
        <v>11.683956112544472</v>
      </c>
      <c r="N30" s="87">
        <v>447.22499999999997</v>
      </c>
      <c r="O30" s="121">
        <v>17897.969478816227</v>
      </c>
      <c r="P30" s="121">
        <v>21365.724702314368</v>
      </c>
      <c r="Q30" s="310">
        <v>13904.83814518474</v>
      </c>
      <c r="R30" s="314">
        <v>31802.807624000969</v>
      </c>
      <c r="S30" s="315">
        <v>35270.56284749911</v>
      </c>
      <c r="U30" s="7" t="s">
        <v>2157</v>
      </c>
    </row>
    <row r="31" spans="1:21" s="74" customFormat="1" ht="16.5" customHeight="1" thickBot="1">
      <c r="A31" s="50" t="s">
        <v>35</v>
      </c>
      <c r="B31" s="51">
        <f t="shared" si="0"/>
        <v>90</v>
      </c>
      <c r="C31" s="51" t="s">
        <v>3</v>
      </c>
      <c r="D31" s="51">
        <f t="shared" si="1"/>
        <v>160</v>
      </c>
      <c r="E31" s="51" t="s">
        <v>3</v>
      </c>
      <c r="F31" s="110">
        <f t="shared" si="2"/>
        <v>1650</v>
      </c>
      <c r="G31" s="51" t="s">
        <v>3</v>
      </c>
      <c r="H31" s="48">
        <v>2</v>
      </c>
      <c r="I31" s="49" t="s">
        <v>45</v>
      </c>
      <c r="J31" s="184">
        <v>90</v>
      </c>
      <c r="K31" s="113">
        <v>160</v>
      </c>
      <c r="L31" s="113">
        <v>1650</v>
      </c>
      <c r="M31" s="185">
        <v>12.033954260187631</v>
      </c>
      <c r="N31" s="87">
        <v>465.11399999999986</v>
      </c>
      <c r="O31" s="121">
        <v>18287.352716003777</v>
      </c>
      <c r="P31" s="121">
        <v>21856.125035228179</v>
      </c>
      <c r="Q31" s="310">
        <v>14445.044006198967</v>
      </c>
      <c r="R31" s="314">
        <v>32732.396722202742</v>
      </c>
      <c r="S31" s="315">
        <v>36301.169041427143</v>
      </c>
      <c r="U31" s="7" t="s">
        <v>2158</v>
      </c>
    </row>
    <row r="32" spans="1:21" s="74" customFormat="1" ht="16.5" customHeight="1" thickBot="1">
      <c r="A32" s="50" t="s">
        <v>35</v>
      </c>
      <c r="B32" s="51">
        <f t="shared" si="0"/>
        <v>90</v>
      </c>
      <c r="C32" s="51" t="s">
        <v>3</v>
      </c>
      <c r="D32" s="51">
        <f t="shared" si="1"/>
        <v>160</v>
      </c>
      <c r="E32" s="51" t="s">
        <v>3</v>
      </c>
      <c r="F32" s="110">
        <f t="shared" si="2"/>
        <v>1700</v>
      </c>
      <c r="G32" s="51" t="s">
        <v>3</v>
      </c>
      <c r="H32" s="48">
        <v>2</v>
      </c>
      <c r="I32" s="49" t="s">
        <v>45</v>
      </c>
      <c r="J32" s="184">
        <v>90</v>
      </c>
      <c r="K32" s="113">
        <v>160</v>
      </c>
      <c r="L32" s="113">
        <v>1700</v>
      </c>
      <c r="M32" s="185">
        <v>12.366912407830789</v>
      </c>
      <c r="N32" s="87">
        <v>483.00299999999993</v>
      </c>
      <c r="O32" s="121">
        <v>18676.735953191328</v>
      </c>
      <c r="P32" s="121">
        <v>22346.525368141993</v>
      </c>
      <c r="Q32" s="310">
        <v>14754.667949036411</v>
      </c>
      <c r="R32" s="314">
        <v>33431.403902227743</v>
      </c>
      <c r="S32" s="315">
        <v>37101.193317178404</v>
      </c>
      <c r="U32" s="7" t="s">
        <v>2159</v>
      </c>
    </row>
    <row r="33" spans="1:21" s="74" customFormat="1" ht="16.5" customHeight="1" thickBot="1">
      <c r="A33" s="50" t="s">
        <v>35</v>
      </c>
      <c r="B33" s="51">
        <f t="shared" si="0"/>
        <v>90</v>
      </c>
      <c r="C33" s="51" t="s">
        <v>3</v>
      </c>
      <c r="D33" s="51">
        <f t="shared" si="1"/>
        <v>160</v>
      </c>
      <c r="E33" s="51" t="s">
        <v>3</v>
      </c>
      <c r="F33" s="110">
        <f t="shared" si="2"/>
        <v>1750</v>
      </c>
      <c r="G33" s="51" t="s">
        <v>3</v>
      </c>
      <c r="H33" s="48">
        <v>2</v>
      </c>
      <c r="I33" s="49" t="s">
        <v>45</v>
      </c>
      <c r="J33" s="184">
        <v>90</v>
      </c>
      <c r="K33" s="113">
        <v>160</v>
      </c>
      <c r="L33" s="113">
        <v>1750</v>
      </c>
      <c r="M33" s="185">
        <v>12.716910555473948</v>
      </c>
      <c r="N33" s="87">
        <v>500.89199999999994</v>
      </c>
      <c r="O33" s="121">
        <v>19066.119190378879</v>
      </c>
      <c r="P33" s="121">
        <v>22836.925701055803</v>
      </c>
      <c r="Q33" s="310">
        <v>15294.87381005078</v>
      </c>
      <c r="R33" s="314">
        <v>34360.993000429662</v>
      </c>
      <c r="S33" s="315">
        <v>38131.799511106583</v>
      </c>
      <c r="U33" s="7" t="s">
        <v>2160</v>
      </c>
    </row>
    <row r="34" spans="1:21" s="74" customFormat="1" ht="16.5" customHeight="1" thickBot="1">
      <c r="A34" s="50" t="s">
        <v>35</v>
      </c>
      <c r="B34" s="51">
        <f t="shared" si="0"/>
        <v>90</v>
      </c>
      <c r="C34" s="51" t="s">
        <v>3</v>
      </c>
      <c r="D34" s="51">
        <f t="shared" si="1"/>
        <v>160</v>
      </c>
      <c r="E34" s="51" t="s">
        <v>3</v>
      </c>
      <c r="F34" s="110">
        <f t="shared" si="2"/>
        <v>1800</v>
      </c>
      <c r="G34" s="51" t="s">
        <v>3</v>
      </c>
      <c r="H34" s="48">
        <v>2</v>
      </c>
      <c r="I34" s="49" t="s">
        <v>45</v>
      </c>
      <c r="J34" s="184">
        <v>90</v>
      </c>
      <c r="K34" s="113">
        <v>160</v>
      </c>
      <c r="L34" s="113">
        <v>1800</v>
      </c>
      <c r="M34" s="185">
        <v>13.049868703117106</v>
      </c>
      <c r="N34" s="87">
        <v>518.78099999999995</v>
      </c>
      <c r="O34" s="121">
        <v>19455.502427566429</v>
      </c>
      <c r="P34" s="121">
        <v>23327.326174362981</v>
      </c>
      <c r="Q34" s="310">
        <v>15604.497893281728</v>
      </c>
      <c r="R34" s="314">
        <v>35060.000320848158</v>
      </c>
      <c r="S34" s="315">
        <v>38931.824067644709</v>
      </c>
      <c r="U34" s="7" t="s">
        <v>2161</v>
      </c>
    </row>
    <row r="35" spans="1:21" s="74" customFormat="1" ht="16.5" customHeight="1" thickBot="1">
      <c r="A35" s="50" t="s">
        <v>35</v>
      </c>
      <c r="B35" s="51">
        <f t="shared" si="0"/>
        <v>90</v>
      </c>
      <c r="C35" s="51" t="s">
        <v>3</v>
      </c>
      <c r="D35" s="51">
        <f t="shared" si="1"/>
        <v>160</v>
      </c>
      <c r="E35" s="51" t="s">
        <v>3</v>
      </c>
      <c r="F35" s="110">
        <f t="shared" si="2"/>
        <v>1850</v>
      </c>
      <c r="G35" s="51" t="s">
        <v>3</v>
      </c>
      <c r="H35" s="48">
        <v>2</v>
      </c>
      <c r="I35" s="49" t="s">
        <v>45</v>
      </c>
      <c r="J35" s="184">
        <v>90</v>
      </c>
      <c r="K35" s="113">
        <v>160</v>
      </c>
      <c r="L35" s="113">
        <v>1850</v>
      </c>
      <c r="M35" s="185">
        <v>13.399866850760263</v>
      </c>
      <c r="N35" s="87">
        <v>536.66999999999996</v>
      </c>
      <c r="O35" s="121">
        <v>19844.88566475398</v>
      </c>
      <c r="P35" s="121">
        <v>23817.726507276791</v>
      </c>
      <c r="Q35" s="310">
        <v>16144.703754295953</v>
      </c>
      <c r="R35" s="314">
        <v>35989.589419049931</v>
      </c>
      <c r="S35" s="315">
        <v>39962.430261572743</v>
      </c>
      <c r="U35" s="7" t="s">
        <v>2162</v>
      </c>
    </row>
    <row r="36" spans="1:21" s="74" customFormat="1" ht="16.5" customHeight="1" thickBot="1">
      <c r="A36" s="50" t="s">
        <v>35</v>
      </c>
      <c r="B36" s="51">
        <f t="shared" si="0"/>
        <v>90</v>
      </c>
      <c r="C36" s="51" t="s">
        <v>3</v>
      </c>
      <c r="D36" s="51">
        <f t="shared" si="1"/>
        <v>160</v>
      </c>
      <c r="E36" s="51" t="s">
        <v>3</v>
      </c>
      <c r="F36" s="110">
        <f t="shared" si="2"/>
        <v>1900</v>
      </c>
      <c r="G36" s="51" t="s">
        <v>3</v>
      </c>
      <c r="H36" s="48">
        <v>2</v>
      </c>
      <c r="I36" s="49" t="s">
        <v>45</v>
      </c>
      <c r="J36" s="184">
        <v>90</v>
      </c>
      <c r="K36" s="113">
        <v>160</v>
      </c>
      <c r="L36" s="113">
        <v>1900</v>
      </c>
      <c r="M36" s="185">
        <v>13.732824998403419</v>
      </c>
      <c r="N36" s="87">
        <v>554.55899999999986</v>
      </c>
      <c r="O36" s="121">
        <v>20234.26890194153</v>
      </c>
      <c r="P36" s="121">
        <v>24308.126840190605</v>
      </c>
      <c r="Q36" s="310">
        <v>16454.32769713354</v>
      </c>
      <c r="R36" s="314">
        <v>36688.59659907507</v>
      </c>
      <c r="S36" s="315">
        <v>40762.454537324142</v>
      </c>
      <c r="U36" s="7" t="s">
        <v>2163</v>
      </c>
    </row>
    <row r="37" spans="1:21" s="74" customFormat="1" ht="16.5" customHeight="1" thickBot="1">
      <c r="A37" s="50" t="s">
        <v>35</v>
      </c>
      <c r="B37" s="51">
        <f t="shared" si="0"/>
        <v>90</v>
      </c>
      <c r="C37" s="51" t="s">
        <v>3</v>
      </c>
      <c r="D37" s="51">
        <f t="shared" si="1"/>
        <v>160</v>
      </c>
      <c r="E37" s="51" t="s">
        <v>3</v>
      </c>
      <c r="F37" s="110">
        <f t="shared" si="2"/>
        <v>1950</v>
      </c>
      <c r="G37" s="51" t="s">
        <v>3</v>
      </c>
      <c r="H37" s="48">
        <v>2</v>
      </c>
      <c r="I37" s="49" t="s">
        <v>45</v>
      </c>
      <c r="J37" s="184">
        <v>90</v>
      </c>
      <c r="K37" s="113">
        <v>160</v>
      </c>
      <c r="L37" s="113">
        <v>1950</v>
      </c>
      <c r="M37" s="185">
        <v>14.105033146046578</v>
      </c>
      <c r="N37" s="87">
        <v>572.44799999999998</v>
      </c>
      <c r="O37" s="121">
        <v>20667.666160239642</v>
      </c>
      <c r="P37" s="121">
        <v>24844.678963945771</v>
      </c>
      <c r="Q37" s="310">
        <v>16763.951780364492</v>
      </c>
      <c r="R37" s="314">
        <v>37431.617940604134</v>
      </c>
      <c r="S37" s="315">
        <v>41608.630744310263</v>
      </c>
      <c r="U37" s="7" t="s">
        <v>2164</v>
      </c>
    </row>
    <row r="38" spans="1:21" s="74" customFormat="1" ht="16.5" customHeight="1" thickBot="1">
      <c r="A38" s="50" t="s">
        <v>35</v>
      </c>
      <c r="B38" s="51">
        <f t="shared" si="0"/>
        <v>90</v>
      </c>
      <c r="C38" s="51" t="s">
        <v>3</v>
      </c>
      <c r="D38" s="51">
        <f t="shared" si="1"/>
        <v>160</v>
      </c>
      <c r="E38" s="51" t="s">
        <v>3</v>
      </c>
      <c r="F38" s="110">
        <f t="shared" si="2"/>
        <v>2000</v>
      </c>
      <c r="G38" s="51" t="s">
        <v>3</v>
      </c>
      <c r="H38" s="48">
        <v>2</v>
      </c>
      <c r="I38" s="49" t="s">
        <v>45</v>
      </c>
      <c r="J38" s="184">
        <v>90</v>
      </c>
      <c r="K38" s="113">
        <v>160</v>
      </c>
      <c r="L38" s="113">
        <v>2000</v>
      </c>
      <c r="M38" s="185">
        <v>14.546593693689736</v>
      </c>
      <c r="N38" s="87">
        <v>590.33699999999988</v>
      </c>
      <c r="O38" s="121">
        <v>21278.25542567599</v>
      </c>
      <c r="P38" s="121">
        <v>25647.760164772244</v>
      </c>
      <c r="Q38" s="310">
        <v>17304.157641378715</v>
      </c>
      <c r="R38" s="314">
        <v>38582.413067054702</v>
      </c>
      <c r="S38" s="315">
        <v>42951.917806150959</v>
      </c>
      <c r="U38" s="7" t="s">
        <v>2165</v>
      </c>
    </row>
    <row r="39" spans="1:21" s="74" customFormat="1" ht="16.5" customHeight="1" thickBot="1">
      <c r="A39" s="50" t="s">
        <v>35</v>
      </c>
      <c r="B39" s="51">
        <f t="shared" si="0"/>
        <v>90</v>
      </c>
      <c r="C39" s="51" t="s">
        <v>3</v>
      </c>
      <c r="D39" s="51">
        <f t="shared" si="1"/>
        <v>160</v>
      </c>
      <c r="E39" s="51" t="s">
        <v>3</v>
      </c>
      <c r="F39" s="110">
        <f t="shared" si="2"/>
        <v>2050</v>
      </c>
      <c r="G39" s="51" t="s">
        <v>3</v>
      </c>
      <c r="H39" s="48">
        <v>2</v>
      </c>
      <c r="I39" s="49" t="s">
        <v>45</v>
      </c>
      <c r="J39" s="184">
        <v>90</v>
      </c>
      <c r="K39" s="113">
        <v>160</v>
      </c>
      <c r="L39" s="113">
        <v>2050</v>
      </c>
      <c r="M39" s="185">
        <v>14.879551841332894</v>
      </c>
      <c r="N39" s="87">
        <v>608.22599999999989</v>
      </c>
      <c r="O39" s="121">
        <v>21667.638522470181</v>
      </c>
      <c r="P39" s="121">
        <v>26138.160497686054</v>
      </c>
      <c r="Q39" s="310">
        <v>17613.781724609664</v>
      </c>
      <c r="R39" s="314">
        <v>39281.420247079848</v>
      </c>
      <c r="S39" s="315">
        <v>43751.942222295722</v>
      </c>
      <c r="U39" s="7" t="s">
        <v>2166</v>
      </c>
    </row>
    <row r="40" spans="1:21" s="74" customFormat="1" ht="16.5" customHeight="1" thickBot="1">
      <c r="A40" s="47" t="s">
        <v>35</v>
      </c>
      <c r="B40" s="48">
        <f t="shared" si="0"/>
        <v>90</v>
      </c>
      <c r="C40" s="48" t="s">
        <v>3</v>
      </c>
      <c r="D40" s="48">
        <f t="shared" si="1"/>
        <v>160</v>
      </c>
      <c r="E40" s="48" t="s">
        <v>3</v>
      </c>
      <c r="F40" s="110">
        <f t="shared" si="2"/>
        <v>2100</v>
      </c>
      <c r="G40" s="48" t="s">
        <v>3</v>
      </c>
      <c r="H40" s="48">
        <v>2</v>
      </c>
      <c r="I40" s="49" t="s">
        <v>45</v>
      </c>
      <c r="J40" s="184">
        <v>90</v>
      </c>
      <c r="K40" s="113">
        <v>160</v>
      </c>
      <c r="L40" s="113">
        <v>2100</v>
      </c>
      <c r="M40" s="185">
        <v>15.229549988976052</v>
      </c>
      <c r="N40" s="87">
        <v>626.1149999999999</v>
      </c>
      <c r="O40" s="121">
        <v>22057.021759657728</v>
      </c>
      <c r="P40" s="121">
        <v>26628.560830599868</v>
      </c>
      <c r="Q40" s="310">
        <v>18153.98758562389</v>
      </c>
      <c r="R40" s="314">
        <v>40211.009345281622</v>
      </c>
      <c r="S40" s="315">
        <v>44782.548416223755</v>
      </c>
      <c r="U40" s="7" t="s">
        <v>2167</v>
      </c>
    </row>
    <row r="41" spans="1:21" s="74" customFormat="1" ht="16.5" customHeight="1" thickBot="1">
      <c r="A41" s="50" t="s">
        <v>35</v>
      </c>
      <c r="B41" s="51">
        <f t="shared" si="0"/>
        <v>90</v>
      </c>
      <c r="C41" s="51" t="s">
        <v>3</v>
      </c>
      <c r="D41" s="51">
        <f t="shared" si="1"/>
        <v>160</v>
      </c>
      <c r="E41" s="51" t="s">
        <v>3</v>
      </c>
      <c r="F41" s="110">
        <f t="shared" si="2"/>
        <v>2150</v>
      </c>
      <c r="G41" s="51" t="s">
        <v>3</v>
      </c>
      <c r="H41" s="48">
        <v>2</v>
      </c>
      <c r="I41" s="49" t="s">
        <v>45</v>
      </c>
      <c r="J41" s="184">
        <v>90</v>
      </c>
      <c r="K41" s="113">
        <v>160</v>
      </c>
      <c r="L41" s="113">
        <v>2150</v>
      </c>
      <c r="M41" s="185">
        <v>15.562508136619211</v>
      </c>
      <c r="N41" s="87">
        <v>644.00399999999991</v>
      </c>
      <c r="O41" s="121">
        <v>22446.404996845278</v>
      </c>
      <c r="P41" s="121">
        <v>27118.961163513679</v>
      </c>
      <c r="Q41" s="310">
        <v>18463.611528461479</v>
      </c>
      <c r="R41" s="314">
        <v>40910.016525306753</v>
      </c>
      <c r="S41" s="315">
        <v>45582.572691975161</v>
      </c>
      <c r="U41" s="7" t="s">
        <v>2168</v>
      </c>
    </row>
    <row r="42" spans="1:21" s="74" customFormat="1" ht="16.5" customHeight="1" thickBot="1">
      <c r="A42" s="50" t="s">
        <v>35</v>
      </c>
      <c r="B42" s="51">
        <f t="shared" si="0"/>
        <v>90</v>
      </c>
      <c r="C42" s="51" t="s">
        <v>3</v>
      </c>
      <c r="D42" s="51">
        <f t="shared" si="1"/>
        <v>160</v>
      </c>
      <c r="E42" s="51" t="s">
        <v>3</v>
      </c>
      <c r="F42" s="110">
        <f t="shared" si="2"/>
        <v>2200</v>
      </c>
      <c r="G42" s="51" t="s">
        <v>3</v>
      </c>
      <c r="H42" s="48">
        <v>2</v>
      </c>
      <c r="I42" s="49" t="s">
        <v>45</v>
      </c>
      <c r="J42" s="184">
        <v>90</v>
      </c>
      <c r="K42" s="113">
        <v>160</v>
      </c>
      <c r="L42" s="113">
        <v>2200</v>
      </c>
      <c r="M42" s="185">
        <v>15.912506284262371</v>
      </c>
      <c r="N42" s="87">
        <v>661.89299999999992</v>
      </c>
      <c r="O42" s="121">
        <v>22835.788234032829</v>
      </c>
      <c r="P42" s="121">
        <v>27609.361496427497</v>
      </c>
      <c r="Q42" s="310">
        <v>19003.817389475706</v>
      </c>
      <c r="R42" s="314">
        <v>41839.605623508534</v>
      </c>
      <c r="S42" s="315">
        <v>46613.178885903202</v>
      </c>
      <c r="U42" s="7" t="s">
        <v>2169</v>
      </c>
    </row>
    <row r="43" spans="1:21" s="74" customFormat="1" ht="16.5" customHeight="1" thickBot="1">
      <c r="A43" s="50" t="s">
        <v>35</v>
      </c>
      <c r="B43" s="51">
        <f t="shared" si="0"/>
        <v>90</v>
      </c>
      <c r="C43" s="51" t="s">
        <v>3</v>
      </c>
      <c r="D43" s="51">
        <f t="shared" si="1"/>
        <v>160</v>
      </c>
      <c r="E43" s="51" t="s">
        <v>3</v>
      </c>
      <c r="F43" s="110">
        <f t="shared" si="2"/>
        <v>2250</v>
      </c>
      <c r="G43" s="51" t="s">
        <v>3</v>
      </c>
      <c r="H43" s="48">
        <v>2</v>
      </c>
      <c r="I43" s="49" t="s">
        <v>45</v>
      </c>
      <c r="J43" s="184">
        <v>90</v>
      </c>
      <c r="K43" s="113">
        <v>160</v>
      </c>
      <c r="L43" s="113">
        <v>2250</v>
      </c>
      <c r="M43" s="185">
        <v>16.245464431905525</v>
      </c>
      <c r="N43" s="87">
        <v>679.78200000000004</v>
      </c>
      <c r="O43" s="121">
        <v>23225.171471220379</v>
      </c>
      <c r="P43" s="121">
        <v>28099.761829341307</v>
      </c>
      <c r="Q43" s="310">
        <v>19313.441472706654</v>
      </c>
      <c r="R43" s="314">
        <v>42538.61294392703</v>
      </c>
      <c r="S43" s="315">
        <v>47413.203302047958</v>
      </c>
      <c r="U43" s="7" t="s">
        <v>2170</v>
      </c>
    </row>
    <row r="44" spans="1:21" s="74" customFormat="1" ht="16.5" customHeight="1" thickBot="1">
      <c r="A44" s="50" t="s">
        <v>35</v>
      </c>
      <c r="B44" s="51">
        <f t="shared" si="0"/>
        <v>90</v>
      </c>
      <c r="C44" s="51" t="s">
        <v>3</v>
      </c>
      <c r="D44" s="51">
        <f t="shared" si="1"/>
        <v>160</v>
      </c>
      <c r="E44" s="51" t="s">
        <v>3</v>
      </c>
      <c r="F44" s="110">
        <f t="shared" si="2"/>
        <v>2300</v>
      </c>
      <c r="G44" s="51" t="s">
        <v>3</v>
      </c>
      <c r="H44" s="48">
        <v>2</v>
      </c>
      <c r="I44" s="49" t="s">
        <v>45</v>
      </c>
      <c r="J44" s="184">
        <v>90</v>
      </c>
      <c r="K44" s="113">
        <v>160</v>
      </c>
      <c r="L44" s="113">
        <v>2300</v>
      </c>
      <c r="M44" s="185">
        <v>16.578422579548686</v>
      </c>
      <c r="N44" s="87">
        <v>697.67100000000005</v>
      </c>
      <c r="O44" s="121">
        <v>23614.554708407934</v>
      </c>
      <c r="P44" s="121">
        <v>28590.162302648481</v>
      </c>
      <c r="Q44" s="310">
        <v>19623.065415544243</v>
      </c>
      <c r="R44" s="314">
        <v>43237.620123952176</v>
      </c>
      <c r="S44" s="315">
        <v>48213.22771819272</v>
      </c>
      <c r="U44" s="7" t="s">
        <v>2171</v>
      </c>
    </row>
    <row r="45" spans="1:21" s="74" customFormat="1" ht="16.5" customHeight="1" thickBot="1">
      <c r="A45" s="50" t="s">
        <v>35</v>
      </c>
      <c r="B45" s="51">
        <f t="shared" si="0"/>
        <v>90</v>
      </c>
      <c r="C45" s="51" t="s">
        <v>3</v>
      </c>
      <c r="D45" s="51">
        <f t="shared" si="1"/>
        <v>160</v>
      </c>
      <c r="E45" s="51" t="s">
        <v>3</v>
      </c>
      <c r="F45" s="110">
        <f t="shared" si="2"/>
        <v>2350</v>
      </c>
      <c r="G45" s="51" t="s">
        <v>3</v>
      </c>
      <c r="H45" s="48">
        <v>2</v>
      </c>
      <c r="I45" s="49" t="s">
        <v>45</v>
      </c>
      <c r="J45" s="184">
        <v>90</v>
      </c>
      <c r="K45" s="113">
        <v>160</v>
      </c>
      <c r="L45" s="113">
        <v>2350</v>
      </c>
      <c r="M45" s="185">
        <v>16.928420727191842</v>
      </c>
      <c r="N45" s="87">
        <v>715.56</v>
      </c>
      <c r="O45" s="121">
        <v>24003.93794559548</v>
      </c>
      <c r="P45" s="121">
        <v>29080.562635562295</v>
      </c>
      <c r="Q45" s="310">
        <v>20163.271276558466</v>
      </c>
      <c r="R45" s="314">
        <v>44167.20922215395</v>
      </c>
      <c r="S45" s="315">
        <v>49243.833912120761</v>
      </c>
      <c r="U45" s="7" t="s">
        <v>2172</v>
      </c>
    </row>
    <row r="46" spans="1:21" s="74" customFormat="1" ht="16.5" customHeight="1" thickBot="1">
      <c r="A46" s="50" t="s">
        <v>35</v>
      </c>
      <c r="B46" s="51">
        <f t="shared" si="0"/>
        <v>90</v>
      </c>
      <c r="C46" s="51" t="s">
        <v>3</v>
      </c>
      <c r="D46" s="51">
        <f t="shared" si="1"/>
        <v>160</v>
      </c>
      <c r="E46" s="51" t="s">
        <v>3</v>
      </c>
      <c r="F46" s="110">
        <f t="shared" si="2"/>
        <v>2400</v>
      </c>
      <c r="G46" s="51" t="s">
        <v>3</v>
      </c>
      <c r="H46" s="48">
        <v>2</v>
      </c>
      <c r="I46" s="49" t="s">
        <v>45</v>
      </c>
      <c r="J46" s="184">
        <v>90</v>
      </c>
      <c r="K46" s="113">
        <v>160</v>
      </c>
      <c r="L46" s="113">
        <v>2400</v>
      </c>
      <c r="M46" s="185">
        <v>17.261378874835</v>
      </c>
      <c r="N46" s="87">
        <v>733.44899999999996</v>
      </c>
      <c r="O46" s="121">
        <v>24393.321182783031</v>
      </c>
      <c r="P46" s="121">
        <v>29570.962968476106</v>
      </c>
      <c r="Q46" s="310">
        <v>20472.895359789418</v>
      </c>
      <c r="R46" s="314">
        <v>44866.216542572452</v>
      </c>
      <c r="S46" s="315">
        <v>50043.858328265524</v>
      </c>
      <c r="U46" s="7" t="s">
        <v>2173</v>
      </c>
    </row>
    <row r="47" spans="1:21" s="74" customFormat="1" ht="16.5" customHeight="1" thickBot="1">
      <c r="A47" s="50" t="s">
        <v>35</v>
      </c>
      <c r="B47" s="51">
        <f t="shared" si="0"/>
        <v>90</v>
      </c>
      <c r="C47" s="51" t="s">
        <v>3</v>
      </c>
      <c r="D47" s="51">
        <f t="shared" si="1"/>
        <v>160</v>
      </c>
      <c r="E47" s="51" t="s">
        <v>3</v>
      </c>
      <c r="F47" s="110">
        <f t="shared" si="2"/>
        <v>2450</v>
      </c>
      <c r="G47" s="51" t="s">
        <v>3</v>
      </c>
      <c r="H47" s="48">
        <v>2</v>
      </c>
      <c r="I47" s="49" t="s">
        <v>45</v>
      </c>
      <c r="J47" s="184">
        <v>90</v>
      </c>
      <c r="K47" s="113">
        <v>160</v>
      </c>
      <c r="L47" s="113">
        <v>2450</v>
      </c>
      <c r="M47" s="185">
        <v>17.703940155278158</v>
      </c>
      <c r="N47" s="87">
        <v>751.33799999999997</v>
      </c>
      <c r="O47" s="121">
        <v>25300.292489105967</v>
      </c>
      <c r="P47" s="121">
        <v>30479.718814829783</v>
      </c>
      <c r="Q47" s="310">
        <v>21013.101220803645</v>
      </c>
      <c r="R47" s="314">
        <v>46313.393709909607</v>
      </c>
      <c r="S47" s="315">
        <v>51492.820035633427</v>
      </c>
      <c r="U47" s="7" t="s">
        <v>2174</v>
      </c>
    </row>
    <row r="48" spans="1:21" s="74" customFormat="1" ht="16.5" customHeight="1" thickBot="1">
      <c r="A48" s="50" t="s">
        <v>35</v>
      </c>
      <c r="B48" s="51">
        <f t="shared" si="0"/>
        <v>90</v>
      </c>
      <c r="C48" s="51" t="s">
        <v>3</v>
      </c>
      <c r="D48" s="51">
        <f t="shared" si="1"/>
        <v>160</v>
      </c>
      <c r="E48" s="51" t="s">
        <v>3</v>
      </c>
      <c r="F48" s="110">
        <f t="shared" si="2"/>
        <v>2500</v>
      </c>
      <c r="G48" s="51" t="s">
        <v>3</v>
      </c>
      <c r="H48" s="48">
        <v>2</v>
      </c>
      <c r="I48" s="49" t="s">
        <v>45</v>
      </c>
      <c r="J48" s="184">
        <v>90</v>
      </c>
      <c r="K48" s="113">
        <v>160</v>
      </c>
      <c r="L48" s="113">
        <v>2500</v>
      </c>
      <c r="M48" s="185">
        <v>18.036898302921315</v>
      </c>
      <c r="N48" s="87">
        <v>769.22699999999998</v>
      </c>
      <c r="O48" s="121">
        <v>25689.675726293517</v>
      </c>
      <c r="P48" s="121">
        <v>30970.119147743593</v>
      </c>
      <c r="Q48" s="310">
        <v>21322.725304034593</v>
      </c>
      <c r="R48" s="314">
        <v>47012.40103032811</v>
      </c>
      <c r="S48" s="315">
        <v>52292.84445177819</v>
      </c>
      <c r="U48" s="7" t="s">
        <v>2175</v>
      </c>
    </row>
    <row r="49" spans="1:21" s="74" customFormat="1" ht="16.5" customHeight="1" thickBot="1">
      <c r="A49" s="50" t="s">
        <v>35</v>
      </c>
      <c r="B49" s="51">
        <f t="shared" si="0"/>
        <v>90</v>
      </c>
      <c r="C49" s="51" t="s">
        <v>3</v>
      </c>
      <c r="D49" s="51">
        <f t="shared" si="1"/>
        <v>160</v>
      </c>
      <c r="E49" s="51" t="s">
        <v>3</v>
      </c>
      <c r="F49" s="110">
        <f t="shared" si="2"/>
        <v>2550</v>
      </c>
      <c r="G49" s="51" t="s">
        <v>3</v>
      </c>
      <c r="H49" s="48">
        <v>2</v>
      </c>
      <c r="I49" s="49" t="s">
        <v>45</v>
      </c>
      <c r="J49" s="184">
        <v>90</v>
      </c>
      <c r="K49" s="113">
        <v>160</v>
      </c>
      <c r="L49" s="113">
        <v>2550</v>
      </c>
      <c r="M49" s="185">
        <v>18.386896450564471</v>
      </c>
      <c r="N49" s="87">
        <v>787.11599999999987</v>
      </c>
      <c r="O49" s="121">
        <v>26079.058963481068</v>
      </c>
      <c r="P49" s="121">
        <v>31460.519480657407</v>
      </c>
      <c r="Q49" s="310">
        <v>21862.931024655456</v>
      </c>
      <c r="R49" s="314">
        <v>47941.989988136527</v>
      </c>
      <c r="S49" s="315">
        <v>53323.450505312867</v>
      </c>
      <c r="U49" s="7" t="s">
        <v>2176</v>
      </c>
    </row>
    <row r="50" spans="1:21" s="74" customFormat="1" ht="16.5" customHeight="1" thickBot="1">
      <c r="A50" s="47" t="s">
        <v>35</v>
      </c>
      <c r="B50" s="48">
        <f t="shared" si="0"/>
        <v>90</v>
      </c>
      <c r="C50" s="48" t="s">
        <v>3</v>
      </c>
      <c r="D50" s="48">
        <f t="shared" si="1"/>
        <v>160</v>
      </c>
      <c r="E50" s="48" t="s">
        <v>3</v>
      </c>
      <c r="F50" s="110">
        <f t="shared" si="2"/>
        <v>2600</v>
      </c>
      <c r="G50" s="48" t="s">
        <v>3</v>
      </c>
      <c r="H50" s="48">
        <v>2</v>
      </c>
      <c r="I50" s="49" t="s">
        <v>45</v>
      </c>
      <c r="J50" s="184">
        <v>90</v>
      </c>
      <c r="K50" s="113">
        <v>160</v>
      </c>
      <c r="L50" s="113">
        <v>2600</v>
      </c>
      <c r="M50" s="185">
        <v>18.719854598207633</v>
      </c>
      <c r="N50" s="87">
        <v>805.005</v>
      </c>
      <c r="O50" s="121">
        <v>26468.442200668615</v>
      </c>
      <c r="P50" s="121">
        <v>31950.919813571218</v>
      </c>
      <c r="Q50" s="310">
        <v>22172.555107886405</v>
      </c>
      <c r="R50" s="314">
        <v>48640.997308555015</v>
      </c>
      <c r="S50" s="315">
        <v>54123.474921457622</v>
      </c>
      <c r="U50" s="7" t="s">
        <v>2177</v>
      </c>
    </row>
    <row r="51" spans="1:21" s="74" customFormat="1" ht="16.5" customHeight="1" thickBot="1">
      <c r="A51" s="50" t="s">
        <v>35</v>
      </c>
      <c r="B51" s="51">
        <f t="shared" si="0"/>
        <v>90</v>
      </c>
      <c r="C51" s="51" t="s">
        <v>3</v>
      </c>
      <c r="D51" s="51">
        <f t="shared" si="1"/>
        <v>160</v>
      </c>
      <c r="E51" s="51" t="s">
        <v>3</v>
      </c>
      <c r="F51" s="110">
        <f t="shared" si="2"/>
        <v>2650</v>
      </c>
      <c r="G51" s="51" t="s">
        <v>3</v>
      </c>
      <c r="H51" s="48">
        <v>2</v>
      </c>
      <c r="I51" s="49" t="s">
        <v>45</v>
      </c>
      <c r="J51" s="184">
        <v>90</v>
      </c>
      <c r="K51" s="113">
        <v>160</v>
      </c>
      <c r="L51" s="113">
        <v>2650</v>
      </c>
      <c r="M51" s="185">
        <v>19.069852745850792</v>
      </c>
      <c r="N51" s="87">
        <v>822.89400000000001</v>
      </c>
      <c r="O51" s="121">
        <v>26857.825437856169</v>
      </c>
      <c r="P51" s="121">
        <v>32441.320146485035</v>
      </c>
      <c r="Q51" s="310">
        <v>22712.760968900628</v>
      </c>
      <c r="R51" s="314">
        <v>49570.586406756796</v>
      </c>
      <c r="S51" s="315">
        <v>55154.081115385663</v>
      </c>
      <c r="U51" s="7" t="s">
        <v>2178</v>
      </c>
    </row>
    <row r="52" spans="1:21" s="74" customFormat="1" ht="16.5" customHeight="1" thickBot="1">
      <c r="A52" s="50" t="s">
        <v>35</v>
      </c>
      <c r="B52" s="51">
        <f t="shared" si="0"/>
        <v>90</v>
      </c>
      <c r="C52" s="51" t="s">
        <v>3</v>
      </c>
      <c r="D52" s="51">
        <f t="shared" si="1"/>
        <v>160</v>
      </c>
      <c r="E52" s="51" t="s">
        <v>3</v>
      </c>
      <c r="F52" s="110">
        <f t="shared" si="2"/>
        <v>2700</v>
      </c>
      <c r="G52" s="51" t="s">
        <v>3</v>
      </c>
      <c r="H52" s="48">
        <v>2</v>
      </c>
      <c r="I52" s="49" t="s">
        <v>45</v>
      </c>
      <c r="J52" s="184">
        <v>90</v>
      </c>
      <c r="K52" s="113">
        <v>160</v>
      </c>
      <c r="L52" s="113">
        <v>2700</v>
      </c>
      <c r="M52" s="185">
        <v>19.442060893493949</v>
      </c>
      <c r="N52" s="87">
        <v>840.78300000000002</v>
      </c>
      <c r="O52" s="121">
        <v>27291.22255576092</v>
      </c>
      <c r="P52" s="121">
        <v>32977.872410633558</v>
      </c>
      <c r="Q52" s="310">
        <v>23022.385052131584</v>
      </c>
      <c r="R52" s="314">
        <v>50313.607607892503</v>
      </c>
      <c r="S52" s="315">
        <v>56000.257462765141</v>
      </c>
      <c r="U52" s="7" t="s">
        <v>2179</v>
      </c>
    </row>
    <row r="53" spans="1:21" s="74" customFormat="1" ht="16.5" customHeight="1" thickBot="1">
      <c r="A53" s="50" t="s">
        <v>35</v>
      </c>
      <c r="B53" s="51">
        <f t="shared" si="0"/>
        <v>90</v>
      </c>
      <c r="C53" s="51" t="s">
        <v>3</v>
      </c>
      <c r="D53" s="51">
        <f t="shared" si="1"/>
        <v>160</v>
      </c>
      <c r="E53" s="51" t="s">
        <v>3</v>
      </c>
      <c r="F53" s="110">
        <f t="shared" si="2"/>
        <v>2750</v>
      </c>
      <c r="G53" s="51" t="s">
        <v>3</v>
      </c>
      <c r="H53" s="48">
        <v>2</v>
      </c>
      <c r="I53" s="49" t="s">
        <v>45</v>
      </c>
      <c r="J53" s="184">
        <v>90</v>
      </c>
      <c r="K53" s="113">
        <v>160</v>
      </c>
      <c r="L53" s="113">
        <v>2750</v>
      </c>
      <c r="M53" s="185">
        <v>19.775019041137107</v>
      </c>
      <c r="N53" s="87">
        <v>858.67199999999991</v>
      </c>
      <c r="O53" s="121">
        <v>27680.605792948467</v>
      </c>
      <c r="P53" s="121">
        <v>33468.272743547372</v>
      </c>
      <c r="Q53" s="310">
        <v>23332.008994969165</v>
      </c>
      <c r="R53" s="314">
        <v>51012.614787917628</v>
      </c>
      <c r="S53" s="315">
        <v>56800.28173851654</v>
      </c>
      <c r="U53" s="7" t="s">
        <v>2180</v>
      </c>
    </row>
    <row r="54" spans="1:21" s="74" customFormat="1" ht="16.5" customHeight="1" thickBot="1">
      <c r="A54" s="50" t="s">
        <v>35</v>
      </c>
      <c r="B54" s="51">
        <f t="shared" si="0"/>
        <v>90</v>
      </c>
      <c r="C54" s="51" t="s">
        <v>3</v>
      </c>
      <c r="D54" s="51">
        <f t="shared" si="1"/>
        <v>160</v>
      </c>
      <c r="E54" s="51" t="s">
        <v>3</v>
      </c>
      <c r="F54" s="110">
        <f t="shared" si="2"/>
        <v>2800</v>
      </c>
      <c r="G54" s="51" t="s">
        <v>3</v>
      </c>
      <c r="H54" s="48">
        <v>2</v>
      </c>
      <c r="I54" s="49" t="s">
        <v>45</v>
      </c>
      <c r="J54" s="184">
        <v>90</v>
      </c>
      <c r="K54" s="113">
        <v>160</v>
      </c>
      <c r="L54" s="113">
        <v>2800</v>
      </c>
      <c r="M54" s="185">
        <v>20.125017188780266</v>
      </c>
      <c r="N54" s="87">
        <v>876.56099999999992</v>
      </c>
      <c r="O54" s="121">
        <v>28069.989030136021</v>
      </c>
      <c r="P54" s="121">
        <v>33958.673076461178</v>
      </c>
      <c r="Q54" s="310">
        <v>23872.214855983391</v>
      </c>
      <c r="R54" s="314">
        <v>51942.203886119416</v>
      </c>
      <c r="S54" s="315">
        <v>57830.887932444573</v>
      </c>
      <c r="U54" s="7" t="s">
        <v>2181</v>
      </c>
    </row>
    <row r="55" spans="1:21" s="74" customFormat="1" ht="16.5" customHeight="1" thickBot="1">
      <c r="A55" s="50" t="s">
        <v>35</v>
      </c>
      <c r="B55" s="51">
        <f t="shared" si="0"/>
        <v>90</v>
      </c>
      <c r="C55" s="51" t="s">
        <v>3</v>
      </c>
      <c r="D55" s="51">
        <f t="shared" si="1"/>
        <v>160</v>
      </c>
      <c r="E55" s="51" t="s">
        <v>3</v>
      </c>
      <c r="F55" s="110">
        <f t="shared" si="2"/>
        <v>2850</v>
      </c>
      <c r="G55" s="51" t="s">
        <v>3</v>
      </c>
      <c r="H55" s="48">
        <v>2</v>
      </c>
      <c r="I55" s="49" t="s">
        <v>45</v>
      </c>
      <c r="J55" s="184">
        <v>90</v>
      </c>
      <c r="K55" s="113">
        <v>160</v>
      </c>
      <c r="L55" s="113">
        <v>2850</v>
      </c>
      <c r="M55" s="185">
        <v>20.45797533642342</v>
      </c>
      <c r="N55" s="87">
        <v>894.44999999999993</v>
      </c>
      <c r="O55" s="121">
        <v>28459.372267323568</v>
      </c>
      <c r="P55" s="121">
        <v>34449.073409375</v>
      </c>
      <c r="Q55" s="310">
        <v>24181.838939214344</v>
      </c>
      <c r="R55" s="314">
        <v>52641.211206537911</v>
      </c>
      <c r="S55" s="315">
        <v>58630.912348589343</v>
      </c>
      <c r="U55" s="7" t="s">
        <v>2182</v>
      </c>
    </row>
    <row r="56" spans="1:21" s="74" customFormat="1" ht="16.5" customHeight="1" thickBot="1">
      <c r="A56" s="50" t="s">
        <v>35</v>
      </c>
      <c r="B56" s="51">
        <f t="shared" si="0"/>
        <v>90</v>
      </c>
      <c r="C56" s="51" t="s">
        <v>3</v>
      </c>
      <c r="D56" s="51">
        <f t="shared" si="1"/>
        <v>160</v>
      </c>
      <c r="E56" s="51" t="s">
        <v>3</v>
      </c>
      <c r="F56" s="110">
        <f t="shared" si="2"/>
        <v>2900</v>
      </c>
      <c r="G56" s="51" t="s">
        <v>3</v>
      </c>
      <c r="H56" s="48">
        <v>2</v>
      </c>
      <c r="I56" s="49" t="s">
        <v>45</v>
      </c>
      <c r="J56" s="184">
        <v>90</v>
      </c>
      <c r="K56" s="113">
        <v>160</v>
      </c>
      <c r="L56" s="113">
        <v>2900</v>
      </c>
      <c r="M56" s="185">
        <v>20.807973484066579</v>
      </c>
      <c r="N56" s="87">
        <v>912.33900000000006</v>
      </c>
      <c r="O56" s="121">
        <v>28848.755504511118</v>
      </c>
      <c r="P56" s="121">
        <v>34939.473742288807</v>
      </c>
      <c r="Q56" s="310">
        <v>24722.044800228567</v>
      </c>
      <c r="R56" s="314">
        <v>53570.800304739685</v>
      </c>
      <c r="S56" s="315">
        <v>59661.518542517369</v>
      </c>
      <c r="U56" s="7" t="s">
        <v>2183</v>
      </c>
    </row>
    <row r="57" spans="1:21" s="74" customFormat="1" ht="16.5" customHeight="1" thickBot="1">
      <c r="A57" s="50" t="s">
        <v>35</v>
      </c>
      <c r="B57" s="51">
        <f t="shared" si="0"/>
        <v>90</v>
      </c>
      <c r="C57" s="51" t="s">
        <v>3</v>
      </c>
      <c r="D57" s="51">
        <f t="shared" si="1"/>
        <v>160</v>
      </c>
      <c r="E57" s="51" t="s">
        <v>3</v>
      </c>
      <c r="F57" s="110">
        <f t="shared" si="2"/>
        <v>2950</v>
      </c>
      <c r="G57" s="51" t="s">
        <v>3</v>
      </c>
      <c r="H57" s="48">
        <v>2</v>
      </c>
      <c r="I57" s="49" t="s">
        <v>45</v>
      </c>
      <c r="J57" s="184">
        <v>90</v>
      </c>
      <c r="K57" s="113">
        <v>160</v>
      </c>
      <c r="L57" s="113">
        <v>2950</v>
      </c>
      <c r="M57" s="185">
        <v>21.140931631709737</v>
      </c>
      <c r="N57" s="87">
        <v>930.22799999999972</v>
      </c>
      <c r="O57" s="121">
        <v>29238.138741698669</v>
      </c>
      <c r="P57" s="121">
        <v>35429.874075202621</v>
      </c>
      <c r="Q57" s="310">
        <v>25031.668743066155</v>
      </c>
      <c r="R57" s="314">
        <v>54269.807484764824</v>
      </c>
      <c r="S57" s="315">
        <v>60461.542818268776</v>
      </c>
      <c r="U57" s="7" t="s">
        <v>2184</v>
      </c>
    </row>
    <row r="58" spans="1:21" s="74" customFormat="1" ht="16.5" customHeight="1" thickBot="1">
      <c r="A58" s="52" t="s">
        <v>35</v>
      </c>
      <c r="B58" s="53">
        <f t="shared" si="0"/>
        <v>90</v>
      </c>
      <c r="C58" s="53" t="s">
        <v>3</v>
      </c>
      <c r="D58" s="53">
        <f t="shared" si="1"/>
        <v>160</v>
      </c>
      <c r="E58" s="53" t="s">
        <v>3</v>
      </c>
      <c r="F58" s="111">
        <f t="shared" si="2"/>
        <v>3000</v>
      </c>
      <c r="G58" s="53" t="s">
        <v>3</v>
      </c>
      <c r="H58" s="55">
        <v>2</v>
      </c>
      <c r="I58" s="54" t="s">
        <v>45</v>
      </c>
      <c r="J58" s="186">
        <v>90</v>
      </c>
      <c r="K58" s="157">
        <v>160</v>
      </c>
      <c r="L58" s="157">
        <v>3000</v>
      </c>
      <c r="M58" s="187">
        <v>21.490929779352896</v>
      </c>
      <c r="N58" s="148">
        <v>948.11699999999973</v>
      </c>
      <c r="O58" s="158">
        <v>30755.085513677106</v>
      </c>
      <c r="P58" s="158">
        <v>35920.274548509798</v>
      </c>
      <c r="Q58" s="311">
        <v>25571.874604080382</v>
      </c>
      <c r="R58" s="316">
        <v>56326.960117757488</v>
      </c>
      <c r="S58" s="317">
        <v>61492.14915259018</v>
      </c>
      <c r="U58" s="7" t="s">
        <v>2185</v>
      </c>
    </row>
    <row r="59" spans="1:21" s="74" customFormat="1" ht="22.5" customHeight="1" thickBot="1">
      <c r="A59" s="2580" t="s">
        <v>520</v>
      </c>
      <c r="B59" s="2581"/>
      <c r="C59" s="2581"/>
      <c r="D59" s="2581"/>
      <c r="E59" s="2581"/>
      <c r="F59" s="2581"/>
      <c r="G59" s="2581"/>
      <c r="H59" s="2581"/>
      <c r="I59" s="2581"/>
      <c r="J59" s="2657"/>
      <c r="K59" s="2657"/>
      <c r="L59" s="2657"/>
      <c r="M59" s="2657"/>
      <c r="N59" s="2657"/>
      <c r="O59" s="2657"/>
      <c r="P59" s="2657"/>
      <c r="Q59" s="2657"/>
      <c r="R59" s="2657"/>
      <c r="S59" s="2658"/>
      <c r="U59" s="7"/>
    </row>
    <row r="60" spans="1:21" s="74" customFormat="1" ht="17.25" customHeight="1" thickBot="1">
      <c r="A60" s="2583" t="s">
        <v>134</v>
      </c>
      <c r="B60" s="2584"/>
      <c r="C60" s="2584"/>
      <c r="D60" s="2584"/>
      <c r="E60" s="2584"/>
      <c r="F60" s="2584"/>
      <c r="G60" s="2584"/>
      <c r="H60" s="2584"/>
      <c r="I60" s="2584"/>
      <c r="J60" s="2584"/>
      <c r="K60" s="2584"/>
      <c r="L60" s="2584"/>
      <c r="M60" s="2584"/>
      <c r="N60" s="2584"/>
      <c r="O60" s="2584"/>
      <c r="P60" s="2584"/>
      <c r="Q60" s="2584"/>
      <c r="R60" s="2584"/>
      <c r="S60" s="2585"/>
      <c r="U60" s="7"/>
    </row>
    <row r="61" spans="1:21" s="74" customFormat="1" ht="16.5" customHeight="1" thickBot="1">
      <c r="A61" s="47" t="s">
        <v>35</v>
      </c>
      <c r="B61" s="48">
        <f>J61</f>
        <v>90</v>
      </c>
      <c r="C61" s="48" t="s">
        <v>3</v>
      </c>
      <c r="D61" s="48">
        <f>K61</f>
        <v>200</v>
      </c>
      <c r="E61" s="48" t="s">
        <v>3</v>
      </c>
      <c r="F61" s="99">
        <f>L61</f>
        <v>600</v>
      </c>
      <c r="G61" s="48" t="s">
        <v>3</v>
      </c>
      <c r="H61" s="48">
        <v>2</v>
      </c>
      <c r="I61" s="49" t="s">
        <v>45</v>
      </c>
      <c r="J61" s="181">
        <v>90</v>
      </c>
      <c r="K61" s="143">
        <v>200</v>
      </c>
      <c r="L61" s="143">
        <v>600</v>
      </c>
      <c r="M61" s="182">
        <v>4.9463039453813167</v>
      </c>
      <c r="N61" s="144">
        <v>100.5</v>
      </c>
      <c r="O61" s="169">
        <v>9951.7486832586019</v>
      </c>
      <c r="P61" s="188">
        <v>11731.918268621477</v>
      </c>
      <c r="Q61" s="169">
        <v>6535.0358533845019</v>
      </c>
      <c r="R61" s="312">
        <v>16486.784536643103</v>
      </c>
      <c r="S61" s="313">
        <v>18266.95412200598</v>
      </c>
      <c r="U61" s="7" t="s">
        <v>2186</v>
      </c>
    </row>
    <row r="62" spans="1:21" s="74" customFormat="1" ht="16.5" customHeight="1" thickBot="1">
      <c r="A62" s="50" t="s">
        <v>35</v>
      </c>
      <c r="B62" s="51">
        <f t="shared" ref="B62:B109" si="3">J62</f>
        <v>90</v>
      </c>
      <c r="C62" s="51" t="s">
        <v>3</v>
      </c>
      <c r="D62" s="51">
        <f t="shared" ref="D62:D109" si="4">K62</f>
        <v>200</v>
      </c>
      <c r="E62" s="51" t="s">
        <v>3</v>
      </c>
      <c r="F62" s="99">
        <f t="shared" ref="F62:F109" si="5">L62</f>
        <v>650</v>
      </c>
      <c r="G62" s="51" t="s">
        <v>3</v>
      </c>
      <c r="H62" s="48">
        <v>2</v>
      </c>
      <c r="I62" s="49" t="s">
        <v>45</v>
      </c>
      <c r="J62" s="184">
        <v>90</v>
      </c>
      <c r="K62" s="75">
        <v>200</v>
      </c>
      <c r="L62" s="75">
        <v>650</v>
      </c>
      <c r="M62" s="185">
        <v>5.2914500055244744</v>
      </c>
      <c r="N62" s="87">
        <v>120.6</v>
      </c>
      <c r="O62" s="120">
        <v>10357.567490607302</v>
      </c>
      <c r="P62" s="119">
        <v>12255.151133682903</v>
      </c>
      <c r="Q62" s="120">
        <v>6893.4546325058636</v>
      </c>
      <c r="R62" s="314">
        <v>17251.022123113165</v>
      </c>
      <c r="S62" s="315">
        <v>19148.605766188768</v>
      </c>
      <c r="U62" s="7" t="s">
        <v>2187</v>
      </c>
    </row>
    <row r="63" spans="1:21" s="74" customFormat="1" ht="16.5" customHeight="1" thickBot="1">
      <c r="A63" s="50" t="s">
        <v>35</v>
      </c>
      <c r="B63" s="51">
        <f t="shared" si="3"/>
        <v>90</v>
      </c>
      <c r="C63" s="51" t="s">
        <v>3</v>
      </c>
      <c r="D63" s="51">
        <f t="shared" si="4"/>
        <v>200</v>
      </c>
      <c r="E63" s="51" t="s">
        <v>3</v>
      </c>
      <c r="F63" s="99">
        <f t="shared" si="5"/>
        <v>700</v>
      </c>
      <c r="G63" s="51" t="s">
        <v>3</v>
      </c>
      <c r="H63" s="48">
        <v>2</v>
      </c>
      <c r="I63" s="49" t="s">
        <v>45</v>
      </c>
      <c r="J63" s="184">
        <v>90</v>
      </c>
      <c r="K63" s="75">
        <v>200</v>
      </c>
      <c r="L63" s="75">
        <v>700</v>
      </c>
      <c r="M63" s="185">
        <v>5.6536360656676319</v>
      </c>
      <c r="N63" s="87">
        <v>140.69999999999999</v>
      </c>
      <c r="O63" s="120">
        <v>10763.386438349364</v>
      </c>
      <c r="P63" s="119">
        <v>12778.384139137692</v>
      </c>
      <c r="Q63" s="120">
        <v>7482.4550490171396</v>
      </c>
      <c r="R63" s="314">
        <v>18245.841487366502</v>
      </c>
      <c r="S63" s="315">
        <v>20260.83918815483</v>
      </c>
      <c r="U63" s="7" t="s">
        <v>2188</v>
      </c>
    </row>
    <row r="64" spans="1:21" s="74" customFormat="1" ht="16.5" customHeight="1" thickBot="1">
      <c r="A64" s="50" t="s">
        <v>35</v>
      </c>
      <c r="B64" s="51">
        <f t="shared" si="3"/>
        <v>90</v>
      </c>
      <c r="C64" s="51" t="s">
        <v>3</v>
      </c>
      <c r="D64" s="51">
        <f t="shared" si="4"/>
        <v>200</v>
      </c>
      <c r="E64" s="51" t="s">
        <v>3</v>
      </c>
      <c r="F64" s="99">
        <f t="shared" si="5"/>
        <v>750</v>
      </c>
      <c r="G64" s="51" t="s">
        <v>3</v>
      </c>
      <c r="H64" s="48">
        <v>2</v>
      </c>
      <c r="I64" s="49" t="s">
        <v>45</v>
      </c>
      <c r="J64" s="184">
        <v>90</v>
      </c>
      <c r="K64" s="75">
        <v>200</v>
      </c>
      <c r="L64" s="75">
        <v>750</v>
      </c>
      <c r="M64" s="185">
        <v>5.9987821258107896</v>
      </c>
      <c r="N64" s="87">
        <v>160.79999999999998</v>
      </c>
      <c r="O64" s="120">
        <v>11169.205386091427</v>
      </c>
      <c r="P64" s="119">
        <v>13301.617144592477</v>
      </c>
      <c r="Q64" s="120">
        <v>7840.8736877451383</v>
      </c>
      <c r="R64" s="314">
        <v>19010.079073836565</v>
      </c>
      <c r="S64" s="315">
        <v>21142.490832337615</v>
      </c>
      <c r="U64" s="7" t="s">
        <v>2189</v>
      </c>
    </row>
    <row r="65" spans="1:21" s="74" customFormat="1" ht="16.5" customHeight="1" thickBot="1">
      <c r="A65" s="50" t="s">
        <v>35</v>
      </c>
      <c r="B65" s="51">
        <f t="shared" si="3"/>
        <v>90</v>
      </c>
      <c r="C65" s="51" t="s">
        <v>3</v>
      </c>
      <c r="D65" s="51">
        <f t="shared" si="4"/>
        <v>200</v>
      </c>
      <c r="E65" s="51" t="s">
        <v>3</v>
      </c>
      <c r="F65" s="99">
        <f t="shared" si="5"/>
        <v>800</v>
      </c>
      <c r="G65" s="51" t="s">
        <v>3</v>
      </c>
      <c r="H65" s="48">
        <v>2</v>
      </c>
      <c r="I65" s="49" t="s">
        <v>45</v>
      </c>
      <c r="J65" s="184">
        <v>90</v>
      </c>
      <c r="K65" s="75">
        <v>200</v>
      </c>
      <c r="L65" s="75">
        <v>800</v>
      </c>
      <c r="M65" s="185">
        <v>6.3439281859539474</v>
      </c>
      <c r="N65" s="87">
        <v>180.9</v>
      </c>
      <c r="O65" s="120">
        <v>11575.024193440129</v>
      </c>
      <c r="P65" s="119">
        <v>13824.850009653903</v>
      </c>
      <c r="Q65" s="120">
        <v>8199.2923264731398</v>
      </c>
      <c r="R65" s="314">
        <v>19774.316519913271</v>
      </c>
      <c r="S65" s="315">
        <v>22024.142336127043</v>
      </c>
      <c r="U65" s="7" t="s">
        <v>2190</v>
      </c>
    </row>
    <row r="66" spans="1:21" s="74" customFormat="1" ht="16.5" customHeight="1" thickBot="1">
      <c r="A66" s="50" t="s">
        <v>35</v>
      </c>
      <c r="B66" s="51">
        <f t="shared" si="3"/>
        <v>90</v>
      </c>
      <c r="C66" s="51" t="s">
        <v>3</v>
      </c>
      <c r="D66" s="51">
        <f t="shared" si="4"/>
        <v>200</v>
      </c>
      <c r="E66" s="51" t="s">
        <v>3</v>
      </c>
      <c r="F66" s="99">
        <f t="shared" si="5"/>
        <v>850</v>
      </c>
      <c r="G66" s="51" t="s">
        <v>3</v>
      </c>
      <c r="H66" s="48">
        <v>2</v>
      </c>
      <c r="I66" s="49" t="s">
        <v>45</v>
      </c>
      <c r="J66" s="184">
        <v>90</v>
      </c>
      <c r="K66" s="75">
        <v>200</v>
      </c>
      <c r="L66" s="75">
        <v>850</v>
      </c>
      <c r="M66" s="185">
        <v>6.7061142460971048</v>
      </c>
      <c r="N66" s="87">
        <v>201</v>
      </c>
      <c r="O66" s="120">
        <v>11980.843141182189</v>
      </c>
      <c r="P66" s="119">
        <v>14348.08301510869</v>
      </c>
      <c r="Q66" s="120">
        <v>8788.2927429844149</v>
      </c>
      <c r="R66" s="314">
        <v>20769.135884166604</v>
      </c>
      <c r="S66" s="315">
        <v>23136.375758093105</v>
      </c>
      <c r="U66" s="7" t="s">
        <v>2191</v>
      </c>
    </row>
    <row r="67" spans="1:21" s="74" customFormat="1" ht="16.5" customHeight="1" thickBot="1">
      <c r="A67" s="50" t="s">
        <v>35</v>
      </c>
      <c r="B67" s="51">
        <f t="shared" si="3"/>
        <v>90</v>
      </c>
      <c r="C67" s="51" t="s">
        <v>3</v>
      </c>
      <c r="D67" s="51">
        <f t="shared" si="4"/>
        <v>200</v>
      </c>
      <c r="E67" s="51" t="s">
        <v>3</v>
      </c>
      <c r="F67" s="99">
        <f t="shared" si="5"/>
        <v>900</v>
      </c>
      <c r="G67" s="51" t="s">
        <v>3</v>
      </c>
      <c r="H67" s="48">
        <v>2</v>
      </c>
      <c r="I67" s="49" t="s">
        <v>45</v>
      </c>
      <c r="J67" s="184">
        <v>90</v>
      </c>
      <c r="K67" s="75">
        <v>200</v>
      </c>
      <c r="L67" s="75">
        <v>900</v>
      </c>
      <c r="M67" s="185">
        <v>7.0512603062402643</v>
      </c>
      <c r="N67" s="87">
        <v>221.1</v>
      </c>
      <c r="O67" s="120">
        <v>12386.662088924251</v>
      </c>
      <c r="P67" s="119">
        <v>14871.315880170117</v>
      </c>
      <c r="Q67" s="120">
        <v>9146.7115221057775</v>
      </c>
      <c r="R67" s="314">
        <v>21533.373611030031</v>
      </c>
      <c r="S67" s="315">
        <v>24018.027402275897</v>
      </c>
      <c r="U67" s="7" t="s">
        <v>2192</v>
      </c>
    </row>
    <row r="68" spans="1:21" s="74" customFormat="1" ht="16.5" customHeight="1" thickBot="1">
      <c r="A68" s="50" t="s">
        <v>35</v>
      </c>
      <c r="B68" s="51">
        <f t="shared" si="3"/>
        <v>90</v>
      </c>
      <c r="C68" s="51" t="s">
        <v>3</v>
      </c>
      <c r="D68" s="51">
        <f t="shared" si="4"/>
        <v>200</v>
      </c>
      <c r="E68" s="51" t="s">
        <v>3</v>
      </c>
      <c r="F68" s="99">
        <f t="shared" si="5"/>
        <v>950</v>
      </c>
      <c r="G68" s="51" t="s">
        <v>3</v>
      </c>
      <c r="H68" s="48">
        <v>2</v>
      </c>
      <c r="I68" s="49" t="s">
        <v>45</v>
      </c>
      <c r="J68" s="184">
        <v>90</v>
      </c>
      <c r="K68" s="75">
        <v>200</v>
      </c>
      <c r="L68" s="75">
        <v>950</v>
      </c>
      <c r="M68" s="185">
        <v>7.4134463663834209</v>
      </c>
      <c r="N68" s="87">
        <v>241.2</v>
      </c>
      <c r="O68" s="120">
        <v>12792.480896272953</v>
      </c>
      <c r="P68" s="119">
        <v>15394.548885624903</v>
      </c>
      <c r="Q68" s="120">
        <v>9735.7119386170507</v>
      </c>
      <c r="R68" s="314">
        <v>22528.192834890004</v>
      </c>
      <c r="S68" s="315">
        <v>25130.260824241952</v>
      </c>
      <c r="U68" s="7" t="s">
        <v>2193</v>
      </c>
    </row>
    <row r="69" spans="1:21" s="74" customFormat="1" ht="16.5" customHeight="1" thickBot="1">
      <c r="A69" s="50" t="s">
        <v>35</v>
      </c>
      <c r="B69" s="51">
        <f t="shared" si="3"/>
        <v>90</v>
      </c>
      <c r="C69" s="51" t="s">
        <v>3</v>
      </c>
      <c r="D69" s="51">
        <f t="shared" si="4"/>
        <v>200</v>
      </c>
      <c r="E69" s="51" t="s">
        <v>3</v>
      </c>
      <c r="F69" s="99">
        <f t="shared" si="5"/>
        <v>1000</v>
      </c>
      <c r="G69" s="51" t="s">
        <v>3</v>
      </c>
      <c r="H69" s="48">
        <v>2</v>
      </c>
      <c r="I69" s="49" t="s">
        <v>45</v>
      </c>
      <c r="J69" s="184">
        <v>90</v>
      </c>
      <c r="K69" s="75">
        <v>200</v>
      </c>
      <c r="L69" s="75">
        <v>1000</v>
      </c>
      <c r="M69" s="185">
        <v>7.7585924265265795</v>
      </c>
      <c r="N69" s="87">
        <v>261.3</v>
      </c>
      <c r="O69" s="120">
        <v>13198.299844015015</v>
      </c>
      <c r="P69" s="119">
        <v>15917.78189107969</v>
      </c>
      <c r="Q69" s="120">
        <v>10094.130577345051</v>
      </c>
      <c r="R69" s="314">
        <v>23292.430421360066</v>
      </c>
      <c r="S69" s="315">
        <v>26011.912468424744</v>
      </c>
      <c r="U69" s="7" t="s">
        <v>2194</v>
      </c>
    </row>
    <row r="70" spans="1:21" s="74" customFormat="1" ht="16.5" customHeight="1" thickBot="1">
      <c r="A70" s="50" t="s">
        <v>35</v>
      </c>
      <c r="B70" s="51">
        <f t="shared" si="3"/>
        <v>90</v>
      </c>
      <c r="C70" s="51" t="s">
        <v>3</v>
      </c>
      <c r="D70" s="51">
        <f t="shared" si="4"/>
        <v>200</v>
      </c>
      <c r="E70" s="51" t="s">
        <v>3</v>
      </c>
      <c r="F70" s="99">
        <f t="shared" si="5"/>
        <v>1050</v>
      </c>
      <c r="G70" s="51" t="s">
        <v>3</v>
      </c>
      <c r="H70" s="48">
        <v>2</v>
      </c>
      <c r="I70" s="49" t="s">
        <v>45</v>
      </c>
      <c r="J70" s="184">
        <v>90</v>
      </c>
      <c r="K70" s="75">
        <v>200</v>
      </c>
      <c r="L70" s="75">
        <v>1050</v>
      </c>
      <c r="M70" s="185">
        <v>8.120778486669737</v>
      </c>
      <c r="N70" s="87">
        <v>281.39999999999998</v>
      </c>
      <c r="O70" s="120">
        <v>13604.118791757077</v>
      </c>
      <c r="P70" s="119">
        <v>16441.014756141114</v>
      </c>
      <c r="Q70" s="120">
        <v>10683.130993856326</v>
      </c>
      <c r="R70" s="314">
        <v>24287.249785613403</v>
      </c>
      <c r="S70" s="315">
        <v>27124.145749997442</v>
      </c>
      <c r="U70" s="7" t="s">
        <v>2195</v>
      </c>
    </row>
    <row r="71" spans="1:21" s="74" customFormat="1" ht="16.5" customHeight="1" thickBot="1">
      <c r="A71" s="47" t="s">
        <v>35</v>
      </c>
      <c r="B71" s="48">
        <f t="shared" si="3"/>
        <v>90</v>
      </c>
      <c r="C71" s="48" t="s">
        <v>3</v>
      </c>
      <c r="D71" s="48">
        <f t="shared" si="4"/>
        <v>200</v>
      </c>
      <c r="E71" s="48" t="s">
        <v>3</v>
      </c>
      <c r="F71" s="99">
        <f t="shared" si="5"/>
        <v>1100</v>
      </c>
      <c r="G71" s="48" t="s">
        <v>3</v>
      </c>
      <c r="H71" s="48">
        <v>2</v>
      </c>
      <c r="I71" s="49" t="s">
        <v>45</v>
      </c>
      <c r="J71" s="184">
        <v>90</v>
      </c>
      <c r="K71" s="75">
        <v>200</v>
      </c>
      <c r="L71" s="75">
        <v>1100</v>
      </c>
      <c r="M71" s="185">
        <v>8.4659245468128947</v>
      </c>
      <c r="N71" s="87">
        <v>301.5</v>
      </c>
      <c r="O71" s="120">
        <v>14009.937599105779</v>
      </c>
      <c r="P71" s="119">
        <v>16964.247761595903</v>
      </c>
      <c r="Q71" s="120">
        <v>11041.549772977691</v>
      </c>
      <c r="R71" s="314">
        <v>25051.487372083469</v>
      </c>
      <c r="S71" s="315">
        <v>28005.797534573594</v>
      </c>
      <c r="U71" s="7" t="s">
        <v>2196</v>
      </c>
    </row>
    <row r="72" spans="1:21" s="74" customFormat="1" ht="16.5" customHeight="1" thickBot="1">
      <c r="A72" s="50" t="s">
        <v>35</v>
      </c>
      <c r="B72" s="51">
        <f t="shared" si="3"/>
        <v>90</v>
      </c>
      <c r="C72" s="51" t="s">
        <v>3</v>
      </c>
      <c r="D72" s="51">
        <f t="shared" si="4"/>
        <v>200</v>
      </c>
      <c r="E72" s="51" t="s">
        <v>3</v>
      </c>
      <c r="F72" s="99">
        <f t="shared" si="5"/>
        <v>1150</v>
      </c>
      <c r="G72" s="51" t="s">
        <v>3</v>
      </c>
      <c r="H72" s="48">
        <v>2</v>
      </c>
      <c r="I72" s="49" t="s">
        <v>45</v>
      </c>
      <c r="J72" s="184">
        <v>90</v>
      </c>
      <c r="K72" s="75">
        <v>200</v>
      </c>
      <c r="L72" s="75">
        <v>1150</v>
      </c>
      <c r="M72" s="185">
        <v>8.8110706069560525</v>
      </c>
      <c r="N72" s="87">
        <v>321.59999999999997</v>
      </c>
      <c r="O72" s="120">
        <v>14415.756546847841</v>
      </c>
      <c r="P72" s="119">
        <v>17487.480626657329</v>
      </c>
      <c r="Q72" s="120">
        <v>11399.96841170569</v>
      </c>
      <c r="R72" s="314">
        <v>25815.724958553532</v>
      </c>
      <c r="S72" s="315">
        <v>28887.449038363018</v>
      </c>
      <c r="U72" s="7" t="s">
        <v>2197</v>
      </c>
    </row>
    <row r="73" spans="1:21" s="74" customFormat="1" ht="16.5" customHeight="1" thickBot="1">
      <c r="A73" s="50" t="s">
        <v>35</v>
      </c>
      <c r="B73" s="51">
        <f t="shared" si="3"/>
        <v>90</v>
      </c>
      <c r="C73" s="51" t="s">
        <v>3</v>
      </c>
      <c r="D73" s="51">
        <f t="shared" si="4"/>
        <v>200</v>
      </c>
      <c r="E73" s="51" t="s">
        <v>3</v>
      </c>
      <c r="F73" s="99">
        <f t="shared" si="5"/>
        <v>1200</v>
      </c>
      <c r="G73" s="51" t="s">
        <v>3</v>
      </c>
      <c r="H73" s="48">
        <v>2</v>
      </c>
      <c r="I73" s="49" t="s">
        <v>45</v>
      </c>
      <c r="J73" s="184">
        <v>90</v>
      </c>
      <c r="K73" s="75">
        <v>200</v>
      </c>
      <c r="L73" s="75">
        <v>1200</v>
      </c>
      <c r="M73" s="185">
        <v>9.2125066670992091</v>
      </c>
      <c r="N73" s="87">
        <v>341.7</v>
      </c>
      <c r="O73" s="120">
        <v>14867.447200673067</v>
      </c>
      <c r="P73" s="119">
        <v>18056.865422953466</v>
      </c>
      <c r="Q73" s="120">
        <v>11988.968828216965</v>
      </c>
      <c r="R73" s="314">
        <v>26856.416028890031</v>
      </c>
      <c r="S73" s="315">
        <v>30045.834251170432</v>
      </c>
      <c r="U73" s="7" t="s">
        <v>2198</v>
      </c>
    </row>
    <row r="74" spans="1:21" s="74" customFormat="1" ht="16.5" customHeight="1" thickBot="1">
      <c r="A74" s="50" t="s">
        <v>35</v>
      </c>
      <c r="B74" s="51">
        <f t="shared" si="3"/>
        <v>90</v>
      </c>
      <c r="C74" s="51" t="s">
        <v>3</v>
      </c>
      <c r="D74" s="51">
        <f t="shared" si="4"/>
        <v>200</v>
      </c>
      <c r="E74" s="51" t="s">
        <v>3</v>
      </c>
      <c r="F74" s="99">
        <f t="shared" si="5"/>
        <v>1250</v>
      </c>
      <c r="G74" s="51" t="s">
        <v>3</v>
      </c>
      <c r="H74" s="48">
        <v>2</v>
      </c>
      <c r="I74" s="49" t="s">
        <v>45</v>
      </c>
      <c r="J74" s="184">
        <v>90</v>
      </c>
      <c r="K74" s="75">
        <v>200</v>
      </c>
      <c r="L74" s="75">
        <v>1250</v>
      </c>
      <c r="M74" s="185">
        <v>9.5576527272423668</v>
      </c>
      <c r="N74" s="87">
        <v>361.8</v>
      </c>
      <c r="O74" s="120">
        <v>15273.266148415129</v>
      </c>
      <c r="P74" s="119">
        <v>18580.098428408255</v>
      </c>
      <c r="Q74" s="120">
        <v>12347.387466944965</v>
      </c>
      <c r="R74" s="314">
        <v>27620.653615360094</v>
      </c>
      <c r="S74" s="315">
        <v>30927.48589535322</v>
      </c>
      <c r="U74" s="7" t="s">
        <v>2199</v>
      </c>
    </row>
    <row r="75" spans="1:21" s="74" customFormat="1" ht="16.5" customHeight="1" thickBot="1">
      <c r="A75" s="50" t="s">
        <v>35</v>
      </c>
      <c r="B75" s="51">
        <f t="shared" si="3"/>
        <v>90</v>
      </c>
      <c r="C75" s="51" t="s">
        <v>3</v>
      </c>
      <c r="D75" s="51">
        <f t="shared" si="4"/>
        <v>200</v>
      </c>
      <c r="E75" s="51" t="s">
        <v>3</v>
      </c>
      <c r="F75" s="99">
        <f t="shared" si="5"/>
        <v>1300</v>
      </c>
      <c r="G75" s="51" t="s">
        <v>3</v>
      </c>
      <c r="H75" s="48">
        <v>2</v>
      </c>
      <c r="I75" s="49" t="s">
        <v>45</v>
      </c>
      <c r="J75" s="184">
        <v>90</v>
      </c>
      <c r="K75" s="75">
        <v>200</v>
      </c>
      <c r="L75" s="75">
        <v>1300</v>
      </c>
      <c r="M75" s="185">
        <v>9.919838787385526</v>
      </c>
      <c r="N75" s="87">
        <v>381.9</v>
      </c>
      <c r="O75" s="120">
        <v>15679.085096157192</v>
      </c>
      <c r="P75" s="119">
        <v>19103.331433863041</v>
      </c>
      <c r="Q75" s="120">
        <v>12936.38788345624</v>
      </c>
      <c r="R75" s="314">
        <v>28615.472979613434</v>
      </c>
      <c r="S75" s="315">
        <v>32039.719317319279</v>
      </c>
      <c r="U75" s="7" t="s">
        <v>2200</v>
      </c>
    </row>
    <row r="76" spans="1:21" s="74" customFormat="1" ht="16.5" customHeight="1" thickBot="1">
      <c r="A76" s="50" t="s">
        <v>35</v>
      </c>
      <c r="B76" s="51">
        <f t="shared" si="3"/>
        <v>90</v>
      </c>
      <c r="C76" s="51" t="s">
        <v>3</v>
      </c>
      <c r="D76" s="51">
        <f t="shared" si="4"/>
        <v>200</v>
      </c>
      <c r="E76" s="51" t="s">
        <v>3</v>
      </c>
      <c r="F76" s="99">
        <f t="shared" si="5"/>
        <v>1350</v>
      </c>
      <c r="G76" s="51" t="s">
        <v>3</v>
      </c>
      <c r="H76" s="48">
        <v>2</v>
      </c>
      <c r="I76" s="49" t="s">
        <v>45</v>
      </c>
      <c r="J76" s="184">
        <v>90</v>
      </c>
      <c r="K76" s="75">
        <v>200</v>
      </c>
      <c r="L76" s="75">
        <v>1350</v>
      </c>
      <c r="M76" s="185">
        <v>10.264984847528684</v>
      </c>
      <c r="N76" s="87">
        <v>402</v>
      </c>
      <c r="O76" s="120">
        <v>16084.903903505892</v>
      </c>
      <c r="P76" s="119">
        <v>19626.564298924466</v>
      </c>
      <c r="Q76" s="120">
        <v>13294.806662577603</v>
      </c>
      <c r="R76" s="314">
        <v>29379.710566083493</v>
      </c>
      <c r="S76" s="315">
        <v>32921.370961502071</v>
      </c>
      <c r="U76" s="7" t="s">
        <v>2201</v>
      </c>
    </row>
    <row r="77" spans="1:21" s="74" customFormat="1" ht="16.5" customHeight="1" thickBot="1">
      <c r="A77" s="50" t="s">
        <v>35</v>
      </c>
      <c r="B77" s="51">
        <f t="shared" si="3"/>
        <v>90</v>
      </c>
      <c r="C77" s="51" t="s">
        <v>3</v>
      </c>
      <c r="D77" s="51">
        <f t="shared" si="4"/>
        <v>200</v>
      </c>
      <c r="E77" s="51" t="s">
        <v>3</v>
      </c>
      <c r="F77" s="99">
        <f t="shared" si="5"/>
        <v>1400</v>
      </c>
      <c r="G77" s="51" t="s">
        <v>3</v>
      </c>
      <c r="H77" s="48">
        <v>2</v>
      </c>
      <c r="I77" s="49" t="s">
        <v>45</v>
      </c>
      <c r="J77" s="184">
        <v>90</v>
      </c>
      <c r="K77" s="75">
        <v>200</v>
      </c>
      <c r="L77" s="75">
        <v>1400</v>
      </c>
      <c r="M77" s="185">
        <v>10.627170907671841</v>
      </c>
      <c r="N77" s="87">
        <v>422.09999999999997</v>
      </c>
      <c r="O77" s="120">
        <v>16490.722851247952</v>
      </c>
      <c r="P77" s="119">
        <v>20149.797304379255</v>
      </c>
      <c r="Q77" s="120">
        <v>13883.807079088876</v>
      </c>
      <c r="R77" s="314">
        <v>30374.52993033683</v>
      </c>
      <c r="S77" s="315">
        <v>34033.604383468133</v>
      </c>
      <c r="U77" s="7" t="s">
        <v>2202</v>
      </c>
    </row>
    <row r="78" spans="1:21" s="74" customFormat="1" ht="16.5" customHeight="1" thickBot="1">
      <c r="A78" s="50" t="s">
        <v>35</v>
      </c>
      <c r="B78" s="51">
        <f t="shared" si="3"/>
        <v>90</v>
      </c>
      <c r="C78" s="51" t="s">
        <v>3</v>
      </c>
      <c r="D78" s="51">
        <f t="shared" si="4"/>
        <v>200</v>
      </c>
      <c r="E78" s="51" t="s">
        <v>3</v>
      </c>
      <c r="F78" s="99">
        <f t="shared" si="5"/>
        <v>1450</v>
      </c>
      <c r="G78" s="51" t="s">
        <v>3</v>
      </c>
      <c r="H78" s="48">
        <v>2</v>
      </c>
      <c r="I78" s="49" t="s">
        <v>45</v>
      </c>
      <c r="J78" s="184">
        <v>90</v>
      </c>
      <c r="K78" s="75">
        <v>200</v>
      </c>
      <c r="L78" s="75">
        <v>1450</v>
      </c>
      <c r="M78" s="185">
        <v>10.972316967815001</v>
      </c>
      <c r="N78" s="87">
        <v>442.2</v>
      </c>
      <c r="O78" s="120">
        <v>16896.541798990016</v>
      </c>
      <c r="P78" s="119">
        <v>20673.030169440681</v>
      </c>
      <c r="Q78" s="120">
        <v>14242.225717816877</v>
      </c>
      <c r="R78" s="314">
        <v>31138.767516806893</v>
      </c>
      <c r="S78" s="315">
        <v>34915.255887257561</v>
      </c>
      <c r="U78" s="7" t="s">
        <v>2203</v>
      </c>
    </row>
    <row r="79" spans="1:21" s="74" customFormat="1" ht="16.5" customHeight="1" thickBot="1">
      <c r="A79" s="50" t="s">
        <v>35</v>
      </c>
      <c r="B79" s="51">
        <f t="shared" si="3"/>
        <v>90</v>
      </c>
      <c r="C79" s="51" t="s">
        <v>3</v>
      </c>
      <c r="D79" s="51">
        <f t="shared" si="4"/>
        <v>200</v>
      </c>
      <c r="E79" s="51" t="s">
        <v>3</v>
      </c>
      <c r="F79" s="99">
        <f t="shared" si="5"/>
        <v>1500</v>
      </c>
      <c r="G79" s="51" t="s">
        <v>3</v>
      </c>
      <c r="H79" s="48">
        <v>2</v>
      </c>
      <c r="I79" s="49" t="s">
        <v>45</v>
      </c>
      <c r="J79" s="184">
        <v>90</v>
      </c>
      <c r="K79" s="75">
        <v>200</v>
      </c>
      <c r="L79" s="75">
        <v>1500</v>
      </c>
      <c r="M79" s="185">
        <v>11.427066160758159</v>
      </c>
      <c r="N79" s="87">
        <v>462.29999999999995</v>
      </c>
      <c r="O79" s="120">
        <v>17841.795707792819</v>
      </c>
      <c r="P79" s="119">
        <v>21660.639211382742</v>
      </c>
      <c r="Q79" s="120">
        <v>14831.226134328155</v>
      </c>
      <c r="R79" s="314">
        <v>32673.021842120972</v>
      </c>
      <c r="S79" s="315">
        <v>36491.865345710896</v>
      </c>
      <c r="U79" s="7" t="s">
        <v>2204</v>
      </c>
    </row>
    <row r="80" spans="1:21" s="74" customFormat="1" ht="16.5" customHeight="1" thickBot="1">
      <c r="A80" s="50" t="s">
        <v>35</v>
      </c>
      <c r="B80" s="51">
        <f t="shared" si="3"/>
        <v>90</v>
      </c>
      <c r="C80" s="51" t="s">
        <v>3</v>
      </c>
      <c r="D80" s="51">
        <f t="shared" si="4"/>
        <v>200</v>
      </c>
      <c r="E80" s="51" t="s">
        <v>3</v>
      </c>
      <c r="F80" s="99">
        <f t="shared" si="5"/>
        <v>1550</v>
      </c>
      <c r="G80" s="51" t="s">
        <v>3</v>
      </c>
      <c r="H80" s="48">
        <v>2</v>
      </c>
      <c r="I80" s="49" t="s">
        <v>45</v>
      </c>
      <c r="J80" s="184">
        <v>90</v>
      </c>
      <c r="K80" s="75">
        <v>200</v>
      </c>
      <c r="L80" s="75">
        <v>1550</v>
      </c>
      <c r="M80" s="185">
        <v>11.772212220901313</v>
      </c>
      <c r="N80" s="87">
        <v>482.4</v>
      </c>
      <c r="O80" s="120">
        <v>18247.614655534879</v>
      </c>
      <c r="P80" s="119">
        <v>22183.872076444168</v>
      </c>
      <c r="Q80" s="120">
        <v>15189.644913449516</v>
      </c>
      <c r="R80" s="314">
        <v>33437.259568984395</v>
      </c>
      <c r="S80" s="315">
        <v>37373.516989893687</v>
      </c>
      <c r="U80" s="7" t="s">
        <v>2205</v>
      </c>
    </row>
    <row r="81" spans="1:21" s="74" customFormat="1" ht="16.5" customHeight="1" thickBot="1">
      <c r="A81" s="47" t="s">
        <v>35</v>
      </c>
      <c r="B81" s="48">
        <f t="shared" si="3"/>
        <v>90</v>
      </c>
      <c r="C81" s="48" t="s">
        <v>3</v>
      </c>
      <c r="D81" s="48">
        <f t="shared" si="4"/>
        <v>200</v>
      </c>
      <c r="E81" s="48" t="s">
        <v>3</v>
      </c>
      <c r="F81" s="99">
        <f t="shared" si="5"/>
        <v>1600</v>
      </c>
      <c r="G81" s="48" t="s">
        <v>3</v>
      </c>
      <c r="H81" s="48">
        <v>2</v>
      </c>
      <c r="I81" s="49" t="s">
        <v>45</v>
      </c>
      <c r="J81" s="184">
        <v>90</v>
      </c>
      <c r="K81" s="75">
        <v>200</v>
      </c>
      <c r="L81" s="75">
        <v>1600</v>
      </c>
      <c r="M81" s="185">
        <v>12.117358281044471</v>
      </c>
      <c r="N81" s="87">
        <v>502.5</v>
      </c>
      <c r="O81" s="120">
        <v>18653.433603276939</v>
      </c>
      <c r="P81" s="119">
        <v>22707.105081898953</v>
      </c>
      <c r="Q81" s="120">
        <v>15548.063552177517</v>
      </c>
      <c r="R81" s="314">
        <v>34201.497155454454</v>
      </c>
      <c r="S81" s="315">
        <v>38255.168634076472</v>
      </c>
      <c r="U81" s="7" t="s">
        <v>2206</v>
      </c>
    </row>
    <row r="82" spans="1:21" s="74" customFormat="1" ht="16.5" customHeight="1" thickBot="1">
      <c r="A82" s="50" t="s">
        <v>35</v>
      </c>
      <c r="B82" s="51">
        <f t="shared" si="3"/>
        <v>90</v>
      </c>
      <c r="C82" s="51" t="s">
        <v>3</v>
      </c>
      <c r="D82" s="51">
        <f t="shared" si="4"/>
        <v>200</v>
      </c>
      <c r="E82" s="51" t="s">
        <v>3</v>
      </c>
      <c r="F82" s="99">
        <f t="shared" si="5"/>
        <v>1650</v>
      </c>
      <c r="G82" s="51" t="s">
        <v>3</v>
      </c>
      <c r="H82" s="48">
        <v>2</v>
      </c>
      <c r="I82" s="49" t="s">
        <v>45</v>
      </c>
      <c r="J82" s="184">
        <v>90</v>
      </c>
      <c r="K82" s="75">
        <v>200</v>
      </c>
      <c r="L82" s="75">
        <v>1650</v>
      </c>
      <c r="M82" s="185">
        <v>12.47954434118763</v>
      </c>
      <c r="N82" s="87">
        <v>522.6</v>
      </c>
      <c r="O82" s="120">
        <v>19059.252410625642</v>
      </c>
      <c r="P82" s="119">
        <v>23230.338087353743</v>
      </c>
      <c r="Q82" s="120">
        <v>16137.063968688792</v>
      </c>
      <c r="R82" s="314">
        <v>35196.316379314434</v>
      </c>
      <c r="S82" s="315">
        <v>39367.402056042534</v>
      </c>
      <c r="U82" s="7" t="s">
        <v>2207</v>
      </c>
    </row>
    <row r="83" spans="1:21" s="74" customFormat="1" ht="16.5" customHeight="1" thickBot="1">
      <c r="A83" s="50" t="s">
        <v>35</v>
      </c>
      <c r="B83" s="51">
        <f t="shared" si="3"/>
        <v>90</v>
      </c>
      <c r="C83" s="51" t="s">
        <v>3</v>
      </c>
      <c r="D83" s="51">
        <f t="shared" si="4"/>
        <v>200</v>
      </c>
      <c r="E83" s="51" t="s">
        <v>3</v>
      </c>
      <c r="F83" s="99">
        <f t="shared" si="5"/>
        <v>1700</v>
      </c>
      <c r="G83" s="51" t="s">
        <v>3</v>
      </c>
      <c r="H83" s="48">
        <v>2</v>
      </c>
      <c r="I83" s="49" t="s">
        <v>45</v>
      </c>
      <c r="J83" s="184">
        <v>90</v>
      </c>
      <c r="K83" s="75">
        <v>200</v>
      </c>
      <c r="L83" s="75">
        <v>1700</v>
      </c>
      <c r="M83" s="185">
        <v>12.824690401330789</v>
      </c>
      <c r="N83" s="87">
        <v>542.69999999999993</v>
      </c>
      <c r="O83" s="120">
        <v>19465.071358367702</v>
      </c>
      <c r="P83" s="119">
        <v>23753.570952415168</v>
      </c>
      <c r="Q83" s="120">
        <v>16495.48260741679</v>
      </c>
      <c r="R83" s="314">
        <v>35960.553965784493</v>
      </c>
      <c r="S83" s="315">
        <v>40249.053559831955</v>
      </c>
      <c r="U83" s="7" t="s">
        <v>2208</v>
      </c>
    </row>
    <row r="84" spans="1:21" s="74" customFormat="1" ht="16.5" customHeight="1" thickBot="1">
      <c r="A84" s="50" t="s">
        <v>35</v>
      </c>
      <c r="B84" s="51">
        <f t="shared" si="3"/>
        <v>90</v>
      </c>
      <c r="C84" s="51" t="s">
        <v>3</v>
      </c>
      <c r="D84" s="51">
        <f t="shared" si="4"/>
        <v>200</v>
      </c>
      <c r="E84" s="51" t="s">
        <v>3</v>
      </c>
      <c r="F84" s="99">
        <f t="shared" si="5"/>
        <v>1750</v>
      </c>
      <c r="G84" s="51" t="s">
        <v>3</v>
      </c>
      <c r="H84" s="48">
        <v>2</v>
      </c>
      <c r="I84" s="49" t="s">
        <v>45</v>
      </c>
      <c r="J84" s="184">
        <v>90</v>
      </c>
      <c r="K84" s="75">
        <v>200</v>
      </c>
      <c r="L84" s="75">
        <v>1750</v>
      </c>
      <c r="M84" s="185">
        <v>13.186876461473947</v>
      </c>
      <c r="N84" s="87">
        <v>562.79999999999995</v>
      </c>
      <c r="O84" s="120">
        <v>19870.890306109766</v>
      </c>
      <c r="P84" s="119">
        <v>24276.803957869954</v>
      </c>
      <c r="Q84" s="120">
        <v>17084.483023928067</v>
      </c>
      <c r="R84" s="314">
        <v>36955.373330037837</v>
      </c>
      <c r="S84" s="315">
        <v>41361.286981798024</v>
      </c>
      <c r="U84" s="7" t="s">
        <v>2209</v>
      </c>
    </row>
    <row r="85" spans="1:21" s="74" customFormat="1" ht="16.5" customHeight="1" thickBot="1">
      <c r="A85" s="50" t="s">
        <v>35</v>
      </c>
      <c r="B85" s="51">
        <f t="shared" si="3"/>
        <v>90</v>
      </c>
      <c r="C85" s="51" t="s">
        <v>3</v>
      </c>
      <c r="D85" s="51">
        <f t="shared" si="4"/>
        <v>200</v>
      </c>
      <c r="E85" s="51" t="s">
        <v>3</v>
      </c>
      <c r="F85" s="99">
        <f t="shared" si="5"/>
        <v>1800</v>
      </c>
      <c r="G85" s="51" t="s">
        <v>3</v>
      </c>
      <c r="H85" s="48">
        <v>2</v>
      </c>
      <c r="I85" s="49" t="s">
        <v>45</v>
      </c>
      <c r="J85" s="184">
        <v>90</v>
      </c>
      <c r="K85" s="75">
        <v>200</v>
      </c>
      <c r="L85" s="75">
        <v>1800</v>
      </c>
      <c r="M85" s="185">
        <v>13.532022521617105</v>
      </c>
      <c r="N85" s="87">
        <v>582.9</v>
      </c>
      <c r="O85" s="120">
        <v>20276.709113458466</v>
      </c>
      <c r="P85" s="119">
        <v>24800.036822931379</v>
      </c>
      <c r="Q85" s="120">
        <v>17442.90180304943</v>
      </c>
      <c r="R85" s="314">
        <v>37719.610916507896</v>
      </c>
      <c r="S85" s="315">
        <v>42242.938625980809</v>
      </c>
      <c r="U85" s="7" t="s">
        <v>2210</v>
      </c>
    </row>
    <row r="86" spans="1:21" s="74" customFormat="1" ht="16.5" customHeight="1" thickBot="1">
      <c r="A86" s="50" t="s">
        <v>35</v>
      </c>
      <c r="B86" s="51">
        <f t="shared" si="3"/>
        <v>90</v>
      </c>
      <c r="C86" s="51" t="s">
        <v>3</v>
      </c>
      <c r="D86" s="51">
        <f t="shared" si="4"/>
        <v>200</v>
      </c>
      <c r="E86" s="51" t="s">
        <v>3</v>
      </c>
      <c r="F86" s="99">
        <f t="shared" si="5"/>
        <v>1850</v>
      </c>
      <c r="G86" s="51" t="s">
        <v>3</v>
      </c>
      <c r="H86" s="48">
        <v>2</v>
      </c>
      <c r="I86" s="49" t="s">
        <v>45</v>
      </c>
      <c r="J86" s="184">
        <v>90</v>
      </c>
      <c r="K86" s="75">
        <v>200</v>
      </c>
      <c r="L86" s="75">
        <v>1850</v>
      </c>
      <c r="M86" s="185">
        <v>13.894208581760264</v>
      </c>
      <c r="N86" s="87">
        <v>603</v>
      </c>
      <c r="O86" s="120">
        <v>20682.52806120053</v>
      </c>
      <c r="P86" s="119">
        <v>25323.269828386168</v>
      </c>
      <c r="Q86" s="120">
        <v>18031.902219560703</v>
      </c>
      <c r="R86" s="314">
        <v>38714.430280761233</v>
      </c>
      <c r="S86" s="315">
        <v>43355.172047946871</v>
      </c>
      <c r="U86" s="7" t="s">
        <v>2211</v>
      </c>
    </row>
    <row r="87" spans="1:21" s="74" customFormat="1" ht="16.5" customHeight="1" thickBot="1">
      <c r="A87" s="50" t="s">
        <v>35</v>
      </c>
      <c r="B87" s="51">
        <f t="shared" si="3"/>
        <v>90</v>
      </c>
      <c r="C87" s="51" t="s">
        <v>3</v>
      </c>
      <c r="D87" s="51">
        <f t="shared" si="4"/>
        <v>200</v>
      </c>
      <c r="E87" s="51" t="s">
        <v>3</v>
      </c>
      <c r="F87" s="99">
        <f t="shared" si="5"/>
        <v>1900</v>
      </c>
      <c r="G87" s="51" t="s">
        <v>3</v>
      </c>
      <c r="H87" s="48">
        <v>2</v>
      </c>
      <c r="I87" s="49" t="s">
        <v>45</v>
      </c>
      <c r="J87" s="184">
        <v>90</v>
      </c>
      <c r="K87" s="75">
        <v>200</v>
      </c>
      <c r="L87" s="75">
        <v>1900</v>
      </c>
      <c r="M87" s="185">
        <v>14.239354641903418</v>
      </c>
      <c r="N87" s="87">
        <v>623.1</v>
      </c>
      <c r="O87" s="120">
        <v>21088.34700894259</v>
      </c>
      <c r="P87" s="119">
        <v>25846.502833840954</v>
      </c>
      <c r="Q87" s="120">
        <v>18390.320858288702</v>
      </c>
      <c r="R87" s="314">
        <v>39478.667867231292</v>
      </c>
      <c r="S87" s="315">
        <v>44236.823692129656</v>
      </c>
      <c r="U87" s="7" t="s">
        <v>2212</v>
      </c>
    </row>
    <row r="88" spans="1:21" s="74" customFormat="1" ht="16.5" customHeight="1" thickBot="1">
      <c r="A88" s="50" t="s">
        <v>35</v>
      </c>
      <c r="B88" s="51">
        <f t="shared" si="3"/>
        <v>90</v>
      </c>
      <c r="C88" s="51" t="s">
        <v>3</v>
      </c>
      <c r="D88" s="51">
        <f t="shared" si="4"/>
        <v>200</v>
      </c>
      <c r="E88" s="51" t="s">
        <v>3</v>
      </c>
      <c r="F88" s="99">
        <f t="shared" si="5"/>
        <v>1950</v>
      </c>
      <c r="G88" s="51" t="s">
        <v>3</v>
      </c>
      <c r="H88" s="48">
        <v>2</v>
      </c>
      <c r="I88" s="49" t="s">
        <v>45</v>
      </c>
      <c r="J88" s="184">
        <v>90</v>
      </c>
      <c r="K88" s="75">
        <v>200</v>
      </c>
      <c r="L88" s="75">
        <v>1950</v>
      </c>
      <c r="M88" s="185">
        <v>14.623750702046578</v>
      </c>
      <c r="N88" s="87">
        <v>643.19999999999993</v>
      </c>
      <c r="O88" s="120">
        <v>21540.037662767816</v>
      </c>
      <c r="P88" s="119">
        <v>26415.887630137091</v>
      </c>
      <c r="Q88" s="120">
        <v>18748.739497016704</v>
      </c>
      <c r="R88" s="314">
        <v>40288.77715978452</v>
      </c>
      <c r="S88" s="315">
        <v>45164.627127153799</v>
      </c>
      <c r="U88" s="7" t="s">
        <v>2213</v>
      </c>
    </row>
    <row r="89" spans="1:21" s="74" customFormat="1" ht="16.5" customHeight="1" thickBot="1">
      <c r="A89" s="50" t="s">
        <v>35</v>
      </c>
      <c r="B89" s="51">
        <f t="shared" si="3"/>
        <v>90</v>
      </c>
      <c r="C89" s="51" t="s">
        <v>3</v>
      </c>
      <c r="D89" s="51">
        <f t="shared" si="4"/>
        <v>200</v>
      </c>
      <c r="E89" s="51" t="s">
        <v>3</v>
      </c>
      <c r="F89" s="99">
        <f t="shared" si="5"/>
        <v>2000</v>
      </c>
      <c r="G89" s="51" t="s">
        <v>3</v>
      </c>
      <c r="H89" s="48">
        <v>2</v>
      </c>
      <c r="I89" s="49" t="s">
        <v>45</v>
      </c>
      <c r="J89" s="184">
        <v>90</v>
      </c>
      <c r="K89" s="75">
        <v>200</v>
      </c>
      <c r="L89" s="75">
        <v>2000</v>
      </c>
      <c r="M89" s="185">
        <v>15.077499162189739</v>
      </c>
      <c r="N89" s="87">
        <v>663.3</v>
      </c>
      <c r="O89" s="120">
        <v>22176.399499331743</v>
      </c>
      <c r="P89" s="119">
        <v>27251.801222717819</v>
      </c>
      <c r="Q89" s="120">
        <v>19337.740053921341</v>
      </c>
      <c r="R89" s="314">
        <v>41514.139553253088</v>
      </c>
      <c r="S89" s="315">
        <v>46589.54127663916</v>
      </c>
      <c r="U89" s="7" t="s">
        <v>2214</v>
      </c>
    </row>
    <row r="90" spans="1:21" s="74" customFormat="1" ht="16.5" customHeight="1" thickBot="1">
      <c r="A90" s="50" t="s">
        <v>35</v>
      </c>
      <c r="B90" s="51">
        <f t="shared" si="3"/>
        <v>90</v>
      </c>
      <c r="C90" s="51" t="s">
        <v>3</v>
      </c>
      <c r="D90" s="51">
        <f t="shared" si="4"/>
        <v>200</v>
      </c>
      <c r="E90" s="51" t="s">
        <v>3</v>
      </c>
      <c r="F90" s="99">
        <f t="shared" si="5"/>
        <v>2050</v>
      </c>
      <c r="G90" s="51" t="s">
        <v>3</v>
      </c>
      <c r="H90" s="48">
        <v>2</v>
      </c>
      <c r="I90" s="49" t="s">
        <v>45</v>
      </c>
      <c r="J90" s="184">
        <v>90</v>
      </c>
      <c r="K90" s="75">
        <v>200</v>
      </c>
      <c r="L90" s="75">
        <v>2050</v>
      </c>
      <c r="M90" s="185">
        <v>15.422645222332896</v>
      </c>
      <c r="N90" s="87">
        <v>683.4</v>
      </c>
      <c r="O90" s="120">
        <v>22582.218447073807</v>
      </c>
      <c r="P90" s="119">
        <v>27775.034228172608</v>
      </c>
      <c r="Q90" s="120">
        <v>19696.15869264934</v>
      </c>
      <c r="R90" s="314">
        <v>42278.377139723147</v>
      </c>
      <c r="S90" s="315">
        <v>47471.192920821952</v>
      </c>
      <c r="U90" s="7" t="s">
        <v>2215</v>
      </c>
    </row>
    <row r="91" spans="1:21" s="74" customFormat="1" ht="16.5" customHeight="1" thickBot="1">
      <c r="A91" s="47" t="s">
        <v>35</v>
      </c>
      <c r="B91" s="48">
        <f t="shared" si="3"/>
        <v>90</v>
      </c>
      <c r="C91" s="48" t="s">
        <v>3</v>
      </c>
      <c r="D91" s="48">
        <f t="shared" si="4"/>
        <v>200</v>
      </c>
      <c r="E91" s="48" t="s">
        <v>3</v>
      </c>
      <c r="F91" s="99">
        <f t="shared" si="5"/>
        <v>2100</v>
      </c>
      <c r="G91" s="48" t="s">
        <v>3</v>
      </c>
      <c r="H91" s="48">
        <v>2</v>
      </c>
      <c r="I91" s="49" t="s">
        <v>45</v>
      </c>
      <c r="J91" s="184">
        <v>90</v>
      </c>
      <c r="K91" s="75">
        <v>200</v>
      </c>
      <c r="L91" s="75">
        <v>2100</v>
      </c>
      <c r="M91" s="185">
        <v>15.784831282476052</v>
      </c>
      <c r="N91" s="87">
        <v>703.5</v>
      </c>
      <c r="O91" s="120">
        <v>22988.037394815867</v>
      </c>
      <c r="P91" s="119">
        <v>28298.267233627394</v>
      </c>
      <c r="Q91" s="120">
        <v>20285.159109160617</v>
      </c>
      <c r="R91" s="314">
        <v>43273.196503976484</v>
      </c>
      <c r="S91" s="315">
        <v>48583.426342788007</v>
      </c>
      <c r="U91" s="7" t="s">
        <v>2216</v>
      </c>
    </row>
    <row r="92" spans="1:21" s="74" customFormat="1" ht="16.5" customHeight="1" thickBot="1">
      <c r="A92" s="50" t="s">
        <v>35</v>
      </c>
      <c r="B92" s="51">
        <f t="shared" si="3"/>
        <v>90</v>
      </c>
      <c r="C92" s="51" t="s">
        <v>3</v>
      </c>
      <c r="D92" s="51">
        <f t="shared" si="4"/>
        <v>200</v>
      </c>
      <c r="E92" s="51" t="s">
        <v>3</v>
      </c>
      <c r="F92" s="99">
        <f t="shared" si="5"/>
        <v>2150</v>
      </c>
      <c r="G92" s="51" t="s">
        <v>3</v>
      </c>
      <c r="H92" s="48">
        <v>2</v>
      </c>
      <c r="I92" s="49" t="s">
        <v>45</v>
      </c>
      <c r="J92" s="184">
        <v>90</v>
      </c>
      <c r="K92" s="75">
        <v>200</v>
      </c>
      <c r="L92" s="75">
        <v>2150</v>
      </c>
      <c r="M92" s="185">
        <v>16.12997734261921</v>
      </c>
      <c r="N92" s="87">
        <v>723.6</v>
      </c>
      <c r="O92" s="120">
        <v>23393.856202164567</v>
      </c>
      <c r="P92" s="119">
        <v>28821.500098688819</v>
      </c>
      <c r="Q92" s="120">
        <v>20643.577747888616</v>
      </c>
      <c r="R92" s="314">
        <v>44037.433950053179</v>
      </c>
      <c r="S92" s="315">
        <v>49465.077846577435</v>
      </c>
      <c r="U92" s="7" t="s">
        <v>2217</v>
      </c>
    </row>
    <row r="93" spans="1:21" s="74" customFormat="1" ht="16.5" customHeight="1" thickBot="1">
      <c r="A93" s="50" t="s">
        <v>35</v>
      </c>
      <c r="B93" s="51">
        <f t="shared" si="3"/>
        <v>90</v>
      </c>
      <c r="C93" s="51" t="s">
        <v>3</v>
      </c>
      <c r="D93" s="51">
        <f t="shared" si="4"/>
        <v>200</v>
      </c>
      <c r="E93" s="51" t="s">
        <v>3</v>
      </c>
      <c r="F93" s="99">
        <f t="shared" si="5"/>
        <v>2200</v>
      </c>
      <c r="G93" s="51" t="s">
        <v>3</v>
      </c>
      <c r="H93" s="48">
        <v>2</v>
      </c>
      <c r="I93" s="49" t="s">
        <v>45</v>
      </c>
      <c r="J93" s="184">
        <v>90</v>
      </c>
      <c r="K93" s="75">
        <v>200</v>
      </c>
      <c r="L93" s="75">
        <v>2200</v>
      </c>
      <c r="M93" s="185">
        <v>16.492163402762369</v>
      </c>
      <c r="N93" s="87">
        <v>743.69999999999993</v>
      </c>
      <c r="O93" s="120">
        <v>23799.675149906627</v>
      </c>
      <c r="P93" s="119">
        <v>29344.733104143608</v>
      </c>
      <c r="Q93" s="120">
        <v>21232.578164399893</v>
      </c>
      <c r="R93" s="314">
        <v>45032.253314306523</v>
      </c>
      <c r="S93" s="315">
        <v>50577.311268543504</v>
      </c>
      <c r="U93" s="7" t="s">
        <v>2218</v>
      </c>
    </row>
    <row r="94" spans="1:21" s="74" customFormat="1" ht="16.5" customHeight="1" thickBot="1">
      <c r="A94" s="50" t="s">
        <v>35</v>
      </c>
      <c r="B94" s="51">
        <f t="shared" si="3"/>
        <v>90</v>
      </c>
      <c r="C94" s="51" t="s">
        <v>3</v>
      </c>
      <c r="D94" s="51">
        <f t="shared" si="4"/>
        <v>200</v>
      </c>
      <c r="E94" s="51" t="s">
        <v>3</v>
      </c>
      <c r="F94" s="99">
        <f t="shared" si="5"/>
        <v>2250</v>
      </c>
      <c r="G94" s="51" t="s">
        <v>3</v>
      </c>
      <c r="H94" s="48">
        <v>2</v>
      </c>
      <c r="I94" s="49" t="s">
        <v>45</v>
      </c>
      <c r="J94" s="184">
        <v>90</v>
      </c>
      <c r="K94" s="75">
        <v>200</v>
      </c>
      <c r="L94" s="75">
        <v>2250</v>
      </c>
      <c r="M94" s="185">
        <v>16.837309462905523</v>
      </c>
      <c r="N94" s="87">
        <v>763.8</v>
      </c>
      <c r="O94" s="120">
        <v>24205.494097648694</v>
      </c>
      <c r="P94" s="119">
        <v>29867.96596920503</v>
      </c>
      <c r="Q94" s="120">
        <v>21590.996943521255</v>
      </c>
      <c r="R94" s="314">
        <v>45796.491041169953</v>
      </c>
      <c r="S94" s="315">
        <v>51458.962912726289</v>
      </c>
      <c r="U94" s="7" t="s">
        <v>2219</v>
      </c>
    </row>
    <row r="95" spans="1:21" s="74" customFormat="1" ht="16.5" customHeight="1" thickBot="1">
      <c r="A95" s="50" t="s">
        <v>35</v>
      </c>
      <c r="B95" s="51">
        <f t="shared" si="3"/>
        <v>90</v>
      </c>
      <c r="C95" s="51" t="s">
        <v>3</v>
      </c>
      <c r="D95" s="51">
        <f t="shared" si="4"/>
        <v>200</v>
      </c>
      <c r="E95" s="51" t="s">
        <v>3</v>
      </c>
      <c r="F95" s="99">
        <f t="shared" si="5"/>
        <v>2300</v>
      </c>
      <c r="G95" s="51" t="s">
        <v>3</v>
      </c>
      <c r="H95" s="48">
        <v>2</v>
      </c>
      <c r="I95" s="49" t="s">
        <v>45</v>
      </c>
      <c r="J95" s="184">
        <v>90</v>
      </c>
      <c r="K95" s="75">
        <v>200</v>
      </c>
      <c r="L95" s="75">
        <v>2300</v>
      </c>
      <c r="M95" s="185">
        <v>17.182455523048681</v>
      </c>
      <c r="N95" s="87">
        <v>783.9</v>
      </c>
      <c r="O95" s="120">
        <v>24611.312904997394</v>
      </c>
      <c r="P95" s="119">
        <v>30391.198974659819</v>
      </c>
      <c r="Q95" s="120">
        <v>21949.415582249254</v>
      </c>
      <c r="R95" s="314">
        <v>46560.728487246648</v>
      </c>
      <c r="S95" s="315">
        <v>52340.614556909073</v>
      </c>
      <c r="U95" s="7" t="s">
        <v>2220</v>
      </c>
    </row>
    <row r="96" spans="1:21" s="74" customFormat="1" ht="16.5" customHeight="1" thickBot="1">
      <c r="A96" s="50" t="s">
        <v>35</v>
      </c>
      <c r="B96" s="51">
        <f t="shared" si="3"/>
        <v>90</v>
      </c>
      <c r="C96" s="51" t="s">
        <v>3</v>
      </c>
      <c r="D96" s="51">
        <f t="shared" si="4"/>
        <v>200</v>
      </c>
      <c r="E96" s="51" t="s">
        <v>3</v>
      </c>
      <c r="F96" s="99">
        <f t="shared" si="5"/>
        <v>2350</v>
      </c>
      <c r="G96" s="51" t="s">
        <v>3</v>
      </c>
      <c r="H96" s="48">
        <v>2</v>
      </c>
      <c r="I96" s="49" t="s">
        <v>45</v>
      </c>
      <c r="J96" s="184">
        <v>90</v>
      </c>
      <c r="K96" s="75">
        <v>200</v>
      </c>
      <c r="L96" s="75">
        <v>2350</v>
      </c>
      <c r="M96" s="185">
        <v>17.54464158319184</v>
      </c>
      <c r="N96" s="87">
        <v>804</v>
      </c>
      <c r="O96" s="120">
        <v>25017.131852739454</v>
      </c>
      <c r="P96" s="119">
        <v>30914.431980114608</v>
      </c>
      <c r="Q96" s="120">
        <v>22538.415998760531</v>
      </c>
      <c r="R96" s="314">
        <v>47555.547851499985</v>
      </c>
      <c r="S96" s="315">
        <v>53452.847978875143</v>
      </c>
      <c r="U96" s="7" t="s">
        <v>2221</v>
      </c>
    </row>
    <row r="97" spans="1:21" s="74" customFormat="1" ht="16.5" customHeight="1" thickBot="1">
      <c r="A97" s="50" t="s">
        <v>35</v>
      </c>
      <c r="B97" s="51">
        <f t="shared" si="3"/>
        <v>90</v>
      </c>
      <c r="C97" s="51" t="s">
        <v>3</v>
      </c>
      <c r="D97" s="51">
        <f t="shared" si="4"/>
        <v>200</v>
      </c>
      <c r="E97" s="51" t="s">
        <v>3</v>
      </c>
      <c r="F97" s="99">
        <f t="shared" si="5"/>
        <v>2400</v>
      </c>
      <c r="G97" s="51" t="s">
        <v>3</v>
      </c>
      <c r="H97" s="48">
        <v>2</v>
      </c>
      <c r="I97" s="49" t="s">
        <v>45</v>
      </c>
      <c r="J97" s="184">
        <v>90</v>
      </c>
      <c r="K97" s="75">
        <v>200</v>
      </c>
      <c r="L97" s="75">
        <v>2400</v>
      </c>
      <c r="M97" s="185">
        <v>17.889787643334998</v>
      </c>
      <c r="N97" s="87">
        <v>824.1</v>
      </c>
      <c r="O97" s="120">
        <v>25422.950800481522</v>
      </c>
      <c r="P97" s="119">
        <v>31437.66484517603</v>
      </c>
      <c r="Q97" s="120">
        <v>22896.83463748853</v>
      </c>
      <c r="R97" s="314">
        <v>48319.785437970051</v>
      </c>
      <c r="S97" s="315">
        <v>54334.499482664556</v>
      </c>
      <c r="U97" s="7" t="s">
        <v>2222</v>
      </c>
    </row>
    <row r="98" spans="1:21" s="74" customFormat="1" ht="16.5" customHeight="1" thickBot="1">
      <c r="A98" s="50" t="s">
        <v>35</v>
      </c>
      <c r="B98" s="51">
        <f t="shared" si="3"/>
        <v>90</v>
      </c>
      <c r="C98" s="51" t="s">
        <v>3</v>
      </c>
      <c r="D98" s="51">
        <f t="shared" si="4"/>
        <v>200</v>
      </c>
      <c r="E98" s="51" t="s">
        <v>3</v>
      </c>
      <c r="F98" s="99">
        <f t="shared" si="5"/>
        <v>2450</v>
      </c>
      <c r="G98" s="51" t="s">
        <v>3</v>
      </c>
      <c r="H98" s="48">
        <v>2</v>
      </c>
      <c r="I98" s="49" t="s">
        <v>45</v>
      </c>
      <c r="J98" s="184">
        <v>90</v>
      </c>
      <c r="K98" s="75">
        <v>200</v>
      </c>
      <c r="L98" s="75">
        <v>2450</v>
      </c>
      <c r="M98" s="185">
        <v>18.344536836278159</v>
      </c>
      <c r="N98" s="87">
        <v>844.19999999999993</v>
      </c>
      <c r="O98" s="120">
        <v>26368.20470928432</v>
      </c>
      <c r="P98" s="119">
        <v>32425.273887118092</v>
      </c>
      <c r="Q98" s="120">
        <v>23485.83519439317</v>
      </c>
      <c r="R98" s="314">
        <v>49854.039903677491</v>
      </c>
      <c r="S98" s="315">
        <v>55911.109081511262</v>
      </c>
      <c r="U98" s="7" t="s">
        <v>2223</v>
      </c>
    </row>
    <row r="99" spans="1:21" s="74" customFormat="1" ht="16.5" customHeight="1" thickBot="1">
      <c r="A99" s="50" t="s">
        <v>35</v>
      </c>
      <c r="B99" s="51">
        <f t="shared" si="3"/>
        <v>90</v>
      </c>
      <c r="C99" s="51" t="s">
        <v>3</v>
      </c>
      <c r="D99" s="51">
        <f t="shared" si="4"/>
        <v>200</v>
      </c>
      <c r="E99" s="51" t="s">
        <v>3</v>
      </c>
      <c r="F99" s="99">
        <f t="shared" si="5"/>
        <v>2500</v>
      </c>
      <c r="G99" s="51" t="s">
        <v>3</v>
      </c>
      <c r="H99" s="48">
        <v>2</v>
      </c>
      <c r="I99" s="49" t="s">
        <v>45</v>
      </c>
      <c r="J99" s="184">
        <v>90</v>
      </c>
      <c r="K99" s="75">
        <v>200</v>
      </c>
      <c r="L99" s="75">
        <v>2500</v>
      </c>
      <c r="M99" s="185">
        <v>18.689682896421314</v>
      </c>
      <c r="N99" s="87">
        <v>864.3</v>
      </c>
      <c r="O99" s="120">
        <v>26774.023657026381</v>
      </c>
      <c r="P99" s="119">
        <v>32948.506752179521</v>
      </c>
      <c r="Q99" s="120">
        <v>23844.253833121165</v>
      </c>
      <c r="R99" s="314">
        <v>50618.27749014755</v>
      </c>
      <c r="S99" s="315">
        <v>56792.760585300683</v>
      </c>
      <c r="U99" s="7" t="s">
        <v>2224</v>
      </c>
    </row>
    <row r="100" spans="1:21" s="74" customFormat="1" ht="16.5" customHeight="1" thickBot="1">
      <c r="A100" s="50" t="s">
        <v>35</v>
      </c>
      <c r="B100" s="51">
        <f t="shared" si="3"/>
        <v>90</v>
      </c>
      <c r="C100" s="51" t="s">
        <v>3</v>
      </c>
      <c r="D100" s="51">
        <f t="shared" si="4"/>
        <v>200</v>
      </c>
      <c r="E100" s="51" t="s">
        <v>3</v>
      </c>
      <c r="F100" s="99">
        <f t="shared" si="5"/>
        <v>2550</v>
      </c>
      <c r="G100" s="51" t="s">
        <v>3</v>
      </c>
      <c r="H100" s="48">
        <v>2</v>
      </c>
      <c r="I100" s="49" t="s">
        <v>45</v>
      </c>
      <c r="J100" s="184">
        <v>90</v>
      </c>
      <c r="K100" s="75">
        <v>200</v>
      </c>
      <c r="L100" s="75">
        <v>2550</v>
      </c>
      <c r="M100" s="185">
        <v>19.051868956564473</v>
      </c>
      <c r="N100" s="87">
        <v>884.4</v>
      </c>
      <c r="O100" s="120">
        <v>27179.842604768444</v>
      </c>
      <c r="P100" s="119">
        <v>33471.739757634306</v>
      </c>
      <c r="Q100" s="120">
        <v>24433.254249632446</v>
      </c>
      <c r="R100" s="314">
        <v>51613.096854400894</v>
      </c>
      <c r="S100" s="315">
        <v>57904.994007266752</v>
      </c>
      <c r="U100" s="7" t="s">
        <v>2225</v>
      </c>
    </row>
    <row r="101" spans="1:21" s="74" customFormat="1" ht="16.5" customHeight="1" thickBot="1">
      <c r="A101" s="47" t="s">
        <v>35</v>
      </c>
      <c r="B101" s="48">
        <f t="shared" si="3"/>
        <v>90</v>
      </c>
      <c r="C101" s="48" t="s">
        <v>3</v>
      </c>
      <c r="D101" s="48">
        <f t="shared" si="4"/>
        <v>200</v>
      </c>
      <c r="E101" s="48" t="s">
        <v>3</v>
      </c>
      <c r="F101" s="99">
        <f t="shared" si="5"/>
        <v>2600</v>
      </c>
      <c r="G101" s="48" t="s">
        <v>3</v>
      </c>
      <c r="H101" s="48">
        <v>2</v>
      </c>
      <c r="I101" s="49" t="s">
        <v>45</v>
      </c>
      <c r="J101" s="184">
        <v>90</v>
      </c>
      <c r="K101" s="75">
        <v>200</v>
      </c>
      <c r="L101" s="75">
        <v>2600</v>
      </c>
      <c r="M101" s="185">
        <v>19.397015016707634</v>
      </c>
      <c r="N101" s="87">
        <v>904.5</v>
      </c>
      <c r="O101" s="120">
        <v>27585.661412117141</v>
      </c>
      <c r="P101" s="119">
        <v>33994.972763089092</v>
      </c>
      <c r="Q101" s="120">
        <v>24791.672888360441</v>
      </c>
      <c r="R101" s="314">
        <v>52377.334300477582</v>
      </c>
      <c r="S101" s="315">
        <v>58786.645651449537</v>
      </c>
      <c r="U101" s="7" t="s">
        <v>2226</v>
      </c>
    </row>
    <row r="102" spans="1:21" s="74" customFormat="1" ht="16.5" customHeight="1" thickBot="1">
      <c r="A102" s="50" t="s">
        <v>35</v>
      </c>
      <c r="B102" s="51">
        <f t="shared" si="3"/>
        <v>90</v>
      </c>
      <c r="C102" s="51" t="s">
        <v>3</v>
      </c>
      <c r="D102" s="51">
        <f t="shared" si="4"/>
        <v>200</v>
      </c>
      <c r="E102" s="51" t="s">
        <v>3</v>
      </c>
      <c r="F102" s="99">
        <f t="shared" si="5"/>
        <v>2650</v>
      </c>
      <c r="G102" s="51" t="s">
        <v>3</v>
      </c>
      <c r="H102" s="48">
        <v>2</v>
      </c>
      <c r="I102" s="49" t="s">
        <v>45</v>
      </c>
      <c r="J102" s="184">
        <v>90</v>
      </c>
      <c r="K102" s="75">
        <v>200</v>
      </c>
      <c r="L102" s="75">
        <v>2650</v>
      </c>
      <c r="M102" s="185">
        <v>19.75920107685079</v>
      </c>
      <c r="N102" s="87">
        <v>924.59999999999991</v>
      </c>
      <c r="O102" s="120">
        <v>27991.480359859208</v>
      </c>
      <c r="P102" s="119">
        <v>34518.205628150521</v>
      </c>
      <c r="Q102" s="120">
        <v>25380.673304871718</v>
      </c>
      <c r="R102" s="314">
        <v>53372.153664730926</v>
      </c>
      <c r="S102" s="315">
        <v>59898.878933022235</v>
      </c>
      <c r="U102" s="7" t="s">
        <v>2227</v>
      </c>
    </row>
    <row r="103" spans="1:21" s="74" customFormat="1" ht="16.5" customHeight="1" thickBot="1">
      <c r="A103" s="50" t="s">
        <v>35</v>
      </c>
      <c r="B103" s="51">
        <f t="shared" si="3"/>
        <v>90</v>
      </c>
      <c r="C103" s="51" t="s">
        <v>3</v>
      </c>
      <c r="D103" s="51">
        <f t="shared" si="4"/>
        <v>200</v>
      </c>
      <c r="E103" s="51" t="s">
        <v>3</v>
      </c>
      <c r="F103" s="99">
        <f t="shared" si="5"/>
        <v>2700</v>
      </c>
      <c r="G103" s="51" t="s">
        <v>3</v>
      </c>
      <c r="H103" s="48">
        <v>2</v>
      </c>
      <c r="I103" s="49" t="s">
        <v>45</v>
      </c>
      <c r="J103" s="184">
        <v>90</v>
      </c>
      <c r="K103" s="75">
        <v>200</v>
      </c>
      <c r="L103" s="75">
        <v>2700</v>
      </c>
      <c r="M103" s="185">
        <v>20.143597136993947</v>
      </c>
      <c r="N103" s="87">
        <v>944.69999999999993</v>
      </c>
      <c r="O103" s="120">
        <v>28443.17101368443</v>
      </c>
      <c r="P103" s="119">
        <v>35087.590424446658</v>
      </c>
      <c r="Q103" s="120">
        <v>25739.09208399308</v>
      </c>
      <c r="R103" s="314">
        <v>54182.263097677511</v>
      </c>
      <c r="S103" s="315">
        <v>60826.682508439742</v>
      </c>
      <c r="U103" s="7" t="s">
        <v>2228</v>
      </c>
    </row>
    <row r="104" spans="1:21" s="74" customFormat="1" ht="16.5" customHeight="1" thickBot="1">
      <c r="A104" s="50" t="s">
        <v>35</v>
      </c>
      <c r="B104" s="51">
        <f t="shared" si="3"/>
        <v>90</v>
      </c>
      <c r="C104" s="51" t="s">
        <v>3</v>
      </c>
      <c r="D104" s="51">
        <f t="shared" si="4"/>
        <v>200</v>
      </c>
      <c r="E104" s="51" t="s">
        <v>3</v>
      </c>
      <c r="F104" s="99">
        <f t="shared" si="5"/>
        <v>2750</v>
      </c>
      <c r="G104" s="51" t="s">
        <v>3</v>
      </c>
      <c r="H104" s="48">
        <v>2</v>
      </c>
      <c r="I104" s="49" t="s">
        <v>45</v>
      </c>
      <c r="J104" s="184">
        <v>90</v>
      </c>
      <c r="K104" s="75">
        <v>200</v>
      </c>
      <c r="L104" s="75">
        <v>2750</v>
      </c>
      <c r="M104" s="185">
        <v>20.488743197137104</v>
      </c>
      <c r="N104" s="87">
        <v>964.8</v>
      </c>
      <c r="O104" s="120">
        <v>28848.98996142649</v>
      </c>
      <c r="P104" s="119">
        <v>35610.823429901444</v>
      </c>
      <c r="Q104" s="120">
        <v>26097.510722721079</v>
      </c>
      <c r="R104" s="314">
        <v>54946.50068414757</v>
      </c>
      <c r="S104" s="315">
        <v>61708.334152622527</v>
      </c>
      <c r="U104" s="7" t="s">
        <v>2229</v>
      </c>
    </row>
    <row r="105" spans="1:21" s="74" customFormat="1" ht="16.5" customHeight="1" thickBot="1">
      <c r="A105" s="50" t="s">
        <v>35</v>
      </c>
      <c r="B105" s="51">
        <f t="shared" si="3"/>
        <v>90</v>
      </c>
      <c r="C105" s="51" t="s">
        <v>3</v>
      </c>
      <c r="D105" s="51">
        <f t="shared" si="4"/>
        <v>200</v>
      </c>
      <c r="E105" s="51" t="s">
        <v>3</v>
      </c>
      <c r="F105" s="99">
        <f t="shared" si="5"/>
        <v>2800</v>
      </c>
      <c r="G105" s="51" t="s">
        <v>3</v>
      </c>
      <c r="H105" s="48">
        <v>2</v>
      </c>
      <c r="I105" s="49" t="s">
        <v>45</v>
      </c>
      <c r="J105" s="184">
        <v>90</v>
      </c>
      <c r="K105" s="75">
        <v>200</v>
      </c>
      <c r="L105" s="75">
        <v>2800</v>
      </c>
      <c r="M105" s="185">
        <v>20.850929257280264</v>
      </c>
      <c r="N105" s="87">
        <v>984.9</v>
      </c>
      <c r="O105" s="120">
        <v>29254.808768775194</v>
      </c>
      <c r="P105" s="119">
        <v>36134.056294962873</v>
      </c>
      <c r="Q105" s="120">
        <v>26686.511139232356</v>
      </c>
      <c r="R105" s="314">
        <v>55941.31990800755</v>
      </c>
      <c r="S105" s="315">
        <v>62820.567434195225</v>
      </c>
      <c r="U105" s="7" t="s">
        <v>2230</v>
      </c>
    </row>
    <row r="106" spans="1:21" s="74" customFormat="1" ht="16.5" customHeight="1" thickBot="1">
      <c r="A106" s="50" t="s">
        <v>35</v>
      </c>
      <c r="B106" s="51">
        <f t="shared" si="3"/>
        <v>90</v>
      </c>
      <c r="C106" s="51" t="s">
        <v>3</v>
      </c>
      <c r="D106" s="51">
        <f t="shared" si="4"/>
        <v>200</v>
      </c>
      <c r="E106" s="51" t="s">
        <v>3</v>
      </c>
      <c r="F106" s="99">
        <f t="shared" si="5"/>
        <v>2850</v>
      </c>
      <c r="G106" s="51" t="s">
        <v>3</v>
      </c>
      <c r="H106" s="48">
        <v>2</v>
      </c>
      <c r="I106" s="49" t="s">
        <v>45</v>
      </c>
      <c r="J106" s="184">
        <v>90</v>
      </c>
      <c r="K106" s="75">
        <v>200</v>
      </c>
      <c r="L106" s="75">
        <v>2850</v>
      </c>
      <c r="M106" s="185">
        <v>21.196075317423421</v>
      </c>
      <c r="N106" s="87">
        <v>1005</v>
      </c>
      <c r="O106" s="120">
        <v>29660.627716517254</v>
      </c>
      <c r="P106" s="119">
        <v>36657.289300417659</v>
      </c>
      <c r="Q106" s="120">
        <v>27044.929777960355</v>
      </c>
      <c r="R106" s="314">
        <v>56705.557494477609</v>
      </c>
      <c r="S106" s="315">
        <v>63702.21907837801</v>
      </c>
      <c r="U106" s="7" t="s">
        <v>2231</v>
      </c>
    </row>
    <row r="107" spans="1:21" s="74" customFormat="1" ht="16.5" customHeight="1" thickBot="1">
      <c r="A107" s="50" t="s">
        <v>35</v>
      </c>
      <c r="B107" s="51">
        <f t="shared" si="3"/>
        <v>90</v>
      </c>
      <c r="C107" s="51" t="s">
        <v>3</v>
      </c>
      <c r="D107" s="51">
        <f t="shared" si="4"/>
        <v>200</v>
      </c>
      <c r="E107" s="51" t="s">
        <v>3</v>
      </c>
      <c r="F107" s="99">
        <f t="shared" si="5"/>
        <v>2900</v>
      </c>
      <c r="G107" s="51" t="s">
        <v>3</v>
      </c>
      <c r="H107" s="48">
        <v>2</v>
      </c>
      <c r="I107" s="49" t="s">
        <v>45</v>
      </c>
      <c r="J107" s="184">
        <v>90</v>
      </c>
      <c r="K107" s="75">
        <v>200</v>
      </c>
      <c r="L107" s="75">
        <v>2900</v>
      </c>
      <c r="M107" s="185">
        <v>21.558261377566573</v>
      </c>
      <c r="N107" s="87">
        <v>1025.0999999999999</v>
      </c>
      <c r="O107" s="120">
        <v>30066.446664259318</v>
      </c>
      <c r="P107" s="119">
        <v>37180.52216547908</v>
      </c>
      <c r="Q107" s="120">
        <v>27633.930194471632</v>
      </c>
      <c r="R107" s="314">
        <v>57700.376858730946</v>
      </c>
      <c r="S107" s="315">
        <v>64814.452359950708</v>
      </c>
      <c r="U107" s="7" t="s">
        <v>2232</v>
      </c>
    </row>
    <row r="108" spans="1:21" s="74" customFormat="1" ht="16.5" customHeight="1" thickBot="1">
      <c r="A108" s="50" t="s">
        <v>35</v>
      </c>
      <c r="B108" s="51">
        <f t="shared" si="3"/>
        <v>90</v>
      </c>
      <c r="C108" s="51" t="s">
        <v>3</v>
      </c>
      <c r="D108" s="51">
        <f t="shared" si="4"/>
        <v>200</v>
      </c>
      <c r="E108" s="51" t="s">
        <v>3</v>
      </c>
      <c r="F108" s="99">
        <f t="shared" si="5"/>
        <v>2950</v>
      </c>
      <c r="G108" s="51" t="s">
        <v>3</v>
      </c>
      <c r="H108" s="48">
        <v>2</v>
      </c>
      <c r="I108" s="49" t="s">
        <v>45</v>
      </c>
      <c r="J108" s="184">
        <v>90</v>
      </c>
      <c r="K108" s="75">
        <v>200</v>
      </c>
      <c r="L108" s="75">
        <v>2950</v>
      </c>
      <c r="M108" s="185">
        <v>21.903407437709738</v>
      </c>
      <c r="N108" s="87">
        <v>1045.2</v>
      </c>
      <c r="O108" s="120">
        <v>30472.265471608021</v>
      </c>
      <c r="P108" s="119">
        <v>37703.755170933873</v>
      </c>
      <c r="Q108" s="120">
        <v>27992.348973592994</v>
      </c>
      <c r="R108" s="314">
        <v>58464.614445201019</v>
      </c>
      <c r="S108" s="315">
        <v>65696.104144526864</v>
      </c>
      <c r="U108" s="7" t="s">
        <v>2233</v>
      </c>
    </row>
    <row r="109" spans="1:21" s="74" customFormat="1" ht="16.5" customHeight="1" thickBot="1">
      <c r="A109" s="52" t="s">
        <v>35</v>
      </c>
      <c r="B109" s="53">
        <f t="shared" si="3"/>
        <v>90</v>
      </c>
      <c r="C109" s="53" t="s">
        <v>3</v>
      </c>
      <c r="D109" s="53">
        <f t="shared" si="4"/>
        <v>200</v>
      </c>
      <c r="E109" s="53" t="s">
        <v>3</v>
      </c>
      <c r="F109" s="100">
        <f t="shared" si="5"/>
        <v>3000</v>
      </c>
      <c r="G109" s="53" t="s">
        <v>3</v>
      </c>
      <c r="H109" s="55">
        <v>2</v>
      </c>
      <c r="I109" s="54" t="s">
        <v>45</v>
      </c>
      <c r="J109" s="186">
        <v>90</v>
      </c>
      <c r="K109" s="147">
        <v>200</v>
      </c>
      <c r="L109" s="147">
        <v>3000</v>
      </c>
      <c r="M109" s="187">
        <v>22.265593497852898</v>
      </c>
      <c r="N109" s="148">
        <v>1065.3</v>
      </c>
      <c r="O109" s="159">
        <v>32053.241865601922</v>
      </c>
      <c r="P109" s="189">
        <v>38226.988176388659</v>
      </c>
      <c r="Q109" s="159">
        <v>28581.349390104271</v>
      </c>
      <c r="R109" s="316">
        <v>60634.591255706197</v>
      </c>
      <c r="S109" s="317">
        <v>66808.337566492934</v>
      </c>
      <c r="U109" s="7" t="s">
        <v>2234</v>
      </c>
    </row>
    <row r="110" spans="1:21" ht="22.5" customHeight="1" thickBot="1">
      <c r="A110" s="2580" t="s">
        <v>50</v>
      </c>
      <c r="B110" s="2581"/>
      <c r="C110" s="2581"/>
      <c r="D110" s="2581"/>
      <c r="E110" s="2581"/>
      <c r="F110" s="2581"/>
      <c r="G110" s="2581"/>
      <c r="H110" s="2581"/>
      <c r="I110" s="2581"/>
      <c r="J110" s="2581"/>
      <c r="K110" s="2581"/>
      <c r="L110" s="2581"/>
      <c r="M110" s="2581"/>
      <c r="N110" s="2581"/>
      <c r="O110" s="2581"/>
      <c r="P110" s="2581"/>
      <c r="Q110" s="2581"/>
      <c r="R110" s="2581"/>
      <c r="S110" s="2582"/>
      <c r="U110" s="7"/>
    </row>
    <row r="111" spans="1:21" ht="16.5" customHeight="1" thickBot="1">
      <c r="A111" s="2583" t="s">
        <v>134</v>
      </c>
      <c r="B111" s="2584"/>
      <c r="C111" s="2584"/>
      <c r="D111" s="2584"/>
      <c r="E111" s="2584"/>
      <c r="F111" s="2584"/>
      <c r="G111" s="2584"/>
      <c r="H111" s="2584"/>
      <c r="I111" s="2584"/>
      <c r="J111" s="2584"/>
      <c r="K111" s="2584"/>
      <c r="L111" s="2584"/>
      <c r="M111" s="2584"/>
      <c r="N111" s="2584"/>
      <c r="O111" s="2584"/>
      <c r="P111" s="2584"/>
      <c r="Q111" s="2584"/>
      <c r="R111" s="2584"/>
      <c r="S111" s="2585"/>
      <c r="U111" s="7"/>
    </row>
    <row r="112" spans="1:21" ht="16.5" thickBot="1">
      <c r="A112" s="47" t="s">
        <v>35</v>
      </c>
      <c r="B112" s="48">
        <f>J112</f>
        <v>90</v>
      </c>
      <c r="C112" s="48" t="s">
        <v>3</v>
      </c>
      <c r="D112" s="48">
        <f>K112</f>
        <v>260</v>
      </c>
      <c r="E112" s="48" t="s">
        <v>3</v>
      </c>
      <c r="F112" s="99">
        <f>L112</f>
        <v>600</v>
      </c>
      <c r="G112" s="48" t="s">
        <v>3</v>
      </c>
      <c r="H112" s="48">
        <v>2</v>
      </c>
      <c r="I112" s="49" t="s">
        <v>45</v>
      </c>
      <c r="J112" s="181">
        <v>90</v>
      </c>
      <c r="K112" s="143">
        <v>260</v>
      </c>
      <c r="L112" s="143">
        <v>600</v>
      </c>
      <c r="M112" s="182">
        <v>5.7406712630655266</v>
      </c>
      <c r="N112" s="144">
        <v>133.19999999999999</v>
      </c>
      <c r="O112" s="169">
        <v>10532.275658376189</v>
      </c>
      <c r="P112" s="188">
        <v>12687.778334387702</v>
      </c>
      <c r="Q112" s="169">
        <v>7536.0353334550891</v>
      </c>
      <c r="R112" s="312">
        <v>18068.310991831277</v>
      </c>
      <c r="S112" s="313">
        <v>20223.813667842791</v>
      </c>
      <c r="U112" s="7" t="s">
        <v>2235</v>
      </c>
    </row>
    <row r="113" spans="1:21" ht="16.5" thickBot="1">
      <c r="A113" s="50" t="s">
        <v>35</v>
      </c>
      <c r="B113" s="51">
        <f t="shared" ref="B113:B160" si="6">J113</f>
        <v>90</v>
      </c>
      <c r="C113" s="51" t="s">
        <v>3</v>
      </c>
      <c r="D113" s="51">
        <f t="shared" ref="D113:D160" si="7">K113</f>
        <v>260</v>
      </c>
      <c r="E113" s="51" t="s">
        <v>3</v>
      </c>
      <c r="F113" s="99">
        <f t="shared" ref="F113:F160" si="8">L113</f>
        <v>650</v>
      </c>
      <c r="G113" s="51" t="s">
        <v>3</v>
      </c>
      <c r="H113" s="48">
        <v>2</v>
      </c>
      <c r="I113" s="49" t="s">
        <v>45</v>
      </c>
      <c r="J113" s="184">
        <v>90</v>
      </c>
      <c r="K113" s="75">
        <v>260</v>
      </c>
      <c r="L113" s="75">
        <v>650</v>
      </c>
      <c r="M113" s="185">
        <v>6.13359788505079</v>
      </c>
      <c r="N113" s="87">
        <v>159.83999999999997</v>
      </c>
      <c r="O113" s="120">
        <v>10966.21357151329</v>
      </c>
      <c r="P113" s="119">
        <v>13260.260208260592</v>
      </c>
      <c r="Q113" s="120">
        <v>7967.645945822027</v>
      </c>
      <c r="R113" s="314">
        <v>18933.859517335317</v>
      </c>
      <c r="S113" s="315">
        <v>21227.906154082619</v>
      </c>
      <c r="U113" s="7" t="s">
        <v>2236</v>
      </c>
    </row>
    <row r="114" spans="1:21" ht="16.5" thickBot="1">
      <c r="A114" s="50" t="s">
        <v>35</v>
      </c>
      <c r="B114" s="51">
        <f t="shared" si="6"/>
        <v>90</v>
      </c>
      <c r="C114" s="51" t="s">
        <v>3</v>
      </c>
      <c r="D114" s="51">
        <f t="shared" si="7"/>
        <v>260</v>
      </c>
      <c r="E114" s="51" t="s">
        <v>3</v>
      </c>
      <c r="F114" s="99">
        <f t="shared" si="8"/>
        <v>700</v>
      </c>
      <c r="G114" s="51" t="s">
        <v>3</v>
      </c>
      <c r="H114" s="48">
        <v>2</v>
      </c>
      <c r="I114" s="49" t="s">
        <v>45</v>
      </c>
      <c r="J114" s="184">
        <v>90</v>
      </c>
      <c r="K114" s="75">
        <v>260</v>
      </c>
      <c r="L114" s="75">
        <v>700</v>
      </c>
      <c r="M114" s="185">
        <v>6.5435645070360522</v>
      </c>
      <c r="N114" s="87">
        <v>186.48</v>
      </c>
      <c r="O114" s="120">
        <v>11400.151484650391</v>
      </c>
      <c r="P114" s="119">
        <v>13832.742082133478</v>
      </c>
      <c r="Q114" s="120">
        <v>8629.8383359722393</v>
      </c>
      <c r="R114" s="314">
        <v>20029.989820622628</v>
      </c>
      <c r="S114" s="315">
        <v>22462.580418105717</v>
      </c>
      <c r="U114" s="7" t="s">
        <v>2237</v>
      </c>
    </row>
    <row r="115" spans="1:21" ht="16.5" thickBot="1">
      <c r="A115" s="50" t="s">
        <v>35</v>
      </c>
      <c r="B115" s="51">
        <f t="shared" si="6"/>
        <v>90</v>
      </c>
      <c r="C115" s="51" t="s">
        <v>3</v>
      </c>
      <c r="D115" s="51">
        <f t="shared" si="7"/>
        <v>260</v>
      </c>
      <c r="E115" s="51" t="s">
        <v>3</v>
      </c>
      <c r="F115" s="99">
        <f t="shared" si="8"/>
        <v>750</v>
      </c>
      <c r="G115" s="51" t="s">
        <v>3</v>
      </c>
      <c r="H115" s="48">
        <v>2</v>
      </c>
      <c r="I115" s="49" t="s">
        <v>45</v>
      </c>
      <c r="J115" s="184">
        <v>90</v>
      </c>
      <c r="K115" s="75">
        <v>260</v>
      </c>
      <c r="L115" s="75">
        <v>750</v>
      </c>
      <c r="M115" s="185">
        <v>6.9364911290213147</v>
      </c>
      <c r="N115" s="87">
        <v>213.11999999999998</v>
      </c>
      <c r="O115" s="120">
        <v>11834.089397787491</v>
      </c>
      <c r="P115" s="119">
        <v>14405.223956006364</v>
      </c>
      <c r="Q115" s="120">
        <v>9061.4489483391772</v>
      </c>
      <c r="R115" s="314">
        <v>20895.538346126668</v>
      </c>
      <c r="S115" s="315">
        <v>23466.672904345542</v>
      </c>
      <c r="U115" s="7" t="s">
        <v>2238</v>
      </c>
    </row>
    <row r="116" spans="1:21" ht="16.5" thickBot="1">
      <c r="A116" s="50" t="s">
        <v>35</v>
      </c>
      <c r="B116" s="51">
        <f t="shared" si="6"/>
        <v>90</v>
      </c>
      <c r="C116" s="51" t="s">
        <v>3</v>
      </c>
      <c r="D116" s="51">
        <f t="shared" si="7"/>
        <v>260</v>
      </c>
      <c r="E116" s="51" t="s">
        <v>3</v>
      </c>
      <c r="F116" s="99">
        <f t="shared" si="8"/>
        <v>800</v>
      </c>
      <c r="G116" s="51" t="s">
        <v>3</v>
      </c>
      <c r="H116" s="48">
        <v>2</v>
      </c>
      <c r="I116" s="49" t="s">
        <v>45</v>
      </c>
      <c r="J116" s="184">
        <v>90</v>
      </c>
      <c r="K116" s="75">
        <v>260</v>
      </c>
      <c r="L116" s="75">
        <v>800</v>
      </c>
      <c r="M116" s="185">
        <v>7.329417751006579</v>
      </c>
      <c r="N116" s="87">
        <v>239.76</v>
      </c>
      <c r="O116" s="120">
        <v>12268.027170531226</v>
      </c>
      <c r="P116" s="119">
        <v>14977.705689485889</v>
      </c>
      <c r="Q116" s="120">
        <v>9493.059560706115</v>
      </c>
      <c r="R116" s="314">
        <v>21761.086731237341</v>
      </c>
      <c r="S116" s="315">
        <v>24470.765250192002</v>
      </c>
      <c r="U116" s="7" t="s">
        <v>2239</v>
      </c>
    </row>
    <row r="117" spans="1:21" ht="16.5" thickBot="1">
      <c r="A117" s="50" t="s">
        <v>35</v>
      </c>
      <c r="B117" s="51">
        <f t="shared" si="6"/>
        <v>90</v>
      </c>
      <c r="C117" s="51" t="s">
        <v>3</v>
      </c>
      <c r="D117" s="51">
        <f t="shared" si="7"/>
        <v>260</v>
      </c>
      <c r="E117" s="51" t="s">
        <v>3</v>
      </c>
      <c r="F117" s="99">
        <f t="shared" si="8"/>
        <v>850</v>
      </c>
      <c r="G117" s="51" t="s">
        <v>3</v>
      </c>
      <c r="H117" s="48">
        <v>2</v>
      </c>
      <c r="I117" s="49" t="s">
        <v>45</v>
      </c>
      <c r="J117" s="184">
        <v>90</v>
      </c>
      <c r="K117" s="75">
        <v>260</v>
      </c>
      <c r="L117" s="75">
        <v>850</v>
      </c>
      <c r="M117" s="185">
        <v>7.7393843729918421</v>
      </c>
      <c r="N117" s="87">
        <v>266.39999999999998</v>
      </c>
      <c r="O117" s="120">
        <v>12701.965083668329</v>
      </c>
      <c r="P117" s="119">
        <v>15550.187563358779</v>
      </c>
      <c r="Q117" s="120">
        <v>10155.251950856327</v>
      </c>
      <c r="R117" s="314">
        <v>22857.217034524656</v>
      </c>
      <c r="S117" s="315">
        <v>25705.439514215104</v>
      </c>
      <c r="U117" s="7" t="s">
        <v>2240</v>
      </c>
    </row>
    <row r="118" spans="1:21" ht="16.5" thickBot="1">
      <c r="A118" s="50" t="s">
        <v>35</v>
      </c>
      <c r="B118" s="51">
        <f t="shared" si="6"/>
        <v>90</v>
      </c>
      <c r="C118" s="51" t="s">
        <v>3</v>
      </c>
      <c r="D118" s="51">
        <f t="shared" si="7"/>
        <v>260</v>
      </c>
      <c r="E118" s="51" t="s">
        <v>3</v>
      </c>
      <c r="F118" s="99">
        <f t="shared" si="8"/>
        <v>900</v>
      </c>
      <c r="G118" s="51" t="s">
        <v>3</v>
      </c>
      <c r="H118" s="48">
        <v>2</v>
      </c>
      <c r="I118" s="49" t="s">
        <v>45</v>
      </c>
      <c r="J118" s="184">
        <v>90</v>
      </c>
      <c r="K118" s="75">
        <v>260</v>
      </c>
      <c r="L118" s="75">
        <v>900</v>
      </c>
      <c r="M118" s="185">
        <v>8.1323109949771055</v>
      </c>
      <c r="N118" s="87">
        <v>293.03999999999996</v>
      </c>
      <c r="O118" s="120">
        <v>13135.902996805429</v>
      </c>
      <c r="P118" s="119">
        <v>16122.669437231665</v>
      </c>
      <c r="Q118" s="120">
        <v>10586.862563223265</v>
      </c>
      <c r="R118" s="314">
        <v>23722.765560028696</v>
      </c>
      <c r="S118" s="315">
        <v>26709.532000454928</v>
      </c>
      <c r="U118" s="7" t="s">
        <v>2241</v>
      </c>
    </row>
    <row r="119" spans="1:21" ht="16.5" thickBot="1">
      <c r="A119" s="50" t="s">
        <v>35</v>
      </c>
      <c r="B119" s="51">
        <f t="shared" si="6"/>
        <v>90</v>
      </c>
      <c r="C119" s="51" t="s">
        <v>3</v>
      </c>
      <c r="D119" s="51">
        <f t="shared" si="7"/>
        <v>260</v>
      </c>
      <c r="E119" s="51" t="s">
        <v>3</v>
      </c>
      <c r="F119" s="99">
        <f t="shared" si="8"/>
        <v>950</v>
      </c>
      <c r="G119" s="51" t="s">
        <v>3</v>
      </c>
      <c r="H119" s="48">
        <v>2</v>
      </c>
      <c r="I119" s="49" t="s">
        <v>45</v>
      </c>
      <c r="J119" s="184">
        <v>90</v>
      </c>
      <c r="K119" s="75">
        <v>260</v>
      </c>
      <c r="L119" s="75">
        <v>950</v>
      </c>
      <c r="M119" s="185">
        <v>8.5422776169623695</v>
      </c>
      <c r="N119" s="87">
        <v>319.67999999999995</v>
      </c>
      <c r="O119" s="120">
        <v>13569.840909942528</v>
      </c>
      <c r="P119" s="119">
        <v>16695.151311104553</v>
      </c>
      <c r="Q119" s="120">
        <v>11249.054953373477</v>
      </c>
      <c r="R119" s="314">
        <v>24818.895863316007</v>
      </c>
      <c r="S119" s="315">
        <v>27944.206264478031</v>
      </c>
      <c r="U119" s="7" t="s">
        <v>2242</v>
      </c>
    </row>
    <row r="120" spans="1:21" ht="16.5" thickBot="1">
      <c r="A120" s="50" t="s">
        <v>35</v>
      </c>
      <c r="B120" s="51">
        <f t="shared" si="6"/>
        <v>90</v>
      </c>
      <c r="C120" s="51" t="s">
        <v>3</v>
      </c>
      <c r="D120" s="51">
        <f t="shared" si="7"/>
        <v>260</v>
      </c>
      <c r="E120" s="51" t="s">
        <v>3</v>
      </c>
      <c r="F120" s="99">
        <f t="shared" si="8"/>
        <v>1000</v>
      </c>
      <c r="G120" s="51" t="s">
        <v>3</v>
      </c>
      <c r="H120" s="48">
        <v>2</v>
      </c>
      <c r="I120" s="49" t="s">
        <v>45</v>
      </c>
      <c r="J120" s="184">
        <v>90</v>
      </c>
      <c r="K120" s="75">
        <v>260</v>
      </c>
      <c r="L120" s="75">
        <v>1000</v>
      </c>
      <c r="M120" s="185">
        <v>8.935204238947632</v>
      </c>
      <c r="N120" s="87">
        <v>346.32</v>
      </c>
      <c r="O120" s="120">
        <v>14003.778682686265</v>
      </c>
      <c r="P120" s="119">
        <v>17267.633044584076</v>
      </c>
      <c r="Q120" s="120">
        <v>11680.665565740415</v>
      </c>
      <c r="R120" s="314">
        <v>25684.44424842668</v>
      </c>
      <c r="S120" s="315">
        <v>28948.298610324491</v>
      </c>
      <c r="U120" s="7" t="s">
        <v>2243</v>
      </c>
    </row>
    <row r="121" spans="1:21" ht="16.5" thickBot="1">
      <c r="A121" s="50" t="s">
        <v>35</v>
      </c>
      <c r="B121" s="51">
        <f t="shared" si="6"/>
        <v>90</v>
      </c>
      <c r="C121" s="51" t="s">
        <v>3</v>
      </c>
      <c r="D121" s="51">
        <f t="shared" si="7"/>
        <v>260</v>
      </c>
      <c r="E121" s="51" t="s">
        <v>3</v>
      </c>
      <c r="F121" s="99">
        <f t="shared" si="8"/>
        <v>1050</v>
      </c>
      <c r="G121" s="51" t="s">
        <v>3</v>
      </c>
      <c r="H121" s="48">
        <v>2</v>
      </c>
      <c r="I121" s="49" t="s">
        <v>45</v>
      </c>
      <c r="J121" s="184">
        <v>90</v>
      </c>
      <c r="K121" s="75">
        <v>260</v>
      </c>
      <c r="L121" s="75">
        <v>1050</v>
      </c>
      <c r="M121" s="185">
        <v>9.3451708609328961</v>
      </c>
      <c r="N121" s="87">
        <v>372.96</v>
      </c>
      <c r="O121" s="120">
        <v>14437.716595823365</v>
      </c>
      <c r="P121" s="119">
        <v>17840.114918456966</v>
      </c>
      <c r="Q121" s="120">
        <v>12342.857815497266</v>
      </c>
      <c r="R121" s="314">
        <v>26780.574411320631</v>
      </c>
      <c r="S121" s="315">
        <v>30182.97273395423</v>
      </c>
      <c r="U121" s="7" t="s">
        <v>2244</v>
      </c>
    </row>
    <row r="122" spans="1:21" ht="16.5" thickBot="1">
      <c r="A122" s="47" t="s">
        <v>35</v>
      </c>
      <c r="B122" s="48">
        <f t="shared" si="6"/>
        <v>90</v>
      </c>
      <c r="C122" s="48" t="s">
        <v>3</v>
      </c>
      <c r="D122" s="48">
        <f t="shared" si="7"/>
        <v>260</v>
      </c>
      <c r="E122" s="48" t="s">
        <v>3</v>
      </c>
      <c r="F122" s="99">
        <f t="shared" si="8"/>
        <v>1100</v>
      </c>
      <c r="G122" s="48" t="s">
        <v>3</v>
      </c>
      <c r="H122" s="48">
        <v>2</v>
      </c>
      <c r="I122" s="49" t="s">
        <v>45</v>
      </c>
      <c r="J122" s="184">
        <v>90</v>
      </c>
      <c r="K122" s="75">
        <v>260</v>
      </c>
      <c r="L122" s="75">
        <v>1100</v>
      </c>
      <c r="M122" s="185">
        <v>9.7380974829181604</v>
      </c>
      <c r="N122" s="87">
        <v>399.59999999999997</v>
      </c>
      <c r="O122" s="120">
        <v>14871.654508960464</v>
      </c>
      <c r="P122" s="119">
        <v>18412.596792329852</v>
      </c>
      <c r="Q122" s="120">
        <v>12774.468427864203</v>
      </c>
      <c r="R122" s="314">
        <v>27646.122936824668</v>
      </c>
      <c r="S122" s="315">
        <v>31187.065220194054</v>
      </c>
      <c r="U122" s="7" t="s">
        <v>2245</v>
      </c>
    </row>
    <row r="123" spans="1:21" ht="16.5" thickBot="1">
      <c r="A123" s="50" t="s">
        <v>35</v>
      </c>
      <c r="B123" s="51">
        <f t="shared" si="6"/>
        <v>90</v>
      </c>
      <c r="C123" s="51" t="s">
        <v>3</v>
      </c>
      <c r="D123" s="51">
        <f t="shared" si="7"/>
        <v>260</v>
      </c>
      <c r="E123" s="51" t="s">
        <v>3</v>
      </c>
      <c r="F123" s="99">
        <f t="shared" si="8"/>
        <v>1150</v>
      </c>
      <c r="G123" s="51" t="s">
        <v>3</v>
      </c>
      <c r="H123" s="48">
        <v>2</v>
      </c>
      <c r="I123" s="49" t="s">
        <v>45</v>
      </c>
      <c r="J123" s="184">
        <v>90</v>
      </c>
      <c r="K123" s="75">
        <v>260</v>
      </c>
      <c r="L123" s="75">
        <v>1150</v>
      </c>
      <c r="M123" s="185">
        <v>10.131024104903421</v>
      </c>
      <c r="N123" s="87">
        <v>426.23999999999995</v>
      </c>
      <c r="O123" s="120">
        <v>15305.592422097565</v>
      </c>
      <c r="P123" s="119">
        <v>18985.078666202742</v>
      </c>
      <c r="Q123" s="120">
        <v>13206.07904023114</v>
      </c>
      <c r="R123" s="314">
        <v>28511.671462328704</v>
      </c>
      <c r="S123" s="315">
        <v>32191.157706433882</v>
      </c>
      <c r="U123" s="7" t="s">
        <v>2246</v>
      </c>
    </row>
    <row r="124" spans="1:21" ht="16.5" thickBot="1">
      <c r="A124" s="50" t="s">
        <v>35</v>
      </c>
      <c r="B124" s="51">
        <f t="shared" si="6"/>
        <v>90</v>
      </c>
      <c r="C124" s="51" t="s">
        <v>3</v>
      </c>
      <c r="D124" s="51">
        <f t="shared" si="7"/>
        <v>260</v>
      </c>
      <c r="E124" s="51" t="s">
        <v>3</v>
      </c>
      <c r="F124" s="99">
        <f t="shared" si="8"/>
        <v>1200</v>
      </c>
      <c r="G124" s="51" t="s">
        <v>3</v>
      </c>
      <c r="H124" s="48">
        <v>2</v>
      </c>
      <c r="I124" s="49" t="s">
        <v>45</v>
      </c>
      <c r="J124" s="184">
        <v>90</v>
      </c>
      <c r="K124" s="75">
        <v>260</v>
      </c>
      <c r="L124" s="75">
        <v>1200</v>
      </c>
      <c r="M124" s="185">
        <v>10.580240726888684</v>
      </c>
      <c r="N124" s="87">
        <v>452.87999999999994</v>
      </c>
      <c r="O124" s="120">
        <v>15785.40204131783</v>
      </c>
      <c r="P124" s="119">
        <v>19603.71233091698</v>
      </c>
      <c r="Q124" s="120">
        <v>13868.271430381354</v>
      </c>
      <c r="R124" s="314">
        <v>29653.673471699185</v>
      </c>
      <c r="S124" s="315">
        <v>33471.983761298332</v>
      </c>
      <c r="U124" s="7" t="s">
        <v>2247</v>
      </c>
    </row>
    <row r="125" spans="1:21" ht="16.5" thickBot="1">
      <c r="A125" s="50" t="s">
        <v>35</v>
      </c>
      <c r="B125" s="51">
        <f t="shared" si="6"/>
        <v>90</v>
      </c>
      <c r="C125" s="51" t="s">
        <v>3</v>
      </c>
      <c r="D125" s="51">
        <f t="shared" si="7"/>
        <v>260</v>
      </c>
      <c r="E125" s="51" t="s">
        <v>3</v>
      </c>
      <c r="F125" s="99">
        <f t="shared" si="8"/>
        <v>1250</v>
      </c>
      <c r="G125" s="51" t="s">
        <v>3</v>
      </c>
      <c r="H125" s="48">
        <v>2</v>
      </c>
      <c r="I125" s="49" t="s">
        <v>45</v>
      </c>
      <c r="J125" s="184">
        <v>90</v>
      </c>
      <c r="K125" s="75">
        <v>260</v>
      </c>
      <c r="L125" s="75">
        <v>1250</v>
      </c>
      <c r="M125" s="185">
        <v>10.973167348873947</v>
      </c>
      <c r="N125" s="87">
        <v>479.52</v>
      </c>
      <c r="O125" s="120">
        <v>16219.339954454928</v>
      </c>
      <c r="P125" s="119">
        <v>20176.194204789866</v>
      </c>
      <c r="Q125" s="120">
        <v>14299.882042748291</v>
      </c>
      <c r="R125" s="314">
        <v>30519.221997203218</v>
      </c>
      <c r="S125" s="315">
        <v>34476.076247538156</v>
      </c>
      <c r="U125" s="7" t="s">
        <v>2248</v>
      </c>
    </row>
    <row r="126" spans="1:21" ht="16.5" thickBot="1">
      <c r="A126" s="50" t="s">
        <v>35</v>
      </c>
      <c r="B126" s="51">
        <f t="shared" si="6"/>
        <v>90</v>
      </c>
      <c r="C126" s="51" t="s">
        <v>3</v>
      </c>
      <c r="D126" s="51">
        <f t="shared" si="7"/>
        <v>260</v>
      </c>
      <c r="E126" s="51" t="s">
        <v>3</v>
      </c>
      <c r="F126" s="99">
        <f t="shared" si="8"/>
        <v>1300</v>
      </c>
      <c r="G126" s="51" t="s">
        <v>3</v>
      </c>
      <c r="H126" s="48">
        <v>2</v>
      </c>
      <c r="I126" s="49" t="s">
        <v>45</v>
      </c>
      <c r="J126" s="184">
        <v>90</v>
      </c>
      <c r="K126" s="75">
        <v>260</v>
      </c>
      <c r="L126" s="75">
        <v>1300</v>
      </c>
      <c r="M126" s="185">
        <v>11.383133970859213</v>
      </c>
      <c r="N126" s="87">
        <v>506.15999999999997</v>
      </c>
      <c r="O126" s="120">
        <v>16653.277727198663</v>
      </c>
      <c r="P126" s="119">
        <v>20748.676078662756</v>
      </c>
      <c r="Q126" s="120">
        <v>14962.074432898504</v>
      </c>
      <c r="R126" s="314">
        <v>31615.352160097165</v>
      </c>
      <c r="S126" s="315">
        <v>35710.750511561258</v>
      </c>
      <c r="U126" s="7" t="s">
        <v>2249</v>
      </c>
    </row>
    <row r="127" spans="1:21" ht="16.5" thickBot="1">
      <c r="A127" s="50" t="s">
        <v>35</v>
      </c>
      <c r="B127" s="51">
        <f t="shared" si="6"/>
        <v>90</v>
      </c>
      <c r="C127" s="51" t="s">
        <v>3</v>
      </c>
      <c r="D127" s="51">
        <f t="shared" si="7"/>
        <v>260</v>
      </c>
      <c r="E127" s="51" t="s">
        <v>3</v>
      </c>
      <c r="F127" s="99">
        <f t="shared" si="8"/>
        <v>1350</v>
      </c>
      <c r="G127" s="51" t="s">
        <v>3</v>
      </c>
      <c r="H127" s="48">
        <v>2</v>
      </c>
      <c r="I127" s="49" t="s">
        <v>45</v>
      </c>
      <c r="J127" s="184">
        <v>90</v>
      </c>
      <c r="K127" s="75">
        <v>260</v>
      </c>
      <c r="L127" s="75">
        <v>1350</v>
      </c>
      <c r="M127" s="185">
        <v>11.776060592844475</v>
      </c>
      <c r="N127" s="87">
        <v>532.79999999999995</v>
      </c>
      <c r="O127" s="120">
        <v>17087.215640335766</v>
      </c>
      <c r="P127" s="119">
        <v>21321.157812142279</v>
      </c>
      <c r="Q127" s="120">
        <v>15393.685045265442</v>
      </c>
      <c r="R127" s="314">
        <v>32480.900685601206</v>
      </c>
      <c r="S127" s="315">
        <v>36714.842857407719</v>
      </c>
      <c r="U127" s="7" t="s">
        <v>2250</v>
      </c>
    </row>
    <row r="128" spans="1:21" ht="16.5" thickBot="1">
      <c r="A128" s="50" t="s">
        <v>35</v>
      </c>
      <c r="B128" s="51">
        <f t="shared" si="6"/>
        <v>90</v>
      </c>
      <c r="C128" s="51" t="s">
        <v>3</v>
      </c>
      <c r="D128" s="51">
        <f t="shared" si="7"/>
        <v>260</v>
      </c>
      <c r="E128" s="51" t="s">
        <v>3</v>
      </c>
      <c r="F128" s="99">
        <f t="shared" si="8"/>
        <v>1400</v>
      </c>
      <c r="G128" s="51" t="s">
        <v>3</v>
      </c>
      <c r="H128" s="48">
        <v>2</v>
      </c>
      <c r="I128" s="49" t="s">
        <v>45</v>
      </c>
      <c r="J128" s="184">
        <v>90</v>
      </c>
      <c r="K128" s="75">
        <v>260</v>
      </c>
      <c r="L128" s="75">
        <v>1400</v>
      </c>
      <c r="M128" s="185">
        <v>12.186027214829737</v>
      </c>
      <c r="N128" s="87">
        <v>559.43999999999994</v>
      </c>
      <c r="O128" s="120">
        <v>17521.153553472865</v>
      </c>
      <c r="P128" s="119">
        <v>21893.639686015165</v>
      </c>
      <c r="Q128" s="120">
        <v>16055.877435415654</v>
      </c>
      <c r="R128" s="314">
        <v>33577.030988888517</v>
      </c>
      <c r="S128" s="315">
        <v>37949.517121430821</v>
      </c>
      <c r="U128" s="7" t="s">
        <v>2251</v>
      </c>
    </row>
    <row r="129" spans="1:21" ht="16.5" thickBot="1">
      <c r="A129" s="50" t="s">
        <v>35</v>
      </c>
      <c r="B129" s="51">
        <f t="shared" si="6"/>
        <v>90</v>
      </c>
      <c r="C129" s="51" t="s">
        <v>3</v>
      </c>
      <c r="D129" s="51">
        <f t="shared" si="7"/>
        <v>260</v>
      </c>
      <c r="E129" s="51" t="s">
        <v>3</v>
      </c>
      <c r="F129" s="99">
        <f t="shared" si="8"/>
        <v>1450</v>
      </c>
      <c r="G129" s="51" t="s">
        <v>3</v>
      </c>
      <c r="H129" s="48">
        <v>2</v>
      </c>
      <c r="I129" s="49" t="s">
        <v>45</v>
      </c>
      <c r="J129" s="184">
        <v>90</v>
      </c>
      <c r="K129" s="75">
        <v>260</v>
      </c>
      <c r="L129" s="75">
        <v>1450</v>
      </c>
      <c r="M129" s="185">
        <v>12.578953836815</v>
      </c>
      <c r="N129" s="87">
        <v>586.07999999999993</v>
      </c>
      <c r="O129" s="120">
        <v>17955.091466609963</v>
      </c>
      <c r="P129" s="119">
        <v>22466.121559888055</v>
      </c>
      <c r="Q129" s="120">
        <v>16487.48804778259</v>
      </c>
      <c r="R129" s="314">
        <v>34442.57951439255</v>
      </c>
      <c r="S129" s="315">
        <v>38953.609607670645</v>
      </c>
      <c r="U129" s="7" t="s">
        <v>2252</v>
      </c>
    </row>
    <row r="130" spans="1:21" ht="16.5" thickBot="1">
      <c r="A130" s="50" t="s">
        <v>35</v>
      </c>
      <c r="B130" s="51">
        <f t="shared" si="6"/>
        <v>90</v>
      </c>
      <c r="C130" s="51" t="s">
        <v>3</v>
      </c>
      <c r="D130" s="51">
        <f t="shared" si="7"/>
        <v>260</v>
      </c>
      <c r="E130" s="51" t="s">
        <v>3</v>
      </c>
      <c r="F130" s="99">
        <f t="shared" si="8"/>
        <v>1500</v>
      </c>
      <c r="G130" s="51" t="s">
        <v>3</v>
      </c>
      <c r="H130" s="48">
        <v>2</v>
      </c>
      <c r="I130" s="49" t="s">
        <v>45</v>
      </c>
      <c r="J130" s="184">
        <v>90</v>
      </c>
      <c r="K130" s="75">
        <v>260</v>
      </c>
      <c r="L130" s="75">
        <v>1500</v>
      </c>
      <c r="M130" s="185">
        <v>13.112684647600261</v>
      </c>
      <c r="N130" s="87">
        <v>612.72</v>
      </c>
      <c r="O130" s="120">
        <v>18978.436656222864</v>
      </c>
      <c r="P130" s="119">
        <v>23574.211973726742</v>
      </c>
      <c r="Q130" s="120">
        <v>17149.680437932802</v>
      </c>
      <c r="R130" s="314">
        <v>36128.117094155663</v>
      </c>
      <c r="S130" s="315">
        <v>40723.892411659544</v>
      </c>
      <c r="U130" s="7" t="s">
        <v>2253</v>
      </c>
    </row>
    <row r="131" spans="1:21" ht="16.5" thickBot="1">
      <c r="A131" s="50" t="s">
        <v>35</v>
      </c>
      <c r="B131" s="51">
        <f t="shared" si="6"/>
        <v>90</v>
      </c>
      <c r="C131" s="51" t="s">
        <v>3</v>
      </c>
      <c r="D131" s="51">
        <f t="shared" si="7"/>
        <v>260</v>
      </c>
      <c r="E131" s="51" t="s">
        <v>3</v>
      </c>
      <c r="F131" s="99">
        <f t="shared" si="8"/>
        <v>1550</v>
      </c>
      <c r="G131" s="51" t="s">
        <v>3</v>
      </c>
      <c r="H131" s="48">
        <v>2</v>
      </c>
      <c r="I131" s="49" t="s">
        <v>45</v>
      </c>
      <c r="J131" s="184">
        <v>90</v>
      </c>
      <c r="K131" s="75">
        <v>260</v>
      </c>
      <c r="L131" s="75">
        <v>1550</v>
      </c>
      <c r="M131" s="185">
        <v>13.505611269585525</v>
      </c>
      <c r="N131" s="87">
        <v>639.3599999999999</v>
      </c>
      <c r="O131" s="120">
        <v>19412.374428966603</v>
      </c>
      <c r="P131" s="119">
        <v>24146.693847599628</v>
      </c>
      <c r="Q131" s="120">
        <v>17581.29105029974</v>
      </c>
      <c r="R131" s="314">
        <v>36993.665479266347</v>
      </c>
      <c r="S131" s="315">
        <v>41727.984897899369</v>
      </c>
      <c r="U131" s="7" t="s">
        <v>2254</v>
      </c>
    </row>
    <row r="132" spans="1:21" ht="16.5" thickBot="1">
      <c r="A132" s="47" t="s">
        <v>35</v>
      </c>
      <c r="B132" s="48">
        <f t="shared" si="6"/>
        <v>90</v>
      </c>
      <c r="C132" s="48" t="s">
        <v>3</v>
      </c>
      <c r="D132" s="48">
        <f t="shared" si="7"/>
        <v>260</v>
      </c>
      <c r="E132" s="48" t="s">
        <v>3</v>
      </c>
      <c r="F132" s="99">
        <f t="shared" si="8"/>
        <v>1600</v>
      </c>
      <c r="G132" s="48" t="s">
        <v>3</v>
      </c>
      <c r="H132" s="48">
        <v>2</v>
      </c>
      <c r="I132" s="49" t="s">
        <v>45</v>
      </c>
      <c r="J132" s="184">
        <v>90</v>
      </c>
      <c r="K132" s="75">
        <v>260</v>
      </c>
      <c r="L132" s="75">
        <v>1600</v>
      </c>
      <c r="M132" s="185">
        <v>13.89853789157079</v>
      </c>
      <c r="N132" s="87">
        <v>666</v>
      </c>
      <c r="O132" s="120">
        <v>19846.312342103705</v>
      </c>
      <c r="P132" s="119">
        <v>24719.175721472518</v>
      </c>
      <c r="Q132" s="120">
        <v>18012.901662666678</v>
      </c>
      <c r="R132" s="314">
        <v>37859.214004770387</v>
      </c>
      <c r="S132" s="315">
        <v>42732.077384139193</v>
      </c>
      <c r="U132" s="7" t="s">
        <v>2255</v>
      </c>
    </row>
    <row r="133" spans="1:21" ht="16.5" thickBot="1">
      <c r="A133" s="50" t="s">
        <v>35</v>
      </c>
      <c r="B133" s="51">
        <f t="shared" si="6"/>
        <v>90</v>
      </c>
      <c r="C133" s="51" t="s">
        <v>3</v>
      </c>
      <c r="D133" s="51">
        <f t="shared" si="7"/>
        <v>260</v>
      </c>
      <c r="E133" s="51" t="s">
        <v>3</v>
      </c>
      <c r="F133" s="99">
        <f t="shared" si="8"/>
        <v>1650</v>
      </c>
      <c r="G133" s="51" t="s">
        <v>3</v>
      </c>
      <c r="H133" s="48">
        <v>2</v>
      </c>
      <c r="I133" s="49" t="s">
        <v>45</v>
      </c>
      <c r="J133" s="184">
        <v>90</v>
      </c>
      <c r="K133" s="75">
        <v>260</v>
      </c>
      <c r="L133" s="75">
        <v>1650</v>
      </c>
      <c r="M133" s="185">
        <v>14.308504513556054</v>
      </c>
      <c r="N133" s="87">
        <v>692.64</v>
      </c>
      <c r="O133" s="120">
        <v>20280.250255240804</v>
      </c>
      <c r="P133" s="119">
        <v>25291.657454952041</v>
      </c>
      <c r="Q133" s="120">
        <v>18675.09391242353</v>
      </c>
      <c r="R133" s="314">
        <v>38955.344167664334</v>
      </c>
      <c r="S133" s="315">
        <v>43966.751367375575</v>
      </c>
      <c r="U133" s="7" t="s">
        <v>2256</v>
      </c>
    </row>
    <row r="134" spans="1:21" ht="16.5" thickBot="1">
      <c r="A134" s="50" t="s">
        <v>35</v>
      </c>
      <c r="B134" s="51">
        <f t="shared" si="6"/>
        <v>90</v>
      </c>
      <c r="C134" s="51" t="s">
        <v>3</v>
      </c>
      <c r="D134" s="51">
        <f t="shared" si="7"/>
        <v>260</v>
      </c>
      <c r="E134" s="51" t="s">
        <v>3</v>
      </c>
      <c r="F134" s="99">
        <f t="shared" si="8"/>
        <v>1700</v>
      </c>
      <c r="G134" s="51" t="s">
        <v>3</v>
      </c>
      <c r="H134" s="48">
        <v>2</v>
      </c>
      <c r="I134" s="49" t="s">
        <v>45</v>
      </c>
      <c r="J134" s="184">
        <v>90</v>
      </c>
      <c r="K134" s="75">
        <v>260</v>
      </c>
      <c r="L134" s="75">
        <v>1700</v>
      </c>
      <c r="M134" s="185">
        <v>14.701431135541316</v>
      </c>
      <c r="N134" s="87">
        <v>719.28</v>
      </c>
      <c r="O134" s="120">
        <v>20714.188168377903</v>
      </c>
      <c r="P134" s="119">
        <v>25864.139328824927</v>
      </c>
      <c r="Q134" s="120">
        <v>19106.704524790468</v>
      </c>
      <c r="R134" s="314">
        <v>39820.892693168367</v>
      </c>
      <c r="S134" s="315">
        <v>44970.843853615399</v>
      </c>
      <c r="U134" s="7" t="s">
        <v>2257</v>
      </c>
    </row>
    <row r="135" spans="1:21" ht="16.5" thickBot="1">
      <c r="A135" s="50" t="s">
        <v>35</v>
      </c>
      <c r="B135" s="51">
        <f t="shared" si="6"/>
        <v>90</v>
      </c>
      <c r="C135" s="51" t="s">
        <v>3</v>
      </c>
      <c r="D135" s="51">
        <f t="shared" si="7"/>
        <v>260</v>
      </c>
      <c r="E135" s="51" t="s">
        <v>3</v>
      </c>
      <c r="F135" s="99">
        <f t="shared" si="8"/>
        <v>1750</v>
      </c>
      <c r="G135" s="51" t="s">
        <v>3</v>
      </c>
      <c r="H135" s="48">
        <v>2</v>
      </c>
      <c r="I135" s="49" t="s">
        <v>45</v>
      </c>
      <c r="J135" s="184">
        <v>90</v>
      </c>
      <c r="K135" s="75">
        <v>260</v>
      </c>
      <c r="L135" s="75">
        <v>1750</v>
      </c>
      <c r="M135" s="185">
        <v>15.111397757526579</v>
      </c>
      <c r="N135" s="87">
        <v>745.92</v>
      </c>
      <c r="O135" s="120">
        <v>21148.125941121642</v>
      </c>
      <c r="P135" s="119">
        <v>26436.621202697821</v>
      </c>
      <c r="Q135" s="120">
        <v>19768.89691494068</v>
      </c>
      <c r="R135" s="314">
        <v>40917.022856062322</v>
      </c>
      <c r="S135" s="315">
        <v>46205.518117638501</v>
      </c>
      <c r="U135" s="7" t="s">
        <v>2258</v>
      </c>
    </row>
    <row r="136" spans="1:21" ht="16.5" thickBot="1">
      <c r="A136" s="50" t="s">
        <v>35</v>
      </c>
      <c r="B136" s="51">
        <f t="shared" si="6"/>
        <v>90</v>
      </c>
      <c r="C136" s="51" t="s">
        <v>3</v>
      </c>
      <c r="D136" s="51">
        <f t="shared" si="7"/>
        <v>260</v>
      </c>
      <c r="E136" s="51" t="s">
        <v>3</v>
      </c>
      <c r="F136" s="99">
        <f t="shared" si="8"/>
        <v>1800</v>
      </c>
      <c r="G136" s="51" t="s">
        <v>3</v>
      </c>
      <c r="H136" s="48">
        <v>2</v>
      </c>
      <c r="I136" s="49" t="s">
        <v>45</v>
      </c>
      <c r="J136" s="184">
        <v>90</v>
      </c>
      <c r="K136" s="75">
        <v>260</v>
      </c>
      <c r="L136" s="75">
        <v>1800</v>
      </c>
      <c r="M136" s="185">
        <v>15.504324379511841</v>
      </c>
      <c r="N136" s="87">
        <v>772.56</v>
      </c>
      <c r="O136" s="120">
        <v>21582.063854258744</v>
      </c>
      <c r="P136" s="119">
        <v>27009.103076570707</v>
      </c>
      <c r="Q136" s="120">
        <v>20200.507527307618</v>
      </c>
      <c r="R136" s="314">
        <v>41782.571381566362</v>
      </c>
      <c r="S136" s="315">
        <v>47209.610603878325</v>
      </c>
      <c r="U136" s="7" t="s">
        <v>2259</v>
      </c>
    </row>
    <row r="137" spans="1:21" ht="16.5" thickBot="1">
      <c r="A137" s="50" t="s">
        <v>35</v>
      </c>
      <c r="B137" s="51">
        <f t="shared" si="6"/>
        <v>90</v>
      </c>
      <c r="C137" s="51" t="s">
        <v>3</v>
      </c>
      <c r="D137" s="51">
        <f t="shared" si="7"/>
        <v>260</v>
      </c>
      <c r="E137" s="51" t="s">
        <v>3</v>
      </c>
      <c r="F137" s="99">
        <f t="shared" si="8"/>
        <v>1850</v>
      </c>
      <c r="G137" s="51" t="s">
        <v>3</v>
      </c>
      <c r="H137" s="48">
        <v>2</v>
      </c>
      <c r="I137" s="49" t="s">
        <v>45</v>
      </c>
      <c r="J137" s="184">
        <v>90</v>
      </c>
      <c r="K137" s="75">
        <v>260</v>
      </c>
      <c r="L137" s="75">
        <v>1850</v>
      </c>
      <c r="M137" s="185">
        <v>15.914291001497105</v>
      </c>
      <c r="N137" s="87">
        <v>799.19999999999993</v>
      </c>
      <c r="O137" s="120">
        <v>22016.001767395843</v>
      </c>
      <c r="P137" s="119">
        <v>27581.584950443594</v>
      </c>
      <c r="Q137" s="120">
        <v>20862.69991745783</v>
      </c>
      <c r="R137" s="314">
        <v>42878.701684853673</v>
      </c>
      <c r="S137" s="315">
        <v>48444.284867901428</v>
      </c>
      <c r="U137" s="7" t="s">
        <v>2260</v>
      </c>
    </row>
    <row r="138" spans="1:21" ht="16.5" thickBot="1">
      <c r="A138" s="50" t="s">
        <v>35</v>
      </c>
      <c r="B138" s="51">
        <f t="shared" si="6"/>
        <v>90</v>
      </c>
      <c r="C138" s="51" t="s">
        <v>3</v>
      </c>
      <c r="D138" s="51">
        <f t="shared" si="7"/>
        <v>260</v>
      </c>
      <c r="E138" s="51" t="s">
        <v>3</v>
      </c>
      <c r="F138" s="99">
        <f t="shared" si="8"/>
        <v>1900</v>
      </c>
      <c r="G138" s="51" t="s">
        <v>3</v>
      </c>
      <c r="H138" s="48">
        <v>2</v>
      </c>
      <c r="I138" s="49" t="s">
        <v>45</v>
      </c>
      <c r="J138" s="184">
        <v>90</v>
      </c>
      <c r="K138" s="75">
        <v>260</v>
      </c>
      <c r="L138" s="75">
        <v>1900</v>
      </c>
      <c r="M138" s="185">
        <v>16.307217623482369</v>
      </c>
      <c r="N138" s="87">
        <v>825.84</v>
      </c>
      <c r="O138" s="120">
        <v>22449.939680532942</v>
      </c>
      <c r="P138" s="119">
        <v>28154.066683923116</v>
      </c>
      <c r="Q138" s="120">
        <v>21294.310529824768</v>
      </c>
      <c r="R138" s="314">
        <v>43744.250210357714</v>
      </c>
      <c r="S138" s="315">
        <v>49448.377213747881</v>
      </c>
      <c r="U138" s="7" t="s">
        <v>2261</v>
      </c>
    </row>
    <row r="139" spans="1:21" ht="16.5" thickBot="1">
      <c r="A139" s="50" t="s">
        <v>35</v>
      </c>
      <c r="B139" s="51">
        <f t="shared" si="6"/>
        <v>90</v>
      </c>
      <c r="C139" s="51" t="s">
        <v>3</v>
      </c>
      <c r="D139" s="51">
        <f t="shared" si="7"/>
        <v>260</v>
      </c>
      <c r="E139" s="51" t="s">
        <v>3</v>
      </c>
      <c r="F139" s="99">
        <f t="shared" si="8"/>
        <v>1950</v>
      </c>
      <c r="G139" s="51" t="s">
        <v>3</v>
      </c>
      <c r="H139" s="48">
        <v>2</v>
      </c>
      <c r="I139" s="49" t="s">
        <v>45</v>
      </c>
      <c r="J139" s="184">
        <v>90</v>
      </c>
      <c r="K139" s="75">
        <v>260</v>
      </c>
      <c r="L139" s="75">
        <v>1950</v>
      </c>
      <c r="M139" s="185">
        <v>16.739394245467633</v>
      </c>
      <c r="N139" s="87">
        <v>852.4799999999999</v>
      </c>
      <c r="O139" s="120">
        <v>22929.749299753203</v>
      </c>
      <c r="P139" s="119">
        <v>28772.700348637354</v>
      </c>
      <c r="Q139" s="120">
        <v>21725.921142191706</v>
      </c>
      <c r="R139" s="314">
        <v>44655.670441944909</v>
      </c>
      <c r="S139" s="315">
        <v>50498.621490829057</v>
      </c>
      <c r="U139" s="7" t="s">
        <v>2262</v>
      </c>
    </row>
    <row r="140" spans="1:21" ht="16.5" thickBot="1">
      <c r="A140" s="50" t="s">
        <v>35</v>
      </c>
      <c r="B140" s="51">
        <f t="shared" si="6"/>
        <v>90</v>
      </c>
      <c r="C140" s="51" t="s">
        <v>3</v>
      </c>
      <c r="D140" s="51">
        <f t="shared" si="7"/>
        <v>260</v>
      </c>
      <c r="E140" s="51" t="s">
        <v>3</v>
      </c>
      <c r="F140" s="99">
        <f t="shared" si="8"/>
        <v>2000</v>
      </c>
      <c r="G140" s="51" t="s">
        <v>3</v>
      </c>
      <c r="H140" s="48">
        <v>2</v>
      </c>
      <c r="I140" s="49" t="s">
        <v>45</v>
      </c>
      <c r="J140" s="184">
        <v>90</v>
      </c>
      <c r="K140" s="75">
        <v>260</v>
      </c>
      <c r="L140" s="75">
        <v>2000</v>
      </c>
      <c r="M140" s="185">
        <v>17.240923267452896</v>
      </c>
      <c r="N140" s="87">
        <v>879.12</v>
      </c>
      <c r="O140" s="120">
        <v>23594.230242105532</v>
      </c>
      <c r="P140" s="119">
        <v>29657.862950029543</v>
      </c>
      <c r="Q140" s="120">
        <v>22388.113532341918</v>
      </c>
      <c r="R140" s="314">
        <v>45982.34377444745</v>
      </c>
      <c r="S140" s="315">
        <v>52045.976482371465</v>
      </c>
      <c r="U140" s="7" t="s">
        <v>2263</v>
      </c>
    </row>
    <row r="141" spans="1:21" ht="16.5" thickBot="1">
      <c r="A141" s="50" t="s">
        <v>35</v>
      </c>
      <c r="B141" s="51">
        <f t="shared" si="6"/>
        <v>90</v>
      </c>
      <c r="C141" s="51" t="s">
        <v>3</v>
      </c>
      <c r="D141" s="51">
        <f t="shared" si="7"/>
        <v>260</v>
      </c>
      <c r="E141" s="51" t="s">
        <v>3</v>
      </c>
      <c r="F141" s="99">
        <f t="shared" si="8"/>
        <v>2050</v>
      </c>
      <c r="G141" s="51" t="s">
        <v>3</v>
      </c>
      <c r="H141" s="48">
        <v>2</v>
      </c>
      <c r="I141" s="49" t="s">
        <v>45</v>
      </c>
      <c r="J141" s="184">
        <v>90</v>
      </c>
      <c r="K141" s="75">
        <v>260</v>
      </c>
      <c r="L141" s="75">
        <v>2050</v>
      </c>
      <c r="M141" s="185">
        <v>17.633849889438157</v>
      </c>
      <c r="N141" s="87">
        <v>905.75999999999988</v>
      </c>
      <c r="O141" s="120">
        <v>24028.168014849271</v>
      </c>
      <c r="P141" s="119">
        <v>30230.344823902429</v>
      </c>
      <c r="Q141" s="120">
        <v>22819.724144708856</v>
      </c>
      <c r="R141" s="314">
        <v>46847.892159558127</v>
      </c>
      <c r="S141" s="315">
        <v>53050.068968611289</v>
      </c>
      <c r="U141" s="7" t="s">
        <v>2264</v>
      </c>
    </row>
    <row r="142" spans="1:21" ht="16.5" thickBot="1">
      <c r="A142" s="47" t="s">
        <v>35</v>
      </c>
      <c r="B142" s="48">
        <f t="shared" si="6"/>
        <v>90</v>
      </c>
      <c r="C142" s="48" t="s">
        <v>3</v>
      </c>
      <c r="D142" s="48">
        <f t="shared" si="7"/>
        <v>260</v>
      </c>
      <c r="E142" s="48" t="s">
        <v>3</v>
      </c>
      <c r="F142" s="99">
        <f t="shared" si="8"/>
        <v>2100</v>
      </c>
      <c r="G142" s="48" t="s">
        <v>3</v>
      </c>
      <c r="H142" s="48">
        <v>2</v>
      </c>
      <c r="I142" s="49" t="s">
        <v>45</v>
      </c>
      <c r="J142" s="184">
        <v>90</v>
      </c>
      <c r="K142" s="75">
        <v>260</v>
      </c>
      <c r="L142" s="75">
        <v>2100</v>
      </c>
      <c r="M142" s="185">
        <v>18.043816511423422</v>
      </c>
      <c r="N142" s="87">
        <v>932.4</v>
      </c>
      <c r="O142" s="120">
        <v>24462.105927986366</v>
      </c>
      <c r="P142" s="119">
        <v>30802.826697775319</v>
      </c>
      <c r="Q142" s="120">
        <v>23481.916534859069</v>
      </c>
      <c r="R142" s="314">
        <v>47944.022462845431</v>
      </c>
      <c r="S142" s="315">
        <v>54284.743232634384</v>
      </c>
      <c r="U142" s="7" t="s">
        <v>2265</v>
      </c>
    </row>
    <row r="143" spans="1:21" ht="16.5" thickBot="1">
      <c r="A143" s="50" t="s">
        <v>35</v>
      </c>
      <c r="B143" s="51">
        <f t="shared" si="6"/>
        <v>90</v>
      </c>
      <c r="C143" s="51" t="s">
        <v>3</v>
      </c>
      <c r="D143" s="51">
        <f t="shared" si="7"/>
        <v>260</v>
      </c>
      <c r="E143" s="51" t="s">
        <v>3</v>
      </c>
      <c r="F143" s="99">
        <f t="shared" si="8"/>
        <v>2150</v>
      </c>
      <c r="G143" s="51" t="s">
        <v>3</v>
      </c>
      <c r="H143" s="48">
        <v>2</v>
      </c>
      <c r="I143" s="49" t="s">
        <v>45</v>
      </c>
      <c r="J143" s="184">
        <v>90</v>
      </c>
      <c r="K143" s="75">
        <v>260</v>
      </c>
      <c r="L143" s="75">
        <v>2150</v>
      </c>
      <c r="M143" s="185">
        <v>18.436743133408683</v>
      </c>
      <c r="N143" s="87">
        <v>959.04</v>
      </c>
      <c r="O143" s="120">
        <v>24896.043841123472</v>
      </c>
      <c r="P143" s="119">
        <v>31375.308571648209</v>
      </c>
      <c r="Q143" s="120">
        <v>23913.527147226006</v>
      </c>
      <c r="R143" s="314">
        <v>48809.570988349478</v>
      </c>
      <c r="S143" s="315">
        <v>55288.835718874216</v>
      </c>
      <c r="U143" s="7" t="s">
        <v>2266</v>
      </c>
    </row>
    <row r="144" spans="1:21" ht="16.5" thickBot="1">
      <c r="A144" s="50" t="s">
        <v>35</v>
      </c>
      <c r="B144" s="51">
        <f t="shared" si="6"/>
        <v>90</v>
      </c>
      <c r="C144" s="51" t="s">
        <v>3</v>
      </c>
      <c r="D144" s="51">
        <f t="shared" si="7"/>
        <v>260</v>
      </c>
      <c r="E144" s="51" t="s">
        <v>3</v>
      </c>
      <c r="F144" s="99">
        <f t="shared" si="8"/>
        <v>2200</v>
      </c>
      <c r="G144" s="51" t="s">
        <v>3</v>
      </c>
      <c r="H144" s="48">
        <v>2</v>
      </c>
      <c r="I144" s="49" t="s">
        <v>45</v>
      </c>
      <c r="J144" s="184">
        <v>90</v>
      </c>
      <c r="K144" s="75">
        <v>260</v>
      </c>
      <c r="L144" s="75">
        <v>2200</v>
      </c>
      <c r="M144" s="185">
        <v>18.846709755393945</v>
      </c>
      <c r="N144" s="87">
        <v>985.68</v>
      </c>
      <c r="O144" s="120">
        <v>25329.981754260567</v>
      </c>
      <c r="P144" s="119">
        <v>31947.790445521096</v>
      </c>
      <c r="Q144" s="120">
        <v>24575.719537376219</v>
      </c>
      <c r="R144" s="314">
        <v>49905.701291636782</v>
      </c>
      <c r="S144" s="315">
        <v>56523.509982897318</v>
      </c>
      <c r="U144" s="7" t="s">
        <v>2267</v>
      </c>
    </row>
    <row r="145" spans="1:21" ht="16.5" thickBot="1">
      <c r="A145" s="50" t="s">
        <v>35</v>
      </c>
      <c r="B145" s="51">
        <f t="shared" si="6"/>
        <v>90</v>
      </c>
      <c r="C145" s="51" t="s">
        <v>3</v>
      </c>
      <c r="D145" s="51">
        <f t="shared" si="7"/>
        <v>260</v>
      </c>
      <c r="E145" s="51" t="s">
        <v>3</v>
      </c>
      <c r="F145" s="99">
        <f t="shared" si="8"/>
        <v>2250</v>
      </c>
      <c r="G145" s="51" t="s">
        <v>3</v>
      </c>
      <c r="H145" s="48">
        <v>2</v>
      </c>
      <c r="I145" s="49" t="s">
        <v>45</v>
      </c>
      <c r="J145" s="184">
        <v>90</v>
      </c>
      <c r="K145" s="75">
        <v>260</v>
      </c>
      <c r="L145" s="75">
        <v>2250</v>
      </c>
      <c r="M145" s="185">
        <v>19.23963637737921</v>
      </c>
      <c r="N145" s="87">
        <v>1012.3199999999999</v>
      </c>
      <c r="O145" s="120">
        <v>25763.919527004306</v>
      </c>
      <c r="P145" s="119">
        <v>32520.272179000622</v>
      </c>
      <c r="Q145" s="120">
        <v>25007.330009349789</v>
      </c>
      <c r="R145" s="314">
        <v>50771.249536354095</v>
      </c>
      <c r="S145" s="315">
        <v>57527.602188350415</v>
      </c>
      <c r="U145" s="7" t="s">
        <v>2268</v>
      </c>
    </row>
    <row r="146" spans="1:21" ht="16.5" thickBot="1">
      <c r="A146" s="50" t="s">
        <v>35</v>
      </c>
      <c r="B146" s="51">
        <f t="shared" si="6"/>
        <v>90</v>
      </c>
      <c r="C146" s="51" t="s">
        <v>3</v>
      </c>
      <c r="D146" s="51">
        <f t="shared" si="7"/>
        <v>260</v>
      </c>
      <c r="E146" s="51" t="s">
        <v>3</v>
      </c>
      <c r="F146" s="99">
        <f t="shared" si="8"/>
        <v>2300</v>
      </c>
      <c r="G146" s="51" t="s">
        <v>3</v>
      </c>
      <c r="H146" s="48">
        <v>2</v>
      </c>
      <c r="I146" s="49" t="s">
        <v>45</v>
      </c>
      <c r="J146" s="184">
        <v>90</v>
      </c>
      <c r="K146" s="75">
        <v>260</v>
      </c>
      <c r="L146" s="75">
        <v>2300</v>
      </c>
      <c r="M146" s="185">
        <v>19.632562999364474</v>
      </c>
      <c r="N146" s="87">
        <v>1038.9599999999998</v>
      </c>
      <c r="O146" s="120">
        <v>26197.857440141404</v>
      </c>
      <c r="P146" s="119">
        <v>33092.754052873512</v>
      </c>
      <c r="Q146" s="120">
        <v>25438.940621716731</v>
      </c>
      <c r="R146" s="314">
        <v>51636.798061858135</v>
      </c>
      <c r="S146" s="315">
        <v>58531.694674590239</v>
      </c>
      <c r="U146" s="7" t="s">
        <v>2269</v>
      </c>
    </row>
    <row r="147" spans="1:21" ht="16.5" thickBot="1">
      <c r="A147" s="50" t="s">
        <v>35</v>
      </c>
      <c r="B147" s="51">
        <f t="shared" si="6"/>
        <v>90</v>
      </c>
      <c r="C147" s="51" t="s">
        <v>3</v>
      </c>
      <c r="D147" s="51">
        <f t="shared" si="7"/>
        <v>260</v>
      </c>
      <c r="E147" s="51" t="s">
        <v>3</v>
      </c>
      <c r="F147" s="99">
        <f t="shared" si="8"/>
        <v>2350</v>
      </c>
      <c r="G147" s="51" t="s">
        <v>3</v>
      </c>
      <c r="H147" s="48">
        <v>2</v>
      </c>
      <c r="I147" s="49" t="s">
        <v>45</v>
      </c>
      <c r="J147" s="184">
        <v>90</v>
      </c>
      <c r="K147" s="75">
        <v>260</v>
      </c>
      <c r="L147" s="75">
        <v>2350</v>
      </c>
      <c r="M147" s="185">
        <v>20.042529621349736</v>
      </c>
      <c r="N147" s="87">
        <v>1065.5999999999999</v>
      </c>
      <c r="O147" s="120">
        <v>26631.795353278507</v>
      </c>
      <c r="P147" s="119">
        <v>33665.235926746398</v>
      </c>
      <c r="Q147" s="120">
        <v>26101.133011866939</v>
      </c>
      <c r="R147" s="314">
        <v>52732.928365145446</v>
      </c>
      <c r="S147" s="315">
        <v>59766.368938613334</v>
      </c>
      <c r="U147" s="7" t="s">
        <v>2270</v>
      </c>
    </row>
    <row r="148" spans="1:21" ht="16.5" thickBot="1">
      <c r="A148" s="50" t="s">
        <v>35</v>
      </c>
      <c r="B148" s="51">
        <f t="shared" si="6"/>
        <v>90</v>
      </c>
      <c r="C148" s="51" t="s">
        <v>3</v>
      </c>
      <c r="D148" s="51">
        <f t="shared" si="7"/>
        <v>260</v>
      </c>
      <c r="E148" s="51" t="s">
        <v>3</v>
      </c>
      <c r="F148" s="99">
        <f t="shared" si="8"/>
        <v>2400</v>
      </c>
      <c r="G148" s="51" t="s">
        <v>3</v>
      </c>
      <c r="H148" s="48">
        <v>2</v>
      </c>
      <c r="I148" s="49" t="s">
        <v>45</v>
      </c>
      <c r="J148" s="184">
        <v>90</v>
      </c>
      <c r="K148" s="75">
        <v>260</v>
      </c>
      <c r="L148" s="75">
        <v>2400</v>
      </c>
      <c r="M148" s="185">
        <v>20.435456243335</v>
      </c>
      <c r="N148" s="87">
        <v>1092.24</v>
      </c>
      <c r="O148" s="120">
        <v>27065.733266415602</v>
      </c>
      <c r="P148" s="119">
        <v>34237.717800619284</v>
      </c>
      <c r="Q148" s="120">
        <v>26532.743624233881</v>
      </c>
      <c r="R148" s="314">
        <v>53598.476890649486</v>
      </c>
      <c r="S148" s="315">
        <v>60770.461424853165</v>
      </c>
      <c r="U148" s="7" t="s">
        <v>2271</v>
      </c>
    </row>
    <row r="149" spans="1:21" ht="16.5" thickBot="1">
      <c r="A149" s="50" t="s">
        <v>35</v>
      </c>
      <c r="B149" s="51">
        <f t="shared" si="6"/>
        <v>90</v>
      </c>
      <c r="C149" s="51" t="s">
        <v>3</v>
      </c>
      <c r="D149" s="51">
        <f t="shared" si="7"/>
        <v>260</v>
      </c>
      <c r="E149" s="51" t="s">
        <v>3</v>
      </c>
      <c r="F149" s="99">
        <f t="shared" si="8"/>
        <v>2450</v>
      </c>
      <c r="G149" s="51" t="s">
        <v>3</v>
      </c>
      <c r="H149" s="48">
        <v>2</v>
      </c>
      <c r="I149" s="49" t="s">
        <v>45</v>
      </c>
      <c r="J149" s="184">
        <v>90</v>
      </c>
      <c r="K149" s="75">
        <v>260</v>
      </c>
      <c r="L149" s="75">
        <v>2450</v>
      </c>
      <c r="M149" s="185">
        <v>20.969187054120265</v>
      </c>
      <c r="N149" s="87">
        <v>1118.8799999999999</v>
      </c>
      <c r="O149" s="120">
        <v>28089.078456028506</v>
      </c>
      <c r="P149" s="119">
        <v>35345.808214457968</v>
      </c>
      <c r="Q149" s="120">
        <v>27194.936014384097</v>
      </c>
      <c r="R149" s="314">
        <v>55284.0144704126</v>
      </c>
      <c r="S149" s="315">
        <v>62540.744228842064</v>
      </c>
      <c r="U149" s="7" t="s">
        <v>2272</v>
      </c>
    </row>
    <row r="150" spans="1:21" ht="16.5" thickBot="1">
      <c r="A150" s="50" t="s">
        <v>35</v>
      </c>
      <c r="B150" s="51">
        <f t="shared" si="6"/>
        <v>90</v>
      </c>
      <c r="C150" s="51" t="s">
        <v>3</v>
      </c>
      <c r="D150" s="51">
        <f t="shared" si="7"/>
        <v>260</v>
      </c>
      <c r="E150" s="51" t="s">
        <v>3</v>
      </c>
      <c r="F150" s="99">
        <f t="shared" si="8"/>
        <v>2500</v>
      </c>
      <c r="G150" s="51" t="s">
        <v>3</v>
      </c>
      <c r="H150" s="48">
        <v>2</v>
      </c>
      <c r="I150" s="49" t="s">
        <v>45</v>
      </c>
      <c r="J150" s="184">
        <v>90</v>
      </c>
      <c r="K150" s="75">
        <v>260</v>
      </c>
      <c r="L150" s="75">
        <v>2500</v>
      </c>
      <c r="M150" s="185">
        <v>21.36211367610553</v>
      </c>
      <c r="N150" s="87">
        <v>1145.52</v>
      </c>
      <c r="O150" s="120">
        <v>28523.016228772245</v>
      </c>
      <c r="P150" s="119">
        <v>35918.290088330854</v>
      </c>
      <c r="Q150" s="120">
        <v>27626.546626751031</v>
      </c>
      <c r="R150" s="314">
        <v>56149.562855523276</v>
      </c>
      <c r="S150" s="315">
        <v>63544.836715081881</v>
      </c>
      <c r="U150" s="7" t="s">
        <v>2273</v>
      </c>
    </row>
    <row r="151" spans="1:21" ht="16.5" thickBot="1">
      <c r="A151" s="50" t="s">
        <v>35</v>
      </c>
      <c r="B151" s="51">
        <f t="shared" si="6"/>
        <v>90</v>
      </c>
      <c r="C151" s="51" t="s">
        <v>3</v>
      </c>
      <c r="D151" s="51">
        <f t="shared" si="7"/>
        <v>260</v>
      </c>
      <c r="E151" s="51" t="s">
        <v>3</v>
      </c>
      <c r="F151" s="99">
        <f t="shared" si="8"/>
        <v>2550</v>
      </c>
      <c r="G151" s="51" t="s">
        <v>3</v>
      </c>
      <c r="H151" s="48">
        <v>2</v>
      </c>
      <c r="I151" s="49" t="s">
        <v>45</v>
      </c>
      <c r="J151" s="184">
        <v>90</v>
      </c>
      <c r="K151" s="75">
        <v>260</v>
      </c>
      <c r="L151" s="75">
        <v>2550</v>
      </c>
      <c r="M151" s="185">
        <v>21.772080298090792</v>
      </c>
      <c r="N151" s="87">
        <v>1172.1599999999999</v>
      </c>
      <c r="O151" s="120">
        <v>28956.954141909344</v>
      </c>
      <c r="P151" s="119">
        <v>36490.771821810384</v>
      </c>
      <c r="Q151" s="120">
        <v>28288.739016901247</v>
      </c>
      <c r="R151" s="314">
        <v>57245.693158810594</v>
      </c>
      <c r="S151" s="315">
        <v>64779.510838711634</v>
      </c>
      <c r="U151" s="7" t="s">
        <v>2274</v>
      </c>
    </row>
    <row r="152" spans="1:21" ht="16.5" thickBot="1">
      <c r="A152" s="47" t="s">
        <v>35</v>
      </c>
      <c r="B152" s="48">
        <f t="shared" si="6"/>
        <v>90</v>
      </c>
      <c r="C152" s="48" t="s">
        <v>3</v>
      </c>
      <c r="D152" s="48">
        <f t="shared" si="7"/>
        <v>260</v>
      </c>
      <c r="E152" s="48" t="s">
        <v>3</v>
      </c>
      <c r="F152" s="99">
        <f t="shared" si="8"/>
        <v>2600</v>
      </c>
      <c r="G152" s="48" t="s">
        <v>3</v>
      </c>
      <c r="H152" s="48">
        <v>2</v>
      </c>
      <c r="I152" s="49" t="s">
        <v>45</v>
      </c>
      <c r="J152" s="184">
        <v>90</v>
      </c>
      <c r="K152" s="75">
        <v>260</v>
      </c>
      <c r="L152" s="75">
        <v>2600</v>
      </c>
      <c r="M152" s="185">
        <v>22.165006920076056</v>
      </c>
      <c r="N152" s="87">
        <v>1198.8</v>
      </c>
      <c r="O152" s="120">
        <v>29390.892055046446</v>
      </c>
      <c r="P152" s="119">
        <v>37063.25369568327</v>
      </c>
      <c r="Q152" s="120">
        <v>28720.349629268181</v>
      </c>
      <c r="R152" s="314">
        <v>58111.241684314627</v>
      </c>
      <c r="S152" s="315">
        <v>65783.603324951458</v>
      </c>
      <c r="U152" s="7" t="s">
        <v>2275</v>
      </c>
    </row>
    <row r="153" spans="1:21" ht="16.5" thickBot="1">
      <c r="A153" s="50" t="s">
        <v>35</v>
      </c>
      <c r="B153" s="51">
        <f t="shared" si="6"/>
        <v>90</v>
      </c>
      <c r="C153" s="51" t="s">
        <v>3</v>
      </c>
      <c r="D153" s="51">
        <f t="shared" si="7"/>
        <v>260</v>
      </c>
      <c r="E153" s="51" t="s">
        <v>3</v>
      </c>
      <c r="F153" s="99">
        <f t="shared" si="8"/>
        <v>2650</v>
      </c>
      <c r="G153" s="51" t="s">
        <v>3</v>
      </c>
      <c r="H153" s="48">
        <v>2</v>
      </c>
      <c r="I153" s="49" t="s">
        <v>45</v>
      </c>
      <c r="J153" s="184">
        <v>90</v>
      </c>
      <c r="K153" s="75">
        <v>260</v>
      </c>
      <c r="L153" s="75">
        <v>2650</v>
      </c>
      <c r="M153" s="185">
        <v>22.574973542061318</v>
      </c>
      <c r="N153" s="87">
        <v>1225.44</v>
      </c>
      <c r="O153" s="120">
        <v>29824.829968183541</v>
      </c>
      <c r="P153" s="119">
        <v>37635.735569556156</v>
      </c>
      <c r="Q153" s="120">
        <v>29382.542019418397</v>
      </c>
      <c r="R153" s="314">
        <v>59207.371987601939</v>
      </c>
      <c r="S153" s="315">
        <v>67018.277588974554</v>
      </c>
      <c r="U153" s="7" t="s">
        <v>2276</v>
      </c>
    </row>
    <row r="154" spans="1:21" ht="16.5" thickBot="1">
      <c r="A154" s="50" t="s">
        <v>35</v>
      </c>
      <c r="B154" s="51">
        <f t="shared" si="6"/>
        <v>90</v>
      </c>
      <c r="C154" s="51" t="s">
        <v>3</v>
      </c>
      <c r="D154" s="51">
        <f t="shared" si="7"/>
        <v>260</v>
      </c>
      <c r="E154" s="51" t="s">
        <v>3</v>
      </c>
      <c r="F154" s="99">
        <f t="shared" si="8"/>
        <v>2700</v>
      </c>
      <c r="G154" s="51" t="s">
        <v>3</v>
      </c>
      <c r="H154" s="48">
        <v>2</v>
      </c>
      <c r="I154" s="49" t="s">
        <v>45</v>
      </c>
      <c r="J154" s="184">
        <v>90</v>
      </c>
      <c r="K154" s="75">
        <v>260</v>
      </c>
      <c r="L154" s="75">
        <v>2700</v>
      </c>
      <c r="M154" s="185">
        <v>23.007150164046585</v>
      </c>
      <c r="N154" s="87">
        <v>1252.0800000000002</v>
      </c>
      <c r="O154" s="120">
        <v>30304.639587403806</v>
      </c>
      <c r="P154" s="119">
        <v>38254.369234270394</v>
      </c>
      <c r="Q154" s="120">
        <v>29814.152631785331</v>
      </c>
      <c r="R154" s="314">
        <v>60118.792219189141</v>
      </c>
      <c r="S154" s="315">
        <v>68068.521866055729</v>
      </c>
      <c r="U154" s="7" t="s">
        <v>2277</v>
      </c>
    </row>
    <row r="155" spans="1:21" ht="16.5" thickBot="1">
      <c r="A155" s="50" t="s">
        <v>35</v>
      </c>
      <c r="B155" s="51">
        <f t="shared" si="6"/>
        <v>90</v>
      </c>
      <c r="C155" s="51" t="s">
        <v>3</v>
      </c>
      <c r="D155" s="51">
        <f t="shared" si="7"/>
        <v>260</v>
      </c>
      <c r="E155" s="51" t="s">
        <v>3</v>
      </c>
      <c r="F155" s="99">
        <f t="shared" si="8"/>
        <v>2750</v>
      </c>
      <c r="G155" s="51" t="s">
        <v>3</v>
      </c>
      <c r="H155" s="48">
        <v>2</v>
      </c>
      <c r="I155" s="49" t="s">
        <v>45</v>
      </c>
      <c r="J155" s="184">
        <v>90</v>
      </c>
      <c r="K155" s="75">
        <v>260</v>
      </c>
      <c r="L155" s="75">
        <v>2750</v>
      </c>
      <c r="M155" s="185">
        <v>23.400076786031846</v>
      </c>
      <c r="N155" s="87">
        <v>1278.7199999999998</v>
      </c>
      <c r="O155" s="120">
        <v>30738.577500540909</v>
      </c>
      <c r="P155" s="119">
        <v>38826.851108143281</v>
      </c>
      <c r="Q155" s="120">
        <v>30245.763244152273</v>
      </c>
      <c r="R155" s="314">
        <v>60984.340744693181</v>
      </c>
      <c r="S155" s="315">
        <v>69072.614352295554</v>
      </c>
      <c r="U155" s="7" t="s">
        <v>2278</v>
      </c>
    </row>
    <row r="156" spans="1:21" ht="16.5" thickBot="1">
      <c r="A156" s="50" t="s">
        <v>35</v>
      </c>
      <c r="B156" s="51">
        <f t="shared" si="6"/>
        <v>90</v>
      </c>
      <c r="C156" s="51" t="s">
        <v>3</v>
      </c>
      <c r="D156" s="51">
        <f t="shared" si="7"/>
        <v>260</v>
      </c>
      <c r="E156" s="51" t="s">
        <v>3</v>
      </c>
      <c r="F156" s="99">
        <f t="shared" si="8"/>
        <v>2800</v>
      </c>
      <c r="G156" s="51" t="s">
        <v>3</v>
      </c>
      <c r="H156" s="48">
        <v>2</v>
      </c>
      <c r="I156" s="49" t="s">
        <v>45</v>
      </c>
      <c r="J156" s="184">
        <v>90</v>
      </c>
      <c r="K156" s="75">
        <v>260</v>
      </c>
      <c r="L156" s="75">
        <v>2800</v>
      </c>
      <c r="M156" s="185">
        <v>23.810043408017108</v>
      </c>
      <c r="N156" s="87">
        <v>1305.3599999999999</v>
      </c>
      <c r="O156" s="120">
        <v>31172.515273284644</v>
      </c>
      <c r="P156" s="119">
        <v>39399.332982016167</v>
      </c>
      <c r="Q156" s="120">
        <v>30907.955493909118</v>
      </c>
      <c r="R156" s="314">
        <v>62080.470767193765</v>
      </c>
      <c r="S156" s="315">
        <v>70307.288475925277</v>
      </c>
      <c r="U156" s="7" t="s">
        <v>2279</v>
      </c>
    </row>
    <row r="157" spans="1:21" ht="16.5" thickBot="1">
      <c r="A157" s="50" t="s">
        <v>35</v>
      </c>
      <c r="B157" s="51">
        <f t="shared" si="6"/>
        <v>90</v>
      </c>
      <c r="C157" s="51" t="s">
        <v>3</v>
      </c>
      <c r="D157" s="51">
        <f t="shared" si="7"/>
        <v>260</v>
      </c>
      <c r="E157" s="51" t="s">
        <v>3</v>
      </c>
      <c r="F157" s="99">
        <f t="shared" si="8"/>
        <v>2850</v>
      </c>
      <c r="G157" s="51" t="s">
        <v>3</v>
      </c>
      <c r="H157" s="48">
        <v>2</v>
      </c>
      <c r="I157" s="49" t="s">
        <v>45</v>
      </c>
      <c r="J157" s="184">
        <v>90</v>
      </c>
      <c r="K157" s="75">
        <v>260</v>
      </c>
      <c r="L157" s="75">
        <v>2850</v>
      </c>
      <c r="M157" s="185">
        <v>24.202970030002369</v>
      </c>
      <c r="N157" s="87">
        <v>1332</v>
      </c>
      <c r="O157" s="120">
        <v>31606.453186421746</v>
      </c>
      <c r="P157" s="119">
        <v>39971.814715495697</v>
      </c>
      <c r="Q157" s="120">
        <v>31339.566106276056</v>
      </c>
      <c r="R157" s="314">
        <v>62946.019292697805</v>
      </c>
      <c r="S157" s="315">
        <v>71311.380821771745</v>
      </c>
      <c r="U157" s="7" t="s">
        <v>2280</v>
      </c>
    </row>
    <row r="158" spans="1:21" ht="16.5" thickBot="1">
      <c r="A158" s="50" t="s">
        <v>35</v>
      </c>
      <c r="B158" s="51">
        <f t="shared" si="6"/>
        <v>90</v>
      </c>
      <c r="C158" s="51" t="s">
        <v>3</v>
      </c>
      <c r="D158" s="51">
        <f t="shared" si="7"/>
        <v>260</v>
      </c>
      <c r="E158" s="51" t="s">
        <v>3</v>
      </c>
      <c r="F158" s="99">
        <f t="shared" si="8"/>
        <v>2900</v>
      </c>
      <c r="G158" s="51" t="s">
        <v>3</v>
      </c>
      <c r="H158" s="48">
        <v>2</v>
      </c>
      <c r="I158" s="49" t="s">
        <v>45</v>
      </c>
      <c r="J158" s="184">
        <v>90</v>
      </c>
      <c r="K158" s="75">
        <v>260</v>
      </c>
      <c r="L158" s="75">
        <v>2900</v>
      </c>
      <c r="M158" s="185">
        <v>24.612936651987631</v>
      </c>
      <c r="N158" s="87">
        <v>1358.64</v>
      </c>
      <c r="O158" s="120">
        <v>32040.391099558841</v>
      </c>
      <c r="P158" s="119">
        <v>40544.296589368583</v>
      </c>
      <c r="Q158" s="120">
        <v>32001.758496426271</v>
      </c>
      <c r="R158" s="314">
        <v>64042.149595985116</v>
      </c>
      <c r="S158" s="315">
        <v>72546.055085794855</v>
      </c>
      <c r="U158" s="7" t="s">
        <v>2281</v>
      </c>
    </row>
    <row r="159" spans="1:21" ht="16.5" thickBot="1">
      <c r="A159" s="50" t="s">
        <v>35</v>
      </c>
      <c r="B159" s="51">
        <f t="shared" si="6"/>
        <v>90</v>
      </c>
      <c r="C159" s="51" t="s">
        <v>3</v>
      </c>
      <c r="D159" s="51">
        <f t="shared" si="7"/>
        <v>260</v>
      </c>
      <c r="E159" s="51" t="s">
        <v>3</v>
      </c>
      <c r="F159" s="99">
        <f t="shared" si="8"/>
        <v>2950</v>
      </c>
      <c r="G159" s="51" t="s">
        <v>3</v>
      </c>
      <c r="H159" s="48">
        <v>2</v>
      </c>
      <c r="I159" s="49" t="s">
        <v>45</v>
      </c>
      <c r="J159" s="184">
        <v>90</v>
      </c>
      <c r="K159" s="75">
        <v>260</v>
      </c>
      <c r="L159" s="75">
        <v>2950</v>
      </c>
      <c r="M159" s="185">
        <v>25.005863273972899</v>
      </c>
      <c r="N159" s="87">
        <v>1385.28</v>
      </c>
      <c r="O159" s="120">
        <v>32474.329012695944</v>
      </c>
      <c r="P159" s="119">
        <v>41116.77846324147</v>
      </c>
      <c r="Q159" s="120">
        <v>32433.369108793206</v>
      </c>
      <c r="R159" s="314">
        <v>64907.698121489149</v>
      </c>
      <c r="S159" s="315">
        <v>73550.147572034679</v>
      </c>
      <c r="U159" s="7" t="s">
        <v>2282</v>
      </c>
    </row>
    <row r="160" spans="1:21" ht="16.5" thickBot="1">
      <c r="A160" s="52" t="s">
        <v>35</v>
      </c>
      <c r="B160" s="53">
        <f t="shared" si="6"/>
        <v>90</v>
      </c>
      <c r="C160" s="53" t="s">
        <v>3</v>
      </c>
      <c r="D160" s="53">
        <f t="shared" si="7"/>
        <v>260</v>
      </c>
      <c r="E160" s="53" t="s">
        <v>3</v>
      </c>
      <c r="F160" s="100">
        <f t="shared" si="8"/>
        <v>3000</v>
      </c>
      <c r="G160" s="53" t="s">
        <v>3</v>
      </c>
      <c r="H160" s="55">
        <v>2</v>
      </c>
      <c r="I160" s="54" t="s">
        <v>45</v>
      </c>
      <c r="J160" s="186">
        <v>90</v>
      </c>
      <c r="K160" s="147">
        <v>260</v>
      </c>
      <c r="L160" s="147">
        <v>3000</v>
      </c>
      <c r="M160" s="187">
        <v>25.415829895958161</v>
      </c>
      <c r="N160" s="148">
        <v>1411.9199999999998</v>
      </c>
      <c r="O160" s="159">
        <v>34083.424231691519</v>
      </c>
      <c r="P160" s="189">
        <v>41689.260337114356</v>
      </c>
      <c r="Q160" s="159">
        <v>33095.561498943418</v>
      </c>
      <c r="R160" s="316">
        <v>67178.985730634944</v>
      </c>
      <c r="S160" s="317">
        <v>74784.821836057774</v>
      </c>
      <c r="U160" s="7" t="s">
        <v>2283</v>
      </c>
    </row>
    <row r="161" spans="1:21" ht="22.5" customHeight="1" thickBot="1">
      <c r="A161" s="2580" t="s">
        <v>48</v>
      </c>
      <c r="B161" s="2581"/>
      <c r="C161" s="2581"/>
      <c r="D161" s="2581"/>
      <c r="E161" s="2581"/>
      <c r="F161" s="2581"/>
      <c r="G161" s="2581"/>
      <c r="H161" s="2581"/>
      <c r="I161" s="2581"/>
      <c r="J161" s="2581"/>
      <c r="K161" s="2581"/>
      <c r="L161" s="2581"/>
      <c r="M161" s="2581"/>
      <c r="N161" s="2581"/>
      <c r="O161" s="2581"/>
      <c r="P161" s="2581"/>
      <c r="Q161" s="2581"/>
      <c r="R161" s="2581"/>
      <c r="S161" s="2582"/>
      <c r="U161" s="7"/>
    </row>
    <row r="162" spans="1:21" ht="16.5" thickBot="1">
      <c r="A162" s="2583" t="s">
        <v>134</v>
      </c>
      <c r="B162" s="2584"/>
      <c r="C162" s="2584"/>
      <c r="D162" s="2584"/>
      <c r="E162" s="2584"/>
      <c r="F162" s="2584"/>
      <c r="G162" s="2584"/>
      <c r="H162" s="2584"/>
      <c r="I162" s="2584"/>
      <c r="J162" s="2584"/>
      <c r="K162" s="2584"/>
      <c r="L162" s="2584"/>
      <c r="M162" s="2584"/>
      <c r="N162" s="2584"/>
      <c r="O162" s="2584"/>
      <c r="P162" s="2584"/>
      <c r="Q162" s="2584"/>
      <c r="R162" s="2584"/>
      <c r="S162" s="2585"/>
      <c r="U162" s="7"/>
    </row>
    <row r="163" spans="1:21" ht="16.5" thickBot="1">
      <c r="A163" s="47" t="s">
        <v>35</v>
      </c>
      <c r="B163" s="48">
        <f>J163</f>
        <v>90</v>
      </c>
      <c r="C163" s="48" t="s">
        <v>3</v>
      </c>
      <c r="D163" s="48">
        <f>K163</f>
        <v>300</v>
      </c>
      <c r="E163" s="48" t="s">
        <v>3</v>
      </c>
      <c r="F163" s="99">
        <f>L163</f>
        <v>600</v>
      </c>
      <c r="G163" s="48" t="s">
        <v>3</v>
      </c>
      <c r="H163" s="48">
        <v>2</v>
      </c>
      <c r="I163" s="49" t="s">
        <v>45</v>
      </c>
      <c r="J163" s="181">
        <v>90</v>
      </c>
      <c r="K163" s="143">
        <v>300</v>
      </c>
      <c r="L163" s="143">
        <v>600</v>
      </c>
      <c r="M163" s="182">
        <v>6.2702494748549995</v>
      </c>
      <c r="N163" s="144">
        <v>149.61258298800001</v>
      </c>
      <c r="O163" s="169">
        <v>11038.438656064689</v>
      </c>
      <c r="P163" s="183">
        <v>13396.941710649453</v>
      </c>
      <c r="Q163" s="169">
        <v>8203.3683669666007</v>
      </c>
      <c r="R163" s="312">
        <v>19241.807023031288</v>
      </c>
      <c r="S163" s="313">
        <v>21600.310077616054</v>
      </c>
      <c r="U163" s="7" t="s">
        <v>2284</v>
      </c>
    </row>
    <row r="164" spans="1:21" ht="16.5" thickBot="1">
      <c r="A164" s="50" t="s">
        <v>35</v>
      </c>
      <c r="B164" s="51">
        <f t="shared" ref="B164:B211" si="9">J164</f>
        <v>90</v>
      </c>
      <c r="C164" s="51" t="s">
        <v>3</v>
      </c>
      <c r="D164" s="51">
        <f t="shared" ref="D164:D211" si="10">K164</f>
        <v>300</v>
      </c>
      <c r="E164" s="51" t="s">
        <v>3</v>
      </c>
      <c r="F164" s="99">
        <f t="shared" ref="F164:F211" si="11">L164</f>
        <v>650</v>
      </c>
      <c r="G164" s="51" t="s">
        <v>3</v>
      </c>
      <c r="H164" s="48">
        <v>2</v>
      </c>
      <c r="I164" s="49" t="s">
        <v>45</v>
      </c>
      <c r="J164" s="184">
        <v>90</v>
      </c>
      <c r="K164" s="75">
        <v>300</v>
      </c>
      <c r="L164" s="75">
        <v>650</v>
      </c>
      <c r="M164" s="185">
        <v>6.6950298047350003</v>
      </c>
      <c r="N164" s="87">
        <v>179.53509958560002</v>
      </c>
      <c r="O164" s="120">
        <v>11491.12245253624</v>
      </c>
      <c r="P164" s="121">
        <v>14002.256257063314</v>
      </c>
      <c r="Q164" s="120">
        <v>8683.7735348305905</v>
      </c>
      <c r="R164" s="314">
        <v>20174.895987366828</v>
      </c>
      <c r="S164" s="315">
        <v>22686.029791893903</v>
      </c>
      <c r="U164" s="7" t="s">
        <v>2285</v>
      </c>
    </row>
    <row r="165" spans="1:21" ht="16.5" thickBot="1">
      <c r="A165" s="50" t="s">
        <v>35</v>
      </c>
      <c r="B165" s="51">
        <f t="shared" si="9"/>
        <v>90</v>
      </c>
      <c r="C165" s="51" t="s">
        <v>3</v>
      </c>
      <c r="D165" s="51">
        <f t="shared" si="10"/>
        <v>300</v>
      </c>
      <c r="E165" s="51" t="s">
        <v>3</v>
      </c>
      <c r="F165" s="99">
        <f t="shared" si="11"/>
        <v>700</v>
      </c>
      <c r="G165" s="51" t="s">
        <v>3</v>
      </c>
      <c r="H165" s="48">
        <v>2</v>
      </c>
      <c r="I165" s="49" t="s">
        <v>45</v>
      </c>
      <c r="J165" s="184">
        <v>90</v>
      </c>
      <c r="K165" s="75">
        <v>300</v>
      </c>
      <c r="L165" s="75">
        <v>700</v>
      </c>
      <c r="M165" s="185">
        <v>7.1368501346149991</v>
      </c>
      <c r="N165" s="87">
        <v>209.4576161832</v>
      </c>
      <c r="O165" s="120">
        <v>11943.806389401152</v>
      </c>
      <c r="P165" s="121">
        <v>14607.570663083816</v>
      </c>
      <c r="Q165" s="120">
        <v>9394.7606208712132</v>
      </c>
      <c r="R165" s="314">
        <v>21338.567010272367</v>
      </c>
      <c r="S165" s="315">
        <v>24002.331283955027</v>
      </c>
      <c r="U165" s="7" t="s">
        <v>2286</v>
      </c>
    </row>
    <row r="166" spans="1:21" ht="16.5" thickBot="1">
      <c r="A166" s="50" t="s">
        <v>35</v>
      </c>
      <c r="B166" s="51">
        <f t="shared" si="9"/>
        <v>90</v>
      </c>
      <c r="C166" s="51" t="s">
        <v>3</v>
      </c>
      <c r="D166" s="51">
        <f t="shared" si="10"/>
        <v>300</v>
      </c>
      <c r="E166" s="51" t="s">
        <v>3</v>
      </c>
      <c r="F166" s="99">
        <f t="shared" si="11"/>
        <v>750</v>
      </c>
      <c r="G166" s="51" t="s">
        <v>3</v>
      </c>
      <c r="H166" s="48">
        <v>2</v>
      </c>
      <c r="I166" s="49" t="s">
        <v>45</v>
      </c>
      <c r="J166" s="184">
        <v>90</v>
      </c>
      <c r="K166" s="75">
        <v>300</v>
      </c>
      <c r="L166" s="75">
        <v>750</v>
      </c>
      <c r="M166" s="185">
        <v>7.5616304644949999</v>
      </c>
      <c r="N166" s="87">
        <v>239.38013278080001</v>
      </c>
      <c r="O166" s="120">
        <v>12396.490185872703</v>
      </c>
      <c r="P166" s="121">
        <v>15212.885069104315</v>
      </c>
      <c r="Q166" s="120">
        <v>9875.165788735203</v>
      </c>
      <c r="R166" s="314">
        <v>22271.655974607907</v>
      </c>
      <c r="S166" s="315">
        <v>25088.050857839517</v>
      </c>
      <c r="U166" s="7" t="s">
        <v>2287</v>
      </c>
    </row>
    <row r="167" spans="1:21" ht="16.5" thickBot="1">
      <c r="A167" s="50" t="s">
        <v>35</v>
      </c>
      <c r="B167" s="51">
        <f t="shared" si="9"/>
        <v>90</v>
      </c>
      <c r="C167" s="51" t="s">
        <v>3</v>
      </c>
      <c r="D167" s="51">
        <f t="shared" si="10"/>
        <v>300</v>
      </c>
      <c r="E167" s="51" t="s">
        <v>3</v>
      </c>
      <c r="F167" s="99">
        <f t="shared" si="11"/>
        <v>800</v>
      </c>
      <c r="G167" s="51" t="s">
        <v>3</v>
      </c>
      <c r="H167" s="48">
        <v>2</v>
      </c>
      <c r="I167" s="49" t="s">
        <v>45</v>
      </c>
      <c r="J167" s="184">
        <v>90</v>
      </c>
      <c r="K167" s="75">
        <v>300</v>
      </c>
      <c r="L167" s="75">
        <v>800</v>
      </c>
      <c r="M167" s="185">
        <v>7.9864107943750007</v>
      </c>
      <c r="N167" s="87">
        <v>269.30264937840002</v>
      </c>
      <c r="O167" s="120">
        <v>12849.174122737617</v>
      </c>
      <c r="P167" s="121">
        <v>15818.199615518179</v>
      </c>
      <c r="Q167" s="120">
        <v>10355.570956599189</v>
      </c>
      <c r="R167" s="314">
        <v>23204.745079336804</v>
      </c>
      <c r="S167" s="315">
        <v>26173.77057211737</v>
      </c>
      <c r="U167" s="7" t="s">
        <v>2288</v>
      </c>
    </row>
    <row r="168" spans="1:21" ht="16.5" thickBot="1">
      <c r="A168" s="50" t="s">
        <v>35</v>
      </c>
      <c r="B168" s="51">
        <f t="shared" si="9"/>
        <v>90</v>
      </c>
      <c r="C168" s="51" t="s">
        <v>3</v>
      </c>
      <c r="D168" s="51">
        <f t="shared" si="10"/>
        <v>300</v>
      </c>
      <c r="E168" s="51" t="s">
        <v>3</v>
      </c>
      <c r="F168" s="99">
        <f t="shared" si="11"/>
        <v>850</v>
      </c>
      <c r="G168" s="51" t="s">
        <v>3</v>
      </c>
      <c r="H168" s="48">
        <v>2</v>
      </c>
      <c r="I168" s="49" t="s">
        <v>45</v>
      </c>
      <c r="J168" s="184">
        <v>90</v>
      </c>
      <c r="K168" s="75">
        <v>300</v>
      </c>
      <c r="L168" s="75">
        <v>850</v>
      </c>
      <c r="M168" s="185">
        <v>8.4282311242549994</v>
      </c>
      <c r="N168" s="87">
        <v>299.22516597600003</v>
      </c>
      <c r="O168" s="120">
        <v>13301.857919209166</v>
      </c>
      <c r="P168" s="121">
        <v>16423.514021538678</v>
      </c>
      <c r="Q168" s="120">
        <v>11066.558042639816</v>
      </c>
      <c r="R168" s="314">
        <v>24368.415961848979</v>
      </c>
      <c r="S168" s="315">
        <v>27490.072064178494</v>
      </c>
      <c r="U168" s="7" t="s">
        <v>2289</v>
      </c>
    </row>
    <row r="169" spans="1:21" ht="16.5" thickBot="1">
      <c r="A169" s="50" t="s">
        <v>35</v>
      </c>
      <c r="B169" s="51">
        <f t="shared" si="9"/>
        <v>90</v>
      </c>
      <c r="C169" s="51" t="s">
        <v>3</v>
      </c>
      <c r="D169" s="51">
        <f t="shared" si="10"/>
        <v>300</v>
      </c>
      <c r="E169" s="51" t="s">
        <v>3</v>
      </c>
      <c r="F169" s="99">
        <f t="shared" si="11"/>
        <v>900</v>
      </c>
      <c r="G169" s="51" t="s">
        <v>3</v>
      </c>
      <c r="H169" s="48">
        <v>2</v>
      </c>
      <c r="I169" s="49" t="s">
        <v>45</v>
      </c>
      <c r="J169" s="184">
        <v>90</v>
      </c>
      <c r="K169" s="75">
        <v>300</v>
      </c>
      <c r="L169" s="75">
        <v>900</v>
      </c>
      <c r="M169" s="185">
        <v>8.8530114541350002</v>
      </c>
      <c r="N169" s="87">
        <v>329.14768257359998</v>
      </c>
      <c r="O169" s="120">
        <v>13754.541856074076</v>
      </c>
      <c r="P169" s="121">
        <v>17028.82842755918</v>
      </c>
      <c r="Q169" s="120">
        <v>11546.963210503804</v>
      </c>
      <c r="R169" s="314">
        <v>25301.50506657788</v>
      </c>
      <c r="S169" s="315">
        <v>28575.791638062983</v>
      </c>
      <c r="U169" s="7" t="s">
        <v>2290</v>
      </c>
    </row>
    <row r="170" spans="1:21" ht="16.5" thickBot="1">
      <c r="A170" s="50" t="s">
        <v>35</v>
      </c>
      <c r="B170" s="51">
        <f t="shared" si="9"/>
        <v>90</v>
      </c>
      <c r="C170" s="51" t="s">
        <v>3</v>
      </c>
      <c r="D170" s="51">
        <f t="shared" si="10"/>
        <v>300</v>
      </c>
      <c r="E170" s="51" t="s">
        <v>3</v>
      </c>
      <c r="F170" s="99">
        <f t="shared" si="11"/>
        <v>950</v>
      </c>
      <c r="G170" s="51" t="s">
        <v>3</v>
      </c>
      <c r="H170" s="48">
        <v>2</v>
      </c>
      <c r="I170" s="49" t="s">
        <v>45</v>
      </c>
      <c r="J170" s="184">
        <v>90</v>
      </c>
      <c r="K170" s="75">
        <v>300</v>
      </c>
      <c r="L170" s="75">
        <v>950</v>
      </c>
      <c r="M170" s="185">
        <v>9.294831784014999</v>
      </c>
      <c r="N170" s="87">
        <v>359.07019917120004</v>
      </c>
      <c r="O170" s="120">
        <v>14207.225652545627</v>
      </c>
      <c r="P170" s="121">
        <v>17634.142833579681</v>
      </c>
      <c r="Q170" s="120">
        <v>12257.950156151066</v>
      </c>
      <c r="R170" s="314">
        <v>26465.175808696695</v>
      </c>
      <c r="S170" s="315">
        <v>29892.092989730747</v>
      </c>
      <c r="U170" s="7" t="s">
        <v>2291</v>
      </c>
    </row>
    <row r="171" spans="1:21" ht="16.5" thickBot="1">
      <c r="A171" s="50" t="s">
        <v>35</v>
      </c>
      <c r="B171" s="51">
        <f t="shared" si="9"/>
        <v>90</v>
      </c>
      <c r="C171" s="51" t="s">
        <v>3</v>
      </c>
      <c r="D171" s="51">
        <f t="shared" si="10"/>
        <v>300</v>
      </c>
      <c r="E171" s="51" t="s">
        <v>3</v>
      </c>
      <c r="F171" s="99">
        <f t="shared" si="11"/>
        <v>1000</v>
      </c>
      <c r="G171" s="51" t="s">
        <v>3</v>
      </c>
      <c r="H171" s="48">
        <v>2</v>
      </c>
      <c r="I171" s="49" t="s">
        <v>45</v>
      </c>
      <c r="J171" s="184">
        <v>90</v>
      </c>
      <c r="K171" s="75">
        <v>300</v>
      </c>
      <c r="L171" s="75">
        <v>1000</v>
      </c>
      <c r="M171" s="185">
        <v>9.7196121138949998</v>
      </c>
      <c r="N171" s="87">
        <v>388.99271576880005</v>
      </c>
      <c r="O171" s="120">
        <v>14659.909589410541</v>
      </c>
      <c r="P171" s="121">
        <v>18239.457379993542</v>
      </c>
      <c r="Q171" s="120">
        <v>12738.355464408416</v>
      </c>
      <c r="R171" s="314">
        <v>27398.265053818955</v>
      </c>
      <c r="S171" s="315">
        <v>30977.81284440196</v>
      </c>
      <c r="U171" s="7" t="s">
        <v>2292</v>
      </c>
    </row>
    <row r="172" spans="1:21" ht="16.5" thickBot="1">
      <c r="A172" s="50" t="s">
        <v>35</v>
      </c>
      <c r="B172" s="51">
        <f t="shared" si="9"/>
        <v>90</v>
      </c>
      <c r="C172" s="51" t="s">
        <v>3</v>
      </c>
      <c r="D172" s="51">
        <f t="shared" si="10"/>
        <v>300</v>
      </c>
      <c r="E172" s="51" t="s">
        <v>3</v>
      </c>
      <c r="F172" s="99">
        <f t="shared" si="11"/>
        <v>1050</v>
      </c>
      <c r="G172" s="51" t="s">
        <v>3</v>
      </c>
      <c r="H172" s="48">
        <v>2</v>
      </c>
      <c r="I172" s="49" t="s">
        <v>45</v>
      </c>
      <c r="J172" s="184">
        <v>90</v>
      </c>
      <c r="K172" s="75">
        <v>300</v>
      </c>
      <c r="L172" s="75">
        <v>1050</v>
      </c>
      <c r="M172" s="185">
        <v>10.161432443775</v>
      </c>
      <c r="N172" s="87">
        <v>418.91523236640001</v>
      </c>
      <c r="O172" s="120">
        <v>15112.59338588209</v>
      </c>
      <c r="P172" s="121">
        <v>18844.77178601404</v>
      </c>
      <c r="Q172" s="120">
        <v>13449.342410055679</v>
      </c>
      <c r="R172" s="314">
        <v>28561.935795937767</v>
      </c>
      <c r="S172" s="315">
        <v>32294.11419606972</v>
      </c>
      <c r="U172" s="7" t="s">
        <v>2293</v>
      </c>
    </row>
    <row r="173" spans="1:21" ht="16.5" thickBot="1">
      <c r="A173" s="47" t="s">
        <v>35</v>
      </c>
      <c r="B173" s="48">
        <f t="shared" si="9"/>
        <v>90</v>
      </c>
      <c r="C173" s="48" t="s">
        <v>3</v>
      </c>
      <c r="D173" s="48">
        <f t="shared" si="10"/>
        <v>300</v>
      </c>
      <c r="E173" s="48" t="s">
        <v>3</v>
      </c>
      <c r="F173" s="99">
        <f t="shared" si="11"/>
        <v>1100</v>
      </c>
      <c r="G173" s="48" t="s">
        <v>3</v>
      </c>
      <c r="H173" s="48">
        <v>2</v>
      </c>
      <c r="I173" s="49" t="s">
        <v>45</v>
      </c>
      <c r="J173" s="184">
        <v>90</v>
      </c>
      <c r="K173" s="75">
        <v>300</v>
      </c>
      <c r="L173" s="75">
        <v>1100</v>
      </c>
      <c r="M173" s="185">
        <v>10.586212773654999</v>
      </c>
      <c r="N173" s="87">
        <v>448.83774896400001</v>
      </c>
      <c r="O173" s="120">
        <v>15565.27718235364</v>
      </c>
      <c r="P173" s="121">
        <v>19450.086192034541</v>
      </c>
      <c r="Q173" s="120">
        <v>13929.747718313029</v>
      </c>
      <c r="R173" s="314">
        <v>29495.024900666671</v>
      </c>
      <c r="S173" s="315">
        <v>33379.833910347574</v>
      </c>
      <c r="U173" s="7" t="s">
        <v>2294</v>
      </c>
    </row>
    <row r="174" spans="1:21" ht="16.5" thickBot="1">
      <c r="A174" s="50" t="s">
        <v>35</v>
      </c>
      <c r="B174" s="51">
        <f t="shared" si="9"/>
        <v>90</v>
      </c>
      <c r="C174" s="51" t="s">
        <v>3</v>
      </c>
      <c r="D174" s="51">
        <f t="shared" si="10"/>
        <v>300</v>
      </c>
      <c r="E174" s="51" t="s">
        <v>3</v>
      </c>
      <c r="F174" s="99">
        <f t="shared" si="11"/>
        <v>1150</v>
      </c>
      <c r="G174" s="51" t="s">
        <v>3</v>
      </c>
      <c r="H174" s="48">
        <v>2</v>
      </c>
      <c r="I174" s="49" t="s">
        <v>45</v>
      </c>
      <c r="J174" s="184">
        <v>90</v>
      </c>
      <c r="K174" s="75">
        <v>300</v>
      </c>
      <c r="L174" s="75">
        <v>1150</v>
      </c>
      <c r="M174" s="185">
        <v>11.010993103535</v>
      </c>
      <c r="N174" s="87">
        <v>478.76026556160002</v>
      </c>
      <c r="O174" s="120">
        <v>16017.961119218553</v>
      </c>
      <c r="P174" s="121">
        <v>20055.400598055043</v>
      </c>
      <c r="Q174" s="120">
        <v>14410.152886177015</v>
      </c>
      <c r="R174" s="314">
        <v>30428.114005395568</v>
      </c>
      <c r="S174" s="315">
        <v>34465.553484232056</v>
      </c>
      <c r="U174" s="7" t="s">
        <v>2295</v>
      </c>
    </row>
    <row r="175" spans="1:21" ht="16.5" thickBot="1">
      <c r="A175" s="50" t="s">
        <v>35</v>
      </c>
      <c r="B175" s="51">
        <f t="shared" si="9"/>
        <v>90</v>
      </c>
      <c r="C175" s="51" t="s">
        <v>3</v>
      </c>
      <c r="D175" s="51">
        <f t="shared" si="10"/>
        <v>300</v>
      </c>
      <c r="E175" s="51" t="s">
        <v>3</v>
      </c>
      <c r="F175" s="99">
        <f t="shared" si="11"/>
        <v>1200</v>
      </c>
      <c r="G175" s="51" t="s">
        <v>3</v>
      </c>
      <c r="H175" s="48">
        <v>2</v>
      </c>
      <c r="I175" s="49" t="s">
        <v>45</v>
      </c>
      <c r="J175" s="184">
        <v>90</v>
      </c>
      <c r="K175" s="75">
        <v>300</v>
      </c>
      <c r="L175" s="75">
        <v>1200</v>
      </c>
      <c r="M175" s="185">
        <v>11.492063433415</v>
      </c>
      <c r="N175" s="87">
        <v>508.68278215920003</v>
      </c>
      <c r="O175" s="120">
        <v>16516.51676216663</v>
      </c>
      <c r="P175" s="121">
        <v>20706.866935310256</v>
      </c>
      <c r="Q175" s="120">
        <v>15121.139831824277</v>
      </c>
      <c r="R175" s="314">
        <v>31637.656593990905</v>
      </c>
      <c r="S175" s="315">
        <v>35828.006767134531</v>
      </c>
      <c r="U175" s="7" t="s">
        <v>2296</v>
      </c>
    </row>
    <row r="176" spans="1:21" ht="16.5" thickBot="1">
      <c r="A176" s="50" t="s">
        <v>35</v>
      </c>
      <c r="B176" s="51">
        <f t="shared" si="9"/>
        <v>90</v>
      </c>
      <c r="C176" s="51" t="s">
        <v>3</v>
      </c>
      <c r="D176" s="51">
        <f t="shared" si="10"/>
        <v>300</v>
      </c>
      <c r="E176" s="51" t="s">
        <v>3</v>
      </c>
      <c r="F176" s="99">
        <f t="shared" si="11"/>
        <v>1250</v>
      </c>
      <c r="G176" s="51" t="s">
        <v>3</v>
      </c>
      <c r="H176" s="48">
        <v>2</v>
      </c>
      <c r="I176" s="49" t="s">
        <v>45</v>
      </c>
      <c r="J176" s="184">
        <v>90</v>
      </c>
      <c r="K176" s="75">
        <v>300</v>
      </c>
      <c r="L176" s="75">
        <v>1250</v>
      </c>
      <c r="M176" s="185">
        <v>11.916843763294999</v>
      </c>
      <c r="N176" s="87">
        <v>538.60529875680004</v>
      </c>
      <c r="O176" s="120">
        <v>16969.200558638178</v>
      </c>
      <c r="P176" s="121">
        <v>21312.181341330757</v>
      </c>
      <c r="Q176" s="120">
        <v>15601.545140081627</v>
      </c>
      <c r="R176" s="314">
        <v>32570.745698719806</v>
      </c>
      <c r="S176" s="315">
        <v>36913.726481412385</v>
      </c>
      <c r="U176" s="7" t="s">
        <v>2297</v>
      </c>
    </row>
    <row r="177" spans="1:21" ht="16.5" thickBot="1">
      <c r="A177" s="50" t="s">
        <v>35</v>
      </c>
      <c r="B177" s="51">
        <f t="shared" si="9"/>
        <v>90</v>
      </c>
      <c r="C177" s="51" t="s">
        <v>3</v>
      </c>
      <c r="D177" s="51">
        <f t="shared" si="10"/>
        <v>300</v>
      </c>
      <c r="E177" s="51" t="s">
        <v>3</v>
      </c>
      <c r="F177" s="99">
        <f t="shared" si="11"/>
        <v>1300</v>
      </c>
      <c r="G177" s="51" t="s">
        <v>3</v>
      </c>
      <c r="H177" s="48">
        <v>2</v>
      </c>
      <c r="I177" s="49" t="s">
        <v>45</v>
      </c>
      <c r="J177" s="184">
        <v>90</v>
      </c>
      <c r="K177" s="75">
        <v>300</v>
      </c>
      <c r="L177" s="75">
        <v>1300</v>
      </c>
      <c r="M177" s="185">
        <v>12.358664093175001</v>
      </c>
      <c r="N177" s="87">
        <v>568.52781535439999</v>
      </c>
      <c r="O177" s="120">
        <v>17421.884495503091</v>
      </c>
      <c r="P177" s="121">
        <v>21917.495747351255</v>
      </c>
      <c r="Q177" s="120">
        <v>16312.53208572889</v>
      </c>
      <c r="R177" s="314">
        <v>33734.416581231984</v>
      </c>
      <c r="S177" s="315">
        <v>38230.027833080145</v>
      </c>
      <c r="U177" s="7" t="s">
        <v>2298</v>
      </c>
    </row>
    <row r="178" spans="1:21" ht="16.5" thickBot="1">
      <c r="A178" s="50" t="s">
        <v>35</v>
      </c>
      <c r="B178" s="51">
        <f t="shared" si="9"/>
        <v>90</v>
      </c>
      <c r="C178" s="51" t="s">
        <v>3</v>
      </c>
      <c r="D178" s="51">
        <f t="shared" si="10"/>
        <v>300</v>
      </c>
      <c r="E178" s="51" t="s">
        <v>3</v>
      </c>
      <c r="F178" s="99">
        <f t="shared" si="11"/>
        <v>1350</v>
      </c>
      <c r="G178" s="51" t="s">
        <v>3</v>
      </c>
      <c r="H178" s="48">
        <v>2</v>
      </c>
      <c r="I178" s="49" t="s">
        <v>45</v>
      </c>
      <c r="J178" s="184">
        <v>90</v>
      </c>
      <c r="K178" s="75">
        <v>300</v>
      </c>
      <c r="L178" s="75">
        <v>1350</v>
      </c>
      <c r="M178" s="185">
        <v>12.783444423055</v>
      </c>
      <c r="N178" s="87">
        <v>598.45033195200006</v>
      </c>
      <c r="O178" s="120">
        <v>17874.568291974643</v>
      </c>
      <c r="P178" s="121">
        <v>22522.810293765117</v>
      </c>
      <c r="Q178" s="120">
        <v>16792.937253592878</v>
      </c>
      <c r="R178" s="314">
        <v>34667.505545567517</v>
      </c>
      <c r="S178" s="315">
        <v>39315.747547357998</v>
      </c>
      <c r="U178" s="7" t="s">
        <v>2299</v>
      </c>
    </row>
    <row r="179" spans="1:21" ht="16.5" thickBot="1">
      <c r="A179" s="50" t="s">
        <v>35</v>
      </c>
      <c r="B179" s="51">
        <f t="shared" si="9"/>
        <v>90</v>
      </c>
      <c r="C179" s="51" t="s">
        <v>3</v>
      </c>
      <c r="D179" s="51">
        <f t="shared" si="10"/>
        <v>300</v>
      </c>
      <c r="E179" s="51" t="s">
        <v>3</v>
      </c>
      <c r="F179" s="99">
        <f t="shared" si="11"/>
        <v>1400</v>
      </c>
      <c r="G179" s="51" t="s">
        <v>3</v>
      </c>
      <c r="H179" s="48">
        <v>2</v>
      </c>
      <c r="I179" s="49" t="s">
        <v>45</v>
      </c>
      <c r="J179" s="184">
        <v>90</v>
      </c>
      <c r="K179" s="75">
        <v>300</v>
      </c>
      <c r="L179" s="75">
        <v>1400</v>
      </c>
      <c r="M179" s="185">
        <v>13.225264752935001</v>
      </c>
      <c r="N179" s="87">
        <v>628.37284854960001</v>
      </c>
      <c r="O179" s="120">
        <v>18327.252228839552</v>
      </c>
      <c r="P179" s="121">
        <v>23128.124699785618</v>
      </c>
      <c r="Q179" s="120">
        <v>17503.924339633504</v>
      </c>
      <c r="R179" s="314">
        <v>35831.176568473056</v>
      </c>
      <c r="S179" s="315">
        <v>40632.049039419122</v>
      </c>
      <c r="U179" s="7" t="s">
        <v>2300</v>
      </c>
    </row>
    <row r="180" spans="1:21" ht="16.5" thickBot="1">
      <c r="A180" s="50" t="s">
        <v>35</v>
      </c>
      <c r="B180" s="51">
        <f t="shared" si="9"/>
        <v>90</v>
      </c>
      <c r="C180" s="51" t="s">
        <v>3</v>
      </c>
      <c r="D180" s="51">
        <f t="shared" si="10"/>
        <v>300</v>
      </c>
      <c r="E180" s="51" t="s">
        <v>3</v>
      </c>
      <c r="F180" s="99">
        <f t="shared" si="11"/>
        <v>1450</v>
      </c>
      <c r="G180" s="51" t="s">
        <v>3</v>
      </c>
      <c r="H180" s="48">
        <v>2</v>
      </c>
      <c r="I180" s="49" t="s">
        <v>45</v>
      </c>
      <c r="J180" s="184">
        <v>90</v>
      </c>
      <c r="K180" s="75">
        <v>300</v>
      </c>
      <c r="L180" s="75">
        <v>1450</v>
      </c>
      <c r="M180" s="185">
        <v>13.650045082815002</v>
      </c>
      <c r="N180" s="87">
        <v>658.29536514719996</v>
      </c>
      <c r="O180" s="120">
        <v>18779.936025311104</v>
      </c>
      <c r="P180" s="121">
        <v>23733.439105806116</v>
      </c>
      <c r="Q180" s="120">
        <v>17984.32950749735</v>
      </c>
      <c r="R180" s="314">
        <v>36764.265532808451</v>
      </c>
      <c r="S180" s="315">
        <v>41717.768613303466</v>
      </c>
      <c r="U180" s="7" t="s">
        <v>2301</v>
      </c>
    </row>
    <row r="181" spans="1:21" ht="16.5" thickBot="1">
      <c r="A181" s="50" t="s">
        <v>35</v>
      </c>
      <c r="B181" s="51">
        <f t="shared" si="9"/>
        <v>90</v>
      </c>
      <c r="C181" s="51" t="s">
        <v>3</v>
      </c>
      <c r="D181" s="51">
        <f t="shared" si="10"/>
        <v>300</v>
      </c>
      <c r="E181" s="51" t="s">
        <v>3</v>
      </c>
      <c r="F181" s="99">
        <f t="shared" si="11"/>
        <v>1500</v>
      </c>
      <c r="G181" s="51" t="s">
        <v>3</v>
      </c>
      <c r="H181" s="48">
        <v>2</v>
      </c>
      <c r="I181" s="49" t="s">
        <v>45</v>
      </c>
      <c r="J181" s="184">
        <v>90</v>
      </c>
      <c r="K181" s="75">
        <v>300</v>
      </c>
      <c r="L181" s="75">
        <v>1500</v>
      </c>
      <c r="M181" s="185">
        <v>14.236430305495</v>
      </c>
      <c r="N181" s="87">
        <v>688.21788174479991</v>
      </c>
      <c r="O181" s="120">
        <v>19911.267156378042</v>
      </c>
      <c r="P181" s="121">
        <v>24955.610498538415</v>
      </c>
      <c r="Q181" s="120">
        <v>18695.316593538118</v>
      </c>
      <c r="R181" s="314">
        <v>38606.583749916157</v>
      </c>
      <c r="S181" s="315">
        <v>43650.927092076534</v>
      </c>
      <c r="U181" s="7" t="s">
        <v>2302</v>
      </c>
    </row>
    <row r="182" spans="1:21" ht="16.5" thickBot="1">
      <c r="A182" s="50" t="s">
        <v>35</v>
      </c>
      <c r="B182" s="51">
        <f t="shared" si="9"/>
        <v>90</v>
      </c>
      <c r="C182" s="51" t="s">
        <v>3</v>
      </c>
      <c r="D182" s="51">
        <f t="shared" si="10"/>
        <v>300</v>
      </c>
      <c r="E182" s="51" t="s">
        <v>3</v>
      </c>
      <c r="F182" s="99">
        <f t="shared" si="11"/>
        <v>1550</v>
      </c>
      <c r="G182" s="51" t="s">
        <v>3</v>
      </c>
      <c r="H182" s="48">
        <v>2</v>
      </c>
      <c r="I182" s="49" t="s">
        <v>45</v>
      </c>
      <c r="J182" s="184">
        <v>90</v>
      </c>
      <c r="K182" s="75">
        <v>300</v>
      </c>
      <c r="L182" s="75">
        <v>1550</v>
      </c>
      <c r="M182" s="185">
        <v>14.661210635374999</v>
      </c>
      <c r="N182" s="87">
        <v>718.14039834240009</v>
      </c>
      <c r="O182" s="120">
        <v>20363.951093242955</v>
      </c>
      <c r="P182" s="121">
        <v>25560.92490455892</v>
      </c>
      <c r="Q182" s="120">
        <v>19175.721761402103</v>
      </c>
      <c r="R182" s="314">
        <v>39539.672854645061</v>
      </c>
      <c r="S182" s="315">
        <v>44736.646665961023</v>
      </c>
      <c r="U182" s="7" t="s">
        <v>2303</v>
      </c>
    </row>
    <row r="183" spans="1:21" ht="16.5" thickBot="1">
      <c r="A183" s="47" t="s">
        <v>35</v>
      </c>
      <c r="B183" s="48">
        <f t="shared" si="9"/>
        <v>90</v>
      </c>
      <c r="C183" s="48" t="s">
        <v>3</v>
      </c>
      <c r="D183" s="48">
        <f t="shared" si="10"/>
        <v>300</v>
      </c>
      <c r="E183" s="48" t="s">
        <v>3</v>
      </c>
      <c r="F183" s="99">
        <f t="shared" si="11"/>
        <v>1600</v>
      </c>
      <c r="G183" s="48" t="s">
        <v>3</v>
      </c>
      <c r="H183" s="48">
        <v>2</v>
      </c>
      <c r="I183" s="49" t="s">
        <v>45</v>
      </c>
      <c r="J183" s="184">
        <v>90</v>
      </c>
      <c r="K183" s="75">
        <v>300</v>
      </c>
      <c r="L183" s="75">
        <v>1600</v>
      </c>
      <c r="M183" s="185">
        <v>15.085990965255</v>
      </c>
      <c r="N183" s="87">
        <v>748.06291494000004</v>
      </c>
      <c r="O183" s="120">
        <v>20816.634889714504</v>
      </c>
      <c r="P183" s="121">
        <v>26166.239310579418</v>
      </c>
      <c r="Q183" s="120">
        <v>19656.126929266091</v>
      </c>
      <c r="R183" s="314">
        <v>40472.761818980594</v>
      </c>
      <c r="S183" s="315">
        <v>45822.366239845505</v>
      </c>
      <c r="U183" s="7" t="s">
        <v>2304</v>
      </c>
    </row>
    <row r="184" spans="1:21" ht="16.5" thickBot="1">
      <c r="A184" s="50" t="s">
        <v>35</v>
      </c>
      <c r="B184" s="51">
        <f t="shared" si="9"/>
        <v>90</v>
      </c>
      <c r="C184" s="51" t="s">
        <v>3</v>
      </c>
      <c r="D184" s="51">
        <f t="shared" si="10"/>
        <v>300</v>
      </c>
      <c r="E184" s="51" t="s">
        <v>3</v>
      </c>
      <c r="F184" s="99">
        <f t="shared" si="11"/>
        <v>1650</v>
      </c>
      <c r="G184" s="51" t="s">
        <v>3</v>
      </c>
      <c r="H184" s="48">
        <v>2</v>
      </c>
      <c r="I184" s="49" t="s">
        <v>45</v>
      </c>
      <c r="J184" s="184">
        <v>90</v>
      </c>
      <c r="K184" s="75">
        <v>300</v>
      </c>
      <c r="L184" s="75">
        <v>1650</v>
      </c>
      <c r="M184" s="185">
        <v>15.527811295135001</v>
      </c>
      <c r="N184" s="87">
        <v>777.98543153760011</v>
      </c>
      <c r="O184" s="120">
        <v>21269.318826579416</v>
      </c>
      <c r="P184" s="121">
        <v>26771.553716599916</v>
      </c>
      <c r="Q184" s="120">
        <v>20367.114015306717</v>
      </c>
      <c r="R184" s="314">
        <v>41636.432841886133</v>
      </c>
      <c r="S184" s="315">
        <v>47138.667731906637</v>
      </c>
      <c r="U184" s="7" t="s">
        <v>2305</v>
      </c>
    </row>
    <row r="185" spans="1:21" ht="16.5" thickBot="1">
      <c r="A185" s="50" t="s">
        <v>35</v>
      </c>
      <c r="B185" s="51">
        <f t="shared" si="9"/>
        <v>90</v>
      </c>
      <c r="C185" s="51" t="s">
        <v>3</v>
      </c>
      <c r="D185" s="51">
        <f t="shared" si="10"/>
        <v>300</v>
      </c>
      <c r="E185" s="51" t="s">
        <v>3</v>
      </c>
      <c r="F185" s="99">
        <f t="shared" si="11"/>
        <v>1700</v>
      </c>
      <c r="G185" s="51" t="s">
        <v>3</v>
      </c>
      <c r="H185" s="48">
        <v>2</v>
      </c>
      <c r="I185" s="49" t="s">
        <v>45</v>
      </c>
      <c r="J185" s="184">
        <v>90</v>
      </c>
      <c r="K185" s="75">
        <v>300</v>
      </c>
      <c r="L185" s="75">
        <v>1700</v>
      </c>
      <c r="M185" s="185">
        <v>15.952591625015001</v>
      </c>
      <c r="N185" s="87">
        <v>807.90794813520006</v>
      </c>
      <c r="O185" s="120">
        <v>21722.002623050968</v>
      </c>
      <c r="P185" s="121">
        <v>27376.868263013781</v>
      </c>
      <c r="Q185" s="120">
        <v>20847.519183170705</v>
      </c>
      <c r="R185" s="314">
        <v>42569.521806221674</v>
      </c>
      <c r="S185" s="315">
        <v>48224.387446184483</v>
      </c>
      <c r="U185" s="7" t="s">
        <v>2306</v>
      </c>
    </row>
    <row r="186" spans="1:21" ht="16.5" thickBot="1">
      <c r="A186" s="50" t="s">
        <v>35</v>
      </c>
      <c r="B186" s="51">
        <f t="shared" si="9"/>
        <v>90</v>
      </c>
      <c r="C186" s="51" t="s">
        <v>3</v>
      </c>
      <c r="D186" s="51">
        <f t="shared" si="10"/>
        <v>300</v>
      </c>
      <c r="E186" s="51" t="s">
        <v>3</v>
      </c>
      <c r="F186" s="99">
        <f t="shared" si="11"/>
        <v>1750</v>
      </c>
      <c r="G186" s="51" t="s">
        <v>3</v>
      </c>
      <c r="H186" s="48">
        <v>2</v>
      </c>
      <c r="I186" s="49" t="s">
        <v>45</v>
      </c>
      <c r="J186" s="184">
        <v>90</v>
      </c>
      <c r="K186" s="75">
        <v>300</v>
      </c>
      <c r="L186" s="75">
        <v>1750</v>
      </c>
      <c r="M186" s="185">
        <v>16.394411954894998</v>
      </c>
      <c r="N186" s="87">
        <v>837.83046473280001</v>
      </c>
      <c r="O186" s="120">
        <v>22174.686559915881</v>
      </c>
      <c r="P186" s="121">
        <v>27982.182669034279</v>
      </c>
      <c r="Q186" s="120">
        <v>21558.506269211328</v>
      </c>
      <c r="R186" s="314">
        <v>43733.192829127205</v>
      </c>
      <c r="S186" s="315">
        <v>49540.688938245607</v>
      </c>
      <c r="U186" s="7" t="s">
        <v>2307</v>
      </c>
    </row>
    <row r="187" spans="1:21" ht="16.5" thickBot="1">
      <c r="A187" s="50" t="s">
        <v>35</v>
      </c>
      <c r="B187" s="51">
        <f t="shared" si="9"/>
        <v>90</v>
      </c>
      <c r="C187" s="51" t="s">
        <v>3</v>
      </c>
      <c r="D187" s="51">
        <f t="shared" si="10"/>
        <v>300</v>
      </c>
      <c r="E187" s="51" t="s">
        <v>3</v>
      </c>
      <c r="F187" s="99">
        <f t="shared" si="11"/>
        <v>1800</v>
      </c>
      <c r="G187" s="51" t="s">
        <v>3</v>
      </c>
      <c r="H187" s="48">
        <v>2</v>
      </c>
      <c r="I187" s="49" t="s">
        <v>45</v>
      </c>
      <c r="J187" s="184">
        <v>90</v>
      </c>
      <c r="K187" s="75">
        <v>300</v>
      </c>
      <c r="L187" s="75">
        <v>1800</v>
      </c>
      <c r="M187" s="185">
        <v>16.819192284774999</v>
      </c>
      <c r="N187" s="87">
        <v>867.75298133040008</v>
      </c>
      <c r="O187" s="120">
        <v>22627.37035638743</v>
      </c>
      <c r="P187" s="121">
        <v>28587.497075054784</v>
      </c>
      <c r="Q187" s="120">
        <v>22038.911437075316</v>
      </c>
      <c r="R187" s="314">
        <v>44666.281793462746</v>
      </c>
      <c r="S187" s="315">
        <v>50626.408512130103</v>
      </c>
      <c r="U187" s="7" t="s">
        <v>2308</v>
      </c>
    </row>
    <row r="188" spans="1:21" ht="16.5" thickBot="1">
      <c r="A188" s="50" t="s">
        <v>35</v>
      </c>
      <c r="B188" s="51">
        <f t="shared" si="9"/>
        <v>90</v>
      </c>
      <c r="C188" s="51" t="s">
        <v>3</v>
      </c>
      <c r="D188" s="51">
        <f t="shared" si="10"/>
        <v>300</v>
      </c>
      <c r="E188" s="51" t="s">
        <v>3</v>
      </c>
      <c r="F188" s="99">
        <f t="shared" si="11"/>
        <v>1850</v>
      </c>
      <c r="G188" s="51" t="s">
        <v>3</v>
      </c>
      <c r="H188" s="48">
        <v>2</v>
      </c>
      <c r="I188" s="49" t="s">
        <v>45</v>
      </c>
      <c r="J188" s="184">
        <v>90</v>
      </c>
      <c r="K188" s="75">
        <v>300</v>
      </c>
      <c r="L188" s="75">
        <v>1850</v>
      </c>
      <c r="M188" s="185">
        <v>17.261012614655002</v>
      </c>
      <c r="N188" s="87">
        <v>897.67549792800003</v>
      </c>
      <c r="O188" s="120">
        <v>23080.054293252346</v>
      </c>
      <c r="P188" s="121">
        <v>29192.811481075281</v>
      </c>
      <c r="Q188" s="120">
        <v>22749.898382722578</v>
      </c>
      <c r="R188" s="314">
        <v>45829.952675974928</v>
      </c>
      <c r="S188" s="315">
        <v>51942.709863797863</v>
      </c>
      <c r="U188" s="7" t="s">
        <v>2309</v>
      </c>
    </row>
    <row r="189" spans="1:21" ht="16.5" thickBot="1">
      <c r="A189" s="50" t="s">
        <v>35</v>
      </c>
      <c r="B189" s="51">
        <f t="shared" si="9"/>
        <v>90</v>
      </c>
      <c r="C189" s="51" t="s">
        <v>3</v>
      </c>
      <c r="D189" s="51">
        <f t="shared" si="10"/>
        <v>300</v>
      </c>
      <c r="E189" s="51" t="s">
        <v>3</v>
      </c>
      <c r="F189" s="99">
        <f t="shared" si="11"/>
        <v>1900</v>
      </c>
      <c r="G189" s="51" t="s">
        <v>3</v>
      </c>
      <c r="H189" s="48">
        <v>2</v>
      </c>
      <c r="I189" s="49" t="s">
        <v>45</v>
      </c>
      <c r="J189" s="184">
        <v>90</v>
      </c>
      <c r="K189" s="75">
        <v>300</v>
      </c>
      <c r="L189" s="75">
        <v>1900</v>
      </c>
      <c r="M189" s="185">
        <v>17.685792944534999</v>
      </c>
      <c r="N189" s="87">
        <v>927.59801452559998</v>
      </c>
      <c r="O189" s="120">
        <v>23532.738089723891</v>
      </c>
      <c r="P189" s="121">
        <v>29798.126027489143</v>
      </c>
      <c r="Q189" s="120">
        <v>23230.30369097993</v>
      </c>
      <c r="R189" s="314">
        <v>46763.041780703817</v>
      </c>
      <c r="S189" s="315">
        <v>53028.429718469073</v>
      </c>
      <c r="U189" s="7" t="s">
        <v>2310</v>
      </c>
    </row>
    <row r="190" spans="1:21" ht="16.5" thickBot="1">
      <c r="A190" s="50" t="s">
        <v>35</v>
      </c>
      <c r="B190" s="51">
        <f t="shared" si="9"/>
        <v>90</v>
      </c>
      <c r="C190" s="51" t="s">
        <v>3</v>
      </c>
      <c r="D190" s="51">
        <f t="shared" si="10"/>
        <v>300</v>
      </c>
      <c r="E190" s="51" t="s">
        <v>3</v>
      </c>
      <c r="F190" s="99">
        <f t="shared" si="11"/>
        <v>1950</v>
      </c>
      <c r="G190" s="51" t="s">
        <v>3</v>
      </c>
      <c r="H190" s="48">
        <v>2</v>
      </c>
      <c r="I190" s="49" t="s">
        <v>45</v>
      </c>
      <c r="J190" s="184">
        <v>90</v>
      </c>
      <c r="K190" s="75">
        <v>300</v>
      </c>
      <c r="L190" s="75">
        <v>1950</v>
      </c>
      <c r="M190" s="185">
        <v>18.149823274415002</v>
      </c>
      <c r="N190" s="87">
        <v>957.52053112320004</v>
      </c>
      <c r="O190" s="120">
        <v>24031.293732671969</v>
      </c>
      <c r="P190" s="121">
        <v>30449.592224350996</v>
      </c>
      <c r="Q190" s="120">
        <v>23710.708858843918</v>
      </c>
      <c r="R190" s="314">
        <v>47742.002591515891</v>
      </c>
      <c r="S190" s="315">
        <v>54160.301083194914</v>
      </c>
      <c r="U190" s="7" t="s">
        <v>2311</v>
      </c>
    </row>
    <row r="191" spans="1:21" ht="16.5" thickBot="1">
      <c r="A191" s="50" t="s">
        <v>35</v>
      </c>
      <c r="B191" s="51">
        <f t="shared" si="9"/>
        <v>90</v>
      </c>
      <c r="C191" s="51" t="s">
        <v>3</v>
      </c>
      <c r="D191" s="51">
        <f t="shared" si="10"/>
        <v>300</v>
      </c>
      <c r="E191" s="51" t="s">
        <v>3</v>
      </c>
      <c r="F191" s="99">
        <f t="shared" si="11"/>
        <v>2000</v>
      </c>
      <c r="G191" s="51" t="s">
        <v>3</v>
      </c>
      <c r="H191" s="48">
        <v>2</v>
      </c>
      <c r="I191" s="49" t="s">
        <v>45</v>
      </c>
      <c r="J191" s="184">
        <v>90</v>
      </c>
      <c r="K191" s="75">
        <v>300</v>
      </c>
      <c r="L191" s="75">
        <v>2000</v>
      </c>
      <c r="M191" s="185">
        <v>18.683206004294998</v>
      </c>
      <c r="N191" s="87">
        <v>987.4430477208</v>
      </c>
      <c r="O191" s="120">
        <v>24714.520558358745</v>
      </c>
      <c r="P191" s="121">
        <v>31367.58749828416</v>
      </c>
      <c r="Q191" s="120">
        <v>24421.695804491177</v>
      </c>
      <c r="R191" s="314">
        <v>49136.216362849926</v>
      </c>
      <c r="S191" s="315">
        <v>55789.283302775337</v>
      </c>
      <c r="U191" s="7" t="s">
        <v>2312</v>
      </c>
    </row>
    <row r="192" spans="1:21" ht="16.5" thickBot="1">
      <c r="A192" s="50" t="s">
        <v>35</v>
      </c>
      <c r="B192" s="51">
        <f t="shared" si="9"/>
        <v>90</v>
      </c>
      <c r="C192" s="51" t="s">
        <v>3</v>
      </c>
      <c r="D192" s="51">
        <f t="shared" si="10"/>
        <v>300</v>
      </c>
      <c r="E192" s="51" t="s">
        <v>3</v>
      </c>
      <c r="F192" s="99">
        <f t="shared" si="11"/>
        <v>2050</v>
      </c>
      <c r="G192" s="51" t="s">
        <v>3</v>
      </c>
      <c r="H192" s="48">
        <v>2</v>
      </c>
      <c r="I192" s="49" t="s">
        <v>45</v>
      </c>
      <c r="J192" s="184">
        <v>90</v>
      </c>
      <c r="K192" s="75">
        <v>300</v>
      </c>
      <c r="L192" s="75">
        <v>2050</v>
      </c>
      <c r="M192" s="185">
        <v>19.107986334175003</v>
      </c>
      <c r="N192" s="87">
        <v>1017.3655643184001</v>
      </c>
      <c r="O192" s="120">
        <v>25167.204495223654</v>
      </c>
      <c r="P192" s="121">
        <v>31972.901904304657</v>
      </c>
      <c r="Q192" s="120">
        <v>24902.101112748529</v>
      </c>
      <c r="R192" s="314">
        <v>50069.305607972186</v>
      </c>
      <c r="S192" s="315">
        <v>56875.003017053183</v>
      </c>
      <c r="U192" s="7" t="s">
        <v>2313</v>
      </c>
    </row>
    <row r="193" spans="1:21" ht="16.5" thickBot="1">
      <c r="A193" s="47" t="s">
        <v>35</v>
      </c>
      <c r="B193" s="48">
        <f t="shared" si="9"/>
        <v>90</v>
      </c>
      <c r="C193" s="48" t="s">
        <v>3</v>
      </c>
      <c r="D193" s="48">
        <f t="shared" si="10"/>
        <v>300</v>
      </c>
      <c r="E193" s="48" t="s">
        <v>3</v>
      </c>
      <c r="F193" s="99">
        <f t="shared" si="11"/>
        <v>2100</v>
      </c>
      <c r="G193" s="48" t="s">
        <v>3</v>
      </c>
      <c r="H193" s="48">
        <v>2</v>
      </c>
      <c r="I193" s="49" t="s">
        <v>45</v>
      </c>
      <c r="J193" s="184">
        <v>90</v>
      </c>
      <c r="K193" s="75">
        <v>300</v>
      </c>
      <c r="L193" s="75">
        <v>2100</v>
      </c>
      <c r="M193" s="185">
        <v>19.549806664055001</v>
      </c>
      <c r="N193" s="87">
        <v>1047.2880809160001</v>
      </c>
      <c r="O193" s="120">
        <v>25619.888291695206</v>
      </c>
      <c r="P193" s="121">
        <v>32578.216310325155</v>
      </c>
      <c r="Q193" s="120">
        <v>25613.088058395791</v>
      </c>
      <c r="R193" s="314">
        <v>51232.976350090998</v>
      </c>
      <c r="S193" s="315">
        <v>58191.304368720943</v>
      </c>
      <c r="U193" s="7" t="s">
        <v>2314</v>
      </c>
    </row>
    <row r="194" spans="1:21" ht="16.5" thickBot="1">
      <c r="A194" s="50" t="s">
        <v>35</v>
      </c>
      <c r="B194" s="51">
        <f t="shared" si="9"/>
        <v>90</v>
      </c>
      <c r="C194" s="51" t="s">
        <v>3</v>
      </c>
      <c r="D194" s="51">
        <f t="shared" si="10"/>
        <v>300</v>
      </c>
      <c r="E194" s="51" t="s">
        <v>3</v>
      </c>
      <c r="F194" s="99">
        <f t="shared" si="11"/>
        <v>2150</v>
      </c>
      <c r="G194" s="51" t="s">
        <v>3</v>
      </c>
      <c r="H194" s="48">
        <v>2</v>
      </c>
      <c r="I194" s="49" t="s">
        <v>45</v>
      </c>
      <c r="J194" s="184">
        <v>90</v>
      </c>
      <c r="K194" s="75">
        <v>300</v>
      </c>
      <c r="L194" s="75">
        <v>2150</v>
      </c>
      <c r="M194" s="185">
        <v>19.974586993935002</v>
      </c>
      <c r="N194" s="87">
        <v>1077.2105975136001</v>
      </c>
      <c r="O194" s="120">
        <v>26072.572228560119</v>
      </c>
      <c r="P194" s="121">
        <v>33183.530716345653</v>
      </c>
      <c r="Q194" s="120">
        <v>26093.493366653143</v>
      </c>
      <c r="R194" s="314">
        <v>52166.065595213266</v>
      </c>
      <c r="S194" s="315">
        <v>59277.024082998796</v>
      </c>
      <c r="U194" s="7" t="s">
        <v>2315</v>
      </c>
    </row>
    <row r="195" spans="1:21" ht="16.5" thickBot="1">
      <c r="A195" s="50" t="s">
        <v>35</v>
      </c>
      <c r="B195" s="51">
        <f t="shared" si="9"/>
        <v>90</v>
      </c>
      <c r="C195" s="51" t="s">
        <v>3</v>
      </c>
      <c r="D195" s="51">
        <f t="shared" si="10"/>
        <v>300</v>
      </c>
      <c r="E195" s="51" t="s">
        <v>3</v>
      </c>
      <c r="F195" s="99">
        <f t="shared" si="11"/>
        <v>2200</v>
      </c>
      <c r="G195" s="51" t="s">
        <v>3</v>
      </c>
      <c r="H195" s="48">
        <v>2</v>
      </c>
      <c r="I195" s="49" t="s">
        <v>45</v>
      </c>
      <c r="J195" s="184">
        <v>90</v>
      </c>
      <c r="K195" s="75">
        <v>300</v>
      </c>
      <c r="L195" s="75">
        <v>2200</v>
      </c>
      <c r="M195" s="185">
        <v>20.416407323815001</v>
      </c>
      <c r="N195" s="87">
        <v>1107.1331141112</v>
      </c>
      <c r="O195" s="120">
        <v>26525.256025031667</v>
      </c>
      <c r="P195" s="121">
        <v>33788.845262759518</v>
      </c>
      <c r="Q195" s="120">
        <v>26804.480312300402</v>
      </c>
      <c r="R195" s="314">
        <v>53329.73633733207</v>
      </c>
      <c r="S195" s="315">
        <v>60593.32557505992</v>
      </c>
      <c r="U195" s="7" t="s">
        <v>2316</v>
      </c>
    </row>
    <row r="196" spans="1:21" ht="16.5" thickBot="1">
      <c r="A196" s="50" t="s">
        <v>35</v>
      </c>
      <c r="B196" s="51">
        <f t="shared" si="9"/>
        <v>90</v>
      </c>
      <c r="C196" s="51" t="s">
        <v>3</v>
      </c>
      <c r="D196" s="51">
        <f t="shared" si="10"/>
        <v>300</v>
      </c>
      <c r="E196" s="51" t="s">
        <v>3</v>
      </c>
      <c r="F196" s="99">
        <f t="shared" si="11"/>
        <v>2250</v>
      </c>
      <c r="G196" s="51" t="s">
        <v>3</v>
      </c>
      <c r="H196" s="48">
        <v>2</v>
      </c>
      <c r="I196" s="49" t="s">
        <v>45</v>
      </c>
      <c r="J196" s="184">
        <v>90</v>
      </c>
      <c r="K196" s="75">
        <v>300</v>
      </c>
      <c r="L196" s="75">
        <v>2250</v>
      </c>
      <c r="M196" s="185">
        <v>20.841187653695002</v>
      </c>
      <c r="N196" s="87">
        <v>1137.0556307088</v>
      </c>
      <c r="O196" s="120">
        <v>26977.939961896584</v>
      </c>
      <c r="P196" s="121">
        <v>34394.159668780019</v>
      </c>
      <c r="Q196" s="120">
        <v>27284.885480164394</v>
      </c>
      <c r="R196" s="314">
        <v>54262.825442060974</v>
      </c>
      <c r="S196" s="315">
        <v>61679.045148944409</v>
      </c>
      <c r="U196" s="7" t="s">
        <v>2317</v>
      </c>
    </row>
    <row r="197" spans="1:21" ht="16.5" thickBot="1">
      <c r="A197" s="50" t="s">
        <v>35</v>
      </c>
      <c r="B197" s="51">
        <f t="shared" si="9"/>
        <v>90</v>
      </c>
      <c r="C197" s="51" t="s">
        <v>3</v>
      </c>
      <c r="D197" s="51">
        <f t="shared" si="10"/>
        <v>300</v>
      </c>
      <c r="E197" s="51" t="s">
        <v>3</v>
      </c>
      <c r="F197" s="99">
        <f t="shared" si="11"/>
        <v>2300</v>
      </c>
      <c r="G197" s="51" t="s">
        <v>3</v>
      </c>
      <c r="H197" s="48">
        <v>2</v>
      </c>
      <c r="I197" s="49" t="s">
        <v>45</v>
      </c>
      <c r="J197" s="184">
        <v>90</v>
      </c>
      <c r="K197" s="75">
        <v>300</v>
      </c>
      <c r="L197" s="75">
        <v>2300</v>
      </c>
      <c r="M197" s="185">
        <v>21.265967983575003</v>
      </c>
      <c r="N197" s="87">
        <v>1166.9781473063999</v>
      </c>
      <c r="O197" s="120">
        <v>27430.623758368129</v>
      </c>
      <c r="P197" s="121">
        <v>34999.474074800521</v>
      </c>
      <c r="Q197" s="120">
        <v>27765.290788421746</v>
      </c>
      <c r="R197" s="314">
        <v>55195.914546789878</v>
      </c>
      <c r="S197" s="315">
        <v>62764.76486322227</v>
      </c>
      <c r="U197" s="7" t="s">
        <v>2318</v>
      </c>
    </row>
    <row r="198" spans="1:21" ht="16.5" thickBot="1">
      <c r="A198" s="50" t="s">
        <v>35</v>
      </c>
      <c r="B198" s="51">
        <f t="shared" si="9"/>
        <v>90</v>
      </c>
      <c r="C198" s="51" t="s">
        <v>3</v>
      </c>
      <c r="D198" s="51">
        <f t="shared" si="10"/>
        <v>300</v>
      </c>
      <c r="E198" s="51" t="s">
        <v>3</v>
      </c>
      <c r="F198" s="99">
        <f t="shared" si="11"/>
        <v>2350</v>
      </c>
      <c r="G198" s="51" t="s">
        <v>3</v>
      </c>
      <c r="H198" s="48">
        <v>2</v>
      </c>
      <c r="I198" s="49" t="s">
        <v>45</v>
      </c>
      <c r="J198" s="184">
        <v>90</v>
      </c>
      <c r="K198" s="75">
        <v>300</v>
      </c>
      <c r="L198" s="75">
        <v>2350</v>
      </c>
      <c r="M198" s="185">
        <v>21.707788313455005</v>
      </c>
      <c r="N198" s="87">
        <v>1196.9006639040001</v>
      </c>
      <c r="O198" s="120">
        <v>27883.307695233045</v>
      </c>
      <c r="P198" s="121">
        <v>35604.788480821022</v>
      </c>
      <c r="Q198" s="120">
        <v>28476.277734069005</v>
      </c>
      <c r="R198" s="314">
        <v>56359.585429302053</v>
      </c>
      <c r="S198" s="315">
        <v>64081.06621489003</v>
      </c>
      <c r="U198" s="7" t="s">
        <v>2319</v>
      </c>
    </row>
    <row r="199" spans="1:21" ht="16.5" thickBot="1">
      <c r="A199" s="50" t="s">
        <v>35</v>
      </c>
      <c r="B199" s="51">
        <f t="shared" si="9"/>
        <v>90</v>
      </c>
      <c r="C199" s="51" t="s">
        <v>3</v>
      </c>
      <c r="D199" s="51">
        <f t="shared" si="10"/>
        <v>300</v>
      </c>
      <c r="E199" s="51" t="s">
        <v>3</v>
      </c>
      <c r="F199" s="99">
        <f t="shared" si="11"/>
        <v>2400</v>
      </c>
      <c r="G199" s="51" t="s">
        <v>3</v>
      </c>
      <c r="H199" s="48">
        <v>2</v>
      </c>
      <c r="I199" s="49" t="s">
        <v>45</v>
      </c>
      <c r="J199" s="184">
        <v>90</v>
      </c>
      <c r="K199" s="75">
        <v>300</v>
      </c>
      <c r="L199" s="75">
        <v>2400</v>
      </c>
      <c r="M199" s="185">
        <v>22.132568643334999</v>
      </c>
      <c r="N199" s="87">
        <v>1226.8231805016001</v>
      </c>
      <c r="O199" s="120">
        <v>28335.991491704593</v>
      </c>
      <c r="P199" s="121">
        <v>36210.10302723488</v>
      </c>
      <c r="Q199" s="120">
        <v>28956.682901932996</v>
      </c>
      <c r="R199" s="314">
        <v>57292.674393637586</v>
      </c>
      <c r="S199" s="315">
        <v>65166.785929167876</v>
      </c>
      <c r="U199" s="7" t="s">
        <v>2320</v>
      </c>
    </row>
    <row r="200" spans="1:21" ht="16.5" thickBot="1">
      <c r="A200" s="50" t="s">
        <v>35</v>
      </c>
      <c r="B200" s="51">
        <f t="shared" si="9"/>
        <v>90</v>
      </c>
      <c r="C200" s="51" t="s">
        <v>3</v>
      </c>
      <c r="D200" s="51">
        <f t="shared" si="10"/>
        <v>300</v>
      </c>
      <c r="E200" s="51" t="s">
        <v>3</v>
      </c>
      <c r="F200" s="99">
        <f t="shared" si="11"/>
        <v>2450</v>
      </c>
      <c r="G200" s="51" t="s">
        <v>3</v>
      </c>
      <c r="H200" s="48">
        <v>2</v>
      </c>
      <c r="I200" s="49" t="s">
        <v>45</v>
      </c>
      <c r="J200" s="184">
        <v>90</v>
      </c>
      <c r="K200" s="75">
        <v>300</v>
      </c>
      <c r="L200" s="75">
        <v>2450</v>
      </c>
      <c r="M200" s="185">
        <v>22.718953866014999</v>
      </c>
      <c r="N200" s="87">
        <v>1256.7456970992</v>
      </c>
      <c r="O200" s="120">
        <v>29467.322622771531</v>
      </c>
      <c r="P200" s="121">
        <v>37432.274279573823</v>
      </c>
      <c r="Q200" s="120">
        <v>29667.669987973619</v>
      </c>
      <c r="R200" s="314">
        <v>59134.992610745147</v>
      </c>
      <c r="S200" s="315">
        <v>67099.944267547442</v>
      </c>
      <c r="U200" s="7" t="s">
        <v>2321</v>
      </c>
    </row>
    <row r="201" spans="1:21" ht="16.5" thickBot="1">
      <c r="A201" s="50" t="s">
        <v>35</v>
      </c>
      <c r="B201" s="51">
        <f t="shared" si="9"/>
        <v>90</v>
      </c>
      <c r="C201" s="51" t="s">
        <v>3</v>
      </c>
      <c r="D201" s="51">
        <f t="shared" si="10"/>
        <v>300</v>
      </c>
      <c r="E201" s="51" t="s">
        <v>3</v>
      </c>
      <c r="F201" s="99">
        <f t="shared" si="11"/>
        <v>2500</v>
      </c>
      <c r="G201" s="51" t="s">
        <v>3</v>
      </c>
      <c r="H201" s="48">
        <v>2</v>
      </c>
      <c r="I201" s="49" t="s">
        <v>45</v>
      </c>
      <c r="J201" s="184">
        <v>90</v>
      </c>
      <c r="K201" s="75">
        <v>300</v>
      </c>
      <c r="L201" s="75">
        <v>2500</v>
      </c>
      <c r="M201" s="185">
        <v>23.143734195895</v>
      </c>
      <c r="N201" s="87">
        <v>1286.6682136968</v>
      </c>
      <c r="O201" s="120">
        <v>29920.006559636447</v>
      </c>
      <c r="P201" s="121">
        <v>38037.588685594317</v>
      </c>
      <c r="Q201" s="120">
        <v>30148.075155837607</v>
      </c>
      <c r="R201" s="314">
        <v>60068.081715474051</v>
      </c>
      <c r="S201" s="315">
        <v>68185.663841431931</v>
      </c>
      <c r="U201" s="7" t="s">
        <v>2322</v>
      </c>
    </row>
    <row r="202" spans="1:21" ht="16.5" thickBot="1">
      <c r="A202" s="50" t="s">
        <v>35</v>
      </c>
      <c r="B202" s="51">
        <f t="shared" si="9"/>
        <v>90</v>
      </c>
      <c r="C202" s="51" t="s">
        <v>3</v>
      </c>
      <c r="D202" s="51">
        <f t="shared" si="10"/>
        <v>300</v>
      </c>
      <c r="E202" s="51" t="s">
        <v>3</v>
      </c>
      <c r="F202" s="99">
        <f t="shared" si="11"/>
        <v>2550</v>
      </c>
      <c r="G202" s="51" t="s">
        <v>3</v>
      </c>
      <c r="H202" s="48">
        <v>2</v>
      </c>
      <c r="I202" s="49" t="s">
        <v>45</v>
      </c>
      <c r="J202" s="184">
        <v>90</v>
      </c>
      <c r="K202" s="75">
        <v>300</v>
      </c>
      <c r="L202" s="75">
        <v>2550</v>
      </c>
      <c r="M202" s="185">
        <v>23.585554525775002</v>
      </c>
      <c r="N202" s="87">
        <v>1316.5907302943999</v>
      </c>
      <c r="O202" s="120">
        <v>30372.690356107993</v>
      </c>
      <c r="P202" s="121">
        <v>38642.903232008182</v>
      </c>
      <c r="Q202" s="120">
        <v>30859.06224187823</v>
      </c>
      <c r="R202" s="314">
        <v>61231.752597986226</v>
      </c>
      <c r="S202" s="315">
        <v>69501.965473886405</v>
      </c>
      <c r="U202" s="7" t="s">
        <v>2323</v>
      </c>
    </row>
    <row r="203" spans="1:21" ht="16.5" thickBot="1">
      <c r="A203" s="47" t="s">
        <v>35</v>
      </c>
      <c r="B203" s="48">
        <f t="shared" si="9"/>
        <v>90</v>
      </c>
      <c r="C203" s="48" t="s">
        <v>3</v>
      </c>
      <c r="D203" s="48">
        <f t="shared" si="10"/>
        <v>300</v>
      </c>
      <c r="E203" s="48" t="s">
        <v>3</v>
      </c>
      <c r="F203" s="99">
        <f t="shared" si="11"/>
        <v>2600</v>
      </c>
      <c r="G203" s="48" t="s">
        <v>3</v>
      </c>
      <c r="H203" s="48">
        <v>2</v>
      </c>
      <c r="I203" s="49" t="s">
        <v>45</v>
      </c>
      <c r="J203" s="184">
        <v>90</v>
      </c>
      <c r="K203" s="75">
        <v>300</v>
      </c>
      <c r="L203" s="75">
        <v>2600</v>
      </c>
      <c r="M203" s="185">
        <v>24.010334855655003</v>
      </c>
      <c r="N203" s="87">
        <v>1346.5132468919999</v>
      </c>
      <c r="O203" s="120">
        <v>30825.374152579545</v>
      </c>
      <c r="P203" s="121">
        <v>39248.217638028684</v>
      </c>
      <c r="Q203" s="120">
        <v>31339.467409742221</v>
      </c>
      <c r="R203" s="314">
        <v>62164.841562321766</v>
      </c>
      <c r="S203" s="315">
        <v>70587.685047770909</v>
      </c>
      <c r="U203" s="7" t="s">
        <v>2324</v>
      </c>
    </row>
    <row r="204" spans="1:21" ht="16.5" thickBot="1">
      <c r="A204" s="50" t="s">
        <v>35</v>
      </c>
      <c r="B204" s="51">
        <f t="shared" si="9"/>
        <v>90</v>
      </c>
      <c r="C204" s="51" t="s">
        <v>3</v>
      </c>
      <c r="D204" s="51">
        <f t="shared" si="10"/>
        <v>300</v>
      </c>
      <c r="E204" s="51" t="s">
        <v>3</v>
      </c>
      <c r="F204" s="99">
        <f t="shared" si="11"/>
        <v>2650</v>
      </c>
      <c r="G204" s="51" t="s">
        <v>3</v>
      </c>
      <c r="H204" s="48">
        <v>2</v>
      </c>
      <c r="I204" s="49" t="s">
        <v>45</v>
      </c>
      <c r="J204" s="184">
        <v>90</v>
      </c>
      <c r="K204" s="75">
        <v>300</v>
      </c>
      <c r="L204" s="75">
        <v>2650</v>
      </c>
      <c r="M204" s="185">
        <v>24.452155185535002</v>
      </c>
      <c r="N204" s="87">
        <v>1376.4357634895998</v>
      </c>
      <c r="O204" s="120">
        <v>31278.058089444457</v>
      </c>
      <c r="P204" s="121">
        <v>39853.532044049178</v>
      </c>
      <c r="Q204" s="120">
        <v>32050.45435538948</v>
      </c>
      <c r="R204" s="314">
        <v>63328.512444833934</v>
      </c>
      <c r="S204" s="315">
        <v>71903.986399438654</v>
      </c>
      <c r="U204" s="7" t="s">
        <v>2325</v>
      </c>
    </row>
    <row r="205" spans="1:21" ht="16.5" thickBot="1">
      <c r="A205" s="50" t="s">
        <v>35</v>
      </c>
      <c r="B205" s="51">
        <f t="shared" si="9"/>
        <v>90</v>
      </c>
      <c r="C205" s="51" t="s">
        <v>3</v>
      </c>
      <c r="D205" s="51">
        <f t="shared" si="10"/>
        <v>300</v>
      </c>
      <c r="E205" s="51" t="s">
        <v>3</v>
      </c>
      <c r="F205" s="99">
        <f t="shared" si="11"/>
        <v>2700</v>
      </c>
      <c r="G205" s="51" t="s">
        <v>3</v>
      </c>
      <c r="H205" s="48">
        <v>2</v>
      </c>
      <c r="I205" s="49" t="s">
        <v>45</v>
      </c>
      <c r="J205" s="184">
        <v>90</v>
      </c>
      <c r="K205" s="75">
        <v>300</v>
      </c>
      <c r="L205" s="75">
        <v>2700</v>
      </c>
      <c r="M205" s="185">
        <v>24.916185515415002</v>
      </c>
      <c r="N205" s="87">
        <v>1406.3582800872002</v>
      </c>
      <c r="O205" s="120">
        <v>31776.613732392529</v>
      </c>
      <c r="P205" s="121">
        <v>40504.998381304395</v>
      </c>
      <c r="Q205" s="120">
        <v>32530.859663646832</v>
      </c>
      <c r="R205" s="314">
        <v>64307.473396039364</v>
      </c>
      <c r="S205" s="315">
        <v>73035.858044951223</v>
      </c>
      <c r="U205" s="7" t="s">
        <v>2326</v>
      </c>
    </row>
    <row r="206" spans="1:21" ht="16.5" thickBot="1">
      <c r="A206" s="50" t="s">
        <v>35</v>
      </c>
      <c r="B206" s="51">
        <f t="shared" si="9"/>
        <v>90</v>
      </c>
      <c r="C206" s="51" t="s">
        <v>3</v>
      </c>
      <c r="D206" s="51">
        <f t="shared" si="10"/>
        <v>300</v>
      </c>
      <c r="E206" s="51" t="s">
        <v>3</v>
      </c>
      <c r="F206" s="99">
        <f t="shared" si="11"/>
        <v>2750</v>
      </c>
      <c r="G206" s="51" t="s">
        <v>3</v>
      </c>
      <c r="H206" s="48">
        <v>2</v>
      </c>
      <c r="I206" s="49" t="s">
        <v>45</v>
      </c>
      <c r="J206" s="184">
        <v>90</v>
      </c>
      <c r="K206" s="75">
        <v>300</v>
      </c>
      <c r="L206" s="75">
        <v>2750</v>
      </c>
      <c r="M206" s="185">
        <v>25.340965845295003</v>
      </c>
      <c r="N206" s="87">
        <v>1436.2807966848002</v>
      </c>
      <c r="O206" s="120">
        <v>32229.297528864081</v>
      </c>
      <c r="P206" s="121">
        <v>41110.312787324896</v>
      </c>
      <c r="Q206" s="120">
        <v>33011.264831510824</v>
      </c>
      <c r="R206" s="314">
        <v>65240.562360374905</v>
      </c>
      <c r="S206" s="315">
        <v>74121.577618835727</v>
      </c>
      <c r="U206" s="7" t="s">
        <v>2327</v>
      </c>
    </row>
    <row r="207" spans="1:21" ht="16.5" thickBot="1">
      <c r="A207" s="50" t="s">
        <v>35</v>
      </c>
      <c r="B207" s="51">
        <f t="shared" si="9"/>
        <v>90</v>
      </c>
      <c r="C207" s="51" t="s">
        <v>3</v>
      </c>
      <c r="D207" s="51">
        <f t="shared" si="10"/>
        <v>300</v>
      </c>
      <c r="E207" s="51" t="s">
        <v>3</v>
      </c>
      <c r="F207" s="99">
        <f t="shared" si="11"/>
        <v>2800</v>
      </c>
      <c r="G207" s="51" t="s">
        <v>3</v>
      </c>
      <c r="H207" s="48">
        <v>2</v>
      </c>
      <c r="I207" s="49" t="s">
        <v>45</v>
      </c>
      <c r="J207" s="184">
        <v>90</v>
      </c>
      <c r="K207" s="75">
        <v>300</v>
      </c>
      <c r="L207" s="75">
        <v>2800</v>
      </c>
      <c r="M207" s="185">
        <v>25.782786175175001</v>
      </c>
      <c r="N207" s="87">
        <v>1466.2033132824001</v>
      </c>
      <c r="O207" s="120">
        <v>32681.981465728993</v>
      </c>
      <c r="P207" s="121">
        <v>41715.627193345397</v>
      </c>
      <c r="Q207" s="120">
        <v>33722.251777158082</v>
      </c>
      <c r="R207" s="314">
        <v>66404.233242887072</v>
      </c>
      <c r="S207" s="315">
        <v>75437.878970503487</v>
      </c>
      <c r="U207" s="7" t="s">
        <v>2328</v>
      </c>
    </row>
    <row r="208" spans="1:21" ht="16.5" thickBot="1">
      <c r="A208" s="50" t="s">
        <v>35</v>
      </c>
      <c r="B208" s="51">
        <f t="shared" si="9"/>
        <v>90</v>
      </c>
      <c r="C208" s="51" t="s">
        <v>3</v>
      </c>
      <c r="D208" s="51">
        <f t="shared" si="10"/>
        <v>300</v>
      </c>
      <c r="E208" s="51" t="s">
        <v>3</v>
      </c>
      <c r="F208" s="99">
        <f t="shared" si="11"/>
        <v>2850</v>
      </c>
      <c r="G208" s="51" t="s">
        <v>3</v>
      </c>
      <c r="H208" s="48">
        <v>2</v>
      </c>
      <c r="I208" s="49" t="s">
        <v>45</v>
      </c>
      <c r="J208" s="184">
        <v>90</v>
      </c>
      <c r="K208" s="75">
        <v>300</v>
      </c>
      <c r="L208" s="75">
        <v>2850</v>
      </c>
      <c r="M208" s="185">
        <v>26.207566505055002</v>
      </c>
      <c r="N208" s="87">
        <v>1496.1258298800001</v>
      </c>
      <c r="O208" s="120">
        <v>33134.665262200542</v>
      </c>
      <c r="P208" s="121">
        <v>42320.941599365899</v>
      </c>
      <c r="Q208" s="120">
        <v>34202.657085415434</v>
      </c>
      <c r="R208" s="314">
        <v>67337.322347615976</v>
      </c>
      <c r="S208" s="315">
        <v>76523.598684781333</v>
      </c>
      <c r="U208" s="7" t="s">
        <v>2329</v>
      </c>
    </row>
    <row r="209" spans="1:21" ht="16.5" thickBot="1">
      <c r="A209" s="50" t="s">
        <v>35</v>
      </c>
      <c r="B209" s="51">
        <f t="shared" si="9"/>
        <v>90</v>
      </c>
      <c r="C209" s="51" t="s">
        <v>3</v>
      </c>
      <c r="D209" s="51">
        <f t="shared" si="10"/>
        <v>300</v>
      </c>
      <c r="E209" s="51" t="s">
        <v>3</v>
      </c>
      <c r="F209" s="99">
        <f t="shared" si="11"/>
        <v>2900</v>
      </c>
      <c r="G209" s="51" t="s">
        <v>3</v>
      </c>
      <c r="H209" s="48">
        <v>2</v>
      </c>
      <c r="I209" s="49" t="s">
        <v>45</v>
      </c>
      <c r="J209" s="184">
        <v>90</v>
      </c>
      <c r="K209" s="75">
        <v>300</v>
      </c>
      <c r="L209" s="75">
        <v>2900</v>
      </c>
      <c r="M209" s="185">
        <v>26.649386834935001</v>
      </c>
      <c r="N209" s="87">
        <v>1526.0483464776</v>
      </c>
      <c r="O209" s="120">
        <v>33587.349199065458</v>
      </c>
      <c r="P209" s="121">
        <v>42926.256145779764</v>
      </c>
      <c r="Q209" s="120">
        <v>34913.644031062693</v>
      </c>
      <c r="R209" s="314">
        <v>68500.993230128151</v>
      </c>
      <c r="S209" s="315">
        <v>77839.900176842464</v>
      </c>
      <c r="U209" s="7" t="s">
        <v>2330</v>
      </c>
    </row>
    <row r="210" spans="1:21" ht="16.5" thickBot="1">
      <c r="A210" s="50" t="s">
        <v>35</v>
      </c>
      <c r="B210" s="51">
        <f t="shared" si="9"/>
        <v>90</v>
      </c>
      <c r="C210" s="51" t="s">
        <v>3</v>
      </c>
      <c r="D210" s="51">
        <f t="shared" si="10"/>
        <v>300</v>
      </c>
      <c r="E210" s="51" t="s">
        <v>3</v>
      </c>
      <c r="F210" s="99">
        <f t="shared" si="11"/>
        <v>2950</v>
      </c>
      <c r="G210" s="51" t="s">
        <v>3</v>
      </c>
      <c r="H210" s="48">
        <v>2</v>
      </c>
      <c r="I210" s="49" t="s">
        <v>45</v>
      </c>
      <c r="J210" s="184">
        <v>90</v>
      </c>
      <c r="K210" s="75">
        <v>300</v>
      </c>
      <c r="L210" s="75">
        <v>2950</v>
      </c>
      <c r="M210" s="185">
        <v>27.074167164815002</v>
      </c>
      <c r="N210" s="87">
        <v>1555.9708630752002</v>
      </c>
      <c r="O210" s="120">
        <v>34040.032995537011</v>
      </c>
      <c r="P210" s="121">
        <v>43531.570551800258</v>
      </c>
      <c r="Q210" s="120">
        <v>35394.049339320045</v>
      </c>
      <c r="R210" s="314">
        <v>69434.082334857056</v>
      </c>
      <c r="S210" s="315">
        <v>78925.619891120296</v>
      </c>
      <c r="U210" s="7" t="s">
        <v>2331</v>
      </c>
    </row>
    <row r="211" spans="1:21" ht="16.5" thickBot="1">
      <c r="A211" s="52" t="s">
        <v>35</v>
      </c>
      <c r="B211" s="53">
        <f t="shared" si="9"/>
        <v>90</v>
      </c>
      <c r="C211" s="53" t="s">
        <v>3</v>
      </c>
      <c r="D211" s="53">
        <f t="shared" si="10"/>
        <v>300</v>
      </c>
      <c r="E211" s="53" t="s">
        <v>3</v>
      </c>
      <c r="F211" s="100">
        <f t="shared" si="11"/>
        <v>3000</v>
      </c>
      <c r="G211" s="53" t="s">
        <v>3</v>
      </c>
      <c r="H211" s="55">
        <v>2</v>
      </c>
      <c r="I211" s="54" t="s">
        <v>45</v>
      </c>
      <c r="J211" s="186">
        <v>90</v>
      </c>
      <c r="K211" s="147">
        <v>300</v>
      </c>
      <c r="L211" s="147">
        <v>3000</v>
      </c>
      <c r="M211" s="187">
        <v>27.515987494695004</v>
      </c>
      <c r="N211" s="148">
        <v>1585.8933796728002</v>
      </c>
      <c r="O211" s="159">
        <v>35667.874238260396</v>
      </c>
      <c r="P211" s="158">
        <v>44136.884957820759</v>
      </c>
      <c r="Q211" s="159">
        <v>36105.036284967304</v>
      </c>
      <c r="R211" s="316">
        <v>71772.910523227707</v>
      </c>
      <c r="S211" s="317">
        <v>80241.921242788056</v>
      </c>
      <c r="U211" s="7" t="s">
        <v>2332</v>
      </c>
    </row>
    <row r="212" spans="1:21" ht="16.5" thickBot="1">
      <c r="A212" s="2583" t="s">
        <v>135</v>
      </c>
      <c r="B212" s="2584"/>
      <c r="C212" s="2584"/>
      <c r="D212" s="2584"/>
      <c r="E212" s="2584"/>
      <c r="F212" s="2584"/>
      <c r="G212" s="2584"/>
      <c r="H212" s="2584"/>
      <c r="I212" s="2584"/>
      <c r="J212" s="2584"/>
      <c r="K212" s="2584"/>
      <c r="L212" s="2584"/>
      <c r="M212" s="2584"/>
      <c r="N212" s="2584"/>
      <c r="O212" s="2584"/>
      <c r="P212" s="2584"/>
      <c r="Q212" s="2584"/>
      <c r="R212" s="2584"/>
      <c r="S212" s="2585"/>
      <c r="U212" s="7"/>
    </row>
    <row r="213" spans="1:21" ht="16.5" thickBot="1">
      <c r="A213" s="47" t="s">
        <v>35</v>
      </c>
      <c r="B213" s="48">
        <f>J213</f>
        <v>90</v>
      </c>
      <c r="C213" s="48" t="s">
        <v>3</v>
      </c>
      <c r="D213" s="48">
        <f>K213</f>
        <v>300</v>
      </c>
      <c r="E213" s="48" t="s">
        <v>3</v>
      </c>
      <c r="F213" s="99">
        <f>L213</f>
        <v>600</v>
      </c>
      <c r="G213" s="48" t="s">
        <v>3</v>
      </c>
      <c r="H213" s="48">
        <v>4</v>
      </c>
      <c r="I213" s="49" t="s">
        <v>45</v>
      </c>
      <c r="J213" s="181">
        <v>90</v>
      </c>
      <c r="K213" s="143">
        <v>300</v>
      </c>
      <c r="L213" s="143">
        <v>600</v>
      </c>
      <c r="M213" s="182">
        <v>6.7777632625100006</v>
      </c>
      <c r="N213" s="144">
        <v>174</v>
      </c>
      <c r="O213" s="169">
        <v>13244.50961731508</v>
      </c>
      <c r="P213" s="183">
        <v>15639.319097409152</v>
      </c>
      <c r="Q213" s="169">
        <v>8203.3683669666007</v>
      </c>
      <c r="R213" s="312">
        <v>21447.87798428168</v>
      </c>
      <c r="S213" s="313">
        <v>23842.687464375755</v>
      </c>
      <c r="U213" s="7" t="s">
        <v>2333</v>
      </c>
    </row>
    <row r="214" spans="1:21" ht="16.5" thickBot="1">
      <c r="A214" s="50" t="s">
        <v>35</v>
      </c>
      <c r="B214" s="51">
        <f t="shared" ref="B214:B261" si="12">J214</f>
        <v>90</v>
      </c>
      <c r="C214" s="51" t="s">
        <v>3</v>
      </c>
      <c r="D214" s="51">
        <f t="shared" ref="D214:D261" si="13">K214</f>
        <v>300</v>
      </c>
      <c r="E214" s="51" t="s">
        <v>3</v>
      </c>
      <c r="F214" s="99">
        <f t="shared" ref="F214:F261" si="14">L214</f>
        <v>650</v>
      </c>
      <c r="G214" s="51" t="s">
        <v>3</v>
      </c>
      <c r="H214" s="48">
        <v>4</v>
      </c>
      <c r="I214" s="49" t="s">
        <v>45</v>
      </c>
      <c r="J214" s="184">
        <v>90</v>
      </c>
      <c r="K214" s="75">
        <v>300</v>
      </c>
      <c r="L214" s="75">
        <v>650</v>
      </c>
      <c r="M214" s="185">
        <v>7.2691659822699997</v>
      </c>
      <c r="N214" s="87">
        <v>208.79999999999998</v>
      </c>
      <c r="O214" s="120">
        <v>13977.02953532914</v>
      </c>
      <c r="P214" s="121">
        <v>16528.081103829118</v>
      </c>
      <c r="Q214" s="120">
        <v>8683.7735348305905</v>
      </c>
      <c r="R214" s="314">
        <v>22660.803070159731</v>
      </c>
      <c r="S214" s="315">
        <v>25211.854638659708</v>
      </c>
      <c r="U214" s="7" t="s">
        <v>2334</v>
      </c>
    </row>
    <row r="215" spans="1:21" ht="16.5" thickBot="1">
      <c r="A215" s="50" t="s">
        <v>35</v>
      </c>
      <c r="B215" s="51">
        <f t="shared" si="12"/>
        <v>90</v>
      </c>
      <c r="C215" s="51" t="s">
        <v>3</v>
      </c>
      <c r="D215" s="51">
        <f t="shared" si="13"/>
        <v>300</v>
      </c>
      <c r="E215" s="51" t="s">
        <v>3</v>
      </c>
      <c r="F215" s="99">
        <f t="shared" si="14"/>
        <v>700</v>
      </c>
      <c r="G215" s="51" t="s">
        <v>3</v>
      </c>
      <c r="H215" s="48">
        <v>4</v>
      </c>
      <c r="I215" s="49" t="s">
        <v>45</v>
      </c>
      <c r="J215" s="184">
        <v>90</v>
      </c>
      <c r="K215" s="75">
        <v>300</v>
      </c>
      <c r="L215" s="75">
        <v>700</v>
      </c>
      <c r="M215" s="185">
        <v>7.7776087020299993</v>
      </c>
      <c r="N215" s="87">
        <v>243.6</v>
      </c>
      <c r="O215" s="120">
        <v>14637.602909223004</v>
      </c>
      <c r="P215" s="121">
        <v>17344.45741569098</v>
      </c>
      <c r="Q215" s="120">
        <v>9394.7606208712132</v>
      </c>
      <c r="R215" s="314">
        <v>24032.363530094219</v>
      </c>
      <c r="S215" s="315">
        <v>26739.218036562193</v>
      </c>
      <c r="U215" s="7" t="s">
        <v>2335</v>
      </c>
    </row>
    <row r="216" spans="1:21" ht="16.5" thickBot="1">
      <c r="A216" s="50" t="s">
        <v>35</v>
      </c>
      <c r="B216" s="51">
        <f t="shared" si="12"/>
        <v>90</v>
      </c>
      <c r="C216" s="51" t="s">
        <v>3</v>
      </c>
      <c r="D216" s="51">
        <f t="shared" si="13"/>
        <v>300</v>
      </c>
      <c r="E216" s="51" t="s">
        <v>3</v>
      </c>
      <c r="F216" s="99">
        <f t="shared" si="14"/>
        <v>750</v>
      </c>
      <c r="G216" s="51" t="s">
        <v>3</v>
      </c>
      <c r="H216" s="48">
        <v>4</v>
      </c>
      <c r="I216" s="49" t="s">
        <v>45</v>
      </c>
      <c r="J216" s="184">
        <v>90</v>
      </c>
      <c r="K216" s="75">
        <v>300</v>
      </c>
      <c r="L216" s="75">
        <v>750</v>
      </c>
      <c r="M216" s="185">
        <v>8.269011421790001</v>
      </c>
      <c r="N216" s="87">
        <v>278.39999999999998</v>
      </c>
      <c r="O216" s="120">
        <v>15298.176423510229</v>
      </c>
      <c r="P216" s="121">
        <v>18160.833727552839</v>
      </c>
      <c r="Q216" s="120">
        <v>9875.165788735203</v>
      </c>
      <c r="R216" s="314">
        <v>25173.342212245432</v>
      </c>
      <c r="S216" s="315">
        <v>28035.999516288044</v>
      </c>
      <c r="U216" s="7" t="s">
        <v>2336</v>
      </c>
    </row>
    <row r="217" spans="1:21" ht="16.5" thickBot="1">
      <c r="A217" s="50" t="s">
        <v>35</v>
      </c>
      <c r="B217" s="51">
        <f t="shared" si="12"/>
        <v>90</v>
      </c>
      <c r="C217" s="51" t="s">
        <v>3</v>
      </c>
      <c r="D217" s="51">
        <f t="shared" si="13"/>
        <v>300</v>
      </c>
      <c r="E217" s="51" t="s">
        <v>3</v>
      </c>
      <c r="F217" s="99">
        <f t="shared" si="14"/>
        <v>800</v>
      </c>
      <c r="G217" s="51" t="s">
        <v>3</v>
      </c>
      <c r="H217" s="48">
        <v>4</v>
      </c>
      <c r="I217" s="49" t="s">
        <v>45</v>
      </c>
      <c r="J217" s="184">
        <v>90</v>
      </c>
      <c r="K217" s="75">
        <v>300</v>
      </c>
      <c r="L217" s="75">
        <v>800</v>
      </c>
      <c r="M217" s="185">
        <v>8.7604141415499992</v>
      </c>
      <c r="N217" s="87">
        <v>313.2</v>
      </c>
      <c r="O217" s="120">
        <v>15958.749797404091</v>
      </c>
      <c r="P217" s="121">
        <v>18977.210179808066</v>
      </c>
      <c r="Q217" s="120">
        <v>10355.570956599189</v>
      </c>
      <c r="R217" s="314">
        <v>26314.320754003282</v>
      </c>
      <c r="S217" s="315">
        <v>29332.781136407255</v>
      </c>
      <c r="U217" s="7" t="s">
        <v>2337</v>
      </c>
    </row>
    <row r="218" spans="1:21" ht="16.5" thickBot="1">
      <c r="A218" s="50" t="s">
        <v>35</v>
      </c>
      <c r="B218" s="51">
        <f t="shared" si="12"/>
        <v>90</v>
      </c>
      <c r="C218" s="51" t="s">
        <v>3</v>
      </c>
      <c r="D218" s="51">
        <f t="shared" si="13"/>
        <v>300</v>
      </c>
      <c r="E218" s="51" t="s">
        <v>3</v>
      </c>
      <c r="F218" s="99">
        <f t="shared" si="14"/>
        <v>850</v>
      </c>
      <c r="G218" s="51" t="s">
        <v>3</v>
      </c>
      <c r="H218" s="48">
        <v>4</v>
      </c>
      <c r="I218" s="49" t="s">
        <v>45</v>
      </c>
      <c r="J218" s="184">
        <v>90</v>
      </c>
      <c r="K218" s="75">
        <v>300</v>
      </c>
      <c r="L218" s="75">
        <v>850</v>
      </c>
      <c r="M218" s="185">
        <v>9.2688568613099989</v>
      </c>
      <c r="N218" s="87">
        <v>348</v>
      </c>
      <c r="O218" s="120">
        <v>16619.323171297954</v>
      </c>
      <c r="P218" s="121">
        <v>19793.586491669928</v>
      </c>
      <c r="Q218" s="120">
        <v>11066.558042639816</v>
      </c>
      <c r="R218" s="314">
        <v>27685.88121393777</v>
      </c>
      <c r="S218" s="315">
        <v>30860.144534309744</v>
      </c>
      <c r="U218" s="7" t="s">
        <v>2338</v>
      </c>
    </row>
    <row r="219" spans="1:21" ht="16.5" thickBot="1">
      <c r="A219" s="50" t="s">
        <v>35</v>
      </c>
      <c r="B219" s="51">
        <f t="shared" si="12"/>
        <v>90</v>
      </c>
      <c r="C219" s="51" t="s">
        <v>3</v>
      </c>
      <c r="D219" s="51">
        <f t="shared" si="13"/>
        <v>300</v>
      </c>
      <c r="E219" s="51" t="s">
        <v>3</v>
      </c>
      <c r="F219" s="99">
        <f t="shared" si="14"/>
        <v>900</v>
      </c>
      <c r="G219" s="51" t="s">
        <v>3</v>
      </c>
      <c r="H219" s="48">
        <v>4</v>
      </c>
      <c r="I219" s="49" t="s">
        <v>45</v>
      </c>
      <c r="J219" s="184">
        <v>90</v>
      </c>
      <c r="K219" s="75">
        <v>300</v>
      </c>
      <c r="L219" s="75">
        <v>900</v>
      </c>
      <c r="M219" s="185">
        <v>9.7602595810700006</v>
      </c>
      <c r="N219" s="87">
        <v>382.8</v>
      </c>
      <c r="O219" s="120">
        <v>17279.896545191816</v>
      </c>
      <c r="P219" s="121">
        <v>20609.962803531791</v>
      </c>
      <c r="Q219" s="120">
        <v>11546.963210503804</v>
      </c>
      <c r="R219" s="314">
        <v>28826.859755695619</v>
      </c>
      <c r="S219" s="315">
        <v>32156.926014035595</v>
      </c>
      <c r="U219" s="7" t="s">
        <v>2339</v>
      </c>
    </row>
    <row r="220" spans="1:21" ht="16.5" thickBot="1">
      <c r="A220" s="50" t="s">
        <v>35</v>
      </c>
      <c r="B220" s="51">
        <f t="shared" si="12"/>
        <v>90</v>
      </c>
      <c r="C220" s="51" t="s">
        <v>3</v>
      </c>
      <c r="D220" s="51">
        <f t="shared" si="13"/>
        <v>300</v>
      </c>
      <c r="E220" s="51" t="s">
        <v>3</v>
      </c>
      <c r="F220" s="99">
        <f t="shared" si="14"/>
        <v>950</v>
      </c>
      <c r="G220" s="51" t="s">
        <v>3</v>
      </c>
      <c r="H220" s="48">
        <v>4</v>
      </c>
      <c r="I220" s="49" t="s">
        <v>45</v>
      </c>
      <c r="J220" s="184">
        <v>90</v>
      </c>
      <c r="K220" s="75">
        <v>300</v>
      </c>
      <c r="L220" s="75">
        <v>950</v>
      </c>
      <c r="M220" s="185">
        <v>10.268702300829998</v>
      </c>
      <c r="N220" s="87">
        <v>417.59999999999997</v>
      </c>
      <c r="O220" s="120">
        <v>17940.469919085677</v>
      </c>
      <c r="P220" s="121">
        <v>21426.339115393654</v>
      </c>
      <c r="Q220" s="120">
        <v>12257.950156151066</v>
      </c>
      <c r="R220" s="314">
        <v>30198.420075236743</v>
      </c>
      <c r="S220" s="315">
        <v>33684.289271544723</v>
      </c>
      <c r="U220" s="7" t="s">
        <v>2340</v>
      </c>
    </row>
    <row r="221" spans="1:21" ht="16.5" thickBot="1">
      <c r="A221" s="50" t="s">
        <v>35</v>
      </c>
      <c r="B221" s="51">
        <f t="shared" si="12"/>
        <v>90</v>
      </c>
      <c r="C221" s="51" t="s">
        <v>3</v>
      </c>
      <c r="D221" s="51">
        <f t="shared" si="13"/>
        <v>300</v>
      </c>
      <c r="E221" s="51" t="s">
        <v>3</v>
      </c>
      <c r="F221" s="99">
        <f t="shared" si="14"/>
        <v>1000</v>
      </c>
      <c r="G221" s="51" t="s">
        <v>3</v>
      </c>
      <c r="H221" s="48">
        <v>4</v>
      </c>
      <c r="I221" s="49" t="s">
        <v>45</v>
      </c>
      <c r="J221" s="184">
        <v>90</v>
      </c>
      <c r="K221" s="75">
        <v>300</v>
      </c>
      <c r="L221" s="75">
        <v>1000</v>
      </c>
      <c r="M221" s="185">
        <v>10.76010502059</v>
      </c>
      <c r="N221" s="87">
        <v>452.4</v>
      </c>
      <c r="O221" s="120">
        <v>18601.043433372903</v>
      </c>
      <c r="P221" s="121">
        <v>22242.715427255516</v>
      </c>
      <c r="Q221" s="120">
        <v>12738.355464408416</v>
      </c>
      <c r="R221" s="314">
        <v>31339.398897781321</v>
      </c>
      <c r="S221" s="315">
        <v>34981.070891663934</v>
      </c>
      <c r="U221" s="7" t="s">
        <v>2341</v>
      </c>
    </row>
    <row r="222" spans="1:21" ht="16.5" thickBot="1">
      <c r="A222" s="50" t="s">
        <v>35</v>
      </c>
      <c r="B222" s="51">
        <f t="shared" si="12"/>
        <v>90</v>
      </c>
      <c r="C222" s="51" t="s">
        <v>3</v>
      </c>
      <c r="D222" s="51">
        <f t="shared" si="13"/>
        <v>300</v>
      </c>
      <c r="E222" s="51" t="s">
        <v>3</v>
      </c>
      <c r="F222" s="99">
        <f t="shared" si="14"/>
        <v>1050</v>
      </c>
      <c r="G222" s="51" t="s">
        <v>3</v>
      </c>
      <c r="H222" s="48">
        <v>4</v>
      </c>
      <c r="I222" s="49" t="s">
        <v>45</v>
      </c>
      <c r="J222" s="184">
        <v>90</v>
      </c>
      <c r="K222" s="75">
        <v>300</v>
      </c>
      <c r="L222" s="75">
        <v>1050</v>
      </c>
      <c r="M222" s="185">
        <v>11.268547740349998</v>
      </c>
      <c r="N222" s="87">
        <v>487.2</v>
      </c>
      <c r="O222" s="120">
        <v>19261.616807266768</v>
      </c>
      <c r="P222" s="121">
        <v>23059.091739117383</v>
      </c>
      <c r="Q222" s="120">
        <v>13449.342410055679</v>
      </c>
      <c r="R222" s="314">
        <v>32710.959217322445</v>
      </c>
      <c r="S222" s="315">
        <v>36508.434149173059</v>
      </c>
      <c r="U222" s="7" t="s">
        <v>2342</v>
      </c>
    </row>
    <row r="223" spans="1:21" ht="16.5" thickBot="1">
      <c r="A223" s="47" t="s">
        <v>35</v>
      </c>
      <c r="B223" s="48">
        <f t="shared" si="12"/>
        <v>90</v>
      </c>
      <c r="C223" s="48" t="s">
        <v>3</v>
      </c>
      <c r="D223" s="48">
        <f t="shared" si="13"/>
        <v>300</v>
      </c>
      <c r="E223" s="48" t="s">
        <v>3</v>
      </c>
      <c r="F223" s="99">
        <f t="shared" si="14"/>
        <v>1100</v>
      </c>
      <c r="G223" s="48" t="s">
        <v>3</v>
      </c>
      <c r="H223" s="48">
        <v>4</v>
      </c>
      <c r="I223" s="49" t="s">
        <v>45</v>
      </c>
      <c r="J223" s="184">
        <v>90</v>
      </c>
      <c r="K223" s="75">
        <v>300</v>
      </c>
      <c r="L223" s="75">
        <v>1100</v>
      </c>
      <c r="M223" s="185">
        <v>11.759950460109998</v>
      </c>
      <c r="N223" s="87">
        <v>522</v>
      </c>
      <c r="O223" s="120">
        <v>19922.190181160629</v>
      </c>
      <c r="P223" s="121">
        <v>23875.468050979245</v>
      </c>
      <c r="Q223" s="120">
        <v>13929.747718313029</v>
      </c>
      <c r="R223" s="314">
        <v>33851.937899473662</v>
      </c>
      <c r="S223" s="315">
        <v>37805.215769292277</v>
      </c>
      <c r="U223" s="7" t="s">
        <v>2343</v>
      </c>
    </row>
    <row r="224" spans="1:21" ht="16.5" thickBot="1">
      <c r="A224" s="50" t="s">
        <v>35</v>
      </c>
      <c r="B224" s="51">
        <f t="shared" si="12"/>
        <v>90</v>
      </c>
      <c r="C224" s="51" t="s">
        <v>3</v>
      </c>
      <c r="D224" s="51">
        <f t="shared" si="13"/>
        <v>300</v>
      </c>
      <c r="E224" s="51" t="s">
        <v>3</v>
      </c>
      <c r="F224" s="99">
        <f t="shared" si="14"/>
        <v>1150</v>
      </c>
      <c r="G224" s="51" t="s">
        <v>3</v>
      </c>
      <c r="H224" s="48">
        <v>4</v>
      </c>
      <c r="I224" s="49" t="s">
        <v>45</v>
      </c>
      <c r="J224" s="184">
        <v>90</v>
      </c>
      <c r="K224" s="75">
        <v>300</v>
      </c>
      <c r="L224" s="75">
        <v>1150</v>
      </c>
      <c r="M224" s="185">
        <v>12.25135317987</v>
      </c>
      <c r="N224" s="87">
        <v>556.79999999999995</v>
      </c>
      <c r="O224" s="120">
        <v>20582.763555054491</v>
      </c>
      <c r="P224" s="121">
        <v>24691.844362841104</v>
      </c>
      <c r="Q224" s="120">
        <v>14410.152886177015</v>
      </c>
      <c r="R224" s="314">
        <v>34992.916441231508</v>
      </c>
      <c r="S224" s="315">
        <v>39101.997249018117</v>
      </c>
      <c r="U224" s="7" t="s">
        <v>2344</v>
      </c>
    </row>
    <row r="225" spans="1:21" ht="16.5" thickBot="1">
      <c r="A225" s="50" t="s">
        <v>35</v>
      </c>
      <c r="B225" s="51">
        <f t="shared" si="12"/>
        <v>90</v>
      </c>
      <c r="C225" s="51" t="s">
        <v>3</v>
      </c>
      <c r="D225" s="51">
        <f t="shared" si="13"/>
        <v>300</v>
      </c>
      <c r="E225" s="51" t="s">
        <v>3</v>
      </c>
      <c r="F225" s="99">
        <f t="shared" si="14"/>
        <v>1200</v>
      </c>
      <c r="G225" s="51" t="s">
        <v>3</v>
      </c>
      <c r="H225" s="48">
        <v>4</v>
      </c>
      <c r="I225" s="49" t="s">
        <v>45</v>
      </c>
      <c r="J225" s="184">
        <v>90</v>
      </c>
      <c r="K225" s="75">
        <v>300</v>
      </c>
      <c r="L225" s="75">
        <v>1200</v>
      </c>
      <c r="M225" s="185">
        <v>12.838295899629998</v>
      </c>
      <c r="N225" s="87">
        <v>591.6</v>
      </c>
      <c r="O225" s="120">
        <v>21320.491364850492</v>
      </c>
      <c r="P225" s="121">
        <v>25585.846130336296</v>
      </c>
      <c r="Q225" s="120">
        <v>15121.139831824277</v>
      </c>
      <c r="R225" s="314">
        <v>36441.631196674767</v>
      </c>
      <c r="S225" s="315">
        <v>40706.985962160572</v>
      </c>
      <c r="U225" s="7" t="s">
        <v>2345</v>
      </c>
    </row>
    <row r="226" spans="1:21" ht="16.5" thickBot="1">
      <c r="A226" s="50" t="s">
        <v>35</v>
      </c>
      <c r="B226" s="51">
        <f t="shared" si="12"/>
        <v>90</v>
      </c>
      <c r="C226" s="51" t="s">
        <v>3</v>
      </c>
      <c r="D226" s="51">
        <f t="shared" si="13"/>
        <v>300</v>
      </c>
      <c r="E226" s="51" t="s">
        <v>3</v>
      </c>
      <c r="F226" s="99">
        <f t="shared" si="14"/>
        <v>1250</v>
      </c>
      <c r="G226" s="51" t="s">
        <v>3</v>
      </c>
      <c r="H226" s="48">
        <v>4</v>
      </c>
      <c r="I226" s="49" t="s">
        <v>45</v>
      </c>
      <c r="J226" s="184">
        <v>90</v>
      </c>
      <c r="K226" s="75">
        <v>300</v>
      </c>
      <c r="L226" s="75">
        <v>1250</v>
      </c>
      <c r="M226" s="185">
        <v>13.329698619390001</v>
      </c>
      <c r="N226" s="87">
        <v>626.4</v>
      </c>
      <c r="O226" s="120">
        <v>21981.064738744357</v>
      </c>
      <c r="P226" s="121">
        <v>26402.222442198155</v>
      </c>
      <c r="Q226" s="120">
        <v>15601.545140081627</v>
      </c>
      <c r="R226" s="314">
        <v>37582.609878825984</v>
      </c>
      <c r="S226" s="315">
        <v>42003.767582279783</v>
      </c>
      <c r="U226" s="7" t="s">
        <v>2346</v>
      </c>
    </row>
    <row r="227" spans="1:21" ht="16.5" thickBot="1">
      <c r="A227" s="50" t="s">
        <v>35</v>
      </c>
      <c r="B227" s="51">
        <f t="shared" si="12"/>
        <v>90</v>
      </c>
      <c r="C227" s="51" t="s">
        <v>3</v>
      </c>
      <c r="D227" s="51">
        <f t="shared" si="13"/>
        <v>300</v>
      </c>
      <c r="E227" s="51" t="s">
        <v>3</v>
      </c>
      <c r="F227" s="99">
        <f t="shared" si="14"/>
        <v>1300</v>
      </c>
      <c r="G227" s="51" t="s">
        <v>3</v>
      </c>
      <c r="H227" s="48">
        <v>4</v>
      </c>
      <c r="I227" s="49" t="s">
        <v>45</v>
      </c>
      <c r="J227" s="184">
        <v>90</v>
      </c>
      <c r="K227" s="75">
        <v>300</v>
      </c>
      <c r="L227" s="75">
        <v>1300</v>
      </c>
      <c r="M227" s="185">
        <v>13.838141339150001</v>
      </c>
      <c r="N227" s="87">
        <v>661.19999999999993</v>
      </c>
      <c r="O227" s="120">
        <v>22641.638253031582</v>
      </c>
      <c r="P227" s="121">
        <v>27218.598754060018</v>
      </c>
      <c r="Q227" s="120">
        <v>16312.53208572889</v>
      </c>
      <c r="R227" s="314">
        <v>38954.170338760472</v>
      </c>
      <c r="S227" s="315">
        <v>43531.130839788908</v>
      </c>
      <c r="U227" s="7" t="s">
        <v>2347</v>
      </c>
    </row>
    <row r="228" spans="1:21" ht="16.5" thickBot="1">
      <c r="A228" s="50" t="s">
        <v>35</v>
      </c>
      <c r="B228" s="51">
        <f t="shared" si="12"/>
        <v>90</v>
      </c>
      <c r="C228" s="51" t="s">
        <v>3</v>
      </c>
      <c r="D228" s="51">
        <f t="shared" si="13"/>
        <v>300</v>
      </c>
      <c r="E228" s="51" t="s">
        <v>3</v>
      </c>
      <c r="F228" s="99">
        <f t="shared" si="14"/>
        <v>1350</v>
      </c>
      <c r="G228" s="51" t="s">
        <v>3</v>
      </c>
      <c r="H228" s="48">
        <v>4</v>
      </c>
      <c r="I228" s="49" t="s">
        <v>45</v>
      </c>
      <c r="J228" s="184">
        <v>90</v>
      </c>
      <c r="K228" s="75">
        <v>300</v>
      </c>
      <c r="L228" s="75">
        <v>1350</v>
      </c>
      <c r="M228" s="185">
        <v>14.329544058910001</v>
      </c>
      <c r="N228" s="87">
        <v>696</v>
      </c>
      <c r="O228" s="120">
        <v>23302.211626925444</v>
      </c>
      <c r="P228" s="121">
        <v>28034.975065921881</v>
      </c>
      <c r="Q228" s="120">
        <v>16792.937253592878</v>
      </c>
      <c r="R228" s="314">
        <v>40095.148880518318</v>
      </c>
      <c r="S228" s="315">
        <v>44827.912319514755</v>
      </c>
      <c r="U228" s="7" t="s">
        <v>2348</v>
      </c>
    </row>
    <row r="229" spans="1:21" ht="16.5" thickBot="1">
      <c r="A229" s="50" t="s">
        <v>35</v>
      </c>
      <c r="B229" s="51">
        <f t="shared" si="12"/>
        <v>90</v>
      </c>
      <c r="C229" s="51" t="s">
        <v>3</v>
      </c>
      <c r="D229" s="51">
        <f t="shared" si="13"/>
        <v>300</v>
      </c>
      <c r="E229" s="51" t="s">
        <v>3</v>
      </c>
      <c r="F229" s="99">
        <f t="shared" si="14"/>
        <v>1400</v>
      </c>
      <c r="G229" s="51" t="s">
        <v>3</v>
      </c>
      <c r="H229" s="48">
        <v>4</v>
      </c>
      <c r="I229" s="49" t="s">
        <v>45</v>
      </c>
      <c r="J229" s="184">
        <v>90</v>
      </c>
      <c r="K229" s="75">
        <v>300</v>
      </c>
      <c r="L229" s="75">
        <v>1400</v>
      </c>
      <c r="M229" s="185">
        <v>14.83798677867</v>
      </c>
      <c r="N229" s="87">
        <v>730.8</v>
      </c>
      <c r="O229" s="120">
        <v>23962.785000819302</v>
      </c>
      <c r="P229" s="121">
        <v>28851.351518177107</v>
      </c>
      <c r="Q229" s="120">
        <v>17503.924339633504</v>
      </c>
      <c r="R229" s="314">
        <v>41466.709340452806</v>
      </c>
      <c r="S229" s="315">
        <v>46355.275857810615</v>
      </c>
      <c r="U229" s="7" t="s">
        <v>2349</v>
      </c>
    </row>
    <row r="230" spans="1:21" ht="16.5" thickBot="1">
      <c r="A230" s="50" t="s">
        <v>35</v>
      </c>
      <c r="B230" s="51">
        <f t="shared" si="12"/>
        <v>90</v>
      </c>
      <c r="C230" s="51" t="s">
        <v>3</v>
      </c>
      <c r="D230" s="51">
        <f t="shared" si="13"/>
        <v>300</v>
      </c>
      <c r="E230" s="51" t="s">
        <v>3</v>
      </c>
      <c r="F230" s="99">
        <f t="shared" si="14"/>
        <v>1450</v>
      </c>
      <c r="G230" s="51" t="s">
        <v>3</v>
      </c>
      <c r="H230" s="48">
        <v>4</v>
      </c>
      <c r="I230" s="49" t="s">
        <v>45</v>
      </c>
      <c r="J230" s="184">
        <v>90</v>
      </c>
      <c r="K230" s="75">
        <v>300</v>
      </c>
      <c r="L230" s="75">
        <v>1450</v>
      </c>
      <c r="M230" s="185">
        <v>15.329389498430002</v>
      </c>
      <c r="N230" s="87">
        <v>765.6</v>
      </c>
      <c r="O230" s="120">
        <v>24623.358374713167</v>
      </c>
      <c r="P230" s="121">
        <v>29667.72783003897</v>
      </c>
      <c r="Q230" s="120">
        <v>17984.32950749735</v>
      </c>
      <c r="R230" s="314">
        <v>42607.687882210521</v>
      </c>
      <c r="S230" s="315">
        <v>47652.057337536316</v>
      </c>
      <c r="U230" s="7" t="s">
        <v>2350</v>
      </c>
    </row>
    <row r="231" spans="1:21" ht="16.5" thickBot="1">
      <c r="A231" s="50" t="s">
        <v>35</v>
      </c>
      <c r="B231" s="51">
        <f t="shared" si="12"/>
        <v>90</v>
      </c>
      <c r="C231" s="51" t="s">
        <v>3</v>
      </c>
      <c r="D231" s="51">
        <f t="shared" si="13"/>
        <v>300</v>
      </c>
      <c r="E231" s="51" t="s">
        <v>3</v>
      </c>
      <c r="F231" s="99">
        <f t="shared" si="14"/>
        <v>1500</v>
      </c>
      <c r="G231" s="51" t="s">
        <v>3</v>
      </c>
      <c r="H231" s="48">
        <v>4</v>
      </c>
      <c r="I231" s="49" t="s">
        <v>45</v>
      </c>
      <c r="J231" s="184">
        <v>90</v>
      </c>
      <c r="K231" s="75">
        <v>300</v>
      </c>
      <c r="L231" s="75">
        <v>1500</v>
      </c>
      <c r="M231" s="185">
        <v>15.982397110990002</v>
      </c>
      <c r="N231" s="87">
        <v>800.4</v>
      </c>
      <c r="O231" s="120">
        <v>25962.579083202414</v>
      </c>
      <c r="P231" s="121">
        <v>31100.960988219267</v>
      </c>
      <c r="Q231" s="120">
        <v>18695.316593538118</v>
      </c>
      <c r="R231" s="314">
        <v>44657.895676740533</v>
      </c>
      <c r="S231" s="315">
        <v>49796.277581757386</v>
      </c>
      <c r="U231" s="7" t="s">
        <v>2351</v>
      </c>
    </row>
    <row r="232" spans="1:21" ht="16.5" thickBot="1">
      <c r="A232" s="50" t="s">
        <v>35</v>
      </c>
      <c r="B232" s="51">
        <f t="shared" si="12"/>
        <v>90</v>
      </c>
      <c r="C232" s="51" t="s">
        <v>3</v>
      </c>
      <c r="D232" s="51">
        <f t="shared" si="13"/>
        <v>300</v>
      </c>
      <c r="E232" s="51" t="s">
        <v>3</v>
      </c>
      <c r="F232" s="99">
        <f t="shared" si="14"/>
        <v>1550</v>
      </c>
      <c r="G232" s="51" t="s">
        <v>3</v>
      </c>
      <c r="H232" s="48">
        <v>4</v>
      </c>
      <c r="I232" s="49" t="s">
        <v>45</v>
      </c>
      <c r="J232" s="184">
        <v>90</v>
      </c>
      <c r="K232" s="75">
        <v>300</v>
      </c>
      <c r="L232" s="75">
        <v>1550</v>
      </c>
      <c r="M232" s="185">
        <v>16.47379983075</v>
      </c>
      <c r="N232" s="87">
        <v>835.19999999999993</v>
      </c>
      <c r="O232" s="120">
        <v>26623.152457096279</v>
      </c>
      <c r="P232" s="121">
        <v>31917.337300081133</v>
      </c>
      <c r="Q232" s="120">
        <v>19175.721761402103</v>
      </c>
      <c r="R232" s="314">
        <v>45798.874218498386</v>
      </c>
      <c r="S232" s="315">
        <v>51093.059061483233</v>
      </c>
      <c r="U232" s="7" t="s">
        <v>2352</v>
      </c>
    </row>
    <row r="233" spans="1:21" ht="16.5" thickBot="1">
      <c r="A233" s="47" t="s">
        <v>35</v>
      </c>
      <c r="B233" s="48">
        <f t="shared" si="12"/>
        <v>90</v>
      </c>
      <c r="C233" s="48" t="s">
        <v>3</v>
      </c>
      <c r="D233" s="48">
        <f t="shared" si="13"/>
        <v>300</v>
      </c>
      <c r="E233" s="48" t="s">
        <v>3</v>
      </c>
      <c r="F233" s="99">
        <f t="shared" si="14"/>
        <v>1600</v>
      </c>
      <c r="G233" s="48" t="s">
        <v>3</v>
      </c>
      <c r="H233" s="48">
        <v>4</v>
      </c>
      <c r="I233" s="49" t="s">
        <v>45</v>
      </c>
      <c r="J233" s="184">
        <v>90</v>
      </c>
      <c r="K233" s="75">
        <v>300</v>
      </c>
      <c r="L233" s="75">
        <v>1600</v>
      </c>
      <c r="M233" s="185">
        <v>16.96520255051</v>
      </c>
      <c r="N233" s="87">
        <v>870</v>
      </c>
      <c r="O233" s="120">
        <v>27283.725830990144</v>
      </c>
      <c r="P233" s="121">
        <v>32733.713611942996</v>
      </c>
      <c r="Q233" s="120">
        <v>19656.126929266091</v>
      </c>
      <c r="R233" s="314">
        <v>46939.852760256239</v>
      </c>
      <c r="S233" s="315">
        <v>52389.840541209087</v>
      </c>
      <c r="U233" s="7" t="s">
        <v>2353</v>
      </c>
    </row>
    <row r="234" spans="1:21" ht="16.5" thickBot="1">
      <c r="A234" s="50" t="s">
        <v>35</v>
      </c>
      <c r="B234" s="51">
        <f t="shared" si="12"/>
        <v>90</v>
      </c>
      <c r="C234" s="51" t="s">
        <v>3</v>
      </c>
      <c r="D234" s="51">
        <f t="shared" si="13"/>
        <v>300</v>
      </c>
      <c r="E234" s="51" t="s">
        <v>3</v>
      </c>
      <c r="F234" s="99">
        <f t="shared" si="14"/>
        <v>1650</v>
      </c>
      <c r="G234" s="51" t="s">
        <v>3</v>
      </c>
      <c r="H234" s="48">
        <v>4</v>
      </c>
      <c r="I234" s="49" t="s">
        <v>45</v>
      </c>
      <c r="J234" s="184">
        <v>90</v>
      </c>
      <c r="K234" s="75">
        <v>300</v>
      </c>
      <c r="L234" s="75">
        <v>1650</v>
      </c>
      <c r="M234" s="185">
        <v>17.473645270270001</v>
      </c>
      <c r="N234" s="87">
        <v>904.8</v>
      </c>
      <c r="O234" s="120">
        <v>27944.299204884006</v>
      </c>
      <c r="P234" s="121">
        <v>33550.089923804859</v>
      </c>
      <c r="Q234" s="120">
        <v>20367.114015306717</v>
      </c>
      <c r="R234" s="314">
        <v>48311.41322019072</v>
      </c>
      <c r="S234" s="315">
        <v>53917.203939111576</v>
      </c>
      <c r="U234" s="7" t="s">
        <v>2354</v>
      </c>
    </row>
    <row r="235" spans="1:21" ht="16.5" thickBot="1">
      <c r="A235" s="50" t="s">
        <v>35</v>
      </c>
      <c r="B235" s="51">
        <f t="shared" si="12"/>
        <v>90</v>
      </c>
      <c r="C235" s="51" t="s">
        <v>3</v>
      </c>
      <c r="D235" s="51">
        <f t="shared" si="13"/>
        <v>300</v>
      </c>
      <c r="E235" s="51" t="s">
        <v>3</v>
      </c>
      <c r="F235" s="99">
        <f t="shared" si="14"/>
        <v>1700</v>
      </c>
      <c r="G235" s="51" t="s">
        <v>3</v>
      </c>
      <c r="H235" s="48">
        <v>4</v>
      </c>
      <c r="I235" s="49" t="s">
        <v>45</v>
      </c>
      <c r="J235" s="184">
        <v>90</v>
      </c>
      <c r="K235" s="75">
        <v>300</v>
      </c>
      <c r="L235" s="75">
        <v>1700</v>
      </c>
      <c r="M235" s="185">
        <v>17.965047990030001</v>
      </c>
      <c r="N235" s="87">
        <v>939.59999999999991</v>
      </c>
      <c r="O235" s="120">
        <v>28604.872719171228</v>
      </c>
      <c r="P235" s="121">
        <v>34366.466235666718</v>
      </c>
      <c r="Q235" s="120">
        <v>20847.519183170705</v>
      </c>
      <c r="R235" s="314">
        <v>49452.391902341929</v>
      </c>
      <c r="S235" s="315">
        <v>55213.985418837423</v>
      </c>
      <c r="U235" s="7" t="s">
        <v>2355</v>
      </c>
    </row>
    <row r="236" spans="1:21" ht="16.5" thickBot="1">
      <c r="A236" s="50" t="s">
        <v>35</v>
      </c>
      <c r="B236" s="51">
        <f t="shared" si="12"/>
        <v>90</v>
      </c>
      <c r="C236" s="51" t="s">
        <v>3</v>
      </c>
      <c r="D236" s="51">
        <f t="shared" si="13"/>
        <v>300</v>
      </c>
      <c r="E236" s="51" t="s">
        <v>3</v>
      </c>
      <c r="F236" s="99">
        <f t="shared" si="14"/>
        <v>1750</v>
      </c>
      <c r="G236" s="51" t="s">
        <v>3</v>
      </c>
      <c r="H236" s="48">
        <v>4</v>
      </c>
      <c r="I236" s="49" t="s">
        <v>45</v>
      </c>
      <c r="J236" s="184">
        <v>90</v>
      </c>
      <c r="K236" s="75">
        <v>300</v>
      </c>
      <c r="L236" s="75">
        <v>1750</v>
      </c>
      <c r="M236" s="185">
        <v>18.473490709789999</v>
      </c>
      <c r="N236" s="87">
        <v>974.4</v>
      </c>
      <c r="O236" s="120">
        <v>29265.446093065093</v>
      </c>
      <c r="P236" s="121">
        <v>35182.842687921948</v>
      </c>
      <c r="Q236" s="120">
        <v>21558.506269211328</v>
      </c>
      <c r="R236" s="314">
        <v>50823.952362276425</v>
      </c>
      <c r="S236" s="315">
        <v>56741.348957133276</v>
      </c>
      <c r="U236" s="7" t="s">
        <v>2356</v>
      </c>
    </row>
    <row r="237" spans="1:21" ht="16.5" thickBot="1">
      <c r="A237" s="50" t="s">
        <v>35</v>
      </c>
      <c r="B237" s="51">
        <f t="shared" si="12"/>
        <v>90</v>
      </c>
      <c r="C237" s="51" t="s">
        <v>3</v>
      </c>
      <c r="D237" s="51">
        <f t="shared" si="13"/>
        <v>300</v>
      </c>
      <c r="E237" s="51" t="s">
        <v>3</v>
      </c>
      <c r="F237" s="99">
        <f t="shared" si="14"/>
        <v>1800</v>
      </c>
      <c r="G237" s="51" t="s">
        <v>3</v>
      </c>
      <c r="H237" s="48">
        <v>4</v>
      </c>
      <c r="I237" s="49" t="s">
        <v>45</v>
      </c>
      <c r="J237" s="184">
        <v>90</v>
      </c>
      <c r="K237" s="75">
        <v>300</v>
      </c>
      <c r="L237" s="75">
        <v>1800</v>
      </c>
      <c r="M237" s="185">
        <v>18.964893429549999</v>
      </c>
      <c r="N237" s="87">
        <v>1009.1999999999999</v>
      </c>
      <c r="O237" s="120">
        <v>29926.019466958958</v>
      </c>
      <c r="P237" s="121">
        <v>35999.218999783807</v>
      </c>
      <c r="Q237" s="120">
        <v>22038.911437075316</v>
      </c>
      <c r="R237" s="314">
        <v>51964.930904034278</v>
      </c>
      <c r="S237" s="315">
        <v>58038.130436859123</v>
      </c>
      <c r="U237" s="7" t="s">
        <v>2357</v>
      </c>
    </row>
    <row r="238" spans="1:21" ht="16.5" thickBot="1">
      <c r="A238" s="50" t="s">
        <v>35</v>
      </c>
      <c r="B238" s="51">
        <f t="shared" si="12"/>
        <v>90</v>
      </c>
      <c r="C238" s="51" t="s">
        <v>3</v>
      </c>
      <c r="D238" s="51">
        <f t="shared" si="13"/>
        <v>300</v>
      </c>
      <c r="E238" s="51" t="s">
        <v>3</v>
      </c>
      <c r="F238" s="99">
        <f t="shared" si="14"/>
        <v>1850</v>
      </c>
      <c r="G238" s="51" t="s">
        <v>3</v>
      </c>
      <c r="H238" s="48">
        <v>4</v>
      </c>
      <c r="I238" s="49" t="s">
        <v>45</v>
      </c>
      <c r="J238" s="184">
        <v>90</v>
      </c>
      <c r="K238" s="75">
        <v>300</v>
      </c>
      <c r="L238" s="75">
        <v>1850</v>
      </c>
      <c r="M238" s="185">
        <v>19.473336149310001</v>
      </c>
      <c r="N238" s="87">
        <v>1044</v>
      </c>
      <c r="O238" s="120">
        <v>30586.59284085282</v>
      </c>
      <c r="P238" s="121">
        <v>36815.595311645666</v>
      </c>
      <c r="Q238" s="120">
        <v>22749.898382722578</v>
      </c>
      <c r="R238" s="314">
        <v>53336.491223575402</v>
      </c>
      <c r="S238" s="315">
        <v>59565.493694368241</v>
      </c>
      <c r="U238" s="7" t="s">
        <v>2358</v>
      </c>
    </row>
    <row r="239" spans="1:21" ht="16.5" thickBot="1">
      <c r="A239" s="50" t="s">
        <v>35</v>
      </c>
      <c r="B239" s="51">
        <f t="shared" si="12"/>
        <v>90</v>
      </c>
      <c r="C239" s="51" t="s">
        <v>3</v>
      </c>
      <c r="D239" s="51">
        <f t="shared" si="13"/>
        <v>300</v>
      </c>
      <c r="E239" s="51" t="s">
        <v>3</v>
      </c>
      <c r="F239" s="99">
        <f t="shared" si="14"/>
        <v>1900</v>
      </c>
      <c r="G239" s="51" t="s">
        <v>3</v>
      </c>
      <c r="H239" s="48">
        <v>4</v>
      </c>
      <c r="I239" s="49" t="s">
        <v>45</v>
      </c>
      <c r="J239" s="184">
        <v>90</v>
      </c>
      <c r="K239" s="75">
        <v>300</v>
      </c>
      <c r="L239" s="75">
        <v>1900</v>
      </c>
      <c r="M239" s="185">
        <v>19.964738869070001</v>
      </c>
      <c r="N239" s="87">
        <v>1078.8</v>
      </c>
      <c r="O239" s="120">
        <v>31247.166214746685</v>
      </c>
      <c r="P239" s="121">
        <v>37631.971623507532</v>
      </c>
      <c r="Q239" s="120">
        <v>23230.30369097993</v>
      </c>
      <c r="R239" s="314">
        <v>54477.469905726612</v>
      </c>
      <c r="S239" s="315">
        <v>60862.275314487459</v>
      </c>
      <c r="U239" s="7" t="s">
        <v>2359</v>
      </c>
    </row>
    <row r="240" spans="1:21" ht="16.5" thickBot="1">
      <c r="A240" s="50" t="s">
        <v>35</v>
      </c>
      <c r="B240" s="51">
        <f t="shared" si="12"/>
        <v>90</v>
      </c>
      <c r="C240" s="51" t="s">
        <v>3</v>
      </c>
      <c r="D240" s="51">
        <f t="shared" si="13"/>
        <v>300</v>
      </c>
      <c r="E240" s="51" t="s">
        <v>3</v>
      </c>
      <c r="F240" s="99">
        <f t="shared" si="14"/>
        <v>1950</v>
      </c>
      <c r="G240" s="51" t="s">
        <v>3</v>
      </c>
      <c r="H240" s="48">
        <v>4</v>
      </c>
      <c r="I240" s="49" t="s">
        <v>45</v>
      </c>
      <c r="J240" s="184">
        <v>90</v>
      </c>
      <c r="K240" s="75">
        <v>300</v>
      </c>
      <c r="L240" s="75">
        <v>1950</v>
      </c>
      <c r="M240" s="185">
        <v>20.534641588830002</v>
      </c>
      <c r="N240" s="87">
        <v>1113.5999999999999</v>
      </c>
      <c r="O240" s="120">
        <v>31984.894024542682</v>
      </c>
      <c r="P240" s="121">
        <v>38525.973391002721</v>
      </c>
      <c r="Q240" s="120">
        <v>23710.708858843918</v>
      </c>
      <c r="R240" s="314">
        <v>55695.6028833866</v>
      </c>
      <c r="S240" s="315">
        <v>62236.682249846635</v>
      </c>
      <c r="U240" s="7" t="s">
        <v>2360</v>
      </c>
    </row>
    <row r="241" spans="1:21" ht="16.5" thickBot="1">
      <c r="A241" s="50" t="s">
        <v>35</v>
      </c>
      <c r="B241" s="51">
        <f t="shared" si="12"/>
        <v>90</v>
      </c>
      <c r="C241" s="51" t="s">
        <v>3</v>
      </c>
      <c r="D241" s="51">
        <f t="shared" si="13"/>
        <v>300</v>
      </c>
      <c r="E241" s="51" t="s">
        <v>3</v>
      </c>
      <c r="F241" s="99">
        <f t="shared" si="14"/>
        <v>2000</v>
      </c>
      <c r="G241" s="51" t="s">
        <v>3</v>
      </c>
      <c r="H241" s="48">
        <v>4</v>
      </c>
      <c r="I241" s="49" t="s">
        <v>45</v>
      </c>
      <c r="J241" s="184">
        <v>90</v>
      </c>
      <c r="K241" s="75">
        <v>300</v>
      </c>
      <c r="L241" s="75">
        <v>2000</v>
      </c>
      <c r="M241" s="185">
        <v>21.134646708590001</v>
      </c>
      <c r="N241" s="87">
        <v>1148.3999999999999</v>
      </c>
      <c r="O241" s="120">
        <v>32876.010427651767</v>
      </c>
      <c r="P241" s="121">
        <v>39655.030430383886</v>
      </c>
      <c r="Q241" s="120">
        <v>24421.695804491177</v>
      </c>
      <c r="R241" s="314">
        <v>57297.70623214294</v>
      </c>
      <c r="S241" s="315">
        <v>64076.726234875066</v>
      </c>
      <c r="U241" s="7" t="s">
        <v>2361</v>
      </c>
    </row>
    <row r="242" spans="1:21" ht="16.5" thickBot="1">
      <c r="A242" s="50" t="s">
        <v>35</v>
      </c>
      <c r="B242" s="51">
        <f t="shared" si="12"/>
        <v>90</v>
      </c>
      <c r="C242" s="51" t="s">
        <v>3</v>
      </c>
      <c r="D242" s="51">
        <f t="shared" si="13"/>
        <v>300</v>
      </c>
      <c r="E242" s="51" t="s">
        <v>3</v>
      </c>
      <c r="F242" s="99">
        <f t="shared" si="14"/>
        <v>2050</v>
      </c>
      <c r="G242" s="51" t="s">
        <v>3</v>
      </c>
      <c r="H242" s="48">
        <v>4</v>
      </c>
      <c r="I242" s="49" t="s">
        <v>45</v>
      </c>
      <c r="J242" s="184">
        <v>90</v>
      </c>
      <c r="K242" s="75">
        <v>300</v>
      </c>
      <c r="L242" s="75">
        <v>2050</v>
      </c>
      <c r="M242" s="185">
        <v>21.626049428350001</v>
      </c>
      <c r="N242" s="87">
        <v>1183.2</v>
      </c>
      <c r="O242" s="120">
        <v>33536.583801545632</v>
      </c>
      <c r="P242" s="121">
        <v>40471.406742245745</v>
      </c>
      <c r="Q242" s="120">
        <v>24902.101112748529</v>
      </c>
      <c r="R242" s="314">
        <v>58438.684914294165</v>
      </c>
      <c r="S242" s="315">
        <v>65373.50785499427</v>
      </c>
      <c r="U242" s="7" t="s">
        <v>2362</v>
      </c>
    </row>
    <row r="243" spans="1:21" ht="16.5" thickBot="1">
      <c r="A243" s="47" t="s">
        <v>35</v>
      </c>
      <c r="B243" s="48">
        <f t="shared" si="12"/>
        <v>90</v>
      </c>
      <c r="C243" s="48" t="s">
        <v>3</v>
      </c>
      <c r="D243" s="48">
        <f t="shared" si="13"/>
        <v>300</v>
      </c>
      <c r="E243" s="48" t="s">
        <v>3</v>
      </c>
      <c r="F243" s="99">
        <f t="shared" si="14"/>
        <v>2100</v>
      </c>
      <c r="G243" s="48" t="s">
        <v>3</v>
      </c>
      <c r="H243" s="48">
        <v>4</v>
      </c>
      <c r="I243" s="49" t="s">
        <v>45</v>
      </c>
      <c r="J243" s="184">
        <v>90</v>
      </c>
      <c r="K243" s="75">
        <v>300</v>
      </c>
      <c r="L243" s="75">
        <v>2100</v>
      </c>
      <c r="M243" s="185">
        <v>22.134492148109999</v>
      </c>
      <c r="N243" s="87">
        <v>1218</v>
      </c>
      <c r="O243" s="120">
        <v>34197.157315832861</v>
      </c>
      <c r="P243" s="121">
        <v>41287.783054107604</v>
      </c>
      <c r="Q243" s="120">
        <v>25613.088058395791</v>
      </c>
      <c r="R243" s="314">
        <v>59810.245374228653</v>
      </c>
      <c r="S243" s="315">
        <v>66900.871112503402</v>
      </c>
      <c r="U243" s="7" t="s">
        <v>2363</v>
      </c>
    </row>
    <row r="244" spans="1:21" ht="16.5" thickBot="1">
      <c r="A244" s="50" t="s">
        <v>35</v>
      </c>
      <c r="B244" s="51">
        <f t="shared" si="12"/>
        <v>90</v>
      </c>
      <c r="C244" s="51" t="s">
        <v>3</v>
      </c>
      <c r="D244" s="51">
        <f t="shared" si="13"/>
        <v>300</v>
      </c>
      <c r="E244" s="51" t="s">
        <v>3</v>
      </c>
      <c r="F244" s="99">
        <f t="shared" si="14"/>
        <v>2150</v>
      </c>
      <c r="G244" s="51" t="s">
        <v>3</v>
      </c>
      <c r="H244" s="48">
        <v>4</v>
      </c>
      <c r="I244" s="49" t="s">
        <v>45</v>
      </c>
      <c r="J244" s="184">
        <v>90</v>
      </c>
      <c r="K244" s="75">
        <v>300</v>
      </c>
      <c r="L244" s="75">
        <v>2150</v>
      </c>
      <c r="M244" s="185">
        <v>22.625894867870002</v>
      </c>
      <c r="N244" s="87">
        <v>1252.8</v>
      </c>
      <c r="O244" s="120">
        <v>34857.730689726719</v>
      </c>
      <c r="P244" s="121">
        <v>42104.159365969477</v>
      </c>
      <c r="Q244" s="120">
        <v>26093.493366653143</v>
      </c>
      <c r="R244" s="314">
        <v>60951.224056379862</v>
      </c>
      <c r="S244" s="315">
        <v>68197.652732622621</v>
      </c>
      <c r="U244" s="7" t="s">
        <v>2364</v>
      </c>
    </row>
    <row r="245" spans="1:21" ht="16.5" thickBot="1">
      <c r="A245" s="50" t="s">
        <v>35</v>
      </c>
      <c r="B245" s="51">
        <f t="shared" si="12"/>
        <v>90</v>
      </c>
      <c r="C245" s="51" t="s">
        <v>3</v>
      </c>
      <c r="D245" s="51">
        <f t="shared" si="13"/>
        <v>300</v>
      </c>
      <c r="E245" s="51" t="s">
        <v>3</v>
      </c>
      <c r="F245" s="99">
        <f t="shared" si="14"/>
        <v>2200</v>
      </c>
      <c r="G245" s="51" t="s">
        <v>3</v>
      </c>
      <c r="H245" s="48">
        <v>4</v>
      </c>
      <c r="I245" s="49" t="s">
        <v>45</v>
      </c>
      <c r="J245" s="184">
        <v>90</v>
      </c>
      <c r="K245" s="75">
        <v>300</v>
      </c>
      <c r="L245" s="75">
        <v>2200</v>
      </c>
      <c r="M245" s="185">
        <v>23.13433758763</v>
      </c>
      <c r="N245" s="87">
        <v>1287.5999999999999</v>
      </c>
      <c r="O245" s="120">
        <v>35518.304063620584</v>
      </c>
      <c r="P245" s="121">
        <v>42920.535677831336</v>
      </c>
      <c r="Q245" s="120">
        <v>26804.480312300402</v>
      </c>
      <c r="R245" s="314">
        <v>62322.784375920986</v>
      </c>
      <c r="S245" s="315">
        <v>69725.015990131738</v>
      </c>
      <c r="U245" s="7" t="s">
        <v>2365</v>
      </c>
    </row>
    <row r="246" spans="1:21" ht="16.5" thickBot="1">
      <c r="A246" s="50" t="s">
        <v>35</v>
      </c>
      <c r="B246" s="51">
        <f t="shared" si="12"/>
        <v>90</v>
      </c>
      <c r="C246" s="51" t="s">
        <v>3</v>
      </c>
      <c r="D246" s="51">
        <f t="shared" si="13"/>
        <v>300</v>
      </c>
      <c r="E246" s="51" t="s">
        <v>3</v>
      </c>
      <c r="F246" s="99">
        <f t="shared" si="14"/>
        <v>2250</v>
      </c>
      <c r="G246" s="51" t="s">
        <v>3</v>
      </c>
      <c r="H246" s="48">
        <v>4</v>
      </c>
      <c r="I246" s="49" t="s">
        <v>45</v>
      </c>
      <c r="J246" s="184">
        <v>90</v>
      </c>
      <c r="K246" s="75">
        <v>300</v>
      </c>
      <c r="L246" s="75">
        <v>2250</v>
      </c>
      <c r="M246" s="185">
        <v>23.62574030739</v>
      </c>
      <c r="N246" s="87">
        <v>1322.3999999999999</v>
      </c>
      <c r="O246" s="120">
        <v>36178.877437514442</v>
      </c>
      <c r="P246" s="121">
        <v>43736.912130086559</v>
      </c>
      <c r="Q246" s="120">
        <v>27284.885480164394</v>
      </c>
      <c r="R246" s="314">
        <v>63463.762917678832</v>
      </c>
      <c r="S246" s="315">
        <v>71021.797610250956</v>
      </c>
      <c r="U246" s="7" t="s">
        <v>2366</v>
      </c>
    </row>
    <row r="247" spans="1:21" ht="16.5" thickBot="1">
      <c r="A247" s="50" t="s">
        <v>35</v>
      </c>
      <c r="B247" s="51">
        <f t="shared" si="12"/>
        <v>90</v>
      </c>
      <c r="C247" s="51" t="s">
        <v>3</v>
      </c>
      <c r="D247" s="51">
        <f t="shared" si="13"/>
        <v>300</v>
      </c>
      <c r="E247" s="51" t="s">
        <v>3</v>
      </c>
      <c r="F247" s="99">
        <f t="shared" si="14"/>
        <v>2300</v>
      </c>
      <c r="G247" s="51" t="s">
        <v>3</v>
      </c>
      <c r="H247" s="48">
        <v>4</v>
      </c>
      <c r="I247" s="49" t="s">
        <v>45</v>
      </c>
      <c r="J247" s="184">
        <v>90</v>
      </c>
      <c r="K247" s="75">
        <v>300</v>
      </c>
      <c r="L247" s="75">
        <v>2300</v>
      </c>
      <c r="M247" s="185">
        <v>24.11714302715</v>
      </c>
      <c r="N247" s="87">
        <v>1357.2</v>
      </c>
      <c r="O247" s="120">
        <v>36839.450811408307</v>
      </c>
      <c r="P247" s="121">
        <v>44553.288441948425</v>
      </c>
      <c r="Q247" s="120">
        <v>27765.290788421746</v>
      </c>
      <c r="R247" s="314">
        <v>64604.741599830057</v>
      </c>
      <c r="S247" s="315">
        <v>72318.579230370175</v>
      </c>
      <c r="U247" s="7" t="s">
        <v>2367</v>
      </c>
    </row>
    <row r="248" spans="1:21" ht="16.5" thickBot="1">
      <c r="A248" s="50" t="s">
        <v>35</v>
      </c>
      <c r="B248" s="51">
        <f t="shared" si="12"/>
        <v>90</v>
      </c>
      <c r="C248" s="51" t="s">
        <v>3</v>
      </c>
      <c r="D248" s="51">
        <f t="shared" si="13"/>
        <v>300</v>
      </c>
      <c r="E248" s="51" t="s">
        <v>3</v>
      </c>
      <c r="F248" s="99">
        <f t="shared" si="14"/>
        <v>2350</v>
      </c>
      <c r="G248" s="51" t="s">
        <v>3</v>
      </c>
      <c r="H248" s="48">
        <v>4</v>
      </c>
      <c r="I248" s="49" t="s">
        <v>45</v>
      </c>
      <c r="J248" s="184">
        <v>90</v>
      </c>
      <c r="K248" s="75">
        <v>300</v>
      </c>
      <c r="L248" s="75">
        <v>2350</v>
      </c>
      <c r="M248" s="185">
        <v>24.625585746910005</v>
      </c>
      <c r="N248" s="87">
        <v>1392</v>
      </c>
      <c r="O248" s="120">
        <v>37500.024325695529</v>
      </c>
      <c r="P248" s="121">
        <v>45369.664753810284</v>
      </c>
      <c r="Q248" s="120">
        <v>28476.277734069005</v>
      </c>
      <c r="R248" s="314">
        <v>65976.302059764537</v>
      </c>
      <c r="S248" s="315">
        <v>73845.942487879292</v>
      </c>
      <c r="U248" s="7" t="s">
        <v>2368</v>
      </c>
    </row>
    <row r="249" spans="1:21" ht="16.5" thickBot="1">
      <c r="A249" s="50" t="s">
        <v>35</v>
      </c>
      <c r="B249" s="51">
        <f t="shared" si="12"/>
        <v>90</v>
      </c>
      <c r="C249" s="51" t="s">
        <v>3</v>
      </c>
      <c r="D249" s="51">
        <f t="shared" si="13"/>
        <v>300</v>
      </c>
      <c r="E249" s="51" t="s">
        <v>3</v>
      </c>
      <c r="F249" s="99">
        <f t="shared" si="14"/>
        <v>2400</v>
      </c>
      <c r="G249" s="51" t="s">
        <v>3</v>
      </c>
      <c r="H249" s="48">
        <v>4</v>
      </c>
      <c r="I249" s="49" t="s">
        <v>45</v>
      </c>
      <c r="J249" s="184">
        <v>90</v>
      </c>
      <c r="K249" s="75">
        <v>300</v>
      </c>
      <c r="L249" s="75">
        <v>2400</v>
      </c>
      <c r="M249" s="185">
        <v>25.116988466670001</v>
      </c>
      <c r="N249" s="87">
        <v>1426.8</v>
      </c>
      <c r="O249" s="120">
        <v>38160.597699589394</v>
      </c>
      <c r="P249" s="121">
        <v>46186.041065672151</v>
      </c>
      <c r="Q249" s="120">
        <v>28956.682901932996</v>
      </c>
      <c r="R249" s="314">
        <v>67117.28060152239</v>
      </c>
      <c r="S249" s="315">
        <v>75142.723967605154</v>
      </c>
      <c r="U249" s="7" t="s">
        <v>2369</v>
      </c>
    </row>
    <row r="250" spans="1:21" ht="16.5" thickBot="1">
      <c r="A250" s="50" t="s">
        <v>35</v>
      </c>
      <c r="B250" s="51">
        <f t="shared" si="12"/>
        <v>90</v>
      </c>
      <c r="C250" s="51" t="s">
        <v>3</v>
      </c>
      <c r="D250" s="51">
        <f t="shared" si="13"/>
        <v>300</v>
      </c>
      <c r="E250" s="51" t="s">
        <v>3</v>
      </c>
      <c r="F250" s="99">
        <f t="shared" si="14"/>
        <v>2450</v>
      </c>
      <c r="G250" s="51" t="s">
        <v>3</v>
      </c>
      <c r="H250" s="48">
        <v>4</v>
      </c>
      <c r="I250" s="49" t="s">
        <v>45</v>
      </c>
      <c r="J250" s="184">
        <v>90</v>
      </c>
      <c r="K250" s="75">
        <v>300</v>
      </c>
      <c r="L250" s="75">
        <v>2450</v>
      </c>
      <c r="M250" s="185">
        <v>25.769996079230001</v>
      </c>
      <c r="N250" s="87">
        <v>1461.6</v>
      </c>
      <c r="O250" s="120">
        <v>39499.818267685281</v>
      </c>
      <c r="P250" s="121">
        <v>47619.274223852444</v>
      </c>
      <c r="Q250" s="120">
        <v>29667.669987973619</v>
      </c>
      <c r="R250" s="314">
        <v>69167.4882556589</v>
      </c>
      <c r="S250" s="315">
        <v>77286.944211826063</v>
      </c>
      <c r="U250" s="7" t="s">
        <v>2370</v>
      </c>
    </row>
    <row r="251" spans="1:21" ht="16.5" thickBot="1">
      <c r="A251" s="50" t="s">
        <v>35</v>
      </c>
      <c r="B251" s="51">
        <f t="shared" si="12"/>
        <v>90</v>
      </c>
      <c r="C251" s="51" t="s">
        <v>3</v>
      </c>
      <c r="D251" s="51">
        <f t="shared" si="13"/>
        <v>300</v>
      </c>
      <c r="E251" s="51" t="s">
        <v>3</v>
      </c>
      <c r="F251" s="99">
        <f t="shared" si="14"/>
        <v>2500</v>
      </c>
      <c r="G251" s="51" t="s">
        <v>3</v>
      </c>
      <c r="H251" s="48">
        <v>4</v>
      </c>
      <c r="I251" s="49" t="s">
        <v>45</v>
      </c>
      <c r="J251" s="184">
        <v>90</v>
      </c>
      <c r="K251" s="75">
        <v>300</v>
      </c>
      <c r="L251" s="75">
        <v>2500</v>
      </c>
      <c r="M251" s="185">
        <v>26.261398798990001</v>
      </c>
      <c r="N251" s="87">
        <v>1496.3999999999999</v>
      </c>
      <c r="O251" s="120">
        <v>40160.39178197251</v>
      </c>
      <c r="P251" s="121">
        <v>48435.650535714311</v>
      </c>
      <c r="Q251" s="120">
        <v>30148.075155837607</v>
      </c>
      <c r="R251" s="314">
        <v>70308.466937810124</v>
      </c>
      <c r="S251" s="315">
        <v>78583.725691551925</v>
      </c>
      <c r="U251" s="7" t="s">
        <v>2371</v>
      </c>
    </row>
    <row r="252" spans="1:21" ht="16.5" thickBot="1">
      <c r="A252" s="50" t="s">
        <v>35</v>
      </c>
      <c r="B252" s="51">
        <f t="shared" si="12"/>
        <v>90</v>
      </c>
      <c r="C252" s="51" t="s">
        <v>3</v>
      </c>
      <c r="D252" s="51">
        <f t="shared" si="13"/>
        <v>300</v>
      </c>
      <c r="E252" s="51" t="s">
        <v>3</v>
      </c>
      <c r="F252" s="99">
        <f t="shared" si="14"/>
        <v>2550</v>
      </c>
      <c r="G252" s="51" t="s">
        <v>3</v>
      </c>
      <c r="H252" s="48">
        <v>4</v>
      </c>
      <c r="I252" s="49" t="s">
        <v>45</v>
      </c>
      <c r="J252" s="184">
        <v>90</v>
      </c>
      <c r="K252" s="75">
        <v>300</v>
      </c>
      <c r="L252" s="75">
        <v>2550</v>
      </c>
      <c r="M252" s="185">
        <v>26.769841518749999</v>
      </c>
      <c r="N252" s="87">
        <v>1531.2</v>
      </c>
      <c r="O252" s="120">
        <v>40820.965155866368</v>
      </c>
      <c r="P252" s="121">
        <v>49252.026987969541</v>
      </c>
      <c r="Q252" s="120">
        <v>30859.06224187823</v>
      </c>
      <c r="R252" s="314">
        <v>71680.02739774459</v>
      </c>
      <c r="S252" s="315">
        <v>80111.08922984777</v>
      </c>
      <c r="U252" s="7" t="s">
        <v>2372</v>
      </c>
    </row>
    <row r="253" spans="1:21" ht="16.5" thickBot="1">
      <c r="A253" s="47" t="s">
        <v>35</v>
      </c>
      <c r="B253" s="48">
        <f t="shared" si="12"/>
        <v>90</v>
      </c>
      <c r="C253" s="48" t="s">
        <v>3</v>
      </c>
      <c r="D253" s="48">
        <f t="shared" si="13"/>
        <v>300</v>
      </c>
      <c r="E253" s="48" t="s">
        <v>3</v>
      </c>
      <c r="F253" s="99">
        <f t="shared" si="14"/>
        <v>2600</v>
      </c>
      <c r="G253" s="48" t="s">
        <v>3</v>
      </c>
      <c r="H253" s="48">
        <v>4</v>
      </c>
      <c r="I253" s="49" t="s">
        <v>45</v>
      </c>
      <c r="J253" s="184">
        <v>90</v>
      </c>
      <c r="K253" s="75">
        <v>300</v>
      </c>
      <c r="L253" s="75">
        <v>2600</v>
      </c>
      <c r="M253" s="185">
        <v>27.261244238510002</v>
      </c>
      <c r="N253" s="87">
        <v>1566</v>
      </c>
      <c r="O253" s="120">
        <v>41481.538529760233</v>
      </c>
      <c r="P253" s="121">
        <v>50068.403299831392</v>
      </c>
      <c r="Q253" s="120">
        <v>31339.467409742221</v>
      </c>
      <c r="R253" s="314">
        <v>72821.005939502458</v>
      </c>
      <c r="S253" s="315">
        <v>81407.870709573617</v>
      </c>
      <c r="U253" s="7" t="s">
        <v>2373</v>
      </c>
    </row>
    <row r="254" spans="1:21" ht="16.5" thickBot="1">
      <c r="A254" s="50" t="s">
        <v>35</v>
      </c>
      <c r="B254" s="51">
        <f t="shared" si="12"/>
        <v>90</v>
      </c>
      <c r="C254" s="51" t="s">
        <v>3</v>
      </c>
      <c r="D254" s="51">
        <f t="shared" si="13"/>
        <v>300</v>
      </c>
      <c r="E254" s="51" t="s">
        <v>3</v>
      </c>
      <c r="F254" s="99">
        <f t="shared" si="14"/>
        <v>2650</v>
      </c>
      <c r="G254" s="51" t="s">
        <v>3</v>
      </c>
      <c r="H254" s="48">
        <v>4</v>
      </c>
      <c r="I254" s="49" t="s">
        <v>45</v>
      </c>
      <c r="J254" s="184">
        <v>90</v>
      </c>
      <c r="K254" s="75">
        <v>300</v>
      </c>
      <c r="L254" s="75">
        <v>2650</v>
      </c>
      <c r="M254" s="185">
        <v>27.769686958270004</v>
      </c>
      <c r="N254" s="87">
        <v>1600.8</v>
      </c>
      <c r="O254" s="120">
        <v>42142.111903654099</v>
      </c>
      <c r="P254" s="121">
        <v>50884.779611693266</v>
      </c>
      <c r="Q254" s="120">
        <v>32050.45435538948</v>
      </c>
      <c r="R254" s="314">
        <v>74192.566259043582</v>
      </c>
      <c r="S254" s="315">
        <v>82935.23396708275</v>
      </c>
      <c r="U254" s="7" t="s">
        <v>2374</v>
      </c>
    </row>
    <row r="255" spans="1:21" ht="16.5" thickBot="1">
      <c r="A255" s="50" t="s">
        <v>35</v>
      </c>
      <c r="B255" s="51">
        <f t="shared" si="12"/>
        <v>90</v>
      </c>
      <c r="C255" s="51" t="s">
        <v>3</v>
      </c>
      <c r="D255" s="51">
        <f t="shared" si="13"/>
        <v>300</v>
      </c>
      <c r="E255" s="51" t="s">
        <v>3</v>
      </c>
      <c r="F255" s="99">
        <f t="shared" si="14"/>
        <v>2700</v>
      </c>
      <c r="G255" s="51" t="s">
        <v>3</v>
      </c>
      <c r="H255" s="48">
        <v>4</v>
      </c>
      <c r="I255" s="49" t="s">
        <v>45</v>
      </c>
      <c r="J255" s="184">
        <v>90</v>
      </c>
      <c r="K255" s="75">
        <v>300</v>
      </c>
      <c r="L255" s="75">
        <v>2700</v>
      </c>
      <c r="M255" s="185">
        <v>28.339589678030002</v>
      </c>
      <c r="N255" s="87">
        <v>1635.6</v>
      </c>
      <c r="O255" s="120">
        <v>42879.839713450092</v>
      </c>
      <c r="P255" s="121">
        <v>51778.781379188447</v>
      </c>
      <c r="Q255" s="120">
        <v>32530.859663646832</v>
      </c>
      <c r="R255" s="314">
        <v>75410.699377096927</v>
      </c>
      <c r="S255" s="315">
        <v>84309.641042835283</v>
      </c>
      <c r="U255" s="7" t="s">
        <v>2375</v>
      </c>
    </row>
    <row r="256" spans="1:21" ht="16.5" thickBot="1">
      <c r="A256" s="50" t="s">
        <v>35</v>
      </c>
      <c r="B256" s="51">
        <f t="shared" si="12"/>
        <v>90</v>
      </c>
      <c r="C256" s="51" t="s">
        <v>3</v>
      </c>
      <c r="D256" s="51">
        <f t="shared" si="13"/>
        <v>300</v>
      </c>
      <c r="E256" s="51" t="s">
        <v>3</v>
      </c>
      <c r="F256" s="99">
        <f t="shared" si="14"/>
        <v>2750</v>
      </c>
      <c r="G256" s="51" t="s">
        <v>3</v>
      </c>
      <c r="H256" s="48">
        <v>4</v>
      </c>
      <c r="I256" s="49" t="s">
        <v>45</v>
      </c>
      <c r="J256" s="184">
        <v>90</v>
      </c>
      <c r="K256" s="75">
        <v>300</v>
      </c>
      <c r="L256" s="75">
        <v>2750</v>
      </c>
      <c r="M256" s="185">
        <v>28.830992397790002</v>
      </c>
      <c r="N256" s="87">
        <v>1670.3999999999999</v>
      </c>
      <c r="O256" s="120">
        <v>43540.413087343957</v>
      </c>
      <c r="P256" s="121">
        <v>52595.157691050314</v>
      </c>
      <c r="Q256" s="120">
        <v>33011.264831510824</v>
      </c>
      <c r="R256" s="314">
        <v>76551.677918854781</v>
      </c>
      <c r="S256" s="315">
        <v>85606.42252256113</v>
      </c>
      <c r="U256" s="7" t="s">
        <v>2376</v>
      </c>
    </row>
    <row r="257" spans="1:21" ht="16.5" thickBot="1">
      <c r="A257" s="50" t="s">
        <v>35</v>
      </c>
      <c r="B257" s="51">
        <f t="shared" si="12"/>
        <v>90</v>
      </c>
      <c r="C257" s="51" t="s">
        <v>3</v>
      </c>
      <c r="D257" s="51">
        <f t="shared" si="13"/>
        <v>300</v>
      </c>
      <c r="E257" s="51" t="s">
        <v>3</v>
      </c>
      <c r="F257" s="99">
        <f t="shared" si="14"/>
        <v>2800</v>
      </c>
      <c r="G257" s="51" t="s">
        <v>3</v>
      </c>
      <c r="H257" s="48">
        <v>4</v>
      </c>
      <c r="I257" s="49" t="s">
        <v>45</v>
      </c>
      <c r="J257" s="184">
        <v>90</v>
      </c>
      <c r="K257" s="75">
        <v>300</v>
      </c>
      <c r="L257" s="75">
        <v>2800</v>
      </c>
      <c r="M257" s="185">
        <v>29.33943511755</v>
      </c>
      <c r="N257" s="87">
        <v>1705.2</v>
      </c>
      <c r="O257" s="120">
        <v>44200.986601631186</v>
      </c>
      <c r="P257" s="121">
        <v>53411.534002912173</v>
      </c>
      <c r="Q257" s="120">
        <v>33722.251777158082</v>
      </c>
      <c r="R257" s="314">
        <v>77923.238378789276</v>
      </c>
      <c r="S257" s="315">
        <v>87133.785780070262</v>
      </c>
      <c r="U257" s="7" t="s">
        <v>2377</v>
      </c>
    </row>
    <row r="258" spans="1:21" ht="16.5" thickBot="1">
      <c r="A258" s="50" t="s">
        <v>35</v>
      </c>
      <c r="B258" s="51">
        <f t="shared" si="12"/>
        <v>90</v>
      </c>
      <c r="C258" s="51" t="s">
        <v>3</v>
      </c>
      <c r="D258" s="51">
        <f t="shared" si="13"/>
        <v>300</v>
      </c>
      <c r="E258" s="51" t="s">
        <v>3</v>
      </c>
      <c r="F258" s="99">
        <f t="shared" si="14"/>
        <v>2850</v>
      </c>
      <c r="G258" s="51" t="s">
        <v>3</v>
      </c>
      <c r="H258" s="48">
        <v>4</v>
      </c>
      <c r="I258" s="49" t="s">
        <v>45</v>
      </c>
      <c r="J258" s="184">
        <v>90</v>
      </c>
      <c r="K258" s="75">
        <v>300</v>
      </c>
      <c r="L258" s="75">
        <v>2850</v>
      </c>
      <c r="M258" s="185">
        <v>29.83083783731</v>
      </c>
      <c r="N258" s="87">
        <v>1740</v>
      </c>
      <c r="O258" s="120">
        <v>44861.559975525044</v>
      </c>
      <c r="P258" s="121">
        <v>54227.910314774039</v>
      </c>
      <c r="Q258" s="120">
        <v>34202.657085415434</v>
      </c>
      <c r="R258" s="314">
        <v>79064.217060940486</v>
      </c>
      <c r="S258" s="315">
        <v>88430.567400189466</v>
      </c>
      <c r="U258" s="7" t="s">
        <v>2378</v>
      </c>
    </row>
    <row r="259" spans="1:21" ht="16.5" thickBot="1">
      <c r="A259" s="50" t="s">
        <v>35</v>
      </c>
      <c r="B259" s="51">
        <f t="shared" si="12"/>
        <v>90</v>
      </c>
      <c r="C259" s="51" t="s">
        <v>3</v>
      </c>
      <c r="D259" s="51">
        <f t="shared" si="13"/>
        <v>300</v>
      </c>
      <c r="E259" s="51" t="s">
        <v>3</v>
      </c>
      <c r="F259" s="99">
        <f t="shared" si="14"/>
        <v>2900</v>
      </c>
      <c r="G259" s="51" t="s">
        <v>3</v>
      </c>
      <c r="H259" s="48">
        <v>4</v>
      </c>
      <c r="I259" s="49" t="s">
        <v>45</v>
      </c>
      <c r="J259" s="184">
        <v>90</v>
      </c>
      <c r="K259" s="75">
        <v>300</v>
      </c>
      <c r="L259" s="75">
        <v>2900</v>
      </c>
      <c r="M259" s="185">
        <v>30.339280557069998</v>
      </c>
      <c r="N259" s="87">
        <v>1774.8</v>
      </c>
      <c r="O259" s="120">
        <v>45522.133349418909</v>
      </c>
      <c r="P259" s="121">
        <v>55044.286626635898</v>
      </c>
      <c r="Q259" s="120">
        <v>34913.644031062693</v>
      </c>
      <c r="R259" s="314">
        <v>80435.777380481595</v>
      </c>
      <c r="S259" s="315">
        <v>89957.930657698598</v>
      </c>
      <c r="U259" s="7" t="s">
        <v>2379</v>
      </c>
    </row>
    <row r="260" spans="1:21" ht="16.5" thickBot="1">
      <c r="A260" s="50" t="s">
        <v>35</v>
      </c>
      <c r="B260" s="51">
        <f t="shared" si="12"/>
        <v>90</v>
      </c>
      <c r="C260" s="51" t="s">
        <v>3</v>
      </c>
      <c r="D260" s="51">
        <f t="shared" si="13"/>
        <v>300</v>
      </c>
      <c r="E260" s="51" t="s">
        <v>3</v>
      </c>
      <c r="F260" s="99">
        <f t="shared" si="14"/>
        <v>2950</v>
      </c>
      <c r="G260" s="51" t="s">
        <v>3</v>
      </c>
      <c r="H260" s="48">
        <v>4</v>
      </c>
      <c r="I260" s="49" t="s">
        <v>45</v>
      </c>
      <c r="J260" s="184">
        <v>90</v>
      </c>
      <c r="K260" s="75">
        <v>300</v>
      </c>
      <c r="L260" s="75">
        <v>2950</v>
      </c>
      <c r="M260" s="185">
        <v>30.830683276830001</v>
      </c>
      <c r="N260" s="87">
        <v>1809.6</v>
      </c>
      <c r="O260" s="120">
        <v>46182.706723312775</v>
      </c>
      <c r="P260" s="121">
        <v>55860.662938497764</v>
      </c>
      <c r="Q260" s="120">
        <v>35394.049339320045</v>
      </c>
      <c r="R260" s="314">
        <v>81576.75606263282</v>
      </c>
      <c r="S260" s="315">
        <v>91254.712277817802</v>
      </c>
      <c r="U260" s="7" t="s">
        <v>2380</v>
      </c>
    </row>
    <row r="261" spans="1:21" ht="16.5" thickBot="1">
      <c r="A261" s="52" t="s">
        <v>35</v>
      </c>
      <c r="B261" s="53">
        <f t="shared" si="12"/>
        <v>90</v>
      </c>
      <c r="C261" s="53" t="s">
        <v>3</v>
      </c>
      <c r="D261" s="53">
        <f t="shared" si="13"/>
        <v>300</v>
      </c>
      <c r="E261" s="53" t="s">
        <v>3</v>
      </c>
      <c r="F261" s="100">
        <f t="shared" si="14"/>
        <v>3000</v>
      </c>
      <c r="G261" s="53" t="s">
        <v>3</v>
      </c>
      <c r="H261" s="55">
        <v>4</v>
      </c>
      <c r="I261" s="54" t="s">
        <v>45</v>
      </c>
      <c r="J261" s="186">
        <v>90</v>
      </c>
      <c r="K261" s="147">
        <v>300</v>
      </c>
      <c r="L261" s="147">
        <v>3000</v>
      </c>
      <c r="M261" s="187">
        <v>31.339125996589999</v>
      </c>
      <c r="N261" s="148">
        <v>1844.3999999999999</v>
      </c>
      <c r="O261" s="159">
        <v>48018.43754345848</v>
      </c>
      <c r="P261" s="158">
        <v>56677.03925035963</v>
      </c>
      <c r="Q261" s="159">
        <v>36105.036284967304</v>
      </c>
      <c r="R261" s="316">
        <v>84123.473828425776</v>
      </c>
      <c r="S261" s="317">
        <v>92782.075535326934</v>
      </c>
      <c r="U261" s="7" t="s">
        <v>2381</v>
      </c>
    </row>
    <row r="262" spans="1:21" ht="22.5" customHeight="1" thickBot="1">
      <c r="A262" s="2580" t="s">
        <v>49</v>
      </c>
      <c r="B262" s="2581"/>
      <c r="C262" s="2581"/>
      <c r="D262" s="2581"/>
      <c r="E262" s="2581"/>
      <c r="F262" s="2581"/>
      <c r="G262" s="2581"/>
      <c r="H262" s="2581"/>
      <c r="I262" s="2581"/>
      <c r="J262" s="2581"/>
      <c r="K262" s="2581"/>
      <c r="L262" s="2581"/>
      <c r="M262" s="2581"/>
      <c r="N262" s="2581"/>
      <c r="O262" s="2581"/>
      <c r="P262" s="2581"/>
      <c r="Q262" s="2581"/>
      <c r="R262" s="2581"/>
      <c r="S262" s="2582"/>
      <c r="U262" s="7"/>
    </row>
    <row r="263" spans="1:21" ht="16.5" thickBot="1">
      <c r="A263" s="2583" t="s">
        <v>135</v>
      </c>
      <c r="B263" s="2584"/>
      <c r="C263" s="2584"/>
      <c r="D263" s="2584"/>
      <c r="E263" s="2584"/>
      <c r="F263" s="2584"/>
      <c r="G263" s="2584"/>
      <c r="H263" s="2584"/>
      <c r="I263" s="2584"/>
      <c r="J263" s="2584"/>
      <c r="K263" s="2584"/>
      <c r="L263" s="2584"/>
      <c r="M263" s="2584"/>
      <c r="N263" s="2584"/>
      <c r="O263" s="2584"/>
      <c r="P263" s="2584"/>
      <c r="Q263" s="2584"/>
      <c r="R263" s="2584"/>
      <c r="S263" s="2585"/>
      <c r="U263" s="7"/>
    </row>
    <row r="264" spans="1:21" ht="16.5" thickBot="1">
      <c r="A264" s="47" t="s">
        <v>35</v>
      </c>
      <c r="B264" s="48">
        <f>J264</f>
        <v>90</v>
      </c>
      <c r="C264" s="48" t="s">
        <v>3</v>
      </c>
      <c r="D264" s="48">
        <f>K264</f>
        <v>360</v>
      </c>
      <c r="E264" s="48" t="s">
        <v>3</v>
      </c>
      <c r="F264" s="99">
        <f>L264</f>
        <v>600</v>
      </c>
      <c r="G264" s="48" t="s">
        <v>3</v>
      </c>
      <c r="H264" s="48">
        <v>4</v>
      </c>
      <c r="I264" s="49" t="s">
        <v>45</v>
      </c>
      <c r="J264" s="181">
        <v>90</v>
      </c>
      <c r="K264" s="143">
        <v>360</v>
      </c>
      <c r="L264" s="143">
        <v>600</v>
      </c>
      <c r="M264" s="182">
        <v>7.5721305801942123</v>
      </c>
      <c r="N264" s="144">
        <v>191.95500000000001</v>
      </c>
      <c r="O264" s="169">
        <v>13954.340564015514</v>
      </c>
      <c r="P264" s="183">
        <v>16731.143676661952</v>
      </c>
      <c r="Q264" s="169">
        <v>9204.3678470371888</v>
      </c>
      <c r="R264" s="312">
        <v>23158.708411052703</v>
      </c>
      <c r="S264" s="313">
        <v>25935.511523699141</v>
      </c>
      <c r="U264" s="7" t="s">
        <v>2382</v>
      </c>
    </row>
    <row r="265" spans="1:21" ht="16.5" thickBot="1">
      <c r="A265" s="50" t="s">
        <v>35</v>
      </c>
      <c r="B265" s="51">
        <f t="shared" ref="B265:B312" si="15">J265</f>
        <v>90</v>
      </c>
      <c r="C265" s="51" t="s">
        <v>3</v>
      </c>
      <c r="D265" s="51">
        <f t="shared" ref="D265:D312" si="16">K265</f>
        <v>360</v>
      </c>
      <c r="E265" s="51" t="s">
        <v>3</v>
      </c>
      <c r="F265" s="99">
        <f t="shared" ref="F265:F312" si="17">L265</f>
        <v>650</v>
      </c>
      <c r="G265" s="51" t="s">
        <v>3</v>
      </c>
      <c r="H265" s="48">
        <v>4</v>
      </c>
      <c r="I265" s="49" t="s">
        <v>45</v>
      </c>
      <c r="J265" s="184">
        <v>90</v>
      </c>
      <c r="K265" s="75">
        <v>360</v>
      </c>
      <c r="L265" s="75">
        <v>650</v>
      </c>
      <c r="M265" s="185">
        <v>8.1113138617963152</v>
      </c>
      <c r="N265" s="87">
        <v>230.346</v>
      </c>
      <c r="O265" s="120">
        <v>14643.032903304415</v>
      </c>
      <c r="P265" s="121">
        <v>17596.768997335279</v>
      </c>
      <c r="Q265" s="120">
        <v>9757.9649885401141</v>
      </c>
      <c r="R265" s="314">
        <v>24400.997891844527</v>
      </c>
      <c r="S265" s="315">
        <v>27354.733985875391</v>
      </c>
      <c r="U265" s="7" t="s">
        <v>2383</v>
      </c>
    </row>
    <row r="266" spans="1:21" ht="16.5" thickBot="1">
      <c r="A266" s="50" t="s">
        <v>35</v>
      </c>
      <c r="B266" s="51">
        <f t="shared" si="15"/>
        <v>90</v>
      </c>
      <c r="C266" s="51" t="s">
        <v>3</v>
      </c>
      <c r="D266" s="51">
        <f t="shared" si="16"/>
        <v>360</v>
      </c>
      <c r="E266" s="51" t="s">
        <v>3</v>
      </c>
      <c r="F266" s="99">
        <f t="shared" si="17"/>
        <v>700</v>
      </c>
      <c r="G266" s="51" t="s">
        <v>3</v>
      </c>
      <c r="H266" s="48">
        <v>4</v>
      </c>
      <c r="I266" s="49" t="s">
        <v>45</v>
      </c>
      <c r="J266" s="184">
        <v>90</v>
      </c>
      <c r="K266" s="75">
        <v>360</v>
      </c>
      <c r="L266" s="75">
        <v>700</v>
      </c>
      <c r="M266" s="185">
        <v>8.6675371433984214</v>
      </c>
      <c r="N266" s="87">
        <v>268.73699999999997</v>
      </c>
      <c r="O266" s="120">
        <v>15331.725382986679</v>
      </c>
      <c r="P266" s="121">
        <v>18462.394177615242</v>
      </c>
      <c r="Q266" s="120">
        <v>10542.143907826316</v>
      </c>
      <c r="R266" s="314">
        <v>25873.869290812996</v>
      </c>
      <c r="S266" s="315">
        <v>29004.538085441556</v>
      </c>
      <c r="U266" s="7" t="s">
        <v>2384</v>
      </c>
    </row>
    <row r="267" spans="1:21" ht="16.5" thickBot="1">
      <c r="A267" s="50" t="s">
        <v>35</v>
      </c>
      <c r="B267" s="51">
        <f t="shared" si="15"/>
        <v>90</v>
      </c>
      <c r="C267" s="51" t="s">
        <v>3</v>
      </c>
      <c r="D267" s="51">
        <f t="shared" si="16"/>
        <v>360</v>
      </c>
      <c r="E267" s="51" t="s">
        <v>3</v>
      </c>
      <c r="F267" s="99">
        <f t="shared" si="17"/>
        <v>750</v>
      </c>
      <c r="G267" s="51" t="s">
        <v>3</v>
      </c>
      <c r="H267" s="48">
        <v>4</v>
      </c>
      <c r="I267" s="49" t="s">
        <v>45</v>
      </c>
      <c r="J267" s="184">
        <v>90</v>
      </c>
      <c r="K267" s="75">
        <v>360</v>
      </c>
      <c r="L267" s="75">
        <v>750</v>
      </c>
      <c r="M267" s="185">
        <v>9.2067204250005261</v>
      </c>
      <c r="N267" s="87">
        <v>307.12799999999999</v>
      </c>
      <c r="O267" s="120">
        <v>16020.417722275579</v>
      </c>
      <c r="P267" s="121">
        <v>19328.019357895202</v>
      </c>
      <c r="Q267" s="120">
        <v>11095.741049329239</v>
      </c>
      <c r="R267" s="314">
        <v>27116.158771604816</v>
      </c>
      <c r="S267" s="315">
        <v>30423.760407224443</v>
      </c>
      <c r="U267" s="7" t="s">
        <v>2385</v>
      </c>
    </row>
    <row r="268" spans="1:21" ht="16.5" thickBot="1">
      <c r="A268" s="50" t="s">
        <v>35</v>
      </c>
      <c r="B268" s="51">
        <f t="shared" si="15"/>
        <v>90</v>
      </c>
      <c r="C268" s="51" t="s">
        <v>3</v>
      </c>
      <c r="D268" s="51">
        <f t="shared" si="16"/>
        <v>360</v>
      </c>
      <c r="E268" s="51" t="s">
        <v>3</v>
      </c>
      <c r="F268" s="99">
        <f t="shared" si="17"/>
        <v>800</v>
      </c>
      <c r="G268" s="51" t="s">
        <v>3</v>
      </c>
      <c r="H268" s="48">
        <v>4</v>
      </c>
      <c r="I268" s="49" t="s">
        <v>45</v>
      </c>
      <c r="J268" s="184">
        <v>90</v>
      </c>
      <c r="K268" s="75">
        <v>360</v>
      </c>
      <c r="L268" s="75">
        <v>800</v>
      </c>
      <c r="M268" s="185">
        <v>9.7459037066026326</v>
      </c>
      <c r="N268" s="87">
        <v>345.51900000000001</v>
      </c>
      <c r="O268" s="120">
        <v>16709.110061564479</v>
      </c>
      <c r="P268" s="121">
        <v>20193.644538175169</v>
      </c>
      <c r="Q268" s="120">
        <v>11649.338190832164</v>
      </c>
      <c r="R268" s="314">
        <v>28358.448252396644</v>
      </c>
      <c r="S268" s="315">
        <v>31842.982729007334</v>
      </c>
      <c r="U268" s="7" t="s">
        <v>2386</v>
      </c>
    </row>
    <row r="269" spans="1:21" ht="16.5" thickBot="1">
      <c r="A269" s="50" t="s">
        <v>35</v>
      </c>
      <c r="B269" s="51">
        <f t="shared" si="15"/>
        <v>90</v>
      </c>
      <c r="C269" s="51" t="s">
        <v>3</v>
      </c>
      <c r="D269" s="51">
        <f t="shared" si="16"/>
        <v>360</v>
      </c>
      <c r="E269" s="51" t="s">
        <v>3</v>
      </c>
      <c r="F269" s="99">
        <f t="shared" si="17"/>
        <v>850</v>
      </c>
      <c r="G269" s="51" t="s">
        <v>3</v>
      </c>
      <c r="H269" s="48">
        <v>4</v>
      </c>
      <c r="I269" s="49" t="s">
        <v>45</v>
      </c>
      <c r="J269" s="184">
        <v>90</v>
      </c>
      <c r="K269" s="75">
        <v>360</v>
      </c>
      <c r="L269" s="75">
        <v>850</v>
      </c>
      <c r="M269" s="185">
        <v>10.302126988204737</v>
      </c>
      <c r="N269" s="87">
        <v>383.91</v>
      </c>
      <c r="O269" s="120">
        <v>17397.802400853379</v>
      </c>
      <c r="P269" s="121">
        <v>21059.269858848493</v>
      </c>
      <c r="Q269" s="120">
        <v>12433.517110118366</v>
      </c>
      <c r="R269" s="314">
        <v>29831.319510971745</v>
      </c>
      <c r="S269" s="315">
        <v>33492.786968966859</v>
      </c>
      <c r="U269" s="7" t="s">
        <v>2387</v>
      </c>
    </row>
    <row r="270" spans="1:21" ht="16.5" thickBot="1">
      <c r="A270" s="50" t="s">
        <v>35</v>
      </c>
      <c r="B270" s="51">
        <f t="shared" si="15"/>
        <v>90</v>
      </c>
      <c r="C270" s="51" t="s">
        <v>3</v>
      </c>
      <c r="D270" s="51">
        <f t="shared" si="16"/>
        <v>360</v>
      </c>
      <c r="E270" s="51" t="s">
        <v>3</v>
      </c>
      <c r="F270" s="99">
        <f t="shared" si="17"/>
        <v>900</v>
      </c>
      <c r="G270" s="51" t="s">
        <v>3</v>
      </c>
      <c r="H270" s="48">
        <v>4</v>
      </c>
      <c r="I270" s="49" t="s">
        <v>45</v>
      </c>
      <c r="J270" s="184">
        <v>90</v>
      </c>
      <c r="K270" s="75">
        <v>360</v>
      </c>
      <c r="L270" s="75">
        <v>900</v>
      </c>
      <c r="M270" s="185">
        <v>10.841310269806844</v>
      </c>
      <c r="N270" s="87">
        <v>422.30099999999999</v>
      </c>
      <c r="O270" s="120">
        <v>18086.49488053564</v>
      </c>
      <c r="P270" s="121">
        <v>21924.895039128452</v>
      </c>
      <c r="Q270" s="120">
        <v>12987.114251621291</v>
      </c>
      <c r="R270" s="314">
        <v>31073.609132156933</v>
      </c>
      <c r="S270" s="315">
        <v>34912.009290749746</v>
      </c>
      <c r="U270" s="7" t="s">
        <v>2388</v>
      </c>
    </row>
    <row r="271" spans="1:21" ht="16.5" thickBot="1">
      <c r="A271" s="50" t="s">
        <v>35</v>
      </c>
      <c r="B271" s="51">
        <f t="shared" si="15"/>
        <v>90</v>
      </c>
      <c r="C271" s="51" t="s">
        <v>3</v>
      </c>
      <c r="D271" s="51">
        <f t="shared" si="16"/>
        <v>360</v>
      </c>
      <c r="E271" s="51" t="s">
        <v>3</v>
      </c>
      <c r="F271" s="99">
        <f t="shared" si="17"/>
        <v>950</v>
      </c>
      <c r="G271" s="51" t="s">
        <v>3</v>
      </c>
      <c r="H271" s="48">
        <v>4</v>
      </c>
      <c r="I271" s="49" t="s">
        <v>45</v>
      </c>
      <c r="J271" s="184">
        <v>90</v>
      </c>
      <c r="K271" s="75">
        <v>360</v>
      </c>
      <c r="L271" s="75">
        <v>950</v>
      </c>
      <c r="M271" s="185">
        <v>11.397533551408946</v>
      </c>
      <c r="N271" s="87">
        <v>460.69200000000001</v>
      </c>
      <c r="O271" s="120">
        <v>18775.18721982454</v>
      </c>
      <c r="P271" s="121">
        <v>22790.52021940842</v>
      </c>
      <c r="Q271" s="120">
        <v>13771.293170907491</v>
      </c>
      <c r="R271" s="314">
        <v>32546.480390732031</v>
      </c>
      <c r="S271" s="315">
        <v>36561.813390315911</v>
      </c>
      <c r="U271" s="7" t="s">
        <v>2389</v>
      </c>
    </row>
    <row r="272" spans="1:21" ht="16.5" thickBot="1">
      <c r="A272" s="50" t="s">
        <v>35</v>
      </c>
      <c r="B272" s="51">
        <f t="shared" si="15"/>
        <v>90</v>
      </c>
      <c r="C272" s="51" t="s">
        <v>3</v>
      </c>
      <c r="D272" s="51">
        <f t="shared" si="16"/>
        <v>360</v>
      </c>
      <c r="E272" s="51" t="s">
        <v>3</v>
      </c>
      <c r="F272" s="99">
        <f t="shared" si="17"/>
        <v>1000</v>
      </c>
      <c r="G272" s="51" t="s">
        <v>3</v>
      </c>
      <c r="H272" s="48">
        <v>4</v>
      </c>
      <c r="I272" s="49" t="s">
        <v>45</v>
      </c>
      <c r="J272" s="184">
        <v>90</v>
      </c>
      <c r="K272" s="75">
        <v>360</v>
      </c>
      <c r="L272" s="75">
        <v>1000</v>
      </c>
      <c r="M272" s="185">
        <v>11.936716833011051</v>
      </c>
      <c r="N272" s="87">
        <v>499.08299999999997</v>
      </c>
      <c r="O272" s="120">
        <v>19463.87955911344</v>
      </c>
      <c r="P272" s="121">
        <v>23656.145540081743</v>
      </c>
      <c r="Q272" s="120">
        <v>14324.890312410414</v>
      </c>
      <c r="R272" s="314">
        <v>33788.769871523851</v>
      </c>
      <c r="S272" s="315">
        <v>37981.035852492161</v>
      </c>
      <c r="U272" s="7" t="s">
        <v>2390</v>
      </c>
    </row>
    <row r="273" spans="1:21" ht="16.5" thickBot="1">
      <c r="A273" s="50" t="s">
        <v>35</v>
      </c>
      <c r="B273" s="51">
        <f t="shared" si="15"/>
        <v>90</v>
      </c>
      <c r="C273" s="51" t="s">
        <v>3</v>
      </c>
      <c r="D273" s="51">
        <f t="shared" si="16"/>
        <v>360</v>
      </c>
      <c r="E273" s="51" t="s">
        <v>3</v>
      </c>
      <c r="F273" s="99">
        <f t="shared" si="17"/>
        <v>1050</v>
      </c>
      <c r="G273" s="51" t="s">
        <v>3</v>
      </c>
      <c r="H273" s="48">
        <v>4</v>
      </c>
      <c r="I273" s="49" t="s">
        <v>45</v>
      </c>
      <c r="J273" s="184">
        <v>90</v>
      </c>
      <c r="K273" s="75">
        <v>360</v>
      </c>
      <c r="L273" s="75">
        <v>1050</v>
      </c>
      <c r="M273" s="185">
        <v>12.492940114613157</v>
      </c>
      <c r="N273" s="87">
        <v>537.47399999999993</v>
      </c>
      <c r="O273" s="120">
        <v>20152.572038795704</v>
      </c>
      <c r="P273" s="121">
        <v>24521.770720361703</v>
      </c>
      <c r="Q273" s="120">
        <v>15109.069231696616</v>
      </c>
      <c r="R273" s="314">
        <v>35261.64127049232</v>
      </c>
      <c r="S273" s="315">
        <v>39630.839952058319</v>
      </c>
      <c r="U273" s="7" t="s">
        <v>2391</v>
      </c>
    </row>
    <row r="274" spans="1:21" ht="16.5" thickBot="1">
      <c r="A274" s="47" t="s">
        <v>35</v>
      </c>
      <c r="B274" s="48">
        <f t="shared" si="15"/>
        <v>90</v>
      </c>
      <c r="C274" s="48" t="s">
        <v>3</v>
      </c>
      <c r="D274" s="48">
        <f t="shared" si="16"/>
        <v>360</v>
      </c>
      <c r="E274" s="48" t="s">
        <v>3</v>
      </c>
      <c r="F274" s="99">
        <f t="shared" si="17"/>
        <v>1100</v>
      </c>
      <c r="G274" s="48" t="s">
        <v>3</v>
      </c>
      <c r="H274" s="48">
        <v>4</v>
      </c>
      <c r="I274" s="49" t="s">
        <v>45</v>
      </c>
      <c r="J274" s="184">
        <v>90</v>
      </c>
      <c r="K274" s="75">
        <v>360</v>
      </c>
      <c r="L274" s="75">
        <v>1100</v>
      </c>
      <c r="M274" s="185">
        <v>13.032123396215262</v>
      </c>
      <c r="N274" s="87">
        <v>575.86500000000001</v>
      </c>
      <c r="O274" s="120">
        <v>20841.264378084605</v>
      </c>
      <c r="P274" s="121">
        <v>25387.395900641666</v>
      </c>
      <c r="Q274" s="120">
        <v>15662.66637319954</v>
      </c>
      <c r="R274" s="314">
        <v>36503.930751284148</v>
      </c>
      <c r="S274" s="315">
        <v>41050.062273841206</v>
      </c>
      <c r="U274" s="7" t="s">
        <v>2392</v>
      </c>
    </row>
    <row r="275" spans="1:21" ht="16.5" thickBot="1">
      <c r="A275" s="50" t="s">
        <v>35</v>
      </c>
      <c r="B275" s="51">
        <f t="shared" si="15"/>
        <v>90</v>
      </c>
      <c r="C275" s="51" t="s">
        <v>3</v>
      </c>
      <c r="D275" s="51">
        <f t="shared" si="16"/>
        <v>360</v>
      </c>
      <c r="E275" s="51" t="s">
        <v>3</v>
      </c>
      <c r="F275" s="99">
        <f t="shared" si="17"/>
        <v>1150</v>
      </c>
      <c r="G275" s="51" t="s">
        <v>3</v>
      </c>
      <c r="H275" s="48">
        <v>4</v>
      </c>
      <c r="I275" s="49" t="s">
        <v>45</v>
      </c>
      <c r="J275" s="184">
        <v>90</v>
      </c>
      <c r="K275" s="75">
        <v>360</v>
      </c>
      <c r="L275" s="75">
        <v>1150</v>
      </c>
      <c r="M275" s="185">
        <v>13.571306677817367</v>
      </c>
      <c r="N275" s="87">
        <v>614.25599999999997</v>
      </c>
      <c r="O275" s="120">
        <v>21529.956717373505</v>
      </c>
      <c r="P275" s="121">
        <v>26253.021221314993</v>
      </c>
      <c r="Q275" s="120">
        <v>16216.263514702467</v>
      </c>
      <c r="R275" s="314">
        <v>37746.220232075968</v>
      </c>
      <c r="S275" s="315">
        <v>42469.284736017464</v>
      </c>
      <c r="U275" s="7" t="s">
        <v>2393</v>
      </c>
    </row>
    <row r="276" spans="1:21" ht="16.5" thickBot="1">
      <c r="A276" s="50" t="s">
        <v>35</v>
      </c>
      <c r="B276" s="51">
        <f t="shared" si="15"/>
        <v>90</v>
      </c>
      <c r="C276" s="51" t="s">
        <v>3</v>
      </c>
      <c r="D276" s="51">
        <f t="shared" si="16"/>
        <v>360</v>
      </c>
      <c r="E276" s="51" t="s">
        <v>3</v>
      </c>
      <c r="F276" s="99">
        <f t="shared" si="17"/>
        <v>1200</v>
      </c>
      <c r="G276" s="51" t="s">
        <v>3</v>
      </c>
      <c r="H276" s="48">
        <v>4</v>
      </c>
      <c r="I276" s="49" t="s">
        <v>45</v>
      </c>
      <c r="J276" s="184">
        <v>90</v>
      </c>
      <c r="K276" s="75">
        <v>360</v>
      </c>
      <c r="L276" s="75">
        <v>1200</v>
      </c>
      <c r="M276" s="185">
        <v>14.206029959419473</v>
      </c>
      <c r="N276" s="87">
        <v>652.64699999999993</v>
      </c>
      <c r="O276" s="120">
        <v>22295.803492564541</v>
      </c>
      <c r="P276" s="121">
        <v>27196.271857228283</v>
      </c>
      <c r="Q276" s="120">
        <v>17000.442574382028</v>
      </c>
      <c r="R276" s="314">
        <v>39296.246066946565</v>
      </c>
      <c r="S276" s="315">
        <v>44196.714431610308</v>
      </c>
      <c r="U276" s="7" t="s">
        <v>2394</v>
      </c>
    </row>
    <row r="277" spans="1:21" ht="16.5" thickBot="1">
      <c r="A277" s="50" t="s">
        <v>35</v>
      </c>
      <c r="B277" s="51">
        <f t="shared" si="15"/>
        <v>90</v>
      </c>
      <c r="C277" s="51" t="s">
        <v>3</v>
      </c>
      <c r="D277" s="51">
        <f t="shared" si="16"/>
        <v>360</v>
      </c>
      <c r="E277" s="51" t="s">
        <v>3</v>
      </c>
      <c r="F277" s="99">
        <f t="shared" si="17"/>
        <v>1250</v>
      </c>
      <c r="G277" s="51" t="s">
        <v>3</v>
      </c>
      <c r="H277" s="48">
        <v>4</v>
      </c>
      <c r="I277" s="49" t="s">
        <v>45</v>
      </c>
      <c r="J277" s="184">
        <v>90</v>
      </c>
      <c r="K277" s="75">
        <v>360</v>
      </c>
      <c r="L277" s="75">
        <v>1250</v>
      </c>
      <c r="M277" s="185">
        <v>14.745213241021577</v>
      </c>
      <c r="N277" s="87">
        <v>691.03800000000001</v>
      </c>
      <c r="O277" s="120">
        <v>22984.495831853441</v>
      </c>
      <c r="P277" s="121">
        <v>28061.897037508243</v>
      </c>
      <c r="Q277" s="120">
        <v>17554.039715884952</v>
      </c>
      <c r="R277" s="314">
        <v>40538.535547738393</v>
      </c>
      <c r="S277" s="315">
        <v>45615.936753393195</v>
      </c>
      <c r="U277" s="7" t="s">
        <v>2395</v>
      </c>
    </row>
    <row r="278" spans="1:21" ht="16.5" thickBot="1">
      <c r="A278" s="50" t="s">
        <v>35</v>
      </c>
      <c r="B278" s="51">
        <f t="shared" si="15"/>
        <v>90</v>
      </c>
      <c r="C278" s="51" t="s">
        <v>3</v>
      </c>
      <c r="D278" s="51">
        <f t="shared" si="16"/>
        <v>360</v>
      </c>
      <c r="E278" s="51" t="s">
        <v>3</v>
      </c>
      <c r="F278" s="99">
        <f t="shared" si="17"/>
        <v>1300</v>
      </c>
      <c r="G278" s="51" t="s">
        <v>3</v>
      </c>
      <c r="H278" s="48">
        <v>4</v>
      </c>
      <c r="I278" s="49" t="s">
        <v>45</v>
      </c>
      <c r="J278" s="184">
        <v>90</v>
      </c>
      <c r="K278" s="75">
        <v>360</v>
      </c>
      <c r="L278" s="75">
        <v>1300</v>
      </c>
      <c r="M278" s="185">
        <v>15.301436522623682</v>
      </c>
      <c r="N278" s="87">
        <v>729.42899999999997</v>
      </c>
      <c r="O278" s="120">
        <v>23673.188311535701</v>
      </c>
      <c r="P278" s="121">
        <v>28927.522217788206</v>
      </c>
      <c r="Q278" s="120">
        <v>18338.218635171153</v>
      </c>
      <c r="R278" s="314">
        <v>42011.406946706855</v>
      </c>
      <c r="S278" s="315">
        <v>47265.740852959359</v>
      </c>
      <c r="U278" s="7" t="s">
        <v>2396</v>
      </c>
    </row>
    <row r="279" spans="1:21" ht="16.5" thickBot="1">
      <c r="A279" s="50" t="s">
        <v>35</v>
      </c>
      <c r="B279" s="51">
        <f t="shared" si="15"/>
        <v>90</v>
      </c>
      <c r="C279" s="51" t="s">
        <v>3</v>
      </c>
      <c r="D279" s="51">
        <f t="shared" si="16"/>
        <v>360</v>
      </c>
      <c r="E279" s="51" t="s">
        <v>3</v>
      </c>
      <c r="F279" s="99">
        <f t="shared" si="17"/>
        <v>1350</v>
      </c>
      <c r="G279" s="51" t="s">
        <v>3</v>
      </c>
      <c r="H279" s="48">
        <v>4</v>
      </c>
      <c r="I279" s="49" t="s">
        <v>45</v>
      </c>
      <c r="J279" s="184">
        <v>90</v>
      </c>
      <c r="K279" s="75">
        <v>360</v>
      </c>
      <c r="L279" s="75">
        <v>1350</v>
      </c>
      <c r="M279" s="185">
        <v>15.840619804225788</v>
      </c>
      <c r="N279" s="87">
        <v>767.82</v>
      </c>
      <c r="O279" s="120">
        <v>24361.880650824609</v>
      </c>
      <c r="P279" s="121">
        <v>29793.147398068169</v>
      </c>
      <c r="Q279" s="120">
        <v>18891.815776674081</v>
      </c>
      <c r="R279" s="314">
        <v>43253.696427498689</v>
      </c>
      <c r="S279" s="315">
        <v>48684.963174742254</v>
      </c>
      <c r="U279" s="7" t="s">
        <v>2397</v>
      </c>
    </row>
    <row r="280" spans="1:21" ht="16.5" thickBot="1">
      <c r="A280" s="50" t="s">
        <v>35</v>
      </c>
      <c r="B280" s="51">
        <f t="shared" si="15"/>
        <v>90</v>
      </c>
      <c r="C280" s="51" t="s">
        <v>3</v>
      </c>
      <c r="D280" s="51">
        <f t="shared" si="16"/>
        <v>360</v>
      </c>
      <c r="E280" s="51" t="s">
        <v>3</v>
      </c>
      <c r="F280" s="99">
        <f t="shared" si="17"/>
        <v>1400</v>
      </c>
      <c r="G280" s="51" t="s">
        <v>3</v>
      </c>
      <c r="H280" s="48">
        <v>4</v>
      </c>
      <c r="I280" s="49" t="s">
        <v>45</v>
      </c>
      <c r="J280" s="184">
        <v>90</v>
      </c>
      <c r="K280" s="75">
        <v>360</v>
      </c>
      <c r="L280" s="75">
        <v>1400</v>
      </c>
      <c r="M280" s="185">
        <v>16.396843085827893</v>
      </c>
      <c r="N280" s="87">
        <v>806.2109999999999</v>
      </c>
      <c r="O280" s="120">
        <v>25050.572990113506</v>
      </c>
      <c r="P280" s="121">
        <v>30658.772718741493</v>
      </c>
      <c r="Q280" s="120">
        <v>19675.994695960278</v>
      </c>
      <c r="R280" s="314">
        <v>44726.567686073788</v>
      </c>
      <c r="S280" s="315">
        <v>50334.767414701768</v>
      </c>
      <c r="U280" s="7" t="s">
        <v>2398</v>
      </c>
    </row>
    <row r="281" spans="1:21" ht="16.5" thickBot="1">
      <c r="A281" s="50" t="s">
        <v>35</v>
      </c>
      <c r="B281" s="51">
        <f t="shared" si="15"/>
        <v>90</v>
      </c>
      <c r="C281" s="51" t="s">
        <v>3</v>
      </c>
      <c r="D281" s="51">
        <f t="shared" si="16"/>
        <v>360</v>
      </c>
      <c r="E281" s="51" t="s">
        <v>3</v>
      </c>
      <c r="F281" s="99">
        <f t="shared" si="17"/>
        <v>1450</v>
      </c>
      <c r="G281" s="51" t="s">
        <v>3</v>
      </c>
      <c r="H281" s="48">
        <v>4</v>
      </c>
      <c r="I281" s="49" t="s">
        <v>45</v>
      </c>
      <c r="J281" s="184">
        <v>90</v>
      </c>
      <c r="K281" s="75">
        <v>360</v>
      </c>
      <c r="L281" s="75">
        <v>1450</v>
      </c>
      <c r="M281" s="185">
        <v>16.936026367430003</v>
      </c>
      <c r="N281" s="87">
        <v>844.60199999999998</v>
      </c>
      <c r="O281" s="120">
        <v>25739.265329402406</v>
      </c>
      <c r="P281" s="121">
        <v>31524.397899021456</v>
      </c>
      <c r="Q281" s="120">
        <v>20229.591837463206</v>
      </c>
      <c r="R281" s="314">
        <v>45968.857166865608</v>
      </c>
      <c r="S281" s="315">
        <v>51753.989736484662</v>
      </c>
      <c r="U281" s="7" t="s">
        <v>2399</v>
      </c>
    </row>
    <row r="282" spans="1:21" ht="16.5" thickBot="1">
      <c r="A282" s="50" t="s">
        <v>35</v>
      </c>
      <c r="B282" s="51">
        <f t="shared" si="15"/>
        <v>90</v>
      </c>
      <c r="C282" s="51" t="s">
        <v>3</v>
      </c>
      <c r="D282" s="51">
        <f t="shared" si="16"/>
        <v>360</v>
      </c>
      <c r="E282" s="51" t="s">
        <v>3</v>
      </c>
      <c r="F282" s="99">
        <f t="shared" si="17"/>
        <v>1500</v>
      </c>
      <c r="G282" s="51" t="s">
        <v>3</v>
      </c>
      <c r="H282" s="48">
        <v>4</v>
      </c>
      <c r="I282" s="49" t="s">
        <v>45</v>
      </c>
      <c r="J282" s="184">
        <v>90</v>
      </c>
      <c r="K282" s="75">
        <v>360</v>
      </c>
      <c r="L282" s="75">
        <v>1500</v>
      </c>
      <c r="M282" s="185">
        <v>17.668015597832103</v>
      </c>
      <c r="N282" s="87">
        <v>882.99299999999994</v>
      </c>
      <c r="O282" s="120">
        <v>27149.282619979618</v>
      </c>
      <c r="P282" s="121">
        <v>33073.709131676937</v>
      </c>
      <c r="Q282" s="120">
        <v>21013.770756749404</v>
      </c>
      <c r="R282" s="314">
        <v>48163.053376729018</v>
      </c>
      <c r="S282" s="315">
        <v>54087.479888426344</v>
      </c>
      <c r="U282" s="7" t="s">
        <v>2400</v>
      </c>
    </row>
    <row r="283" spans="1:21" ht="16.5" thickBot="1">
      <c r="A283" s="50" t="s">
        <v>35</v>
      </c>
      <c r="B283" s="51">
        <f t="shared" si="15"/>
        <v>90</v>
      </c>
      <c r="C283" s="51" t="s">
        <v>3</v>
      </c>
      <c r="D283" s="51">
        <f t="shared" si="16"/>
        <v>360</v>
      </c>
      <c r="E283" s="51" t="s">
        <v>3</v>
      </c>
      <c r="F283" s="99">
        <f t="shared" si="17"/>
        <v>1550</v>
      </c>
      <c r="G283" s="51" t="s">
        <v>3</v>
      </c>
      <c r="H283" s="48">
        <v>4</v>
      </c>
      <c r="I283" s="49" t="s">
        <v>45</v>
      </c>
      <c r="J283" s="184">
        <v>90</v>
      </c>
      <c r="K283" s="75">
        <v>360</v>
      </c>
      <c r="L283" s="75">
        <v>1550</v>
      </c>
      <c r="M283" s="185">
        <v>18.207198879434209</v>
      </c>
      <c r="N283" s="87">
        <v>921.38400000000001</v>
      </c>
      <c r="O283" s="120">
        <v>27837.975099661882</v>
      </c>
      <c r="P283" s="121">
        <v>33939.334311956896</v>
      </c>
      <c r="Q283" s="120">
        <v>21567.367898252327</v>
      </c>
      <c r="R283" s="314">
        <v>49405.342997914209</v>
      </c>
      <c r="S283" s="315">
        <v>55506.702210209223</v>
      </c>
      <c r="U283" s="7" t="s">
        <v>2401</v>
      </c>
    </row>
    <row r="284" spans="1:21" ht="16.5" thickBot="1">
      <c r="A284" s="47" t="s">
        <v>35</v>
      </c>
      <c r="B284" s="48">
        <f t="shared" si="15"/>
        <v>90</v>
      </c>
      <c r="C284" s="48" t="s">
        <v>3</v>
      </c>
      <c r="D284" s="48">
        <f t="shared" si="16"/>
        <v>360</v>
      </c>
      <c r="E284" s="48" t="s">
        <v>3</v>
      </c>
      <c r="F284" s="99">
        <f t="shared" si="17"/>
        <v>1600</v>
      </c>
      <c r="G284" s="48" t="s">
        <v>3</v>
      </c>
      <c r="H284" s="48">
        <v>4</v>
      </c>
      <c r="I284" s="49" t="s">
        <v>45</v>
      </c>
      <c r="J284" s="184">
        <v>90</v>
      </c>
      <c r="K284" s="75">
        <v>360</v>
      </c>
      <c r="L284" s="75">
        <v>1600</v>
      </c>
      <c r="M284" s="185">
        <v>18.746382161036312</v>
      </c>
      <c r="N284" s="87">
        <v>959.77499999999998</v>
      </c>
      <c r="O284" s="120">
        <v>28526.667438950783</v>
      </c>
      <c r="P284" s="121">
        <v>34804.959492236856</v>
      </c>
      <c r="Q284" s="120">
        <v>22120.965039755254</v>
      </c>
      <c r="R284" s="314">
        <v>50647.632478706037</v>
      </c>
      <c r="S284" s="315">
        <v>56925.92453199211</v>
      </c>
      <c r="U284" s="7" t="s">
        <v>2402</v>
      </c>
    </row>
    <row r="285" spans="1:21" ht="16.5" thickBot="1">
      <c r="A285" s="50" t="s">
        <v>35</v>
      </c>
      <c r="B285" s="51">
        <f t="shared" si="15"/>
        <v>90</v>
      </c>
      <c r="C285" s="51" t="s">
        <v>3</v>
      </c>
      <c r="D285" s="51">
        <f t="shared" si="16"/>
        <v>360</v>
      </c>
      <c r="E285" s="51" t="s">
        <v>3</v>
      </c>
      <c r="F285" s="99">
        <f t="shared" si="17"/>
        <v>1650</v>
      </c>
      <c r="G285" s="51" t="s">
        <v>3</v>
      </c>
      <c r="H285" s="48">
        <v>4</v>
      </c>
      <c r="I285" s="49" t="s">
        <v>45</v>
      </c>
      <c r="J285" s="184">
        <v>90</v>
      </c>
      <c r="K285" s="75">
        <v>360</v>
      </c>
      <c r="L285" s="75">
        <v>1650</v>
      </c>
      <c r="M285" s="185">
        <v>19.30260544263842</v>
      </c>
      <c r="N285" s="87">
        <v>998.16599999999994</v>
      </c>
      <c r="O285" s="120">
        <v>29215.359778239545</v>
      </c>
      <c r="P285" s="121">
        <v>35670.584812910187</v>
      </c>
      <c r="Q285" s="120">
        <v>22905.143959041456</v>
      </c>
      <c r="R285" s="314">
        <v>52120.503737281004</v>
      </c>
      <c r="S285" s="315">
        <v>58575.728771951646</v>
      </c>
      <c r="U285" s="7" t="s">
        <v>2403</v>
      </c>
    </row>
    <row r="286" spans="1:21" ht="16.5" thickBot="1">
      <c r="A286" s="50" t="s">
        <v>35</v>
      </c>
      <c r="B286" s="51">
        <f t="shared" si="15"/>
        <v>90</v>
      </c>
      <c r="C286" s="51" t="s">
        <v>3</v>
      </c>
      <c r="D286" s="51">
        <f t="shared" si="16"/>
        <v>360</v>
      </c>
      <c r="E286" s="51" t="s">
        <v>3</v>
      </c>
      <c r="F286" s="99">
        <f t="shared" si="17"/>
        <v>1700</v>
      </c>
      <c r="G286" s="51" t="s">
        <v>3</v>
      </c>
      <c r="H286" s="48">
        <v>4</v>
      </c>
      <c r="I286" s="49" t="s">
        <v>45</v>
      </c>
      <c r="J286" s="184">
        <v>90</v>
      </c>
      <c r="K286" s="75">
        <v>360</v>
      </c>
      <c r="L286" s="75">
        <v>1700</v>
      </c>
      <c r="M286" s="185">
        <v>19.84178872424053</v>
      </c>
      <c r="N286" s="87">
        <v>1036.557</v>
      </c>
      <c r="O286" s="120">
        <v>29904.052117528579</v>
      </c>
      <c r="P286" s="121">
        <v>36536.209993190147</v>
      </c>
      <c r="Q286" s="120">
        <v>23458.741100544379</v>
      </c>
      <c r="R286" s="314">
        <v>53362.793218072955</v>
      </c>
      <c r="S286" s="315">
        <v>59994.951093734526</v>
      </c>
      <c r="U286" s="7" t="s">
        <v>2404</v>
      </c>
    </row>
    <row r="287" spans="1:21" ht="16.5" thickBot="1">
      <c r="A287" s="50" t="s">
        <v>35</v>
      </c>
      <c r="B287" s="51">
        <f t="shared" si="15"/>
        <v>90</v>
      </c>
      <c r="C287" s="51" t="s">
        <v>3</v>
      </c>
      <c r="D287" s="51">
        <f t="shared" si="16"/>
        <v>360</v>
      </c>
      <c r="E287" s="51" t="s">
        <v>3</v>
      </c>
      <c r="F287" s="99">
        <f t="shared" si="17"/>
        <v>1750</v>
      </c>
      <c r="G287" s="51" t="s">
        <v>3</v>
      </c>
      <c r="H287" s="48">
        <v>4</v>
      </c>
      <c r="I287" s="49" t="s">
        <v>45</v>
      </c>
      <c r="J287" s="184">
        <v>90</v>
      </c>
      <c r="K287" s="75">
        <v>360</v>
      </c>
      <c r="L287" s="75">
        <v>1750</v>
      </c>
      <c r="M287" s="185">
        <v>20.398012005842627</v>
      </c>
      <c r="N287" s="87">
        <v>1074.9479999999999</v>
      </c>
      <c r="O287" s="120">
        <v>30592.744597210843</v>
      </c>
      <c r="P287" s="121">
        <v>37401.835173470106</v>
      </c>
      <c r="Q287" s="120">
        <v>24242.920019830581</v>
      </c>
      <c r="R287" s="314">
        <v>54835.664617041424</v>
      </c>
      <c r="S287" s="315">
        <v>61644.755193300691</v>
      </c>
      <c r="U287" s="7" t="s">
        <v>2405</v>
      </c>
    </row>
    <row r="288" spans="1:21" ht="16.5" thickBot="1">
      <c r="A288" s="50" t="s">
        <v>35</v>
      </c>
      <c r="B288" s="51">
        <f t="shared" si="15"/>
        <v>90</v>
      </c>
      <c r="C288" s="51" t="s">
        <v>3</v>
      </c>
      <c r="D288" s="51">
        <f t="shared" si="16"/>
        <v>360</v>
      </c>
      <c r="E288" s="51" t="s">
        <v>3</v>
      </c>
      <c r="F288" s="99">
        <f t="shared" si="17"/>
        <v>1800</v>
      </c>
      <c r="G288" s="51" t="s">
        <v>3</v>
      </c>
      <c r="H288" s="48">
        <v>4</v>
      </c>
      <c r="I288" s="49" t="s">
        <v>45</v>
      </c>
      <c r="J288" s="184">
        <v>90</v>
      </c>
      <c r="K288" s="75">
        <v>360</v>
      </c>
      <c r="L288" s="75">
        <v>1800</v>
      </c>
      <c r="M288" s="185">
        <v>20.937195287444734</v>
      </c>
      <c r="N288" s="87">
        <v>1113.3389999999999</v>
      </c>
      <c r="O288" s="120">
        <v>31281.436936499744</v>
      </c>
      <c r="P288" s="121">
        <v>38267.460494143437</v>
      </c>
      <c r="Q288" s="120">
        <v>24796.517161333504</v>
      </c>
      <c r="R288" s="314">
        <v>56077.954097833252</v>
      </c>
      <c r="S288" s="315">
        <v>63063.977655476941</v>
      </c>
      <c r="U288" s="7" t="s">
        <v>2406</v>
      </c>
    </row>
    <row r="289" spans="1:21" ht="16.5" thickBot="1">
      <c r="A289" s="50" t="s">
        <v>35</v>
      </c>
      <c r="B289" s="51">
        <f t="shared" si="15"/>
        <v>90</v>
      </c>
      <c r="C289" s="51" t="s">
        <v>3</v>
      </c>
      <c r="D289" s="51">
        <f t="shared" si="16"/>
        <v>360</v>
      </c>
      <c r="E289" s="51" t="s">
        <v>3</v>
      </c>
      <c r="F289" s="99">
        <f t="shared" si="17"/>
        <v>1850</v>
      </c>
      <c r="G289" s="51" t="s">
        <v>3</v>
      </c>
      <c r="H289" s="48">
        <v>4</v>
      </c>
      <c r="I289" s="49" t="s">
        <v>45</v>
      </c>
      <c r="J289" s="184">
        <v>90</v>
      </c>
      <c r="K289" s="75">
        <v>360</v>
      </c>
      <c r="L289" s="75">
        <v>1850</v>
      </c>
      <c r="M289" s="185">
        <v>21.493418569046845</v>
      </c>
      <c r="N289" s="87">
        <v>1151.73</v>
      </c>
      <c r="O289" s="120">
        <v>31970.129275788644</v>
      </c>
      <c r="P289" s="121">
        <v>39133.085674423397</v>
      </c>
      <c r="Q289" s="120">
        <v>25580.69622101307</v>
      </c>
      <c r="R289" s="314">
        <v>57550.825496801714</v>
      </c>
      <c r="S289" s="315">
        <v>64713.781895436463</v>
      </c>
      <c r="U289" s="7" t="s">
        <v>2407</v>
      </c>
    </row>
    <row r="290" spans="1:21" ht="16.5" thickBot="1">
      <c r="A290" s="50" t="s">
        <v>35</v>
      </c>
      <c r="B290" s="51">
        <f t="shared" si="15"/>
        <v>90</v>
      </c>
      <c r="C290" s="51" t="s">
        <v>3</v>
      </c>
      <c r="D290" s="51">
        <f t="shared" si="16"/>
        <v>360</v>
      </c>
      <c r="E290" s="51" t="s">
        <v>3</v>
      </c>
      <c r="F290" s="99">
        <f t="shared" si="17"/>
        <v>1900</v>
      </c>
      <c r="G290" s="51" t="s">
        <v>3</v>
      </c>
      <c r="H290" s="48">
        <v>4</v>
      </c>
      <c r="I290" s="49" t="s">
        <v>45</v>
      </c>
      <c r="J290" s="184">
        <v>90</v>
      </c>
      <c r="K290" s="75">
        <v>360</v>
      </c>
      <c r="L290" s="75">
        <v>1900</v>
      </c>
      <c r="M290" s="185">
        <v>22.032601850648948</v>
      </c>
      <c r="N290" s="87">
        <v>1190.1210000000001</v>
      </c>
      <c r="O290" s="120">
        <v>32658.821755470908</v>
      </c>
      <c r="P290" s="121">
        <v>39998.710854703357</v>
      </c>
      <c r="Q290" s="120">
        <v>26134.293362515993</v>
      </c>
      <c r="R290" s="314">
        <v>58793.115117986905</v>
      </c>
      <c r="S290" s="315">
        <v>66133.00421721935</v>
      </c>
      <c r="U290" s="7" t="s">
        <v>2408</v>
      </c>
    </row>
    <row r="291" spans="1:21" ht="16.5" thickBot="1">
      <c r="A291" s="50" t="s">
        <v>35</v>
      </c>
      <c r="B291" s="51">
        <f t="shared" si="15"/>
        <v>90</v>
      </c>
      <c r="C291" s="51" t="s">
        <v>3</v>
      </c>
      <c r="D291" s="51">
        <f t="shared" si="16"/>
        <v>360</v>
      </c>
      <c r="E291" s="51" t="s">
        <v>3</v>
      </c>
      <c r="F291" s="99">
        <f t="shared" si="17"/>
        <v>1950</v>
      </c>
      <c r="G291" s="51" t="s">
        <v>3</v>
      </c>
      <c r="H291" s="48">
        <v>4</v>
      </c>
      <c r="I291" s="49" t="s">
        <v>45</v>
      </c>
      <c r="J291" s="184">
        <v>90</v>
      </c>
      <c r="K291" s="75">
        <v>360</v>
      </c>
      <c r="L291" s="75">
        <v>1950</v>
      </c>
      <c r="M291" s="185">
        <v>22.650285132251053</v>
      </c>
      <c r="N291" s="87">
        <v>1228.5119999999999</v>
      </c>
      <c r="O291" s="120">
        <v>33424.668530661947</v>
      </c>
      <c r="P291" s="121">
        <v>40941.961490616646</v>
      </c>
      <c r="Q291" s="120">
        <v>26687.890504018917</v>
      </c>
      <c r="R291" s="314">
        <v>60112.55903468086</v>
      </c>
      <c r="S291" s="315">
        <v>67629.851994635566</v>
      </c>
      <c r="U291" s="7" t="s">
        <v>2409</v>
      </c>
    </row>
    <row r="292" spans="1:21" ht="16.5" thickBot="1">
      <c r="A292" s="50" t="s">
        <v>35</v>
      </c>
      <c r="B292" s="51">
        <f t="shared" si="15"/>
        <v>90</v>
      </c>
      <c r="C292" s="51" t="s">
        <v>3</v>
      </c>
      <c r="D292" s="51">
        <f t="shared" si="16"/>
        <v>360</v>
      </c>
      <c r="E292" s="51" t="s">
        <v>3</v>
      </c>
      <c r="F292" s="99">
        <f t="shared" si="17"/>
        <v>2000</v>
      </c>
      <c r="G292" s="51" t="s">
        <v>3</v>
      </c>
      <c r="H292" s="48">
        <v>4</v>
      </c>
      <c r="I292" s="49" t="s">
        <v>45</v>
      </c>
      <c r="J292" s="184">
        <v>90</v>
      </c>
      <c r="K292" s="75">
        <v>360</v>
      </c>
      <c r="L292" s="75">
        <v>2000</v>
      </c>
      <c r="M292" s="185">
        <v>23.298070813853162</v>
      </c>
      <c r="N292" s="87">
        <v>1266.903</v>
      </c>
      <c r="O292" s="120">
        <v>34343.903899166071</v>
      </c>
      <c r="P292" s="121">
        <v>42120.267538809268</v>
      </c>
      <c r="Q292" s="120">
        <v>27472.069423305118</v>
      </c>
      <c r="R292" s="314">
        <v>61815.973322471189</v>
      </c>
      <c r="S292" s="315">
        <v>69592.336962114379</v>
      </c>
      <c r="U292" s="7" t="s">
        <v>2410</v>
      </c>
    </row>
    <row r="293" spans="1:21" ht="16.5" thickBot="1">
      <c r="A293" s="50" t="s">
        <v>35</v>
      </c>
      <c r="B293" s="51">
        <f t="shared" si="15"/>
        <v>90</v>
      </c>
      <c r="C293" s="51" t="s">
        <v>3</v>
      </c>
      <c r="D293" s="51">
        <f t="shared" si="16"/>
        <v>360</v>
      </c>
      <c r="E293" s="51" t="s">
        <v>3</v>
      </c>
      <c r="F293" s="99">
        <f t="shared" si="17"/>
        <v>2050</v>
      </c>
      <c r="G293" s="51" t="s">
        <v>3</v>
      </c>
      <c r="H293" s="48">
        <v>4</v>
      </c>
      <c r="I293" s="49" t="s">
        <v>45</v>
      </c>
      <c r="J293" s="184">
        <v>90</v>
      </c>
      <c r="K293" s="75">
        <v>360</v>
      </c>
      <c r="L293" s="75">
        <v>2050</v>
      </c>
      <c r="M293" s="185">
        <v>23.837254095455265</v>
      </c>
      <c r="N293" s="87">
        <v>1305.2939999999999</v>
      </c>
      <c r="O293" s="120">
        <v>35032.596238454971</v>
      </c>
      <c r="P293" s="121">
        <v>42985.892719089235</v>
      </c>
      <c r="Q293" s="120">
        <v>28025.666564808042</v>
      </c>
      <c r="R293" s="314">
        <v>63058.262803263016</v>
      </c>
      <c r="S293" s="315">
        <v>71011.559283897281</v>
      </c>
      <c r="U293" s="7" t="s">
        <v>2411</v>
      </c>
    </row>
    <row r="294" spans="1:21" ht="16.5" thickBot="1">
      <c r="A294" s="47" t="s">
        <v>35</v>
      </c>
      <c r="B294" s="48">
        <f t="shared" si="15"/>
        <v>90</v>
      </c>
      <c r="C294" s="48" t="s">
        <v>3</v>
      </c>
      <c r="D294" s="48">
        <f t="shared" si="16"/>
        <v>360</v>
      </c>
      <c r="E294" s="48" t="s">
        <v>3</v>
      </c>
      <c r="F294" s="99">
        <f t="shared" si="17"/>
        <v>2100</v>
      </c>
      <c r="G294" s="48" t="s">
        <v>3</v>
      </c>
      <c r="H294" s="48">
        <v>4</v>
      </c>
      <c r="I294" s="49" t="s">
        <v>45</v>
      </c>
      <c r="J294" s="184">
        <v>90</v>
      </c>
      <c r="K294" s="75">
        <v>360</v>
      </c>
      <c r="L294" s="75">
        <v>2100</v>
      </c>
      <c r="M294" s="185">
        <v>24.393477377057369</v>
      </c>
      <c r="N294" s="87">
        <v>1343.6849999999999</v>
      </c>
      <c r="O294" s="120">
        <v>35721.288577743871</v>
      </c>
      <c r="P294" s="121">
        <v>43851.517899369195</v>
      </c>
      <c r="Q294" s="120">
        <v>28809.845484094247</v>
      </c>
      <c r="R294" s="314">
        <v>64531.134061838122</v>
      </c>
      <c r="S294" s="315">
        <v>72661.363383463438</v>
      </c>
      <c r="U294" s="7" t="s">
        <v>2412</v>
      </c>
    </row>
    <row r="295" spans="1:21" ht="16.5" thickBot="1">
      <c r="A295" s="50" t="s">
        <v>35</v>
      </c>
      <c r="B295" s="51">
        <f t="shared" si="15"/>
        <v>90</v>
      </c>
      <c r="C295" s="51" t="s">
        <v>3</v>
      </c>
      <c r="D295" s="51">
        <f t="shared" si="16"/>
        <v>360</v>
      </c>
      <c r="E295" s="51" t="s">
        <v>3</v>
      </c>
      <c r="F295" s="99">
        <f t="shared" si="17"/>
        <v>2150</v>
      </c>
      <c r="G295" s="51" t="s">
        <v>3</v>
      </c>
      <c r="H295" s="48">
        <v>4</v>
      </c>
      <c r="I295" s="49" t="s">
        <v>45</v>
      </c>
      <c r="J295" s="184">
        <v>90</v>
      </c>
      <c r="K295" s="75">
        <v>360</v>
      </c>
      <c r="L295" s="75">
        <v>2150</v>
      </c>
      <c r="M295" s="185">
        <v>24.932660658659476</v>
      </c>
      <c r="N295" s="87">
        <v>1382.076</v>
      </c>
      <c r="O295" s="120">
        <v>36409.980917032772</v>
      </c>
      <c r="P295" s="121">
        <v>44717.143220042519</v>
      </c>
      <c r="Q295" s="120">
        <v>29363.442625597167</v>
      </c>
      <c r="R295" s="314">
        <v>65773.423542629942</v>
      </c>
      <c r="S295" s="315">
        <v>74080.585845639682</v>
      </c>
      <c r="U295" s="7" t="s">
        <v>2413</v>
      </c>
    </row>
    <row r="296" spans="1:21" ht="16.5" thickBot="1">
      <c r="A296" s="50" t="s">
        <v>35</v>
      </c>
      <c r="B296" s="51">
        <f t="shared" si="15"/>
        <v>90</v>
      </c>
      <c r="C296" s="51" t="s">
        <v>3</v>
      </c>
      <c r="D296" s="51">
        <f t="shared" si="16"/>
        <v>360</v>
      </c>
      <c r="E296" s="51" t="s">
        <v>3</v>
      </c>
      <c r="F296" s="99">
        <f t="shared" si="17"/>
        <v>2200</v>
      </c>
      <c r="G296" s="51" t="s">
        <v>3</v>
      </c>
      <c r="H296" s="48">
        <v>4</v>
      </c>
      <c r="I296" s="49" t="s">
        <v>45</v>
      </c>
      <c r="J296" s="184">
        <v>90</v>
      </c>
      <c r="K296" s="75">
        <v>360</v>
      </c>
      <c r="L296" s="75">
        <v>2200</v>
      </c>
      <c r="M296" s="185">
        <v>25.48888394026158</v>
      </c>
      <c r="N296" s="87">
        <v>1420.4670000000001</v>
      </c>
      <c r="O296" s="120">
        <v>37098.673396715029</v>
      </c>
      <c r="P296" s="121">
        <v>45582.768400322486</v>
      </c>
      <c r="Q296" s="120">
        <v>30147.621544883372</v>
      </c>
      <c r="R296" s="314">
        <v>67246.294941598404</v>
      </c>
      <c r="S296" s="315">
        <v>75730.389945205854</v>
      </c>
      <c r="U296" s="7" t="s">
        <v>2414</v>
      </c>
    </row>
    <row r="297" spans="1:21" ht="16.5" thickBot="1">
      <c r="A297" s="50" t="s">
        <v>35</v>
      </c>
      <c r="B297" s="51">
        <f t="shared" si="15"/>
        <v>90</v>
      </c>
      <c r="C297" s="51" t="s">
        <v>3</v>
      </c>
      <c r="D297" s="51">
        <f t="shared" si="16"/>
        <v>360</v>
      </c>
      <c r="E297" s="51" t="s">
        <v>3</v>
      </c>
      <c r="F297" s="99">
        <f t="shared" si="17"/>
        <v>2250</v>
      </c>
      <c r="G297" s="51" t="s">
        <v>3</v>
      </c>
      <c r="H297" s="48">
        <v>4</v>
      </c>
      <c r="I297" s="49" t="s">
        <v>45</v>
      </c>
      <c r="J297" s="184">
        <v>90</v>
      </c>
      <c r="K297" s="75">
        <v>360</v>
      </c>
      <c r="L297" s="75">
        <v>2250</v>
      </c>
      <c r="M297" s="185">
        <v>26.028067221863687</v>
      </c>
      <c r="N297" s="87">
        <v>1458.8579999999999</v>
      </c>
      <c r="O297" s="120">
        <v>37787.365736003936</v>
      </c>
      <c r="P297" s="121">
        <v>46448.393580602446</v>
      </c>
      <c r="Q297" s="120">
        <v>30701.218686386295</v>
      </c>
      <c r="R297" s="314">
        <v>68488.584422390239</v>
      </c>
      <c r="S297" s="315">
        <v>77149.612266988741</v>
      </c>
      <c r="U297" s="7" t="s">
        <v>2415</v>
      </c>
    </row>
    <row r="298" spans="1:21" ht="16.5" thickBot="1">
      <c r="A298" s="50" t="s">
        <v>35</v>
      </c>
      <c r="B298" s="51">
        <f t="shared" si="15"/>
        <v>90</v>
      </c>
      <c r="C298" s="51" t="s">
        <v>3</v>
      </c>
      <c r="D298" s="51">
        <f t="shared" si="16"/>
        <v>360</v>
      </c>
      <c r="E298" s="51" t="s">
        <v>3</v>
      </c>
      <c r="F298" s="99">
        <f t="shared" si="17"/>
        <v>2300</v>
      </c>
      <c r="G298" s="51" t="s">
        <v>3</v>
      </c>
      <c r="H298" s="48">
        <v>4</v>
      </c>
      <c r="I298" s="49" t="s">
        <v>45</v>
      </c>
      <c r="J298" s="184">
        <v>90</v>
      </c>
      <c r="K298" s="75">
        <v>360</v>
      </c>
      <c r="L298" s="75">
        <v>2300</v>
      </c>
      <c r="M298" s="185">
        <v>26.567250503465793</v>
      </c>
      <c r="N298" s="87">
        <v>1497.249</v>
      </c>
      <c r="O298" s="120">
        <v>38476.058075292836</v>
      </c>
      <c r="P298" s="121">
        <v>47314.018760882413</v>
      </c>
      <c r="Q298" s="120">
        <v>31254.815827889219</v>
      </c>
      <c r="R298" s="314">
        <v>69730.873903182059</v>
      </c>
      <c r="S298" s="315">
        <v>78568.834588771628</v>
      </c>
      <c r="U298" s="7" t="s">
        <v>2416</v>
      </c>
    </row>
    <row r="299" spans="1:21" ht="16.5" thickBot="1">
      <c r="A299" s="50" t="s">
        <v>35</v>
      </c>
      <c r="B299" s="51">
        <f t="shared" si="15"/>
        <v>90</v>
      </c>
      <c r="C299" s="51" t="s">
        <v>3</v>
      </c>
      <c r="D299" s="51">
        <f t="shared" si="16"/>
        <v>360</v>
      </c>
      <c r="E299" s="51" t="s">
        <v>3</v>
      </c>
      <c r="F299" s="99">
        <f t="shared" si="17"/>
        <v>2350</v>
      </c>
      <c r="G299" s="51" t="s">
        <v>3</v>
      </c>
      <c r="H299" s="48">
        <v>4</v>
      </c>
      <c r="I299" s="49" t="s">
        <v>45</v>
      </c>
      <c r="J299" s="184">
        <v>90</v>
      </c>
      <c r="K299" s="75">
        <v>360</v>
      </c>
      <c r="L299" s="75">
        <v>2350</v>
      </c>
      <c r="M299" s="185">
        <v>27.123473785067894</v>
      </c>
      <c r="N299" s="87">
        <v>1535.64</v>
      </c>
      <c r="O299" s="120">
        <v>39164.750554975093</v>
      </c>
      <c r="P299" s="121">
        <v>48179.644081555736</v>
      </c>
      <c r="Q299" s="120">
        <v>32038.99474717542</v>
      </c>
      <c r="R299" s="314">
        <v>71203.745302150521</v>
      </c>
      <c r="S299" s="315">
        <v>80218.638828731157</v>
      </c>
      <c r="U299" s="7" t="s">
        <v>2417</v>
      </c>
    </row>
    <row r="300" spans="1:21" ht="16.5" thickBot="1">
      <c r="A300" s="50" t="s">
        <v>35</v>
      </c>
      <c r="B300" s="51">
        <f t="shared" si="15"/>
        <v>90</v>
      </c>
      <c r="C300" s="51" t="s">
        <v>3</v>
      </c>
      <c r="D300" s="51">
        <f t="shared" si="16"/>
        <v>360</v>
      </c>
      <c r="E300" s="51" t="s">
        <v>3</v>
      </c>
      <c r="F300" s="99">
        <f t="shared" si="17"/>
        <v>2400</v>
      </c>
      <c r="G300" s="51" t="s">
        <v>3</v>
      </c>
      <c r="H300" s="48">
        <v>4</v>
      </c>
      <c r="I300" s="49" t="s">
        <v>45</v>
      </c>
      <c r="J300" s="184">
        <v>90</v>
      </c>
      <c r="K300" s="75">
        <v>360</v>
      </c>
      <c r="L300" s="75">
        <v>2400</v>
      </c>
      <c r="M300" s="185">
        <v>27.66265706667</v>
      </c>
      <c r="N300" s="87">
        <v>1574.0310000000002</v>
      </c>
      <c r="O300" s="120">
        <v>39853.442894264001</v>
      </c>
      <c r="P300" s="121">
        <v>49045.269261835696</v>
      </c>
      <c r="Q300" s="120">
        <v>32592.591888678344</v>
      </c>
      <c r="R300" s="314">
        <v>72446.034782942341</v>
      </c>
      <c r="S300" s="315">
        <v>81637.861150514043</v>
      </c>
      <c r="U300" s="7" t="s">
        <v>2418</v>
      </c>
    </row>
    <row r="301" spans="1:21" ht="16.5" thickBot="1">
      <c r="A301" s="50" t="s">
        <v>35</v>
      </c>
      <c r="B301" s="51">
        <f t="shared" si="15"/>
        <v>90</v>
      </c>
      <c r="C301" s="51" t="s">
        <v>3</v>
      </c>
      <c r="D301" s="51">
        <f t="shared" si="16"/>
        <v>360</v>
      </c>
      <c r="E301" s="51" t="s">
        <v>3</v>
      </c>
      <c r="F301" s="99">
        <f t="shared" si="17"/>
        <v>2450</v>
      </c>
      <c r="G301" s="51" t="s">
        <v>3</v>
      </c>
      <c r="H301" s="48">
        <v>4</v>
      </c>
      <c r="I301" s="49" t="s">
        <v>45</v>
      </c>
      <c r="J301" s="184">
        <v>90</v>
      </c>
      <c r="K301" s="75">
        <v>360</v>
      </c>
      <c r="L301" s="75">
        <v>2450</v>
      </c>
      <c r="M301" s="185">
        <v>28.394646297072107</v>
      </c>
      <c r="N301" s="87">
        <v>1612.4219999999998</v>
      </c>
      <c r="O301" s="120">
        <v>41263.460184841206</v>
      </c>
      <c r="P301" s="121">
        <v>50594.58049449118</v>
      </c>
      <c r="Q301" s="120">
        <v>33376.770807964545</v>
      </c>
      <c r="R301" s="314">
        <v>74640.230992805751</v>
      </c>
      <c r="S301" s="315">
        <v>83971.351302455732</v>
      </c>
      <c r="U301" s="7" t="s">
        <v>2419</v>
      </c>
    </row>
    <row r="302" spans="1:21" ht="16.5" thickBot="1">
      <c r="A302" s="50" t="s">
        <v>35</v>
      </c>
      <c r="B302" s="51">
        <f t="shared" si="15"/>
        <v>90</v>
      </c>
      <c r="C302" s="51" t="s">
        <v>3</v>
      </c>
      <c r="D302" s="51">
        <f t="shared" si="16"/>
        <v>360</v>
      </c>
      <c r="E302" s="51" t="s">
        <v>3</v>
      </c>
      <c r="F302" s="99">
        <f t="shared" si="17"/>
        <v>2500</v>
      </c>
      <c r="G302" s="51" t="s">
        <v>3</v>
      </c>
      <c r="H302" s="48">
        <v>4</v>
      </c>
      <c r="I302" s="49" t="s">
        <v>45</v>
      </c>
      <c r="J302" s="184">
        <v>90</v>
      </c>
      <c r="K302" s="75">
        <v>360</v>
      </c>
      <c r="L302" s="75">
        <v>2500</v>
      </c>
      <c r="M302" s="185">
        <v>28.933829578674214</v>
      </c>
      <c r="N302" s="87">
        <v>1650.8129999999999</v>
      </c>
      <c r="O302" s="120">
        <v>41952.152524130106</v>
      </c>
      <c r="P302" s="121">
        <v>51460.205674771132</v>
      </c>
      <c r="Q302" s="120">
        <v>33930.367949467472</v>
      </c>
      <c r="R302" s="314">
        <v>75882.520473597571</v>
      </c>
      <c r="S302" s="315">
        <v>85390.573624238605</v>
      </c>
      <c r="U302" s="7" t="s">
        <v>2420</v>
      </c>
    </row>
    <row r="303" spans="1:21" ht="16.5" thickBot="1">
      <c r="A303" s="50" t="s">
        <v>35</v>
      </c>
      <c r="B303" s="51">
        <f t="shared" si="15"/>
        <v>90</v>
      </c>
      <c r="C303" s="51" t="s">
        <v>3</v>
      </c>
      <c r="D303" s="51">
        <f t="shared" si="16"/>
        <v>360</v>
      </c>
      <c r="E303" s="51" t="s">
        <v>3</v>
      </c>
      <c r="F303" s="99">
        <f t="shared" si="17"/>
        <v>2550</v>
      </c>
      <c r="G303" s="51" t="s">
        <v>3</v>
      </c>
      <c r="H303" s="48">
        <v>4</v>
      </c>
      <c r="I303" s="49" t="s">
        <v>45</v>
      </c>
      <c r="J303" s="184">
        <v>90</v>
      </c>
      <c r="K303" s="75">
        <v>360</v>
      </c>
      <c r="L303" s="75">
        <v>2550</v>
      </c>
      <c r="M303" s="185">
        <v>29.490052860276315</v>
      </c>
      <c r="N303" s="87">
        <v>1689.204</v>
      </c>
      <c r="O303" s="120">
        <v>42640.844863419006</v>
      </c>
      <c r="P303" s="121">
        <v>52325.830855051099</v>
      </c>
      <c r="Q303" s="120">
        <v>34714.547009147034</v>
      </c>
      <c r="R303" s="314">
        <v>77355.391872566048</v>
      </c>
      <c r="S303" s="315">
        <v>87040.377864198133</v>
      </c>
      <c r="U303" s="7" t="s">
        <v>2421</v>
      </c>
    </row>
    <row r="304" spans="1:21" ht="16.5" thickBot="1">
      <c r="A304" s="47" t="s">
        <v>35</v>
      </c>
      <c r="B304" s="48">
        <f t="shared" si="15"/>
        <v>90</v>
      </c>
      <c r="C304" s="48" t="s">
        <v>3</v>
      </c>
      <c r="D304" s="48">
        <f t="shared" si="16"/>
        <v>360</v>
      </c>
      <c r="E304" s="48" t="s">
        <v>3</v>
      </c>
      <c r="F304" s="99">
        <f t="shared" si="17"/>
        <v>2600</v>
      </c>
      <c r="G304" s="48" t="s">
        <v>3</v>
      </c>
      <c r="H304" s="48">
        <v>4</v>
      </c>
      <c r="I304" s="49" t="s">
        <v>45</v>
      </c>
      <c r="J304" s="184">
        <v>90</v>
      </c>
      <c r="K304" s="75">
        <v>360</v>
      </c>
      <c r="L304" s="75">
        <v>2600</v>
      </c>
      <c r="M304" s="185">
        <v>30.029236141878421</v>
      </c>
      <c r="N304" s="87">
        <v>1727.5949999999998</v>
      </c>
      <c r="O304" s="120">
        <v>43329.53734310127</v>
      </c>
      <c r="P304" s="121">
        <v>53191.45617572443</v>
      </c>
      <c r="Q304" s="120">
        <v>35268.144150649961</v>
      </c>
      <c r="R304" s="314">
        <v>78597.681493751239</v>
      </c>
      <c r="S304" s="315">
        <v>88459.600326374391</v>
      </c>
      <c r="U304" s="7" t="s">
        <v>2422</v>
      </c>
    </row>
    <row r="305" spans="1:21" ht="16.5" thickBot="1">
      <c r="A305" s="50" t="s">
        <v>35</v>
      </c>
      <c r="B305" s="51">
        <f t="shared" si="15"/>
        <v>90</v>
      </c>
      <c r="C305" s="51" t="s">
        <v>3</v>
      </c>
      <c r="D305" s="51">
        <f t="shared" si="16"/>
        <v>360</v>
      </c>
      <c r="E305" s="51" t="s">
        <v>3</v>
      </c>
      <c r="F305" s="99">
        <f t="shared" si="17"/>
        <v>2650</v>
      </c>
      <c r="G305" s="51" t="s">
        <v>3</v>
      </c>
      <c r="H305" s="48">
        <v>4</v>
      </c>
      <c r="I305" s="49" t="s">
        <v>45</v>
      </c>
      <c r="J305" s="184">
        <v>90</v>
      </c>
      <c r="K305" s="75">
        <v>360</v>
      </c>
      <c r="L305" s="75">
        <v>2650</v>
      </c>
      <c r="M305" s="185">
        <v>30.585459423480529</v>
      </c>
      <c r="N305" s="87">
        <v>1765.9859999999999</v>
      </c>
      <c r="O305" s="120">
        <v>44018.229682390171</v>
      </c>
      <c r="P305" s="121">
        <v>54057.081356004383</v>
      </c>
      <c r="Q305" s="120">
        <v>36052.323069936159</v>
      </c>
      <c r="R305" s="314">
        <v>80070.55275232633</v>
      </c>
      <c r="S305" s="315">
        <v>90109.404425940535</v>
      </c>
      <c r="U305" s="7" t="s">
        <v>2423</v>
      </c>
    </row>
    <row r="306" spans="1:21" ht="16.5" thickBot="1">
      <c r="A306" s="50" t="s">
        <v>35</v>
      </c>
      <c r="B306" s="51">
        <f t="shared" si="15"/>
        <v>90</v>
      </c>
      <c r="C306" s="51" t="s">
        <v>3</v>
      </c>
      <c r="D306" s="51">
        <f t="shared" si="16"/>
        <v>360</v>
      </c>
      <c r="E306" s="51" t="s">
        <v>3</v>
      </c>
      <c r="F306" s="99">
        <f t="shared" si="17"/>
        <v>2700</v>
      </c>
      <c r="G306" s="51" t="s">
        <v>3</v>
      </c>
      <c r="H306" s="48">
        <v>4</v>
      </c>
      <c r="I306" s="49" t="s">
        <v>45</v>
      </c>
      <c r="J306" s="184">
        <v>90</v>
      </c>
      <c r="K306" s="75">
        <v>360</v>
      </c>
      <c r="L306" s="75">
        <v>2700</v>
      </c>
      <c r="M306" s="185">
        <v>31.203142705082641</v>
      </c>
      <c r="N306" s="87">
        <v>1804.377</v>
      </c>
      <c r="O306" s="120">
        <v>44784.076457581214</v>
      </c>
      <c r="P306" s="121">
        <v>55000.331991917672</v>
      </c>
      <c r="Q306" s="120">
        <v>36605.920211439086</v>
      </c>
      <c r="R306" s="314">
        <v>81389.9966690203</v>
      </c>
      <c r="S306" s="315">
        <v>91606.252203356766</v>
      </c>
      <c r="U306" s="7" t="s">
        <v>2424</v>
      </c>
    </row>
    <row r="307" spans="1:21" ht="16.5" thickBot="1">
      <c r="A307" s="50" t="s">
        <v>35</v>
      </c>
      <c r="B307" s="51">
        <f t="shared" si="15"/>
        <v>90</v>
      </c>
      <c r="C307" s="51" t="s">
        <v>3</v>
      </c>
      <c r="D307" s="51">
        <f t="shared" si="16"/>
        <v>360</v>
      </c>
      <c r="E307" s="51" t="s">
        <v>3</v>
      </c>
      <c r="F307" s="99">
        <f t="shared" si="17"/>
        <v>2750</v>
      </c>
      <c r="G307" s="51" t="s">
        <v>3</v>
      </c>
      <c r="H307" s="48">
        <v>4</v>
      </c>
      <c r="I307" s="49" t="s">
        <v>45</v>
      </c>
      <c r="J307" s="184">
        <v>90</v>
      </c>
      <c r="K307" s="75">
        <v>360</v>
      </c>
      <c r="L307" s="75">
        <v>2750</v>
      </c>
      <c r="M307" s="185">
        <v>31.742325986684737</v>
      </c>
      <c r="N307" s="87">
        <v>1842.768</v>
      </c>
      <c r="O307" s="120">
        <v>45472.768796870107</v>
      </c>
      <c r="P307" s="121">
        <v>55865.957172197639</v>
      </c>
      <c r="Q307" s="120">
        <v>37159.517352942006</v>
      </c>
      <c r="R307" s="314">
        <v>82632.286149812106</v>
      </c>
      <c r="S307" s="315">
        <v>93025.474525139638</v>
      </c>
      <c r="U307" s="7" t="s">
        <v>2425</v>
      </c>
    </row>
    <row r="308" spans="1:21" ht="16.5" thickBot="1">
      <c r="A308" s="50" t="s">
        <v>35</v>
      </c>
      <c r="B308" s="51">
        <f t="shared" si="15"/>
        <v>90</v>
      </c>
      <c r="C308" s="51" t="s">
        <v>3</v>
      </c>
      <c r="D308" s="51">
        <f t="shared" si="16"/>
        <v>360</v>
      </c>
      <c r="E308" s="51" t="s">
        <v>3</v>
      </c>
      <c r="F308" s="99">
        <f t="shared" si="17"/>
        <v>2800</v>
      </c>
      <c r="G308" s="51" t="s">
        <v>3</v>
      </c>
      <c r="H308" s="48">
        <v>4</v>
      </c>
      <c r="I308" s="49" t="s">
        <v>45</v>
      </c>
      <c r="J308" s="184">
        <v>90</v>
      </c>
      <c r="K308" s="75">
        <v>360</v>
      </c>
      <c r="L308" s="75">
        <v>2800</v>
      </c>
      <c r="M308" s="185">
        <v>32.298549268286848</v>
      </c>
      <c r="N308" s="87">
        <v>1881.1589999999999</v>
      </c>
      <c r="O308" s="120">
        <v>46161.461136159014</v>
      </c>
      <c r="P308" s="121">
        <v>56731.582492870963</v>
      </c>
      <c r="Q308" s="120">
        <v>37943.696272228204</v>
      </c>
      <c r="R308" s="314">
        <v>84105.157408387226</v>
      </c>
      <c r="S308" s="315">
        <v>94675.278765099167</v>
      </c>
      <c r="U308" s="7" t="s">
        <v>2426</v>
      </c>
    </row>
    <row r="309" spans="1:21" ht="16.5" thickBot="1">
      <c r="A309" s="50" t="s">
        <v>35</v>
      </c>
      <c r="B309" s="51">
        <f t="shared" si="15"/>
        <v>90</v>
      </c>
      <c r="C309" s="51" t="s">
        <v>3</v>
      </c>
      <c r="D309" s="51">
        <f t="shared" si="16"/>
        <v>360</v>
      </c>
      <c r="E309" s="51" t="s">
        <v>3</v>
      </c>
      <c r="F309" s="99">
        <f t="shared" si="17"/>
        <v>2850</v>
      </c>
      <c r="G309" s="51" t="s">
        <v>3</v>
      </c>
      <c r="H309" s="48">
        <v>4</v>
      </c>
      <c r="I309" s="49" t="s">
        <v>45</v>
      </c>
      <c r="J309" s="184">
        <v>90</v>
      </c>
      <c r="K309" s="75">
        <v>360</v>
      </c>
      <c r="L309" s="75">
        <v>2850</v>
      </c>
      <c r="M309" s="185">
        <v>32.837732549888948</v>
      </c>
      <c r="N309" s="87">
        <v>1919.55</v>
      </c>
      <c r="O309" s="120">
        <v>46850.153615841271</v>
      </c>
      <c r="P309" s="121">
        <v>57597.207673150922</v>
      </c>
      <c r="Q309" s="120">
        <v>38497.293413731131</v>
      </c>
      <c r="R309" s="314">
        <v>85347.447029572402</v>
      </c>
      <c r="S309" s="315">
        <v>96094.501086882054</v>
      </c>
      <c r="U309" s="7" t="s">
        <v>2427</v>
      </c>
    </row>
    <row r="310" spans="1:21" ht="16.5" thickBot="1">
      <c r="A310" s="50" t="s">
        <v>35</v>
      </c>
      <c r="B310" s="51">
        <f t="shared" si="15"/>
        <v>90</v>
      </c>
      <c r="C310" s="51" t="s">
        <v>3</v>
      </c>
      <c r="D310" s="51">
        <f t="shared" si="16"/>
        <v>360</v>
      </c>
      <c r="E310" s="51" t="s">
        <v>3</v>
      </c>
      <c r="F310" s="99">
        <f t="shared" si="17"/>
        <v>2900</v>
      </c>
      <c r="G310" s="51" t="s">
        <v>3</v>
      </c>
      <c r="H310" s="48">
        <v>4</v>
      </c>
      <c r="I310" s="49" t="s">
        <v>45</v>
      </c>
      <c r="J310" s="184">
        <v>90</v>
      </c>
      <c r="K310" s="75">
        <v>360</v>
      </c>
      <c r="L310" s="75">
        <v>2900</v>
      </c>
      <c r="M310" s="185">
        <v>33.393955831491056</v>
      </c>
      <c r="N310" s="87">
        <v>1957.941</v>
      </c>
      <c r="O310" s="120">
        <v>47538.845955130171</v>
      </c>
      <c r="P310" s="121">
        <v>58462.832853430889</v>
      </c>
      <c r="Q310" s="120">
        <v>39281.472333017329</v>
      </c>
      <c r="R310" s="314">
        <v>86820.318288147508</v>
      </c>
      <c r="S310" s="315">
        <v>97744.305186448211</v>
      </c>
      <c r="U310" s="7" t="s">
        <v>2428</v>
      </c>
    </row>
    <row r="311" spans="1:21" ht="16.5" thickBot="1">
      <c r="A311" s="50" t="s">
        <v>35</v>
      </c>
      <c r="B311" s="51">
        <f t="shared" si="15"/>
        <v>90</v>
      </c>
      <c r="C311" s="51" t="s">
        <v>3</v>
      </c>
      <c r="D311" s="51">
        <f t="shared" si="16"/>
        <v>360</v>
      </c>
      <c r="E311" s="51" t="s">
        <v>3</v>
      </c>
      <c r="F311" s="99">
        <f t="shared" si="17"/>
        <v>2950</v>
      </c>
      <c r="G311" s="51" t="s">
        <v>3</v>
      </c>
      <c r="H311" s="48">
        <v>4</v>
      </c>
      <c r="I311" s="49" t="s">
        <v>45</v>
      </c>
      <c r="J311" s="184">
        <v>90</v>
      </c>
      <c r="K311" s="75">
        <v>360</v>
      </c>
      <c r="L311" s="75">
        <v>2950</v>
      </c>
      <c r="M311" s="185">
        <v>33.933139113093162</v>
      </c>
      <c r="N311" s="87">
        <v>1996.3319999999999</v>
      </c>
      <c r="O311" s="120">
        <v>48227.538294419079</v>
      </c>
      <c r="P311" s="121">
        <v>59328.458174104213</v>
      </c>
      <c r="Q311" s="120">
        <v>39835.069474520256</v>
      </c>
      <c r="R311" s="314">
        <v>88062.607768939342</v>
      </c>
      <c r="S311" s="315">
        <v>99163.527648624469</v>
      </c>
      <c r="U311" s="7" t="s">
        <v>2429</v>
      </c>
    </row>
    <row r="312" spans="1:21" ht="16.5" thickBot="1">
      <c r="A312" s="52" t="s">
        <v>35</v>
      </c>
      <c r="B312" s="53">
        <f t="shared" si="15"/>
        <v>90</v>
      </c>
      <c r="C312" s="53" t="s">
        <v>3</v>
      </c>
      <c r="D312" s="53">
        <f t="shared" si="16"/>
        <v>360</v>
      </c>
      <c r="E312" s="53" t="s">
        <v>3</v>
      </c>
      <c r="F312" s="100">
        <f t="shared" si="17"/>
        <v>3000</v>
      </c>
      <c r="G312" s="53" t="s">
        <v>3</v>
      </c>
      <c r="H312" s="55">
        <v>4</v>
      </c>
      <c r="I312" s="54" t="s">
        <v>45</v>
      </c>
      <c r="J312" s="186">
        <v>90</v>
      </c>
      <c r="K312" s="147">
        <v>360</v>
      </c>
      <c r="L312" s="147">
        <v>3000</v>
      </c>
      <c r="M312" s="187">
        <v>34.489362394695263</v>
      </c>
      <c r="N312" s="148">
        <v>2034.723</v>
      </c>
      <c r="O312" s="159">
        <v>50091.388079959812</v>
      </c>
      <c r="P312" s="158">
        <v>60194.083354384173</v>
      </c>
      <c r="Q312" s="159">
        <v>40619.248393806454</v>
      </c>
      <c r="R312" s="316">
        <v>90710.636473766266</v>
      </c>
      <c r="S312" s="317">
        <v>100813.33174819063</v>
      </c>
      <c r="U312" s="7" t="s">
        <v>2430</v>
      </c>
    </row>
    <row r="313" spans="1:21" ht="22.5" customHeight="1" thickBot="1">
      <c r="A313" s="2580" t="s">
        <v>67</v>
      </c>
      <c r="B313" s="2581"/>
      <c r="C313" s="2581"/>
      <c r="D313" s="2581"/>
      <c r="E313" s="2581"/>
      <c r="F313" s="2581"/>
      <c r="G313" s="2581"/>
      <c r="H313" s="2581"/>
      <c r="I313" s="2581"/>
      <c r="J313" s="2581"/>
      <c r="K313" s="2581"/>
      <c r="L313" s="2581"/>
      <c r="M313" s="2581"/>
      <c r="N313" s="2581"/>
      <c r="O313" s="2581"/>
      <c r="P313" s="2581"/>
      <c r="Q313" s="2581"/>
      <c r="R313" s="2581"/>
      <c r="S313" s="2582"/>
      <c r="U313" s="7"/>
    </row>
    <row r="314" spans="1:21" ht="16.5" thickBot="1">
      <c r="A314" s="2583" t="s">
        <v>135</v>
      </c>
      <c r="B314" s="2584"/>
      <c r="C314" s="2584"/>
      <c r="D314" s="2584"/>
      <c r="E314" s="2584"/>
      <c r="F314" s="2584"/>
      <c r="G314" s="2584"/>
      <c r="H314" s="2584"/>
      <c r="I314" s="2584"/>
      <c r="J314" s="2584"/>
      <c r="K314" s="2584"/>
      <c r="L314" s="2584"/>
      <c r="M314" s="2584"/>
      <c r="N314" s="2584"/>
      <c r="O314" s="2584"/>
      <c r="P314" s="2584"/>
      <c r="Q314" s="2584"/>
      <c r="R314" s="2584"/>
      <c r="S314" s="2585"/>
      <c r="U314" s="7"/>
    </row>
    <row r="315" spans="1:21" ht="16.5" thickBot="1">
      <c r="A315" s="47" t="s">
        <v>35</v>
      </c>
      <c r="B315" s="48">
        <f>J315</f>
        <v>90</v>
      </c>
      <c r="C315" s="48" t="s">
        <v>3</v>
      </c>
      <c r="D315" s="48">
        <f>K315</f>
        <v>400</v>
      </c>
      <c r="E315" s="48" t="s">
        <v>3</v>
      </c>
      <c r="F315" s="99">
        <f>L315</f>
        <v>600</v>
      </c>
      <c r="G315" s="48" t="s">
        <v>3</v>
      </c>
      <c r="H315" s="48">
        <v>4</v>
      </c>
      <c r="I315" s="49" t="s">
        <v>45</v>
      </c>
      <c r="J315" s="181">
        <v>90</v>
      </c>
      <c r="K315" s="143">
        <v>400</v>
      </c>
      <c r="L315" s="143">
        <v>600</v>
      </c>
      <c r="M315" s="182">
        <v>8.1017087919836843</v>
      </c>
      <c r="N315" s="144">
        <v>203.24963420999998</v>
      </c>
      <c r="O315" s="169">
        <v>14460.503421310652</v>
      </c>
      <c r="P315" s="183">
        <v>17440.307193317069</v>
      </c>
      <c r="Q315" s="169">
        <v>9871.7007401553401</v>
      </c>
      <c r="R315" s="312">
        <v>24332.20416146599</v>
      </c>
      <c r="S315" s="313">
        <v>27312.007933472407</v>
      </c>
      <c r="U315" s="7" t="s">
        <v>2431</v>
      </c>
    </row>
    <row r="316" spans="1:21" ht="16.5" thickBot="1">
      <c r="A316" s="50" t="s">
        <v>35</v>
      </c>
      <c r="B316" s="51">
        <f t="shared" ref="B316:B363" si="18">J316</f>
        <v>90</v>
      </c>
      <c r="C316" s="51" t="s">
        <v>3</v>
      </c>
      <c r="D316" s="51">
        <f t="shared" ref="D316:D363" si="19">K316</f>
        <v>400</v>
      </c>
      <c r="E316" s="51" t="s">
        <v>3</v>
      </c>
      <c r="F316" s="99">
        <f t="shared" ref="F316:F363" si="20">L316</f>
        <v>650</v>
      </c>
      <c r="G316" s="51" t="s">
        <v>3</v>
      </c>
      <c r="H316" s="48">
        <v>4</v>
      </c>
      <c r="I316" s="49" t="s">
        <v>45</v>
      </c>
      <c r="J316" s="184">
        <v>90</v>
      </c>
      <c r="K316" s="75">
        <v>400</v>
      </c>
      <c r="L316" s="75">
        <v>650</v>
      </c>
      <c r="M316" s="185">
        <v>8.6727457814805273</v>
      </c>
      <c r="N316" s="87">
        <v>243.89956105199997</v>
      </c>
      <c r="O316" s="120">
        <v>15167.941784327366</v>
      </c>
      <c r="P316" s="121">
        <v>18338.76490574464</v>
      </c>
      <c r="Q316" s="120">
        <v>10474.092577548676</v>
      </c>
      <c r="R316" s="314">
        <v>25642.034361876042</v>
      </c>
      <c r="S316" s="315">
        <v>28812.857483293315</v>
      </c>
      <c r="U316" s="7" t="s">
        <v>2432</v>
      </c>
    </row>
    <row r="317" spans="1:21" ht="16.5" thickBot="1">
      <c r="A317" s="50" t="s">
        <v>35</v>
      </c>
      <c r="B317" s="51">
        <f t="shared" si="18"/>
        <v>90</v>
      </c>
      <c r="C317" s="51" t="s">
        <v>3</v>
      </c>
      <c r="D317" s="51">
        <f t="shared" si="19"/>
        <v>400</v>
      </c>
      <c r="E317" s="51" t="s">
        <v>3</v>
      </c>
      <c r="F317" s="99">
        <f t="shared" si="20"/>
        <v>700</v>
      </c>
      <c r="G317" s="51" t="s">
        <v>3</v>
      </c>
      <c r="H317" s="48">
        <v>4</v>
      </c>
      <c r="I317" s="49" t="s">
        <v>45</v>
      </c>
      <c r="J317" s="184">
        <v>90</v>
      </c>
      <c r="K317" s="75">
        <v>400</v>
      </c>
      <c r="L317" s="75">
        <v>700</v>
      </c>
      <c r="M317" s="185">
        <v>9.2608227709773683</v>
      </c>
      <c r="N317" s="87">
        <v>284.54948789399998</v>
      </c>
      <c r="O317" s="120">
        <v>15875.38014734408</v>
      </c>
      <c r="P317" s="121">
        <v>19237.222758565578</v>
      </c>
      <c r="Q317" s="120">
        <v>11307.066052331927</v>
      </c>
      <c r="R317" s="314">
        <v>27182.446199676007</v>
      </c>
      <c r="S317" s="315">
        <v>30544.288810897506</v>
      </c>
      <c r="U317" s="7" t="s">
        <v>2433</v>
      </c>
    </row>
    <row r="318" spans="1:21" ht="16.5" thickBot="1">
      <c r="A318" s="50" t="s">
        <v>35</v>
      </c>
      <c r="B318" s="51">
        <f t="shared" si="18"/>
        <v>90</v>
      </c>
      <c r="C318" s="51" t="s">
        <v>3</v>
      </c>
      <c r="D318" s="51">
        <f t="shared" si="19"/>
        <v>400</v>
      </c>
      <c r="E318" s="51" t="s">
        <v>3</v>
      </c>
      <c r="F318" s="99">
        <f t="shared" si="20"/>
        <v>750</v>
      </c>
      <c r="G318" s="51" t="s">
        <v>3</v>
      </c>
      <c r="H318" s="48">
        <v>4</v>
      </c>
      <c r="I318" s="49" t="s">
        <v>45</v>
      </c>
      <c r="J318" s="184">
        <v>90</v>
      </c>
      <c r="K318" s="75">
        <v>400</v>
      </c>
      <c r="L318" s="75">
        <v>750</v>
      </c>
      <c r="M318" s="185">
        <v>9.8318597604742095</v>
      </c>
      <c r="N318" s="87">
        <v>325.19941473600005</v>
      </c>
      <c r="O318" s="120">
        <v>16582.81851036079</v>
      </c>
      <c r="P318" s="121">
        <v>20135.680611386517</v>
      </c>
      <c r="Q318" s="120">
        <v>11909.457889725263</v>
      </c>
      <c r="R318" s="314">
        <v>28492.276400086055</v>
      </c>
      <c r="S318" s="315">
        <v>32045.138501111782</v>
      </c>
      <c r="U318" s="7" t="s">
        <v>2434</v>
      </c>
    </row>
    <row r="319" spans="1:21" ht="16.5" thickBot="1">
      <c r="A319" s="50" t="s">
        <v>35</v>
      </c>
      <c r="B319" s="51">
        <f t="shared" si="18"/>
        <v>90</v>
      </c>
      <c r="C319" s="51" t="s">
        <v>3</v>
      </c>
      <c r="D319" s="51">
        <f t="shared" si="19"/>
        <v>400</v>
      </c>
      <c r="E319" s="51" t="s">
        <v>3</v>
      </c>
      <c r="F319" s="99">
        <f t="shared" si="20"/>
        <v>800</v>
      </c>
      <c r="G319" s="51" t="s">
        <v>3</v>
      </c>
      <c r="H319" s="48">
        <v>4</v>
      </c>
      <c r="I319" s="49" t="s">
        <v>45</v>
      </c>
      <c r="J319" s="184">
        <v>90</v>
      </c>
      <c r="K319" s="75">
        <v>400</v>
      </c>
      <c r="L319" s="75">
        <v>800</v>
      </c>
      <c r="M319" s="185">
        <v>10.402896749971053</v>
      </c>
      <c r="N319" s="87">
        <v>365.84934157799995</v>
      </c>
      <c r="O319" s="120">
        <v>17290.256873377504</v>
      </c>
      <c r="P319" s="121">
        <v>21034.138464207455</v>
      </c>
      <c r="Q319" s="120">
        <v>12511.84958672524</v>
      </c>
      <c r="R319" s="314">
        <v>29802.106460102746</v>
      </c>
      <c r="S319" s="315">
        <v>33545.988050932698</v>
      </c>
      <c r="U319" s="7" t="s">
        <v>2435</v>
      </c>
    </row>
    <row r="320" spans="1:21" ht="16.5" thickBot="1">
      <c r="A320" s="50" t="s">
        <v>35</v>
      </c>
      <c r="B320" s="51">
        <f t="shared" si="18"/>
        <v>90</v>
      </c>
      <c r="C320" s="51" t="s">
        <v>3</v>
      </c>
      <c r="D320" s="51">
        <f t="shared" si="19"/>
        <v>400</v>
      </c>
      <c r="E320" s="51" t="s">
        <v>3</v>
      </c>
      <c r="F320" s="99">
        <f t="shared" si="20"/>
        <v>850</v>
      </c>
      <c r="G320" s="51" t="s">
        <v>3</v>
      </c>
      <c r="H320" s="48">
        <v>4</v>
      </c>
      <c r="I320" s="49" t="s">
        <v>45</v>
      </c>
      <c r="J320" s="184">
        <v>90</v>
      </c>
      <c r="K320" s="75">
        <v>400</v>
      </c>
      <c r="L320" s="75">
        <v>850</v>
      </c>
      <c r="M320" s="185">
        <v>10.990973739467893</v>
      </c>
      <c r="N320" s="87">
        <v>406.49926841999996</v>
      </c>
      <c r="O320" s="120">
        <v>17997.695236394218</v>
      </c>
      <c r="P320" s="121">
        <v>21932.59617663503</v>
      </c>
      <c r="Q320" s="120">
        <v>13344.823201901852</v>
      </c>
      <c r="R320" s="314">
        <v>31342.518438296072</v>
      </c>
      <c r="S320" s="315">
        <v>35277.419378536884</v>
      </c>
      <c r="U320" s="7" t="s">
        <v>2436</v>
      </c>
    </row>
    <row r="321" spans="1:21" ht="16.5" thickBot="1">
      <c r="A321" s="50" t="s">
        <v>35</v>
      </c>
      <c r="B321" s="51">
        <f t="shared" si="18"/>
        <v>90</v>
      </c>
      <c r="C321" s="51" t="s">
        <v>3</v>
      </c>
      <c r="D321" s="51">
        <f t="shared" si="19"/>
        <v>400</v>
      </c>
      <c r="E321" s="51" t="s">
        <v>3</v>
      </c>
      <c r="F321" s="99">
        <f t="shared" si="20"/>
        <v>900</v>
      </c>
      <c r="G321" s="51" t="s">
        <v>3</v>
      </c>
      <c r="H321" s="48">
        <v>4</v>
      </c>
      <c r="I321" s="49" t="s">
        <v>45</v>
      </c>
      <c r="J321" s="184">
        <v>90</v>
      </c>
      <c r="K321" s="75">
        <v>400</v>
      </c>
      <c r="L321" s="75">
        <v>900</v>
      </c>
      <c r="M321" s="185">
        <v>11.562010728964736</v>
      </c>
      <c r="N321" s="87">
        <v>447.14919526199998</v>
      </c>
      <c r="O321" s="120">
        <v>18705.133599410929</v>
      </c>
      <c r="P321" s="121">
        <v>22831.054029455965</v>
      </c>
      <c r="Q321" s="120">
        <v>13947.21489890183</v>
      </c>
      <c r="R321" s="314">
        <v>32652.348498312756</v>
      </c>
      <c r="S321" s="315">
        <v>36778.268928357793</v>
      </c>
      <c r="U321" s="7" t="s">
        <v>2437</v>
      </c>
    </row>
    <row r="322" spans="1:21" ht="16.5" thickBot="1">
      <c r="A322" s="50" t="s">
        <v>35</v>
      </c>
      <c r="B322" s="51">
        <f t="shared" si="18"/>
        <v>90</v>
      </c>
      <c r="C322" s="51" t="s">
        <v>3</v>
      </c>
      <c r="D322" s="51">
        <f t="shared" si="19"/>
        <v>400</v>
      </c>
      <c r="E322" s="51" t="s">
        <v>3</v>
      </c>
      <c r="F322" s="99">
        <f t="shared" si="20"/>
        <v>950</v>
      </c>
      <c r="G322" s="51" t="s">
        <v>3</v>
      </c>
      <c r="H322" s="48">
        <v>4</v>
      </c>
      <c r="I322" s="49" t="s">
        <v>45</v>
      </c>
      <c r="J322" s="184">
        <v>90</v>
      </c>
      <c r="K322" s="75">
        <v>400</v>
      </c>
      <c r="L322" s="75">
        <v>950</v>
      </c>
      <c r="M322" s="185">
        <v>12.150087718461579</v>
      </c>
      <c r="N322" s="87">
        <v>487.79912210399993</v>
      </c>
      <c r="O322" s="120">
        <v>19412.571962427643</v>
      </c>
      <c r="P322" s="121">
        <v>23729.511882276907</v>
      </c>
      <c r="Q322" s="120">
        <v>14780.188514078442</v>
      </c>
      <c r="R322" s="314">
        <v>34192.760476506082</v>
      </c>
      <c r="S322" s="315">
        <v>38509.700396355351</v>
      </c>
      <c r="U322" s="7" t="s">
        <v>2438</v>
      </c>
    </row>
    <row r="323" spans="1:21" ht="16.5" thickBot="1">
      <c r="A323" s="50" t="s">
        <v>35</v>
      </c>
      <c r="B323" s="51">
        <f t="shared" si="18"/>
        <v>90</v>
      </c>
      <c r="C323" s="51" t="s">
        <v>3</v>
      </c>
      <c r="D323" s="51">
        <f t="shared" si="19"/>
        <v>400</v>
      </c>
      <c r="E323" s="51" t="s">
        <v>3</v>
      </c>
      <c r="F323" s="99">
        <f t="shared" si="20"/>
        <v>1000</v>
      </c>
      <c r="G323" s="51" t="s">
        <v>3</v>
      </c>
      <c r="H323" s="48">
        <v>4</v>
      </c>
      <c r="I323" s="49" t="s">
        <v>45</v>
      </c>
      <c r="J323" s="184">
        <v>90</v>
      </c>
      <c r="K323" s="75">
        <v>400</v>
      </c>
      <c r="L323" s="75">
        <v>1000</v>
      </c>
      <c r="M323" s="185">
        <v>12.72112470795842</v>
      </c>
      <c r="N323" s="87">
        <v>528.44904894600006</v>
      </c>
      <c r="O323" s="120">
        <v>20120.010325444353</v>
      </c>
      <c r="P323" s="121">
        <v>24627.969735097839</v>
      </c>
      <c r="Q323" s="120">
        <v>15382.580351471779</v>
      </c>
      <c r="R323" s="314">
        <v>35502.59067691613</v>
      </c>
      <c r="S323" s="315">
        <v>40010.550086569616</v>
      </c>
      <c r="U323" s="7" t="s">
        <v>2439</v>
      </c>
    </row>
    <row r="324" spans="1:21" ht="16.5" thickBot="1">
      <c r="A324" s="50" t="s">
        <v>35</v>
      </c>
      <c r="B324" s="51">
        <f t="shared" si="18"/>
        <v>90</v>
      </c>
      <c r="C324" s="51" t="s">
        <v>3</v>
      </c>
      <c r="D324" s="51">
        <f t="shared" si="19"/>
        <v>400</v>
      </c>
      <c r="E324" s="51" t="s">
        <v>3</v>
      </c>
      <c r="F324" s="99">
        <f t="shared" si="20"/>
        <v>1050</v>
      </c>
      <c r="G324" s="51" t="s">
        <v>3</v>
      </c>
      <c r="H324" s="48">
        <v>4</v>
      </c>
      <c r="I324" s="49" t="s">
        <v>45</v>
      </c>
      <c r="J324" s="184">
        <v>90</v>
      </c>
      <c r="K324" s="75">
        <v>400</v>
      </c>
      <c r="L324" s="75">
        <v>1050</v>
      </c>
      <c r="M324" s="185">
        <v>13.309201697455261</v>
      </c>
      <c r="N324" s="87">
        <v>569.09897578799996</v>
      </c>
      <c r="O324" s="120">
        <v>20827.448688461067</v>
      </c>
      <c r="P324" s="121">
        <v>25526.427447525421</v>
      </c>
      <c r="Q324" s="120">
        <v>16215.553826255029</v>
      </c>
      <c r="R324" s="314">
        <v>37043.002514716092</v>
      </c>
      <c r="S324" s="315">
        <v>41741.981273780446</v>
      </c>
      <c r="U324" s="7" t="s">
        <v>2440</v>
      </c>
    </row>
    <row r="325" spans="1:21" ht="16.5" thickBot="1">
      <c r="A325" s="47" t="s">
        <v>35</v>
      </c>
      <c r="B325" s="48">
        <f t="shared" si="18"/>
        <v>90</v>
      </c>
      <c r="C325" s="48" t="s">
        <v>3</v>
      </c>
      <c r="D325" s="48">
        <f t="shared" si="19"/>
        <v>400</v>
      </c>
      <c r="E325" s="48" t="s">
        <v>3</v>
      </c>
      <c r="F325" s="99">
        <f t="shared" si="20"/>
        <v>1100</v>
      </c>
      <c r="G325" s="48" t="s">
        <v>3</v>
      </c>
      <c r="H325" s="48">
        <v>4</v>
      </c>
      <c r="I325" s="49" t="s">
        <v>45</v>
      </c>
      <c r="J325" s="184">
        <v>90</v>
      </c>
      <c r="K325" s="75">
        <v>400</v>
      </c>
      <c r="L325" s="75">
        <v>1100</v>
      </c>
      <c r="M325" s="185">
        <v>13.880238686952104</v>
      </c>
      <c r="N325" s="87">
        <v>609.74890262999998</v>
      </c>
      <c r="O325" s="120">
        <v>21534.887051477777</v>
      </c>
      <c r="P325" s="121">
        <v>26424.885300346359</v>
      </c>
      <c r="Q325" s="120">
        <v>16817.945663648366</v>
      </c>
      <c r="R325" s="314">
        <v>38352.832715126147</v>
      </c>
      <c r="S325" s="315">
        <v>43242.830963994726</v>
      </c>
      <c r="U325" s="7" t="s">
        <v>2441</v>
      </c>
    </row>
    <row r="326" spans="1:21" ht="16.5" thickBot="1">
      <c r="A326" s="50" t="s">
        <v>35</v>
      </c>
      <c r="B326" s="51">
        <f t="shared" si="18"/>
        <v>90</v>
      </c>
      <c r="C326" s="51" t="s">
        <v>3</v>
      </c>
      <c r="D326" s="51">
        <f t="shared" si="19"/>
        <v>400</v>
      </c>
      <c r="E326" s="51" t="s">
        <v>3</v>
      </c>
      <c r="F326" s="99">
        <f t="shared" si="20"/>
        <v>1150</v>
      </c>
      <c r="G326" s="51" t="s">
        <v>3</v>
      </c>
      <c r="H326" s="48">
        <v>4</v>
      </c>
      <c r="I326" s="49" t="s">
        <v>45</v>
      </c>
      <c r="J326" s="184">
        <v>90</v>
      </c>
      <c r="K326" s="75">
        <v>400</v>
      </c>
      <c r="L326" s="75">
        <v>1150</v>
      </c>
      <c r="M326" s="185">
        <v>14.451275676448949</v>
      </c>
      <c r="N326" s="87">
        <v>650.3988294720001</v>
      </c>
      <c r="O326" s="120">
        <v>22242.325414494491</v>
      </c>
      <c r="P326" s="121">
        <v>27323.34315316729</v>
      </c>
      <c r="Q326" s="120">
        <v>17420.33736064834</v>
      </c>
      <c r="R326" s="314">
        <v>39662.662775142831</v>
      </c>
      <c r="S326" s="315">
        <v>44743.680513815634</v>
      </c>
      <c r="U326" s="7" t="s">
        <v>2442</v>
      </c>
    </row>
    <row r="327" spans="1:21" ht="16.5" thickBot="1">
      <c r="A327" s="50" t="s">
        <v>35</v>
      </c>
      <c r="B327" s="51">
        <f t="shared" si="18"/>
        <v>90</v>
      </c>
      <c r="C327" s="51" t="s">
        <v>3</v>
      </c>
      <c r="D327" s="51">
        <f t="shared" si="19"/>
        <v>400</v>
      </c>
      <c r="E327" s="51" t="s">
        <v>3</v>
      </c>
      <c r="F327" s="99">
        <f t="shared" si="20"/>
        <v>1200</v>
      </c>
      <c r="G327" s="51" t="s">
        <v>3</v>
      </c>
      <c r="H327" s="48">
        <v>4</v>
      </c>
      <c r="I327" s="49" t="s">
        <v>45</v>
      </c>
      <c r="J327" s="184">
        <v>90</v>
      </c>
      <c r="K327" s="75">
        <v>400</v>
      </c>
      <c r="L327" s="75">
        <v>1200</v>
      </c>
      <c r="M327" s="185">
        <v>15.11785266594579</v>
      </c>
      <c r="N327" s="87">
        <v>691.04875631399989</v>
      </c>
      <c r="O327" s="120">
        <v>23026.918213413341</v>
      </c>
      <c r="P327" s="121">
        <v>28299.426321228191</v>
      </c>
      <c r="Q327" s="120">
        <v>18253.310975824952</v>
      </c>
      <c r="R327" s="314">
        <v>41280.229189238293</v>
      </c>
      <c r="S327" s="315">
        <v>46552.737297053143</v>
      </c>
      <c r="U327" s="7" t="s">
        <v>2443</v>
      </c>
    </row>
    <row r="328" spans="1:21" ht="16.5" thickBot="1">
      <c r="A328" s="50" t="s">
        <v>35</v>
      </c>
      <c r="B328" s="51">
        <f t="shared" si="18"/>
        <v>90</v>
      </c>
      <c r="C328" s="51" t="s">
        <v>3</v>
      </c>
      <c r="D328" s="51">
        <f t="shared" si="19"/>
        <v>400</v>
      </c>
      <c r="E328" s="51" t="s">
        <v>3</v>
      </c>
      <c r="F328" s="99">
        <f t="shared" si="20"/>
        <v>1250</v>
      </c>
      <c r="G328" s="51" t="s">
        <v>3</v>
      </c>
      <c r="H328" s="48">
        <v>4</v>
      </c>
      <c r="I328" s="49" t="s">
        <v>45</v>
      </c>
      <c r="J328" s="184">
        <v>90</v>
      </c>
      <c r="K328" s="75">
        <v>400</v>
      </c>
      <c r="L328" s="75">
        <v>1250</v>
      </c>
      <c r="M328" s="185">
        <v>15.688889655442631</v>
      </c>
      <c r="N328" s="87">
        <v>731.6986831559999</v>
      </c>
      <c r="O328" s="120">
        <v>23734.356576430055</v>
      </c>
      <c r="P328" s="121">
        <v>29197.88417404913</v>
      </c>
      <c r="Q328" s="120">
        <v>18855.702672824929</v>
      </c>
      <c r="R328" s="314">
        <v>42590.059249254984</v>
      </c>
      <c r="S328" s="315">
        <v>48053.586846874059</v>
      </c>
      <c r="U328" s="7" t="s">
        <v>2444</v>
      </c>
    </row>
    <row r="329" spans="1:21" ht="16.5" thickBot="1">
      <c r="A329" s="50" t="s">
        <v>35</v>
      </c>
      <c r="B329" s="51">
        <f t="shared" si="18"/>
        <v>90</v>
      </c>
      <c r="C329" s="51" t="s">
        <v>3</v>
      </c>
      <c r="D329" s="51">
        <f t="shared" si="19"/>
        <v>400</v>
      </c>
      <c r="E329" s="51" t="s">
        <v>3</v>
      </c>
      <c r="F329" s="99">
        <f t="shared" si="20"/>
        <v>1300</v>
      </c>
      <c r="G329" s="51" t="s">
        <v>3</v>
      </c>
      <c r="H329" s="48">
        <v>4</v>
      </c>
      <c r="I329" s="49" t="s">
        <v>45</v>
      </c>
      <c r="J329" s="184">
        <v>90</v>
      </c>
      <c r="K329" s="75">
        <v>400</v>
      </c>
      <c r="L329" s="75">
        <v>1300</v>
      </c>
      <c r="M329" s="185">
        <v>16.276966644939474</v>
      </c>
      <c r="N329" s="87">
        <v>772.34860999799992</v>
      </c>
      <c r="O329" s="120">
        <v>24441.794939446769</v>
      </c>
      <c r="P329" s="121">
        <v>30096.342026870068</v>
      </c>
      <c r="Q329" s="120">
        <v>19688.676288001541</v>
      </c>
      <c r="R329" s="314">
        <v>44130.47122744831</v>
      </c>
      <c r="S329" s="315">
        <v>49785.01831487161</v>
      </c>
      <c r="U329" s="7" t="s">
        <v>2445</v>
      </c>
    </row>
    <row r="330" spans="1:21" ht="16.5" thickBot="1">
      <c r="A330" s="50" t="s">
        <v>35</v>
      </c>
      <c r="B330" s="51">
        <f t="shared" si="18"/>
        <v>90</v>
      </c>
      <c r="C330" s="51" t="s">
        <v>3</v>
      </c>
      <c r="D330" s="51">
        <f t="shared" si="19"/>
        <v>400</v>
      </c>
      <c r="E330" s="51" t="s">
        <v>3</v>
      </c>
      <c r="F330" s="99">
        <f t="shared" si="20"/>
        <v>1350</v>
      </c>
      <c r="G330" s="51" t="s">
        <v>3</v>
      </c>
      <c r="H330" s="48">
        <v>4</v>
      </c>
      <c r="I330" s="49" t="s">
        <v>45</v>
      </c>
      <c r="J330" s="184">
        <v>90</v>
      </c>
      <c r="K330" s="75">
        <v>400</v>
      </c>
      <c r="L330" s="75">
        <v>1350</v>
      </c>
      <c r="M330" s="185">
        <v>16.848003634436317</v>
      </c>
      <c r="N330" s="87">
        <v>812.99853683999993</v>
      </c>
      <c r="O330" s="120">
        <v>25149.233302463483</v>
      </c>
      <c r="P330" s="121">
        <v>30994.799879691007</v>
      </c>
      <c r="Q330" s="120">
        <v>20291.067985001515</v>
      </c>
      <c r="R330" s="314">
        <v>45440.301287465001</v>
      </c>
      <c r="S330" s="315">
        <v>51285.867864692525</v>
      </c>
      <c r="U330" s="7" t="s">
        <v>2446</v>
      </c>
    </row>
    <row r="331" spans="1:21" ht="16.5" thickBot="1">
      <c r="A331" s="50" t="s">
        <v>35</v>
      </c>
      <c r="B331" s="51">
        <f t="shared" si="18"/>
        <v>90</v>
      </c>
      <c r="C331" s="51" t="s">
        <v>3</v>
      </c>
      <c r="D331" s="51">
        <f t="shared" si="19"/>
        <v>400</v>
      </c>
      <c r="E331" s="51" t="s">
        <v>3</v>
      </c>
      <c r="F331" s="99">
        <f t="shared" si="20"/>
        <v>1400</v>
      </c>
      <c r="G331" s="51" t="s">
        <v>3</v>
      </c>
      <c r="H331" s="48">
        <v>4</v>
      </c>
      <c r="I331" s="49" t="s">
        <v>45</v>
      </c>
      <c r="J331" s="184">
        <v>90</v>
      </c>
      <c r="K331" s="75">
        <v>400</v>
      </c>
      <c r="L331" s="75">
        <v>1400</v>
      </c>
      <c r="M331" s="185">
        <v>17.436080623933158</v>
      </c>
      <c r="N331" s="87">
        <v>853.64846368199994</v>
      </c>
      <c r="O331" s="120">
        <v>25856.671665480197</v>
      </c>
      <c r="P331" s="121">
        <v>31893.257592118582</v>
      </c>
      <c r="Q331" s="120">
        <v>21124.04160017813</v>
      </c>
      <c r="R331" s="314">
        <v>46980.713265658327</v>
      </c>
      <c r="S331" s="315">
        <v>53017.299192296712</v>
      </c>
      <c r="U331" s="7" t="s">
        <v>2447</v>
      </c>
    </row>
    <row r="332" spans="1:21" ht="16.5" thickBot="1">
      <c r="A332" s="50" t="s">
        <v>35</v>
      </c>
      <c r="B332" s="51">
        <f t="shared" si="18"/>
        <v>90</v>
      </c>
      <c r="C332" s="51" t="s">
        <v>3</v>
      </c>
      <c r="D332" s="51">
        <f t="shared" si="19"/>
        <v>400</v>
      </c>
      <c r="E332" s="51" t="s">
        <v>3</v>
      </c>
      <c r="F332" s="99">
        <f t="shared" si="20"/>
        <v>1450</v>
      </c>
      <c r="G332" s="51" t="s">
        <v>3</v>
      </c>
      <c r="H332" s="48">
        <v>4</v>
      </c>
      <c r="I332" s="49" t="s">
        <v>45</v>
      </c>
      <c r="J332" s="184">
        <v>90</v>
      </c>
      <c r="K332" s="75">
        <v>400</v>
      </c>
      <c r="L332" s="75">
        <v>1450</v>
      </c>
      <c r="M332" s="185">
        <v>18.007117613430001</v>
      </c>
      <c r="N332" s="87">
        <v>894.29839052399996</v>
      </c>
      <c r="O332" s="120">
        <v>26564.110028496903</v>
      </c>
      <c r="P332" s="121">
        <v>32791.715444939524</v>
      </c>
      <c r="Q332" s="120">
        <v>21726.433297178104</v>
      </c>
      <c r="R332" s="314">
        <v>48290.543325675011</v>
      </c>
      <c r="S332" s="315">
        <v>54518.148742117628</v>
      </c>
      <c r="U332" s="7" t="s">
        <v>2448</v>
      </c>
    </row>
    <row r="333" spans="1:21" ht="16.5" thickBot="1">
      <c r="A333" s="50" t="s">
        <v>35</v>
      </c>
      <c r="B333" s="51">
        <f t="shared" si="18"/>
        <v>90</v>
      </c>
      <c r="C333" s="51" t="s">
        <v>3</v>
      </c>
      <c r="D333" s="51">
        <f t="shared" si="19"/>
        <v>400</v>
      </c>
      <c r="E333" s="51" t="s">
        <v>3</v>
      </c>
      <c r="F333" s="99">
        <f t="shared" si="20"/>
        <v>1500</v>
      </c>
      <c r="G333" s="51" t="s">
        <v>3</v>
      </c>
      <c r="H333" s="48">
        <v>4</v>
      </c>
      <c r="I333" s="49" t="s">
        <v>45</v>
      </c>
      <c r="J333" s="184">
        <v>90</v>
      </c>
      <c r="K333" s="75">
        <v>400</v>
      </c>
      <c r="L333" s="75">
        <v>1500</v>
      </c>
      <c r="M333" s="185">
        <v>18.791761255726843</v>
      </c>
      <c r="N333" s="87">
        <v>934.94831736599997</v>
      </c>
      <c r="O333" s="120">
        <v>28082.113260528153</v>
      </c>
      <c r="P333" s="121">
        <v>34455.107516095246</v>
      </c>
      <c r="Q333" s="120">
        <v>22559.406912354716</v>
      </c>
      <c r="R333" s="314">
        <v>50641.520172882869</v>
      </c>
      <c r="S333" s="315">
        <v>57014.514428449962</v>
      </c>
      <c r="U333" s="7" t="s">
        <v>2449</v>
      </c>
    </row>
    <row r="334" spans="1:21" ht="16.5" thickBot="1">
      <c r="A334" s="50" t="s">
        <v>35</v>
      </c>
      <c r="B334" s="51">
        <f t="shared" si="18"/>
        <v>90</v>
      </c>
      <c r="C334" s="51" t="s">
        <v>3</v>
      </c>
      <c r="D334" s="51">
        <f t="shared" si="19"/>
        <v>400</v>
      </c>
      <c r="E334" s="51" t="s">
        <v>3</v>
      </c>
      <c r="F334" s="99">
        <f t="shared" si="20"/>
        <v>1550</v>
      </c>
      <c r="G334" s="51" t="s">
        <v>3</v>
      </c>
      <c r="H334" s="48">
        <v>4</v>
      </c>
      <c r="I334" s="49" t="s">
        <v>45</v>
      </c>
      <c r="J334" s="184">
        <v>90</v>
      </c>
      <c r="K334" s="75">
        <v>400</v>
      </c>
      <c r="L334" s="75">
        <v>1550</v>
      </c>
      <c r="M334" s="185">
        <v>19.362798245223683</v>
      </c>
      <c r="N334" s="87">
        <v>975.59824420799987</v>
      </c>
      <c r="O334" s="120">
        <v>28789.551623544867</v>
      </c>
      <c r="P334" s="121">
        <v>35353.565368916185</v>
      </c>
      <c r="Q334" s="120">
        <v>23161.79860935469</v>
      </c>
      <c r="R334" s="314">
        <v>51951.350232899553</v>
      </c>
      <c r="S334" s="315">
        <v>58515.363978270878</v>
      </c>
      <c r="U334" s="7" t="s">
        <v>2450</v>
      </c>
    </row>
    <row r="335" spans="1:21" ht="16.5" thickBot="1">
      <c r="A335" s="47" t="s">
        <v>35</v>
      </c>
      <c r="B335" s="48">
        <f t="shared" si="18"/>
        <v>90</v>
      </c>
      <c r="C335" s="48" t="s">
        <v>3</v>
      </c>
      <c r="D335" s="48">
        <f t="shared" si="19"/>
        <v>400</v>
      </c>
      <c r="E335" s="48" t="s">
        <v>3</v>
      </c>
      <c r="F335" s="99">
        <f t="shared" si="20"/>
        <v>1600</v>
      </c>
      <c r="G335" s="48" t="s">
        <v>3</v>
      </c>
      <c r="H335" s="48">
        <v>4</v>
      </c>
      <c r="I335" s="49" t="s">
        <v>45</v>
      </c>
      <c r="J335" s="184">
        <v>90</v>
      </c>
      <c r="K335" s="75">
        <v>400</v>
      </c>
      <c r="L335" s="75">
        <v>1600</v>
      </c>
      <c r="M335" s="185">
        <v>19.933835234720526</v>
      </c>
      <c r="N335" s="87">
        <v>1016.24817105</v>
      </c>
      <c r="O335" s="120">
        <v>29496.989986561581</v>
      </c>
      <c r="P335" s="121">
        <v>36252.023221737123</v>
      </c>
      <c r="Q335" s="120">
        <v>23764.190446748027</v>
      </c>
      <c r="R335" s="314">
        <v>53261.180433309608</v>
      </c>
      <c r="S335" s="315">
        <v>60016.21366848515</v>
      </c>
      <c r="U335" s="7" t="s">
        <v>2451</v>
      </c>
    </row>
    <row r="336" spans="1:21" ht="16.5" thickBot="1">
      <c r="A336" s="50" t="s">
        <v>35</v>
      </c>
      <c r="B336" s="51">
        <f t="shared" si="18"/>
        <v>90</v>
      </c>
      <c r="C336" s="51" t="s">
        <v>3</v>
      </c>
      <c r="D336" s="51">
        <f t="shared" si="19"/>
        <v>400</v>
      </c>
      <c r="E336" s="51" t="s">
        <v>3</v>
      </c>
      <c r="F336" s="99">
        <f t="shared" si="20"/>
        <v>1650</v>
      </c>
      <c r="G336" s="51" t="s">
        <v>3</v>
      </c>
      <c r="H336" s="48">
        <v>4</v>
      </c>
      <c r="I336" s="49" t="s">
        <v>45</v>
      </c>
      <c r="J336" s="184">
        <v>90</v>
      </c>
      <c r="K336" s="75">
        <v>400</v>
      </c>
      <c r="L336" s="75">
        <v>1650</v>
      </c>
      <c r="M336" s="185">
        <v>20.521912224217374</v>
      </c>
      <c r="N336" s="87">
        <v>1056.8980978920001</v>
      </c>
      <c r="O336" s="120">
        <v>30204.428349578295</v>
      </c>
      <c r="P336" s="121">
        <v>37150.481074558062</v>
      </c>
      <c r="Q336" s="120">
        <v>24597.164061924639</v>
      </c>
      <c r="R336" s="314">
        <v>54801.592411502934</v>
      </c>
      <c r="S336" s="315">
        <v>61747.645136482701</v>
      </c>
      <c r="U336" s="7" t="s">
        <v>2452</v>
      </c>
    </row>
    <row r="337" spans="1:21" ht="16.5" thickBot="1">
      <c r="A337" s="50" t="s">
        <v>35</v>
      </c>
      <c r="B337" s="51">
        <f t="shared" si="18"/>
        <v>90</v>
      </c>
      <c r="C337" s="51" t="s">
        <v>3</v>
      </c>
      <c r="D337" s="51">
        <f t="shared" si="19"/>
        <v>400</v>
      </c>
      <c r="E337" s="51" t="s">
        <v>3</v>
      </c>
      <c r="F337" s="99">
        <f t="shared" si="20"/>
        <v>1700</v>
      </c>
      <c r="G337" s="51" t="s">
        <v>3</v>
      </c>
      <c r="H337" s="48">
        <v>4</v>
      </c>
      <c r="I337" s="49" t="s">
        <v>45</v>
      </c>
      <c r="J337" s="184">
        <v>90</v>
      </c>
      <c r="K337" s="75">
        <v>400</v>
      </c>
      <c r="L337" s="75">
        <v>1700</v>
      </c>
      <c r="M337" s="185">
        <v>21.09294921371421</v>
      </c>
      <c r="N337" s="87">
        <v>1097.5480247339999</v>
      </c>
      <c r="O337" s="120">
        <v>30911.866712595009</v>
      </c>
      <c r="P337" s="121">
        <v>38048.938786985636</v>
      </c>
      <c r="Q337" s="120">
        <v>25199.55575892462</v>
      </c>
      <c r="R337" s="314">
        <v>56111.422471519632</v>
      </c>
      <c r="S337" s="315">
        <v>63248.49454591026</v>
      </c>
      <c r="U337" s="7" t="s">
        <v>2453</v>
      </c>
    </row>
    <row r="338" spans="1:21" ht="16.5" thickBot="1">
      <c r="A338" s="50" t="s">
        <v>35</v>
      </c>
      <c r="B338" s="51">
        <f t="shared" si="18"/>
        <v>90</v>
      </c>
      <c r="C338" s="51" t="s">
        <v>3</v>
      </c>
      <c r="D338" s="51">
        <f t="shared" si="19"/>
        <v>400</v>
      </c>
      <c r="E338" s="51" t="s">
        <v>3</v>
      </c>
      <c r="F338" s="99">
        <f t="shared" si="20"/>
        <v>1750</v>
      </c>
      <c r="G338" s="51" t="s">
        <v>3</v>
      </c>
      <c r="H338" s="48">
        <v>4</v>
      </c>
      <c r="I338" s="49" t="s">
        <v>45</v>
      </c>
      <c r="J338" s="184">
        <v>90</v>
      </c>
      <c r="K338" s="75">
        <v>400</v>
      </c>
      <c r="L338" s="75">
        <v>1750</v>
      </c>
      <c r="M338" s="185">
        <v>21.681026203211051</v>
      </c>
      <c r="N338" s="87">
        <v>1138.1979515759999</v>
      </c>
      <c r="O338" s="120">
        <v>31619.305075611723</v>
      </c>
      <c r="P338" s="121">
        <v>38947.396639806575</v>
      </c>
      <c r="Q338" s="120">
        <v>26032.529374101232</v>
      </c>
      <c r="R338" s="314">
        <v>57651.834449712958</v>
      </c>
      <c r="S338" s="315">
        <v>64979.926013907811</v>
      </c>
      <c r="U338" s="7" t="s">
        <v>2454</v>
      </c>
    </row>
    <row r="339" spans="1:21" ht="16.5" thickBot="1">
      <c r="A339" s="50" t="s">
        <v>35</v>
      </c>
      <c r="B339" s="51">
        <f t="shared" si="18"/>
        <v>90</v>
      </c>
      <c r="C339" s="51" t="s">
        <v>3</v>
      </c>
      <c r="D339" s="51">
        <f t="shared" si="19"/>
        <v>400</v>
      </c>
      <c r="E339" s="51" t="s">
        <v>3</v>
      </c>
      <c r="F339" s="99">
        <f t="shared" si="20"/>
        <v>1800</v>
      </c>
      <c r="G339" s="51" t="s">
        <v>3</v>
      </c>
      <c r="H339" s="48">
        <v>4</v>
      </c>
      <c r="I339" s="49" t="s">
        <v>45</v>
      </c>
      <c r="J339" s="184">
        <v>90</v>
      </c>
      <c r="K339" s="75">
        <v>400</v>
      </c>
      <c r="L339" s="75">
        <v>1800</v>
      </c>
      <c r="M339" s="185">
        <v>22.252063192707897</v>
      </c>
      <c r="N339" s="87">
        <v>1178.8478784179999</v>
      </c>
      <c r="O339" s="120">
        <v>32326.743438628429</v>
      </c>
      <c r="P339" s="121">
        <v>39845.854492627514</v>
      </c>
      <c r="Q339" s="120">
        <v>26634.921071101206</v>
      </c>
      <c r="R339" s="314">
        <v>58961.664509729635</v>
      </c>
      <c r="S339" s="315">
        <v>66480.775563728719</v>
      </c>
      <c r="U339" s="7" t="s">
        <v>2455</v>
      </c>
    </row>
    <row r="340" spans="1:21" ht="16.5" thickBot="1">
      <c r="A340" s="50" t="s">
        <v>35</v>
      </c>
      <c r="B340" s="51">
        <f t="shared" si="18"/>
        <v>90</v>
      </c>
      <c r="C340" s="51" t="s">
        <v>3</v>
      </c>
      <c r="D340" s="51">
        <f t="shared" si="19"/>
        <v>400</v>
      </c>
      <c r="E340" s="51" t="s">
        <v>3</v>
      </c>
      <c r="F340" s="99">
        <f t="shared" si="20"/>
        <v>1850</v>
      </c>
      <c r="G340" s="51" t="s">
        <v>3</v>
      </c>
      <c r="H340" s="48">
        <v>4</v>
      </c>
      <c r="I340" s="49" t="s">
        <v>45</v>
      </c>
      <c r="J340" s="184">
        <v>90</v>
      </c>
      <c r="K340" s="75">
        <v>400</v>
      </c>
      <c r="L340" s="75">
        <v>1850</v>
      </c>
      <c r="M340" s="185">
        <v>22.840140182204738</v>
      </c>
      <c r="N340" s="87">
        <v>1219.49780526</v>
      </c>
      <c r="O340" s="120">
        <v>33034.181801645143</v>
      </c>
      <c r="P340" s="121">
        <v>40744.312345448445</v>
      </c>
      <c r="Q340" s="120">
        <v>27467.894686277818</v>
      </c>
      <c r="R340" s="314">
        <v>60502.076487922961</v>
      </c>
      <c r="S340" s="315">
        <v>68212.207031726255</v>
      </c>
      <c r="U340" s="7" t="s">
        <v>2456</v>
      </c>
    </row>
    <row r="341" spans="1:21" ht="16.5" thickBot="1">
      <c r="A341" s="50" t="s">
        <v>35</v>
      </c>
      <c r="B341" s="51">
        <f t="shared" si="18"/>
        <v>90</v>
      </c>
      <c r="C341" s="51" t="s">
        <v>3</v>
      </c>
      <c r="D341" s="51">
        <f t="shared" si="19"/>
        <v>400</v>
      </c>
      <c r="E341" s="51" t="s">
        <v>3</v>
      </c>
      <c r="F341" s="99">
        <f t="shared" si="20"/>
        <v>1900</v>
      </c>
      <c r="G341" s="51" t="s">
        <v>3</v>
      </c>
      <c r="H341" s="48">
        <v>4</v>
      </c>
      <c r="I341" s="49" t="s">
        <v>45</v>
      </c>
      <c r="J341" s="184">
        <v>90</v>
      </c>
      <c r="K341" s="75">
        <v>400</v>
      </c>
      <c r="L341" s="75">
        <v>1900</v>
      </c>
      <c r="M341" s="185">
        <v>23.411177171701581</v>
      </c>
      <c r="N341" s="87">
        <v>1260.147732102</v>
      </c>
      <c r="O341" s="120">
        <v>33741.620164661857</v>
      </c>
      <c r="P341" s="121">
        <v>41642.770057876027</v>
      </c>
      <c r="Q341" s="120">
        <v>28070.286383277791</v>
      </c>
      <c r="R341" s="314">
        <v>61811.906547939652</v>
      </c>
      <c r="S341" s="315">
        <v>69713.056441153822</v>
      </c>
      <c r="U341" s="7" t="s">
        <v>2457</v>
      </c>
    </row>
    <row r="342" spans="1:21" ht="16.5" thickBot="1">
      <c r="A342" s="50" t="s">
        <v>35</v>
      </c>
      <c r="B342" s="51">
        <f t="shared" si="18"/>
        <v>90</v>
      </c>
      <c r="C342" s="51" t="s">
        <v>3</v>
      </c>
      <c r="D342" s="51">
        <f t="shared" si="19"/>
        <v>400</v>
      </c>
      <c r="E342" s="51" t="s">
        <v>3</v>
      </c>
      <c r="F342" s="99">
        <f t="shared" si="20"/>
        <v>1950</v>
      </c>
      <c r="G342" s="51" t="s">
        <v>3</v>
      </c>
      <c r="H342" s="48">
        <v>4</v>
      </c>
      <c r="I342" s="49" t="s">
        <v>45</v>
      </c>
      <c r="J342" s="184">
        <v>90</v>
      </c>
      <c r="K342" s="75">
        <v>400</v>
      </c>
      <c r="L342" s="75">
        <v>1950</v>
      </c>
      <c r="M342" s="185">
        <v>24.060714161198426</v>
      </c>
      <c r="N342" s="87">
        <v>1300.7976589440002</v>
      </c>
      <c r="O342" s="120">
        <v>34526.212963580707</v>
      </c>
      <c r="P342" s="121">
        <v>42618.853366330288</v>
      </c>
      <c r="Q342" s="120">
        <v>28672.678220671129</v>
      </c>
      <c r="R342" s="314">
        <v>63198.891184251836</v>
      </c>
      <c r="S342" s="315">
        <v>71291.531587001416</v>
      </c>
      <c r="U342" s="7" t="s">
        <v>2458</v>
      </c>
    </row>
    <row r="343" spans="1:21" ht="16.5" thickBot="1">
      <c r="A343" s="50" t="s">
        <v>35</v>
      </c>
      <c r="B343" s="51">
        <f t="shared" si="18"/>
        <v>90</v>
      </c>
      <c r="C343" s="51" t="s">
        <v>3</v>
      </c>
      <c r="D343" s="51">
        <f t="shared" si="19"/>
        <v>400</v>
      </c>
      <c r="E343" s="51" t="s">
        <v>3</v>
      </c>
      <c r="F343" s="99">
        <f t="shared" si="20"/>
        <v>2000</v>
      </c>
      <c r="G343" s="51" t="s">
        <v>3</v>
      </c>
      <c r="H343" s="48">
        <v>4</v>
      </c>
      <c r="I343" s="49" t="s">
        <v>45</v>
      </c>
      <c r="J343" s="184">
        <v>90</v>
      </c>
      <c r="K343" s="75">
        <v>400</v>
      </c>
      <c r="L343" s="75">
        <v>2000</v>
      </c>
      <c r="M343" s="185">
        <v>24.740353550695264</v>
      </c>
      <c r="N343" s="87">
        <v>1341.4475857859998</v>
      </c>
      <c r="O343" s="120">
        <v>35464.19421541928</v>
      </c>
      <c r="P343" s="121">
        <v>43829.991946670525</v>
      </c>
      <c r="Q343" s="120">
        <v>29505.651695454384</v>
      </c>
      <c r="R343" s="314">
        <v>64969.845910873664</v>
      </c>
      <c r="S343" s="315">
        <v>73335.643642124909</v>
      </c>
      <c r="U343" s="7" t="s">
        <v>2459</v>
      </c>
    </row>
    <row r="344" spans="1:21" ht="16.5" thickBot="1">
      <c r="A344" s="50" t="s">
        <v>35</v>
      </c>
      <c r="B344" s="51">
        <f t="shared" si="18"/>
        <v>90</v>
      </c>
      <c r="C344" s="51" t="s">
        <v>3</v>
      </c>
      <c r="D344" s="51">
        <f t="shared" si="19"/>
        <v>400</v>
      </c>
      <c r="E344" s="51" t="s">
        <v>3</v>
      </c>
      <c r="F344" s="99">
        <f t="shared" si="20"/>
        <v>2050</v>
      </c>
      <c r="G344" s="51" t="s">
        <v>3</v>
      </c>
      <c r="H344" s="48">
        <v>4</v>
      </c>
      <c r="I344" s="49" t="s">
        <v>45</v>
      </c>
      <c r="J344" s="184">
        <v>90</v>
      </c>
      <c r="K344" s="75">
        <v>400</v>
      </c>
      <c r="L344" s="75">
        <v>2050</v>
      </c>
      <c r="M344" s="185">
        <v>25.311390540192107</v>
      </c>
      <c r="N344" s="87">
        <v>1382.0975126279998</v>
      </c>
      <c r="O344" s="120">
        <v>36171.632578435994</v>
      </c>
      <c r="P344" s="121">
        <v>44728.449799491464</v>
      </c>
      <c r="Q344" s="120">
        <v>30108.043532847722</v>
      </c>
      <c r="R344" s="314">
        <v>66279.676111283712</v>
      </c>
      <c r="S344" s="315">
        <v>74836.493332339189</v>
      </c>
      <c r="U344" s="7" t="s">
        <v>2460</v>
      </c>
    </row>
    <row r="345" spans="1:21" ht="16.5" thickBot="1">
      <c r="A345" s="47" t="s">
        <v>35</v>
      </c>
      <c r="B345" s="48">
        <f t="shared" si="18"/>
        <v>90</v>
      </c>
      <c r="C345" s="48" t="s">
        <v>3</v>
      </c>
      <c r="D345" s="48">
        <f t="shared" si="19"/>
        <v>400</v>
      </c>
      <c r="E345" s="48" t="s">
        <v>3</v>
      </c>
      <c r="F345" s="99">
        <f t="shared" si="20"/>
        <v>2100</v>
      </c>
      <c r="G345" s="48" t="s">
        <v>3</v>
      </c>
      <c r="H345" s="48">
        <v>4</v>
      </c>
      <c r="I345" s="49" t="s">
        <v>45</v>
      </c>
      <c r="J345" s="184">
        <v>90</v>
      </c>
      <c r="K345" s="75">
        <v>400</v>
      </c>
      <c r="L345" s="75">
        <v>2100</v>
      </c>
      <c r="M345" s="185">
        <v>25.899467529688948</v>
      </c>
      <c r="N345" s="87">
        <v>1422.74743947</v>
      </c>
      <c r="O345" s="120">
        <v>36879.070941452708</v>
      </c>
      <c r="P345" s="121">
        <v>45626.907511919038</v>
      </c>
      <c r="Q345" s="120">
        <v>30941.01700763097</v>
      </c>
      <c r="R345" s="314">
        <v>67820.087949083681</v>
      </c>
      <c r="S345" s="315">
        <v>76567.924519550012</v>
      </c>
      <c r="U345" s="7" t="s">
        <v>2461</v>
      </c>
    </row>
    <row r="346" spans="1:21" ht="16.5" thickBot="1">
      <c r="A346" s="50" t="s">
        <v>35</v>
      </c>
      <c r="B346" s="51">
        <f t="shared" si="18"/>
        <v>90</v>
      </c>
      <c r="C346" s="51" t="s">
        <v>3</v>
      </c>
      <c r="D346" s="51">
        <f t="shared" si="19"/>
        <v>400</v>
      </c>
      <c r="E346" s="51" t="s">
        <v>3</v>
      </c>
      <c r="F346" s="99">
        <f t="shared" si="20"/>
        <v>2150</v>
      </c>
      <c r="G346" s="51" t="s">
        <v>3</v>
      </c>
      <c r="H346" s="48">
        <v>4</v>
      </c>
      <c r="I346" s="49" t="s">
        <v>45</v>
      </c>
      <c r="J346" s="184">
        <v>90</v>
      </c>
      <c r="K346" s="75">
        <v>400</v>
      </c>
      <c r="L346" s="75">
        <v>2150</v>
      </c>
      <c r="M346" s="185">
        <v>26.470504519185791</v>
      </c>
      <c r="N346" s="87">
        <v>1463.3973663119998</v>
      </c>
      <c r="O346" s="120">
        <v>37586.509304469422</v>
      </c>
      <c r="P346" s="121">
        <v>46525.36536473997</v>
      </c>
      <c r="Q346" s="120">
        <v>31543.408845024307</v>
      </c>
      <c r="R346" s="314">
        <v>69129.918149493722</v>
      </c>
      <c r="S346" s="315">
        <v>78068.774209764277</v>
      </c>
      <c r="U346" s="7" t="s">
        <v>2462</v>
      </c>
    </row>
    <row r="347" spans="1:21" ht="16.5" thickBot="1">
      <c r="A347" s="50" t="s">
        <v>35</v>
      </c>
      <c r="B347" s="51">
        <f t="shared" si="18"/>
        <v>90</v>
      </c>
      <c r="C347" s="51" t="s">
        <v>3</v>
      </c>
      <c r="D347" s="51">
        <f t="shared" si="19"/>
        <v>400</v>
      </c>
      <c r="E347" s="51" t="s">
        <v>3</v>
      </c>
      <c r="F347" s="99">
        <f t="shared" si="20"/>
        <v>2200</v>
      </c>
      <c r="G347" s="51" t="s">
        <v>3</v>
      </c>
      <c r="H347" s="48">
        <v>4</v>
      </c>
      <c r="I347" s="49" t="s">
        <v>45</v>
      </c>
      <c r="J347" s="184">
        <v>90</v>
      </c>
      <c r="K347" s="75">
        <v>400</v>
      </c>
      <c r="L347" s="75">
        <v>2200</v>
      </c>
      <c r="M347" s="185">
        <v>27.058581508682636</v>
      </c>
      <c r="N347" s="87">
        <v>1504.047293154</v>
      </c>
      <c r="O347" s="120">
        <v>38293.947667486136</v>
      </c>
      <c r="P347" s="121">
        <v>47423.823217560908</v>
      </c>
      <c r="Q347" s="120">
        <v>32376.382319807555</v>
      </c>
      <c r="R347" s="314">
        <v>70670.329987293691</v>
      </c>
      <c r="S347" s="315">
        <v>79800.205537368456</v>
      </c>
      <c r="U347" s="7" t="s">
        <v>2463</v>
      </c>
    </row>
    <row r="348" spans="1:21" ht="16.5" thickBot="1">
      <c r="A348" s="50" t="s">
        <v>35</v>
      </c>
      <c r="B348" s="51">
        <f t="shared" si="18"/>
        <v>90</v>
      </c>
      <c r="C348" s="51" t="s">
        <v>3</v>
      </c>
      <c r="D348" s="51">
        <f t="shared" si="19"/>
        <v>400</v>
      </c>
      <c r="E348" s="51" t="s">
        <v>3</v>
      </c>
      <c r="F348" s="99">
        <f t="shared" si="20"/>
        <v>2250</v>
      </c>
      <c r="G348" s="51" t="s">
        <v>3</v>
      </c>
      <c r="H348" s="48">
        <v>4</v>
      </c>
      <c r="I348" s="49" t="s">
        <v>45</v>
      </c>
      <c r="J348" s="184">
        <v>90</v>
      </c>
      <c r="K348" s="75">
        <v>400</v>
      </c>
      <c r="L348" s="75">
        <v>2250</v>
      </c>
      <c r="M348" s="185">
        <v>27.629618498179475</v>
      </c>
      <c r="N348" s="87">
        <v>1544.6972199959998</v>
      </c>
      <c r="O348" s="120">
        <v>39001.38603050285</v>
      </c>
      <c r="P348" s="121">
        <v>48322.281070381847</v>
      </c>
      <c r="Q348" s="120">
        <v>32978.774157200758</v>
      </c>
      <c r="R348" s="314">
        <v>71980.160187703616</v>
      </c>
      <c r="S348" s="315">
        <v>81301.055227582605</v>
      </c>
      <c r="U348" s="7" t="s">
        <v>2464</v>
      </c>
    </row>
    <row r="349" spans="1:21" ht="16.5" thickBot="1">
      <c r="A349" s="50" t="s">
        <v>35</v>
      </c>
      <c r="B349" s="51">
        <f t="shared" si="18"/>
        <v>90</v>
      </c>
      <c r="C349" s="51" t="s">
        <v>3</v>
      </c>
      <c r="D349" s="51">
        <f t="shared" si="19"/>
        <v>400</v>
      </c>
      <c r="E349" s="51" t="s">
        <v>3</v>
      </c>
      <c r="F349" s="99">
        <f t="shared" si="20"/>
        <v>2300</v>
      </c>
      <c r="G349" s="51" t="s">
        <v>3</v>
      </c>
      <c r="H349" s="48">
        <v>4</v>
      </c>
      <c r="I349" s="49" t="s">
        <v>45</v>
      </c>
      <c r="J349" s="184">
        <v>90</v>
      </c>
      <c r="K349" s="75">
        <v>400</v>
      </c>
      <c r="L349" s="75">
        <v>2300</v>
      </c>
      <c r="M349" s="185">
        <v>28.200655487676315</v>
      </c>
      <c r="N349" s="87">
        <v>1585.3471468379998</v>
      </c>
      <c r="O349" s="120">
        <v>39708.824393519564</v>
      </c>
      <c r="P349" s="121">
        <v>49220.738782809422</v>
      </c>
      <c r="Q349" s="120">
        <v>33581.165854200874</v>
      </c>
      <c r="R349" s="314">
        <v>73289.990247720445</v>
      </c>
      <c r="S349" s="315">
        <v>82801.904637010302</v>
      </c>
      <c r="U349" s="7" t="s">
        <v>2465</v>
      </c>
    </row>
    <row r="350" spans="1:21" ht="16.5" thickBot="1">
      <c r="A350" s="50" t="s">
        <v>35</v>
      </c>
      <c r="B350" s="51">
        <f t="shared" si="18"/>
        <v>90</v>
      </c>
      <c r="C350" s="51" t="s">
        <v>3</v>
      </c>
      <c r="D350" s="51">
        <f t="shared" si="19"/>
        <v>400</v>
      </c>
      <c r="E350" s="51" t="s">
        <v>3</v>
      </c>
      <c r="F350" s="99">
        <f t="shared" si="20"/>
        <v>2350</v>
      </c>
      <c r="G350" s="51" t="s">
        <v>3</v>
      </c>
      <c r="H350" s="48">
        <v>4</v>
      </c>
      <c r="I350" s="49" t="s">
        <v>45</v>
      </c>
      <c r="J350" s="184">
        <v>90</v>
      </c>
      <c r="K350" s="75">
        <v>400</v>
      </c>
      <c r="L350" s="75">
        <v>2350</v>
      </c>
      <c r="M350" s="185">
        <v>28.788732477173156</v>
      </c>
      <c r="N350" s="87">
        <v>1625.9970736799999</v>
      </c>
      <c r="O350" s="120">
        <v>40416.262756536271</v>
      </c>
      <c r="P350" s="121">
        <v>50119.19663563036</v>
      </c>
      <c r="Q350" s="120">
        <v>34414.139469377486</v>
      </c>
      <c r="R350" s="314">
        <v>74830.402225913756</v>
      </c>
      <c r="S350" s="315">
        <v>84533.336105007853</v>
      </c>
      <c r="U350" s="7" t="s">
        <v>2466</v>
      </c>
    </row>
    <row r="351" spans="1:21" ht="16.5" thickBot="1">
      <c r="A351" s="50" t="s">
        <v>35</v>
      </c>
      <c r="B351" s="51">
        <f t="shared" si="18"/>
        <v>90</v>
      </c>
      <c r="C351" s="51" t="s">
        <v>3</v>
      </c>
      <c r="D351" s="51">
        <f t="shared" si="19"/>
        <v>400</v>
      </c>
      <c r="E351" s="51" t="s">
        <v>3</v>
      </c>
      <c r="F351" s="99">
        <f t="shared" si="20"/>
        <v>2400</v>
      </c>
      <c r="G351" s="51" t="s">
        <v>3</v>
      </c>
      <c r="H351" s="48">
        <v>4</v>
      </c>
      <c r="I351" s="49" t="s">
        <v>45</v>
      </c>
      <c r="J351" s="184">
        <v>90</v>
      </c>
      <c r="K351" s="75">
        <v>400</v>
      </c>
      <c r="L351" s="75">
        <v>2400</v>
      </c>
      <c r="M351" s="185">
        <v>29.359769466669995</v>
      </c>
      <c r="N351" s="87">
        <v>1666.6470005220001</v>
      </c>
      <c r="O351" s="120">
        <v>41123.701119552985</v>
      </c>
      <c r="P351" s="121">
        <v>51017.654488451299</v>
      </c>
      <c r="Q351" s="120">
        <v>35016.531306770819</v>
      </c>
      <c r="R351" s="314">
        <v>76140.232426323812</v>
      </c>
      <c r="S351" s="315">
        <v>86034.185795222118</v>
      </c>
      <c r="U351" s="7" t="s">
        <v>2467</v>
      </c>
    </row>
    <row r="352" spans="1:21" ht="16.5" thickBot="1">
      <c r="A352" s="50" t="s">
        <v>35</v>
      </c>
      <c r="B352" s="51">
        <f t="shared" si="18"/>
        <v>90</v>
      </c>
      <c r="C352" s="51" t="s">
        <v>3</v>
      </c>
      <c r="D352" s="51">
        <f t="shared" si="19"/>
        <v>400</v>
      </c>
      <c r="E352" s="51" t="s">
        <v>3</v>
      </c>
      <c r="F352" s="99">
        <f t="shared" si="20"/>
        <v>2450</v>
      </c>
      <c r="G352" s="51" t="s">
        <v>3</v>
      </c>
      <c r="H352" s="48">
        <v>4</v>
      </c>
      <c r="I352" s="49" t="s">
        <v>45</v>
      </c>
      <c r="J352" s="184">
        <v>90</v>
      </c>
      <c r="K352" s="75">
        <v>400</v>
      </c>
      <c r="L352" s="75">
        <v>2450</v>
      </c>
      <c r="M352" s="185">
        <v>30.144413108966841</v>
      </c>
      <c r="N352" s="87">
        <v>1707.2969273639999</v>
      </c>
      <c r="O352" s="120">
        <v>42641.704351584231</v>
      </c>
      <c r="P352" s="121">
        <v>52681.046559607021</v>
      </c>
      <c r="Q352" s="120">
        <v>35849.504781554067</v>
      </c>
      <c r="R352" s="314">
        <v>78491.209133138298</v>
      </c>
      <c r="S352" s="315">
        <v>88530.551341161088</v>
      </c>
      <c r="U352" s="7" t="s">
        <v>2468</v>
      </c>
    </row>
    <row r="353" spans="1:21" ht="16.5" thickBot="1">
      <c r="A353" s="50" t="s">
        <v>35</v>
      </c>
      <c r="B353" s="51">
        <f t="shared" si="18"/>
        <v>90</v>
      </c>
      <c r="C353" s="51" t="s">
        <v>3</v>
      </c>
      <c r="D353" s="51">
        <f t="shared" si="19"/>
        <v>400</v>
      </c>
      <c r="E353" s="51" t="s">
        <v>3</v>
      </c>
      <c r="F353" s="99">
        <f t="shared" si="20"/>
        <v>2500</v>
      </c>
      <c r="G353" s="51" t="s">
        <v>3</v>
      </c>
      <c r="H353" s="48">
        <v>4</v>
      </c>
      <c r="I353" s="49" t="s">
        <v>45</v>
      </c>
      <c r="J353" s="184">
        <v>90</v>
      </c>
      <c r="K353" s="75">
        <v>400</v>
      </c>
      <c r="L353" s="75">
        <v>2500</v>
      </c>
      <c r="M353" s="185">
        <v>30.715450098463684</v>
      </c>
      <c r="N353" s="87">
        <v>1747.9468542059999</v>
      </c>
      <c r="O353" s="120">
        <v>43349.142714600945</v>
      </c>
      <c r="P353" s="121">
        <v>53579.504412427967</v>
      </c>
      <c r="Q353" s="120">
        <v>36451.896618947409</v>
      </c>
      <c r="R353" s="314">
        <v>79801.039333548353</v>
      </c>
      <c r="S353" s="315">
        <v>90031.401031375368</v>
      </c>
      <c r="U353" s="7" t="s">
        <v>2469</v>
      </c>
    </row>
    <row r="354" spans="1:21" ht="16.5" thickBot="1">
      <c r="A354" s="50" t="s">
        <v>35</v>
      </c>
      <c r="B354" s="51">
        <f t="shared" si="18"/>
        <v>90</v>
      </c>
      <c r="C354" s="51" t="s">
        <v>3</v>
      </c>
      <c r="D354" s="51">
        <f t="shared" si="19"/>
        <v>400</v>
      </c>
      <c r="E354" s="51" t="s">
        <v>3</v>
      </c>
      <c r="F354" s="99">
        <f t="shared" si="20"/>
        <v>2550</v>
      </c>
      <c r="G354" s="51" t="s">
        <v>3</v>
      </c>
      <c r="H354" s="48">
        <v>4</v>
      </c>
      <c r="I354" s="49" t="s">
        <v>45</v>
      </c>
      <c r="J354" s="184">
        <v>90</v>
      </c>
      <c r="K354" s="75">
        <v>400</v>
      </c>
      <c r="L354" s="75">
        <v>2550</v>
      </c>
      <c r="M354" s="185">
        <v>31.303527087960525</v>
      </c>
      <c r="N354" s="87">
        <v>1788.5967810479999</v>
      </c>
      <c r="O354" s="120">
        <v>44056.581077617659</v>
      </c>
      <c r="P354" s="121">
        <v>54477.962265248898</v>
      </c>
      <c r="Q354" s="120">
        <v>37284.870093730657</v>
      </c>
      <c r="R354" s="314">
        <v>81341.451171348308</v>
      </c>
      <c r="S354" s="315">
        <v>91762.832358979562</v>
      </c>
      <c r="U354" s="7" t="s">
        <v>2470</v>
      </c>
    </row>
    <row r="355" spans="1:21" ht="16.5" thickBot="1">
      <c r="A355" s="47" t="s">
        <v>35</v>
      </c>
      <c r="B355" s="48">
        <f t="shared" si="18"/>
        <v>90</v>
      </c>
      <c r="C355" s="48" t="s">
        <v>3</v>
      </c>
      <c r="D355" s="48">
        <f t="shared" si="19"/>
        <v>400</v>
      </c>
      <c r="E355" s="48" t="s">
        <v>3</v>
      </c>
      <c r="F355" s="99">
        <f t="shared" si="20"/>
        <v>2600</v>
      </c>
      <c r="G355" s="48" t="s">
        <v>3</v>
      </c>
      <c r="H355" s="48">
        <v>4</v>
      </c>
      <c r="I355" s="49" t="s">
        <v>45</v>
      </c>
      <c r="J355" s="184">
        <v>90</v>
      </c>
      <c r="K355" s="75">
        <v>400</v>
      </c>
      <c r="L355" s="75">
        <v>2600</v>
      </c>
      <c r="M355" s="185">
        <v>31.874564077457372</v>
      </c>
      <c r="N355" s="87">
        <v>1829.2467078899999</v>
      </c>
      <c r="O355" s="120">
        <v>44764.019440634373</v>
      </c>
      <c r="P355" s="121">
        <v>55376.419977676473</v>
      </c>
      <c r="Q355" s="120">
        <v>37887.261931123991</v>
      </c>
      <c r="R355" s="314">
        <v>82651.281371758363</v>
      </c>
      <c r="S355" s="315">
        <v>93263.68190880047</v>
      </c>
      <c r="U355" s="7" t="s">
        <v>2471</v>
      </c>
    </row>
    <row r="356" spans="1:21" ht="16.5" thickBot="1">
      <c r="A356" s="50" t="s">
        <v>35</v>
      </c>
      <c r="B356" s="51">
        <f t="shared" si="18"/>
        <v>90</v>
      </c>
      <c r="C356" s="51" t="s">
        <v>3</v>
      </c>
      <c r="D356" s="51">
        <f t="shared" si="19"/>
        <v>400</v>
      </c>
      <c r="E356" s="51" t="s">
        <v>3</v>
      </c>
      <c r="F356" s="99">
        <f t="shared" si="20"/>
        <v>2650</v>
      </c>
      <c r="G356" s="51" t="s">
        <v>3</v>
      </c>
      <c r="H356" s="48">
        <v>4</v>
      </c>
      <c r="I356" s="49" t="s">
        <v>45</v>
      </c>
      <c r="J356" s="184">
        <v>90</v>
      </c>
      <c r="K356" s="75">
        <v>400</v>
      </c>
      <c r="L356" s="75">
        <v>2650</v>
      </c>
      <c r="M356" s="185">
        <v>32.462641066954212</v>
      </c>
      <c r="N356" s="87">
        <v>1869.8966347319999</v>
      </c>
      <c r="O356" s="120">
        <v>45471.457803651087</v>
      </c>
      <c r="P356" s="121">
        <v>56274.877830497411</v>
      </c>
      <c r="Q356" s="120">
        <v>38720.235405907246</v>
      </c>
      <c r="R356" s="314">
        <v>84191.693209558332</v>
      </c>
      <c r="S356" s="315">
        <v>94995.113236404664</v>
      </c>
      <c r="U356" s="7" t="s">
        <v>2472</v>
      </c>
    </row>
    <row r="357" spans="1:21" ht="16.5" thickBot="1">
      <c r="A357" s="50" t="s">
        <v>35</v>
      </c>
      <c r="B357" s="51">
        <f t="shared" si="18"/>
        <v>90</v>
      </c>
      <c r="C357" s="51" t="s">
        <v>3</v>
      </c>
      <c r="D357" s="51">
        <f t="shared" si="19"/>
        <v>400</v>
      </c>
      <c r="E357" s="51" t="s">
        <v>3</v>
      </c>
      <c r="F357" s="99">
        <f t="shared" si="20"/>
        <v>2700</v>
      </c>
      <c r="G357" s="51" t="s">
        <v>3</v>
      </c>
      <c r="H357" s="48">
        <v>4</v>
      </c>
      <c r="I357" s="49" t="s">
        <v>45</v>
      </c>
      <c r="J357" s="184">
        <v>90</v>
      </c>
      <c r="K357" s="75">
        <v>400</v>
      </c>
      <c r="L357" s="75">
        <v>2700</v>
      </c>
      <c r="M357" s="185">
        <v>33.112178056451057</v>
      </c>
      <c r="N357" s="87">
        <v>1910.5465615740002</v>
      </c>
      <c r="O357" s="120">
        <v>46256.050602569936</v>
      </c>
      <c r="P357" s="121">
        <v>57250.961138951672</v>
      </c>
      <c r="Q357" s="120">
        <v>39322.627243300587</v>
      </c>
      <c r="R357" s="314">
        <v>85578.677845870523</v>
      </c>
      <c r="S357" s="315">
        <v>96573.588382252259</v>
      </c>
      <c r="U357" s="7" t="s">
        <v>2473</v>
      </c>
    </row>
    <row r="358" spans="1:21" ht="16.5" thickBot="1">
      <c r="A358" s="50" t="s">
        <v>35</v>
      </c>
      <c r="B358" s="51">
        <f t="shared" si="18"/>
        <v>90</v>
      </c>
      <c r="C358" s="51" t="s">
        <v>3</v>
      </c>
      <c r="D358" s="51">
        <f t="shared" si="19"/>
        <v>400</v>
      </c>
      <c r="E358" s="51" t="s">
        <v>3</v>
      </c>
      <c r="F358" s="99">
        <f t="shared" si="20"/>
        <v>2750</v>
      </c>
      <c r="G358" s="51" t="s">
        <v>3</v>
      </c>
      <c r="H358" s="48">
        <v>4</v>
      </c>
      <c r="I358" s="49" t="s">
        <v>45</v>
      </c>
      <c r="J358" s="184">
        <v>90</v>
      </c>
      <c r="K358" s="75">
        <v>400</v>
      </c>
      <c r="L358" s="75">
        <v>2750</v>
      </c>
      <c r="M358" s="185">
        <v>33.683215045947897</v>
      </c>
      <c r="N358" s="87">
        <v>1951.1964884159997</v>
      </c>
      <c r="O358" s="120">
        <v>46963.48896558665</v>
      </c>
      <c r="P358" s="121">
        <v>58149.418851379247</v>
      </c>
      <c r="Q358" s="120">
        <v>39925.018940300557</v>
      </c>
      <c r="R358" s="314">
        <v>86888.507905887207</v>
      </c>
      <c r="S358" s="315">
        <v>98074.437791679811</v>
      </c>
      <c r="U358" s="7" t="s">
        <v>2474</v>
      </c>
    </row>
    <row r="359" spans="1:21" ht="16.5" thickBot="1">
      <c r="A359" s="50" t="s">
        <v>35</v>
      </c>
      <c r="B359" s="51">
        <f t="shared" si="18"/>
        <v>90</v>
      </c>
      <c r="C359" s="51" t="s">
        <v>3</v>
      </c>
      <c r="D359" s="51">
        <f t="shared" si="19"/>
        <v>400</v>
      </c>
      <c r="E359" s="51" t="s">
        <v>3</v>
      </c>
      <c r="F359" s="99">
        <f t="shared" si="20"/>
        <v>2800</v>
      </c>
      <c r="G359" s="51" t="s">
        <v>3</v>
      </c>
      <c r="H359" s="48">
        <v>4</v>
      </c>
      <c r="I359" s="49" t="s">
        <v>45</v>
      </c>
      <c r="J359" s="184">
        <v>90</v>
      </c>
      <c r="K359" s="75">
        <v>400</v>
      </c>
      <c r="L359" s="75">
        <v>2800</v>
      </c>
      <c r="M359" s="185">
        <v>34.271292035444738</v>
      </c>
      <c r="N359" s="87">
        <v>1991.846415258</v>
      </c>
      <c r="O359" s="120">
        <v>47670.927328603357</v>
      </c>
      <c r="P359" s="121">
        <v>59047.876704200185</v>
      </c>
      <c r="Q359" s="120">
        <v>40757.992555477169</v>
      </c>
      <c r="R359" s="314">
        <v>88428.919884080533</v>
      </c>
      <c r="S359" s="315">
        <v>99805.869259677362</v>
      </c>
      <c r="U359" s="7" t="s">
        <v>2475</v>
      </c>
    </row>
    <row r="360" spans="1:21" ht="16.5" thickBot="1">
      <c r="A360" s="50" t="s">
        <v>35</v>
      </c>
      <c r="B360" s="51">
        <f t="shared" si="18"/>
        <v>90</v>
      </c>
      <c r="C360" s="51" t="s">
        <v>3</v>
      </c>
      <c r="D360" s="51">
        <f t="shared" si="19"/>
        <v>400</v>
      </c>
      <c r="E360" s="51" t="s">
        <v>3</v>
      </c>
      <c r="F360" s="99">
        <f t="shared" si="20"/>
        <v>2850</v>
      </c>
      <c r="G360" s="51" t="s">
        <v>3</v>
      </c>
      <c r="H360" s="48">
        <v>4</v>
      </c>
      <c r="I360" s="49" t="s">
        <v>45</v>
      </c>
      <c r="J360" s="184">
        <v>90</v>
      </c>
      <c r="K360" s="75">
        <v>400</v>
      </c>
      <c r="L360" s="75">
        <v>2850</v>
      </c>
      <c r="M360" s="185">
        <v>34.842329024941584</v>
      </c>
      <c r="N360" s="87">
        <v>2032.4963421</v>
      </c>
      <c r="O360" s="120">
        <v>48378.365691620071</v>
      </c>
      <c r="P360" s="121">
        <v>59946.334557021124</v>
      </c>
      <c r="Q360" s="120">
        <v>41360.384252477146</v>
      </c>
      <c r="R360" s="314">
        <v>89738.749944097217</v>
      </c>
      <c r="S360" s="315">
        <v>101306.71880949827</v>
      </c>
      <c r="U360" s="7" t="s">
        <v>2476</v>
      </c>
    </row>
    <row r="361" spans="1:21" ht="16.5" thickBot="1">
      <c r="A361" s="50" t="s">
        <v>35</v>
      </c>
      <c r="B361" s="51">
        <f t="shared" si="18"/>
        <v>90</v>
      </c>
      <c r="C361" s="51" t="s">
        <v>3</v>
      </c>
      <c r="D361" s="51">
        <f t="shared" si="19"/>
        <v>400</v>
      </c>
      <c r="E361" s="51" t="s">
        <v>3</v>
      </c>
      <c r="F361" s="99">
        <f t="shared" si="20"/>
        <v>2900</v>
      </c>
      <c r="G361" s="51" t="s">
        <v>3</v>
      </c>
      <c r="H361" s="48">
        <v>4</v>
      </c>
      <c r="I361" s="49" t="s">
        <v>45</v>
      </c>
      <c r="J361" s="184">
        <v>90</v>
      </c>
      <c r="K361" s="75">
        <v>400</v>
      </c>
      <c r="L361" s="75">
        <v>2900</v>
      </c>
      <c r="M361" s="185">
        <v>35.430406014438418</v>
      </c>
      <c r="N361" s="87">
        <v>2073.146268942</v>
      </c>
      <c r="O361" s="120">
        <v>49085.804054636785</v>
      </c>
      <c r="P361" s="121">
        <v>60844.792409842063</v>
      </c>
      <c r="Q361" s="120">
        <v>42193.357867653758</v>
      </c>
      <c r="R361" s="314">
        <v>91279.161922290543</v>
      </c>
      <c r="S361" s="315">
        <v>103038.15027749582</v>
      </c>
      <c r="U361" s="7" t="s">
        <v>2477</v>
      </c>
    </row>
    <row r="362" spans="1:21" ht="16.5" thickBot="1">
      <c r="A362" s="50" t="s">
        <v>35</v>
      </c>
      <c r="B362" s="51">
        <f t="shared" si="18"/>
        <v>90</v>
      </c>
      <c r="C362" s="51" t="s">
        <v>3</v>
      </c>
      <c r="D362" s="51">
        <f t="shared" si="19"/>
        <v>400</v>
      </c>
      <c r="E362" s="51" t="s">
        <v>3</v>
      </c>
      <c r="F362" s="99">
        <f t="shared" si="20"/>
        <v>2950</v>
      </c>
      <c r="G362" s="51" t="s">
        <v>3</v>
      </c>
      <c r="H362" s="48">
        <v>4</v>
      </c>
      <c r="I362" s="49" t="s">
        <v>45</v>
      </c>
      <c r="J362" s="184">
        <v>90</v>
      </c>
      <c r="K362" s="75">
        <v>400</v>
      </c>
      <c r="L362" s="75">
        <v>2950</v>
      </c>
      <c r="M362" s="185">
        <v>36.001443003935265</v>
      </c>
      <c r="N362" s="87">
        <v>2113.7961957840002</v>
      </c>
      <c r="O362" s="120">
        <v>49793.242417653499</v>
      </c>
      <c r="P362" s="121">
        <v>61743.250122269637</v>
      </c>
      <c r="Q362" s="120">
        <v>42795.749564653735</v>
      </c>
      <c r="R362" s="314">
        <v>92588.991982307227</v>
      </c>
      <c r="S362" s="315">
        <v>104538.99968692337</v>
      </c>
      <c r="U362" s="7" t="s">
        <v>2478</v>
      </c>
    </row>
    <row r="363" spans="1:21" ht="16.5" thickBot="1">
      <c r="A363" s="52" t="s">
        <v>35</v>
      </c>
      <c r="B363" s="53">
        <f t="shared" si="18"/>
        <v>90</v>
      </c>
      <c r="C363" s="53" t="s">
        <v>3</v>
      </c>
      <c r="D363" s="53">
        <f t="shared" si="19"/>
        <v>400</v>
      </c>
      <c r="E363" s="53" t="s">
        <v>3</v>
      </c>
      <c r="F363" s="100">
        <f t="shared" si="20"/>
        <v>3000</v>
      </c>
      <c r="G363" s="53" t="s">
        <v>3</v>
      </c>
      <c r="H363" s="55">
        <v>4</v>
      </c>
      <c r="I363" s="54" t="s">
        <v>45</v>
      </c>
      <c r="J363" s="186">
        <v>90</v>
      </c>
      <c r="K363" s="147">
        <v>400</v>
      </c>
      <c r="L363" s="147">
        <v>3000</v>
      </c>
      <c r="M363" s="187">
        <v>36.589519993432106</v>
      </c>
      <c r="N363" s="148">
        <v>2154.446122626</v>
      </c>
      <c r="O363" s="159">
        <v>51675.838226922046</v>
      </c>
      <c r="P363" s="158">
        <v>62641.707975090576</v>
      </c>
      <c r="Q363" s="159">
        <v>43628.723179830347</v>
      </c>
      <c r="R363" s="316">
        <v>95304.561406752386</v>
      </c>
      <c r="S363" s="317">
        <v>106270.43115492092</v>
      </c>
      <c r="U363" s="7" t="s">
        <v>2479</v>
      </c>
    </row>
    <row r="364" spans="1:21" ht="16.5" thickBot="1">
      <c r="A364" s="2583" t="s">
        <v>136</v>
      </c>
      <c r="B364" s="2584"/>
      <c r="C364" s="2584"/>
      <c r="D364" s="2584"/>
      <c r="E364" s="2584"/>
      <c r="F364" s="2584"/>
      <c r="G364" s="2584"/>
      <c r="H364" s="2584"/>
      <c r="I364" s="2584"/>
      <c r="J364" s="2584"/>
      <c r="K364" s="2584"/>
      <c r="L364" s="2584"/>
      <c r="M364" s="2584"/>
      <c r="N364" s="2584"/>
      <c r="O364" s="2584"/>
      <c r="P364" s="2584"/>
      <c r="Q364" s="2584"/>
      <c r="R364" s="2584"/>
      <c r="S364" s="2585"/>
      <c r="U364" s="7"/>
    </row>
    <row r="365" spans="1:21" ht="16.5" thickBot="1">
      <c r="A365" s="47" t="s">
        <v>35</v>
      </c>
      <c r="B365" s="48">
        <f>J365</f>
        <v>90</v>
      </c>
      <c r="C365" s="48" t="s">
        <v>3</v>
      </c>
      <c r="D365" s="48">
        <f>K365</f>
        <v>400</v>
      </c>
      <c r="E365" s="48" t="s">
        <v>3</v>
      </c>
      <c r="F365" s="99">
        <f>L365</f>
        <v>600</v>
      </c>
      <c r="G365" s="48" t="s">
        <v>3</v>
      </c>
      <c r="H365" s="48">
        <v>6</v>
      </c>
      <c r="I365" s="49" t="s">
        <v>45</v>
      </c>
      <c r="J365" s="181">
        <v>90</v>
      </c>
      <c r="K365" s="143">
        <v>400</v>
      </c>
      <c r="L365" s="143">
        <v>600</v>
      </c>
      <c r="M365" s="182">
        <v>8.6092225796386863</v>
      </c>
      <c r="N365" s="144">
        <v>250.79999999999998</v>
      </c>
      <c r="O365" s="169">
        <v>16767.699440783068</v>
      </c>
      <c r="P365" s="183">
        <v>19784.42666712698</v>
      </c>
      <c r="Q365" s="169">
        <v>9871.7007401553401</v>
      </c>
      <c r="R365" s="312">
        <v>26639.400180938406</v>
      </c>
      <c r="S365" s="313">
        <v>29656.127407282322</v>
      </c>
      <c r="U365" s="7" t="s">
        <v>2480</v>
      </c>
    </row>
    <row r="366" spans="1:21" ht="16.5" thickBot="1">
      <c r="A366" s="50" t="s">
        <v>35</v>
      </c>
      <c r="B366" s="51">
        <f t="shared" ref="B366:B413" si="21">J366</f>
        <v>90</v>
      </c>
      <c r="C366" s="51" t="s">
        <v>3</v>
      </c>
      <c r="D366" s="51">
        <f t="shared" ref="D366:D413" si="22">K366</f>
        <v>400</v>
      </c>
      <c r="E366" s="51" t="s">
        <v>3</v>
      </c>
      <c r="F366" s="99">
        <f t="shared" ref="F366:F413" si="23">L366</f>
        <v>650</v>
      </c>
      <c r="G366" s="51" t="s">
        <v>3</v>
      </c>
      <c r="H366" s="48">
        <v>6</v>
      </c>
      <c r="I366" s="49" t="s">
        <v>45</v>
      </c>
      <c r="J366" s="184">
        <v>90</v>
      </c>
      <c r="K366" s="75">
        <v>400</v>
      </c>
      <c r="L366" s="75">
        <v>650</v>
      </c>
      <c r="M366" s="185">
        <v>9.2468819590155267</v>
      </c>
      <c r="N366" s="87">
        <v>300.95999999999998</v>
      </c>
      <c r="O366" s="120">
        <v>17683.027240828727</v>
      </c>
      <c r="P366" s="121">
        <v>20893.946285395916</v>
      </c>
      <c r="Q366" s="120">
        <v>10474.092577548676</v>
      </c>
      <c r="R366" s="314">
        <v>28157.119818377403</v>
      </c>
      <c r="S366" s="315">
        <v>31368.038862944592</v>
      </c>
      <c r="U366" s="7" t="s">
        <v>2481</v>
      </c>
    </row>
    <row r="367" spans="1:21" ht="16.5" thickBot="1">
      <c r="A367" s="50" t="s">
        <v>35</v>
      </c>
      <c r="B367" s="51">
        <f t="shared" si="21"/>
        <v>90</v>
      </c>
      <c r="C367" s="51" t="s">
        <v>3</v>
      </c>
      <c r="D367" s="51">
        <f t="shared" si="22"/>
        <v>400</v>
      </c>
      <c r="E367" s="51" t="s">
        <v>3</v>
      </c>
      <c r="F367" s="99">
        <f t="shared" si="23"/>
        <v>700</v>
      </c>
      <c r="G367" s="51" t="s">
        <v>3</v>
      </c>
      <c r="H367" s="48">
        <v>6</v>
      </c>
      <c r="I367" s="49" t="s">
        <v>45</v>
      </c>
      <c r="J367" s="184">
        <v>90</v>
      </c>
      <c r="K367" s="75">
        <v>400</v>
      </c>
      <c r="L367" s="75">
        <v>700</v>
      </c>
      <c r="M367" s="185">
        <v>9.9015813383923685</v>
      </c>
      <c r="N367" s="87">
        <v>351.12</v>
      </c>
      <c r="O367" s="120">
        <v>18598.355181267754</v>
      </c>
      <c r="P367" s="121">
        <v>22003.466044058216</v>
      </c>
      <c r="Q367" s="120">
        <v>11307.066052331927</v>
      </c>
      <c r="R367" s="314">
        <v>29905.421233599682</v>
      </c>
      <c r="S367" s="315">
        <v>33310.532096390147</v>
      </c>
      <c r="U367" s="7" t="s">
        <v>2482</v>
      </c>
    </row>
    <row r="368" spans="1:21" ht="16.5" thickBot="1">
      <c r="A368" s="50" t="s">
        <v>35</v>
      </c>
      <c r="B368" s="51">
        <f t="shared" si="21"/>
        <v>90</v>
      </c>
      <c r="C368" s="51" t="s">
        <v>3</v>
      </c>
      <c r="D368" s="51">
        <f t="shared" si="22"/>
        <v>400</v>
      </c>
      <c r="E368" s="51" t="s">
        <v>3</v>
      </c>
      <c r="F368" s="99">
        <f t="shared" si="23"/>
        <v>750</v>
      </c>
      <c r="G368" s="51" t="s">
        <v>3</v>
      </c>
      <c r="H368" s="48">
        <v>6</v>
      </c>
      <c r="I368" s="49" t="s">
        <v>45</v>
      </c>
      <c r="J368" s="184">
        <v>90</v>
      </c>
      <c r="K368" s="75">
        <v>400</v>
      </c>
      <c r="L368" s="75">
        <v>750</v>
      </c>
      <c r="M368" s="185">
        <v>10.539240717769211</v>
      </c>
      <c r="N368" s="87">
        <v>401.28</v>
      </c>
      <c r="O368" s="120">
        <v>19513.683121706781</v>
      </c>
      <c r="P368" s="121">
        <v>23112.985802720515</v>
      </c>
      <c r="Q368" s="120">
        <v>11909.457889725263</v>
      </c>
      <c r="R368" s="314">
        <v>31423.141011432046</v>
      </c>
      <c r="S368" s="315">
        <v>35022.443692445777</v>
      </c>
      <c r="U368" s="7" t="s">
        <v>2483</v>
      </c>
    </row>
    <row r="369" spans="1:21" ht="16.5" thickBot="1">
      <c r="A369" s="50" t="s">
        <v>35</v>
      </c>
      <c r="B369" s="51">
        <f t="shared" si="21"/>
        <v>90</v>
      </c>
      <c r="C369" s="51" t="s">
        <v>3</v>
      </c>
      <c r="D369" s="51">
        <f t="shared" si="22"/>
        <v>400</v>
      </c>
      <c r="E369" s="51" t="s">
        <v>3</v>
      </c>
      <c r="F369" s="99">
        <f t="shared" si="23"/>
        <v>800</v>
      </c>
      <c r="G369" s="51" t="s">
        <v>3</v>
      </c>
      <c r="H369" s="48">
        <v>6</v>
      </c>
      <c r="I369" s="49" t="s">
        <v>45</v>
      </c>
      <c r="J369" s="184">
        <v>90</v>
      </c>
      <c r="K369" s="75">
        <v>400</v>
      </c>
      <c r="L369" s="75">
        <v>800</v>
      </c>
      <c r="M369" s="185">
        <v>11.176900097146053</v>
      </c>
      <c r="N369" s="87">
        <v>451.44</v>
      </c>
      <c r="O369" s="120">
        <v>20429.01092175244</v>
      </c>
      <c r="P369" s="121">
        <v>24222.505420989455</v>
      </c>
      <c r="Q369" s="120">
        <v>12511.84958672524</v>
      </c>
      <c r="R369" s="314">
        <v>32940.860508477679</v>
      </c>
      <c r="S369" s="315">
        <v>36734.355007714694</v>
      </c>
      <c r="U369" s="7" t="s">
        <v>2484</v>
      </c>
    </row>
    <row r="370" spans="1:21" ht="16.5" thickBot="1">
      <c r="A370" s="50" t="s">
        <v>35</v>
      </c>
      <c r="B370" s="51">
        <f t="shared" si="21"/>
        <v>90</v>
      </c>
      <c r="C370" s="51" t="s">
        <v>3</v>
      </c>
      <c r="D370" s="51">
        <f t="shared" si="22"/>
        <v>400</v>
      </c>
      <c r="E370" s="51" t="s">
        <v>3</v>
      </c>
      <c r="F370" s="99">
        <f t="shared" si="23"/>
        <v>850</v>
      </c>
      <c r="G370" s="51" t="s">
        <v>3</v>
      </c>
      <c r="H370" s="48">
        <v>6</v>
      </c>
      <c r="I370" s="49" t="s">
        <v>45</v>
      </c>
      <c r="J370" s="184">
        <v>90</v>
      </c>
      <c r="K370" s="75">
        <v>400</v>
      </c>
      <c r="L370" s="75">
        <v>850</v>
      </c>
      <c r="M370" s="185">
        <v>11.831599476522895</v>
      </c>
      <c r="N370" s="87">
        <v>501.59999999999997</v>
      </c>
      <c r="O370" s="120">
        <v>21344.338862191467</v>
      </c>
      <c r="P370" s="121">
        <v>25332.025179651755</v>
      </c>
      <c r="Q370" s="120">
        <v>13344.823201901852</v>
      </c>
      <c r="R370" s="314">
        <v>34689.162064093318</v>
      </c>
      <c r="S370" s="315">
        <v>38676.848381553609</v>
      </c>
      <c r="U370" s="7" t="s">
        <v>2485</v>
      </c>
    </row>
    <row r="371" spans="1:21" ht="16.5" thickBot="1">
      <c r="A371" s="50" t="s">
        <v>35</v>
      </c>
      <c r="B371" s="51">
        <f t="shared" si="21"/>
        <v>90</v>
      </c>
      <c r="C371" s="51" t="s">
        <v>3</v>
      </c>
      <c r="D371" s="51">
        <f t="shared" si="22"/>
        <v>400</v>
      </c>
      <c r="E371" s="51" t="s">
        <v>3</v>
      </c>
      <c r="F371" s="99">
        <f t="shared" si="23"/>
        <v>900</v>
      </c>
      <c r="G371" s="51" t="s">
        <v>3</v>
      </c>
      <c r="H371" s="48">
        <v>6</v>
      </c>
      <c r="I371" s="49" t="s">
        <v>45</v>
      </c>
      <c r="J371" s="184">
        <v>90</v>
      </c>
      <c r="K371" s="75">
        <v>400</v>
      </c>
      <c r="L371" s="75">
        <v>900</v>
      </c>
      <c r="M371" s="185">
        <v>12.469258855899739</v>
      </c>
      <c r="N371" s="87">
        <v>551.76</v>
      </c>
      <c r="O371" s="120">
        <v>22259.666802630494</v>
      </c>
      <c r="P371" s="121">
        <v>26441.544797920691</v>
      </c>
      <c r="Q371" s="120">
        <v>13947.21489890183</v>
      </c>
      <c r="R371" s="314">
        <v>36206.881701532322</v>
      </c>
      <c r="S371" s="315">
        <v>40388.759696822519</v>
      </c>
      <c r="U371" s="7" t="s">
        <v>2486</v>
      </c>
    </row>
    <row r="372" spans="1:21" ht="16.5" thickBot="1">
      <c r="A372" s="50" t="s">
        <v>35</v>
      </c>
      <c r="B372" s="51">
        <f t="shared" si="21"/>
        <v>90</v>
      </c>
      <c r="C372" s="51" t="s">
        <v>3</v>
      </c>
      <c r="D372" s="51">
        <f t="shared" si="22"/>
        <v>400</v>
      </c>
      <c r="E372" s="51" t="s">
        <v>3</v>
      </c>
      <c r="F372" s="99">
        <f t="shared" si="23"/>
        <v>950</v>
      </c>
      <c r="G372" s="51" t="s">
        <v>3</v>
      </c>
      <c r="H372" s="48">
        <v>6</v>
      </c>
      <c r="I372" s="49" t="s">
        <v>45</v>
      </c>
      <c r="J372" s="184">
        <v>90</v>
      </c>
      <c r="K372" s="75">
        <v>400</v>
      </c>
      <c r="L372" s="75">
        <v>950</v>
      </c>
      <c r="M372" s="185">
        <v>13.123958235276579</v>
      </c>
      <c r="N372" s="87">
        <v>601.91999999999996</v>
      </c>
      <c r="O372" s="120">
        <v>23174.994743069517</v>
      </c>
      <c r="P372" s="121">
        <v>27551.064556582995</v>
      </c>
      <c r="Q372" s="120">
        <v>14780.188514078442</v>
      </c>
      <c r="R372" s="314">
        <v>37955.183257147961</v>
      </c>
      <c r="S372" s="315">
        <v>42331.253070661434</v>
      </c>
      <c r="U372" s="7" t="s">
        <v>2487</v>
      </c>
    </row>
    <row r="373" spans="1:21" ht="16.5" thickBot="1">
      <c r="A373" s="50" t="s">
        <v>35</v>
      </c>
      <c r="B373" s="51">
        <f t="shared" si="21"/>
        <v>90</v>
      </c>
      <c r="C373" s="51" t="s">
        <v>3</v>
      </c>
      <c r="D373" s="51">
        <f t="shared" si="22"/>
        <v>400</v>
      </c>
      <c r="E373" s="51" t="s">
        <v>3</v>
      </c>
      <c r="F373" s="99">
        <f t="shared" si="23"/>
        <v>1000</v>
      </c>
      <c r="G373" s="51" t="s">
        <v>3</v>
      </c>
      <c r="H373" s="48">
        <v>6</v>
      </c>
      <c r="I373" s="49" t="s">
        <v>45</v>
      </c>
      <c r="J373" s="184">
        <v>90</v>
      </c>
      <c r="K373" s="75">
        <v>400</v>
      </c>
      <c r="L373" s="75">
        <v>1000</v>
      </c>
      <c r="M373" s="185">
        <v>13.761617614653421</v>
      </c>
      <c r="N373" s="87">
        <v>652.07999999999993</v>
      </c>
      <c r="O373" s="120">
        <v>24090.32254311518</v>
      </c>
      <c r="P373" s="121">
        <v>28660.584315245294</v>
      </c>
      <c r="Q373" s="120">
        <v>15382.580351471779</v>
      </c>
      <c r="R373" s="314">
        <v>39472.902894586958</v>
      </c>
      <c r="S373" s="315">
        <v>44043.164666717072</v>
      </c>
      <c r="U373" s="7" t="s">
        <v>2488</v>
      </c>
    </row>
    <row r="374" spans="1:21" ht="16.5" thickBot="1">
      <c r="A374" s="50" t="s">
        <v>35</v>
      </c>
      <c r="B374" s="51">
        <f t="shared" si="21"/>
        <v>90</v>
      </c>
      <c r="C374" s="51" t="s">
        <v>3</v>
      </c>
      <c r="D374" s="51">
        <f t="shared" si="22"/>
        <v>400</v>
      </c>
      <c r="E374" s="51" t="s">
        <v>3</v>
      </c>
      <c r="F374" s="99">
        <f t="shared" si="23"/>
        <v>1050</v>
      </c>
      <c r="G374" s="51" t="s">
        <v>3</v>
      </c>
      <c r="H374" s="48">
        <v>6</v>
      </c>
      <c r="I374" s="49" t="s">
        <v>45</v>
      </c>
      <c r="J374" s="184">
        <v>90</v>
      </c>
      <c r="K374" s="75">
        <v>400</v>
      </c>
      <c r="L374" s="75">
        <v>1050</v>
      </c>
      <c r="M374" s="185">
        <v>14.416316994030261</v>
      </c>
      <c r="N374" s="87">
        <v>702.24</v>
      </c>
      <c r="O374" s="120">
        <v>25005.650483554204</v>
      </c>
      <c r="P374" s="121">
        <v>29770.103933514234</v>
      </c>
      <c r="Q374" s="120">
        <v>16215.553826255029</v>
      </c>
      <c r="R374" s="314">
        <v>41221.204309809233</v>
      </c>
      <c r="S374" s="315">
        <v>45985.657759769267</v>
      </c>
      <c r="U374" s="7" t="s">
        <v>2489</v>
      </c>
    </row>
    <row r="375" spans="1:21" ht="16.5" thickBot="1">
      <c r="A375" s="47" t="s">
        <v>35</v>
      </c>
      <c r="B375" s="48">
        <f t="shared" si="21"/>
        <v>90</v>
      </c>
      <c r="C375" s="48" t="s">
        <v>3</v>
      </c>
      <c r="D375" s="48">
        <f t="shared" si="22"/>
        <v>400</v>
      </c>
      <c r="E375" s="48" t="s">
        <v>3</v>
      </c>
      <c r="F375" s="99">
        <f t="shared" si="23"/>
        <v>1100</v>
      </c>
      <c r="G375" s="48" t="s">
        <v>3</v>
      </c>
      <c r="H375" s="48">
        <v>6</v>
      </c>
      <c r="I375" s="49" t="s">
        <v>45</v>
      </c>
      <c r="J375" s="184">
        <v>90</v>
      </c>
      <c r="K375" s="75">
        <v>400</v>
      </c>
      <c r="L375" s="75">
        <v>1100</v>
      </c>
      <c r="M375" s="185">
        <v>15.053976373407107</v>
      </c>
      <c r="N375" s="87">
        <v>752.4</v>
      </c>
      <c r="O375" s="120">
        <v>25777.085335752829</v>
      </c>
      <c r="P375" s="121">
        <v>30734.852162666972</v>
      </c>
      <c r="Q375" s="120">
        <v>16817.945663648366</v>
      </c>
      <c r="R375" s="314">
        <v>42595.030999401191</v>
      </c>
      <c r="S375" s="315">
        <v>47552.797826315335</v>
      </c>
      <c r="U375" s="7" t="s">
        <v>2490</v>
      </c>
    </row>
    <row r="376" spans="1:21" ht="16.5" thickBot="1">
      <c r="A376" s="50" t="s">
        <v>35</v>
      </c>
      <c r="B376" s="51">
        <f t="shared" si="21"/>
        <v>90</v>
      </c>
      <c r="C376" s="51" t="s">
        <v>3</v>
      </c>
      <c r="D376" s="51">
        <f t="shared" si="22"/>
        <v>400</v>
      </c>
      <c r="E376" s="51" t="s">
        <v>3</v>
      </c>
      <c r="F376" s="99">
        <f t="shared" si="23"/>
        <v>1150</v>
      </c>
      <c r="G376" s="51" t="s">
        <v>3</v>
      </c>
      <c r="H376" s="48">
        <v>6</v>
      </c>
      <c r="I376" s="49" t="s">
        <v>45</v>
      </c>
      <c r="J376" s="184">
        <v>90</v>
      </c>
      <c r="K376" s="75">
        <v>400</v>
      </c>
      <c r="L376" s="75">
        <v>1150</v>
      </c>
      <c r="M376" s="185">
        <v>15.691635752783949</v>
      </c>
      <c r="N376" s="87">
        <v>802.56</v>
      </c>
      <c r="O376" s="120">
        <v>26908.252768159095</v>
      </c>
      <c r="P376" s="121">
        <v>32061.529145396929</v>
      </c>
      <c r="Q376" s="120">
        <v>17420.33736064834</v>
      </c>
      <c r="R376" s="314">
        <v>44328.590128807438</v>
      </c>
      <c r="S376" s="315">
        <v>49481.866506045269</v>
      </c>
      <c r="U376" s="7" t="s">
        <v>2491</v>
      </c>
    </row>
    <row r="377" spans="1:21" ht="16.5" thickBot="1">
      <c r="A377" s="50" t="s">
        <v>35</v>
      </c>
      <c r="B377" s="51">
        <f t="shared" si="21"/>
        <v>90</v>
      </c>
      <c r="C377" s="51" t="s">
        <v>3</v>
      </c>
      <c r="D377" s="51">
        <f t="shared" si="22"/>
        <v>400</v>
      </c>
      <c r="E377" s="51" t="s">
        <v>3</v>
      </c>
      <c r="F377" s="99">
        <f t="shared" si="23"/>
        <v>1200</v>
      </c>
      <c r="G377" s="51" t="s">
        <v>3</v>
      </c>
      <c r="H377" s="48">
        <v>6</v>
      </c>
      <c r="I377" s="49" t="s">
        <v>45</v>
      </c>
      <c r="J377" s="184">
        <v>90</v>
      </c>
      <c r="K377" s="75">
        <v>400</v>
      </c>
      <c r="L377" s="75">
        <v>1200</v>
      </c>
      <c r="M377" s="185">
        <v>16.46408513216079</v>
      </c>
      <c r="N377" s="87">
        <v>852.72</v>
      </c>
      <c r="O377" s="120">
        <v>27946.606850583419</v>
      </c>
      <c r="P377" s="121">
        <v>33294.826010140539</v>
      </c>
      <c r="Q377" s="120">
        <v>18253.310975824952</v>
      </c>
      <c r="R377" s="314">
        <v>46199.917826408375</v>
      </c>
      <c r="S377" s="315">
        <v>51548.136985965495</v>
      </c>
      <c r="U377" s="7" t="s">
        <v>2492</v>
      </c>
    </row>
    <row r="378" spans="1:21" ht="16.5" thickBot="1">
      <c r="A378" s="50" t="s">
        <v>35</v>
      </c>
      <c r="B378" s="51">
        <f t="shared" si="21"/>
        <v>90</v>
      </c>
      <c r="C378" s="51" t="s">
        <v>3</v>
      </c>
      <c r="D378" s="51">
        <f t="shared" si="22"/>
        <v>400</v>
      </c>
      <c r="E378" s="51" t="s">
        <v>3</v>
      </c>
      <c r="F378" s="99">
        <f t="shared" si="23"/>
        <v>1250</v>
      </c>
      <c r="G378" s="51" t="s">
        <v>3</v>
      </c>
      <c r="H378" s="48">
        <v>6</v>
      </c>
      <c r="I378" s="49" t="s">
        <v>45</v>
      </c>
      <c r="J378" s="184">
        <v>90</v>
      </c>
      <c r="K378" s="75">
        <v>400</v>
      </c>
      <c r="L378" s="75">
        <v>1250</v>
      </c>
      <c r="M378" s="185">
        <v>17.101744511537632</v>
      </c>
      <c r="N378" s="87">
        <v>902.88</v>
      </c>
      <c r="O378" s="120">
        <v>28861.934791022446</v>
      </c>
      <c r="P378" s="121">
        <v>34404.345768802843</v>
      </c>
      <c r="Q378" s="120">
        <v>18855.702672824929</v>
      </c>
      <c r="R378" s="314">
        <v>47717.637463847379</v>
      </c>
      <c r="S378" s="315">
        <v>53260.048441627776</v>
      </c>
      <c r="U378" s="7" t="s">
        <v>2493</v>
      </c>
    </row>
    <row r="379" spans="1:21" ht="16.5" thickBot="1">
      <c r="A379" s="50" t="s">
        <v>35</v>
      </c>
      <c r="B379" s="51">
        <f t="shared" si="21"/>
        <v>90</v>
      </c>
      <c r="C379" s="51" t="s">
        <v>3</v>
      </c>
      <c r="D379" s="51">
        <f t="shared" si="22"/>
        <v>400</v>
      </c>
      <c r="E379" s="51" t="s">
        <v>3</v>
      </c>
      <c r="F379" s="99">
        <f t="shared" si="23"/>
        <v>1300</v>
      </c>
      <c r="G379" s="51" t="s">
        <v>3</v>
      </c>
      <c r="H379" s="48">
        <v>6</v>
      </c>
      <c r="I379" s="49" t="s">
        <v>45</v>
      </c>
      <c r="J379" s="184">
        <v>90</v>
      </c>
      <c r="K379" s="75">
        <v>400</v>
      </c>
      <c r="L379" s="75">
        <v>1300</v>
      </c>
      <c r="M379" s="185">
        <v>17.756443890914476</v>
      </c>
      <c r="N379" s="87">
        <v>953.04</v>
      </c>
      <c r="O379" s="120">
        <v>29777.262731461469</v>
      </c>
      <c r="P379" s="121">
        <v>35513.865387071783</v>
      </c>
      <c r="Q379" s="120">
        <v>19688.676288001541</v>
      </c>
      <c r="R379" s="314">
        <v>49465.93901946301</v>
      </c>
      <c r="S379" s="315">
        <v>55202.541675073327</v>
      </c>
      <c r="U379" s="7" t="s">
        <v>2494</v>
      </c>
    </row>
    <row r="380" spans="1:21" ht="16.5" thickBot="1">
      <c r="A380" s="50" t="s">
        <v>35</v>
      </c>
      <c r="B380" s="51">
        <f t="shared" si="21"/>
        <v>90</v>
      </c>
      <c r="C380" s="51" t="s">
        <v>3</v>
      </c>
      <c r="D380" s="51">
        <f t="shared" si="22"/>
        <v>400</v>
      </c>
      <c r="E380" s="51" t="s">
        <v>3</v>
      </c>
      <c r="F380" s="99">
        <f t="shared" si="23"/>
        <v>1350</v>
      </c>
      <c r="G380" s="51" t="s">
        <v>3</v>
      </c>
      <c r="H380" s="48">
        <v>6</v>
      </c>
      <c r="I380" s="49" t="s">
        <v>45</v>
      </c>
      <c r="J380" s="184">
        <v>90</v>
      </c>
      <c r="K380" s="75">
        <v>400</v>
      </c>
      <c r="L380" s="75">
        <v>1350</v>
      </c>
      <c r="M380" s="185">
        <v>18.394103270291318</v>
      </c>
      <c r="N380" s="87">
        <v>1003.1999999999999</v>
      </c>
      <c r="O380" s="120">
        <v>30692.590531507129</v>
      </c>
      <c r="P380" s="121">
        <v>36623.385145734086</v>
      </c>
      <c r="Q380" s="120">
        <v>20291.067985001515</v>
      </c>
      <c r="R380" s="314">
        <v>50983.658516508644</v>
      </c>
      <c r="S380" s="315">
        <v>56914.453130735601</v>
      </c>
      <c r="U380" s="7" t="s">
        <v>2495</v>
      </c>
    </row>
    <row r="381" spans="1:21" ht="16.5" thickBot="1">
      <c r="A381" s="50" t="s">
        <v>35</v>
      </c>
      <c r="B381" s="51">
        <f t="shared" si="21"/>
        <v>90</v>
      </c>
      <c r="C381" s="51" t="s">
        <v>3</v>
      </c>
      <c r="D381" s="51">
        <f t="shared" si="22"/>
        <v>400</v>
      </c>
      <c r="E381" s="51" t="s">
        <v>3</v>
      </c>
      <c r="F381" s="99">
        <f t="shared" si="23"/>
        <v>1400</v>
      </c>
      <c r="G381" s="51" t="s">
        <v>3</v>
      </c>
      <c r="H381" s="48">
        <v>6</v>
      </c>
      <c r="I381" s="49" t="s">
        <v>45</v>
      </c>
      <c r="J381" s="184">
        <v>90</v>
      </c>
      <c r="K381" s="75">
        <v>400</v>
      </c>
      <c r="L381" s="75">
        <v>1400</v>
      </c>
      <c r="M381" s="185">
        <v>19.048802649668158</v>
      </c>
      <c r="N381" s="87">
        <v>1053.3599999999999</v>
      </c>
      <c r="O381" s="120">
        <v>31607.918471946155</v>
      </c>
      <c r="P381" s="121">
        <v>37732.904904396382</v>
      </c>
      <c r="Q381" s="120">
        <v>21124.04160017813</v>
      </c>
      <c r="R381" s="314">
        <v>52731.96007212429</v>
      </c>
      <c r="S381" s="315">
        <v>58856.946504574516</v>
      </c>
      <c r="U381" s="7" t="s">
        <v>2496</v>
      </c>
    </row>
    <row r="382" spans="1:21" ht="16.5" thickBot="1">
      <c r="A382" s="50" t="s">
        <v>35</v>
      </c>
      <c r="B382" s="51">
        <f t="shared" si="21"/>
        <v>90</v>
      </c>
      <c r="C382" s="51" t="s">
        <v>3</v>
      </c>
      <c r="D382" s="51">
        <f t="shared" si="22"/>
        <v>400</v>
      </c>
      <c r="E382" s="51" t="s">
        <v>3</v>
      </c>
      <c r="F382" s="99">
        <f t="shared" si="23"/>
        <v>1450</v>
      </c>
      <c r="G382" s="51" t="s">
        <v>3</v>
      </c>
      <c r="H382" s="48">
        <v>6</v>
      </c>
      <c r="I382" s="49" t="s">
        <v>45</v>
      </c>
      <c r="J382" s="184">
        <v>90</v>
      </c>
      <c r="K382" s="75">
        <v>400</v>
      </c>
      <c r="L382" s="75">
        <v>1450</v>
      </c>
      <c r="M382" s="185">
        <v>19.686462029045</v>
      </c>
      <c r="N382" s="87">
        <v>1103.52</v>
      </c>
      <c r="O382" s="120">
        <v>32523.246412385179</v>
      </c>
      <c r="P382" s="121">
        <v>38842.424522665322</v>
      </c>
      <c r="Q382" s="120">
        <v>21726.433297178104</v>
      </c>
      <c r="R382" s="314">
        <v>54249.679709563279</v>
      </c>
      <c r="S382" s="315">
        <v>60568.857819843426</v>
      </c>
      <c r="U382" s="7" t="s">
        <v>2497</v>
      </c>
    </row>
    <row r="383" spans="1:21" ht="16.5" thickBot="1">
      <c r="A383" s="50" t="s">
        <v>35</v>
      </c>
      <c r="B383" s="51">
        <f t="shared" si="21"/>
        <v>90</v>
      </c>
      <c r="C383" s="51" t="s">
        <v>3</v>
      </c>
      <c r="D383" s="51">
        <f t="shared" si="22"/>
        <v>400</v>
      </c>
      <c r="E383" s="51" t="s">
        <v>3</v>
      </c>
      <c r="F383" s="99">
        <f t="shared" si="23"/>
        <v>1500</v>
      </c>
      <c r="G383" s="51" t="s">
        <v>3</v>
      </c>
      <c r="H383" s="48">
        <v>6</v>
      </c>
      <c r="I383" s="49" t="s">
        <v>45</v>
      </c>
      <c r="J383" s="184">
        <v>90</v>
      </c>
      <c r="K383" s="75">
        <v>400</v>
      </c>
      <c r="L383" s="75">
        <v>1500</v>
      </c>
      <c r="M383" s="185">
        <v>20.537728061221845</v>
      </c>
      <c r="N383" s="87">
        <v>1153.6799999999998</v>
      </c>
      <c r="O383" s="120">
        <v>34249.139081445384</v>
      </c>
      <c r="P383" s="121">
        <v>40716.878499662409</v>
      </c>
      <c r="Q383" s="120">
        <v>22559.406912354716</v>
      </c>
      <c r="R383" s="314">
        <v>56808.5459938001</v>
      </c>
      <c r="S383" s="315">
        <v>63276.285412017125</v>
      </c>
      <c r="U383" s="7" t="s">
        <v>2498</v>
      </c>
    </row>
    <row r="384" spans="1:21" ht="16.5" thickBot="1">
      <c r="A384" s="50" t="s">
        <v>35</v>
      </c>
      <c r="B384" s="51">
        <f t="shared" si="21"/>
        <v>90</v>
      </c>
      <c r="C384" s="51" t="s">
        <v>3</v>
      </c>
      <c r="D384" s="51">
        <f t="shared" si="22"/>
        <v>400</v>
      </c>
      <c r="E384" s="51" t="s">
        <v>3</v>
      </c>
      <c r="F384" s="99">
        <f t="shared" si="23"/>
        <v>1550</v>
      </c>
      <c r="G384" s="51" t="s">
        <v>3</v>
      </c>
      <c r="H384" s="48">
        <v>6</v>
      </c>
      <c r="I384" s="49" t="s">
        <v>45</v>
      </c>
      <c r="J384" s="184">
        <v>90</v>
      </c>
      <c r="K384" s="75">
        <v>400</v>
      </c>
      <c r="L384" s="75">
        <v>1550</v>
      </c>
      <c r="M384" s="185">
        <v>21.175387440598683</v>
      </c>
      <c r="N384" s="87">
        <v>1203.8399999999999</v>
      </c>
      <c r="O384" s="120">
        <v>35164.467021884411</v>
      </c>
      <c r="P384" s="121">
        <v>41826.398258324713</v>
      </c>
      <c r="Q384" s="120">
        <v>23161.79860935469</v>
      </c>
      <c r="R384" s="314">
        <v>58326.265631239105</v>
      </c>
      <c r="S384" s="315">
        <v>64988.196867679406</v>
      </c>
      <c r="U384" s="7" t="s">
        <v>2499</v>
      </c>
    </row>
    <row r="385" spans="1:21" ht="16.5" thickBot="1">
      <c r="A385" s="47" t="s">
        <v>35</v>
      </c>
      <c r="B385" s="48">
        <f t="shared" si="21"/>
        <v>90</v>
      </c>
      <c r="C385" s="48" t="s">
        <v>3</v>
      </c>
      <c r="D385" s="48">
        <f t="shared" si="22"/>
        <v>400</v>
      </c>
      <c r="E385" s="48" t="s">
        <v>3</v>
      </c>
      <c r="F385" s="99">
        <f t="shared" si="23"/>
        <v>1600</v>
      </c>
      <c r="G385" s="48" t="s">
        <v>3</v>
      </c>
      <c r="H385" s="48">
        <v>6</v>
      </c>
      <c r="I385" s="49" t="s">
        <v>45</v>
      </c>
      <c r="J385" s="184">
        <v>90</v>
      </c>
      <c r="K385" s="75">
        <v>400</v>
      </c>
      <c r="L385" s="75">
        <v>1600</v>
      </c>
      <c r="M385" s="185">
        <v>21.813046819975526</v>
      </c>
      <c r="N385" s="87">
        <v>1254</v>
      </c>
      <c r="O385" s="120">
        <v>36079.794962323431</v>
      </c>
      <c r="P385" s="121">
        <v>42935.918016987009</v>
      </c>
      <c r="Q385" s="120">
        <v>23764.190446748027</v>
      </c>
      <c r="R385" s="314">
        <v>59843.985409071458</v>
      </c>
      <c r="S385" s="315">
        <v>66700.108463735029</v>
      </c>
      <c r="U385" s="7" t="s">
        <v>2500</v>
      </c>
    </row>
    <row r="386" spans="1:21" ht="16.5" thickBot="1">
      <c r="A386" s="50" t="s">
        <v>35</v>
      </c>
      <c r="B386" s="51">
        <f t="shared" si="21"/>
        <v>90</v>
      </c>
      <c r="C386" s="51" t="s">
        <v>3</v>
      </c>
      <c r="D386" s="51">
        <f t="shared" si="22"/>
        <v>400</v>
      </c>
      <c r="E386" s="51" t="s">
        <v>3</v>
      </c>
      <c r="F386" s="99">
        <f t="shared" si="23"/>
        <v>1650</v>
      </c>
      <c r="G386" s="51" t="s">
        <v>3</v>
      </c>
      <c r="H386" s="48">
        <v>6</v>
      </c>
      <c r="I386" s="49" t="s">
        <v>45</v>
      </c>
      <c r="J386" s="184">
        <v>90</v>
      </c>
      <c r="K386" s="75">
        <v>400</v>
      </c>
      <c r="L386" s="75">
        <v>1650</v>
      </c>
      <c r="M386" s="185">
        <v>22.467746199352369</v>
      </c>
      <c r="N386" s="87">
        <v>1304.1599999999999</v>
      </c>
      <c r="O386" s="120">
        <v>36995.122762369094</v>
      </c>
      <c r="P386" s="121">
        <v>44045.437635255948</v>
      </c>
      <c r="Q386" s="120">
        <v>24597.164061924639</v>
      </c>
      <c r="R386" s="314">
        <v>61592.286824293733</v>
      </c>
      <c r="S386" s="315">
        <v>68642.601697180595</v>
      </c>
      <c r="U386" s="7" t="s">
        <v>2501</v>
      </c>
    </row>
    <row r="387" spans="1:21" ht="16.5" thickBot="1">
      <c r="A387" s="50" t="s">
        <v>35</v>
      </c>
      <c r="B387" s="51">
        <f t="shared" si="21"/>
        <v>90</v>
      </c>
      <c r="C387" s="51" t="s">
        <v>3</v>
      </c>
      <c r="D387" s="51">
        <f t="shared" si="22"/>
        <v>400</v>
      </c>
      <c r="E387" s="51" t="s">
        <v>3</v>
      </c>
      <c r="F387" s="99">
        <f t="shared" si="23"/>
        <v>1700</v>
      </c>
      <c r="G387" s="51" t="s">
        <v>3</v>
      </c>
      <c r="H387" s="48">
        <v>6</v>
      </c>
      <c r="I387" s="49" t="s">
        <v>45</v>
      </c>
      <c r="J387" s="184">
        <v>90</v>
      </c>
      <c r="K387" s="75">
        <v>400</v>
      </c>
      <c r="L387" s="75">
        <v>1700</v>
      </c>
      <c r="M387" s="185">
        <v>23.105405578729211</v>
      </c>
      <c r="N387" s="87">
        <v>1354.32</v>
      </c>
      <c r="O387" s="120">
        <v>37910.450702808121</v>
      </c>
      <c r="P387" s="121">
        <v>45154.957393918245</v>
      </c>
      <c r="Q387" s="120">
        <v>25199.55575892462</v>
      </c>
      <c r="R387" s="314">
        <v>63110.006461732744</v>
      </c>
      <c r="S387" s="315">
        <v>70354.513152842861</v>
      </c>
      <c r="U387" s="7" t="s">
        <v>2502</v>
      </c>
    </row>
    <row r="388" spans="1:21" ht="16.5" thickBot="1">
      <c r="A388" s="50" t="s">
        <v>35</v>
      </c>
      <c r="B388" s="51">
        <f t="shared" si="21"/>
        <v>90</v>
      </c>
      <c r="C388" s="51" t="s">
        <v>3</v>
      </c>
      <c r="D388" s="51">
        <f t="shared" si="22"/>
        <v>400</v>
      </c>
      <c r="E388" s="51" t="s">
        <v>3</v>
      </c>
      <c r="F388" s="99">
        <f t="shared" si="23"/>
        <v>1750</v>
      </c>
      <c r="G388" s="51" t="s">
        <v>3</v>
      </c>
      <c r="H388" s="48">
        <v>6</v>
      </c>
      <c r="I388" s="49" t="s">
        <v>45</v>
      </c>
      <c r="J388" s="184">
        <v>90</v>
      </c>
      <c r="K388" s="75">
        <v>400</v>
      </c>
      <c r="L388" s="75">
        <v>1750</v>
      </c>
      <c r="M388" s="185">
        <v>23.760104958106051</v>
      </c>
      <c r="N388" s="87">
        <v>1404.48</v>
      </c>
      <c r="O388" s="120">
        <v>38825.778643247148</v>
      </c>
      <c r="P388" s="121">
        <v>46264.477012187184</v>
      </c>
      <c r="Q388" s="120">
        <v>26032.529374101232</v>
      </c>
      <c r="R388" s="314">
        <v>64858.308017348376</v>
      </c>
      <c r="S388" s="315">
        <v>72297.006386288413</v>
      </c>
      <c r="U388" s="7" t="s">
        <v>2503</v>
      </c>
    </row>
    <row r="389" spans="1:21" ht="16.5" thickBot="1">
      <c r="A389" s="50" t="s">
        <v>35</v>
      </c>
      <c r="B389" s="51">
        <f t="shared" si="21"/>
        <v>90</v>
      </c>
      <c r="C389" s="51" t="s">
        <v>3</v>
      </c>
      <c r="D389" s="51">
        <f t="shared" si="22"/>
        <v>400</v>
      </c>
      <c r="E389" s="51" t="s">
        <v>3</v>
      </c>
      <c r="F389" s="99">
        <f t="shared" si="23"/>
        <v>1800</v>
      </c>
      <c r="G389" s="51" t="s">
        <v>3</v>
      </c>
      <c r="H389" s="48">
        <v>6</v>
      </c>
      <c r="I389" s="49" t="s">
        <v>45</v>
      </c>
      <c r="J389" s="184">
        <v>90</v>
      </c>
      <c r="K389" s="75">
        <v>400</v>
      </c>
      <c r="L389" s="75">
        <v>1800</v>
      </c>
      <c r="M389" s="185">
        <v>24.397764337482894</v>
      </c>
      <c r="N389" s="87">
        <v>1454.64</v>
      </c>
      <c r="O389" s="120">
        <v>39741.106583686174</v>
      </c>
      <c r="P389" s="121">
        <v>47373.996770849481</v>
      </c>
      <c r="Q389" s="120">
        <v>26634.921071101206</v>
      </c>
      <c r="R389" s="314">
        <v>66376.02765478738</v>
      </c>
      <c r="S389" s="315">
        <v>74008.917841950693</v>
      </c>
      <c r="U389" s="7" t="s">
        <v>2504</v>
      </c>
    </row>
    <row r="390" spans="1:21" ht="16.5" thickBot="1">
      <c r="A390" s="50" t="s">
        <v>35</v>
      </c>
      <c r="B390" s="51">
        <f t="shared" si="21"/>
        <v>90</v>
      </c>
      <c r="C390" s="51" t="s">
        <v>3</v>
      </c>
      <c r="D390" s="51">
        <f t="shared" si="22"/>
        <v>400</v>
      </c>
      <c r="E390" s="51" t="s">
        <v>3</v>
      </c>
      <c r="F390" s="99">
        <f t="shared" si="23"/>
        <v>1850</v>
      </c>
      <c r="G390" s="51" t="s">
        <v>3</v>
      </c>
      <c r="H390" s="48">
        <v>6</v>
      </c>
      <c r="I390" s="49" t="s">
        <v>45</v>
      </c>
      <c r="J390" s="184">
        <v>90</v>
      </c>
      <c r="K390" s="75">
        <v>400</v>
      </c>
      <c r="L390" s="75">
        <v>1850</v>
      </c>
      <c r="M390" s="185">
        <v>25.052463716859741</v>
      </c>
      <c r="N390" s="87">
        <v>1504.8</v>
      </c>
      <c r="O390" s="120">
        <v>40656.43438373183</v>
      </c>
      <c r="P390" s="121">
        <v>48483.516529511784</v>
      </c>
      <c r="Q390" s="120">
        <v>27467.894686277818</v>
      </c>
      <c r="R390" s="314">
        <v>68124.32907000964</v>
      </c>
      <c r="S390" s="315">
        <v>75951.411215789602</v>
      </c>
      <c r="U390" s="7" t="s">
        <v>2505</v>
      </c>
    </row>
    <row r="391" spans="1:21" ht="16.5" thickBot="1">
      <c r="A391" s="50" t="s">
        <v>35</v>
      </c>
      <c r="B391" s="51">
        <f t="shared" si="21"/>
        <v>90</v>
      </c>
      <c r="C391" s="51" t="s">
        <v>3</v>
      </c>
      <c r="D391" s="51">
        <f t="shared" si="22"/>
        <v>400</v>
      </c>
      <c r="E391" s="51" t="s">
        <v>3</v>
      </c>
      <c r="F391" s="99">
        <f t="shared" si="23"/>
        <v>1900</v>
      </c>
      <c r="G391" s="51" t="s">
        <v>3</v>
      </c>
      <c r="H391" s="48">
        <v>6</v>
      </c>
      <c r="I391" s="49" t="s">
        <v>45</v>
      </c>
      <c r="J391" s="184">
        <v>90</v>
      </c>
      <c r="K391" s="75">
        <v>400</v>
      </c>
      <c r="L391" s="75">
        <v>1900</v>
      </c>
      <c r="M391" s="185">
        <v>25.690123096236576</v>
      </c>
      <c r="N391" s="87">
        <v>1554.9599999999998</v>
      </c>
      <c r="O391" s="120">
        <v>41571.762324170857</v>
      </c>
      <c r="P391" s="121">
        <v>49593.036147780724</v>
      </c>
      <c r="Q391" s="120">
        <v>28070.286383277791</v>
      </c>
      <c r="R391" s="314">
        <v>69642.048707448645</v>
      </c>
      <c r="S391" s="315">
        <v>77663.322531058511</v>
      </c>
      <c r="U391" s="7" t="s">
        <v>2506</v>
      </c>
    </row>
    <row r="392" spans="1:21" ht="16.5" thickBot="1">
      <c r="A392" s="50" t="s">
        <v>35</v>
      </c>
      <c r="B392" s="51">
        <f t="shared" si="21"/>
        <v>90</v>
      </c>
      <c r="C392" s="51" t="s">
        <v>3</v>
      </c>
      <c r="D392" s="51">
        <f t="shared" si="22"/>
        <v>400</v>
      </c>
      <c r="E392" s="51" t="s">
        <v>3</v>
      </c>
      <c r="F392" s="99">
        <f t="shared" si="23"/>
        <v>1950</v>
      </c>
      <c r="G392" s="51" t="s">
        <v>3</v>
      </c>
      <c r="H392" s="48">
        <v>6</v>
      </c>
      <c r="I392" s="49" t="s">
        <v>45</v>
      </c>
      <c r="J392" s="184">
        <v>90</v>
      </c>
      <c r="K392" s="75">
        <v>400</v>
      </c>
      <c r="L392" s="75">
        <v>1950</v>
      </c>
      <c r="M392" s="185">
        <v>26.445532475613426</v>
      </c>
      <c r="N392" s="87">
        <v>1605.12</v>
      </c>
      <c r="O392" s="120">
        <v>42610.116406595182</v>
      </c>
      <c r="P392" s="121">
        <v>50826.333152917701</v>
      </c>
      <c r="Q392" s="120">
        <v>28672.678220671129</v>
      </c>
      <c r="R392" s="314">
        <v>71282.79462726631</v>
      </c>
      <c r="S392" s="315">
        <v>79499.01137358883</v>
      </c>
      <c r="U392" s="7" t="s">
        <v>2507</v>
      </c>
    </row>
    <row r="393" spans="1:21" ht="16.5" thickBot="1">
      <c r="A393" s="50" t="s">
        <v>35</v>
      </c>
      <c r="B393" s="51">
        <f t="shared" si="21"/>
        <v>90</v>
      </c>
      <c r="C393" s="51" t="s">
        <v>3</v>
      </c>
      <c r="D393" s="51">
        <f t="shared" si="22"/>
        <v>400</v>
      </c>
      <c r="E393" s="51" t="s">
        <v>3</v>
      </c>
      <c r="F393" s="99">
        <f t="shared" si="23"/>
        <v>2000</v>
      </c>
      <c r="G393" s="51" t="s">
        <v>3</v>
      </c>
      <c r="H393" s="48">
        <v>6</v>
      </c>
      <c r="I393" s="49" t="s">
        <v>45</v>
      </c>
      <c r="J393" s="184">
        <v>90</v>
      </c>
      <c r="K393" s="75">
        <v>400</v>
      </c>
      <c r="L393" s="75">
        <v>2000</v>
      </c>
      <c r="M393" s="185">
        <v>27.191794254990267</v>
      </c>
      <c r="N393" s="87">
        <v>1655.28</v>
      </c>
      <c r="O393" s="120">
        <v>43755.987235856075</v>
      </c>
      <c r="P393" s="121">
        <v>52248.533639099303</v>
      </c>
      <c r="Q393" s="120">
        <v>29505.651695454384</v>
      </c>
      <c r="R393" s="314">
        <v>73261.638931310459</v>
      </c>
      <c r="S393" s="315">
        <v>81754.18533455368</v>
      </c>
      <c r="U393" s="7" t="s">
        <v>2508</v>
      </c>
    </row>
    <row r="394" spans="1:21" ht="16.5" thickBot="1">
      <c r="A394" s="50" t="s">
        <v>35</v>
      </c>
      <c r="B394" s="51">
        <f t="shared" si="21"/>
        <v>90</v>
      </c>
      <c r="C394" s="51" t="s">
        <v>3</v>
      </c>
      <c r="D394" s="51">
        <f t="shared" si="22"/>
        <v>400</v>
      </c>
      <c r="E394" s="51" t="s">
        <v>3</v>
      </c>
      <c r="F394" s="99">
        <f t="shared" si="23"/>
        <v>2050</v>
      </c>
      <c r="G394" s="51" t="s">
        <v>3</v>
      </c>
      <c r="H394" s="48">
        <v>6</v>
      </c>
      <c r="I394" s="49" t="s">
        <v>45</v>
      </c>
      <c r="J394" s="184">
        <v>90</v>
      </c>
      <c r="K394" s="75">
        <v>400</v>
      </c>
      <c r="L394" s="75">
        <v>2050</v>
      </c>
      <c r="M394" s="185">
        <v>27.829453634367106</v>
      </c>
      <c r="N394" s="87">
        <v>1705.44</v>
      </c>
      <c r="O394" s="120">
        <v>44671.315176295095</v>
      </c>
      <c r="P394" s="121">
        <v>53358.053257368243</v>
      </c>
      <c r="Q394" s="120">
        <v>30108.043532847722</v>
      </c>
      <c r="R394" s="314">
        <v>74779.35870914282</v>
      </c>
      <c r="S394" s="315">
        <v>83466.096790215961</v>
      </c>
      <c r="U394" s="7" t="s">
        <v>2509</v>
      </c>
    </row>
    <row r="395" spans="1:21" ht="16.5" thickBot="1">
      <c r="A395" s="47" t="s">
        <v>35</v>
      </c>
      <c r="B395" s="48">
        <f t="shared" si="21"/>
        <v>90</v>
      </c>
      <c r="C395" s="48" t="s">
        <v>3</v>
      </c>
      <c r="D395" s="48">
        <f t="shared" si="22"/>
        <v>400</v>
      </c>
      <c r="E395" s="48" t="s">
        <v>3</v>
      </c>
      <c r="F395" s="99">
        <f t="shared" si="23"/>
        <v>2100</v>
      </c>
      <c r="G395" s="48" t="s">
        <v>3</v>
      </c>
      <c r="H395" s="48">
        <v>6</v>
      </c>
      <c r="I395" s="49" t="s">
        <v>45</v>
      </c>
      <c r="J395" s="184">
        <v>90</v>
      </c>
      <c r="K395" s="75">
        <v>400</v>
      </c>
      <c r="L395" s="75">
        <v>2100</v>
      </c>
      <c r="M395" s="185">
        <v>28.484153013743946</v>
      </c>
      <c r="N395" s="87">
        <v>1755.6</v>
      </c>
      <c r="O395" s="120">
        <v>45586.643116734122</v>
      </c>
      <c r="P395" s="121">
        <v>54467.573016030539</v>
      </c>
      <c r="Q395" s="120">
        <v>30941.01700763097</v>
      </c>
      <c r="R395" s="314">
        <v>76527.660124365095</v>
      </c>
      <c r="S395" s="315">
        <v>85408.590023661513</v>
      </c>
      <c r="U395" s="7" t="s">
        <v>2510</v>
      </c>
    </row>
    <row r="396" spans="1:21" ht="16.5" thickBot="1">
      <c r="A396" s="50" t="s">
        <v>35</v>
      </c>
      <c r="B396" s="51">
        <f t="shared" si="21"/>
        <v>90</v>
      </c>
      <c r="C396" s="51" t="s">
        <v>3</v>
      </c>
      <c r="D396" s="51">
        <f t="shared" si="22"/>
        <v>400</v>
      </c>
      <c r="E396" s="51" t="s">
        <v>3</v>
      </c>
      <c r="F396" s="99">
        <f t="shared" si="23"/>
        <v>2150</v>
      </c>
      <c r="G396" s="51" t="s">
        <v>3</v>
      </c>
      <c r="H396" s="48">
        <v>6</v>
      </c>
      <c r="I396" s="49" t="s">
        <v>45</v>
      </c>
      <c r="J396" s="184">
        <v>90</v>
      </c>
      <c r="K396" s="75">
        <v>400</v>
      </c>
      <c r="L396" s="75">
        <v>2150</v>
      </c>
      <c r="M396" s="185">
        <v>29.121812393120791</v>
      </c>
      <c r="N396" s="87">
        <v>1805.76</v>
      </c>
      <c r="O396" s="120">
        <v>46501.971057173148</v>
      </c>
      <c r="P396" s="121">
        <v>55577.092774692836</v>
      </c>
      <c r="Q396" s="120">
        <v>31543.408845024307</v>
      </c>
      <c r="R396" s="314">
        <v>78045.379902197456</v>
      </c>
      <c r="S396" s="315">
        <v>87120.501619717135</v>
      </c>
      <c r="U396" s="7" t="s">
        <v>2511</v>
      </c>
    </row>
    <row r="397" spans="1:21" ht="16.5" thickBot="1">
      <c r="A397" s="50" t="s">
        <v>35</v>
      </c>
      <c r="B397" s="51">
        <f t="shared" si="21"/>
        <v>90</v>
      </c>
      <c r="C397" s="51" t="s">
        <v>3</v>
      </c>
      <c r="D397" s="51">
        <f t="shared" si="22"/>
        <v>400</v>
      </c>
      <c r="E397" s="51" t="s">
        <v>3</v>
      </c>
      <c r="F397" s="99">
        <f t="shared" si="23"/>
        <v>2200</v>
      </c>
      <c r="G397" s="51" t="s">
        <v>3</v>
      </c>
      <c r="H397" s="48">
        <v>6</v>
      </c>
      <c r="I397" s="49" t="s">
        <v>45</v>
      </c>
      <c r="J397" s="184">
        <v>90</v>
      </c>
      <c r="K397" s="75">
        <v>400</v>
      </c>
      <c r="L397" s="75">
        <v>2200</v>
      </c>
      <c r="M397" s="185">
        <v>29.776511772497635</v>
      </c>
      <c r="N397" s="87">
        <v>1855.9199999999998</v>
      </c>
      <c r="O397" s="120">
        <v>47417.298857218811</v>
      </c>
      <c r="P397" s="121">
        <v>56686.612392961637</v>
      </c>
      <c r="Q397" s="120">
        <v>32376.382319807555</v>
      </c>
      <c r="R397" s="314">
        <v>79793.681177026359</v>
      </c>
      <c r="S397" s="315">
        <v>89062.994712769199</v>
      </c>
      <c r="U397" s="7" t="s">
        <v>2512</v>
      </c>
    </row>
    <row r="398" spans="1:21" ht="16.5" thickBot="1">
      <c r="A398" s="50" t="s">
        <v>35</v>
      </c>
      <c r="B398" s="51">
        <f t="shared" si="21"/>
        <v>90</v>
      </c>
      <c r="C398" s="51" t="s">
        <v>3</v>
      </c>
      <c r="D398" s="51">
        <f t="shared" si="22"/>
        <v>400</v>
      </c>
      <c r="E398" s="51" t="s">
        <v>3</v>
      </c>
      <c r="F398" s="99">
        <f t="shared" si="23"/>
        <v>2250</v>
      </c>
      <c r="G398" s="51" t="s">
        <v>3</v>
      </c>
      <c r="H398" s="48">
        <v>6</v>
      </c>
      <c r="I398" s="49" t="s">
        <v>45</v>
      </c>
      <c r="J398" s="184">
        <v>90</v>
      </c>
      <c r="K398" s="75">
        <v>400</v>
      </c>
      <c r="L398" s="75">
        <v>2250</v>
      </c>
      <c r="M398" s="185">
        <v>30.41417115187447</v>
      </c>
      <c r="N398" s="87">
        <v>1906.08</v>
      </c>
      <c r="O398" s="120">
        <v>48332.626797657838</v>
      </c>
      <c r="P398" s="121">
        <v>57796.132151624079</v>
      </c>
      <c r="Q398" s="120">
        <v>32978.774157200758</v>
      </c>
      <c r="R398" s="314">
        <v>81311.400954858604</v>
      </c>
      <c r="S398" s="315">
        <v>90774.906308824837</v>
      </c>
      <c r="U398" s="7" t="s">
        <v>2513</v>
      </c>
    </row>
    <row r="399" spans="1:21" ht="16.5" thickBot="1">
      <c r="A399" s="50" t="s">
        <v>35</v>
      </c>
      <c r="B399" s="51">
        <f t="shared" si="21"/>
        <v>90</v>
      </c>
      <c r="C399" s="51" t="s">
        <v>3</v>
      </c>
      <c r="D399" s="51">
        <f t="shared" si="22"/>
        <v>400</v>
      </c>
      <c r="E399" s="51" t="s">
        <v>3</v>
      </c>
      <c r="F399" s="99">
        <f t="shared" si="23"/>
        <v>2300</v>
      </c>
      <c r="G399" s="51" t="s">
        <v>3</v>
      </c>
      <c r="H399" s="48">
        <v>6</v>
      </c>
      <c r="I399" s="49" t="s">
        <v>45</v>
      </c>
      <c r="J399" s="184">
        <v>90</v>
      </c>
      <c r="K399" s="75">
        <v>400</v>
      </c>
      <c r="L399" s="75">
        <v>2300</v>
      </c>
      <c r="M399" s="185">
        <v>31.051830531251319</v>
      </c>
      <c r="N399" s="87">
        <v>1956.24</v>
      </c>
      <c r="O399" s="120">
        <v>49247.954738096865</v>
      </c>
      <c r="P399" s="121">
        <v>58905.651769893011</v>
      </c>
      <c r="Q399" s="120">
        <v>33581.165854200874</v>
      </c>
      <c r="R399" s="314">
        <v>82829.120592297739</v>
      </c>
      <c r="S399" s="315">
        <v>92486.817624093877</v>
      </c>
      <c r="U399" s="7" t="s">
        <v>2514</v>
      </c>
    </row>
    <row r="400" spans="1:21" ht="16.5" thickBot="1">
      <c r="A400" s="50" t="s">
        <v>35</v>
      </c>
      <c r="B400" s="51">
        <f t="shared" si="21"/>
        <v>90</v>
      </c>
      <c r="C400" s="51" t="s">
        <v>3</v>
      </c>
      <c r="D400" s="51">
        <f t="shared" si="22"/>
        <v>400</v>
      </c>
      <c r="E400" s="51" t="s">
        <v>3</v>
      </c>
      <c r="F400" s="99">
        <f t="shared" si="23"/>
        <v>2350</v>
      </c>
      <c r="G400" s="51" t="s">
        <v>3</v>
      </c>
      <c r="H400" s="48">
        <v>6</v>
      </c>
      <c r="I400" s="49" t="s">
        <v>45</v>
      </c>
      <c r="J400" s="184">
        <v>90</v>
      </c>
      <c r="K400" s="75">
        <v>400</v>
      </c>
      <c r="L400" s="75">
        <v>2350</v>
      </c>
      <c r="M400" s="185">
        <v>31.706529910628156</v>
      </c>
      <c r="N400" s="87">
        <v>2006.3999999999999</v>
      </c>
      <c r="O400" s="120">
        <v>50163.282678535885</v>
      </c>
      <c r="P400" s="121">
        <v>60015.171528555307</v>
      </c>
      <c r="Q400" s="120">
        <v>34414.139469377486</v>
      </c>
      <c r="R400" s="314">
        <v>84577.42214791337</v>
      </c>
      <c r="S400" s="315">
        <v>94429.3109979328</v>
      </c>
      <c r="U400" s="7" t="s">
        <v>2515</v>
      </c>
    </row>
    <row r="401" spans="1:21" ht="16.5" thickBot="1">
      <c r="A401" s="50" t="s">
        <v>35</v>
      </c>
      <c r="B401" s="51">
        <f t="shared" si="21"/>
        <v>90</v>
      </c>
      <c r="C401" s="51" t="s">
        <v>3</v>
      </c>
      <c r="D401" s="51">
        <f t="shared" si="22"/>
        <v>400</v>
      </c>
      <c r="E401" s="51" t="s">
        <v>3</v>
      </c>
      <c r="F401" s="99">
        <f t="shared" si="23"/>
        <v>2400</v>
      </c>
      <c r="G401" s="51" t="s">
        <v>3</v>
      </c>
      <c r="H401" s="48">
        <v>6</v>
      </c>
      <c r="I401" s="49" t="s">
        <v>45</v>
      </c>
      <c r="J401" s="184">
        <v>90</v>
      </c>
      <c r="K401" s="75">
        <v>400</v>
      </c>
      <c r="L401" s="75">
        <v>2400</v>
      </c>
      <c r="M401" s="185">
        <v>32.344189290004998</v>
      </c>
      <c r="N401" s="87">
        <v>2056.56</v>
      </c>
      <c r="O401" s="120">
        <v>51078.610478581555</v>
      </c>
      <c r="P401" s="121">
        <v>61124.691287217618</v>
      </c>
      <c r="Q401" s="120">
        <v>35016.531306770819</v>
      </c>
      <c r="R401" s="314">
        <v>86095.141785352374</v>
      </c>
      <c r="S401" s="315">
        <v>96141.222593988437</v>
      </c>
      <c r="U401" s="7" t="s">
        <v>2516</v>
      </c>
    </row>
    <row r="402" spans="1:21" ht="16.5" thickBot="1">
      <c r="A402" s="50" t="s">
        <v>35</v>
      </c>
      <c r="B402" s="51">
        <f t="shared" si="21"/>
        <v>90</v>
      </c>
      <c r="C402" s="51" t="s">
        <v>3</v>
      </c>
      <c r="D402" s="51">
        <f t="shared" si="22"/>
        <v>400</v>
      </c>
      <c r="E402" s="51" t="s">
        <v>3</v>
      </c>
      <c r="F402" s="99">
        <f t="shared" si="23"/>
        <v>2450</v>
      </c>
      <c r="G402" s="51" t="s">
        <v>3</v>
      </c>
      <c r="H402" s="48">
        <v>6</v>
      </c>
      <c r="I402" s="49" t="s">
        <v>45</v>
      </c>
      <c r="J402" s="184">
        <v>90</v>
      </c>
      <c r="K402" s="75">
        <v>400</v>
      </c>
      <c r="L402" s="75">
        <v>2450</v>
      </c>
      <c r="M402" s="185">
        <v>33.195455322181843</v>
      </c>
      <c r="N402" s="87">
        <v>2106.7199999999998</v>
      </c>
      <c r="O402" s="120">
        <v>52804.503288035106</v>
      </c>
      <c r="P402" s="121">
        <v>62999.145264214705</v>
      </c>
      <c r="Q402" s="120">
        <v>35849.504781554067</v>
      </c>
      <c r="R402" s="314">
        <v>88654.008069589181</v>
      </c>
      <c r="S402" s="315">
        <v>98848.650045768765</v>
      </c>
      <c r="U402" s="7" t="s">
        <v>2517</v>
      </c>
    </row>
    <row r="403" spans="1:21" ht="16.5" thickBot="1">
      <c r="A403" s="50" t="s">
        <v>35</v>
      </c>
      <c r="B403" s="51">
        <f t="shared" si="21"/>
        <v>90</v>
      </c>
      <c r="C403" s="51" t="s">
        <v>3</v>
      </c>
      <c r="D403" s="51">
        <f t="shared" si="22"/>
        <v>400</v>
      </c>
      <c r="E403" s="51" t="s">
        <v>3</v>
      </c>
      <c r="F403" s="99">
        <f t="shared" si="23"/>
        <v>2500</v>
      </c>
      <c r="G403" s="51" t="s">
        <v>3</v>
      </c>
      <c r="H403" s="48">
        <v>6</v>
      </c>
      <c r="I403" s="49" t="s">
        <v>45</v>
      </c>
      <c r="J403" s="184">
        <v>90</v>
      </c>
      <c r="K403" s="75">
        <v>400</v>
      </c>
      <c r="L403" s="75">
        <v>2500</v>
      </c>
      <c r="M403" s="185">
        <v>33.833114701558685</v>
      </c>
      <c r="N403" s="87">
        <v>2156.88</v>
      </c>
      <c r="O403" s="120">
        <v>53719.831228474133</v>
      </c>
      <c r="P403" s="121">
        <v>64108.664882483645</v>
      </c>
      <c r="Q403" s="120">
        <v>36451.896618947409</v>
      </c>
      <c r="R403" s="314">
        <v>90171.727847421542</v>
      </c>
      <c r="S403" s="315">
        <v>100560.56150143105</v>
      </c>
      <c r="U403" s="7" t="s">
        <v>2518</v>
      </c>
    </row>
    <row r="404" spans="1:21" ht="16.5" thickBot="1">
      <c r="A404" s="50" t="s">
        <v>35</v>
      </c>
      <c r="B404" s="51">
        <f t="shared" si="21"/>
        <v>90</v>
      </c>
      <c r="C404" s="51" t="s">
        <v>3</v>
      </c>
      <c r="D404" s="51">
        <f t="shared" si="22"/>
        <v>400</v>
      </c>
      <c r="E404" s="51" t="s">
        <v>3</v>
      </c>
      <c r="F404" s="99">
        <f t="shared" si="23"/>
        <v>2550</v>
      </c>
      <c r="G404" s="51" t="s">
        <v>3</v>
      </c>
      <c r="H404" s="48">
        <v>6</v>
      </c>
      <c r="I404" s="49" t="s">
        <v>45</v>
      </c>
      <c r="J404" s="184">
        <v>90</v>
      </c>
      <c r="K404" s="75">
        <v>400</v>
      </c>
      <c r="L404" s="75">
        <v>2550</v>
      </c>
      <c r="M404" s="185">
        <v>34.487814080935529</v>
      </c>
      <c r="N404" s="87">
        <v>2207.04</v>
      </c>
      <c r="O404" s="120">
        <v>54635.159028519804</v>
      </c>
      <c r="P404" s="121">
        <v>65218.184641145795</v>
      </c>
      <c r="Q404" s="120">
        <v>37284.870093730657</v>
      </c>
      <c r="R404" s="314">
        <v>91920.02912225046</v>
      </c>
      <c r="S404" s="315">
        <v>102503.05473487645</v>
      </c>
      <c r="U404" s="7" t="s">
        <v>2519</v>
      </c>
    </row>
    <row r="405" spans="1:21" ht="16.5" thickBot="1">
      <c r="A405" s="47" t="s">
        <v>35</v>
      </c>
      <c r="B405" s="48">
        <f t="shared" si="21"/>
        <v>90</v>
      </c>
      <c r="C405" s="48" t="s">
        <v>3</v>
      </c>
      <c r="D405" s="48">
        <f t="shared" si="22"/>
        <v>400</v>
      </c>
      <c r="E405" s="48" t="s">
        <v>3</v>
      </c>
      <c r="F405" s="99">
        <f t="shared" si="23"/>
        <v>2600</v>
      </c>
      <c r="G405" s="48" t="s">
        <v>3</v>
      </c>
      <c r="H405" s="48">
        <v>6</v>
      </c>
      <c r="I405" s="49" t="s">
        <v>45</v>
      </c>
      <c r="J405" s="184">
        <v>90</v>
      </c>
      <c r="K405" s="75">
        <v>400</v>
      </c>
      <c r="L405" s="75">
        <v>2600</v>
      </c>
      <c r="M405" s="185">
        <v>35.125473460312371</v>
      </c>
      <c r="N405" s="87">
        <v>2257.1999999999998</v>
      </c>
      <c r="O405" s="120">
        <v>55550.486968958823</v>
      </c>
      <c r="P405" s="121">
        <v>66327.704399808237</v>
      </c>
      <c r="Q405" s="120">
        <v>37887.261931123991</v>
      </c>
      <c r="R405" s="314">
        <v>93437.748900082806</v>
      </c>
      <c r="S405" s="315">
        <v>104214.96633093222</v>
      </c>
      <c r="U405" s="7" t="s">
        <v>2520</v>
      </c>
    </row>
    <row r="406" spans="1:21" ht="16.5" thickBot="1">
      <c r="A406" s="50" t="s">
        <v>35</v>
      </c>
      <c r="B406" s="51">
        <f t="shared" si="21"/>
        <v>90</v>
      </c>
      <c r="C406" s="51" t="s">
        <v>3</v>
      </c>
      <c r="D406" s="51">
        <f t="shared" si="22"/>
        <v>400</v>
      </c>
      <c r="E406" s="51" t="s">
        <v>3</v>
      </c>
      <c r="F406" s="99">
        <f t="shared" si="23"/>
        <v>2650</v>
      </c>
      <c r="G406" s="51" t="s">
        <v>3</v>
      </c>
      <c r="H406" s="48">
        <v>6</v>
      </c>
      <c r="I406" s="49" t="s">
        <v>45</v>
      </c>
      <c r="J406" s="184">
        <v>90</v>
      </c>
      <c r="K406" s="75">
        <v>400</v>
      </c>
      <c r="L406" s="75">
        <v>2650</v>
      </c>
      <c r="M406" s="185">
        <v>35.780172839689214</v>
      </c>
      <c r="N406" s="87">
        <v>2307.3599999999997</v>
      </c>
      <c r="O406" s="120">
        <v>56465.81490939785</v>
      </c>
      <c r="P406" s="121">
        <v>67437.224018077177</v>
      </c>
      <c r="Q406" s="120">
        <v>38720.235405907246</v>
      </c>
      <c r="R406" s="314">
        <v>95186.050315305096</v>
      </c>
      <c r="S406" s="315">
        <v>106157.45942398443</v>
      </c>
      <c r="U406" s="7" t="s">
        <v>2521</v>
      </c>
    </row>
    <row r="407" spans="1:21" ht="16.5" thickBot="1">
      <c r="A407" s="50" t="s">
        <v>35</v>
      </c>
      <c r="B407" s="51">
        <f t="shared" si="21"/>
        <v>90</v>
      </c>
      <c r="C407" s="51" t="s">
        <v>3</v>
      </c>
      <c r="D407" s="51">
        <f t="shared" si="22"/>
        <v>400</v>
      </c>
      <c r="E407" s="51" t="s">
        <v>3</v>
      </c>
      <c r="F407" s="99">
        <f t="shared" si="23"/>
        <v>2700</v>
      </c>
      <c r="G407" s="51" t="s">
        <v>3</v>
      </c>
      <c r="H407" s="48">
        <v>6</v>
      </c>
      <c r="I407" s="49" t="s">
        <v>45</v>
      </c>
      <c r="J407" s="184">
        <v>90</v>
      </c>
      <c r="K407" s="75">
        <v>400</v>
      </c>
      <c r="L407" s="75">
        <v>2700</v>
      </c>
      <c r="M407" s="185">
        <v>36.535582219066058</v>
      </c>
      <c r="N407" s="87">
        <v>2357.52</v>
      </c>
      <c r="O407" s="120">
        <v>57504.168991822175</v>
      </c>
      <c r="P407" s="121">
        <v>68670.521023214154</v>
      </c>
      <c r="Q407" s="120">
        <v>39322.627243300587</v>
      </c>
      <c r="R407" s="314">
        <v>96826.796235122762</v>
      </c>
      <c r="S407" s="315">
        <v>107993.14826651473</v>
      </c>
      <c r="U407" s="7" t="s">
        <v>2522</v>
      </c>
    </row>
    <row r="408" spans="1:21" ht="16.5" thickBot="1">
      <c r="A408" s="50" t="s">
        <v>35</v>
      </c>
      <c r="B408" s="51">
        <f t="shared" si="21"/>
        <v>90</v>
      </c>
      <c r="C408" s="51" t="s">
        <v>3</v>
      </c>
      <c r="D408" s="51">
        <f t="shared" si="22"/>
        <v>400</v>
      </c>
      <c r="E408" s="51" t="s">
        <v>3</v>
      </c>
      <c r="F408" s="99">
        <f t="shared" si="23"/>
        <v>2750</v>
      </c>
      <c r="G408" s="51" t="s">
        <v>3</v>
      </c>
      <c r="H408" s="48">
        <v>6</v>
      </c>
      <c r="I408" s="49" t="s">
        <v>45</v>
      </c>
      <c r="J408" s="184">
        <v>90</v>
      </c>
      <c r="K408" s="75">
        <v>400</v>
      </c>
      <c r="L408" s="75">
        <v>2750</v>
      </c>
      <c r="M408" s="185">
        <v>37.1732415984429</v>
      </c>
      <c r="N408" s="87">
        <v>2407.6799999999998</v>
      </c>
      <c r="O408" s="120">
        <v>58419.496791867838</v>
      </c>
      <c r="P408" s="121">
        <v>69780.04064148308</v>
      </c>
      <c r="Q408" s="120">
        <v>39925.018940300557</v>
      </c>
      <c r="R408" s="314">
        <v>98344.515732168395</v>
      </c>
      <c r="S408" s="315">
        <v>109705.05958178363</v>
      </c>
      <c r="U408" s="7" t="s">
        <v>2523</v>
      </c>
    </row>
    <row r="409" spans="1:21" ht="16.5" thickBot="1">
      <c r="A409" s="50" t="s">
        <v>35</v>
      </c>
      <c r="B409" s="51">
        <f t="shared" si="21"/>
        <v>90</v>
      </c>
      <c r="C409" s="51" t="s">
        <v>3</v>
      </c>
      <c r="D409" s="51">
        <f t="shared" si="22"/>
        <v>400</v>
      </c>
      <c r="E409" s="51" t="s">
        <v>3</v>
      </c>
      <c r="F409" s="99">
        <f t="shared" si="23"/>
        <v>2800</v>
      </c>
      <c r="G409" s="51" t="s">
        <v>3</v>
      </c>
      <c r="H409" s="48">
        <v>6</v>
      </c>
      <c r="I409" s="49" t="s">
        <v>45</v>
      </c>
      <c r="J409" s="184">
        <v>90</v>
      </c>
      <c r="K409" s="75">
        <v>400</v>
      </c>
      <c r="L409" s="75">
        <v>2800</v>
      </c>
      <c r="M409" s="185">
        <v>37.827940977819736</v>
      </c>
      <c r="N409" s="87">
        <v>2457.8399999999997</v>
      </c>
      <c r="O409" s="120">
        <v>59334.824732306864</v>
      </c>
      <c r="P409" s="121">
        <v>70889.56040014539</v>
      </c>
      <c r="Q409" s="120">
        <v>40757.992555477169</v>
      </c>
      <c r="R409" s="314">
        <v>100092.81728778404</v>
      </c>
      <c r="S409" s="315">
        <v>111647.55295562255</v>
      </c>
      <c r="U409" s="7" t="s">
        <v>2524</v>
      </c>
    </row>
    <row r="410" spans="1:21" ht="16.5" thickBot="1">
      <c r="A410" s="50" t="s">
        <v>35</v>
      </c>
      <c r="B410" s="51">
        <f t="shared" si="21"/>
        <v>90</v>
      </c>
      <c r="C410" s="51" t="s">
        <v>3</v>
      </c>
      <c r="D410" s="51">
        <f t="shared" si="22"/>
        <v>400</v>
      </c>
      <c r="E410" s="51" t="s">
        <v>3</v>
      </c>
      <c r="F410" s="99">
        <f t="shared" si="23"/>
        <v>2850</v>
      </c>
      <c r="G410" s="51" t="s">
        <v>3</v>
      </c>
      <c r="H410" s="48">
        <v>6</v>
      </c>
      <c r="I410" s="49" t="s">
        <v>45</v>
      </c>
      <c r="J410" s="184">
        <v>90</v>
      </c>
      <c r="K410" s="75">
        <v>400</v>
      </c>
      <c r="L410" s="75">
        <v>2850</v>
      </c>
      <c r="M410" s="185">
        <v>38.465600357196578</v>
      </c>
      <c r="N410" s="87">
        <v>2508</v>
      </c>
      <c r="O410" s="120">
        <v>60250.152672745891</v>
      </c>
      <c r="P410" s="121">
        <v>71999.080158807687</v>
      </c>
      <c r="Q410" s="120">
        <v>41360.384252477146</v>
      </c>
      <c r="R410" s="314">
        <v>101610.53692522304</v>
      </c>
      <c r="S410" s="315">
        <v>113359.46441128483</v>
      </c>
      <c r="U410" s="7" t="s">
        <v>2525</v>
      </c>
    </row>
    <row r="411" spans="1:21" ht="16.5" thickBot="1">
      <c r="A411" s="50" t="s">
        <v>35</v>
      </c>
      <c r="B411" s="51">
        <f t="shared" si="21"/>
        <v>90</v>
      </c>
      <c r="C411" s="51" t="s">
        <v>3</v>
      </c>
      <c r="D411" s="51">
        <f t="shared" si="22"/>
        <v>400</v>
      </c>
      <c r="E411" s="51" t="s">
        <v>3</v>
      </c>
      <c r="F411" s="99">
        <f t="shared" si="23"/>
        <v>2900</v>
      </c>
      <c r="G411" s="51" t="s">
        <v>3</v>
      </c>
      <c r="H411" s="48">
        <v>6</v>
      </c>
      <c r="I411" s="49" t="s">
        <v>45</v>
      </c>
      <c r="J411" s="184">
        <v>90</v>
      </c>
      <c r="K411" s="75">
        <v>400</v>
      </c>
      <c r="L411" s="75">
        <v>2900</v>
      </c>
      <c r="M411" s="185">
        <v>39.120299736573415</v>
      </c>
      <c r="N411" s="87">
        <v>2558.1600000000003</v>
      </c>
      <c r="O411" s="120">
        <v>61165.480472791547</v>
      </c>
      <c r="P411" s="121">
        <v>73108.599777076626</v>
      </c>
      <c r="Q411" s="120">
        <v>42193.357867653758</v>
      </c>
      <c r="R411" s="314">
        <v>103358.83834044531</v>
      </c>
      <c r="S411" s="315">
        <v>115301.95764473038</v>
      </c>
      <c r="U411" s="7" t="s">
        <v>2526</v>
      </c>
    </row>
    <row r="412" spans="1:21" ht="16.5" thickBot="1">
      <c r="A412" s="50" t="s">
        <v>35</v>
      </c>
      <c r="B412" s="51">
        <f t="shared" si="21"/>
        <v>90</v>
      </c>
      <c r="C412" s="51" t="s">
        <v>3</v>
      </c>
      <c r="D412" s="51">
        <f t="shared" si="22"/>
        <v>400</v>
      </c>
      <c r="E412" s="51" t="s">
        <v>3</v>
      </c>
      <c r="F412" s="99">
        <f t="shared" si="23"/>
        <v>2950</v>
      </c>
      <c r="G412" s="51" t="s">
        <v>3</v>
      </c>
      <c r="H412" s="48">
        <v>6</v>
      </c>
      <c r="I412" s="49" t="s">
        <v>45</v>
      </c>
      <c r="J412" s="184">
        <v>90</v>
      </c>
      <c r="K412" s="75">
        <v>400</v>
      </c>
      <c r="L412" s="75">
        <v>2950</v>
      </c>
      <c r="M412" s="185">
        <v>39.757959115950264</v>
      </c>
      <c r="N412" s="87">
        <v>2608.3199999999997</v>
      </c>
      <c r="O412" s="120">
        <v>62080.808413230574</v>
      </c>
      <c r="P412" s="121">
        <v>74218.119535738937</v>
      </c>
      <c r="Q412" s="120">
        <v>42795.749564653735</v>
      </c>
      <c r="R412" s="314">
        <v>104876.55797788431</v>
      </c>
      <c r="S412" s="315">
        <v>117013.86910039268</v>
      </c>
      <c r="U412" s="7" t="s">
        <v>2527</v>
      </c>
    </row>
    <row r="413" spans="1:21" ht="16.5" thickBot="1">
      <c r="A413" s="50" t="s">
        <v>35</v>
      </c>
      <c r="B413" s="51">
        <f t="shared" si="21"/>
        <v>90</v>
      </c>
      <c r="C413" s="51" t="s">
        <v>3</v>
      </c>
      <c r="D413" s="51">
        <f t="shared" si="22"/>
        <v>400</v>
      </c>
      <c r="E413" s="51" t="s">
        <v>3</v>
      </c>
      <c r="F413" s="99">
        <f t="shared" si="23"/>
        <v>3000</v>
      </c>
      <c r="G413" s="51" t="s">
        <v>3</v>
      </c>
      <c r="H413" s="48">
        <v>6</v>
      </c>
      <c r="I413" s="49" t="s">
        <v>45</v>
      </c>
      <c r="J413" s="186">
        <v>90</v>
      </c>
      <c r="K413" s="147">
        <v>400</v>
      </c>
      <c r="L413" s="147">
        <v>3000</v>
      </c>
      <c r="M413" s="187">
        <v>40.412658495327101</v>
      </c>
      <c r="N413" s="148">
        <v>2658.48</v>
      </c>
      <c r="O413" s="159">
        <v>64171.293799921434</v>
      </c>
      <c r="P413" s="158">
        <v>75327.639154007877</v>
      </c>
      <c r="Q413" s="159">
        <v>43628.723179830347</v>
      </c>
      <c r="R413" s="316">
        <v>107800.01697975179</v>
      </c>
      <c r="S413" s="317">
        <v>118956.36233383822</v>
      </c>
      <c r="U413" s="7" t="s">
        <v>2528</v>
      </c>
    </row>
    <row r="414" spans="1:21">
      <c r="A414" s="124"/>
      <c r="B414" s="124"/>
      <c r="C414" s="124"/>
      <c r="D414" s="124"/>
      <c r="E414" s="124"/>
      <c r="F414" s="125"/>
      <c r="G414" s="124"/>
      <c r="H414" s="124"/>
      <c r="I414" s="124"/>
      <c r="J414" s="124"/>
    </row>
  </sheetData>
  <mergeCells count="24">
    <mergeCell ref="A263:S263"/>
    <mergeCell ref="A313:S313"/>
    <mergeCell ref="A314:S314"/>
    <mergeCell ref="A364:S364"/>
    <mergeCell ref="A7:S7"/>
    <mergeCell ref="A8:S8"/>
    <mergeCell ref="A9:S9"/>
    <mergeCell ref="A110:S110"/>
    <mergeCell ref="A111:S111"/>
    <mergeCell ref="A161:S161"/>
    <mergeCell ref="A162:S162"/>
    <mergeCell ref="A212:S212"/>
    <mergeCell ref="A262:S262"/>
    <mergeCell ref="A59:S59"/>
    <mergeCell ref="A60:S60"/>
    <mergeCell ref="Q4:Q5"/>
    <mergeCell ref="R4:R5"/>
    <mergeCell ref="S4:S5"/>
    <mergeCell ref="O6:S6"/>
    <mergeCell ref="A4:I6"/>
    <mergeCell ref="J4:M5"/>
    <mergeCell ref="N4:N6"/>
    <mergeCell ref="O4:O5"/>
    <mergeCell ref="P4:P5"/>
  </mergeCells>
  <hyperlinks>
    <hyperlink ref="A1:I1" location="Главная!A1" display="Вернуться на главную страницу" xr:uid="{00000000-0004-0000-1400-000000000000}"/>
    <hyperlink ref="A2" location="'Калькулятор теплоотдач ВК'!R1C1" display="Вернуться Калькулятор теплоотдач ВК" xr:uid="{00000000-0004-0000-1400-000001000000}"/>
  </hyperlink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Лист23">
    <tabColor rgb="FFFFC000"/>
  </sheetPr>
  <dimension ref="A1:U413"/>
  <sheetViews>
    <sheetView zoomScale="70" zoomScaleNormal="70" workbookViewId="0">
      <pane ySplit="6" topLeftCell="A7" activePane="bottomLeft" state="frozen"/>
      <selection pane="bottomLeft" activeCell="R41" sqref="R41"/>
    </sheetView>
  </sheetViews>
  <sheetFormatPr defaultRowHeight="15.75"/>
  <cols>
    <col min="1" max="1" width="3.7109375" style="7" customWidth="1"/>
    <col min="2" max="2" width="6" style="7" customWidth="1"/>
    <col min="3" max="3" width="3" style="7" customWidth="1"/>
    <col min="4" max="4" width="6" style="7" customWidth="1"/>
    <col min="5" max="5" width="3" style="7" customWidth="1"/>
    <col min="6" max="6" width="7.7109375" style="96" customWidth="1"/>
    <col min="7" max="7" width="3" style="7" customWidth="1"/>
    <col min="8" max="8" width="6" style="7" customWidth="1"/>
    <col min="9" max="9" width="4.5703125" style="7" customWidth="1"/>
    <col min="10" max="10" width="11.28515625" style="7" customWidth="1"/>
    <col min="11" max="12" width="11.28515625" style="96" customWidth="1"/>
    <col min="13" max="13" width="15.5703125" style="9" customWidth="1"/>
    <col min="14" max="14" width="19.140625" style="7" customWidth="1"/>
    <col min="15" max="15" width="27.7109375" style="122" customWidth="1"/>
    <col min="16" max="16" width="27.7109375" style="116" customWidth="1"/>
    <col min="17" max="17" width="26.28515625" style="117" customWidth="1"/>
    <col min="18" max="18" width="27.7109375" style="122" customWidth="1"/>
    <col min="19" max="19" width="27.7109375" style="117" customWidth="1"/>
    <col min="21" max="21" width="22.42578125" customWidth="1"/>
  </cols>
  <sheetData>
    <row r="1" spans="1:21" ht="16.5" customHeight="1">
      <c r="A1" s="1217" t="s">
        <v>9</v>
      </c>
      <c r="B1" s="1217"/>
      <c r="C1" s="1217"/>
      <c r="D1" s="1217"/>
      <c r="E1" s="1217"/>
      <c r="F1" s="97"/>
      <c r="G1" s="1217"/>
      <c r="H1" s="1217"/>
      <c r="I1" s="1217"/>
      <c r="M1" s="175"/>
      <c r="O1" s="117"/>
      <c r="P1" s="117"/>
      <c r="R1" s="117"/>
    </row>
    <row r="2" spans="1:21" s="74" customFormat="1" ht="16.5" customHeight="1">
      <c r="A2" s="956" t="s">
        <v>378</v>
      </c>
      <c r="B2" s="1217"/>
      <c r="C2" s="1217"/>
      <c r="D2" s="1217"/>
      <c r="E2" s="1217"/>
      <c r="F2" s="97"/>
      <c r="G2" s="1217"/>
      <c r="H2" s="1217"/>
      <c r="I2" s="1217"/>
      <c r="J2" s="7"/>
      <c r="K2" s="96"/>
      <c r="L2" s="96"/>
      <c r="M2" s="175"/>
      <c r="N2" s="7"/>
      <c r="O2" s="117"/>
      <c r="P2" s="117"/>
      <c r="Q2" s="117"/>
      <c r="R2" s="117"/>
      <c r="S2" s="117"/>
    </row>
    <row r="3" spans="1:21" s="74" customFormat="1" ht="13.5" customHeight="1" thickBot="1">
      <c r="A3" s="16"/>
      <c r="B3" s="16"/>
      <c r="C3" s="16"/>
      <c r="D3" s="16"/>
      <c r="E3" s="16"/>
      <c r="F3" s="109"/>
      <c r="G3" s="16"/>
      <c r="H3" s="16"/>
      <c r="I3" s="16"/>
      <c r="J3" s="16"/>
      <c r="K3" s="108"/>
      <c r="L3" s="108"/>
      <c r="M3" s="176"/>
      <c r="N3" s="7"/>
      <c r="O3" s="116"/>
      <c r="P3" s="116"/>
      <c r="Q3" s="117"/>
      <c r="R3" s="117"/>
      <c r="S3" s="117"/>
    </row>
    <row r="4" spans="1:21" s="74" customFormat="1" ht="69" customHeight="1">
      <c r="A4" s="2643" t="s">
        <v>8</v>
      </c>
      <c r="B4" s="2644"/>
      <c r="C4" s="2644"/>
      <c r="D4" s="2644"/>
      <c r="E4" s="2644"/>
      <c r="F4" s="2644"/>
      <c r="G4" s="2644"/>
      <c r="H4" s="2644"/>
      <c r="I4" s="2645"/>
      <c r="J4" s="2637" t="s">
        <v>97</v>
      </c>
      <c r="K4" s="2638"/>
      <c r="L4" s="2638"/>
      <c r="M4" s="2639"/>
      <c r="N4" s="2652" t="s">
        <v>96</v>
      </c>
      <c r="O4" s="2655" t="s">
        <v>170</v>
      </c>
      <c r="P4" s="2617" t="s">
        <v>166</v>
      </c>
      <c r="Q4" s="2655" t="s">
        <v>171</v>
      </c>
      <c r="R4" s="2630" t="s">
        <v>460</v>
      </c>
      <c r="S4" s="2590" t="s">
        <v>461</v>
      </c>
    </row>
    <row r="5" spans="1:21" s="74" customFormat="1" ht="72.75" customHeight="1" thickBot="1">
      <c r="A5" s="2646"/>
      <c r="B5" s="2647"/>
      <c r="C5" s="2647"/>
      <c r="D5" s="2647"/>
      <c r="E5" s="2647"/>
      <c r="F5" s="2647"/>
      <c r="G5" s="2647"/>
      <c r="H5" s="2647"/>
      <c r="I5" s="2648"/>
      <c r="J5" s="2640"/>
      <c r="K5" s="2641"/>
      <c r="L5" s="2641"/>
      <c r="M5" s="2642"/>
      <c r="N5" s="2653"/>
      <c r="O5" s="2656"/>
      <c r="P5" s="2618"/>
      <c r="Q5" s="2656"/>
      <c r="R5" s="2631"/>
      <c r="S5" s="2591"/>
    </row>
    <row r="6" spans="1:21" s="74" customFormat="1" ht="61.5" customHeight="1" thickBot="1">
      <c r="A6" s="2649"/>
      <c r="B6" s="2650"/>
      <c r="C6" s="2650"/>
      <c r="D6" s="2650"/>
      <c r="E6" s="2650"/>
      <c r="F6" s="2650"/>
      <c r="G6" s="2650"/>
      <c r="H6" s="2650"/>
      <c r="I6" s="2651"/>
      <c r="J6" s="1223" t="s">
        <v>0</v>
      </c>
      <c r="K6" s="115" t="s">
        <v>1</v>
      </c>
      <c r="L6" s="115" t="s">
        <v>2</v>
      </c>
      <c r="M6" s="180" t="s">
        <v>94</v>
      </c>
      <c r="N6" s="2654"/>
      <c r="O6" s="2634" t="s">
        <v>169</v>
      </c>
      <c r="P6" s="2635"/>
      <c r="Q6" s="2635"/>
      <c r="R6" s="2635"/>
      <c r="S6" s="2636"/>
    </row>
    <row r="7" spans="1:21" s="74" customFormat="1" ht="22.5" customHeight="1" thickBot="1">
      <c r="A7" s="2580" t="s">
        <v>519</v>
      </c>
      <c r="B7" s="2581"/>
      <c r="C7" s="2581"/>
      <c r="D7" s="2581"/>
      <c r="E7" s="2581"/>
      <c r="F7" s="2581"/>
      <c r="G7" s="2581"/>
      <c r="H7" s="2581"/>
      <c r="I7" s="2581"/>
      <c r="J7" s="2581"/>
      <c r="K7" s="2581"/>
      <c r="L7" s="2581"/>
      <c r="M7" s="2581"/>
      <c r="N7" s="2581"/>
      <c r="O7" s="2581"/>
      <c r="P7" s="2581"/>
      <c r="Q7" s="2581"/>
      <c r="R7" s="2581"/>
      <c r="S7" s="2582"/>
    </row>
    <row r="8" spans="1:21" s="74" customFormat="1" ht="22.5" customHeight="1" thickBot="1">
      <c r="A8" s="2624" t="s">
        <v>69</v>
      </c>
      <c r="B8" s="2625"/>
      <c r="C8" s="2625"/>
      <c r="D8" s="2625"/>
      <c r="E8" s="2625"/>
      <c r="F8" s="2625"/>
      <c r="G8" s="2625"/>
      <c r="H8" s="2625"/>
      <c r="I8" s="2625"/>
      <c r="J8" s="2625"/>
      <c r="K8" s="2625"/>
      <c r="L8" s="2625"/>
      <c r="M8" s="2625"/>
      <c r="N8" s="2625"/>
      <c r="O8" s="2625"/>
      <c r="P8" s="2625"/>
      <c r="Q8" s="2625"/>
      <c r="R8" s="2625"/>
      <c r="S8" s="2626"/>
    </row>
    <row r="9" spans="1:21" s="74" customFormat="1" ht="16.5" customHeight="1" thickBot="1">
      <c r="A9" s="2583" t="s">
        <v>134</v>
      </c>
      <c r="B9" s="2584"/>
      <c r="C9" s="2584"/>
      <c r="D9" s="2584"/>
      <c r="E9" s="2584"/>
      <c r="F9" s="2584"/>
      <c r="G9" s="2584"/>
      <c r="H9" s="2584"/>
      <c r="I9" s="2584"/>
      <c r="J9" s="2584"/>
      <c r="K9" s="2584"/>
      <c r="L9" s="2584"/>
      <c r="M9" s="2584"/>
      <c r="N9" s="2584"/>
      <c r="O9" s="2584"/>
      <c r="P9" s="2584"/>
      <c r="Q9" s="2584"/>
      <c r="R9" s="2632"/>
      <c r="S9" s="2633"/>
    </row>
    <row r="10" spans="1:21" s="74" customFormat="1" ht="16.5" customHeight="1" thickBot="1">
      <c r="A10" s="47" t="s">
        <v>35</v>
      </c>
      <c r="B10" s="48">
        <f>J10</f>
        <v>110</v>
      </c>
      <c r="C10" s="48" t="s">
        <v>3</v>
      </c>
      <c r="D10" s="48">
        <f>K10</f>
        <v>160</v>
      </c>
      <c r="E10" s="48" t="s">
        <v>3</v>
      </c>
      <c r="F10" s="110">
        <f>L10</f>
        <v>600</v>
      </c>
      <c r="G10" s="48" t="s">
        <v>3</v>
      </c>
      <c r="H10" s="48">
        <v>2</v>
      </c>
      <c r="I10" s="49" t="s">
        <v>45</v>
      </c>
      <c r="J10" s="181">
        <v>110</v>
      </c>
      <c r="K10" s="168">
        <v>160</v>
      </c>
      <c r="L10" s="168">
        <v>600</v>
      </c>
      <c r="M10" s="182">
        <v>4.97146841562025</v>
      </c>
      <c r="N10" s="144">
        <v>110.91153918239998</v>
      </c>
      <c r="O10" s="183">
        <v>9733.3423794447772</v>
      </c>
      <c r="P10" s="183">
        <v>11622.379155398103</v>
      </c>
      <c r="Q10" s="309">
        <v>5867.7029602663515</v>
      </c>
      <c r="R10" s="312">
        <v>15601.045339711129</v>
      </c>
      <c r="S10" s="313">
        <v>17490.082115664452</v>
      </c>
      <c r="U10" s="7" t="s">
        <v>2529</v>
      </c>
    </row>
    <row r="11" spans="1:21" s="74" customFormat="1" ht="16.5" customHeight="1" thickBot="1">
      <c r="A11" s="50" t="s">
        <v>35</v>
      </c>
      <c r="B11" s="51">
        <f t="shared" ref="B11:B58" si="0">J11</f>
        <v>110</v>
      </c>
      <c r="C11" s="51" t="s">
        <v>3</v>
      </c>
      <c r="D11" s="51">
        <f t="shared" ref="D11:D58" si="1">K11</f>
        <v>160</v>
      </c>
      <c r="E11" s="51" t="s">
        <v>3</v>
      </c>
      <c r="F11" s="110">
        <f t="shared" ref="F11:F58" si="2">L11</f>
        <v>650</v>
      </c>
      <c r="G11" s="51" t="s">
        <v>3</v>
      </c>
      <c r="H11" s="48">
        <v>2</v>
      </c>
      <c r="I11" s="49" t="s">
        <v>45</v>
      </c>
      <c r="J11" s="184">
        <v>110</v>
      </c>
      <c r="K11" s="113">
        <v>160</v>
      </c>
      <c r="L11" s="113">
        <v>650</v>
      </c>
      <c r="M11" s="185">
        <v>5.3197801901062496</v>
      </c>
      <c r="N11" s="87">
        <v>133.09384701887996</v>
      </c>
      <c r="O11" s="121">
        <v>10135.370004432527</v>
      </c>
      <c r="P11" s="121">
        <v>12145.292906346565</v>
      </c>
      <c r="Q11" s="310">
        <v>6177.3270434973019</v>
      </c>
      <c r="R11" s="314">
        <v>16312.697047929829</v>
      </c>
      <c r="S11" s="315">
        <v>18322.619949843865</v>
      </c>
      <c r="U11" s="7" t="s">
        <v>2530</v>
      </c>
    </row>
    <row r="12" spans="1:21" s="74" customFormat="1" ht="16.5" customHeight="1" thickBot="1">
      <c r="A12" s="50" t="s">
        <v>35</v>
      </c>
      <c r="B12" s="51">
        <f t="shared" si="0"/>
        <v>110</v>
      </c>
      <c r="C12" s="51" t="s">
        <v>3</v>
      </c>
      <c r="D12" s="51">
        <f t="shared" si="1"/>
        <v>160</v>
      </c>
      <c r="E12" s="51" t="s">
        <v>3</v>
      </c>
      <c r="F12" s="110">
        <f t="shared" si="2"/>
        <v>700</v>
      </c>
      <c r="G12" s="51" t="s">
        <v>3</v>
      </c>
      <c r="H12" s="48">
        <v>2</v>
      </c>
      <c r="I12" s="49" t="s">
        <v>45</v>
      </c>
      <c r="J12" s="184">
        <v>110</v>
      </c>
      <c r="K12" s="113">
        <v>160</v>
      </c>
      <c r="L12" s="113">
        <v>700</v>
      </c>
      <c r="M12" s="185">
        <v>5.6842799645922488</v>
      </c>
      <c r="N12" s="87">
        <v>155.27615485535998</v>
      </c>
      <c r="O12" s="121">
        <v>10537.397629420278</v>
      </c>
      <c r="P12" s="121">
        <v>12668.206516901666</v>
      </c>
      <c r="Q12" s="310">
        <v>6717.5327641181639</v>
      </c>
      <c r="R12" s="314">
        <v>17254.930393538441</v>
      </c>
      <c r="S12" s="315">
        <v>19385.739281019829</v>
      </c>
      <c r="U12" s="7" t="s">
        <v>2531</v>
      </c>
    </row>
    <row r="13" spans="1:21" s="74" customFormat="1" ht="16.5" customHeight="1" thickBot="1">
      <c r="A13" s="50" t="s">
        <v>35</v>
      </c>
      <c r="B13" s="51">
        <f t="shared" si="0"/>
        <v>110</v>
      </c>
      <c r="C13" s="51" t="s">
        <v>3</v>
      </c>
      <c r="D13" s="51">
        <f t="shared" si="1"/>
        <v>160</v>
      </c>
      <c r="E13" s="51" t="s">
        <v>3</v>
      </c>
      <c r="F13" s="110">
        <f t="shared" si="2"/>
        <v>750</v>
      </c>
      <c r="G13" s="51" t="s">
        <v>3</v>
      </c>
      <c r="H13" s="48">
        <v>2</v>
      </c>
      <c r="I13" s="49" t="s">
        <v>45</v>
      </c>
      <c r="J13" s="184">
        <v>110</v>
      </c>
      <c r="K13" s="113">
        <v>160</v>
      </c>
      <c r="L13" s="113">
        <v>750</v>
      </c>
      <c r="M13" s="185">
        <v>6.0325917390782493</v>
      </c>
      <c r="N13" s="87">
        <v>177.45846269183997</v>
      </c>
      <c r="O13" s="121">
        <v>10939.425114014664</v>
      </c>
      <c r="P13" s="121">
        <v>13191.120267850127</v>
      </c>
      <c r="Q13" s="310">
        <v>7027.1568473491143</v>
      </c>
      <c r="R13" s="314">
        <v>17966.58196136378</v>
      </c>
      <c r="S13" s="315">
        <v>20218.277115199242</v>
      </c>
      <c r="U13" s="7" t="s">
        <v>2532</v>
      </c>
    </row>
    <row r="14" spans="1:21" s="74" customFormat="1" ht="16.5" customHeight="1" thickBot="1">
      <c r="A14" s="50" t="s">
        <v>35</v>
      </c>
      <c r="B14" s="51">
        <f t="shared" si="0"/>
        <v>110</v>
      </c>
      <c r="C14" s="51" t="s">
        <v>3</v>
      </c>
      <c r="D14" s="51">
        <f t="shared" si="1"/>
        <v>160</v>
      </c>
      <c r="E14" s="51" t="s">
        <v>3</v>
      </c>
      <c r="F14" s="110">
        <f t="shared" si="2"/>
        <v>800</v>
      </c>
      <c r="G14" s="51" t="s">
        <v>3</v>
      </c>
      <c r="H14" s="48">
        <v>2</v>
      </c>
      <c r="I14" s="49" t="s">
        <v>45</v>
      </c>
      <c r="J14" s="184">
        <v>110</v>
      </c>
      <c r="K14" s="113">
        <v>160</v>
      </c>
      <c r="L14" s="113">
        <v>800</v>
      </c>
      <c r="M14" s="185">
        <v>6.3809035135642507</v>
      </c>
      <c r="N14" s="87">
        <v>199.64077052831996</v>
      </c>
      <c r="O14" s="121">
        <v>11341.452739002416</v>
      </c>
      <c r="P14" s="121">
        <v>13714.034018798589</v>
      </c>
      <c r="Q14" s="310">
        <v>7336.7809305800638</v>
      </c>
      <c r="R14" s="314">
        <v>18678.233669582478</v>
      </c>
      <c r="S14" s="315">
        <v>21050.814949378655</v>
      </c>
      <c r="U14" s="7" t="s">
        <v>2533</v>
      </c>
    </row>
    <row r="15" spans="1:21" s="74" customFormat="1" ht="16.5" customHeight="1" thickBot="1">
      <c r="A15" s="50" t="s">
        <v>35</v>
      </c>
      <c r="B15" s="51">
        <f t="shared" si="0"/>
        <v>110</v>
      </c>
      <c r="C15" s="51" t="s">
        <v>3</v>
      </c>
      <c r="D15" s="51">
        <f t="shared" si="1"/>
        <v>160</v>
      </c>
      <c r="E15" s="51" t="s">
        <v>3</v>
      </c>
      <c r="F15" s="110">
        <f t="shared" si="2"/>
        <v>850</v>
      </c>
      <c r="G15" s="51" t="s">
        <v>3</v>
      </c>
      <c r="H15" s="48">
        <v>2</v>
      </c>
      <c r="I15" s="49" t="s">
        <v>45</v>
      </c>
      <c r="J15" s="184">
        <v>110</v>
      </c>
      <c r="K15" s="113">
        <v>160</v>
      </c>
      <c r="L15" s="113">
        <v>850</v>
      </c>
      <c r="M15" s="185">
        <v>6.7454032880502499</v>
      </c>
      <c r="N15" s="87">
        <v>221.82307836479995</v>
      </c>
      <c r="O15" s="121">
        <v>11743.480363990166</v>
      </c>
      <c r="P15" s="121">
        <v>14236.94762935369</v>
      </c>
      <c r="Q15" s="310">
        <v>7876.9867915942896</v>
      </c>
      <c r="R15" s="314">
        <v>19620.467155584454</v>
      </c>
      <c r="S15" s="315">
        <v>22113.934420947979</v>
      </c>
      <c r="U15" s="7" t="s">
        <v>2534</v>
      </c>
    </row>
    <row r="16" spans="1:21" s="74" customFormat="1" ht="16.5" customHeight="1" thickBot="1">
      <c r="A16" s="50" t="s">
        <v>35</v>
      </c>
      <c r="B16" s="51">
        <f t="shared" si="0"/>
        <v>110</v>
      </c>
      <c r="C16" s="51" t="s">
        <v>3</v>
      </c>
      <c r="D16" s="51">
        <f t="shared" si="1"/>
        <v>160</v>
      </c>
      <c r="E16" s="51" t="s">
        <v>3</v>
      </c>
      <c r="F16" s="110">
        <f t="shared" si="2"/>
        <v>900</v>
      </c>
      <c r="G16" s="51" t="s">
        <v>3</v>
      </c>
      <c r="H16" s="48">
        <v>2</v>
      </c>
      <c r="I16" s="49" t="s">
        <v>45</v>
      </c>
      <c r="J16" s="184">
        <v>110</v>
      </c>
      <c r="K16" s="113">
        <v>160</v>
      </c>
      <c r="L16" s="113">
        <v>900</v>
      </c>
      <c r="M16" s="185">
        <v>7.0937150625362513</v>
      </c>
      <c r="N16" s="87">
        <v>244.00538620127998</v>
      </c>
      <c r="O16" s="121">
        <v>12145.507988977915</v>
      </c>
      <c r="P16" s="121">
        <v>14759.861380302154</v>
      </c>
      <c r="Q16" s="310">
        <v>8186.6107344318762</v>
      </c>
      <c r="R16" s="314">
        <v>20332.118723409792</v>
      </c>
      <c r="S16" s="315">
        <v>22946.472114734031</v>
      </c>
      <c r="U16" s="7" t="s">
        <v>2535</v>
      </c>
    </row>
    <row r="17" spans="1:21" s="74" customFormat="1" ht="16.5" customHeight="1" thickBot="1">
      <c r="A17" s="50" t="s">
        <v>35</v>
      </c>
      <c r="B17" s="51">
        <f t="shared" si="0"/>
        <v>110</v>
      </c>
      <c r="C17" s="51" t="s">
        <v>3</v>
      </c>
      <c r="D17" s="51">
        <f t="shared" si="1"/>
        <v>160</v>
      </c>
      <c r="E17" s="51" t="s">
        <v>3</v>
      </c>
      <c r="F17" s="110">
        <f t="shared" si="2"/>
        <v>950</v>
      </c>
      <c r="G17" s="51" t="s">
        <v>3</v>
      </c>
      <c r="H17" s="48">
        <v>2</v>
      </c>
      <c r="I17" s="49" t="s">
        <v>45</v>
      </c>
      <c r="J17" s="184">
        <v>110</v>
      </c>
      <c r="K17" s="113">
        <v>160</v>
      </c>
      <c r="L17" s="113">
        <v>950</v>
      </c>
      <c r="M17" s="185">
        <v>7.4582148370222505</v>
      </c>
      <c r="N17" s="87">
        <v>266.18769403775991</v>
      </c>
      <c r="O17" s="121">
        <v>13207.932232616142</v>
      </c>
      <c r="P17" s="121">
        <v>15282.775131250615</v>
      </c>
      <c r="Q17" s="310">
        <v>8726.8165954461019</v>
      </c>
      <c r="R17" s="314">
        <v>21934.748828062242</v>
      </c>
      <c r="S17" s="315">
        <v>24009.591726696715</v>
      </c>
      <c r="U17" s="7" t="s">
        <v>2536</v>
      </c>
    </row>
    <row r="18" spans="1:21" s="74" customFormat="1" ht="16.5" customHeight="1" thickBot="1">
      <c r="A18" s="50" t="s">
        <v>35</v>
      </c>
      <c r="B18" s="51">
        <f t="shared" si="0"/>
        <v>110</v>
      </c>
      <c r="C18" s="51" t="s">
        <v>3</v>
      </c>
      <c r="D18" s="51">
        <f t="shared" si="1"/>
        <v>160</v>
      </c>
      <c r="E18" s="51" t="s">
        <v>3</v>
      </c>
      <c r="F18" s="110">
        <f t="shared" si="2"/>
        <v>1000</v>
      </c>
      <c r="G18" s="51" t="s">
        <v>3</v>
      </c>
      <c r="H18" s="48">
        <v>2</v>
      </c>
      <c r="I18" s="49" t="s">
        <v>45</v>
      </c>
      <c r="J18" s="184">
        <v>110</v>
      </c>
      <c r="K18" s="113">
        <v>160</v>
      </c>
      <c r="L18" s="113">
        <v>1000</v>
      </c>
      <c r="M18" s="185">
        <v>6.8916469315082498</v>
      </c>
      <c r="N18" s="87">
        <v>288.3700018742399</v>
      </c>
      <c r="O18" s="121">
        <v>13631.119102839715</v>
      </c>
      <c r="P18" s="121">
        <v>15805.688741805716</v>
      </c>
      <c r="Q18" s="310">
        <v>9036.4406786770523</v>
      </c>
      <c r="R18" s="314">
        <v>22667.559781516768</v>
      </c>
      <c r="S18" s="315">
        <v>24842.129420482768</v>
      </c>
      <c r="U18" s="7" t="s">
        <v>2537</v>
      </c>
    </row>
    <row r="19" spans="1:21" s="74" customFormat="1" ht="16.5" customHeight="1" thickBot="1">
      <c r="A19" s="50" t="s">
        <v>35</v>
      </c>
      <c r="B19" s="51">
        <f t="shared" si="0"/>
        <v>110</v>
      </c>
      <c r="C19" s="51" t="s">
        <v>3</v>
      </c>
      <c r="D19" s="51">
        <f t="shared" si="1"/>
        <v>160</v>
      </c>
      <c r="E19" s="51" t="s">
        <v>3</v>
      </c>
      <c r="F19" s="110">
        <f t="shared" si="2"/>
        <v>1050</v>
      </c>
      <c r="G19" s="51" t="s">
        <v>3</v>
      </c>
      <c r="H19" s="48">
        <v>2</v>
      </c>
      <c r="I19" s="49" t="s">
        <v>45</v>
      </c>
      <c r="J19" s="184">
        <v>110</v>
      </c>
      <c r="K19" s="113">
        <v>160</v>
      </c>
      <c r="L19" s="113">
        <v>1050</v>
      </c>
      <c r="M19" s="185">
        <v>8.1710263859942494</v>
      </c>
      <c r="N19" s="87">
        <v>310.55230971071995</v>
      </c>
      <c r="O19" s="121">
        <v>14054.306113456652</v>
      </c>
      <c r="P19" s="121">
        <v>16328.602492754178</v>
      </c>
      <c r="Q19" s="310">
        <v>9576.6465396912772</v>
      </c>
      <c r="R19" s="314">
        <v>23630.952653147928</v>
      </c>
      <c r="S19" s="315">
        <v>25905.249032445456</v>
      </c>
      <c r="U19" s="7" t="s">
        <v>2538</v>
      </c>
    </row>
    <row r="20" spans="1:21" s="74" customFormat="1" ht="16.5" customHeight="1" thickBot="1">
      <c r="A20" s="47" t="s">
        <v>35</v>
      </c>
      <c r="B20" s="48">
        <f t="shared" si="0"/>
        <v>110</v>
      </c>
      <c r="C20" s="48" t="s">
        <v>3</v>
      </c>
      <c r="D20" s="48">
        <f t="shared" si="1"/>
        <v>160</v>
      </c>
      <c r="E20" s="48" t="s">
        <v>3</v>
      </c>
      <c r="F20" s="110">
        <f t="shared" si="2"/>
        <v>1100</v>
      </c>
      <c r="G20" s="48" t="s">
        <v>3</v>
      </c>
      <c r="H20" s="48">
        <v>2</v>
      </c>
      <c r="I20" s="49" t="s">
        <v>45</v>
      </c>
      <c r="J20" s="184">
        <v>110</v>
      </c>
      <c r="K20" s="113">
        <v>160</v>
      </c>
      <c r="L20" s="113">
        <v>1100</v>
      </c>
      <c r="M20" s="185">
        <v>8.5193381604802507</v>
      </c>
      <c r="N20" s="87">
        <v>332.73461754719989</v>
      </c>
      <c r="O20" s="121">
        <v>14477.493124073591</v>
      </c>
      <c r="P20" s="121">
        <v>16851.516243702641</v>
      </c>
      <c r="Q20" s="310">
        <v>9886.2704825288656</v>
      </c>
      <c r="R20" s="314">
        <v>24363.763606602457</v>
      </c>
      <c r="S20" s="315">
        <v>26737.786726231505</v>
      </c>
      <c r="U20" s="7" t="s">
        <v>2539</v>
      </c>
    </row>
    <row r="21" spans="1:21" s="74" customFormat="1" ht="16.5" customHeight="1" thickBot="1">
      <c r="A21" s="50" t="s">
        <v>35</v>
      </c>
      <c r="B21" s="51">
        <f t="shared" si="0"/>
        <v>110</v>
      </c>
      <c r="C21" s="51" t="s">
        <v>3</v>
      </c>
      <c r="D21" s="51">
        <f t="shared" si="1"/>
        <v>160</v>
      </c>
      <c r="E21" s="51" t="s">
        <v>3</v>
      </c>
      <c r="F21" s="110">
        <f t="shared" si="2"/>
        <v>1150</v>
      </c>
      <c r="G21" s="51" t="s">
        <v>3</v>
      </c>
      <c r="H21" s="48">
        <v>2</v>
      </c>
      <c r="I21" s="49" t="s">
        <v>45</v>
      </c>
      <c r="J21" s="184">
        <v>110</v>
      </c>
      <c r="K21" s="113">
        <v>160</v>
      </c>
      <c r="L21" s="113">
        <v>1150</v>
      </c>
      <c r="M21" s="185">
        <v>8.8676499349662503</v>
      </c>
      <c r="N21" s="87">
        <v>354.91692538367994</v>
      </c>
      <c r="O21" s="121">
        <v>14900.679994297165</v>
      </c>
      <c r="P21" s="121">
        <v>17374.429854257742</v>
      </c>
      <c r="Q21" s="310">
        <v>10195.894565759814</v>
      </c>
      <c r="R21" s="314">
        <v>25096.574560056979</v>
      </c>
      <c r="S21" s="315">
        <v>27570.324420017554</v>
      </c>
      <c r="U21" s="7" t="s">
        <v>2540</v>
      </c>
    </row>
    <row r="22" spans="1:21" s="74" customFormat="1" ht="16.5" customHeight="1" thickBot="1">
      <c r="A22" s="50" t="s">
        <v>35</v>
      </c>
      <c r="B22" s="51">
        <f t="shared" si="0"/>
        <v>110</v>
      </c>
      <c r="C22" s="51" t="s">
        <v>3</v>
      </c>
      <c r="D22" s="51">
        <f t="shared" si="1"/>
        <v>160</v>
      </c>
      <c r="E22" s="51" t="s">
        <v>3</v>
      </c>
      <c r="F22" s="110">
        <f t="shared" si="2"/>
        <v>1200</v>
      </c>
      <c r="G22" s="51" t="s">
        <v>3</v>
      </c>
      <c r="H22" s="48">
        <v>2</v>
      </c>
      <c r="I22" s="49" t="s">
        <v>45</v>
      </c>
      <c r="J22" s="184">
        <v>110</v>
      </c>
      <c r="K22" s="113">
        <v>160</v>
      </c>
      <c r="L22" s="113">
        <v>1200</v>
      </c>
      <c r="M22" s="185">
        <v>9.2694372094522492</v>
      </c>
      <c r="N22" s="87">
        <v>377.09923322015987</v>
      </c>
      <c r="O22" s="121">
        <v>15369.624009620104</v>
      </c>
      <c r="P22" s="121">
        <v>17943.495396047554</v>
      </c>
      <c r="Q22" s="310">
        <v>10736.100426774039</v>
      </c>
      <c r="R22" s="314">
        <v>26105.724436394143</v>
      </c>
      <c r="S22" s="315">
        <v>28679.595822821593</v>
      </c>
      <c r="U22" s="7" t="s">
        <v>2541</v>
      </c>
    </row>
    <row r="23" spans="1:21" s="74" customFormat="1" ht="16.5" customHeight="1" thickBot="1">
      <c r="A23" s="50" t="s">
        <v>35</v>
      </c>
      <c r="B23" s="51">
        <f t="shared" si="0"/>
        <v>110</v>
      </c>
      <c r="C23" s="51" t="s">
        <v>3</v>
      </c>
      <c r="D23" s="51">
        <f t="shared" si="1"/>
        <v>160</v>
      </c>
      <c r="E23" s="51" t="s">
        <v>3</v>
      </c>
      <c r="F23" s="110">
        <f t="shared" si="2"/>
        <v>1250</v>
      </c>
      <c r="G23" s="51" t="s">
        <v>3</v>
      </c>
      <c r="H23" s="48">
        <v>2</v>
      </c>
      <c r="I23" s="49" t="s">
        <v>45</v>
      </c>
      <c r="J23" s="184">
        <v>110</v>
      </c>
      <c r="K23" s="113">
        <v>160</v>
      </c>
      <c r="L23" s="113">
        <v>1250</v>
      </c>
      <c r="M23" s="185">
        <v>9.6177489839382488</v>
      </c>
      <c r="N23" s="87">
        <v>399.28154105663992</v>
      </c>
      <c r="O23" s="121">
        <v>15792.811020237041</v>
      </c>
      <c r="P23" s="121">
        <v>18466.409146996015</v>
      </c>
      <c r="Q23" s="310">
        <v>11045.724510004989</v>
      </c>
      <c r="R23" s="314">
        <v>26838.535530242028</v>
      </c>
      <c r="S23" s="315">
        <v>29512.133657001003</v>
      </c>
      <c r="U23" s="7" t="s">
        <v>2542</v>
      </c>
    </row>
    <row r="24" spans="1:21" s="74" customFormat="1" ht="16.5" customHeight="1" thickBot="1">
      <c r="A24" s="50" t="s">
        <v>35</v>
      </c>
      <c r="B24" s="51">
        <f t="shared" si="0"/>
        <v>110</v>
      </c>
      <c r="C24" s="51" t="s">
        <v>3</v>
      </c>
      <c r="D24" s="51">
        <f t="shared" si="1"/>
        <v>160</v>
      </c>
      <c r="E24" s="51" t="s">
        <v>3</v>
      </c>
      <c r="F24" s="110">
        <f t="shared" si="2"/>
        <v>1300</v>
      </c>
      <c r="G24" s="51" t="s">
        <v>3</v>
      </c>
      <c r="H24" s="48">
        <v>2</v>
      </c>
      <c r="I24" s="49" t="s">
        <v>45</v>
      </c>
      <c r="J24" s="184">
        <v>110</v>
      </c>
      <c r="K24" s="113">
        <v>160</v>
      </c>
      <c r="L24" s="113">
        <v>1300</v>
      </c>
      <c r="M24" s="185">
        <v>9.9822487584242499</v>
      </c>
      <c r="N24" s="87">
        <v>421.46384889311997</v>
      </c>
      <c r="O24" s="121">
        <v>16215.99803085398</v>
      </c>
      <c r="P24" s="121">
        <v>18989.322757551116</v>
      </c>
      <c r="Q24" s="310">
        <v>11585.930230625852</v>
      </c>
      <c r="R24" s="314">
        <v>27801.928261479832</v>
      </c>
      <c r="S24" s="315">
        <v>30575.252988176966</v>
      </c>
      <c r="U24" s="7" t="s">
        <v>2543</v>
      </c>
    </row>
    <row r="25" spans="1:21" s="74" customFormat="1" ht="16.5" customHeight="1" thickBot="1">
      <c r="A25" s="50" t="s">
        <v>35</v>
      </c>
      <c r="B25" s="51">
        <f t="shared" si="0"/>
        <v>110</v>
      </c>
      <c r="C25" s="51" t="s">
        <v>3</v>
      </c>
      <c r="D25" s="51">
        <f t="shared" si="1"/>
        <v>160</v>
      </c>
      <c r="E25" s="51" t="s">
        <v>3</v>
      </c>
      <c r="F25" s="110">
        <f t="shared" si="2"/>
        <v>1350</v>
      </c>
      <c r="G25" s="51" t="s">
        <v>3</v>
      </c>
      <c r="H25" s="48">
        <v>2</v>
      </c>
      <c r="I25" s="49" t="s">
        <v>45</v>
      </c>
      <c r="J25" s="184">
        <v>110</v>
      </c>
      <c r="K25" s="113">
        <v>160</v>
      </c>
      <c r="L25" s="113">
        <v>1350</v>
      </c>
      <c r="M25" s="185">
        <v>10.330560532910251</v>
      </c>
      <c r="N25" s="87">
        <v>443.64615672959991</v>
      </c>
      <c r="O25" s="121">
        <v>16639.184901077551</v>
      </c>
      <c r="P25" s="121">
        <v>19512.23650849958</v>
      </c>
      <c r="Q25" s="310">
        <v>11895.554313856801</v>
      </c>
      <c r="R25" s="314">
        <v>28534.73921493435</v>
      </c>
      <c r="S25" s="315">
        <v>31407.790822356379</v>
      </c>
      <c r="U25" s="7" t="s">
        <v>2544</v>
      </c>
    </row>
    <row r="26" spans="1:21" s="74" customFormat="1" ht="16.5" customHeight="1" thickBot="1">
      <c r="A26" s="50" t="s">
        <v>35</v>
      </c>
      <c r="B26" s="51">
        <f t="shared" si="0"/>
        <v>110</v>
      </c>
      <c r="C26" s="51" t="s">
        <v>3</v>
      </c>
      <c r="D26" s="51">
        <f t="shared" si="1"/>
        <v>160</v>
      </c>
      <c r="E26" s="51" t="s">
        <v>3</v>
      </c>
      <c r="F26" s="110">
        <f t="shared" si="2"/>
        <v>1400</v>
      </c>
      <c r="G26" s="51" t="s">
        <v>3</v>
      </c>
      <c r="H26" s="48">
        <v>2</v>
      </c>
      <c r="I26" s="49" t="s">
        <v>45</v>
      </c>
      <c r="J26" s="184">
        <v>110</v>
      </c>
      <c r="K26" s="113">
        <v>160</v>
      </c>
      <c r="L26" s="113">
        <v>1400</v>
      </c>
      <c r="M26" s="185">
        <v>10.695060307396249</v>
      </c>
      <c r="N26" s="87">
        <v>465.8284645660799</v>
      </c>
      <c r="O26" s="121">
        <v>17062.371911694492</v>
      </c>
      <c r="P26" s="121">
        <v>20035.150259448044</v>
      </c>
      <c r="Q26" s="310">
        <v>12435.760174871028</v>
      </c>
      <c r="R26" s="314">
        <v>29498.132086565522</v>
      </c>
      <c r="S26" s="315">
        <v>32470.91043431907</v>
      </c>
      <c r="U26" s="7" t="s">
        <v>2545</v>
      </c>
    </row>
    <row r="27" spans="1:21" s="74" customFormat="1" ht="16.5" customHeight="1" thickBot="1">
      <c r="A27" s="50" t="s">
        <v>35</v>
      </c>
      <c r="B27" s="51">
        <f t="shared" si="0"/>
        <v>110</v>
      </c>
      <c r="C27" s="51" t="s">
        <v>3</v>
      </c>
      <c r="D27" s="51">
        <f t="shared" si="1"/>
        <v>160</v>
      </c>
      <c r="E27" s="51" t="s">
        <v>3</v>
      </c>
      <c r="F27" s="110">
        <f t="shared" si="2"/>
        <v>1450</v>
      </c>
      <c r="G27" s="51" t="s">
        <v>3</v>
      </c>
      <c r="H27" s="48">
        <v>2</v>
      </c>
      <c r="I27" s="49" t="s">
        <v>45</v>
      </c>
      <c r="J27" s="184">
        <v>110</v>
      </c>
      <c r="K27" s="113">
        <v>160</v>
      </c>
      <c r="L27" s="113">
        <v>1450</v>
      </c>
      <c r="M27" s="185">
        <v>11.04337208188225</v>
      </c>
      <c r="N27" s="87">
        <v>488.01077240255995</v>
      </c>
      <c r="O27" s="121">
        <v>17485.558781918066</v>
      </c>
      <c r="P27" s="121">
        <v>20558.063870003141</v>
      </c>
      <c r="Q27" s="310">
        <v>12745.384258101978</v>
      </c>
      <c r="R27" s="314">
        <v>30230.943040020044</v>
      </c>
      <c r="S27" s="315">
        <v>33303.448128105119</v>
      </c>
      <c r="U27" s="7" t="s">
        <v>2546</v>
      </c>
    </row>
    <row r="28" spans="1:21" s="74" customFormat="1" ht="16.5" customHeight="1" thickBot="1">
      <c r="A28" s="50" t="s">
        <v>35</v>
      </c>
      <c r="B28" s="51">
        <f t="shared" si="0"/>
        <v>110</v>
      </c>
      <c r="C28" s="51" t="s">
        <v>3</v>
      </c>
      <c r="D28" s="51">
        <f t="shared" si="1"/>
        <v>160</v>
      </c>
      <c r="E28" s="51" t="s">
        <v>3</v>
      </c>
      <c r="F28" s="110">
        <f t="shared" si="2"/>
        <v>1500</v>
      </c>
      <c r="G28" s="51" t="s">
        <v>3</v>
      </c>
      <c r="H28" s="48">
        <v>2</v>
      </c>
      <c r="I28" s="49" t="s">
        <v>45</v>
      </c>
      <c r="J28" s="184">
        <v>110</v>
      </c>
      <c r="K28" s="113">
        <v>160</v>
      </c>
      <c r="L28" s="113">
        <v>1500</v>
      </c>
      <c r="M28" s="185">
        <v>11.49926224583025</v>
      </c>
      <c r="N28" s="87">
        <v>510.19308023903983</v>
      </c>
      <c r="O28" s="121">
        <v>18463.19273506114</v>
      </c>
      <c r="P28" s="121">
        <v>21521.767291752156</v>
      </c>
      <c r="Q28" s="310">
        <v>13285.589978722841</v>
      </c>
      <c r="R28" s="314">
        <v>31748.782713783981</v>
      </c>
      <c r="S28" s="315">
        <v>34807.357270474997</v>
      </c>
      <c r="U28" s="7" t="s">
        <v>2547</v>
      </c>
    </row>
    <row r="29" spans="1:21" s="74" customFormat="1" ht="16.5" customHeight="1" thickBot="1">
      <c r="A29" s="50" t="s">
        <v>35</v>
      </c>
      <c r="B29" s="51">
        <f t="shared" si="0"/>
        <v>110</v>
      </c>
      <c r="C29" s="51" t="s">
        <v>3</v>
      </c>
      <c r="D29" s="51">
        <f t="shared" si="1"/>
        <v>160</v>
      </c>
      <c r="E29" s="51" t="s">
        <v>3</v>
      </c>
      <c r="F29" s="110">
        <f t="shared" si="2"/>
        <v>1550</v>
      </c>
      <c r="G29" s="51" t="s">
        <v>3</v>
      </c>
      <c r="H29" s="48">
        <v>2</v>
      </c>
      <c r="I29" s="49" t="s">
        <v>45</v>
      </c>
      <c r="J29" s="184">
        <v>110</v>
      </c>
      <c r="K29" s="113">
        <v>160</v>
      </c>
      <c r="L29" s="113">
        <v>1550</v>
      </c>
      <c r="M29" s="185">
        <v>11.847574020316248</v>
      </c>
      <c r="N29" s="87">
        <v>532.37538807551982</v>
      </c>
      <c r="O29" s="121">
        <v>18886.379745678081</v>
      </c>
      <c r="P29" s="121">
        <v>22044.680902307256</v>
      </c>
      <c r="Q29" s="310">
        <v>13595.214061953789</v>
      </c>
      <c r="R29" s="314">
        <v>32481.593807631871</v>
      </c>
      <c r="S29" s="315">
        <v>35639.894964261046</v>
      </c>
      <c r="U29" s="7" t="s">
        <v>2548</v>
      </c>
    </row>
    <row r="30" spans="1:21" s="74" customFormat="1" ht="16.5" customHeight="1" thickBot="1">
      <c r="A30" s="47" t="s">
        <v>35</v>
      </c>
      <c r="B30" s="48">
        <f t="shared" si="0"/>
        <v>110</v>
      </c>
      <c r="C30" s="48" t="s">
        <v>3</v>
      </c>
      <c r="D30" s="48">
        <f t="shared" si="1"/>
        <v>160</v>
      </c>
      <c r="E30" s="48" t="s">
        <v>3</v>
      </c>
      <c r="F30" s="110">
        <f t="shared" si="2"/>
        <v>1600</v>
      </c>
      <c r="G30" s="48" t="s">
        <v>3</v>
      </c>
      <c r="H30" s="48">
        <v>2</v>
      </c>
      <c r="I30" s="49" t="s">
        <v>45</v>
      </c>
      <c r="J30" s="184">
        <v>110</v>
      </c>
      <c r="K30" s="113">
        <v>160</v>
      </c>
      <c r="L30" s="113">
        <v>1600</v>
      </c>
      <c r="M30" s="185">
        <v>12.195885794802249</v>
      </c>
      <c r="N30" s="87">
        <v>554.55769591199987</v>
      </c>
      <c r="O30" s="121">
        <v>19309.566756295015</v>
      </c>
      <c r="P30" s="121">
        <v>22567.594653255717</v>
      </c>
      <c r="Q30" s="310">
        <v>13904.83814518474</v>
      </c>
      <c r="R30" s="314">
        <v>33214.404901479757</v>
      </c>
      <c r="S30" s="315">
        <v>36472.432798440459</v>
      </c>
      <c r="U30" s="7" t="s">
        <v>2549</v>
      </c>
    </row>
    <row r="31" spans="1:21" s="74" customFormat="1" ht="16.5" customHeight="1" thickBot="1">
      <c r="A31" s="50" t="s">
        <v>35</v>
      </c>
      <c r="B31" s="51">
        <f t="shared" si="0"/>
        <v>110</v>
      </c>
      <c r="C31" s="51" t="s">
        <v>3</v>
      </c>
      <c r="D31" s="51">
        <f t="shared" si="1"/>
        <v>160</v>
      </c>
      <c r="E31" s="51" t="s">
        <v>3</v>
      </c>
      <c r="F31" s="110">
        <f t="shared" si="2"/>
        <v>1650</v>
      </c>
      <c r="G31" s="51" t="s">
        <v>3</v>
      </c>
      <c r="H31" s="48">
        <v>2</v>
      </c>
      <c r="I31" s="49" t="s">
        <v>45</v>
      </c>
      <c r="J31" s="184">
        <v>110</v>
      </c>
      <c r="K31" s="113">
        <v>160</v>
      </c>
      <c r="L31" s="113">
        <v>1650</v>
      </c>
      <c r="M31" s="185">
        <v>12.560385569288247</v>
      </c>
      <c r="N31" s="87">
        <v>576.74000374847981</v>
      </c>
      <c r="O31" s="121">
        <v>19732.753626518592</v>
      </c>
      <c r="P31" s="121">
        <v>23090.508404204182</v>
      </c>
      <c r="Q31" s="310">
        <v>14445.044006198967</v>
      </c>
      <c r="R31" s="314">
        <v>34177.797632717557</v>
      </c>
      <c r="S31" s="315">
        <v>37535.55241040315</v>
      </c>
      <c r="U31" s="7" t="s">
        <v>2550</v>
      </c>
    </row>
    <row r="32" spans="1:21" s="74" customFormat="1" ht="16.5" customHeight="1" thickBot="1">
      <c r="A32" s="50" t="s">
        <v>35</v>
      </c>
      <c r="B32" s="51">
        <f t="shared" si="0"/>
        <v>110</v>
      </c>
      <c r="C32" s="51" t="s">
        <v>3</v>
      </c>
      <c r="D32" s="51">
        <f t="shared" si="1"/>
        <v>160</v>
      </c>
      <c r="E32" s="51" t="s">
        <v>3</v>
      </c>
      <c r="F32" s="110">
        <f t="shared" si="2"/>
        <v>1700</v>
      </c>
      <c r="G32" s="51" t="s">
        <v>3</v>
      </c>
      <c r="H32" s="48">
        <v>2</v>
      </c>
      <c r="I32" s="49" t="s">
        <v>45</v>
      </c>
      <c r="J32" s="184">
        <v>110</v>
      </c>
      <c r="K32" s="113">
        <v>160</v>
      </c>
      <c r="L32" s="113">
        <v>1700</v>
      </c>
      <c r="M32" s="185">
        <v>12.90869734377425</v>
      </c>
      <c r="N32" s="87">
        <v>598.92231158495986</v>
      </c>
      <c r="O32" s="121">
        <v>20155.940637135529</v>
      </c>
      <c r="P32" s="121">
        <v>23613.422014759279</v>
      </c>
      <c r="Q32" s="310">
        <v>14754.667949036411</v>
      </c>
      <c r="R32" s="314">
        <v>34910.60858617194</v>
      </c>
      <c r="S32" s="315">
        <v>38368.08996379569</v>
      </c>
      <c r="U32" s="7" t="s">
        <v>2551</v>
      </c>
    </row>
    <row r="33" spans="1:21" s="74" customFormat="1" ht="16.5" customHeight="1" thickBot="1">
      <c r="A33" s="50" t="s">
        <v>35</v>
      </c>
      <c r="B33" s="51">
        <f t="shared" si="0"/>
        <v>110</v>
      </c>
      <c r="C33" s="51" t="s">
        <v>3</v>
      </c>
      <c r="D33" s="51">
        <f t="shared" si="1"/>
        <v>160</v>
      </c>
      <c r="E33" s="51" t="s">
        <v>3</v>
      </c>
      <c r="F33" s="110">
        <f t="shared" si="2"/>
        <v>1750</v>
      </c>
      <c r="G33" s="51" t="s">
        <v>3</v>
      </c>
      <c r="H33" s="48">
        <v>2</v>
      </c>
      <c r="I33" s="49" t="s">
        <v>45</v>
      </c>
      <c r="J33" s="184">
        <v>110</v>
      </c>
      <c r="K33" s="113">
        <v>160</v>
      </c>
      <c r="L33" s="113">
        <v>1750</v>
      </c>
      <c r="M33" s="185">
        <v>13.273197118260249</v>
      </c>
      <c r="N33" s="87">
        <v>621.10461942143991</v>
      </c>
      <c r="O33" s="121">
        <v>20579.127507359102</v>
      </c>
      <c r="P33" s="121">
        <v>24136.335765707739</v>
      </c>
      <c r="Q33" s="310">
        <v>15294.87381005078</v>
      </c>
      <c r="R33" s="314">
        <v>35874.001317409886</v>
      </c>
      <c r="S33" s="315">
        <v>39431.209575758519</v>
      </c>
      <c r="U33" s="7" t="s">
        <v>2552</v>
      </c>
    </row>
    <row r="34" spans="1:21" s="74" customFormat="1" ht="16.5" customHeight="1" thickBot="1">
      <c r="A34" s="50" t="s">
        <v>35</v>
      </c>
      <c r="B34" s="51">
        <f t="shared" si="0"/>
        <v>110</v>
      </c>
      <c r="C34" s="51" t="s">
        <v>3</v>
      </c>
      <c r="D34" s="51">
        <f t="shared" si="1"/>
        <v>160</v>
      </c>
      <c r="E34" s="51" t="s">
        <v>3</v>
      </c>
      <c r="F34" s="110">
        <f t="shared" si="2"/>
        <v>1800</v>
      </c>
      <c r="G34" s="51" t="s">
        <v>3</v>
      </c>
      <c r="H34" s="48">
        <v>2</v>
      </c>
      <c r="I34" s="49" t="s">
        <v>45</v>
      </c>
      <c r="J34" s="184">
        <v>110</v>
      </c>
      <c r="K34" s="113">
        <v>160</v>
      </c>
      <c r="L34" s="113">
        <v>1800</v>
      </c>
      <c r="M34" s="185">
        <v>13.621508892746249</v>
      </c>
      <c r="N34" s="87">
        <v>643.28692725791984</v>
      </c>
      <c r="O34" s="121">
        <v>21002.314517976039</v>
      </c>
      <c r="P34" s="121">
        <v>24659.249516656204</v>
      </c>
      <c r="Q34" s="310">
        <v>15604.497893281728</v>
      </c>
      <c r="R34" s="314">
        <v>36606.812411257764</v>
      </c>
      <c r="S34" s="315">
        <v>40263.747409937932</v>
      </c>
      <c r="U34" s="7" t="s">
        <v>2553</v>
      </c>
    </row>
    <row r="35" spans="1:21" s="74" customFormat="1" ht="16.5" customHeight="1" thickBot="1">
      <c r="A35" s="50" t="s">
        <v>35</v>
      </c>
      <c r="B35" s="51">
        <f t="shared" si="0"/>
        <v>110</v>
      </c>
      <c r="C35" s="51" t="s">
        <v>3</v>
      </c>
      <c r="D35" s="51">
        <f t="shared" si="1"/>
        <v>160</v>
      </c>
      <c r="E35" s="51" t="s">
        <v>3</v>
      </c>
      <c r="F35" s="110">
        <f t="shared" si="2"/>
        <v>1850</v>
      </c>
      <c r="G35" s="51" t="s">
        <v>3</v>
      </c>
      <c r="H35" s="48">
        <v>2</v>
      </c>
      <c r="I35" s="49" t="s">
        <v>45</v>
      </c>
      <c r="J35" s="184">
        <v>110</v>
      </c>
      <c r="K35" s="113">
        <v>160</v>
      </c>
      <c r="L35" s="113">
        <v>1850</v>
      </c>
      <c r="M35" s="185">
        <v>13.986008667232246</v>
      </c>
      <c r="N35" s="87">
        <v>665.46923509439978</v>
      </c>
      <c r="O35" s="121">
        <v>21425.50152859298</v>
      </c>
      <c r="P35" s="121">
        <v>25182.163127211305</v>
      </c>
      <c r="Q35" s="310">
        <v>16144.703754295953</v>
      </c>
      <c r="R35" s="314">
        <v>37570.205282888935</v>
      </c>
      <c r="S35" s="315">
        <v>41326.86688150726</v>
      </c>
      <c r="U35" s="7" t="s">
        <v>2554</v>
      </c>
    </row>
    <row r="36" spans="1:21" s="74" customFormat="1" ht="16.5" customHeight="1" thickBot="1">
      <c r="A36" s="50" t="s">
        <v>35</v>
      </c>
      <c r="B36" s="51">
        <f t="shared" si="0"/>
        <v>110</v>
      </c>
      <c r="C36" s="51" t="s">
        <v>3</v>
      </c>
      <c r="D36" s="51">
        <f t="shared" si="1"/>
        <v>160</v>
      </c>
      <c r="E36" s="51" t="s">
        <v>3</v>
      </c>
      <c r="F36" s="110">
        <f t="shared" si="2"/>
        <v>1900</v>
      </c>
      <c r="G36" s="51" t="s">
        <v>3</v>
      </c>
      <c r="H36" s="48">
        <v>2</v>
      </c>
      <c r="I36" s="49" t="s">
        <v>45</v>
      </c>
      <c r="J36" s="184">
        <v>110</v>
      </c>
      <c r="K36" s="113">
        <v>160</v>
      </c>
      <c r="L36" s="113">
        <v>1900</v>
      </c>
      <c r="M36" s="185">
        <v>14.334320441718249</v>
      </c>
      <c r="N36" s="87">
        <v>687.65154293087994</v>
      </c>
      <c r="O36" s="121">
        <v>21848.688398816554</v>
      </c>
      <c r="P36" s="121">
        <v>25705.076878159769</v>
      </c>
      <c r="Q36" s="310">
        <v>16454.32769713354</v>
      </c>
      <c r="R36" s="314">
        <v>38303.016095950094</v>
      </c>
      <c r="S36" s="315">
        <v>42159.404575293309</v>
      </c>
      <c r="U36" s="7" t="s">
        <v>2555</v>
      </c>
    </row>
    <row r="37" spans="1:21" s="74" customFormat="1" ht="16.5" customHeight="1" thickBot="1">
      <c r="A37" s="50" t="s">
        <v>35</v>
      </c>
      <c r="B37" s="51">
        <f t="shared" si="0"/>
        <v>110</v>
      </c>
      <c r="C37" s="51" t="s">
        <v>3</v>
      </c>
      <c r="D37" s="51">
        <f t="shared" si="1"/>
        <v>160</v>
      </c>
      <c r="E37" s="51" t="s">
        <v>3</v>
      </c>
      <c r="F37" s="110">
        <f t="shared" si="2"/>
        <v>1950</v>
      </c>
      <c r="G37" s="51" t="s">
        <v>3</v>
      </c>
      <c r="H37" s="48">
        <v>2</v>
      </c>
      <c r="I37" s="49" t="s">
        <v>45</v>
      </c>
      <c r="J37" s="184">
        <v>110</v>
      </c>
      <c r="K37" s="113">
        <v>160</v>
      </c>
      <c r="L37" s="113">
        <v>1950</v>
      </c>
      <c r="M37" s="185">
        <v>14.719919716204251</v>
      </c>
      <c r="N37" s="87">
        <v>709.83385076735988</v>
      </c>
      <c r="O37" s="121">
        <v>22317.632414139491</v>
      </c>
      <c r="P37" s="121">
        <v>26274.142419949581</v>
      </c>
      <c r="Q37" s="310">
        <v>16763.951780364492</v>
      </c>
      <c r="R37" s="314">
        <v>39081.584194503987</v>
      </c>
      <c r="S37" s="315">
        <v>43038.094200314074</v>
      </c>
      <c r="U37" s="7" t="s">
        <v>2556</v>
      </c>
    </row>
    <row r="38" spans="1:21" s="74" customFormat="1" ht="16.5" customHeight="1" thickBot="1">
      <c r="A38" s="50" t="s">
        <v>35</v>
      </c>
      <c r="B38" s="51">
        <f t="shared" si="0"/>
        <v>110</v>
      </c>
      <c r="C38" s="51" t="s">
        <v>3</v>
      </c>
      <c r="D38" s="51">
        <f t="shared" si="1"/>
        <v>160</v>
      </c>
      <c r="E38" s="51" t="s">
        <v>3</v>
      </c>
      <c r="F38" s="110">
        <f t="shared" si="2"/>
        <v>2000</v>
      </c>
      <c r="G38" s="51" t="s">
        <v>3</v>
      </c>
      <c r="H38" s="48">
        <v>2</v>
      </c>
      <c r="I38" s="49" t="s">
        <v>45</v>
      </c>
      <c r="J38" s="184">
        <v>110</v>
      </c>
      <c r="K38" s="113">
        <v>160</v>
      </c>
      <c r="L38" s="113">
        <v>2000</v>
      </c>
      <c r="M38" s="185">
        <v>15.171403770690251</v>
      </c>
      <c r="N38" s="87">
        <v>732.01615860383981</v>
      </c>
      <c r="O38" s="121">
        <v>22970.786139218591</v>
      </c>
      <c r="P38" s="121">
        <v>27109.736898417344</v>
      </c>
      <c r="Q38" s="310">
        <v>17304.157641378715</v>
      </c>
      <c r="R38" s="314">
        <v>40274.943780597307</v>
      </c>
      <c r="S38" s="315">
        <v>44413.894539796063</v>
      </c>
      <c r="U38" s="7" t="s">
        <v>2557</v>
      </c>
    </row>
    <row r="39" spans="1:21" s="74" customFormat="1" ht="16.5" customHeight="1" thickBot="1">
      <c r="A39" s="50" t="s">
        <v>35</v>
      </c>
      <c r="B39" s="51">
        <f t="shared" si="0"/>
        <v>110</v>
      </c>
      <c r="C39" s="51" t="s">
        <v>3</v>
      </c>
      <c r="D39" s="51">
        <f t="shared" si="1"/>
        <v>160</v>
      </c>
      <c r="E39" s="51" t="s">
        <v>3</v>
      </c>
      <c r="F39" s="110">
        <f t="shared" si="2"/>
        <v>2050</v>
      </c>
      <c r="G39" s="51" t="s">
        <v>3</v>
      </c>
      <c r="H39" s="48">
        <v>2</v>
      </c>
      <c r="I39" s="49" t="s">
        <v>45</v>
      </c>
      <c r="J39" s="184">
        <v>110</v>
      </c>
      <c r="K39" s="113">
        <v>160</v>
      </c>
      <c r="L39" s="113">
        <v>2050</v>
      </c>
      <c r="M39" s="185">
        <v>15.519715545176252</v>
      </c>
      <c r="N39" s="87">
        <v>754.19846644031975</v>
      </c>
      <c r="O39" s="121">
        <v>23393.973009442168</v>
      </c>
      <c r="P39" s="121">
        <v>27632.650508972441</v>
      </c>
      <c r="Q39" s="310">
        <v>17613.781724609664</v>
      </c>
      <c r="R39" s="314">
        <v>41007.754734051836</v>
      </c>
      <c r="S39" s="315">
        <v>45246.432233582105</v>
      </c>
      <c r="U39" s="7" t="s">
        <v>2558</v>
      </c>
    </row>
    <row r="40" spans="1:21" s="74" customFormat="1" ht="16.5" customHeight="1" thickBot="1">
      <c r="A40" s="47" t="s">
        <v>35</v>
      </c>
      <c r="B40" s="48">
        <f t="shared" si="0"/>
        <v>110</v>
      </c>
      <c r="C40" s="48" t="s">
        <v>3</v>
      </c>
      <c r="D40" s="48">
        <f t="shared" si="1"/>
        <v>160</v>
      </c>
      <c r="E40" s="48" t="s">
        <v>3</v>
      </c>
      <c r="F40" s="110">
        <f t="shared" si="2"/>
        <v>2100</v>
      </c>
      <c r="G40" s="48" t="s">
        <v>3</v>
      </c>
      <c r="H40" s="48">
        <v>2</v>
      </c>
      <c r="I40" s="49" t="s">
        <v>45</v>
      </c>
      <c r="J40" s="184">
        <v>110</v>
      </c>
      <c r="K40" s="113">
        <v>160</v>
      </c>
      <c r="L40" s="113">
        <v>2100</v>
      </c>
      <c r="M40" s="185">
        <v>15.88421531966225</v>
      </c>
      <c r="N40" s="87">
        <v>776.38077427679991</v>
      </c>
      <c r="O40" s="121">
        <v>23817.160020059102</v>
      </c>
      <c r="P40" s="121">
        <v>28155.56425992091</v>
      </c>
      <c r="Q40" s="310">
        <v>18153.98758562389</v>
      </c>
      <c r="R40" s="314">
        <v>41971.147605682992</v>
      </c>
      <c r="S40" s="315">
        <v>46309.551845544804</v>
      </c>
      <c r="U40" s="7" t="s">
        <v>2559</v>
      </c>
    </row>
    <row r="41" spans="1:21" s="74" customFormat="1" ht="16.5" customHeight="1" thickBot="1">
      <c r="A41" s="50" t="s">
        <v>35</v>
      </c>
      <c r="B41" s="51">
        <f t="shared" si="0"/>
        <v>110</v>
      </c>
      <c r="C41" s="51" t="s">
        <v>3</v>
      </c>
      <c r="D41" s="51">
        <f t="shared" si="1"/>
        <v>160</v>
      </c>
      <c r="E41" s="51" t="s">
        <v>3</v>
      </c>
      <c r="F41" s="110">
        <f t="shared" si="2"/>
        <v>2150</v>
      </c>
      <c r="G41" s="51" t="s">
        <v>3</v>
      </c>
      <c r="H41" s="48">
        <v>2</v>
      </c>
      <c r="I41" s="49" t="s">
        <v>45</v>
      </c>
      <c r="J41" s="184">
        <v>110</v>
      </c>
      <c r="K41" s="113">
        <v>160</v>
      </c>
      <c r="L41" s="113">
        <v>2150</v>
      </c>
      <c r="M41" s="185">
        <v>16.232527094148253</v>
      </c>
      <c r="N41" s="87">
        <v>798.56308211327985</v>
      </c>
      <c r="O41" s="121">
        <v>24240.346890282679</v>
      </c>
      <c r="P41" s="121">
        <v>28678.477870476007</v>
      </c>
      <c r="Q41" s="310">
        <v>18463.611528461479</v>
      </c>
      <c r="R41" s="314">
        <v>42703.958418744158</v>
      </c>
      <c r="S41" s="315">
        <v>47142.089398937489</v>
      </c>
      <c r="U41" s="7" t="s">
        <v>2560</v>
      </c>
    </row>
    <row r="42" spans="1:21" s="74" customFormat="1" ht="16.5" customHeight="1" thickBot="1">
      <c r="A42" s="50" t="s">
        <v>35</v>
      </c>
      <c r="B42" s="51">
        <f t="shared" si="0"/>
        <v>110</v>
      </c>
      <c r="C42" s="51" t="s">
        <v>3</v>
      </c>
      <c r="D42" s="51">
        <f t="shared" si="1"/>
        <v>160</v>
      </c>
      <c r="E42" s="51" t="s">
        <v>3</v>
      </c>
      <c r="F42" s="110">
        <f t="shared" si="2"/>
        <v>2200</v>
      </c>
      <c r="G42" s="51" t="s">
        <v>3</v>
      </c>
      <c r="H42" s="48">
        <v>2</v>
      </c>
      <c r="I42" s="49" t="s">
        <v>45</v>
      </c>
      <c r="J42" s="184">
        <v>110</v>
      </c>
      <c r="K42" s="113">
        <v>160</v>
      </c>
      <c r="L42" s="113">
        <v>2200</v>
      </c>
      <c r="M42" s="185">
        <v>16.597026868634245</v>
      </c>
      <c r="N42" s="87">
        <v>820.74538994975978</v>
      </c>
      <c r="O42" s="121">
        <v>24663.533900899616</v>
      </c>
      <c r="P42" s="121">
        <v>29201.391621424467</v>
      </c>
      <c r="Q42" s="310">
        <v>19003.817389475706</v>
      </c>
      <c r="R42" s="314">
        <v>43667.351290375322</v>
      </c>
      <c r="S42" s="315">
        <v>48205.209010900173</v>
      </c>
      <c r="U42" s="7" t="s">
        <v>2561</v>
      </c>
    </row>
    <row r="43" spans="1:21" s="74" customFormat="1" ht="16.5" customHeight="1" thickBot="1">
      <c r="A43" s="50" t="s">
        <v>35</v>
      </c>
      <c r="B43" s="51">
        <f t="shared" si="0"/>
        <v>110</v>
      </c>
      <c r="C43" s="51" t="s">
        <v>3</v>
      </c>
      <c r="D43" s="51">
        <f t="shared" si="1"/>
        <v>160</v>
      </c>
      <c r="E43" s="51" t="s">
        <v>3</v>
      </c>
      <c r="F43" s="110">
        <f t="shared" si="2"/>
        <v>2250</v>
      </c>
      <c r="G43" s="51" t="s">
        <v>3</v>
      </c>
      <c r="H43" s="48">
        <v>2</v>
      </c>
      <c r="I43" s="49" t="s">
        <v>45</v>
      </c>
      <c r="J43" s="184">
        <v>110</v>
      </c>
      <c r="K43" s="113">
        <v>160</v>
      </c>
      <c r="L43" s="113">
        <v>2250</v>
      </c>
      <c r="M43" s="185">
        <v>16.945338643120248</v>
      </c>
      <c r="N43" s="87">
        <v>842.92769778623995</v>
      </c>
      <c r="O43" s="121">
        <v>25086.720771123193</v>
      </c>
      <c r="P43" s="121">
        <v>29724.305372372928</v>
      </c>
      <c r="Q43" s="310">
        <v>19313.441472706654</v>
      </c>
      <c r="R43" s="314">
        <v>44400.162243829851</v>
      </c>
      <c r="S43" s="315">
        <v>49037.746845079586</v>
      </c>
      <c r="U43" s="7" t="s">
        <v>2562</v>
      </c>
    </row>
    <row r="44" spans="1:21" s="74" customFormat="1" ht="16.5" customHeight="1" thickBot="1">
      <c r="A44" s="50" t="s">
        <v>35</v>
      </c>
      <c r="B44" s="51">
        <f t="shared" si="0"/>
        <v>110</v>
      </c>
      <c r="C44" s="51" t="s">
        <v>3</v>
      </c>
      <c r="D44" s="51">
        <f t="shared" si="1"/>
        <v>160</v>
      </c>
      <c r="E44" s="51" t="s">
        <v>3</v>
      </c>
      <c r="F44" s="110">
        <f t="shared" si="2"/>
        <v>2300</v>
      </c>
      <c r="G44" s="51" t="s">
        <v>3</v>
      </c>
      <c r="H44" s="48">
        <v>2</v>
      </c>
      <c r="I44" s="49" t="s">
        <v>45</v>
      </c>
      <c r="J44" s="184">
        <v>110</v>
      </c>
      <c r="K44" s="113">
        <v>160</v>
      </c>
      <c r="L44" s="113">
        <v>2300</v>
      </c>
      <c r="M44" s="185">
        <v>17.293650417606248</v>
      </c>
      <c r="N44" s="87">
        <v>865.11000562271977</v>
      </c>
      <c r="O44" s="121">
        <v>25509.90778174013</v>
      </c>
      <c r="P44" s="121">
        <v>30247.218982928032</v>
      </c>
      <c r="Q44" s="310">
        <v>19623.065415544243</v>
      </c>
      <c r="R44" s="314">
        <v>45132.973197284373</v>
      </c>
      <c r="S44" s="315">
        <v>49870.284398472271</v>
      </c>
      <c r="U44" s="7" t="s">
        <v>2563</v>
      </c>
    </row>
    <row r="45" spans="1:21" s="74" customFormat="1" ht="16.5" customHeight="1" thickBot="1">
      <c r="A45" s="50" t="s">
        <v>35</v>
      </c>
      <c r="B45" s="51">
        <f t="shared" si="0"/>
        <v>110</v>
      </c>
      <c r="C45" s="51" t="s">
        <v>3</v>
      </c>
      <c r="D45" s="51">
        <f t="shared" si="1"/>
        <v>160</v>
      </c>
      <c r="E45" s="51" t="s">
        <v>3</v>
      </c>
      <c r="F45" s="110">
        <f t="shared" si="2"/>
        <v>2350</v>
      </c>
      <c r="G45" s="51" t="s">
        <v>3</v>
      </c>
      <c r="H45" s="48">
        <v>2</v>
      </c>
      <c r="I45" s="49" t="s">
        <v>45</v>
      </c>
      <c r="J45" s="184">
        <v>110</v>
      </c>
      <c r="K45" s="113">
        <v>160</v>
      </c>
      <c r="L45" s="113">
        <v>2350</v>
      </c>
      <c r="M45" s="185">
        <v>17.658150192092251</v>
      </c>
      <c r="N45" s="87">
        <v>887.29231345919982</v>
      </c>
      <c r="O45" s="121">
        <v>25933.094792357067</v>
      </c>
      <c r="P45" s="121">
        <v>30770.132733876493</v>
      </c>
      <c r="Q45" s="310">
        <v>20163.271276558466</v>
      </c>
      <c r="R45" s="314">
        <v>46096.366068915537</v>
      </c>
      <c r="S45" s="315">
        <v>50933.404010434955</v>
      </c>
      <c r="U45" s="7" t="s">
        <v>2564</v>
      </c>
    </row>
    <row r="46" spans="1:21" s="74" customFormat="1" ht="16.5" customHeight="1" thickBot="1">
      <c r="A46" s="50" t="s">
        <v>35</v>
      </c>
      <c r="B46" s="51">
        <f t="shared" si="0"/>
        <v>110</v>
      </c>
      <c r="C46" s="51" t="s">
        <v>3</v>
      </c>
      <c r="D46" s="51">
        <f t="shared" si="1"/>
        <v>160</v>
      </c>
      <c r="E46" s="51" t="s">
        <v>3</v>
      </c>
      <c r="F46" s="110">
        <f t="shared" si="2"/>
        <v>2400</v>
      </c>
      <c r="G46" s="51" t="s">
        <v>3</v>
      </c>
      <c r="H46" s="48">
        <v>2</v>
      </c>
      <c r="I46" s="49" t="s">
        <v>45</v>
      </c>
      <c r="J46" s="184">
        <v>110</v>
      </c>
      <c r="K46" s="113">
        <v>160</v>
      </c>
      <c r="L46" s="113">
        <v>2400</v>
      </c>
      <c r="M46" s="185">
        <v>18.00646196657825</v>
      </c>
      <c r="N46" s="87">
        <v>909.47462129567975</v>
      </c>
      <c r="O46" s="121">
        <v>26356.281662580644</v>
      </c>
      <c r="P46" s="121">
        <v>31293.046484824958</v>
      </c>
      <c r="Q46" s="310">
        <v>20472.895359789418</v>
      </c>
      <c r="R46" s="314">
        <v>46829.177022370059</v>
      </c>
      <c r="S46" s="315">
        <v>51765.941844614375</v>
      </c>
      <c r="U46" s="7" t="s">
        <v>2565</v>
      </c>
    </row>
    <row r="47" spans="1:21" s="74" customFormat="1" ht="16.5" customHeight="1" thickBot="1">
      <c r="A47" s="50" t="s">
        <v>35</v>
      </c>
      <c r="B47" s="51">
        <f t="shared" si="0"/>
        <v>110</v>
      </c>
      <c r="C47" s="51" t="s">
        <v>3</v>
      </c>
      <c r="D47" s="51">
        <f t="shared" si="1"/>
        <v>160</v>
      </c>
      <c r="E47" s="51" t="s">
        <v>3</v>
      </c>
      <c r="F47" s="110">
        <f t="shared" si="2"/>
        <v>2450</v>
      </c>
      <c r="G47" s="51" t="s">
        <v>3</v>
      </c>
      <c r="H47" s="48">
        <v>2</v>
      </c>
      <c r="I47" s="49" t="s">
        <v>45</v>
      </c>
      <c r="J47" s="184">
        <v>110</v>
      </c>
      <c r="K47" s="113">
        <v>160</v>
      </c>
      <c r="L47" s="113">
        <v>2450</v>
      </c>
      <c r="M47" s="185">
        <v>18.462352130526249</v>
      </c>
      <c r="N47" s="87">
        <v>931.6569291321598</v>
      </c>
      <c r="O47" s="121">
        <v>27333.915615723719</v>
      </c>
      <c r="P47" s="121">
        <v>32256.749766180608</v>
      </c>
      <c r="Q47" s="310">
        <v>21013.101220803645</v>
      </c>
      <c r="R47" s="314">
        <v>48347.016836527364</v>
      </c>
      <c r="S47" s="315">
        <v>53269.850986984253</v>
      </c>
      <c r="U47" s="7" t="s">
        <v>2566</v>
      </c>
    </row>
    <row r="48" spans="1:21" s="74" customFormat="1" ht="16.5" customHeight="1" thickBot="1">
      <c r="A48" s="50" t="s">
        <v>35</v>
      </c>
      <c r="B48" s="51">
        <f t="shared" si="0"/>
        <v>110</v>
      </c>
      <c r="C48" s="51" t="s">
        <v>3</v>
      </c>
      <c r="D48" s="51">
        <f t="shared" si="1"/>
        <v>160</v>
      </c>
      <c r="E48" s="51" t="s">
        <v>3</v>
      </c>
      <c r="F48" s="110">
        <f t="shared" si="2"/>
        <v>2500</v>
      </c>
      <c r="G48" s="51" t="s">
        <v>3</v>
      </c>
      <c r="H48" s="48">
        <v>2</v>
      </c>
      <c r="I48" s="49" t="s">
        <v>45</v>
      </c>
      <c r="J48" s="184">
        <v>110</v>
      </c>
      <c r="K48" s="113">
        <v>160</v>
      </c>
      <c r="L48" s="113">
        <v>2500</v>
      </c>
      <c r="M48" s="185">
        <v>18.810663905012245</v>
      </c>
      <c r="N48" s="87">
        <v>953.83923696863985</v>
      </c>
      <c r="O48" s="121">
        <v>27757.102626340653</v>
      </c>
      <c r="P48" s="121">
        <v>32779.663517129069</v>
      </c>
      <c r="Q48" s="310">
        <v>21322.725304034593</v>
      </c>
      <c r="R48" s="314">
        <v>49079.82793037525</v>
      </c>
      <c r="S48" s="315">
        <v>54102.388821163666</v>
      </c>
      <c r="U48" s="7" t="s">
        <v>2567</v>
      </c>
    </row>
    <row r="49" spans="1:21" s="74" customFormat="1" ht="16.5" customHeight="1" thickBot="1">
      <c r="A49" s="50" t="s">
        <v>35</v>
      </c>
      <c r="B49" s="51">
        <f t="shared" si="0"/>
        <v>110</v>
      </c>
      <c r="C49" s="51" t="s">
        <v>3</v>
      </c>
      <c r="D49" s="51">
        <f t="shared" si="1"/>
        <v>160</v>
      </c>
      <c r="E49" s="51" t="s">
        <v>3</v>
      </c>
      <c r="F49" s="110">
        <f t="shared" si="2"/>
        <v>2550</v>
      </c>
      <c r="G49" s="51" t="s">
        <v>3</v>
      </c>
      <c r="H49" s="48">
        <v>2</v>
      </c>
      <c r="I49" s="49" t="s">
        <v>45</v>
      </c>
      <c r="J49" s="184">
        <v>110</v>
      </c>
      <c r="K49" s="113">
        <v>160</v>
      </c>
      <c r="L49" s="113">
        <v>2550</v>
      </c>
      <c r="M49" s="185">
        <v>19.175163679498247</v>
      </c>
      <c r="N49" s="87">
        <v>976.0215448051199</v>
      </c>
      <c r="O49" s="121">
        <v>28180.289636957594</v>
      </c>
      <c r="P49" s="121">
        <v>33302.577268077534</v>
      </c>
      <c r="Q49" s="310">
        <v>21862.931024655456</v>
      </c>
      <c r="R49" s="314">
        <v>50043.22066161305</v>
      </c>
      <c r="S49" s="315">
        <v>55165.508292732993</v>
      </c>
      <c r="U49" s="7" t="s">
        <v>2568</v>
      </c>
    </row>
    <row r="50" spans="1:21" s="74" customFormat="1" ht="16.5" customHeight="1" thickBot="1">
      <c r="A50" s="47" t="s">
        <v>35</v>
      </c>
      <c r="B50" s="48">
        <f t="shared" si="0"/>
        <v>110</v>
      </c>
      <c r="C50" s="48" t="s">
        <v>3</v>
      </c>
      <c r="D50" s="48">
        <f t="shared" si="1"/>
        <v>160</v>
      </c>
      <c r="E50" s="48" t="s">
        <v>3</v>
      </c>
      <c r="F50" s="110">
        <f t="shared" si="2"/>
        <v>2600</v>
      </c>
      <c r="G50" s="48" t="s">
        <v>3</v>
      </c>
      <c r="H50" s="48">
        <v>2</v>
      </c>
      <c r="I50" s="49" t="s">
        <v>45</v>
      </c>
      <c r="J50" s="184">
        <v>110</v>
      </c>
      <c r="K50" s="113">
        <v>160</v>
      </c>
      <c r="L50" s="113">
        <v>2600</v>
      </c>
      <c r="M50" s="185">
        <v>19.523475453984251</v>
      </c>
      <c r="N50" s="87">
        <v>998.20385264159972</v>
      </c>
      <c r="O50" s="121">
        <v>28603.476507181171</v>
      </c>
      <c r="P50" s="121">
        <v>33825.490878632627</v>
      </c>
      <c r="Q50" s="310">
        <v>22172.555107886405</v>
      </c>
      <c r="R50" s="314">
        <v>50776.031615067579</v>
      </c>
      <c r="S50" s="315">
        <v>55998.045986519035</v>
      </c>
      <c r="U50" s="7" t="s">
        <v>2569</v>
      </c>
    </row>
    <row r="51" spans="1:21" s="74" customFormat="1" ht="16.5" customHeight="1" thickBot="1">
      <c r="A51" s="50" t="s">
        <v>35</v>
      </c>
      <c r="B51" s="51">
        <f t="shared" si="0"/>
        <v>110</v>
      </c>
      <c r="C51" s="51" t="s">
        <v>3</v>
      </c>
      <c r="D51" s="51">
        <f t="shared" si="1"/>
        <v>160</v>
      </c>
      <c r="E51" s="51" t="s">
        <v>3</v>
      </c>
      <c r="F51" s="110">
        <f t="shared" si="2"/>
        <v>2650</v>
      </c>
      <c r="G51" s="51" t="s">
        <v>3</v>
      </c>
      <c r="H51" s="48">
        <v>2</v>
      </c>
      <c r="I51" s="49" t="s">
        <v>45</v>
      </c>
      <c r="J51" s="184">
        <v>110</v>
      </c>
      <c r="K51" s="113">
        <v>160</v>
      </c>
      <c r="L51" s="113">
        <v>2650</v>
      </c>
      <c r="M51" s="185">
        <v>19.88797522847025</v>
      </c>
      <c r="N51" s="87">
        <v>1020.3861604780797</v>
      </c>
      <c r="O51" s="121">
        <v>29026.663517798104</v>
      </c>
      <c r="P51" s="121">
        <v>34348.404629581091</v>
      </c>
      <c r="Q51" s="310">
        <v>22712.760968900628</v>
      </c>
      <c r="R51" s="314">
        <v>51739.424486698728</v>
      </c>
      <c r="S51" s="315">
        <v>57061.165598481719</v>
      </c>
      <c r="U51" s="7" t="s">
        <v>2570</v>
      </c>
    </row>
    <row r="52" spans="1:21" s="74" customFormat="1" ht="16.5" customHeight="1" thickBot="1">
      <c r="A52" s="50" t="s">
        <v>35</v>
      </c>
      <c r="B52" s="51">
        <f t="shared" si="0"/>
        <v>110</v>
      </c>
      <c r="C52" s="51" t="s">
        <v>3</v>
      </c>
      <c r="D52" s="51">
        <f t="shared" si="1"/>
        <v>160</v>
      </c>
      <c r="E52" s="51" t="s">
        <v>3</v>
      </c>
      <c r="F52" s="110">
        <f t="shared" si="2"/>
        <v>2700</v>
      </c>
      <c r="G52" s="51" t="s">
        <v>3</v>
      </c>
      <c r="H52" s="48">
        <v>2</v>
      </c>
      <c r="I52" s="49" t="s">
        <v>45</v>
      </c>
      <c r="J52" s="184">
        <v>110</v>
      </c>
      <c r="K52" s="113">
        <v>160</v>
      </c>
      <c r="L52" s="113">
        <v>2700</v>
      </c>
      <c r="M52" s="185">
        <v>20.273574502956247</v>
      </c>
      <c r="N52" s="87">
        <v>1042.5684683145598</v>
      </c>
      <c r="O52" s="121">
        <v>29495.607533121041</v>
      </c>
      <c r="P52" s="121">
        <v>34917.470171370907</v>
      </c>
      <c r="Q52" s="310">
        <v>23022.385052131584</v>
      </c>
      <c r="R52" s="314">
        <v>52517.992585252621</v>
      </c>
      <c r="S52" s="315">
        <v>57939.855223502491</v>
      </c>
      <c r="U52" s="7" t="s">
        <v>2571</v>
      </c>
    </row>
    <row r="53" spans="1:21" s="74" customFormat="1" ht="16.5" customHeight="1" thickBot="1">
      <c r="A53" s="50" t="s">
        <v>35</v>
      </c>
      <c r="B53" s="51">
        <f t="shared" si="0"/>
        <v>110</v>
      </c>
      <c r="C53" s="51" t="s">
        <v>3</v>
      </c>
      <c r="D53" s="51">
        <f t="shared" si="1"/>
        <v>160</v>
      </c>
      <c r="E53" s="51" t="s">
        <v>3</v>
      </c>
      <c r="F53" s="110">
        <f t="shared" si="2"/>
        <v>2750</v>
      </c>
      <c r="G53" s="51" t="s">
        <v>3</v>
      </c>
      <c r="H53" s="48">
        <v>2</v>
      </c>
      <c r="I53" s="49" t="s">
        <v>45</v>
      </c>
      <c r="J53" s="184">
        <v>110</v>
      </c>
      <c r="K53" s="113">
        <v>160</v>
      </c>
      <c r="L53" s="113">
        <v>2750</v>
      </c>
      <c r="M53" s="185">
        <v>20.621886277442247</v>
      </c>
      <c r="N53" s="87">
        <v>1064.7507761510396</v>
      </c>
      <c r="O53" s="121">
        <v>29918.794543737982</v>
      </c>
      <c r="P53" s="121">
        <v>35440.383781926008</v>
      </c>
      <c r="Q53" s="310">
        <v>23332.008994969165</v>
      </c>
      <c r="R53" s="314">
        <v>53250.803538707143</v>
      </c>
      <c r="S53" s="315">
        <v>58772.392776895169</v>
      </c>
      <c r="U53" s="7" t="s">
        <v>2572</v>
      </c>
    </row>
    <row r="54" spans="1:21" s="74" customFormat="1" ht="16.5" customHeight="1" thickBot="1">
      <c r="A54" s="50" t="s">
        <v>35</v>
      </c>
      <c r="B54" s="51">
        <f t="shared" si="0"/>
        <v>110</v>
      </c>
      <c r="C54" s="51" t="s">
        <v>3</v>
      </c>
      <c r="D54" s="51">
        <f t="shared" si="1"/>
        <v>160</v>
      </c>
      <c r="E54" s="51" t="s">
        <v>3</v>
      </c>
      <c r="F54" s="110">
        <f t="shared" si="2"/>
        <v>2800</v>
      </c>
      <c r="G54" s="51" t="s">
        <v>3</v>
      </c>
      <c r="H54" s="48">
        <v>2</v>
      </c>
      <c r="I54" s="49" t="s">
        <v>45</v>
      </c>
      <c r="J54" s="184">
        <v>110</v>
      </c>
      <c r="K54" s="113">
        <v>160</v>
      </c>
      <c r="L54" s="113">
        <v>2800</v>
      </c>
      <c r="M54" s="185">
        <v>20.98638605192825</v>
      </c>
      <c r="N54" s="87">
        <v>1086.9330839875199</v>
      </c>
      <c r="O54" s="121">
        <v>30341.981413961559</v>
      </c>
      <c r="P54" s="121">
        <v>35963.297532874472</v>
      </c>
      <c r="Q54" s="310">
        <v>23872.214855983391</v>
      </c>
      <c r="R54" s="314">
        <v>54214.19626994495</v>
      </c>
      <c r="S54" s="315">
        <v>59835.512388857867</v>
      </c>
      <c r="U54" s="7" t="s">
        <v>2573</v>
      </c>
    </row>
    <row r="55" spans="1:21" s="74" customFormat="1" ht="16.5" customHeight="1" thickBot="1">
      <c r="A55" s="50" t="s">
        <v>35</v>
      </c>
      <c r="B55" s="51">
        <f t="shared" si="0"/>
        <v>110</v>
      </c>
      <c r="C55" s="51" t="s">
        <v>3</v>
      </c>
      <c r="D55" s="51">
        <f t="shared" si="1"/>
        <v>160</v>
      </c>
      <c r="E55" s="51" t="s">
        <v>3</v>
      </c>
      <c r="F55" s="110">
        <f t="shared" si="2"/>
        <v>2850</v>
      </c>
      <c r="G55" s="51" t="s">
        <v>3</v>
      </c>
      <c r="H55" s="48">
        <v>2</v>
      </c>
      <c r="I55" s="49" t="s">
        <v>45</v>
      </c>
      <c r="J55" s="184">
        <v>110</v>
      </c>
      <c r="K55" s="113">
        <v>160</v>
      </c>
      <c r="L55" s="113">
        <v>2850</v>
      </c>
      <c r="M55" s="185">
        <v>21.334697826414249</v>
      </c>
      <c r="N55" s="87">
        <v>1109.1153918239997</v>
      </c>
      <c r="O55" s="121">
        <v>30765.168424578493</v>
      </c>
      <c r="P55" s="121">
        <v>36486.21128382293</v>
      </c>
      <c r="Q55" s="310">
        <v>24181.838939214344</v>
      </c>
      <c r="R55" s="314">
        <v>54947.007363792836</v>
      </c>
      <c r="S55" s="315">
        <v>60668.050223037273</v>
      </c>
      <c r="U55" s="7" t="s">
        <v>2574</v>
      </c>
    </row>
    <row r="56" spans="1:21" s="74" customFormat="1" ht="16.5" customHeight="1" thickBot="1">
      <c r="A56" s="50" t="s">
        <v>35</v>
      </c>
      <c r="B56" s="51">
        <f t="shared" si="0"/>
        <v>110</v>
      </c>
      <c r="C56" s="51" t="s">
        <v>3</v>
      </c>
      <c r="D56" s="51">
        <f t="shared" si="1"/>
        <v>160</v>
      </c>
      <c r="E56" s="51" t="s">
        <v>3</v>
      </c>
      <c r="F56" s="110">
        <f t="shared" si="2"/>
        <v>2900</v>
      </c>
      <c r="G56" s="51" t="s">
        <v>3</v>
      </c>
      <c r="H56" s="48">
        <v>2</v>
      </c>
      <c r="I56" s="49" t="s">
        <v>45</v>
      </c>
      <c r="J56" s="184">
        <v>110</v>
      </c>
      <c r="K56" s="113">
        <v>160</v>
      </c>
      <c r="L56" s="113">
        <v>2900</v>
      </c>
      <c r="M56" s="185">
        <v>21.699197600900249</v>
      </c>
      <c r="N56" s="87">
        <v>1131.2976996604798</v>
      </c>
      <c r="O56" s="121">
        <v>31188.35529480207</v>
      </c>
      <c r="P56" s="121">
        <v>37009.12489437803</v>
      </c>
      <c r="Q56" s="310">
        <v>24722.044800228567</v>
      </c>
      <c r="R56" s="314">
        <v>55910.400095030636</v>
      </c>
      <c r="S56" s="315">
        <v>61731.169694606593</v>
      </c>
      <c r="U56" s="7" t="s">
        <v>2575</v>
      </c>
    </row>
    <row r="57" spans="1:21" s="74" customFormat="1" ht="16.5" customHeight="1" thickBot="1">
      <c r="A57" s="50" t="s">
        <v>35</v>
      </c>
      <c r="B57" s="51">
        <f t="shared" si="0"/>
        <v>110</v>
      </c>
      <c r="C57" s="51" t="s">
        <v>3</v>
      </c>
      <c r="D57" s="51">
        <f t="shared" si="1"/>
        <v>160</v>
      </c>
      <c r="E57" s="51" t="s">
        <v>3</v>
      </c>
      <c r="F57" s="110">
        <f t="shared" si="2"/>
        <v>2950</v>
      </c>
      <c r="G57" s="51" t="s">
        <v>3</v>
      </c>
      <c r="H57" s="48">
        <v>2</v>
      </c>
      <c r="I57" s="49" t="s">
        <v>45</v>
      </c>
      <c r="J57" s="184">
        <v>110</v>
      </c>
      <c r="K57" s="113">
        <v>160</v>
      </c>
      <c r="L57" s="113">
        <v>2950</v>
      </c>
      <c r="M57" s="185">
        <v>22.047509375386248</v>
      </c>
      <c r="N57" s="87">
        <v>1153.4800074969596</v>
      </c>
      <c r="O57" s="121">
        <v>31611.542305419007</v>
      </c>
      <c r="P57" s="121">
        <v>37532.038645326495</v>
      </c>
      <c r="Q57" s="310">
        <v>25031.668743066155</v>
      </c>
      <c r="R57" s="314">
        <v>56643.211048485158</v>
      </c>
      <c r="S57" s="315">
        <v>62563.70738839265</v>
      </c>
      <c r="U57" s="7" t="s">
        <v>2576</v>
      </c>
    </row>
    <row r="58" spans="1:21" s="74" customFormat="1" ht="16.5" customHeight="1" thickBot="1">
      <c r="A58" s="52" t="s">
        <v>35</v>
      </c>
      <c r="B58" s="53">
        <f t="shared" si="0"/>
        <v>110</v>
      </c>
      <c r="C58" s="53" t="s">
        <v>3</v>
      </c>
      <c r="D58" s="53">
        <f t="shared" si="1"/>
        <v>160</v>
      </c>
      <c r="E58" s="53" t="s">
        <v>3</v>
      </c>
      <c r="F58" s="111">
        <f t="shared" si="2"/>
        <v>3000</v>
      </c>
      <c r="G58" s="53" t="s">
        <v>3</v>
      </c>
      <c r="H58" s="55">
        <v>2</v>
      </c>
      <c r="I58" s="54" t="s">
        <v>45</v>
      </c>
      <c r="J58" s="186">
        <v>110</v>
      </c>
      <c r="K58" s="157">
        <v>160</v>
      </c>
      <c r="L58" s="157">
        <v>3000</v>
      </c>
      <c r="M58" s="187">
        <v>22.412009149872251</v>
      </c>
      <c r="N58" s="148">
        <v>1175.6623153334399</v>
      </c>
      <c r="O58" s="158">
        <v>33206.948750390744</v>
      </c>
      <c r="P58" s="158">
        <v>38054.952255881595</v>
      </c>
      <c r="Q58" s="311">
        <v>25571.874604080382</v>
      </c>
      <c r="R58" s="316">
        <v>58778.823354471126</v>
      </c>
      <c r="S58" s="317">
        <v>63626.826859961977</v>
      </c>
      <c r="U58" s="7" t="s">
        <v>2577</v>
      </c>
    </row>
    <row r="59" spans="1:21" ht="22.5" customHeight="1" thickBot="1">
      <c r="A59" s="2580" t="s">
        <v>520</v>
      </c>
      <c r="B59" s="2581"/>
      <c r="C59" s="2581"/>
      <c r="D59" s="2581"/>
      <c r="E59" s="2581"/>
      <c r="F59" s="2581"/>
      <c r="G59" s="2581"/>
      <c r="H59" s="2581"/>
      <c r="I59" s="2581"/>
      <c r="J59" s="2581"/>
      <c r="K59" s="2581"/>
      <c r="L59" s="2581"/>
      <c r="M59" s="2581"/>
      <c r="N59" s="2581"/>
      <c r="O59" s="2581"/>
      <c r="P59" s="2581"/>
      <c r="Q59" s="2581"/>
      <c r="R59" s="2657"/>
      <c r="S59" s="2658"/>
      <c r="U59" s="7"/>
    </row>
    <row r="60" spans="1:21" ht="16.5" customHeight="1" thickBot="1">
      <c r="A60" s="2583" t="s">
        <v>134</v>
      </c>
      <c r="B60" s="2584"/>
      <c r="C60" s="2584"/>
      <c r="D60" s="2584"/>
      <c r="E60" s="2584"/>
      <c r="F60" s="2584"/>
      <c r="G60" s="2584"/>
      <c r="H60" s="2584"/>
      <c r="I60" s="2584"/>
      <c r="J60" s="2584"/>
      <c r="K60" s="2584"/>
      <c r="L60" s="2584"/>
      <c r="M60" s="2584"/>
      <c r="N60" s="2584"/>
      <c r="O60" s="2584"/>
      <c r="P60" s="2584"/>
      <c r="Q60" s="2584"/>
      <c r="R60" s="2584"/>
      <c r="S60" s="2585"/>
      <c r="U60" s="7"/>
    </row>
    <row r="61" spans="1:21" ht="16.5" customHeight="1" thickBot="1">
      <c r="A61" s="47" t="s">
        <v>35</v>
      </c>
      <c r="B61" s="48">
        <f>J61</f>
        <v>110</v>
      </c>
      <c r="C61" s="48" t="s">
        <v>3</v>
      </c>
      <c r="D61" s="48">
        <f>K61</f>
        <v>200</v>
      </c>
      <c r="E61" s="48" t="s">
        <v>3</v>
      </c>
      <c r="F61" s="99">
        <f>L61</f>
        <v>600</v>
      </c>
      <c r="G61" s="48" t="s">
        <v>3</v>
      </c>
      <c r="H61" s="48">
        <v>2</v>
      </c>
      <c r="I61" s="49" t="s">
        <v>45</v>
      </c>
      <c r="J61" s="181">
        <v>110</v>
      </c>
      <c r="K61" s="143">
        <v>200</v>
      </c>
      <c r="L61" s="143">
        <v>600</v>
      </c>
      <c r="M61" s="190">
        <v>5.2280884823813167</v>
      </c>
      <c r="N61" s="144">
        <v>126.03583997999998</v>
      </c>
      <c r="O61" s="145">
        <v>10245.623579477664</v>
      </c>
      <c r="P61" s="188">
        <v>12295.699685033516</v>
      </c>
      <c r="Q61" s="169">
        <v>6535.0358533845019</v>
      </c>
      <c r="R61" s="312">
        <v>16780.659432862165</v>
      </c>
      <c r="S61" s="313">
        <v>18830.735538418019</v>
      </c>
      <c r="U61" s="7" t="s">
        <v>2578</v>
      </c>
    </row>
    <row r="62" spans="1:21" ht="16.5" customHeight="1" thickBot="1">
      <c r="A62" s="50" t="s">
        <v>35</v>
      </c>
      <c r="B62" s="51">
        <f t="shared" ref="B62:B109" si="3">J62</f>
        <v>110</v>
      </c>
      <c r="C62" s="51" t="s">
        <v>3</v>
      </c>
      <c r="D62" s="51">
        <f t="shared" ref="D62:D109" si="4">K62</f>
        <v>200</v>
      </c>
      <c r="E62" s="51" t="s">
        <v>3</v>
      </c>
      <c r="F62" s="99">
        <f t="shared" ref="F62:F109" si="5">L62</f>
        <v>650</v>
      </c>
      <c r="G62" s="51" t="s">
        <v>3</v>
      </c>
      <c r="H62" s="48">
        <v>2</v>
      </c>
      <c r="I62" s="49" t="s">
        <v>45</v>
      </c>
      <c r="J62" s="184">
        <v>110</v>
      </c>
      <c r="K62" s="75">
        <v>200</v>
      </c>
      <c r="L62" s="75">
        <v>650</v>
      </c>
      <c r="M62" s="191">
        <v>5.5894850925244732</v>
      </c>
      <c r="N62" s="87">
        <v>151.24300797599997</v>
      </c>
      <c r="O62" s="123">
        <v>10668.810449701239</v>
      </c>
      <c r="P62" s="119">
        <v>12851.44596812959</v>
      </c>
      <c r="Q62" s="120">
        <v>6893.4546325058636</v>
      </c>
      <c r="R62" s="314">
        <v>17562.265082207101</v>
      </c>
      <c r="S62" s="315">
        <v>19744.900600635454</v>
      </c>
      <c r="U62" s="7" t="s">
        <v>2579</v>
      </c>
    </row>
    <row r="63" spans="1:21" ht="16.5" customHeight="1" thickBot="1">
      <c r="A63" s="50" t="s">
        <v>35</v>
      </c>
      <c r="B63" s="51">
        <f t="shared" si="3"/>
        <v>110</v>
      </c>
      <c r="C63" s="51" t="s">
        <v>3</v>
      </c>
      <c r="D63" s="51">
        <f t="shared" si="4"/>
        <v>200</v>
      </c>
      <c r="E63" s="51" t="s">
        <v>3</v>
      </c>
      <c r="F63" s="99">
        <f t="shared" si="5"/>
        <v>700</v>
      </c>
      <c r="G63" s="51" t="s">
        <v>3</v>
      </c>
      <c r="H63" s="48">
        <v>2</v>
      </c>
      <c r="I63" s="49" t="s">
        <v>45</v>
      </c>
      <c r="J63" s="184">
        <v>110</v>
      </c>
      <c r="K63" s="75">
        <v>200</v>
      </c>
      <c r="L63" s="75">
        <v>700</v>
      </c>
      <c r="M63" s="191">
        <v>5.9679217026676312</v>
      </c>
      <c r="N63" s="87">
        <v>176.45017597200001</v>
      </c>
      <c r="O63" s="123">
        <v>11091.997460318178</v>
      </c>
      <c r="P63" s="119">
        <v>13407.192251225666</v>
      </c>
      <c r="Q63" s="120">
        <v>7482.4550490171396</v>
      </c>
      <c r="R63" s="314">
        <v>18574.452509335319</v>
      </c>
      <c r="S63" s="315">
        <v>20889.647300242807</v>
      </c>
      <c r="U63" s="7" t="s">
        <v>2580</v>
      </c>
    </row>
    <row r="64" spans="1:21" ht="16.5" customHeight="1" thickBot="1">
      <c r="A64" s="50" t="s">
        <v>35</v>
      </c>
      <c r="B64" s="51">
        <f t="shared" si="3"/>
        <v>110</v>
      </c>
      <c r="C64" s="51" t="s">
        <v>3</v>
      </c>
      <c r="D64" s="51">
        <f t="shared" si="4"/>
        <v>200</v>
      </c>
      <c r="E64" s="51" t="s">
        <v>3</v>
      </c>
      <c r="F64" s="99">
        <f t="shared" si="5"/>
        <v>750</v>
      </c>
      <c r="G64" s="51" t="s">
        <v>3</v>
      </c>
      <c r="H64" s="48">
        <v>2</v>
      </c>
      <c r="I64" s="49" t="s">
        <v>45</v>
      </c>
      <c r="J64" s="184">
        <v>110</v>
      </c>
      <c r="K64" s="75">
        <v>200</v>
      </c>
      <c r="L64" s="75">
        <v>750</v>
      </c>
      <c r="M64" s="191">
        <v>6.3293183128107895</v>
      </c>
      <c r="N64" s="87">
        <v>201.65734396799996</v>
      </c>
      <c r="O64" s="123">
        <v>11515.184330541751</v>
      </c>
      <c r="P64" s="119">
        <v>13962.93853432174</v>
      </c>
      <c r="Q64" s="120">
        <v>7840.8736877451383</v>
      </c>
      <c r="R64" s="314">
        <v>19356.058018286891</v>
      </c>
      <c r="S64" s="315">
        <v>21803.812222066877</v>
      </c>
      <c r="U64" s="7" t="s">
        <v>2581</v>
      </c>
    </row>
    <row r="65" spans="1:21" ht="16.5" customHeight="1" thickBot="1">
      <c r="A65" s="50" t="s">
        <v>35</v>
      </c>
      <c r="B65" s="51">
        <f t="shared" si="3"/>
        <v>110</v>
      </c>
      <c r="C65" s="51" t="s">
        <v>3</v>
      </c>
      <c r="D65" s="51">
        <f t="shared" si="4"/>
        <v>200</v>
      </c>
      <c r="E65" s="51" t="s">
        <v>3</v>
      </c>
      <c r="F65" s="99">
        <f t="shared" si="5"/>
        <v>800</v>
      </c>
      <c r="G65" s="51" t="s">
        <v>3</v>
      </c>
      <c r="H65" s="48">
        <v>2</v>
      </c>
      <c r="I65" s="49" t="s">
        <v>45</v>
      </c>
      <c r="J65" s="184">
        <v>110</v>
      </c>
      <c r="K65" s="75">
        <v>200</v>
      </c>
      <c r="L65" s="75">
        <v>800</v>
      </c>
      <c r="M65" s="191">
        <v>6.690714922953946</v>
      </c>
      <c r="N65" s="87">
        <v>226.86451196399997</v>
      </c>
      <c r="O65" s="123">
        <v>11938.371341158689</v>
      </c>
      <c r="P65" s="119">
        <v>14518.684817417816</v>
      </c>
      <c r="Q65" s="120">
        <v>8199.2923264731398</v>
      </c>
      <c r="R65" s="314">
        <v>20137.66366763183</v>
      </c>
      <c r="S65" s="315">
        <v>22717.977143890956</v>
      </c>
      <c r="U65" s="7" t="s">
        <v>2582</v>
      </c>
    </row>
    <row r="66" spans="1:21" ht="16.5" customHeight="1" thickBot="1">
      <c r="A66" s="50" t="s">
        <v>35</v>
      </c>
      <c r="B66" s="51">
        <f t="shared" si="3"/>
        <v>110</v>
      </c>
      <c r="C66" s="51" t="s">
        <v>3</v>
      </c>
      <c r="D66" s="51">
        <f t="shared" si="4"/>
        <v>200</v>
      </c>
      <c r="E66" s="51" t="s">
        <v>3</v>
      </c>
      <c r="F66" s="99">
        <f t="shared" si="5"/>
        <v>850</v>
      </c>
      <c r="G66" s="51" t="s">
        <v>3</v>
      </c>
      <c r="H66" s="48">
        <v>2</v>
      </c>
      <c r="I66" s="49" t="s">
        <v>45</v>
      </c>
      <c r="J66" s="184">
        <v>110</v>
      </c>
      <c r="K66" s="75">
        <v>200</v>
      </c>
      <c r="L66" s="75">
        <v>850</v>
      </c>
      <c r="M66" s="191">
        <v>7.0691515330971049</v>
      </c>
      <c r="N66" s="87">
        <v>252.07167995999995</v>
      </c>
      <c r="O66" s="123">
        <v>12361.558351775628</v>
      </c>
      <c r="P66" s="119">
        <v>15074.43110051389</v>
      </c>
      <c r="Q66" s="120">
        <v>8788.2927429844149</v>
      </c>
      <c r="R66" s="314">
        <v>21149.851094760044</v>
      </c>
      <c r="S66" s="315">
        <v>23862.723843498305</v>
      </c>
      <c r="U66" s="7" t="s">
        <v>2583</v>
      </c>
    </row>
    <row r="67" spans="1:21" ht="16.5" customHeight="1" thickBot="1">
      <c r="A67" s="50" t="s">
        <v>35</v>
      </c>
      <c r="B67" s="51">
        <f t="shared" si="3"/>
        <v>110</v>
      </c>
      <c r="C67" s="51" t="s">
        <v>3</v>
      </c>
      <c r="D67" s="51">
        <f t="shared" si="4"/>
        <v>200</v>
      </c>
      <c r="E67" s="51" t="s">
        <v>3</v>
      </c>
      <c r="F67" s="99">
        <f t="shared" si="5"/>
        <v>900</v>
      </c>
      <c r="G67" s="51" t="s">
        <v>3</v>
      </c>
      <c r="H67" s="48">
        <v>2</v>
      </c>
      <c r="I67" s="49" t="s">
        <v>45</v>
      </c>
      <c r="J67" s="184">
        <v>110</v>
      </c>
      <c r="K67" s="75">
        <v>200</v>
      </c>
      <c r="L67" s="75">
        <v>900</v>
      </c>
      <c r="M67" s="191">
        <v>7.430548143240264</v>
      </c>
      <c r="N67" s="87">
        <v>277.27884795599994</v>
      </c>
      <c r="O67" s="123">
        <v>12784.745221999203</v>
      </c>
      <c r="P67" s="119">
        <v>15630.177383609964</v>
      </c>
      <c r="Q67" s="120">
        <v>9146.7115221057775</v>
      </c>
      <c r="R67" s="314">
        <v>21931.45674410498</v>
      </c>
      <c r="S67" s="315">
        <v>24776.888905715743</v>
      </c>
      <c r="U67" s="7" t="s">
        <v>2584</v>
      </c>
    </row>
    <row r="68" spans="1:21" ht="16.5" customHeight="1" thickBot="1">
      <c r="A68" s="50" t="s">
        <v>35</v>
      </c>
      <c r="B68" s="51">
        <f t="shared" si="3"/>
        <v>110</v>
      </c>
      <c r="C68" s="51" t="s">
        <v>3</v>
      </c>
      <c r="D68" s="51">
        <f t="shared" si="4"/>
        <v>200</v>
      </c>
      <c r="E68" s="51" t="s">
        <v>3</v>
      </c>
      <c r="F68" s="99">
        <f t="shared" si="5"/>
        <v>950</v>
      </c>
      <c r="G68" s="51" t="s">
        <v>3</v>
      </c>
      <c r="H68" s="48">
        <v>2</v>
      </c>
      <c r="I68" s="49" t="s">
        <v>45</v>
      </c>
      <c r="J68" s="184">
        <v>110</v>
      </c>
      <c r="K68" s="75">
        <v>200</v>
      </c>
      <c r="L68" s="75">
        <v>950</v>
      </c>
      <c r="M68" s="191">
        <v>7.8089847533834202</v>
      </c>
      <c r="N68" s="87">
        <v>302.48601595199995</v>
      </c>
      <c r="O68" s="123">
        <v>13903.086597594189</v>
      </c>
      <c r="P68" s="119">
        <v>16185.923666706041</v>
      </c>
      <c r="Q68" s="120">
        <v>9735.7119386170507</v>
      </c>
      <c r="R68" s="314">
        <v>23638.798536211238</v>
      </c>
      <c r="S68" s="315">
        <v>25921.635605323092</v>
      </c>
      <c r="U68" s="7" t="s">
        <v>2585</v>
      </c>
    </row>
    <row r="69" spans="1:21" ht="16.5" customHeight="1" thickBot="1">
      <c r="A69" s="50" t="s">
        <v>35</v>
      </c>
      <c r="B69" s="51">
        <f t="shared" si="3"/>
        <v>110</v>
      </c>
      <c r="C69" s="51" t="s">
        <v>3</v>
      </c>
      <c r="D69" s="51">
        <f t="shared" si="4"/>
        <v>200</v>
      </c>
      <c r="E69" s="51" t="s">
        <v>3</v>
      </c>
      <c r="F69" s="99">
        <f t="shared" si="5"/>
        <v>1000</v>
      </c>
      <c r="G69" s="51" t="s">
        <v>3</v>
      </c>
      <c r="H69" s="48">
        <v>2</v>
      </c>
      <c r="I69" s="49" t="s">
        <v>45</v>
      </c>
      <c r="J69" s="184">
        <v>110</v>
      </c>
      <c r="K69" s="75">
        <v>200</v>
      </c>
      <c r="L69" s="75">
        <v>1000</v>
      </c>
      <c r="M69" s="191">
        <v>8.1703813635265785</v>
      </c>
      <c r="N69" s="87">
        <v>327.69318394800001</v>
      </c>
      <c r="O69" s="123">
        <v>14348.546453598303</v>
      </c>
      <c r="P69" s="119">
        <v>16741.669949802115</v>
      </c>
      <c r="Q69" s="120">
        <v>10094.130577345051</v>
      </c>
      <c r="R69" s="314">
        <v>24442.677030943356</v>
      </c>
      <c r="S69" s="315">
        <v>26835.800527147167</v>
      </c>
      <c r="U69" s="7" t="s">
        <v>2586</v>
      </c>
    </row>
    <row r="70" spans="1:21" ht="16.5" customHeight="1" thickBot="1">
      <c r="A70" s="50" t="s">
        <v>35</v>
      </c>
      <c r="B70" s="51">
        <f t="shared" si="3"/>
        <v>110</v>
      </c>
      <c r="C70" s="51" t="s">
        <v>3</v>
      </c>
      <c r="D70" s="51">
        <f t="shared" si="4"/>
        <v>200</v>
      </c>
      <c r="E70" s="51" t="s">
        <v>3</v>
      </c>
      <c r="F70" s="99">
        <f t="shared" si="5"/>
        <v>1050</v>
      </c>
      <c r="G70" s="51" t="s">
        <v>3</v>
      </c>
      <c r="H70" s="48">
        <v>2</v>
      </c>
      <c r="I70" s="49" t="s">
        <v>45</v>
      </c>
      <c r="J70" s="184">
        <v>110</v>
      </c>
      <c r="K70" s="75">
        <v>200</v>
      </c>
      <c r="L70" s="75">
        <v>1050</v>
      </c>
      <c r="M70" s="191">
        <v>8.5488179736697365</v>
      </c>
      <c r="N70" s="87">
        <v>352.90035194400002</v>
      </c>
      <c r="O70" s="123">
        <v>14794.006449995779</v>
      </c>
      <c r="P70" s="119">
        <v>17297.416232898191</v>
      </c>
      <c r="Q70" s="120">
        <v>10683.130993856326</v>
      </c>
      <c r="R70" s="314">
        <v>25477.137443852105</v>
      </c>
      <c r="S70" s="315">
        <v>27980.547226754519</v>
      </c>
      <c r="U70" s="7" t="s">
        <v>2587</v>
      </c>
    </row>
    <row r="71" spans="1:21" ht="16.5" customHeight="1" thickBot="1">
      <c r="A71" s="47" t="s">
        <v>35</v>
      </c>
      <c r="B71" s="48">
        <f t="shared" si="3"/>
        <v>110</v>
      </c>
      <c r="C71" s="48" t="s">
        <v>3</v>
      </c>
      <c r="D71" s="48">
        <f t="shared" si="4"/>
        <v>200</v>
      </c>
      <c r="E71" s="48" t="s">
        <v>3</v>
      </c>
      <c r="F71" s="99">
        <f t="shared" si="5"/>
        <v>1100</v>
      </c>
      <c r="G71" s="48" t="s">
        <v>3</v>
      </c>
      <c r="H71" s="48">
        <v>2</v>
      </c>
      <c r="I71" s="49" t="s">
        <v>45</v>
      </c>
      <c r="J71" s="184">
        <v>110</v>
      </c>
      <c r="K71" s="75">
        <v>200</v>
      </c>
      <c r="L71" s="75">
        <v>1100</v>
      </c>
      <c r="M71" s="191">
        <v>8.9102145838128948</v>
      </c>
      <c r="N71" s="87">
        <v>378.10751993999992</v>
      </c>
      <c r="O71" s="123">
        <v>15239.466446393255</v>
      </c>
      <c r="P71" s="119">
        <v>17853.162656387631</v>
      </c>
      <c r="Q71" s="120">
        <v>11041.549772977691</v>
      </c>
      <c r="R71" s="314">
        <v>26281.016219370948</v>
      </c>
      <c r="S71" s="315">
        <v>28894.712429365321</v>
      </c>
      <c r="U71" s="7" t="s">
        <v>2588</v>
      </c>
    </row>
    <row r="72" spans="1:21" ht="16.5" customHeight="1" thickBot="1">
      <c r="A72" s="50" t="s">
        <v>35</v>
      </c>
      <c r="B72" s="51">
        <f t="shared" si="3"/>
        <v>110</v>
      </c>
      <c r="C72" s="51" t="s">
        <v>3</v>
      </c>
      <c r="D72" s="51">
        <f t="shared" si="4"/>
        <v>200</v>
      </c>
      <c r="E72" s="51" t="s">
        <v>3</v>
      </c>
      <c r="F72" s="99">
        <f t="shared" si="5"/>
        <v>1150</v>
      </c>
      <c r="G72" s="51" t="s">
        <v>3</v>
      </c>
      <c r="H72" s="48">
        <v>2</v>
      </c>
      <c r="I72" s="49" t="s">
        <v>45</v>
      </c>
      <c r="J72" s="184">
        <v>110</v>
      </c>
      <c r="K72" s="75">
        <v>200</v>
      </c>
      <c r="L72" s="75">
        <v>1150</v>
      </c>
      <c r="M72" s="191">
        <v>9.271611193956053</v>
      </c>
      <c r="N72" s="87">
        <v>403.31468793599993</v>
      </c>
      <c r="O72" s="123">
        <v>15684.926302397365</v>
      </c>
      <c r="P72" s="119">
        <v>18408.908939483703</v>
      </c>
      <c r="Q72" s="120">
        <v>11399.96841170569</v>
      </c>
      <c r="R72" s="314">
        <v>27084.894714103055</v>
      </c>
      <c r="S72" s="315">
        <v>29808.877351189392</v>
      </c>
      <c r="U72" s="7" t="s">
        <v>2589</v>
      </c>
    </row>
    <row r="73" spans="1:21" ht="16.5" customHeight="1" thickBot="1">
      <c r="A73" s="50" t="s">
        <v>35</v>
      </c>
      <c r="B73" s="51">
        <f t="shared" si="3"/>
        <v>110</v>
      </c>
      <c r="C73" s="51" t="s">
        <v>3</v>
      </c>
      <c r="D73" s="51">
        <f t="shared" si="4"/>
        <v>200</v>
      </c>
      <c r="E73" s="51" t="s">
        <v>3</v>
      </c>
      <c r="F73" s="99">
        <f t="shared" si="5"/>
        <v>1200</v>
      </c>
      <c r="G73" s="51" t="s">
        <v>3</v>
      </c>
      <c r="H73" s="48">
        <v>2</v>
      </c>
      <c r="I73" s="49" t="s">
        <v>45</v>
      </c>
      <c r="J73" s="184">
        <v>110</v>
      </c>
      <c r="K73" s="75">
        <v>200</v>
      </c>
      <c r="L73" s="75">
        <v>1200</v>
      </c>
      <c r="M73" s="191">
        <v>9.6892978040992102</v>
      </c>
      <c r="N73" s="87">
        <v>428.52185593199994</v>
      </c>
      <c r="O73" s="123">
        <v>16178.551611241166</v>
      </c>
      <c r="P73" s="119">
        <v>19010.80701342113</v>
      </c>
      <c r="Q73" s="120">
        <v>11988.968828216965</v>
      </c>
      <c r="R73" s="314">
        <v>28167.520439458131</v>
      </c>
      <c r="S73" s="315">
        <v>30999.775841638097</v>
      </c>
      <c r="U73" s="7" t="s">
        <v>2590</v>
      </c>
    </row>
    <row r="74" spans="1:21" ht="16.5" customHeight="1" thickBot="1">
      <c r="A74" s="50" t="s">
        <v>35</v>
      </c>
      <c r="B74" s="51">
        <f t="shared" si="3"/>
        <v>110</v>
      </c>
      <c r="C74" s="51" t="s">
        <v>3</v>
      </c>
      <c r="D74" s="51">
        <f t="shared" si="4"/>
        <v>200</v>
      </c>
      <c r="E74" s="51" t="s">
        <v>3</v>
      </c>
      <c r="F74" s="99">
        <f t="shared" si="5"/>
        <v>1250</v>
      </c>
      <c r="G74" s="51" t="s">
        <v>3</v>
      </c>
      <c r="H74" s="48">
        <v>2</v>
      </c>
      <c r="I74" s="49" t="s">
        <v>45</v>
      </c>
      <c r="J74" s="184">
        <v>110</v>
      </c>
      <c r="K74" s="75">
        <v>200</v>
      </c>
      <c r="L74" s="75">
        <v>1250</v>
      </c>
      <c r="M74" s="191">
        <v>10.050694414242368</v>
      </c>
      <c r="N74" s="87">
        <v>453.72902392799995</v>
      </c>
      <c r="O74" s="123">
        <v>16624.01160763864</v>
      </c>
      <c r="P74" s="119">
        <v>19566.553296517202</v>
      </c>
      <c r="Q74" s="120">
        <v>12347.387466944965</v>
      </c>
      <c r="R74" s="314">
        <v>28971.399074583605</v>
      </c>
      <c r="S74" s="315">
        <v>31913.940763462168</v>
      </c>
      <c r="U74" s="7" t="s">
        <v>2591</v>
      </c>
    </row>
    <row r="75" spans="1:21" ht="16.5" customHeight="1" thickBot="1">
      <c r="A75" s="50" t="s">
        <v>35</v>
      </c>
      <c r="B75" s="51">
        <f t="shared" si="3"/>
        <v>110</v>
      </c>
      <c r="C75" s="51" t="s">
        <v>3</v>
      </c>
      <c r="D75" s="51">
        <f t="shared" si="4"/>
        <v>200</v>
      </c>
      <c r="E75" s="51" t="s">
        <v>3</v>
      </c>
      <c r="F75" s="99">
        <f t="shared" si="5"/>
        <v>1300</v>
      </c>
      <c r="G75" s="51" t="s">
        <v>3</v>
      </c>
      <c r="H75" s="48">
        <v>2</v>
      </c>
      <c r="I75" s="49" t="s">
        <v>45</v>
      </c>
      <c r="J75" s="184">
        <v>110</v>
      </c>
      <c r="K75" s="75">
        <v>200</v>
      </c>
      <c r="L75" s="75">
        <v>1300</v>
      </c>
      <c r="M75" s="191">
        <v>10.429131024385526</v>
      </c>
      <c r="N75" s="87">
        <v>478.93619192399996</v>
      </c>
      <c r="O75" s="123">
        <v>17069.471604036116</v>
      </c>
      <c r="P75" s="119">
        <v>20122.299579613282</v>
      </c>
      <c r="Q75" s="120">
        <v>12936.38788345624</v>
      </c>
      <c r="R75" s="314">
        <v>30005.859487492358</v>
      </c>
      <c r="S75" s="315">
        <v>33058.687463069524</v>
      </c>
      <c r="U75" s="7" t="s">
        <v>2592</v>
      </c>
    </row>
    <row r="76" spans="1:21" ht="16.5" customHeight="1" thickBot="1">
      <c r="A76" s="50" t="s">
        <v>35</v>
      </c>
      <c r="B76" s="51">
        <f t="shared" si="3"/>
        <v>110</v>
      </c>
      <c r="C76" s="51" t="s">
        <v>3</v>
      </c>
      <c r="D76" s="51">
        <f t="shared" si="4"/>
        <v>200</v>
      </c>
      <c r="E76" s="51" t="s">
        <v>3</v>
      </c>
      <c r="F76" s="99">
        <f t="shared" si="5"/>
        <v>1350</v>
      </c>
      <c r="G76" s="51" t="s">
        <v>3</v>
      </c>
      <c r="H76" s="48">
        <v>2</v>
      </c>
      <c r="I76" s="49" t="s">
        <v>45</v>
      </c>
      <c r="J76" s="184">
        <v>110</v>
      </c>
      <c r="K76" s="75">
        <v>200</v>
      </c>
      <c r="L76" s="75">
        <v>1350</v>
      </c>
      <c r="M76" s="191">
        <v>10.790527634528683</v>
      </c>
      <c r="N76" s="87">
        <v>504.14335991999991</v>
      </c>
      <c r="O76" s="123">
        <v>17514.931460040229</v>
      </c>
      <c r="P76" s="119">
        <v>20678.045862709354</v>
      </c>
      <c r="Q76" s="120">
        <v>13294.806662577603</v>
      </c>
      <c r="R76" s="314">
        <v>30809.738122617833</v>
      </c>
      <c r="S76" s="315">
        <v>33972.852525286959</v>
      </c>
      <c r="U76" s="7" t="s">
        <v>2593</v>
      </c>
    </row>
    <row r="77" spans="1:21" ht="16.5" customHeight="1" thickBot="1">
      <c r="A77" s="50" t="s">
        <v>35</v>
      </c>
      <c r="B77" s="51">
        <f t="shared" si="3"/>
        <v>110</v>
      </c>
      <c r="C77" s="51" t="s">
        <v>3</v>
      </c>
      <c r="D77" s="51">
        <f t="shared" si="4"/>
        <v>200</v>
      </c>
      <c r="E77" s="51" t="s">
        <v>3</v>
      </c>
      <c r="F77" s="99">
        <f t="shared" si="5"/>
        <v>1400</v>
      </c>
      <c r="G77" s="51" t="s">
        <v>3</v>
      </c>
      <c r="H77" s="48">
        <v>2</v>
      </c>
      <c r="I77" s="49" t="s">
        <v>45</v>
      </c>
      <c r="J77" s="184">
        <v>110</v>
      </c>
      <c r="K77" s="75">
        <v>200</v>
      </c>
      <c r="L77" s="75">
        <v>1400</v>
      </c>
      <c r="M77" s="191">
        <v>11.168964244671841</v>
      </c>
      <c r="N77" s="87">
        <v>529.35052791599992</v>
      </c>
      <c r="O77" s="123">
        <v>17960.391456437705</v>
      </c>
      <c r="P77" s="119">
        <v>21233.79214580543</v>
      </c>
      <c r="Q77" s="120">
        <v>13883.807079088876</v>
      </c>
      <c r="R77" s="314">
        <v>31844.198535526579</v>
      </c>
      <c r="S77" s="315">
        <v>35117.599224894308</v>
      </c>
      <c r="U77" s="7" t="s">
        <v>2594</v>
      </c>
    </row>
    <row r="78" spans="1:21" ht="16.5" customHeight="1" thickBot="1">
      <c r="A78" s="50" t="s">
        <v>35</v>
      </c>
      <c r="B78" s="51">
        <f t="shared" si="3"/>
        <v>110</v>
      </c>
      <c r="C78" s="51" t="s">
        <v>3</v>
      </c>
      <c r="D78" s="51">
        <f t="shared" si="4"/>
        <v>200</v>
      </c>
      <c r="E78" s="51" t="s">
        <v>3</v>
      </c>
      <c r="F78" s="99">
        <f t="shared" si="5"/>
        <v>1450</v>
      </c>
      <c r="G78" s="51" t="s">
        <v>3</v>
      </c>
      <c r="H78" s="48">
        <v>2</v>
      </c>
      <c r="I78" s="49" t="s">
        <v>45</v>
      </c>
      <c r="J78" s="184">
        <v>110</v>
      </c>
      <c r="K78" s="75">
        <v>200</v>
      </c>
      <c r="L78" s="75">
        <v>1450</v>
      </c>
      <c r="M78" s="191">
        <v>11.530360854815001</v>
      </c>
      <c r="N78" s="87">
        <v>554.55769591199987</v>
      </c>
      <c r="O78" s="123">
        <v>18405.851452835181</v>
      </c>
      <c r="P78" s="119">
        <v>21789.538428901506</v>
      </c>
      <c r="Q78" s="120">
        <v>14242.225717816877</v>
      </c>
      <c r="R78" s="314">
        <v>32648.077170652057</v>
      </c>
      <c r="S78" s="315">
        <v>36031.764146718386</v>
      </c>
      <c r="U78" s="7" t="s">
        <v>2595</v>
      </c>
    </row>
    <row r="79" spans="1:21" ht="16.5" customHeight="1" thickBot="1">
      <c r="A79" s="50" t="s">
        <v>35</v>
      </c>
      <c r="B79" s="51">
        <f t="shared" si="3"/>
        <v>110</v>
      </c>
      <c r="C79" s="51" t="s">
        <v>3</v>
      </c>
      <c r="D79" s="51">
        <f t="shared" si="4"/>
        <v>200</v>
      </c>
      <c r="E79" s="51" t="s">
        <v>3</v>
      </c>
      <c r="F79" s="99">
        <f t="shared" si="5"/>
        <v>1500</v>
      </c>
      <c r="G79" s="51" t="s">
        <v>3</v>
      </c>
      <c r="H79" s="48">
        <v>2</v>
      </c>
      <c r="I79" s="49" t="s">
        <v>45</v>
      </c>
      <c r="J79" s="184">
        <v>110</v>
      </c>
      <c r="K79" s="75">
        <v>200</v>
      </c>
      <c r="L79" s="75">
        <v>1500</v>
      </c>
      <c r="M79" s="191">
        <v>12.015823587258158</v>
      </c>
      <c r="N79" s="87">
        <v>579.76486390799994</v>
      </c>
      <c r="O79" s="123">
        <v>19434.939854121229</v>
      </c>
      <c r="P79" s="119">
        <v>22838.597645609818</v>
      </c>
      <c r="Q79" s="120">
        <v>14831.226134328155</v>
      </c>
      <c r="R79" s="314">
        <v>34266.165988449386</v>
      </c>
      <c r="S79" s="315">
        <v>37669.823779937971</v>
      </c>
      <c r="U79" s="7" t="s">
        <v>2596</v>
      </c>
    </row>
    <row r="80" spans="1:21" ht="16.5" customHeight="1" thickBot="1">
      <c r="A80" s="50" t="s">
        <v>35</v>
      </c>
      <c r="B80" s="51">
        <f t="shared" si="3"/>
        <v>110</v>
      </c>
      <c r="C80" s="51" t="s">
        <v>3</v>
      </c>
      <c r="D80" s="51">
        <f t="shared" si="4"/>
        <v>200</v>
      </c>
      <c r="E80" s="51" t="s">
        <v>3</v>
      </c>
      <c r="F80" s="99">
        <f t="shared" si="5"/>
        <v>1550</v>
      </c>
      <c r="G80" s="51" t="s">
        <v>3</v>
      </c>
      <c r="H80" s="48">
        <v>2</v>
      </c>
      <c r="I80" s="49" t="s">
        <v>45</v>
      </c>
      <c r="J80" s="184">
        <v>110</v>
      </c>
      <c r="K80" s="75">
        <v>200</v>
      </c>
      <c r="L80" s="75">
        <v>1550</v>
      </c>
      <c r="M80" s="191">
        <v>12.377220197401314</v>
      </c>
      <c r="N80" s="87">
        <v>604.97203190399989</v>
      </c>
      <c r="O80" s="123">
        <v>19880.399710125341</v>
      </c>
      <c r="P80" s="119">
        <v>23394.34392870589</v>
      </c>
      <c r="Q80" s="120">
        <v>15189.644913449516</v>
      </c>
      <c r="R80" s="314">
        <v>35070.044623574853</v>
      </c>
      <c r="S80" s="315">
        <v>38583.988842155406</v>
      </c>
      <c r="U80" s="7" t="s">
        <v>2597</v>
      </c>
    </row>
    <row r="81" spans="1:21" ht="16.5" customHeight="1" thickBot="1">
      <c r="A81" s="47" t="s">
        <v>35</v>
      </c>
      <c r="B81" s="48">
        <f t="shared" si="3"/>
        <v>110</v>
      </c>
      <c r="C81" s="48" t="s">
        <v>3</v>
      </c>
      <c r="D81" s="48">
        <f t="shared" si="4"/>
        <v>200</v>
      </c>
      <c r="E81" s="48" t="s">
        <v>3</v>
      </c>
      <c r="F81" s="99">
        <f t="shared" si="5"/>
        <v>1600</v>
      </c>
      <c r="G81" s="48" t="s">
        <v>3</v>
      </c>
      <c r="H81" s="48">
        <v>2</v>
      </c>
      <c r="I81" s="49" t="s">
        <v>45</v>
      </c>
      <c r="J81" s="184">
        <v>110</v>
      </c>
      <c r="K81" s="75">
        <v>200</v>
      </c>
      <c r="L81" s="75">
        <v>1600</v>
      </c>
      <c r="M81" s="191">
        <v>12.738616807544471</v>
      </c>
      <c r="N81" s="87">
        <v>630.17919989999984</v>
      </c>
      <c r="O81" s="123">
        <v>20325.859706522817</v>
      </c>
      <c r="P81" s="119">
        <v>23950.090211801969</v>
      </c>
      <c r="Q81" s="120">
        <v>15548.063552177517</v>
      </c>
      <c r="R81" s="314">
        <v>35873.923258700335</v>
      </c>
      <c r="S81" s="315">
        <v>39498.153763979484</v>
      </c>
      <c r="U81" s="7" t="s">
        <v>2598</v>
      </c>
    </row>
    <row r="82" spans="1:21" ht="16.5" customHeight="1" thickBot="1">
      <c r="A82" s="50" t="s">
        <v>35</v>
      </c>
      <c r="B82" s="51">
        <f t="shared" si="3"/>
        <v>110</v>
      </c>
      <c r="C82" s="51" t="s">
        <v>3</v>
      </c>
      <c r="D82" s="51">
        <f t="shared" si="4"/>
        <v>200</v>
      </c>
      <c r="E82" s="51" t="s">
        <v>3</v>
      </c>
      <c r="F82" s="99">
        <f t="shared" si="5"/>
        <v>1650</v>
      </c>
      <c r="G82" s="51" t="s">
        <v>3</v>
      </c>
      <c r="H82" s="48">
        <v>2</v>
      </c>
      <c r="I82" s="49" t="s">
        <v>45</v>
      </c>
      <c r="J82" s="184">
        <v>110</v>
      </c>
      <c r="K82" s="75">
        <v>200</v>
      </c>
      <c r="L82" s="75">
        <v>1650</v>
      </c>
      <c r="M82" s="191">
        <v>13.117053417687632</v>
      </c>
      <c r="N82" s="87">
        <v>655.38636789600002</v>
      </c>
      <c r="O82" s="123">
        <v>20771.319702920293</v>
      </c>
      <c r="P82" s="119">
        <v>24505.836494898042</v>
      </c>
      <c r="Q82" s="120">
        <v>16137.063968688792</v>
      </c>
      <c r="R82" s="314">
        <v>36908.383671609088</v>
      </c>
      <c r="S82" s="315">
        <v>40642.900463586833</v>
      </c>
      <c r="U82" s="7" t="s">
        <v>2599</v>
      </c>
    </row>
    <row r="83" spans="1:21" ht="16.5" customHeight="1" thickBot="1">
      <c r="A83" s="50" t="s">
        <v>35</v>
      </c>
      <c r="B83" s="51">
        <f t="shared" si="3"/>
        <v>110</v>
      </c>
      <c r="C83" s="51" t="s">
        <v>3</v>
      </c>
      <c r="D83" s="51">
        <f t="shared" si="4"/>
        <v>200</v>
      </c>
      <c r="E83" s="51" t="s">
        <v>3</v>
      </c>
      <c r="F83" s="99">
        <f t="shared" si="5"/>
        <v>1700</v>
      </c>
      <c r="G83" s="51" t="s">
        <v>3</v>
      </c>
      <c r="H83" s="48">
        <v>2</v>
      </c>
      <c r="I83" s="49" t="s">
        <v>45</v>
      </c>
      <c r="J83" s="184">
        <v>110</v>
      </c>
      <c r="K83" s="75">
        <v>200</v>
      </c>
      <c r="L83" s="75">
        <v>1700</v>
      </c>
      <c r="M83" s="191">
        <v>13.478450027830789</v>
      </c>
      <c r="N83" s="87">
        <v>680.59353589199998</v>
      </c>
      <c r="O83" s="123">
        <v>21216.779558924405</v>
      </c>
      <c r="P83" s="119">
        <v>25061.582918387481</v>
      </c>
      <c r="Q83" s="120">
        <v>16495.48260741679</v>
      </c>
      <c r="R83" s="314">
        <v>37712.262166341199</v>
      </c>
      <c r="S83" s="315">
        <v>41557.065525804268</v>
      </c>
      <c r="U83" s="7" t="s">
        <v>2600</v>
      </c>
    </row>
    <row r="84" spans="1:21" ht="16.5" customHeight="1" thickBot="1">
      <c r="A84" s="50" t="s">
        <v>35</v>
      </c>
      <c r="B84" s="51">
        <f t="shared" si="3"/>
        <v>110</v>
      </c>
      <c r="C84" s="51" t="s">
        <v>3</v>
      </c>
      <c r="D84" s="51">
        <f t="shared" si="4"/>
        <v>200</v>
      </c>
      <c r="E84" s="51" t="s">
        <v>3</v>
      </c>
      <c r="F84" s="99">
        <f t="shared" si="5"/>
        <v>1750</v>
      </c>
      <c r="G84" s="51" t="s">
        <v>3</v>
      </c>
      <c r="H84" s="48">
        <v>2</v>
      </c>
      <c r="I84" s="49" t="s">
        <v>45</v>
      </c>
      <c r="J84" s="184">
        <v>110</v>
      </c>
      <c r="K84" s="75">
        <v>200</v>
      </c>
      <c r="L84" s="75">
        <v>1750</v>
      </c>
      <c r="M84" s="191">
        <v>13.856886637973947</v>
      </c>
      <c r="N84" s="87">
        <v>705.80070388800004</v>
      </c>
      <c r="O84" s="123">
        <v>21662.239555321878</v>
      </c>
      <c r="P84" s="119">
        <v>25617.329201483553</v>
      </c>
      <c r="Q84" s="120">
        <v>17084.483023928067</v>
      </c>
      <c r="R84" s="314">
        <v>38746.722579249945</v>
      </c>
      <c r="S84" s="315">
        <v>42701.812225411617</v>
      </c>
      <c r="U84" s="7" t="s">
        <v>2601</v>
      </c>
    </row>
    <row r="85" spans="1:21" ht="16.5" customHeight="1" thickBot="1">
      <c r="A85" s="50" t="s">
        <v>35</v>
      </c>
      <c r="B85" s="51">
        <f t="shared" si="3"/>
        <v>110</v>
      </c>
      <c r="C85" s="51" t="s">
        <v>3</v>
      </c>
      <c r="D85" s="51">
        <f t="shared" si="4"/>
        <v>200</v>
      </c>
      <c r="E85" s="51" t="s">
        <v>3</v>
      </c>
      <c r="F85" s="99">
        <f t="shared" si="5"/>
        <v>1800</v>
      </c>
      <c r="G85" s="51" t="s">
        <v>3</v>
      </c>
      <c r="H85" s="48">
        <v>2</v>
      </c>
      <c r="I85" s="49" t="s">
        <v>45</v>
      </c>
      <c r="J85" s="184">
        <v>110</v>
      </c>
      <c r="K85" s="75">
        <v>200</v>
      </c>
      <c r="L85" s="75">
        <v>1800</v>
      </c>
      <c r="M85" s="191">
        <v>14.218283248117105</v>
      </c>
      <c r="N85" s="87">
        <v>731.007871884</v>
      </c>
      <c r="O85" s="123">
        <v>22107.699551719354</v>
      </c>
      <c r="P85" s="119">
        <v>26173.075484579629</v>
      </c>
      <c r="Q85" s="120">
        <v>17442.90180304943</v>
      </c>
      <c r="R85" s="314">
        <v>39550.601354768783</v>
      </c>
      <c r="S85" s="315">
        <v>43615.977287629059</v>
      </c>
      <c r="U85" s="7" t="s">
        <v>2602</v>
      </c>
    </row>
    <row r="86" spans="1:21" ht="16.5" customHeight="1" thickBot="1">
      <c r="A86" s="50" t="s">
        <v>35</v>
      </c>
      <c r="B86" s="51">
        <f t="shared" si="3"/>
        <v>110</v>
      </c>
      <c r="C86" s="51" t="s">
        <v>3</v>
      </c>
      <c r="D86" s="51">
        <f t="shared" si="4"/>
        <v>200</v>
      </c>
      <c r="E86" s="51" t="s">
        <v>3</v>
      </c>
      <c r="F86" s="99">
        <f t="shared" si="5"/>
        <v>1850</v>
      </c>
      <c r="G86" s="51" t="s">
        <v>3</v>
      </c>
      <c r="H86" s="48">
        <v>2</v>
      </c>
      <c r="I86" s="49" t="s">
        <v>45</v>
      </c>
      <c r="J86" s="184">
        <v>110</v>
      </c>
      <c r="K86" s="75">
        <v>200</v>
      </c>
      <c r="L86" s="75">
        <v>1850</v>
      </c>
      <c r="M86" s="191">
        <v>14.596719858260263</v>
      </c>
      <c r="N86" s="87">
        <v>756.21503987999984</v>
      </c>
      <c r="O86" s="123">
        <v>22553.159407723469</v>
      </c>
      <c r="P86" s="119">
        <v>26728.821767675709</v>
      </c>
      <c r="Q86" s="120">
        <v>18031.902219560703</v>
      </c>
      <c r="R86" s="314">
        <v>40585.061627284173</v>
      </c>
      <c r="S86" s="315">
        <v>44760.723987236415</v>
      </c>
      <c r="U86" s="7" t="s">
        <v>2603</v>
      </c>
    </row>
    <row r="87" spans="1:21" ht="16.5" customHeight="1" thickBot="1">
      <c r="A87" s="50" t="s">
        <v>35</v>
      </c>
      <c r="B87" s="51">
        <f t="shared" si="3"/>
        <v>110</v>
      </c>
      <c r="C87" s="51" t="s">
        <v>3</v>
      </c>
      <c r="D87" s="51">
        <f t="shared" si="4"/>
        <v>200</v>
      </c>
      <c r="E87" s="51" t="s">
        <v>3</v>
      </c>
      <c r="F87" s="99">
        <f t="shared" si="5"/>
        <v>1900</v>
      </c>
      <c r="G87" s="51" t="s">
        <v>3</v>
      </c>
      <c r="H87" s="48">
        <v>2</v>
      </c>
      <c r="I87" s="49" t="s">
        <v>45</v>
      </c>
      <c r="J87" s="184">
        <v>110</v>
      </c>
      <c r="K87" s="75">
        <v>200</v>
      </c>
      <c r="L87" s="75">
        <v>1900</v>
      </c>
      <c r="M87" s="191">
        <v>14.958116468403418</v>
      </c>
      <c r="N87" s="87">
        <v>781.4222078759999</v>
      </c>
      <c r="O87" s="123">
        <v>22998.619404120942</v>
      </c>
      <c r="P87" s="119">
        <v>27284.568050771781</v>
      </c>
      <c r="Q87" s="120">
        <v>18390.320858288702</v>
      </c>
      <c r="R87" s="314">
        <v>41388.94026240964</v>
      </c>
      <c r="S87" s="315">
        <v>45674.888909060479</v>
      </c>
      <c r="U87" s="7" t="s">
        <v>2604</v>
      </c>
    </row>
    <row r="88" spans="1:21" ht="16.5" customHeight="1" thickBot="1">
      <c r="A88" s="50" t="s">
        <v>35</v>
      </c>
      <c r="B88" s="51">
        <f t="shared" si="3"/>
        <v>110</v>
      </c>
      <c r="C88" s="51" t="s">
        <v>3</v>
      </c>
      <c r="D88" s="51">
        <f t="shared" si="4"/>
        <v>200</v>
      </c>
      <c r="E88" s="51" t="s">
        <v>3</v>
      </c>
      <c r="F88" s="99">
        <f t="shared" si="5"/>
        <v>1950</v>
      </c>
      <c r="G88" s="51" t="s">
        <v>3</v>
      </c>
      <c r="H88" s="48">
        <v>2</v>
      </c>
      <c r="I88" s="49" t="s">
        <v>45</v>
      </c>
      <c r="J88" s="184">
        <v>110</v>
      </c>
      <c r="K88" s="75">
        <v>200</v>
      </c>
      <c r="L88" s="75">
        <v>1950</v>
      </c>
      <c r="M88" s="191">
        <v>15.358763078546581</v>
      </c>
      <c r="N88" s="87">
        <v>806.62937587199986</v>
      </c>
      <c r="O88" s="123">
        <v>23492.244712964744</v>
      </c>
      <c r="P88" s="119">
        <v>27886.466124709208</v>
      </c>
      <c r="Q88" s="120">
        <v>18748.739497016704</v>
      </c>
      <c r="R88" s="314">
        <v>42240.984209981449</v>
      </c>
      <c r="S88" s="315">
        <v>46635.205621725909</v>
      </c>
      <c r="U88" s="7" t="s">
        <v>2605</v>
      </c>
    </row>
    <row r="89" spans="1:21" ht="16.5" customHeight="1" thickBot="1">
      <c r="A89" s="50" t="s">
        <v>35</v>
      </c>
      <c r="B89" s="51">
        <f t="shared" si="3"/>
        <v>110</v>
      </c>
      <c r="C89" s="51" t="s">
        <v>3</v>
      </c>
      <c r="D89" s="51">
        <f t="shared" si="4"/>
        <v>200</v>
      </c>
      <c r="E89" s="51" t="s">
        <v>3</v>
      </c>
      <c r="F89" s="99">
        <f t="shared" si="5"/>
        <v>2000</v>
      </c>
      <c r="G89" s="51" t="s">
        <v>3</v>
      </c>
      <c r="H89" s="48">
        <v>2</v>
      </c>
      <c r="I89" s="49" t="s">
        <v>45</v>
      </c>
      <c r="J89" s="184">
        <v>110</v>
      </c>
      <c r="K89" s="75">
        <v>200</v>
      </c>
      <c r="L89" s="75">
        <v>2000</v>
      </c>
      <c r="M89" s="191">
        <v>15.828762088689738</v>
      </c>
      <c r="N89" s="87">
        <v>831.83654386799992</v>
      </c>
      <c r="O89" s="123">
        <v>23949.49129371754</v>
      </c>
      <c r="P89" s="119">
        <v>28754.893135324583</v>
      </c>
      <c r="Q89" s="120">
        <v>19337.740053921341</v>
      </c>
      <c r="R89" s="314">
        <v>43287.231347638881</v>
      </c>
      <c r="S89" s="315">
        <v>48092.633189245927</v>
      </c>
      <c r="U89" s="7" t="s">
        <v>2606</v>
      </c>
    </row>
    <row r="90" spans="1:21" ht="16.5" customHeight="1" thickBot="1">
      <c r="A90" s="50" t="s">
        <v>35</v>
      </c>
      <c r="B90" s="51">
        <f t="shared" si="3"/>
        <v>110</v>
      </c>
      <c r="C90" s="51" t="s">
        <v>3</v>
      </c>
      <c r="D90" s="51">
        <f t="shared" si="4"/>
        <v>200</v>
      </c>
      <c r="E90" s="51" t="s">
        <v>3</v>
      </c>
      <c r="F90" s="99">
        <f t="shared" si="5"/>
        <v>2050</v>
      </c>
      <c r="G90" s="51" t="s">
        <v>3</v>
      </c>
      <c r="H90" s="48">
        <v>2</v>
      </c>
      <c r="I90" s="49" t="s">
        <v>45</v>
      </c>
      <c r="J90" s="184">
        <v>110</v>
      </c>
      <c r="K90" s="75">
        <v>200</v>
      </c>
      <c r="L90" s="75">
        <v>2050</v>
      </c>
      <c r="M90" s="191">
        <v>16.190158698832892</v>
      </c>
      <c r="N90" s="87">
        <v>857.04371186399987</v>
      </c>
      <c r="O90" s="123">
        <v>24390.70874309363</v>
      </c>
      <c r="P90" s="119">
        <v>29310.639558814019</v>
      </c>
      <c r="Q90" s="120">
        <v>19696.15869264934</v>
      </c>
      <c r="R90" s="314">
        <v>44086.86743574297</v>
      </c>
      <c r="S90" s="315">
        <v>49006.798251463362</v>
      </c>
      <c r="U90" s="7" t="s">
        <v>2607</v>
      </c>
    </row>
    <row r="91" spans="1:21" ht="16.5" customHeight="1" thickBot="1">
      <c r="A91" s="47" t="s">
        <v>35</v>
      </c>
      <c r="B91" s="48">
        <f t="shared" si="3"/>
        <v>110</v>
      </c>
      <c r="C91" s="48" t="s">
        <v>3</v>
      </c>
      <c r="D91" s="48">
        <f t="shared" si="4"/>
        <v>200</v>
      </c>
      <c r="E91" s="48" t="s">
        <v>3</v>
      </c>
      <c r="F91" s="99">
        <f t="shared" si="5"/>
        <v>2100</v>
      </c>
      <c r="G91" s="48" t="s">
        <v>3</v>
      </c>
      <c r="H91" s="48">
        <v>2</v>
      </c>
      <c r="I91" s="49" t="s">
        <v>45</v>
      </c>
      <c r="J91" s="184">
        <v>110</v>
      </c>
      <c r="K91" s="75">
        <v>200</v>
      </c>
      <c r="L91" s="75">
        <v>2100</v>
      </c>
      <c r="M91" s="191">
        <v>16.56859530897605</v>
      </c>
      <c r="N91" s="87">
        <v>882.25087985999983</v>
      </c>
      <c r="O91" s="123">
        <v>24831.926192469717</v>
      </c>
      <c r="P91" s="119">
        <v>29866.385841910094</v>
      </c>
      <c r="Q91" s="120">
        <v>20285.159109160617</v>
      </c>
      <c r="R91" s="314">
        <v>45117.08530163033</v>
      </c>
      <c r="S91" s="315">
        <v>50151.544951070711</v>
      </c>
      <c r="U91" s="7" t="s">
        <v>2608</v>
      </c>
    </row>
    <row r="92" spans="1:21" ht="16.5" customHeight="1" thickBot="1">
      <c r="A92" s="50" t="s">
        <v>35</v>
      </c>
      <c r="B92" s="51">
        <f t="shared" si="3"/>
        <v>110</v>
      </c>
      <c r="C92" s="51" t="s">
        <v>3</v>
      </c>
      <c r="D92" s="51">
        <f t="shared" si="4"/>
        <v>200</v>
      </c>
      <c r="E92" s="51" t="s">
        <v>3</v>
      </c>
      <c r="F92" s="99">
        <f t="shared" si="5"/>
        <v>2150</v>
      </c>
      <c r="G92" s="51" t="s">
        <v>3</v>
      </c>
      <c r="H92" s="48">
        <v>2</v>
      </c>
      <c r="I92" s="49" t="s">
        <v>45</v>
      </c>
      <c r="J92" s="184">
        <v>110</v>
      </c>
      <c r="K92" s="75">
        <v>200</v>
      </c>
      <c r="L92" s="75">
        <v>2150</v>
      </c>
      <c r="M92" s="191">
        <v>16.92999191911921</v>
      </c>
      <c r="N92" s="87">
        <v>907.45804785599989</v>
      </c>
      <c r="O92" s="123">
        <v>25273.143641845807</v>
      </c>
      <c r="P92" s="119">
        <v>30422.132125006166</v>
      </c>
      <c r="Q92" s="120">
        <v>20643.577747888616</v>
      </c>
      <c r="R92" s="314">
        <v>45916.721389734419</v>
      </c>
      <c r="S92" s="315">
        <v>51065.709872894782</v>
      </c>
      <c r="U92" s="7" t="s">
        <v>2609</v>
      </c>
    </row>
    <row r="93" spans="1:21" ht="16.5" customHeight="1" thickBot="1">
      <c r="A93" s="50" t="s">
        <v>35</v>
      </c>
      <c r="B93" s="51">
        <f t="shared" si="3"/>
        <v>110</v>
      </c>
      <c r="C93" s="51" t="s">
        <v>3</v>
      </c>
      <c r="D93" s="51">
        <f t="shared" si="4"/>
        <v>200</v>
      </c>
      <c r="E93" s="51" t="s">
        <v>3</v>
      </c>
      <c r="F93" s="99">
        <f t="shared" si="5"/>
        <v>2200</v>
      </c>
      <c r="G93" s="51" t="s">
        <v>3</v>
      </c>
      <c r="H93" s="48">
        <v>2</v>
      </c>
      <c r="I93" s="49" t="s">
        <v>45</v>
      </c>
      <c r="J93" s="184">
        <v>110</v>
      </c>
      <c r="K93" s="75">
        <v>200</v>
      </c>
      <c r="L93" s="75">
        <v>2200</v>
      </c>
      <c r="M93" s="191">
        <v>17.308428529262368</v>
      </c>
      <c r="N93" s="87">
        <v>932.66521585199985</v>
      </c>
      <c r="O93" s="123">
        <v>25714.361091221894</v>
      </c>
      <c r="P93" s="119">
        <v>30977.878408102242</v>
      </c>
      <c r="Q93" s="120">
        <v>21232.578164399893</v>
      </c>
      <c r="R93" s="314">
        <v>46946.939255621786</v>
      </c>
      <c r="S93" s="315">
        <v>52210.456572502138</v>
      </c>
      <c r="U93" s="7" t="s">
        <v>2610</v>
      </c>
    </row>
    <row r="94" spans="1:21" ht="16.5" customHeight="1" thickBot="1">
      <c r="A94" s="50" t="s">
        <v>35</v>
      </c>
      <c r="B94" s="51">
        <f t="shared" si="3"/>
        <v>110</v>
      </c>
      <c r="C94" s="51" t="s">
        <v>3</v>
      </c>
      <c r="D94" s="51">
        <f t="shared" si="4"/>
        <v>200</v>
      </c>
      <c r="E94" s="51" t="s">
        <v>3</v>
      </c>
      <c r="F94" s="99">
        <f t="shared" si="5"/>
        <v>2250</v>
      </c>
      <c r="G94" s="51" t="s">
        <v>3</v>
      </c>
      <c r="H94" s="48">
        <v>2</v>
      </c>
      <c r="I94" s="49" t="s">
        <v>45</v>
      </c>
      <c r="J94" s="184">
        <v>110</v>
      </c>
      <c r="K94" s="75">
        <v>200</v>
      </c>
      <c r="L94" s="75">
        <v>2250</v>
      </c>
      <c r="M94" s="191">
        <v>17.669825139405525</v>
      </c>
      <c r="N94" s="87">
        <v>957.87238384799991</v>
      </c>
      <c r="O94" s="123">
        <v>26155.578680991341</v>
      </c>
      <c r="P94" s="119">
        <v>31533.624691198322</v>
      </c>
      <c r="Q94" s="120">
        <v>21590.996943521255</v>
      </c>
      <c r="R94" s="314">
        <v>47746.575624512596</v>
      </c>
      <c r="S94" s="315">
        <v>53124.621634719573</v>
      </c>
      <c r="U94" s="7" t="s">
        <v>2611</v>
      </c>
    </row>
    <row r="95" spans="1:21" ht="16.5" customHeight="1" thickBot="1">
      <c r="A95" s="50" t="s">
        <v>35</v>
      </c>
      <c r="B95" s="51">
        <f t="shared" si="3"/>
        <v>110</v>
      </c>
      <c r="C95" s="51" t="s">
        <v>3</v>
      </c>
      <c r="D95" s="51">
        <f t="shared" si="4"/>
        <v>200</v>
      </c>
      <c r="E95" s="51" t="s">
        <v>3</v>
      </c>
      <c r="F95" s="99">
        <f t="shared" si="5"/>
        <v>2300</v>
      </c>
      <c r="G95" s="51" t="s">
        <v>3</v>
      </c>
      <c r="H95" s="48">
        <v>2</v>
      </c>
      <c r="I95" s="49" t="s">
        <v>45</v>
      </c>
      <c r="J95" s="184">
        <v>110</v>
      </c>
      <c r="K95" s="75">
        <v>200</v>
      </c>
      <c r="L95" s="75">
        <v>2300</v>
      </c>
      <c r="M95" s="191">
        <v>18.031221749548685</v>
      </c>
      <c r="N95" s="87">
        <v>983.07955184399987</v>
      </c>
      <c r="O95" s="123">
        <v>26596.796130367431</v>
      </c>
      <c r="P95" s="119">
        <v>32089.370974294394</v>
      </c>
      <c r="Q95" s="120">
        <v>21949.415582249254</v>
      </c>
      <c r="R95" s="314">
        <v>48546.211712616685</v>
      </c>
      <c r="S95" s="315">
        <v>54038.786556543651</v>
      </c>
      <c r="U95" s="7" t="s">
        <v>2612</v>
      </c>
    </row>
    <row r="96" spans="1:21" ht="16.5" customHeight="1" thickBot="1">
      <c r="A96" s="50" t="s">
        <v>35</v>
      </c>
      <c r="B96" s="51">
        <f t="shared" si="3"/>
        <v>110</v>
      </c>
      <c r="C96" s="51" t="s">
        <v>3</v>
      </c>
      <c r="D96" s="51">
        <f t="shared" si="4"/>
        <v>200</v>
      </c>
      <c r="E96" s="51" t="s">
        <v>3</v>
      </c>
      <c r="F96" s="99">
        <f t="shared" si="5"/>
        <v>2350</v>
      </c>
      <c r="G96" s="51" t="s">
        <v>3</v>
      </c>
      <c r="H96" s="48">
        <v>2</v>
      </c>
      <c r="I96" s="49" t="s">
        <v>45</v>
      </c>
      <c r="J96" s="184">
        <v>110</v>
      </c>
      <c r="K96" s="75">
        <v>200</v>
      </c>
      <c r="L96" s="75">
        <v>2350</v>
      </c>
      <c r="M96" s="191">
        <v>18.409658359691843</v>
      </c>
      <c r="N96" s="87">
        <v>1008.2867198399998</v>
      </c>
      <c r="O96" s="123">
        <v>27038.013579743518</v>
      </c>
      <c r="P96" s="119">
        <v>32645.11725739047</v>
      </c>
      <c r="Q96" s="120">
        <v>22538.415998760531</v>
      </c>
      <c r="R96" s="314">
        <v>49576.429578504045</v>
      </c>
      <c r="S96" s="315">
        <v>55183.533256151</v>
      </c>
      <c r="U96" s="7" t="s">
        <v>2613</v>
      </c>
    </row>
    <row r="97" spans="1:21" ht="16.5" customHeight="1" thickBot="1">
      <c r="A97" s="50" t="s">
        <v>35</v>
      </c>
      <c r="B97" s="51">
        <f t="shared" si="3"/>
        <v>110</v>
      </c>
      <c r="C97" s="51" t="s">
        <v>3</v>
      </c>
      <c r="D97" s="51">
        <f t="shared" si="4"/>
        <v>200</v>
      </c>
      <c r="E97" s="51" t="s">
        <v>3</v>
      </c>
      <c r="F97" s="99">
        <f t="shared" si="5"/>
        <v>2400</v>
      </c>
      <c r="G97" s="51" t="s">
        <v>3</v>
      </c>
      <c r="H97" s="48">
        <v>2</v>
      </c>
      <c r="I97" s="49" t="s">
        <v>45</v>
      </c>
      <c r="J97" s="184">
        <v>110</v>
      </c>
      <c r="K97" s="75">
        <v>200</v>
      </c>
      <c r="L97" s="75">
        <v>2400</v>
      </c>
      <c r="M97" s="191">
        <v>18.771054969834999</v>
      </c>
      <c r="N97" s="87">
        <v>1033.4938878359999</v>
      </c>
      <c r="O97" s="123">
        <v>27479.231029119608</v>
      </c>
      <c r="P97" s="119">
        <v>33200.863540486542</v>
      </c>
      <c r="Q97" s="120">
        <v>22896.83463748853</v>
      </c>
      <c r="R97" s="314">
        <v>50376.065666608134</v>
      </c>
      <c r="S97" s="315">
        <v>56097.698177975071</v>
      </c>
      <c r="U97" s="7" t="s">
        <v>2614</v>
      </c>
    </row>
    <row r="98" spans="1:21" ht="16.5" customHeight="1" thickBot="1">
      <c r="A98" s="50" t="s">
        <v>35</v>
      </c>
      <c r="B98" s="51">
        <f t="shared" si="3"/>
        <v>110</v>
      </c>
      <c r="C98" s="51" t="s">
        <v>3</v>
      </c>
      <c r="D98" s="51">
        <f t="shared" si="4"/>
        <v>200</v>
      </c>
      <c r="E98" s="51" t="s">
        <v>3</v>
      </c>
      <c r="F98" s="99">
        <f t="shared" si="5"/>
        <v>2450</v>
      </c>
      <c r="G98" s="51" t="s">
        <v>3</v>
      </c>
      <c r="H98" s="48">
        <v>2</v>
      </c>
      <c r="I98" s="49" t="s">
        <v>45</v>
      </c>
      <c r="J98" s="184">
        <v>110</v>
      </c>
      <c r="K98" s="75">
        <v>200</v>
      </c>
      <c r="L98" s="75">
        <v>2450</v>
      </c>
      <c r="M98" s="191">
        <v>19.256517702278156</v>
      </c>
      <c r="N98" s="87">
        <v>1058.7010558319998</v>
      </c>
      <c r="O98" s="123">
        <v>28498.518569769531</v>
      </c>
      <c r="P98" s="119">
        <v>34249.922757194858</v>
      </c>
      <c r="Q98" s="120">
        <v>23485.83519439317</v>
      </c>
      <c r="R98" s="314">
        <v>51984.353764162704</v>
      </c>
      <c r="S98" s="315">
        <v>57735.757951588028</v>
      </c>
      <c r="U98" s="7" t="s">
        <v>2615</v>
      </c>
    </row>
    <row r="99" spans="1:21" ht="16.5" customHeight="1" thickBot="1">
      <c r="A99" s="50" t="s">
        <v>35</v>
      </c>
      <c r="B99" s="51">
        <f t="shared" si="3"/>
        <v>110</v>
      </c>
      <c r="C99" s="51" t="s">
        <v>3</v>
      </c>
      <c r="D99" s="51">
        <f t="shared" si="4"/>
        <v>200</v>
      </c>
      <c r="E99" s="51" t="s">
        <v>3</v>
      </c>
      <c r="F99" s="99">
        <f t="shared" si="5"/>
        <v>2500</v>
      </c>
      <c r="G99" s="51" t="s">
        <v>3</v>
      </c>
      <c r="H99" s="48">
        <v>2</v>
      </c>
      <c r="I99" s="49" t="s">
        <v>45</v>
      </c>
      <c r="J99" s="184">
        <v>110</v>
      </c>
      <c r="K99" s="75">
        <v>200</v>
      </c>
      <c r="L99" s="75">
        <v>2500</v>
      </c>
      <c r="M99" s="191">
        <v>19.61791431242132</v>
      </c>
      <c r="N99" s="87">
        <v>1083.9082238279998</v>
      </c>
      <c r="O99" s="123">
        <v>28939.736019145621</v>
      </c>
      <c r="P99" s="119">
        <v>34805.66904029093</v>
      </c>
      <c r="Q99" s="120">
        <v>23844.253833121165</v>
      </c>
      <c r="R99" s="314">
        <v>52783.989852266786</v>
      </c>
      <c r="S99" s="315">
        <v>58649.922873412099</v>
      </c>
      <c r="U99" s="7" t="s">
        <v>2616</v>
      </c>
    </row>
    <row r="100" spans="1:21" ht="16.5" customHeight="1" thickBot="1">
      <c r="A100" s="50" t="s">
        <v>35</v>
      </c>
      <c r="B100" s="51">
        <f t="shared" si="3"/>
        <v>110</v>
      </c>
      <c r="C100" s="51" t="s">
        <v>3</v>
      </c>
      <c r="D100" s="51">
        <f t="shared" si="4"/>
        <v>200</v>
      </c>
      <c r="E100" s="51" t="s">
        <v>3</v>
      </c>
      <c r="F100" s="99">
        <f t="shared" si="5"/>
        <v>2550</v>
      </c>
      <c r="G100" s="51" t="s">
        <v>3</v>
      </c>
      <c r="H100" s="48">
        <v>2</v>
      </c>
      <c r="I100" s="49" t="s">
        <v>45</v>
      </c>
      <c r="J100" s="184">
        <v>110</v>
      </c>
      <c r="K100" s="75">
        <v>200</v>
      </c>
      <c r="L100" s="75">
        <v>2550</v>
      </c>
      <c r="M100" s="191">
        <v>19.996350922564471</v>
      </c>
      <c r="N100" s="87">
        <v>1109.1153918239997</v>
      </c>
      <c r="O100" s="123">
        <v>29380.953608915068</v>
      </c>
      <c r="P100" s="119">
        <v>35361.415323387002</v>
      </c>
      <c r="Q100" s="120">
        <v>24433.254249632446</v>
      </c>
      <c r="R100" s="314">
        <v>53814.20785854751</v>
      </c>
      <c r="S100" s="315">
        <v>59794.669573019448</v>
      </c>
      <c r="U100" s="7" t="s">
        <v>2617</v>
      </c>
    </row>
    <row r="101" spans="1:21" ht="16.5" customHeight="1" thickBot="1">
      <c r="A101" s="47" t="s">
        <v>35</v>
      </c>
      <c r="B101" s="48">
        <f t="shared" si="3"/>
        <v>110</v>
      </c>
      <c r="C101" s="48" t="s">
        <v>3</v>
      </c>
      <c r="D101" s="48">
        <f t="shared" si="4"/>
        <v>200</v>
      </c>
      <c r="E101" s="48" t="s">
        <v>3</v>
      </c>
      <c r="F101" s="99">
        <f t="shared" si="5"/>
        <v>2600</v>
      </c>
      <c r="G101" s="48" t="s">
        <v>3</v>
      </c>
      <c r="H101" s="48">
        <v>2</v>
      </c>
      <c r="I101" s="49" t="s">
        <v>45</v>
      </c>
      <c r="J101" s="184">
        <v>110</v>
      </c>
      <c r="K101" s="75">
        <v>200</v>
      </c>
      <c r="L101" s="75">
        <v>2600</v>
      </c>
      <c r="M101" s="191">
        <v>20.357747532707634</v>
      </c>
      <c r="N101" s="87">
        <v>1134.3225598199999</v>
      </c>
      <c r="O101" s="123">
        <v>29822.171058291155</v>
      </c>
      <c r="P101" s="119">
        <v>35917.161606483081</v>
      </c>
      <c r="Q101" s="120">
        <v>24791.672888360441</v>
      </c>
      <c r="R101" s="314">
        <v>54613.843946651599</v>
      </c>
      <c r="S101" s="315">
        <v>60708.834494843526</v>
      </c>
      <c r="U101" s="7" t="s">
        <v>2618</v>
      </c>
    </row>
    <row r="102" spans="1:21" ht="16.5" customHeight="1" thickBot="1">
      <c r="A102" s="50" t="s">
        <v>35</v>
      </c>
      <c r="B102" s="51">
        <f t="shared" si="3"/>
        <v>110</v>
      </c>
      <c r="C102" s="51" t="s">
        <v>3</v>
      </c>
      <c r="D102" s="51">
        <f t="shared" si="4"/>
        <v>200</v>
      </c>
      <c r="E102" s="51" t="s">
        <v>3</v>
      </c>
      <c r="F102" s="99">
        <f t="shared" si="5"/>
        <v>2650</v>
      </c>
      <c r="G102" s="51" t="s">
        <v>3</v>
      </c>
      <c r="H102" s="48">
        <v>2</v>
      </c>
      <c r="I102" s="49" t="s">
        <v>45</v>
      </c>
      <c r="J102" s="184">
        <v>110</v>
      </c>
      <c r="K102" s="75">
        <v>200</v>
      </c>
      <c r="L102" s="75">
        <v>2650</v>
      </c>
      <c r="M102" s="191">
        <v>20.736184142850796</v>
      </c>
      <c r="N102" s="87">
        <v>1159.5297278159999</v>
      </c>
      <c r="O102" s="123">
        <v>30263.388507667245</v>
      </c>
      <c r="P102" s="119">
        <v>36472.907889579161</v>
      </c>
      <c r="Q102" s="120">
        <v>25380.673304871718</v>
      </c>
      <c r="R102" s="314">
        <v>55644.061812538959</v>
      </c>
      <c r="S102" s="315">
        <v>61853.581194450875</v>
      </c>
      <c r="U102" s="7" t="s">
        <v>2619</v>
      </c>
    </row>
    <row r="103" spans="1:21" ht="16.5" customHeight="1" thickBot="1">
      <c r="A103" s="50" t="s">
        <v>35</v>
      </c>
      <c r="B103" s="51">
        <f t="shared" si="3"/>
        <v>110</v>
      </c>
      <c r="C103" s="51" t="s">
        <v>3</v>
      </c>
      <c r="D103" s="51">
        <f t="shared" si="4"/>
        <v>200</v>
      </c>
      <c r="E103" s="51" t="s">
        <v>3</v>
      </c>
      <c r="F103" s="99">
        <f t="shared" si="5"/>
        <v>2700</v>
      </c>
      <c r="G103" s="51" t="s">
        <v>3</v>
      </c>
      <c r="H103" s="48">
        <v>2</v>
      </c>
      <c r="I103" s="49" t="s">
        <v>45</v>
      </c>
      <c r="J103" s="184">
        <v>110</v>
      </c>
      <c r="K103" s="75">
        <v>200</v>
      </c>
      <c r="L103" s="75">
        <v>2700</v>
      </c>
      <c r="M103" s="191">
        <v>21.136830752993951</v>
      </c>
      <c r="N103" s="87">
        <v>1184.7368958119998</v>
      </c>
      <c r="O103" s="123">
        <v>30752.312604374369</v>
      </c>
      <c r="P103" s="119">
        <v>37074.806103909941</v>
      </c>
      <c r="Q103" s="120">
        <v>25739.09208399308</v>
      </c>
      <c r="R103" s="314">
        <v>56491.404688367445</v>
      </c>
      <c r="S103" s="315">
        <v>62813.898187903018</v>
      </c>
      <c r="U103" s="7" t="s">
        <v>2620</v>
      </c>
    </row>
    <row r="104" spans="1:21" ht="16.5" customHeight="1" thickBot="1">
      <c r="A104" s="50" t="s">
        <v>35</v>
      </c>
      <c r="B104" s="51">
        <f t="shared" si="3"/>
        <v>110</v>
      </c>
      <c r="C104" s="51" t="s">
        <v>3</v>
      </c>
      <c r="D104" s="51">
        <f t="shared" si="4"/>
        <v>200</v>
      </c>
      <c r="E104" s="51" t="s">
        <v>3</v>
      </c>
      <c r="F104" s="99">
        <f t="shared" si="5"/>
        <v>2750</v>
      </c>
      <c r="G104" s="51" t="s">
        <v>3</v>
      </c>
      <c r="H104" s="48">
        <v>2</v>
      </c>
      <c r="I104" s="49" t="s">
        <v>45</v>
      </c>
      <c r="J104" s="184">
        <v>110</v>
      </c>
      <c r="K104" s="75">
        <v>200</v>
      </c>
      <c r="L104" s="75">
        <v>2750</v>
      </c>
      <c r="M104" s="191">
        <v>21.498227363137104</v>
      </c>
      <c r="N104" s="87">
        <v>1209.9440638079998</v>
      </c>
      <c r="O104" s="123">
        <v>31193.530053750459</v>
      </c>
      <c r="P104" s="119">
        <v>37630.552387006021</v>
      </c>
      <c r="Q104" s="120">
        <v>26097.510722721079</v>
      </c>
      <c r="R104" s="314">
        <v>57291.040776471535</v>
      </c>
      <c r="S104" s="315">
        <v>63728.063109727096</v>
      </c>
      <c r="U104" s="7" t="s">
        <v>2621</v>
      </c>
    </row>
    <row r="105" spans="1:21" ht="16.5" customHeight="1" thickBot="1">
      <c r="A105" s="50" t="s">
        <v>35</v>
      </c>
      <c r="B105" s="51">
        <f t="shared" si="3"/>
        <v>110</v>
      </c>
      <c r="C105" s="51" t="s">
        <v>3</v>
      </c>
      <c r="D105" s="51">
        <f t="shared" si="4"/>
        <v>200</v>
      </c>
      <c r="E105" s="51" t="s">
        <v>3</v>
      </c>
      <c r="F105" s="99">
        <f t="shared" si="5"/>
        <v>2800</v>
      </c>
      <c r="G105" s="51" t="s">
        <v>3</v>
      </c>
      <c r="H105" s="48">
        <v>2</v>
      </c>
      <c r="I105" s="49" t="s">
        <v>45</v>
      </c>
      <c r="J105" s="184">
        <v>110</v>
      </c>
      <c r="K105" s="75">
        <v>200</v>
      </c>
      <c r="L105" s="75">
        <v>2800</v>
      </c>
      <c r="M105" s="191">
        <v>21.876663973280266</v>
      </c>
      <c r="N105" s="87">
        <v>1235.1512318039997</v>
      </c>
      <c r="O105" s="123">
        <v>31634.747503126542</v>
      </c>
      <c r="P105" s="119">
        <v>38186.298670102093</v>
      </c>
      <c r="Q105" s="120">
        <v>26686.511139232356</v>
      </c>
      <c r="R105" s="314">
        <v>58321.258642358895</v>
      </c>
      <c r="S105" s="315">
        <v>64872.809809334445</v>
      </c>
      <c r="U105" s="7" t="s">
        <v>2622</v>
      </c>
    </row>
    <row r="106" spans="1:21" ht="16.5" customHeight="1" thickBot="1">
      <c r="A106" s="50" t="s">
        <v>35</v>
      </c>
      <c r="B106" s="51">
        <f t="shared" si="3"/>
        <v>110</v>
      </c>
      <c r="C106" s="51" t="s">
        <v>3</v>
      </c>
      <c r="D106" s="51">
        <f t="shared" si="4"/>
        <v>200</v>
      </c>
      <c r="E106" s="51" t="s">
        <v>3</v>
      </c>
      <c r="F106" s="99">
        <f t="shared" si="5"/>
        <v>2850</v>
      </c>
      <c r="G106" s="51" t="s">
        <v>3</v>
      </c>
      <c r="H106" s="48">
        <v>2</v>
      </c>
      <c r="I106" s="49" t="s">
        <v>45</v>
      </c>
      <c r="J106" s="184">
        <v>110</v>
      </c>
      <c r="K106" s="75">
        <v>200</v>
      </c>
      <c r="L106" s="75">
        <v>2850</v>
      </c>
      <c r="M106" s="191">
        <v>22.238060583423422</v>
      </c>
      <c r="N106" s="87">
        <v>1260.3583997999997</v>
      </c>
      <c r="O106" s="123">
        <v>32075.965092895993</v>
      </c>
      <c r="P106" s="119">
        <v>38742.044953198172</v>
      </c>
      <c r="Q106" s="120">
        <v>27044.929777960355</v>
      </c>
      <c r="R106" s="314">
        <v>59120.894870856348</v>
      </c>
      <c r="S106" s="315">
        <v>65786.974731158523</v>
      </c>
      <c r="U106" s="7" t="s">
        <v>2623</v>
      </c>
    </row>
    <row r="107" spans="1:21" ht="16.5" customHeight="1" thickBot="1">
      <c r="A107" s="50" t="s">
        <v>35</v>
      </c>
      <c r="B107" s="51">
        <f t="shared" si="3"/>
        <v>110</v>
      </c>
      <c r="C107" s="51" t="s">
        <v>3</v>
      </c>
      <c r="D107" s="51">
        <f t="shared" si="4"/>
        <v>200</v>
      </c>
      <c r="E107" s="51" t="s">
        <v>3</v>
      </c>
      <c r="F107" s="99">
        <f t="shared" si="5"/>
        <v>2900</v>
      </c>
      <c r="G107" s="51" t="s">
        <v>3</v>
      </c>
      <c r="H107" s="48">
        <v>2</v>
      </c>
      <c r="I107" s="49" t="s">
        <v>45</v>
      </c>
      <c r="J107" s="184">
        <v>110</v>
      </c>
      <c r="K107" s="75">
        <v>200</v>
      </c>
      <c r="L107" s="75">
        <v>2900</v>
      </c>
      <c r="M107" s="191">
        <v>22.61649719356658</v>
      </c>
      <c r="N107" s="87">
        <v>1285.5655677959996</v>
      </c>
      <c r="O107" s="123">
        <v>32517.182542272083</v>
      </c>
      <c r="P107" s="119">
        <v>39297.791236294244</v>
      </c>
      <c r="Q107" s="120">
        <v>27633.930194471632</v>
      </c>
      <c r="R107" s="314">
        <v>60151.112736743715</v>
      </c>
      <c r="S107" s="315">
        <v>66931.721430765872</v>
      </c>
      <c r="U107" s="7" t="s">
        <v>2624</v>
      </c>
    </row>
    <row r="108" spans="1:21" ht="16.5" customHeight="1" thickBot="1">
      <c r="A108" s="50" t="s">
        <v>35</v>
      </c>
      <c r="B108" s="51">
        <f t="shared" si="3"/>
        <v>110</v>
      </c>
      <c r="C108" s="51" t="s">
        <v>3</v>
      </c>
      <c r="D108" s="51">
        <f t="shared" si="4"/>
        <v>200</v>
      </c>
      <c r="E108" s="51" t="s">
        <v>3</v>
      </c>
      <c r="F108" s="99">
        <f t="shared" si="5"/>
        <v>2950</v>
      </c>
      <c r="G108" s="51" t="s">
        <v>3</v>
      </c>
      <c r="H108" s="48">
        <v>2</v>
      </c>
      <c r="I108" s="49" t="s">
        <v>45</v>
      </c>
      <c r="J108" s="184">
        <v>110</v>
      </c>
      <c r="K108" s="75">
        <v>200</v>
      </c>
      <c r="L108" s="75">
        <v>2950</v>
      </c>
      <c r="M108" s="191">
        <v>22.97789380370974</v>
      </c>
      <c r="N108" s="87">
        <v>1310.772735792</v>
      </c>
      <c r="O108" s="123">
        <v>32958.39999164817</v>
      </c>
      <c r="P108" s="119">
        <v>39853.537519390324</v>
      </c>
      <c r="Q108" s="120">
        <v>27992.348973592994</v>
      </c>
      <c r="R108" s="314">
        <v>60950.74896524116</v>
      </c>
      <c r="S108" s="315">
        <v>67845.886492983322</v>
      </c>
      <c r="U108" s="7" t="s">
        <v>2625</v>
      </c>
    </row>
    <row r="109" spans="1:21" ht="16.5" customHeight="1" thickBot="1">
      <c r="A109" s="52" t="s">
        <v>35</v>
      </c>
      <c r="B109" s="53">
        <f t="shared" si="3"/>
        <v>110</v>
      </c>
      <c r="C109" s="53" t="s">
        <v>3</v>
      </c>
      <c r="D109" s="53">
        <f t="shared" si="4"/>
        <v>200</v>
      </c>
      <c r="E109" s="53" t="s">
        <v>3</v>
      </c>
      <c r="F109" s="100">
        <f t="shared" si="5"/>
        <v>3000</v>
      </c>
      <c r="G109" s="53" t="s">
        <v>3</v>
      </c>
      <c r="H109" s="55">
        <v>2</v>
      </c>
      <c r="I109" s="54" t="s">
        <v>45</v>
      </c>
      <c r="J109" s="186">
        <v>110</v>
      </c>
      <c r="K109" s="147">
        <v>200</v>
      </c>
      <c r="L109" s="147">
        <v>3000</v>
      </c>
      <c r="M109" s="192">
        <v>23.356330413852895</v>
      </c>
      <c r="N109" s="148">
        <v>1335.979903788</v>
      </c>
      <c r="O109" s="149">
        <v>34621.781112121622</v>
      </c>
      <c r="P109" s="189">
        <v>40409.283802486396</v>
      </c>
      <c r="Q109" s="159">
        <v>28581.349390104271</v>
      </c>
      <c r="R109" s="316">
        <v>63203.130502225889</v>
      </c>
      <c r="S109" s="317">
        <v>68990.633192590671</v>
      </c>
      <c r="U109" s="7" t="s">
        <v>2626</v>
      </c>
    </row>
    <row r="110" spans="1:21" ht="22.5" customHeight="1" thickBot="1">
      <c r="A110" s="2580" t="s">
        <v>515</v>
      </c>
      <c r="B110" s="2581"/>
      <c r="C110" s="2581"/>
      <c r="D110" s="2581"/>
      <c r="E110" s="2581"/>
      <c r="F110" s="2581"/>
      <c r="G110" s="2581"/>
      <c r="H110" s="2581"/>
      <c r="I110" s="2581"/>
      <c r="J110" s="2581"/>
      <c r="K110" s="2581"/>
      <c r="L110" s="2581"/>
      <c r="M110" s="2581"/>
      <c r="N110" s="2581"/>
      <c r="O110" s="2581"/>
      <c r="P110" s="2581"/>
      <c r="Q110" s="2581"/>
      <c r="R110" s="2581"/>
      <c r="S110" s="2582"/>
      <c r="U110" s="7"/>
    </row>
    <row r="111" spans="1:21" ht="16.5" customHeight="1" thickBot="1">
      <c r="A111" s="2583" t="s">
        <v>134</v>
      </c>
      <c r="B111" s="2584"/>
      <c r="C111" s="2584"/>
      <c r="D111" s="2584"/>
      <c r="E111" s="2584"/>
      <c r="F111" s="2584"/>
      <c r="G111" s="2584"/>
      <c r="H111" s="2584"/>
      <c r="I111" s="2584"/>
      <c r="J111" s="2584"/>
      <c r="K111" s="2584"/>
      <c r="L111" s="2584"/>
      <c r="M111" s="2584"/>
      <c r="N111" s="2584"/>
      <c r="O111" s="2584"/>
      <c r="P111" s="2584"/>
      <c r="Q111" s="2584"/>
      <c r="R111" s="2584"/>
      <c r="S111" s="2585"/>
      <c r="U111" s="7"/>
    </row>
    <row r="112" spans="1:21" ht="16.5" thickBot="1">
      <c r="A112" s="47" t="s">
        <v>35</v>
      </c>
      <c r="B112" s="48">
        <f>J112</f>
        <v>110</v>
      </c>
      <c r="C112" s="48" t="s">
        <v>3</v>
      </c>
      <c r="D112" s="48">
        <f>K112</f>
        <v>260</v>
      </c>
      <c r="E112" s="48" t="s">
        <v>3</v>
      </c>
      <c r="F112" s="99">
        <f>L112</f>
        <v>600</v>
      </c>
      <c r="G112" s="48" t="s">
        <v>3</v>
      </c>
      <c r="H112" s="48">
        <v>2</v>
      </c>
      <c r="I112" s="49" t="s">
        <v>45</v>
      </c>
      <c r="J112" s="181">
        <v>110</v>
      </c>
      <c r="K112" s="143">
        <v>260</v>
      </c>
      <c r="L112" s="143">
        <v>600</v>
      </c>
      <c r="M112" s="190">
        <v>6.0517067900655253</v>
      </c>
      <c r="N112" s="144">
        <v>159.24957839158705</v>
      </c>
      <c r="O112" s="145">
        <v>10892.295062223415</v>
      </c>
      <c r="P112" s="188">
        <v>13314.487284919578</v>
      </c>
      <c r="Q112" s="169">
        <v>7536.0353334550891</v>
      </c>
      <c r="R112" s="312">
        <v>18428.330395678502</v>
      </c>
      <c r="S112" s="313">
        <v>20850.522618374667</v>
      </c>
      <c r="U112" s="7" t="s">
        <v>2627</v>
      </c>
    </row>
    <row r="113" spans="1:21" ht="16.5" thickBot="1">
      <c r="A113" s="50" t="s">
        <v>35</v>
      </c>
      <c r="B113" s="51">
        <f t="shared" ref="B113:B160" si="6">J113</f>
        <v>110</v>
      </c>
      <c r="C113" s="51" t="s">
        <v>3</v>
      </c>
      <c r="D113" s="51">
        <f t="shared" ref="D113:D160" si="7">K113</f>
        <v>260</v>
      </c>
      <c r="E113" s="51" t="s">
        <v>3</v>
      </c>
      <c r="F113" s="99">
        <f t="shared" ref="F113:F160" si="8">L113</f>
        <v>650</v>
      </c>
      <c r="G113" s="51" t="s">
        <v>3</v>
      </c>
      <c r="H113" s="48">
        <v>2</v>
      </c>
      <c r="I113" s="49" t="s">
        <v>45</v>
      </c>
      <c r="J113" s="184">
        <v>110</v>
      </c>
      <c r="K113" s="75">
        <v>260</v>
      </c>
      <c r="L113" s="75">
        <v>650</v>
      </c>
      <c r="M113" s="191">
        <v>6.4608839620507901</v>
      </c>
      <c r="N113" s="87">
        <v>191.09949406990447</v>
      </c>
      <c r="O113" s="123">
        <v>11344.661569695714</v>
      </c>
      <c r="P113" s="119">
        <v>13919.482436433751</v>
      </c>
      <c r="Q113" s="120">
        <v>7967.645945822027</v>
      </c>
      <c r="R113" s="314">
        <v>19312.307515517743</v>
      </c>
      <c r="S113" s="315">
        <v>21887.128382255778</v>
      </c>
      <c r="U113" s="7" t="s">
        <v>2628</v>
      </c>
    </row>
    <row r="114" spans="1:21" ht="16.5" thickBot="1">
      <c r="A114" s="50" t="s">
        <v>35</v>
      </c>
      <c r="B114" s="51">
        <f t="shared" si="6"/>
        <v>110</v>
      </c>
      <c r="C114" s="51" t="s">
        <v>3</v>
      </c>
      <c r="D114" s="51">
        <f t="shared" si="7"/>
        <v>260</v>
      </c>
      <c r="E114" s="51" t="s">
        <v>3</v>
      </c>
      <c r="F114" s="99">
        <f t="shared" si="8"/>
        <v>700</v>
      </c>
      <c r="G114" s="51" t="s">
        <v>3</v>
      </c>
      <c r="H114" s="48">
        <v>2</v>
      </c>
      <c r="I114" s="49" t="s">
        <v>45</v>
      </c>
      <c r="J114" s="184">
        <v>110</v>
      </c>
      <c r="K114" s="75">
        <v>260</v>
      </c>
      <c r="L114" s="75">
        <v>700</v>
      </c>
      <c r="M114" s="191">
        <v>6.887101134036052</v>
      </c>
      <c r="N114" s="87">
        <v>222.94940974822188</v>
      </c>
      <c r="O114" s="123">
        <v>11797.028077168015</v>
      </c>
      <c r="P114" s="119">
        <v>14524.477587947929</v>
      </c>
      <c r="Q114" s="120">
        <v>8629.8383359722393</v>
      </c>
      <c r="R114" s="314">
        <v>20426.866413140255</v>
      </c>
      <c r="S114" s="315">
        <v>23154.31592392017</v>
      </c>
      <c r="U114" s="7" t="s">
        <v>2629</v>
      </c>
    </row>
    <row r="115" spans="1:21" ht="16.5" thickBot="1">
      <c r="A115" s="50" t="s">
        <v>35</v>
      </c>
      <c r="B115" s="51">
        <f t="shared" si="6"/>
        <v>110</v>
      </c>
      <c r="C115" s="51" t="s">
        <v>3</v>
      </c>
      <c r="D115" s="51">
        <f t="shared" si="7"/>
        <v>260</v>
      </c>
      <c r="E115" s="51" t="s">
        <v>3</v>
      </c>
      <c r="F115" s="99">
        <f t="shared" si="8"/>
        <v>750</v>
      </c>
      <c r="G115" s="51" t="s">
        <v>3</v>
      </c>
      <c r="H115" s="48">
        <v>2</v>
      </c>
      <c r="I115" s="49" t="s">
        <v>45</v>
      </c>
      <c r="J115" s="184">
        <v>110</v>
      </c>
      <c r="K115" s="75">
        <v>260</v>
      </c>
      <c r="L115" s="75">
        <v>750</v>
      </c>
      <c r="M115" s="191">
        <v>7.296278306021315</v>
      </c>
      <c r="N115" s="87">
        <v>254.79932542653927</v>
      </c>
      <c r="O115" s="123">
        <v>12249.394725033679</v>
      </c>
      <c r="P115" s="119">
        <v>15129.472879855466</v>
      </c>
      <c r="Q115" s="120">
        <v>9061.4489483391772</v>
      </c>
      <c r="R115" s="314">
        <v>21310.843673372856</v>
      </c>
      <c r="S115" s="315">
        <v>24190.921828194645</v>
      </c>
      <c r="U115" s="7" t="s">
        <v>2630</v>
      </c>
    </row>
    <row r="116" spans="1:21" ht="16.5" thickBot="1">
      <c r="A116" s="50" t="s">
        <v>35</v>
      </c>
      <c r="B116" s="51">
        <f t="shared" si="6"/>
        <v>110</v>
      </c>
      <c r="C116" s="51" t="s">
        <v>3</v>
      </c>
      <c r="D116" s="51">
        <f t="shared" si="7"/>
        <v>260</v>
      </c>
      <c r="E116" s="51" t="s">
        <v>3</v>
      </c>
      <c r="F116" s="99">
        <f t="shared" si="8"/>
        <v>800</v>
      </c>
      <c r="G116" s="51" t="s">
        <v>3</v>
      </c>
      <c r="H116" s="48">
        <v>2</v>
      </c>
      <c r="I116" s="49" t="s">
        <v>45</v>
      </c>
      <c r="J116" s="184">
        <v>110</v>
      </c>
      <c r="K116" s="75">
        <v>260</v>
      </c>
      <c r="L116" s="75">
        <v>800</v>
      </c>
      <c r="M116" s="191">
        <v>7.7054554780065789</v>
      </c>
      <c r="N116" s="87">
        <v>286.64924110485669</v>
      </c>
      <c r="O116" s="123">
        <v>12701.761232505978</v>
      </c>
      <c r="P116" s="119">
        <v>15734.468031369641</v>
      </c>
      <c r="Q116" s="120">
        <v>9493.059560706115</v>
      </c>
      <c r="R116" s="314">
        <v>22194.820793212093</v>
      </c>
      <c r="S116" s="315">
        <v>25227.527592075756</v>
      </c>
      <c r="U116" s="7" t="s">
        <v>2631</v>
      </c>
    </row>
    <row r="117" spans="1:21" ht="16.5" thickBot="1">
      <c r="A117" s="50" t="s">
        <v>35</v>
      </c>
      <c r="B117" s="51">
        <f t="shared" si="6"/>
        <v>110</v>
      </c>
      <c r="C117" s="51" t="s">
        <v>3</v>
      </c>
      <c r="D117" s="51">
        <f t="shared" si="7"/>
        <v>260</v>
      </c>
      <c r="E117" s="51" t="s">
        <v>3</v>
      </c>
      <c r="F117" s="99">
        <f t="shared" si="8"/>
        <v>850</v>
      </c>
      <c r="G117" s="51" t="s">
        <v>3</v>
      </c>
      <c r="H117" s="48">
        <v>2</v>
      </c>
      <c r="I117" s="49" t="s">
        <v>45</v>
      </c>
      <c r="J117" s="184">
        <v>110</v>
      </c>
      <c r="K117" s="75">
        <v>260</v>
      </c>
      <c r="L117" s="75">
        <v>850</v>
      </c>
      <c r="M117" s="191">
        <v>8.1316726499918417</v>
      </c>
      <c r="N117" s="87">
        <v>318.4991567831741</v>
      </c>
      <c r="O117" s="123">
        <v>13154.127739978276</v>
      </c>
      <c r="P117" s="119">
        <v>16339.463182883816</v>
      </c>
      <c r="Q117" s="120">
        <v>10155.251950856327</v>
      </c>
      <c r="R117" s="314">
        <v>23309.379690834605</v>
      </c>
      <c r="S117" s="315">
        <v>26494.715133740145</v>
      </c>
      <c r="U117" s="7" t="s">
        <v>2632</v>
      </c>
    </row>
    <row r="118" spans="1:21" ht="16.5" thickBot="1">
      <c r="A118" s="50" t="s">
        <v>35</v>
      </c>
      <c r="B118" s="51">
        <f t="shared" si="6"/>
        <v>110</v>
      </c>
      <c r="C118" s="51" t="s">
        <v>3</v>
      </c>
      <c r="D118" s="51">
        <f t="shared" si="7"/>
        <v>260</v>
      </c>
      <c r="E118" s="51" t="s">
        <v>3</v>
      </c>
      <c r="F118" s="99">
        <f t="shared" si="8"/>
        <v>900</v>
      </c>
      <c r="G118" s="51" t="s">
        <v>3</v>
      </c>
      <c r="H118" s="48">
        <v>2</v>
      </c>
      <c r="I118" s="49" t="s">
        <v>45</v>
      </c>
      <c r="J118" s="184">
        <v>110</v>
      </c>
      <c r="K118" s="75">
        <v>260</v>
      </c>
      <c r="L118" s="75">
        <v>900</v>
      </c>
      <c r="M118" s="191">
        <v>8.5408498219771047</v>
      </c>
      <c r="N118" s="87">
        <v>350.34907246149152</v>
      </c>
      <c r="O118" s="123">
        <v>13606.494387843939</v>
      </c>
      <c r="P118" s="119">
        <v>16944.45833439799</v>
      </c>
      <c r="Q118" s="120">
        <v>10586.862563223265</v>
      </c>
      <c r="R118" s="314">
        <v>24193.356951067202</v>
      </c>
      <c r="S118" s="315">
        <v>27531.320897621255</v>
      </c>
      <c r="U118" s="7" t="s">
        <v>2633</v>
      </c>
    </row>
    <row r="119" spans="1:21" ht="16.5" thickBot="1">
      <c r="A119" s="50" t="s">
        <v>35</v>
      </c>
      <c r="B119" s="51">
        <f t="shared" si="6"/>
        <v>110</v>
      </c>
      <c r="C119" s="51" t="s">
        <v>3</v>
      </c>
      <c r="D119" s="51">
        <f t="shared" si="7"/>
        <v>260</v>
      </c>
      <c r="E119" s="51" t="s">
        <v>3</v>
      </c>
      <c r="F119" s="99">
        <f t="shared" si="8"/>
        <v>950</v>
      </c>
      <c r="G119" s="51" t="s">
        <v>3</v>
      </c>
      <c r="H119" s="48">
        <v>2</v>
      </c>
      <c r="I119" s="49" t="s">
        <v>45</v>
      </c>
      <c r="J119" s="184">
        <v>110</v>
      </c>
      <c r="K119" s="75">
        <v>260</v>
      </c>
      <c r="L119" s="75">
        <v>950</v>
      </c>
      <c r="M119" s="191">
        <v>8.9670669939623693</v>
      </c>
      <c r="N119" s="87">
        <v>382.19898813980893</v>
      </c>
      <c r="O119" s="123">
        <v>14058.86089531624</v>
      </c>
      <c r="P119" s="119">
        <v>17549.453626305531</v>
      </c>
      <c r="Q119" s="120">
        <v>11249.054953373477</v>
      </c>
      <c r="R119" s="314">
        <v>25307.915848689718</v>
      </c>
      <c r="S119" s="315">
        <v>28798.508579679008</v>
      </c>
      <c r="U119" s="7" t="s">
        <v>2634</v>
      </c>
    </row>
    <row r="120" spans="1:21" ht="16.5" thickBot="1">
      <c r="A120" s="50" t="s">
        <v>35</v>
      </c>
      <c r="B120" s="51">
        <f t="shared" si="6"/>
        <v>110</v>
      </c>
      <c r="C120" s="51" t="s">
        <v>3</v>
      </c>
      <c r="D120" s="51">
        <f t="shared" si="7"/>
        <v>260</v>
      </c>
      <c r="E120" s="51" t="s">
        <v>3</v>
      </c>
      <c r="F120" s="99">
        <f t="shared" si="8"/>
        <v>1000</v>
      </c>
      <c r="G120" s="51" t="s">
        <v>3</v>
      </c>
      <c r="H120" s="48">
        <v>2</v>
      </c>
      <c r="I120" s="49" t="s">
        <v>45</v>
      </c>
      <c r="J120" s="184">
        <v>110</v>
      </c>
      <c r="K120" s="75">
        <v>260</v>
      </c>
      <c r="L120" s="75">
        <v>1000</v>
      </c>
      <c r="M120" s="191">
        <v>9.3762441659476323</v>
      </c>
      <c r="N120" s="87">
        <v>414.04890381812635</v>
      </c>
      <c r="O120" s="123">
        <v>14511.22740278854</v>
      </c>
      <c r="P120" s="119">
        <v>18154.448777819704</v>
      </c>
      <c r="Q120" s="120">
        <v>11680.665565740415</v>
      </c>
      <c r="R120" s="314">
        <v>26191.892968528955</v>
      </c>
      <c r="S120" s="315">
        <v>29835.114343560119</v>
      </c>
      <c r="U120" s="7" t="s">
        <v>2635</v>
      </c>
    </row>
    <row r="121" spans="1:21" ht="16.5" thickBot="1">
      <c r="A121" s="50" t="s">
        <v>35</v>
      </c>
      <c r="B121" s="51">
        <f t="shared" si="6"/>
        <v>110</v>
      </c>
      <c r="C121" s="51" t="s">
        <v>3</v>
      </c>
      <c r="D121" s="51">
        <f t="shared" si="7"/>
        <v>260</v>
      </c>
      <c r="E121" s="51" t="s">
        <v>3</v>
      </c>
      <c r="F121" s="99">
        <f t="shared" si="8"/>
        <v>1050</v>
      </c>
      <c r="G121" s="51" t="s">
        <v>3</v>
      </c>
      <c r="H121" s="48">
        <v>2</v>
      </c>
      <c r="I121" s="49" t="s">
        <v>45</v>
      </c>
      <c r="J121" s="184">
        <v>110</v>
      </c>
      <c r="K121" s="75">
        <v>260</v>
      </c>
      <c r="L121" s="75">
        <v>1050</v>
      </c>
      <c r="M121" s="191">
        <v>9.8024613379328951</v>
      </c>
      <c r="N121" s="87">
        <v>445.89881949644376</v>
      </c>
      <c r="O121" s="123">
        <v>14963.594050654203</v>
      </c>
      <c r="P121" s="119">
        <v>18759.443929333876</v>
      </c>
      <c r="Q121" s="120">
        <v>12342.857815497266</v>
      </c>
      <c r="R121" s="314">
        <v>27306.451866151467</v>
      </c>
      <c r="S121" s="315">
        <v>31102.301744831144</v>
      </c>
      <c r="U121" s="7" t="s">
        <v>2636</v>
      </c>
    </row>
    <row r="122" spans="1:21" ht="16.5" thickBot="1">
      <c r="A122" s="47" t="s">
        <v>35</v>
      </c>
      <c r="B122" s="48">
        <f t="shared" si="6"/>
        <v>110</v>
      </c>
      <c r="C122" s="48" t="s">
        <v>3</v>
      </c>
      <c r="D122" s="48">
        <f t="shared" si="7"/>
        <v>260</v>
      </c>
      <c r="E122" s="48" t="s">
        <v>3</v>
      </c>
      <c r="F122" s="99">
        <f t="shared" si="8"/>
        <v>1100</v>
      </c>
      <c r="G122" s="48" t="s">
        <v>3</v>
      </c>
      <c r="H122" s="48">
        <v>2</v>
      </c>
      <c r="I122" s="49" t="s">
        <v>45</v>
      </c>
      <c r="J122" s="184">
        <v>110</v>
      </c>
      <c r="K122" s="75">
        <v>260</v>
      </c>
      <c r="L122" s="75">
        <v>1100</v>
      </c>
      <c r="M122" s="191">
        <v>10.21163850991816</v>
      </c>
      <c r="N122" s="87">
        <v>477.74873517476107</v>
      </c>
      <c r="O122" s="123">
        <v>15415.960558126504</v>
      </c>
      <c r="P122" s="119">
        <v>19364.439080848053</v>
      </c>
      <c r="Q122" s="120">
        <v>12774.468427864203</v>
      </c>
      <c r="R122" s="314">
        <v>28190.428985990708</v>
      </c>
      <c r="S122" s="315">
        <v>32138.907508712255</v>
      </c>
      <c r="U122" s="7" t="s">
        <v>2637</v>
      </c>
    </row>
    <row r="123" spans="1:21" ht="16.5" thickBot="1">
      <c r="A123" s="50" t="s">
        <v>35</v>
      </c>
      <c r="B123" s="51">
        <f t="shared" si="6"/>
        <v>110</v>
      </c>
      <c r="C123" s="51" t="s">
        <v>3</v>
      </c>
      <c r="D123" s="51">
        <f t="shared" si="7"/>
        <v>260</v>
      </c>
      <c r="E123" s="51" t="s">
        <v>3</v>
      </c>
      <c r="F123" s="99">
        <f t="shared" si="8"/>
        <v>1150</v>
      </c>
      <c r="G123" s="51" t="s">
        <v>3</v>
      </c>
      <c r="H123" s="48">
        <v>2</v>
      </c>
      <c r="I123" s="49" t="s">
        <v>45</v>
      </c>
      <c r="J123" s="184">
        <v>110</v>
      </c>
      <c r="K123" s="75">
        <v>260</v>
      </c>
      <c r="L123" s="75">
        <v>1150</v>
      </c>
      <c r="M123" s="191">
        <v>10.620815681903421</v>
      </c>
      <c r="N123" s="87">
        <v>509.59865085307854</v>
      </c>
      <c r="O123" s="123">
        <v>15868.327065598804</v>
      </c>
      <c r="P123" s="119">
        <v>19969.434372755593</v>
      </c>
      <c r="Q123" s="120">
        <v>13206.07904023114</v>
      </c>
      <c r="R123" s="314">
        <v>29074.406105829941</v>
      </c>
      <c r="S123" s="315">
        <v>33175.513412986737</v>
      </c>
      <c r="U123" s="7" t="s">
        <v>2638</v>
      </c>
    </row>
    <row r="124" spans="1:21" ht="16.5" thickBot="1">
      <c r="A124" s="50" t="s">
        <v>35</v>
      </c>
      <c r="B124" s="51">
        <f t="shared" si="6"/>
        <v>110</v>
      </c>
      <c r="C124" s="51" t="s">
        <v>3</v>
      </c>
      <c r="D124" s="51">
        <f t="shared" si="7"/>
        <v>260</v>
      </c>
      <c r="E124" s="51" t="s">
        <v>3</v>
      </c>
      <c r="F124" s="99">
        <f t="shared" si="8"/>
        <v>1200</v>
      </c>
      <c r="G124" s="51" t="s">
        <v>3</v>
      </c>
      <c r="H124" s="48">
        <v>2</v>
      </c>
      <c r="I124" s="49" t="s">
        <v>45</v>
      </c>
      <c r="J124" s="184">
        <v>110</v>
      </c>
      <c r="K124" s="75">
        <v>260</v>
      </c>
      <c r="L124" s="75">
        <v>1200</v>
      </c>
      <c r="M124" s="191">
        <v>11.086282853888683</v>
      </c>
      <c r="N124" s="87">
        <v>541.44856653139595</v>
      </c>
      <c r="O124" s="123">
        <v>16366.565419547627</v>
      </c>
      <c r="P124" s="119">
        <v>20620.581315111118</v>
      </c>
      <c r="Q124" s="120">
        <v>13868.271430381354</v>
      </c>
      <c r="R124" s="314">
        <v>30234.836849928979</v>
      </c>
      <c r="S124" s="315">
        <v>34488.85274549247</v>
      </c>
      <c r="U124" s="7" t="s">
        <v>2639</v>
      </c>
    </row>
    <row r="125" spans="1:21" ht="16.5" thickBot="1">
      <c r="A125" s="50" t="s">
        <v>35</v>
      </c>
      <c r="B125" s="51">
        <f t="shared" si="6"/>
        <v>110</v>
      </c>
      <c r="C125" s="51" t="s">
        <v>3</v>
      </c>
      <c r="D125" s="51">
        <f t="shared" si="7"/>
        <v>260</v>
      </c>
      <c r="E125" s="51" t="s">
        <v>3</v>
      </c>
      <c r="F125" s="99">
        <f t="shared" si="8"/>
        <v>1250</v>
      </c>
      <c r="G125" s="51" t="s">
        <v>3</v>
      </c>
      <c r="H125" s="48">
        <v>2</v>
      </c>
      <c r="I125" s="49" t="s">
        <v>45</v>
      </c>
      <c r="J125" s="184">
        <v>110</v>
      </c>
      <c r="K125" s="75">
        <v>260</v>
      </c>
      <c r="L125" s="75">
        <v>1250</v>
      </c>
      <c r="M125" s="191">
        <v>11.495460025873946</v>
      </c>
      <c r="N125" s="87">
        <v>573.29848220971337</v>
      </c>
      <c r="O125" s="123">
        <v>16818.93192701993</v>
      </c>
      <c r="P125" s="119">
        <v>21225.576607018655</v>
      </c>
      <c r="Q125" s="120">
        <v>14299.882042748291</v>
      </c>
      <c r="R125" s="314">
        <v>31118.81396976822</v>
      </c>
      <c r="S125" s="315">
        <v>35525.458649766944</v>
      </c>
      <c r="U125" s="7" t="s">
        <v>2640</v>
      </c>
    </row>
    <row r="126" spans="1:21" ht="16.5" thickBot="1">
      <c r="A126" s="50" t="s">
        <v>35</v>
      </c>
      <c r="B126" s="51">
        <f t="shared" si="6"/>
        <v>110</v>
      </c>
      <c r="C126" s="51" t="s">
        <v>3</v>
      </c>
      <c r="D126" s="51">
        <f t="shared" si="7"/>
        <v>260</v>
      </c>
      <c r="E126" s="51" t="s">
        <v>3</v>
      </c>
      <c r="F126" s="99">
        <f t="shared" si="8"/>
        <v>1300</v>
      </c>
      <c r="G126" s="51" t="s">
        <v>3</v>
      </c>
      <c r="H126" s="48">
        <v>2</v>
      </c>
      <c r="I126" s="49" t="s">
        <v>45</v>
      </c>
      <c r="J126" s="184">
        <v>110</v>
      </c>
      <c r="K126" s="75">
        <v>260</v>
      </c>
      <c r="L126" s="75">
        <v>1300</v>
      </c>
      <c r="M126" s="191">
        <v>11.921677197859211</v>
      </c>
      <c r="N126" s="87">
        <v>605.14839788803079</v>
      </c>
      <c r="O126" s="123">
        <v>17271.29843449223</v>
      </c>
      <c r="P126" s="119">
        <v>21830.571758532828</v>
      </c>
      <c r="Q126" s="120">
        <v>14962.074432898504</v>
      </c>
      <c r="R126" s="314">
        <v>32233.372867390732</v>
      </c>
      <c r="S126" s="315">
        <v>36792.646191431333</v>
      </c>
      <c r="U126" s="7" t="s">
        <v>2641</v>
      </c>
    </row>
    <row r="127" spans="1:21" ht="16.5" thickBot="1">
      <c r="A127" s="50" t="s">
        <v>35</v>
      </c>
      <c r="B127" s="51">
        <f t="shared" si="6"/>
        <v>110</v>
      </c>
      <c r="C127" s="51" t="s">
        <v>3</v>
      </c>
      <c r="D127" s="51">
        <f t="shared" si="7"/>
        <v>260</v>
      </c>
      <c r="E127" s="51" t="s">
        <v>3</v>
      </c>
      <c r="F127" s="99">
        <f t="shared" si="8"/>
        <v>1350</v>
      </c>
      <c r="G127" s="51" t="s">
        <v>3</v>
      </c>
      <c r="H127" s="48">
        <v>2</v>
      </c>
      <c r="I127" s="49" t="s">
        <v>45</v>
      </c>
      <c r="J127" s="184">
        <v>110</v>
      </c>
      <c r="K127" s="75">
        <v>260</v>
      </c>
      <c r="L127" s="75">
        <v>1350</v>
      </c>
      <c r="M127" s="191">
        <v>12.330854369844475</v>
      </c>
      <c r="N127" s="87">
        <v>636.9983135663482</v>
      </c>
      <c r="O127" s="123">
        <v>17723.665082357889</v>
      </c>
      <c r="P127" s="119">
        <v>22435.566910047004</v>
      </c>
      <c r="Q127" s="120">
        <v>15393.685045265442</v>
      </c>
      <c r="R127" s="314">
        <v>33117.350127623329</v>
      </c>
      <c r="S127" s="315">
        <v>37829.251955312444</v>
      </c>
      <c r="U127" s="7" t="s">
        <v>2642</v>
      </c>
    </row>
    <row r="128" spans="1:21" ht="16.5" thickBot="1">
      <c r="A128" s="50" t="s">
        <v>35</v>
      </c>
      <c r="B128" s="51">
        <f t="shared" si="6"/>
        <v>110</v>
      </c>
      <c r="C128" s="51" t="s">
        <v>3</v>
      </c>
      <c r="D128" s="51">
        <f t="shared" si="7"/>
        <v>260</v>
      </c>
      <c r="E128" s="51" t="s">
        <v>3</v>
      </c>
      <c r="F128" s="99">
        <f t="shared" si="8"/>
        <v>1400</v>
      </c>
      <c r="G128" s="51" t="s">
        <v>3</v>
      </c>
      <c r="H128" s="48">
        <v>2</v>
      </c>
      <c r="I128" s="49" t="s">
        <v>45</v>
      </c>
      <c r="J128" s="184">
        <v>110</v>
      </c>
      <c r="K128" s="75">
        <v>260</v>
      </c>
      <c r="L128" s="75">
        <v>1400</v>
      </c>
      <c r="M128" s="191">
        <v>12.757071541829736</v>
      </c>
      <c r="N128" s="87">
        <v>668.8482292446655</v>
      </c>
      <c r="O128" s="123">
        <v>18176.031589830192</v>
      </c>
      <c r="P128" s="119">
        <v>23040.562061561181</v>
      </c>
      <c r="Q128" s="120">
        <v>16055.877435415654</v>
      </c>
      <c r="R128" s="314">
        <v>34231.909025245848</v>
      </c>
      <c r="S128" s="315">
        <v>39096.439496976833</v>
      </c>
      <c r="U128" s="7" t="s">
        <v>2643</v>
      </c>
    </row>
    <row r="129" spans="1:21" ht="16.5" thickBot="1">
      <c r="A129" s="50" t="s">
        <v>35</v>
      </c>
      <c r="B129" s="51">
        <f t="shared" si="6"/>
        <v>110</v>
      </c>
      <c r="C129" s="51" t="s">
        <v>3</v>
      </c>
      <c r="D129" s="51">
        <f t="shared" si="7"/>
        <v>260</v>
      </c>
      <c r="E129" s="51" t="s">
        <v>3</v>
      </c>
      <c r="F129" s="99">
        <f t="shared" si="8"/>
        <v>1450</v>
      </c>
      <c r="G129" s="51" t="s">
        <v>3</v>
      </c>
      <c r="H129" s="48">
        <v>2</v>
      </c>
      <c r="I129" s="49" t="s">
        <v>45</v>
      </c>
      <c r="J129" s="184">
        <v>110</v>
      </c>
      <c r="K129" s="75">
        <v>260</v>
      </c>
      <c r="L129" s="75">
        <v>1450</v>
      </c>
      <c r="M129" s="191">
        <v>13.166248713815</v>
      </c>
      <c r="N129" s="87">
        <v>700.69814492298303</v>
      </c>
      <c r="O129" s="123">
        <v>18628.398097302492</v>
      </c>
      <c r="P129" s="119">
        <v>23645.557353468717</v>
      </c>
      <c r="Q129" s="120">
        <v>16487.48804778259</v>
      </c>
      <c r="R129" s="314">
        <v>35115.886145085082</v>
      </c>
      <c r="S129" s="315">
        <v>40133.045401251307</v>
      </c>
      <c r="U129" s="7" t="s">
        <v>2644</v>
      </c>
    </row>
    <row r="130" spans="1:21" ht="16.5" thickBot="1">
      <c r="A130" s="50" t="s">
        <v>35</v>
      </c>
      <c r="B130" s="51">
        <f t="shared" si="6"/>
        <v>110</v>
      </c>
      <c r="C130" s="51" t="s">
        <v>3</v>
      </c>
      <c r="D130" s="51">
        <f t="shared" si="7"/>
        <v>260</v>
      </c>
      <c r="E130" s="51" t="s">
        <v>3</v>
      </c>
      <c r="F130" s="99">
        <f t="shared" si="8"/>
        <v>1500</v>
      </c>
      <c r="G130" s="51" t="s">
        <v>3</v>
      </c>
      <c r="H130" s="48">
        <v>2</v>
      </c>
      <c r="I130" s="49" t="s">
        <v>45</v>
      </c>
      <c r="J130" s="184">
        <v>110</v>
      </c>
      <c r="K130" s="75">
        <v>260</v>
      </c>
      <c r="L130" s="75">
        <v>1500</v>
      </c>
      <c r="M130" s="191">
        <v>13.735568229100263</v>
      </c>
      <c r="N130" s="87">
        <v>732.54806060130034</v>
      </c>
      <c r="O130" s="123">
        <v>19692.102166833265</v>
      </c>
      <c r="P130" s="119">
        <v>24824.851911326707</v>
      </c>
      <c r="Q130" s="120">
        <v>17149.680437932802</v>
      </c>
      <c r="R130" s="314">
        <v>36841.782604766064</v>
      </c>
      <c r="S130" s="315">
        <v>41974.532349259505</v>
      </c>
      <c r="U130" s="7" t="s">
        <v>2645</v>
      </c>
    </row>
    <row r="131" spans="1:21" ht="16.5" thickBot="1">
      <c r="A131" s="50" t="s">
        <v>35</v>
      </c>
      <c r="B131" s="51">
        <f t="shared" si="6"/>
        <v>110</v>
      </c>
      <c r="C131" s="51" t="s">
        <v>3</v>
      </c>
      <c r="D131" s="51">
        <f t="shared" si="7"/>
        <v>260</v>
      </c>
      <c r="E131" s="51" t="s">
        <v>3</v>
      </c>
      <c r="F131" s="99">
        <f t="shared" si="8"/>
        <v>1550</v>
      </c>
      <c r="G131" s="51" t="s">
        <v>3</v>
      </c>
      <c r="H131" s="48">
        <v>2</v>
      </c>
      <c r="I131" s="49" t="s">
        <v>45</v>
      </c>
      <c r="J131" s="184">
        <v>110</v>
      </c>
      <c r="K131" s="75">
        <v>260</v>
      </c>
      <c r="L131" s="75">
        <v>1550</v>
      </c>
      <c r="M131" s="191">
        <v>14.144745401085526</v>
      </c>
      <c r="N131" s="87">
        <v>764.39797627961786</v>
      </c>
      <c r="O131" s="123">
        <v>20144.468674305568</v>
      </c>
      <c r="P131" s="119">
        <v>25429.847203234243</v>
      </c>
      <c r="Q131" s="120">
        <v>17581.29105029974</v>
      </c>
      <c r="R131" s="314">
        <v>37725.759724605305</v>
      </c>
      <c r="S131" s="315">
        <v>43011.13825353398</v>
      </c>
      <c r="U131" s="7" t="s">
        <v>2646</v>
      </c>
    </row>
    <row r="132" spans="1:21" ht="16.5" thickBot="1">
      <c r="A132" s="47" t="s">
        <v>35</v>
      </c>
      <c r="B132" s="48">
        <f t="shared" si="6"/>
        <v>110</v>
      </c>
      <c r="C132" s="48" t="s">
        <v>3</v>
      </c>
      <c r="D132" s="48">
        <f t="shared" si="7"/>
        <v>260</v>
      </c>
      <c r="E132" s="48" t="s">
        <v>3</v>
      </c>
      <c r="F132" s="99">
        <f t="shared" si="8"/>
        <v>1600</v>
      </c>
      <c r="G132" s="48" t="s">
        <v>3</v>
      </c>
      <c r="H132" s="48">
        <v>2</v>
      </c>
      <c r="I132" s="49" t="s">
        <v>45</v>
      </c>
      <c r="J132" s="184">
        <v>110</v>
      </c>
      <c r="K132" s="75">
        <v>260</v>
      </c>
      <c r="L132" s="75">
        <v>1600</v>
      </c>
      <c r="M132" s="191">
        <v>14.553922573070789</v>
      </c>
      <c r="N132" s="87">
        <v>796.24789195793517</v>
      </c>
      <c r="O132" s="123">
        <v>20596.835181777868</v>
      </c>
      <c r="P132" s="119">
        <v>26034.842354748416</v>
      </c>
      <c r="Q132" s="120">
        <v>18012.901662666678</v>
      </c>
      <c r="R132" s="314">
        <v>38609.736844444546</v>
      </c>
      <c r="S132" s="315">
        <v>44047.744017415098</v>
      </c>
      <c r="U132" s="7" t="s">
        <v>2647</v>
      </c>
    </row>
    <row r="133" spans="1:21" ht="16.5" thickBot="1">
      <c r="A133" s="50" t="s">
        <v>35</v>
      </c>
      <c r="B133" s="51">
        <f t="shared" si="6"/>
        <v>110</v>
      </c>
      <c r="C133" s="51" t="s">
        <v>3</v>
      </c>
      <c r="D133" s="51">
        <f t="shared" si="7"/>
        <v>260</v>
      </c>
      <c r="E133" s="51" t="s">
        <v>3</v>
      </c>
      <c r="F133" s="99">
        <f t="shared" si="8"/>
        <v>1650</v>
      </c>
      <c r="G133" s="51" t="s">
        <v>3</v>
      </c>
      <c r="H133" s="48">
        <v>2</v>
      </c>
      <c r="I133" s="49" t="s">
        <v>45</v>
      </c>
      <c r="J133" s="184">
        <v>110</v>
      </c>
      <c r="K133" s="75">
        <v>260</v>
      </c>
      <c r="L133" s="75">
        <v>1650</v>
      </c>
      <c r="M133" s="191">
        <v>14.980139745056054</v>
      </c>
      <c r="N133" s="87">
        <v>828.0978076362527</v>
      </c>
      <c r="O133" s="123">
        <v>21049.201829643527</v>
      </c>
      <c r="P133" s="119">
        <v>26639.837506262593</v>
      </c>
      <c r="Q133" s="120">
        <v>18675.09391242353</v>
      </c>
      <c r="R133" s="314">
        <v>39724.295742067057</v>
      </c>
      <c r="S133" s="315">
        <v>45314.931418686123</v>
      </c>
      <c r="U133" s="7" t="s">
        <v>2648</v>
      </c>
    </row>
    <row r="134" spans="1:21" ht="16.5" thickBot="1">
      <c r="A134" s="50" t="s">
        <v>35</v>
      </c>
      <c r="B134" s="51">
        <f t="shared" si="6"/>
        <v>110</v>
      </c>
      <c r="C134" s="51" t="s">
        <v>3</v>
      </c>
      <c r="D134" s="51">
        <f t="shared" si="7"/>
        <v>260</v>
      </c>
      <c r="E134" s="51" t="s">
        <v>3</v>
      </c>
      <c r="F134" s="99">
        <f t="shared" si="8"/>
        <v>1700</v>
      </c>
      <c r="G134" s="51" t="s">
        <v>3</v>
      </c>
      <c r="H134" s="48">
        <v>2</v>
      </c>
      <c r="I134" s="49" t="s">
        <v>45</v>
      </c>
      <c r="J134" s="184">
        <v>110</v>
      </c>
      <c r="K134" s="75">
        <v>260</v>
      </c>
      <c r="L134" s="75">
        <v>1700</v>
      </c>
      <c r="M134" s="191">
        <v>15.389316917041317</v>
      </c>
      <c r="N134" s="87">
        <v>859.94772331457</v>
      </c>
      <c r="O134" s="123">
        <v>21501.56833711583</v>
      </c>
      <c r="P134" s="119">
        <v>27244.832657776766</v>
      </c>
      <c r="Q134" s="120">
        <v>19106.704524790468</v>
      </c>
      <c r="R134" s="314">
        <v>40608.272861906298</v>
      </c>
      <c r="S134" s="315">
        <v>46351.537182567234</v>
      </c>
      <c r="U134" s="7" t="s">
        <v>2649</v>
      </c>
    </row>
    <row r="135" spans="1:21" ht="16.5" thickBot="1">
      <c r="A135" s="50" t="s">
        <v>35</v>
      </c>
      <c r="B135" s="51">
        <f t="shared" si="6"/>
        <v>110</v>
      </c>
      <c r="C135" s="51" t="s">
        <v>3</v>
      </c>
      <c r="D135" s="51">
        <f t="shared" si="7"/>
        <v>260</v>
      </c>
      <c r="E135" s="51" t="s">
        <v>3</v>
      </c>
      <c r="F135" s="99">
        <f t="shared" si="8"/>
        <v>1750</v>
      </c>
      <c r="G135" s="51" t="s">
        <v>3</v>
      </c>
      <c r="H135" s="48">
        <v>2</v>
      </c>
      <c r="I135" s="49" t="s">
        <v>45</v>
      </c>
      <c r="J135" s="184">
        <v>110</v>
      </c>
      <c r="K135" s="75">
        <v>260</v>
      </c>
      <c r="L135" s="75">
        <v>1750</v>
      </c>
      <c r="M135" s="191">
        <v>15.815534089026578</v>
      </c>
      <c r="N135" s="87">
        <v>891.79763899288753</v>
      </c>
      <c r="O135" s="123">
        <v>21953.93484458813</v>
      </c>
      <c r="P135" s="119">
        <v>27849.827949684302</v>
      </c>
      <c r="Q135" s="120">
        <v>19768.89691494068</v>
      </c>
      <c r="R135" s="314">
        <v>41722.83175952881</v>
      </c>
      <c r="S135" s="315">
        <v>47618.724864624979</v>
      </c>
      <c r="U135" s="7" t="s">
        <v>2650</v>
      </c>
    </row>
    <row r="136" spans="1:21" ht="16.5" thickBot="1">
      <c r="A136" s="50" t="s">
        <v>35</v>
      </c>
      <c r="B136" s="51">
        <f t="shared" si="6"/>
        <v>110</v>
      </c>
      <c r="C136" s="51" t="s">
        <v>3</v>
      </c>
      <c r="D136" s="51">
        <f t="shared" si="7"/>
        <v>260</v>
      </c>
      <c r="E136" s="51" t="s">
        <v>3</v>
      </c>
      <c r="F136" s="99">
        <f t="shared" si="8"/>
        <v>1800</v>
      </c>
      <c r="G136" s="51" t="s">
        <v>3</v>
      </c>
      <c r="H136" s="48">
        <v>2</v>
      </c>
      <c r="I136" s="49" t="s">
        <v>45</v>
      </c>
      <c r="J136" s="184">
        <v>110</v>
      </c>
      <c r="K136" s="75">
        <v>260</v>
      </c>
      <c r="L136" s="75">
        <v>1800</v>
      </c>
      <c r="M136" s="191">
        <v>16.224711261011841</v>
      </c>
      <c r="N136" s="87">
        <v>923.64755467120483</v>
      </c>
      <c r="O136" s="123">
        <v>22406.301352060429</v>
      </c>
      <c r="P136" s="119">
        <v>28454.823101198483</v>
      </c>
      <c r="Q136" s="120">
        <v>20200.507527307618</v>
      </c>
      <c r="R136" s="314">
        <v>42606.808879368051</v>
      </c>
      <c r="S136" s="315">
        <v>48655.330628506097</v>
      </c>
      <c r="U136" s="7" t="s">
        <v>2651</v>
      </c>
    </row>
    <row r="137" spans="1:21" ht="16.5" thickBot="1">
      <c r="A137" s="50" t="s">
        <v>35</v>
      </c>
      <c r="B137" s="51">
        <f t="shared" si="6"/>
        <v>110</v>
      </c>
      <c r="C137" s="51" t="s">
        <v>3</v>
      </c>
      <c r="D137" s="51">
        <f t="shared" si="7"/>
        <v>260</v>
      </c>
      <c r="E137" s="51" t="s">
        <v>3</v>
      </c>
      <c r="F137" s="99">
        <f t="shared" si="8"/>
        <v>1850</v>
      </c>
      <c r="G137" s="51" t="s">
        <v>3</v>
      </c>
      <c r="H137" s="48">
        <v>2</v>
      </c>
      <c r="I137" s="49" t="s">
        <v>45</v>
      </c>
      <c r="J137" s="184">
        <v>110</v>
      </c>
      <c r="K137" s="75">
        <v>260</v>
      </c>
      <c r="L137" s="75">
        <v>1850</v>
      </c>
      <c r="M137" s="191">
        <v>16.650928432997105</v>
      </c>
      <c r="N137" s="87">
        <v>955.49747034952213</v>
      </c>
      <c r="O137" s="123">
        <v>22858.667999926092</v>
      </c>
      <c r="P137" s="119">
        <v>29059.818252712659</v>
      </c>
      <c r="Q137" s="120">
        <v>20862.69991745783</v>
      </c>
      <c r="R137" s="314">
        <v>43721.367917383919</v>
      </c>
      <c r="S137" s="315">
        <v>49922.518170170486</v>
      </c>
      <c r="U137" s="7" t="s">
        <v>2652</v>
      </c>
    </row>
    <row r="138" spans="1:21" ht="16.5" thickBot="1">
      <c r="A138" s="50" t="s">
        <v>35</v>
      </c>
      <c r="B138" s="51">
        <f t="shared" si="6"/>
        <v>110</v>
      </c>
      <c r="C138" s="51" t="s">
        <v>3</v>
      </c>
      <c r="D138" s="51">
        <f t="shared" si="7"/>
        <v>260</v>
      </c>
      <c r="E138" s="51" t="s">
        <v>3</v>
      </c>
      <c r="F138" s="99">
        <f t="shared" si="8"/>
        <v>1900</v>
      </c>
      <c r="G138" s="51" t="s">
        <v>3</v>
      </c>
      <c r="H138" s="48">
        <v>2</v>
      </c>
      <c r="I138" s="49" t="s">
        <v>45</v>
      </c>
      <c r="J138" s="184">
        <v>110</v>
      </c>
      <c r="K138" s="75">
        <v>260</v>
      </c>
      <c r="L138" s="75">
        <v>1900</v>
      </c>
      <c r="M138" s="191">
        <v>17.060105604982368</v>
      </c>
      <c r="N138" s="87">
        <v>987.34738602783966</v>
      </c>
      <c r="O138" s="123">
        <v>23311.034507398392</v>
      </c>
      <c r="P138" s="119">
        <v>29664.813404226832</v>
      </c>
      <c r="Q138" s="120">
        <v>21294.310529824768</v>
      </c>
      <c r="R138" s="314">
        <v>44605.34503722316</v>
      </c>
      <c r="S138" s="315">
        <v>50959.123934051604</v>
      </c>
      <c r="U138" s="7" t="s">
        <v>2653</v>
      </c>
    </row>
    <row r="139" spans="1:21" ht="16.5" thickBot="1">
      <c r="A139" s="50" t="s">
        <v>35</v>
      </c>
      <c r="B139" s="51">
        <f t="shared" si="6"/>
        <v>110</v>
      </c>
      <c r="C139" s="51" t="s">
        <v>3</v>
      </c>
      <c r="D139" s="51">
        <f t="shared" si="7"/>
        <v>260</v>
      </c>
      <c r="E139" s="51" t="s">
        <v>3</v>
      </c>
      <c r="F139" s="99">
        <f t="shared" si="8"/>
        <v>1950</v>
      </c>
      <c r="G139" s="51" t="s">
        <v>3</v>
      </c>
      <c r="H139" s="48">
        <v>2</v>
      </c>
      <c r="I139" s="49" t="s">
        <v>45</v>
      </c>
      <c r="J139" s="184">
        <v>110</v>
      </c>
      <c r="K139" s="75">
        <v>260</v>
      </c>
      <c r="L139" s="75">
        <v>1950</v>
      </c>
      <c r="M139" s="191">
        <v>17.50853277696763</v>
      </c>
      <c r="N139" s="87">
        <v>1019.1973017061571</v>
      </c>
      <c r="O139" s="123">
        <v>23809.272861347221</v>
      </c>
      <c r="P139" s="119">
        <v>30315.960486975717</v>
      </c>
      <c r="Q139" s="120">
        <v>21725.921142191706</v>
      </c>
      <c r="R139" s="314">
        <v>45535.194003538927</v>
      </c>
      <c r="S139" s="315">
        <v>52041.881629167423</v>
      </c>
      <c r="U139" s="7" t="s">
        <v>2654</v>
      </c>
    </row>
    <row r="140" spans="1:21" ht="16.5" thickBot="1">
      <c r="A140" s="50" t="s">
        <v>35</v>
      </c>
      <c r="B140" s="51">
        <f t="shared" si="6"/>
        <v>110</v>
      </c>
      <c r="C140" s="51" t="s">
        <v>3</v>
      </c>
      <c r="D140" s="51">
        <f t="shared" si="7"/>
        <v>260</v>
      </c>
      <c r="E140" s="51" t="s">
        <v>3</v>
      </c>
      <c r="F140" s="99">
        <f t="shared" si="8"/>
        <v>2000</v>
      </c>
      <c r="G140" s="51" t="s">
        <v>3</v>
      </c>
      <c r="H140" s="48">
        <v>2</v>
      </c>
      <c r="I140" s="49" t="s">
        <v>45</v>
      </c>
      <c r="J140" s="184">
        <v>110</v>
      </c>
      <c r="K140" s="75">
        <v>260</v>
      </c>
      <c r="L140" s="75">
        <v>2000</v>
      </c>
      <c r="M140" s="191">
        <v>18.026312348952896</v>
      </c>
      <c r="N140" s="87">
        <v>1051.0472173844744</v>
      </c>
      <c r="O140" s="123">
        <v>24492.18239803474</v>
      </c>
      <c r="P140" s="119">
        <v>31233.636366009196</v>
      </c>
      <c r="Q140" s="120">
        <v>22388.113532341918</v>
      </c>
      <c r="R140" s="314">
        <v>46880.295930376655</v>
      </c>
      <c r="S140" s="315">
        <v>53621.749898351118</v>
      </c>
      <c r="U140" s="7" t="s">
        <v>2655</v>
      </c>
    </row>
    <row r="141" spans="1:21" ht="16.5" thickBot="1">
      <c r="A141" s="50" t="s">
        <v>35</v>
      </c>
      <c r="B141" s="51">
        <f t="shared" si="6"/>
        <v>110</v>
      </c>
      <c r="C141" s="51" t="s">
        <v>3</v>
      </c>
      <c r="D141" s="51">
        <f t="shared" si="7"/>
        <v>260</v>
      </c>
      <c r="E141" s="51" t="s">
        <v>3</v>
      </c>
      <c r="F141" s="99">
        <f t="shared" si="8"/>
        <v>2050</v>
      </c>
      <c r="G141" s="51" t="s">
        <v>3</v>
      </c>
      <c r="H141" s="48">
        <v>2</v>
      </c>
      <c r="I141" s="49" t="s">
        <v>45</v>
      </c>
      <c r="J141" s="184">
        <v>110</v>
      </c>
      <c r="K141" s="75">
        <v>260</v>
      </c>
      <c r="L141" s="75">
        <v>2050</v>
      </c>
      <c r="M141" s="191">
        <v>18.435489520938159</v>
      </c>
      <c r="N141" s="87">
        <v>1082.8971330627919</v>
      </c>
      <c r="O141" s="123">
        <v>24944.548905507047</v>
      </c>
      <c r="P141" s="119">
        <v>31838.631657916729</v>
      </c>
      <c r="Q141" s="120">
        <v>22819.724144708856</v>
      </c>
      <c r="R141" s="314">
        <v>47764.273050215903</v>
      </c>
      <c r="S141" s="315">
        <v>54658.355802625585</v>
      </c>
      <c r="U141" s="7" t="s">
        <v>2656</v>
      </c>
    </row>
    <row r="142" spans="1:21" ht="16.5" thickBot="1">
      <c r="A142" s="47" t="s">
        <v>35</v>
      </c>
      <c r="B142" s="48">
        <f t="shared" si="6"/>
        <v>110</v>
      </c>
      <c r="C142" s="48" t="s">
        <v>3</v>
      </c>
      <c r="D142" s="48">
        <f t="shared" si="7"/>
        <v>260</v>
      </c>
      <c r="E142" s="48" t="s">
        <v>3</v>
      </c>
      <c r="F142" s="99">
        <f t="shared" si="8"/>
        <v>2100</v>
      </c>
      <c r="G142" s="48" t="s">
        <v>3</v>
      </c>
      <c r="H142" s="48">
        <v>2</v>
      </c>
      <c r="I142" s="49" t="s">
        <v>45</v>
      </c>
      <c r="J142" s="184">
        <v>110</v>
      </c>
      <c r="K142" s="75">
        <v>260</v>
      </c>
      <c r="L142" s="75">
        <v>2100</v>
      </c>
      <c r="M142" s="191">
        <v>18.86170669292342</v>
      </c>
      <c r="N142" s="87">
        <v>1114.7470487411092</v>
      </c>
      <c r="O142" s="123">
        <v>25396.915553372706</v>
      </c>
      <c r="P142" s="119">
        <v>32443.626809430909</v>
      </c>
      <c r="Q142" s="120">
        <v>23481.916534859069</v>
      </c>
      <c r="R142" s="314">
        <v>48878.832088231778</v>
      </c>
      <c r="S142" s="315">
        <v>55925.543344289981</v>
      </c>
      <c r="U142" s="7" t="s">
        <v>2657</v>
      </c>
    </row>
    <row r="143" spans="1:21" ht="16.5" thickBot="1">
      <c r="A143" s="50" t="s">
        <v>35</v>
      </c>
      <c r="B143" s="51">
        <f t="shared" si="6"/>
        <v>110</v>
      </c>
      <c r="C143" s="51" t="s">
        <v>3</v>
      </c>
      <c r="D143" s="51">
        <f t="shared" si="7"/>
        <v>260</v>
      </c>
      <c r="E143" s="51" t="s">
        <v>3</v>
      </c>
      <c r="F143" s="99">
        <f t="shared" si="8"/>
        <v>2150</v>
      </c>
      <c r="G143" s="51" t="s">
        <v>3</v>
      </c>
      <c r="H143" s="48">
        <v>2</v>
      </c>
      <c r="I143" s="49" t="s">
        <v>45</v>
      </c>
      <c r="J143" s="184">
        <v>110</v>
      </c>
      <c r="K143" s="75">
        <v>260</v>
      </c>
      <c r="L143" s="75">
        <v>2150</v>
      </c>
      <c r="M143" s="191">
        <v>19.270883864908683</v>
      </c>
      <c r="N143" s="87">
        <v>1146.5969644194267</v>
      </c>
      <c r="O143" s="123">
        <v>25849.282060845006</v>
      </c>
      <c r="P143" s="119">
        <v>33048.621960945085</v>
      </c>
      <c r="Q143" s="120">
        <v>23913.527147226006</v>
      </c>
      <c r="R143" s="314">
        <v>49762.809208071012</v>
      </c>
      <c r="S143" s="315">
        <v>56962.149108171092</v>
      </c>
      <c r="U143" s="7" t="s">
        <v>2658</v>
      </c>
    </row>
    <row r="144" spans="1:21" ht="16.5" thickBot="1">
      <c r="A144" s="50" t="s">
        <v>35</v>
      </c>
      <c r="B144" s="51">
        <f t="shared" si="6"/>
        <v>110</v>
      </c>
      <c r="C144" s="51" t="s">
        <v>3</v>
      </c>
      <c r="D144" s="51">
        <f t="shared" si="7"/>
        <v>260</v>
      </c>
      <c r="E144" s="51" t="s">
        <v>3</v>
      </c>
      <c r="F144" s="99">
        <f t="shared" si="8"/>
        <v>2200</v>
      </c>
      <c r="G144" s="51" t="s">
        <v>3</v>
      </c>
      <c r="H144" s="48">
        <v>2</v>
      </c>
      <c r="I144" s="49" t="s">
        <v>45</v>
      </c>
      <c r="J144" s="184">
        <v>110</v>
      </c>
      <c r="K144" s="75">
        <v>260</v>
      </c>
      <c r="L144" s="75">
        <v>2200</v>
      </c>
      <c r="M144" s="191">
        <v>19.697101036893947</v>
      </c>
      <c r="N144" s="87">
        <v>1178.446880097744</v>
      </c>
      <c r="O144" s="123">
        <v>26301.648568317305</v>
      </c>
      <c r="P144" s="119">
        <v>33653.617252852622</v>
      </c>
      <c r="Q144" s="120">
        <v>24575.719537376219</v>
      </c>
      <c r="R144" s="314">
        <v>50877.368105693524</v>
      </c>
      <c r="S144" s="315">
        <v>58229.336790228845</v>
      </c>
      <c r="U144" s="7" t="s">
        <v>2659</v>
      </c>
    </row>
    <row r="145" spans="1:21" ht="16.5" thickBot="1">
      <c r="A145" s="50" t="s">
        <v>35</v>
      </c>
      <c r="B145" s="51">
        <f t="shared" si="6"/>
        <v>110</v>
      </c>
      <c r="C145" s="51" t="s">
        <v>3</v>
      </c>
      <c r="D145" s="51">
        <f t="shared" si="7"/>
        <v>260</v>
      </c>
      <c r="E145" s="51" t="s">
        <v>3</v>
      </c>
      <c r="F145" s="99">
        <f t="shared" si="8"/>
        <v>2250</v>
      </c>
      <c r="G145" s="51" t="s">
        <v>3</v>
      </c>
      <c r="H145" s="48">
        <v>2</v>
      </c>
      <c r="I145" s="49" t="s">
        <v>45</v>
      </c>
      <c r="J145" s="184">
        <v>110</v>
      </c>
      <c r="K145" s="75">
        <v>260</v>
      </c>
      <c r="L145" s="75">
        <v>2250</v>
      </c>
      <c r="M145" s="191">
        <v>20.10627820887921</v>
      </c>
      <c r="N145" s="87">
        <v>1210.2967957760616</v>
      </c>
      <c r="O145" s="123">
        <v>26754.015075789604</v>
      </c>
      <c r="P145" s="119">
        <v>34258.612404366795</v>
      </c>
      <c r="Q145" s="120">
        <v>25007.330009349789</v>
      </c>
      <c r="R145" s="314">
        <v>51761.345085139394</v>
      </c>
      <c r="S145" s="315">
        <v>59265.942413716584</v>
      </c>
      <c r="U145" s="7" t="s">
        <v>2660</v>
      </c>
    </row>
    <row r="146" spans="1:21" ht="16.5" thickBot="1">
      <c r="A146" s="50" t="s">
        <v>35</v>
      </c>
      <c r="B146" s="51">
        <f t="shared" si="6"/>
        <v>110</v>
      </c>
      <c r="C146" s="51" t="s">
        <v>3</v>
      </c>
      <c r="D146" s="51">
        <f t="shared" si="7"/>
        <v>260</v>
      </c>
      <c r="E146" s="51" t="s">
        <v>3</v>
      </c>
      <c r="F146" s="99">
        <f t="shared" si="8"/>
        <v>2300</v>
      </c>
      <c r="G146" s="51" t="s">
        <v>3</v>
      </c>
      <c r="H146" s="48">
        <v>2</v>
      </c>
      <c r="I146" s="49" t="s">
        <v>45</v>
      </c>
      <c r="J146" s="184">
        <v>110</v>
      </c>
      <c r="K146" s="75">
        <v>260</v>
      </c>
      <c r="L146" s="75">
        <v>2300</v>
      </c>
      <c r="M146" s="191">
        <v>20.515455380864474</v>
      </c>
      <c r="N146" s="87">
        <v>1242.1467114543789</v>
      </c>
      <c r="O146" s="123">
        <v>27206.381723655268</v>
      </c>
      <c r="P146" s="119">
        <v>34863.607555880968</v>
      </c>
      <c r="Q146" s="120">
        <v>25438.940621716731</v>
      </c>
      <c r="R146" s="314">
        <v>52645.322345371998</v>
      </c>
      <c r="S146" s="315">
        <v>60302.548177597695</v>
      </c>
      <c r="U146" s="7" t="s">
        <v>2661</v>
      </c>
    </row>
    <row r="147" spans="1:21" ht="16.5" thickBot="1">
      <c r="A147" s="50" t="s">
        <v>35</v>
      </c>
      <c r="B147" s="51">
        <f t="shared" si="6"/>
        <v>110</v>
      </c>
      <c r="C147" s="51" t="s">
        <v>3</v>
      </c>
      <c r="D147" s="51">
        <f t="shared" si="7"/>
        <v>260</v>
      </c>
      <c r="E147" s="51" t="s">
        <v>3</v>
      </c>
      <c r="F147" s="99">
        <f t="shared" si="8"/>
        <v>2350</v>
      </c>
      <c r="G147" s="51" t="s">
        <v>3</v>
      </c>
      <c r="H147" s="48">
        <v>2</v>
      </c>
      <c r="I147" s="49" t="s">
        <v>45</v>
      </c>
      <c r="J147" s="184">
        <v>110</v>
      </c>
      <c r="K147" s="75">
        <v>260</v>
      </c>
      <c r="L147" s="75">
        <v>2350</v>
      </c>
      <c r="M147" s="191">
        <v>20.941672552849738</v>
      </c>
      <c r="N147" s="87">
        <v>1273.9966271326964</v>
      </c>
      <c r="O147" s="123">
        <v>27658.748231127567</v>
      </c>
      <c r="P147" s="119">
        <v>35468.602707395141</v>
      </c>
      <c r="Q147" s="120">
        <v>26101.133011866939</v>
      </c>
      <c r="R147" s="314">
        <v>53759.88124299451</v>
      </c>
      <c r="S147" s="315">
        <v>61569.735719262084</v>
      </c>
      <c r="U147" s="7" t="s">
        <v>2662</v>
      </c>
    </row>
    <row r="148" spans="1:21" ht="16.5" thickBot="1">
      <c r="A148" s="50" t="s">
        <v>35</v>
      </c>
      <c r="B148" s="51">
        <f t="shared" si="6"/>
        <v>110</v>
      </c>
      <c r="C148" s="51" t="s">
        <v>3</v>
      </c>
      <c r="D148" s="51">
        <f t="shared" si="7"/>
        <v>260</v>
      </c>
      <c r="E148" s="51" t="s">
        <v>3</v>
      </c>
      <c r="F148" s="99">
        <f t="shared" si="8"/>
        <v>2400</v>
      </c>
      <c r="G148" s="51" t="s">
        <v>3</v>
      </c>
      <c r="H148" s="48">
        <v>2</v>
      </c>
      <c r="I148" s="49" t="s">
        <v>45</v>
      </c>
      <c r="J148" s="184">
        <v>110</v>
      </c>
      <c r="K148" s="75">
        <v>260</v>
      </c>
      <c r="L148" s="75">
        <v>2400</v>
      </c>
      <c r="M148" s="191">
        <v>21.350849724835001</v>
      </c>
      <c r="N148" s="87">
        <v>1305.8465428110135</v>
      </c>
      <c r="O148" s="123">
        <v>28111.11473859987</v>
      </c>
      <c r="P148" s="119">
        <v>36073.597999302685</v>
      </c>
      <c r="Q148" s="120">
        <v>26532.743624233881</v>
      </c>
      <c r="R148" s="314">
        <v>54643.858362833751</v>
      </c>
      <c r="S148" s="315">
        <v>62606.341623536566</v>
      </c>
      <c r="U148" s="7" t="s">
        <v>2663</v>
      </c>
    </row>
    <row r="149" spans="1:21" ht="16.5" thickBot="1">
      <c r="A149" s="50" t="s">
        <v>35</v>
      </c>
      <c r="B149" s="51">
        <f t="shared" si="6"/>
        <v>110</v>
      </c>
      <c r="C149" s="51" t="s">
        <v>3</v>
      </c>
      <c r="D149" s="51">
        <f t="shared" si="7"/>
        <v>260</v>
      </c>
      <c r="E149" s="51" t="s">
        <v>3</v>
      </c>
      <c r="F149" s="99">
        <f t="shared" si="8"/>
        <v>2450</v>
      </c>
      <c r="G149" s="51" t="s">
        <v>3</v>
      </c>
      <c r="H149" s="48">
        <v>2</v>
      </c>
      <c r="I149" s="49" t="s">
        <v>45</v>
      </c>
      <c r="J149" s="184">
        <v>110</v>
      </c>
      <c r="K149" s="75">
        <v>260</v>
      </c>
      <c r="L149" s="75">
        <v>2450</v>
      </c>
      <c r="M149" s="191">
        <v>21.920169240120263</v>
      </c>
      <c r="N149" s="87">
        <v>1337.696458489331</v>
      </c>
      <c r="O149" s="123">
        <v>29174.818808130643</v>
      </c>
      <c r="P149" s="119">
        <v>37252.892557160667</v>
      </c>
      <c r="Q149" s="120">
        <v>27194.936014384097</v>
      </c>
      <c r="R149" s="314">
        <v>56369.75482251474</v>
      </c>
      <c r="S149" s="315">
        <v>64447.828571544764</v>
      </c>
      <c r="U149" s="7" t="s">
        <v>2664</v>
      </c>
    </row>
    <row r="150" spans="1:21" ht="16.5" thickBot="1">
      <c r="A150" s="50" t="s">
        <v>35</v>
      </c>
      <c r="B150" s="51">
        <f t="shared" si="6"/>
        <v>110</v>
      </c>
      <c r="C150" s="51" t="s">
        <v>3</v>
      </c>
      <c r="D150" s="51">
        <f t="shared" si="7"/>
        <v>260</v>
      </c>
      <c r="E150" s="51" t="s">
        <v>3</v>
      </c>
      <c r="F150" s="99">
        <f t="shared" si="8"/>
        <v>2500</v>
      </c>
      <c r="G150" s="51" t="s">
        <v>3</v>
      </c>
      <c r="H150" s="48">
        <v>2</v>
      </c>
      <c r="I150" s="49" t="s">
        <v>45</v>
      </c>
      <c r="J150" s="184">
        <v>110</v>
      </c>
      <c r="K150" s="75">
        <v>260</v>
      </c>
      <c r="L150" s="75">
        <v>2500</v>
      </c>
      <c r="M150" s="191">
        <v>22.329346412105529</v>
      </c>
      <c r="N150" s="87">
        <v>1369.5463741676488</v>
      </c>
      <c r="O150" s="123">
        <v>29627.185315602947</v>
      </c>
      <c r="P150" s="119">
        <v>37857.887849068204</v>
      </c>
      <c r="Q150" s="120">
        <v>27626.546626751031</v>
      </c>
      <c r="R150" s="314">
        <v>57253.731942353974</v>
      </c>
      <c r="S150" s="315">
        <v>65484.434475819231</v>
      </c>
      <c r="U150" s="7" t="s">
        <v>2665</v>
      </c>
    </row>
    <row r="151" spans="1:21" ht="16.5" thickBot="1">
      <c r="A151" s="50" t="s">
        <v>35</v>
      </c>
      <c r="B151" s="51">
        <f t="shared" si="6"/>
        <v>110</v>
      </c>
      <c r="C151" s="51" t="s">
        <v>3</v>
      </c>
      <c r="D151" s="51">
        <f t="shared" si="7"/>
        <v>260</v>
      </c>
      <c r="E151" s="51" t="s">
        <v>3</v>
      </c>
      <c r="F151" s="99">
        <f t="shared" si="8"/>
        <v>2550</v>
      </c>
      <c r="G151" s="51" t="s">
        <v>3</v>
      </c>
      <c r="H151" s="48">
        <v>2</v>
      </c>
      <c r="I151" s="49" t="s">
        <v>45</v>
      </c>
      <c r="J151" s="184">
        <v>110</v>
      </c>
      <c r="K151" s="75">
        <v>260</v>
      </c>
      <c r="L151" s="75">
        <v>2550</v>
      </c>
      <c r="M151" s="191">
        <v>22.755563584090787</v>
      </c>
      <c r="N151" s="87">
        <v>1401.3962898459661</v>
      </c>
      <c r="O151" s="123">
        <v>30079.551823075246</v>
      </c>
      <c r="P151" s="119">
        <v>38462.883000582384</v>
      </c>
      <c r="Q151" s="120">
        <v>28288.739016901247</v>
      </c>
      <c r="R151" s="314">
        <v>58368.290839976493</v>
      </c>
      <c r="S151" s="315">
        <v>66751.622017483634</v>
      </c>
      <c r="U151" s="7" t="s">
        <v>2666</v>
      </c>
    </row>
    <row r="152" spans="1:21" ht="16.5" thickBot="1">
      <c r="A152" s="47" t="s">
        <v>35</v>
      </c>
      <c r="B152" s="48">
        <f t="shared" si="6"/>
        <v>110</v>
      </c>
      <c r="C152" s="48" t="s">
        <v>3</v>
      </c>
      <c r="D152" s="48">
        <f t="shared" si="7"/>
        <v>260</v>
      </c>
      <c r="E152" s="48" t="s">
        <v>3</v>
      </c>
      <c r="F152" s="99">
        <f t="shared" si="8"/>
        <v>2600</v>
      </c>
      <c r="G152" s="48" t="s">
        <v>3</v>
      </c>
      <c r="H152" s="48">
        <v>2</v>
      </c>
      <c r="I152" s="49" t="s">
        <v>45</v>
      </c>
      <c r="J152" s="184">
        <v>110</v>
      </c>
      <c r="K152" s="75">
        <v>260</v>
      </c>
      <c r="L152" s="75">
        <v>2600</v>
      </c>
      <c r="M152" s="191">
        <v>23.164740756076057</v>
      </c>
      <c r="N152" s="87">
        <v>1433.2462055242834</v>
      </c>
      <c r="O152" s="123">
        <v>30531.918470940909</v>
      </c>
      <c r="P152" s="119">
        <v>39067.878152096557</v>
      </c>
      <c r="Q152" s="120">
        <v>28720.349629268181</v>
      </c>
      <c r="R152" s="314">
        <v>59252.26810020909</v>
      </c>
      <c r="S152" s="315">
        <v>67788.227781364738</v>
      </c>
      <c r="U152" s="7" t="s">
        <v>2667</v>
      </c>
    </row>
    <row r="153" spans="1:21" ht="16.5" thickBot="1">
      <c r="A153" s="50" t="s">
        <v>35</v>
      </c>
      <c r="B153" s="51">
        <f t="shared" si="6"/>
        <v>110</v>
      </c>
      <c r="C153" s="51" t="s">
        <v>3</v>
      </c>
      <c r="D153" s="51">
        <f t="shared" si="7"/>
        <v>260</v>
      </c>
      <c r="E153" s="51" t="s">
        <v>3</v>
      </c>
      <c r="F153" s="99">
        <f t="shared" si="8"/>
        <v>2650</v>
      </c>
      <c r="G153" s="51" t="s">
        <v>3</v>
      </c>
      <c r="H153" s="48">
        <v>2</v>
      </c>
      <c r="I153" s="49" t="s">
        <v>45</v>
      </c>
      <c r="J153" s="184">
        <v>110</v>
      </c>
      <c r="K153" s="75">
        <v>260</v>
      </c>
      <c r="L153" s="75">
        <v>2650</v>
      </c>
      <c r="M153" s="191">
        <v>23.590957928061318</v>
      </c>
      <c r="N153" s="87">
        <v>1465.0961212026007</v>
      </c>
      <c r="O153" s="123">
        <v>30984.284978413209</v>
      </c>
      <c r="P153" s="119">
        <v>39672.873303610737</v>
      </c>
      <c r="Q153" s="120">
        <v>29382.542019418397</v>
      </c>
      <c r="R153" s="314">
        <v>60366.826997831609</v>
      </c>
      <c r="S153" s="315">
        <v>69055.415323029127</v>
      </c>
      <c r="U153" s="7" t="s">
        <v>2668</v>
      </c>
    </row>
    <row r="154" spans="1:21" ht="16.5" thickBot="1">
      <c r="A154" s="50" t="s">
        <v>35</v>
      </c>
      <c r="B154" s="51">
        <f t="shared" si="6"/>
        <v>110</v>
      </c>
      <c r="C154" s="51" t="s">
        <v>3</v>
      </c>
      <c r="D154" s="51">
        <f t="shared" si="7"/>
        <v>260</v>
      </c>
      <c r="E154" s="51" t="s">
        <v>3</v>
      </c>
      <c r="F154" s="99">
        <f t="shared" si="8"/>
        <v>2700</v>
      </c>
      <c r="G154" s="51" t="s">
        <v>3</v>
      </c>
      <c r="H154" s="48">
        <v>2</v>
      </c>
      <c r="I154" s="49" t="s">
        <v>45</v>
      </c>
      <c r="J154" s="184">
        <v>110</v>
      </c>
      <c r="K154" s="75">
        <v>260</v>
      </c>
      <c r="L154" s="75">
        <v>2700</v>
      </c>
      <c r="M154" s="191">
        <v>24.039385100046584</v>
      </c>
      <c r="N154" s="87">
        <v>1496.9460368809182</v>
      </c>
      <c r="O154" s="123">
        <v>31482.52333236203</v>
      </c>
      <c r="P154" s="119">
        <v>40324.020386359618</v>
      </c>
      <c r="Q154" s="120">
        <v>29814.152631785331</v>
      </c>
      <c r="R154" s="314">
        <v>61296.675964147362</v>
      </c>
      <c r="S154" s="315">
        <v>70138.173018144953</v>
      </c>
      <c r="U154" s="7" t="s">
        <v>2669</v>
      </c>
    </row>
    <row r="155" spans="1:21" ht="16.5" thickBot="1">
      <c r="A155" s="50" t="s">
        <v>35</v>
      </c>
      <c r="B155" s="51">
        <f t="shared" si="6"/>
        <v>110</v>
      </c>
      <c r="C155" s="51" t="s">
        <v>3</v>
      </c>
      <c r="D155" s="51">
        <f t="shared" si="7"/>
        <v>260</v>
      </c>
      <c r="E155" s="51" t="s">
        <v>3</v>
      </c>
      <c r="F155" s="99">
        <f t="shared" si="8"/>
        <v>2750</v>
      </c>
      <c r="G155" s="51" t="s">
        <v>3</v>
      </c>
      <c r="H155" s="48">
        <v>2</v>
      </c>
      <c r="I155" s="49" t="s">
        <v>45</v>
      </c>
      <c r="J155" s="184">
        <v>110</v>
      </c>
      <c r="K155" s="75">
        <v>260</v>
      </c>
      <c r="L155" s="75">
        <v>2750</v>
      </c>
      <c r="M155" s="191">
        <v>24.448562272031843</v>
      </c>
      <c r="N155" s="87">
        <v>1528.7959525592357</v>
      </c>
      <c r="O155" s="123">
        <v>31934.88983983433</v>
      </c>
      <c r="P155" s="119">
        <v>40929.015537873791</v>
      </c>
      <c r="Q155" s="120">
        <v>30245.763244152273</v>
      </c>
      <c r="R155" s="314">
        <v>62180.653083986603</v>
      </c>
      <c r="S155" s="315">
        <v>71174.778782026056</v>
      </c>
      <c r="U155" s="7" t="s">
        <v>2670</v>
      </c>
    </row>
    <row r="156" spans="1:21" ht="16.5" thickBot="1">
      <c r="A156" s="50" t="s">
        <v>35</v>
      </c>
      <c r="B156" s="51">
        <f t="shared" si="6"/>
        <v>110</v>
      </c>
      <c r="C156" s="51" t="s">
        <v>3</v>
      </c>
      <c r="D156" s="51">
        <f t="shared" si="7"/>
        <v>260</v>
      </c>
      <c r="E156" s="51" t="s">
        <v>3</v>
      </c>
      <c r="F156" s="99">
        <f t="shared" si="8"/>
        <v>2800</v>
      </c>
      <c r="G156" s="51" t="s">
        <v>3</v>
      </c>
      <c r="H156" s="48">
        <v>2</v>
      </c>
      <c r="I156" s="49" t="s">
        <v>45</v>
      </c>
      <c r="J156" s="184">
        <v>110</v>
      </c>
      <c r="K156" s="75">
        <v>260</v>
      </c>
      <c r="L156" s="75">
        <v>2800</v>
      </c>
      <c r="M156" s="191">
        <v>24.874779444017108</v>
      </c>
      <c r="N156" s="87">
        <v>1560.6458682375528</v>
      </c>
      <c r="O156" s="123">
        <v>32387.256347306633</v>
      </c>
      <c r="P156" s="119">
        <v>41534.010689387971</v>
      </c>
      <c r="Q156" s="120">
        <v>30907.955493909118</v>
      </c>
      <c r="R156" s="314">
        <v>63295.211841215751</v>
      </c>
      <c r="S156" s="315">
        <v>72441.966183297089</v>
      </c>
      <c r="U156" s="7" t="s">
        <v>2671</v>
      </c>
    </row>
    <row r="157" spans="1:21" ht="16.5" thickBot="1">
      <c r="A157" s="50" t="s">
        <v>35</v>
      </c>
      <c r="B157" s="51">
        <f t="shared" si="6"/>
        <v>110</v>
      </c>
      <c r="C157" s="51" t="s">
        <v>3</v>
      </c>
      <c r="D157" s="51">
        <f t="shared" si="7"/>
        <v>260</v>
      </c>
      <c r="E157" s="51" t="s">
        <v>3</v>
      </c>
      <c r="F157" s="99">
        <f t="shared" si="8"/>
        <v>2850</v>
      </c>
      <c r="G157" s="51" t="s">
        <v>3</v>
      </c>
      <c r="H157" s="48">
        <v>2</v>
      </c>
      <c r="I157" s="49" t="s">
        <v>45</v>
      </c>
      <c r="J157" s="184">
        <v>110</v>
      </c>
      <c r="K157" s="75">
        <v>260</v>
      </c>
      <c r="L157" s="75">
        <v>2850</v>
      </c>
      <c r="M157" s="191">
        <v>25.283956616002371</v>
      </c>
      <c r="N157" s="87">
        <v>1592.4957839158703</v>
      </c>
      <c r="O157" s="123">
        <v>32839.622995172293</v>
      </c>
      <c r="P157" s="119">
        <v>42139.005981295508</v>
      </c>
      <c r="Q157" s="120">
        <v>31339.566106276056</v>
      </c>
      <c r="R157" s="314">
        <v>64179.189101448348</v>
      </c>
      <c r="S157" s="315">
        <v>73478.572087571563</v>
      </c>
      <c r="U157" s="7" t="s">
        <v>2672</v>
      </c>
    </row>
    <row r="158" spans="1:21" ht="16.5" thickBot="1">
      <c r="A158" s="50" t="s">
        <v>35</v>
      </c>
      <c r="B158" s="51">
        <f t="shared" si="6"/>
        <v>110</v>
      </c>
      <c r="C158" s="51" t="s">
        <v>3</v>
      </c>
      <c r="D158" s="51">
        <f t="shared" si="7"/>
        <v>260</v>
      </c>
      <c r="E158" s="51" t="s">
        <v>3</v>
      </c>
      <c r="F158" s="99">
        <f t="shared" si="8"/>
        <v>2900</v>
      </c>
      <c r="G158" s="51" t="s">
        <v>3</v>
      </c>
      <c r="H158" s="48">
        <v>2</v>
      </c>
      <c r="I158" s="49" t="s">
        <v>45</v>
      </c>
      <c r="J158" s="184">
        <v>110</v>
      </c>
      <c r="K158" s="75">
        <v>260</v>
      </c>
      <c r="L158" s="75">
        <v>2900</v>
      </c>
      <c r="M158" s="191">
        <v>25.710173787987628</v>
      </c>
      <c r="N158" s="87">
        <v>1624.3456995941879</v>
      </c>
      <c r="O158" s="123">
        <v>33291.989502644596</v>
      </c>
      <c r="P158" s="119">
        <v>42744.001132809688</v>
      </c>
      <c r="Q158" s="120">
        <v>32001.758496426271</v>
      </c>
      <c r="R158" s="314">
        <v>65293.747999070867</v>
      </c>
      <c r="S158" s="315">
        <v>74745.759629235952</v>
      </c>
      <c r="U158" s="7" t="s">
        <v>2673</v>
      </c>
    </row>
    <row r="159" spans="1:21" ht="16.5" thickBot="1">
      <c r="A159" s="50" t="s">
        <v>35</v>
      </c>
      <c r="B159" s="51">
        <f t="shared" si="6"/>
        <v>110</v>
      </c>
      <c r="C159" s="51" t="s">
        <v>3</v>
      </c>
      <c r="D159" s="51">
        <f t="shared" si="7"/>
        <v>260</v>
      </c>
      <c r="E159" s="51" t="s">
        <v>3</v>
      </c>
      <c r="F159" s="99">
        <f t="shared" si="8"/>
        <v>2950</v>
      </c>
      <c r="G159" s="51" t="s">
        <v>3</v>
      </c>
      <c r="H159" s="48">
        <v>2</v>
      </c>
      <c r="I159" s="49" t="s">
        <v>45</v>
      </c>
      <c r="J159" s="184">
        <v>110</v>
      </c>
      <c r="K159" s="75">
        <v>260</v>
      </c>
      <c r="L159" s="75">
        <v>2950</v>
      </c>
      <c r="M159" s="191">
        <v>26.119350959972895</v>
      </c>
      <c r="N159" s="87">
        <v>1656.1956152725054</v>
      </c>
      <c r="O159" s="123">
        <v>33744.356010116891</v>
      </c>
      <c r="P159" s="119">
        <v>43348.996284323861</v>
      </c>
      <c r="Q159" s="120">
        <v>32433.369108793206</v>
      </c>
      <c r="R159" s="314">
        <v>66177.725118910093</v>
      </c>
      <c r="S159" s="315">
        <v>75782.36539311707</v>
      </c>
      <c r="U159" s="7" t="s">
        <v>2674</v>
      </c>
    </row>
    <row r="160" spans="1:21" ht="16.5" thickBot="1">
      <c r="A160" s="52" t="s">
        <v>35</v>
      </c>
      <c r="B160" s="53">
        <f t="shared" si="6"/>
        <v>110</v>
      </c>
      <c r="C160" s="53" t="s">
        <v>3</v>
      </c>
      <c r="D160" s="53">
        <f t="shared" si="7"/>
        <v>260</v>
      </c>
      <c r="E160" s="53" t="s">
        <v>3</v>
      </c>
      <c r="F160" s="100">
        <f t="shared" si="8"/>
        <v>3000</v>
      </c>
      <c r="G160" s="53" t="s">
        <v>3</v>
      </c>
      <c r="H160" s="55">
        <v>2</v>
      </c>
      <c r="I160" s="54" t="s">
        <v>45</v>
      </c>
      <c r="J160" s="186">
        <v>110</v>
      </c>
      <c r="K160" s="147">
        <v>260</v>
      </c>
      <c r="L160" s="147">
        <v>3000</v>
      </c>
      <c r="M160" s="192">
        <v>26.545568131958156</v>
      </c>
      <c r="N160" s="148">
        <v>1688.0455309508227</v>
      </c>
      <c r="O160" s="149">
        <v>35371.879963841035</v>
      </c>
      <c r="P160" s="189">
        <v>43953.991576231398</v>
      </c>
      <c r="Q160" s="159">
        <v>33095.561498943418</v>
      </c>
      <c r="R160" s="316">
        <v>68467.441462784453</v>
      </c>
      <c r="S160" s="317">
        <v>77049.553075174816</v>
      </c>
      <c r="U160" s="7" t="s">
        <v>2675</v>
      </c>
    </row>
    <row r="161" spans="1:21" ht="22.5" customHeight="1" thickBot="1">
      <c r="A161" s="2580" t="s">
        <v>521</v>
      </c>
      <c r="B161" s="2581"/>
      <c r="C161" s="2581"/>
      <c r="D161" s="2581"/>
      <c r="E161" s="2581"/>
      <c r="F161" s="2581"/>
      <c r="G161" s="2581"/>
      <c r="H161" s="2581"/>
      <c r="I161" s="2581"/>
      <c r="J161" s="2581"/>
      <c r="K161" s="2581"/>
      <c r="L161" s="2581"/>
      <c r="M161" s="2581"/>
      <c r="N161" s="2581"/>
      <c r="O161" s="2581"/>
      <c r="P161" s="2581"/>
      <c r="Q161" s="2581"/>
      <c r="R161" s="2581"/>
      <c r="S161" s="2582"/>
      <c r="U161" s="7"/>
    </row>
    <row r="162" spans="1:21" ht="16.5" thickBot="1">
      <c r="A162" s="2583" t="s">
        <v>134</v>
      </c>
      <c r="B162" s="2584"/>
      <c r="C162" s="2584"/>
      <c r="D162" s="2584"/>
      <c r="E162" s="2584"/>
      <c r="F162" s="2584"/>
      <c r="G162" s="2584"/>
      <c r="H162" s="2584"/>
      <c r="I162" s="2584"/>
      <c r="J162" s="2584"/>
      <c r="K162" s="2584"/>
      <c r="L162" s="2584"/>
      <c r="M162" s="2584"/>
      <c r="N162" s="2584"/>
      <c r="O162" s="2584"/>
      <c r="P162" s="2584"/>
      <c r="Q162" s="2584"/>
      <c r="R162" s="2584"/>
      <c r="S162" s="2585"/>
      <c r="U162" s="7"/>
    </row>
    <row r="163" spans="1:21" ht="16.5" thickBot="1">
      <c r="A163" s="47" t="s">
        <v>35</v>
      </c>
      <c r="B163" s="48">
        <f>J163</f>
        <v>110</v>
      </c>
      <c r="C163" s="48" t="s">
        <v>3</v>
      </c>
      <c r="D163" s="48">
        <f>K163</f>
        <v>300</v>
      </c>
      <c r="E163" s="48" t="s">
        <v>3</v>
      </c>
      <c r="F163" s="99">
        <f>L163</f>
        <v>600</v>
      </c>
      <c r="G163" s="48" t="s">
        <v>3</v>
      </c>
      <c r="H163" s="48">
        <v>2</v>
      </c>
      <c r="I163" s="49" t="s">
        <v>45</v>
      </c>
      <c r="J163" s="181">
        <v>110</v>
      </c>
      <c r="K163" s="143">
        <v>300</v>
      </c>
      <c r="L163" s="143">
        <v>600</v>
      </c>
      <c r="M163" s="190">
        <v>6.6007856618550012</v>
      </c>
      <c r="N163" s="144">
        <v>170.57802169237814</v>
      </c>
      <c r="O163" s="145">
        <v>11413.277842864052</v>
      </c>
      <c r="P163" s="183">
        <v>14058.263240772079</v>
      </c>
      <c r="Q163" s="169">
        <v>8203.3683669666007</v>
      </c>
      <c r="R163" s="312">
        <v>19616.646209830651</v>
      </c>
      <c r="S163" s="313">
        <v>22261.63160773868</v>
      </c>
      <c r="U163" s="7" t="s">
        <v>2676</v>
      </c>
    </row>
    <row r="164" spans="1:21" ht="16.5" thickBot="1">
      <c r="A164" s="50" t="s">
        <v>35</v>
      </c>
      <c r="B164" s="51">
        <f t="shared" ref="B164:B211" si="9">J164</f>
        <v>110</v>
      </c>
      <c r="C164" s="51" t="s">
        <v>3</v>
      </c>
      <c r="D164" s="51">
        <f t="shared" ref="D164:D211" si="10">K164</f>
        <v>300</v>
      </c>
      <c r="E164" s="51" t="s">
        <v>3</v>
      </c>
      <c r="F164" s="99">
        <f t="shared" ref="F164:F211" si="11">L164</f>
        <v>650</v>
      </c>
      <c r="G164" s="51" t="s">
        <v>3</v>
      </c>
      <c r="H164" s="48">
        <v>2</v>
      </c>
      <c r="I164" s="49" t="s">
        <v>45</v>
      </c>
      <c r="J164" s="184">
        <v>110</v>
      </c>
      <c r="K164" s="75">
        <v>300</v>
      </c>
      <c r="L164" s="75">
        <v>650</v>
      </c>
      <c r="M164" s="191">
        <v>7.0418165417350007</v>
      </c>
      <c r="N164" s="87">
        <v>204.69362603085372</v>
      </c>
      <c r="O164" s="123">
        <v>11884.390374064164</v>
      </c>
      <c r="P164" s="121">
        <v>14696.091064827229</v>
      </c>
      <c r="Q164" s="120">
        <v>8683.7735348305905</v>
      </c>
      <c r="R164" s="314">
        <v>20568.163908894756</v>
      </c>
      <c r="S164" s="315">
        <v>23379.86459965782</v>
      </c>
      <c r="U164" s="7" t="s">
        <v>2677</v>
      </c>
    </row>
    <row r="165" spans="1:21" ht="16.5" thickBot="1">
      <c r="A165" s="50" t="s">
        <v>35</v>
      </c>
      <c r="B165" s="51">
        <f t="shared" si="9"/>
        <v>110</v>
      </c>
      <c r="C165" s="51" t="s">
        <v>3</v>
      </c>
      <c r="D165" s="51">
        <f t="shared" si="10"/>
        <v>300</v>
      </c>
      <c r="E165" s="51" t="s">
        <v>3</v>
      </c>
      <c r="F165" s="99">
        <f t="shared" si="11"/>
        <v>700</v>
      </c>
      <c r="G165" s="51" t="s">
        <v>3</v>
      </c>
      <c r="H165" s="48">
        <v>2</v>
      </c>
      <c r="I165" s="49" t="s">
        <v>45</v>
      </c>
      <c r="J165" s="184">
        <v>110</v>
      </c>
      <c r="K165" s="75">
        <v>300</v>
      </c>
      <c r="L165" s="75">
        <v>700</v>
      </c>
      <c r="M165" s="191">
        <v>7.499887421615</v>
      </c>
      <c r="N165" s="87">
        <v>238.80923036932938</v>
      </c>
      <c r="O165" s="123">
        <v>12355.502905264277</v>
      </c>
      <c r="P165" s="121">
        <v>15333.918748489015</v>
      </c>
      <c r="Q165" s="120">
        <v>9394.7606208712132</v>
      </c>
      <c r="R165" s="314">
        <v>21750.263526135488</v>
      </c>
      <c r="S165" s="315">
        <v>24728.67936936023</v>
      </c>
      <c r="U165" s="7" t="s">
        <v>2678</v>
      </c>
    </row>
    <row r="166" spans="1:21" ht="16.5" thickBot="1">
      <c r="A166" s="50" t="s">
        <v>35</v>
      </c>
      <c r="B166" s="51">
        <f t="shared" si="9"/>
        <v>110</v>
      </c>
      <c r="C166" s="51" t="s">
        <v>3</v>
      </c>
      <c r="D166" s="51">
        <f t="shared" si="10"/>
        <v>300</v>
      </c>
      <c r="E166" s="51" t="s">
        <v>3</v>
      </c>
      <c r="F166" s="99">
        <f t="shared" si="11"/>
        <v>750</v>
      </c>
      <c r="G166" s="51" t="s">
        <v>3</v>
      </c>
      <c r="H166" s="48">
        <v>2</v>
      </c>
      <c r="I166" s="49" t="s">
        <v>45</v>
      </c>
      <c r="J166" s="184">
        <v>110</v>
      </c>
      <c r="K166" s="75">
        <v>300</v>
      </c>
      <c r="L166" s="75">
        <v>750</v>
      </c>
      <c r="M166" s="191">
        <v>7.9409183014949996</v>
      </c>
      <c r="N166" s="87">
        <v>272.92483470780502</v>
      </c>
      <c r="O166" s="123">
        <v>12826.61543646439</v>
      </c>
      <c r="P166" s="121">
        <v>15971.746572544165</v>
      </c>
      <c r="Q166" s="120">
        <v>9875.165788735203</v>
      </c>
      <c r="R166" s="314">
        <v>22701.781225199593</v>
      </c>
      <c r="S166" s="315">
        <v>25846.91236127937</v>
      </c>
      <c r="U166" s="7" t="s">
        <v>2679</v>
      </c>
    </row>
    <row r="167" spans="1:21" ht="16.5" thickBot="1">
      <c r="A167" s="50" t="s">
        <v>35</v>
      </c>
      <c r="B167" s="51">
        <f t="shared" si="9"/>
        <v>110</v>
      </c>
      <c r="C167" s="51" t="s">
        <v>3</v>
      </c>
      <c r="D167" s="51">
        <f t="shared" si="10"/>
        <v>300</v>
      </c>
      <c r="E167" s="51" t="s">
        <v>3</v>
      </c>
      <c r="F167" s="99">
        <f t="shared" si="11"/>
        <v>800</v>
      </c>
      <c r="G167" s="51" t="s">
        <v>3</v>
      </c>
      <c r="H167" s="48">
        <v>2</v>
      </c>
      <c r="I167" s="49" t="s">
        <v>45</v>
      </c>
      <c r="J167" s="184">
        <v>110</v>
      </c>
      <c r="K167" s="75">
        <v>300</v>
      </c>
      <c r="L167" s="75">
        <v>800</v>
      </c>
      <c r="M167" s="191">
        <v>8.3819491813749991</v>
      </c>
      <c r="N167" s="87">
        <v>307.04043904628065</v>
      </c>
      <c r="O167" s="123">
        <v>13297.727967664501</v>
      </c>
      <c r="P167" s="121">
        <v>16609.574396599317</v>
      </c>
      <c r="Q167" s="120">
        <v>10355.570956599189</v>
      </c>
      <c r="R167" s="314">
        <v>23653.29892426369</v>
      </c>
      <c r="S167" s="315">
        <v>26965.145353198506</v>
      </c>
      <c r="U167" s="7" t="s">
        <v>2680</v>
      </c>
    </row>
    <row r="168" spans="1:21" ht="16.5" thickBot="1">
      <c r="A168" s="50" t="s">
        <v>35</v>
      </c>
      <c r="B168" s="51">
        <f t="shared" si="9"/>
        <v>110</v>
      </c>
      <c r="C168" s="51" t="s">
        <v>3</v>
      </c>
      <c r="D168" s="51">
        <f t="shared" si="10"/>
        <v>300</v>
      </c>
      <c r="E168" s="51" t="s">
        <v>3</v>
      </c>
      <c r="F168" s="99">
        <f t="shared" si="11"/>
        <v>850</v>
      </c>
      <c r="G168" s="51" t="s">
        <v>3</v>
      </c>
      <c r="H168" s="48">
        <v>2</v>
      </c>
      <c r="I168" s="49" t="s">
        <v>45</v>
      </c>
      <c r="J168" s="184">
        <v>110</v>
      </c>
      <c r="K168" s="75">
        <v>300</v>
      </c>
      <c r="L168" s="75">
        <v>850</v>
      </c>
      <c r="M168" s="191">
        <v>8.8400200612550002</v>
      </c>
      <c r="N168" s="87">
        <v>341.15604338475629</v>
      </c>
      <c r="O168" s="123">
        <v>13768.840498864614</v>
      </c>
      <c r="P168" s="121">
        <v>17247.402080261105</v>
      </c>
      <c r="Q168" s="120">
        <v>11066.558042639816</v>
      </c>
      <c r="R168" s="314">
        <v>24835.39854150443</v>
      </c>
      <c r="S168" s="315">
        <v>28313.96012290092</v>
      </c>
      <c r="U168" s="7" t="s">
        <v>2681</v>
      </c>
    </row>
    <row r="169" spans="1:21" ht="16.5" thickBot="1">
      <c r="A169" s="50" t="s">
        <v>35</v>
      </c>
      <c r="B169" s="51">
        <f t="shared" si="9"/>
        <v>110</v>
      </c>
      <c r="C169" s="51" t="s">
        <v>3</v>
      </c>
      <c r="D169" s="51">
        <f t="shared" si="10"/>
        <v>300</v>
      </c>
      <c r="E169" s="51" t="s">
        <v>3</v>
      </c>
      <c r="F169" s="99">
        <f t="shared" si="11"/>
        <v>900</v>
      </c>
      <c r="G169" s="51" t="s">
        <v>3</v>
      </c>
      <c r="H169" s="48">
        <v>2</v>
      </c>
      <c r="I169" s="49" t="s">
        <v>45</v>
      </c>
      <c r="J169" s="184">
        <v>110</v>
      </c>
      <c r="K169" s="75">
        <v>300</v>
      </c>
      <c r="L169" s="75">
        <v>900</v>
      </c>
      <c r="M169" s="191">
        <v>9.2810509411349997</v>
      </c>
      <c r="N169" s="87">
        <v>375.27164772323187</v>
      </c>
      <c r="O169" s="123">
        <v>14239.953030064727</v>
      </c>
      <c r="P169" s="121">
        <v>17885.229904316257</v>
      </c>
      <c r="Q169" s="120">
        <v>11546.963210503804</v>
      </c>
      <c r="R169" s="314">
        <v>25786.916240568531</v>
      </c>
      <c r="S169" s="315">
        <v>29432.19311482006</v>
      </c>
      <c r="U169" s="7" t="s">
        <v>2682</v>
      </c>
    </row>
    <row r="170" spans="1:21" ht="16.5" thickBot="1">
      <c r="A170" s="50" t="s">
        <v>35</v>
      </c>
      <c r="B170" s="51">
        <f t="shared" si="9"/>
        <v>110</v>
      </c>
      <c r="C170" s="51" t="s">
        <v>3</v>
      </c>
      <c r="D170" s="51">
        <f t="shared" si="10"/>
        <v>300</v>
      </c>
      <c r="E170" s="51" t="s">
        <v>3</v>
      </c>
      <c r="F170" s="99">
        <f t="shared" si="11"/>
        <v>950</v>
      </c>
      <c r="G170" s="51" t="s">
        <v>3</v>
      </c>
      <c r="H170" s="48">
        <v>2</v>
      </c>
      <c r="I170" s="49" t="s">
        <v>45</v>
      </c>
      <c r="J170" s="184">
        <v>110</v>
      </c>
      <c r="K170" s="75">
        <v>300</v>
      </c>
      <c r="L170" s="75">
        <v>950</v>
      </c>
      <c r="M170" s="191">
        <v>9.7391218210150008</v>
      </c>
      <c r="N170" s="87">
        <v>409.38725206170744</v>
      </c>
      <c r="O170" s="123">
        <v>14711.065561264839</v>
      </c>
      <c r="P170" s="121">
        <v>18523.057728371405</v>
      </c>
      <c r="Q170" s="120">
        <v>12257.950156151066</v>
      </c>
      <c r="R170" s="314">
        <v>26969.015717415903</v>
      </c>
      <c r="S170" s="315">
        <v>30781.007884522471</v>
      </c>
      <c r="U170" s="7" t="s">
        <v>2683</v>
      </c>
    </row>
    <row r="171" spans="1:21" ht="16.5" thickBot="1">
      <c r="A171" s="50" t="s">
        <v>35</v>
      </c>
      <c r="B171" s="51">
        <f t="shared" si="9"/>
        <v>110</v>
      </c>
      <c r="C171" s="51" t="s">
        <v>3</v>
      </c>
      <c r="D171" s="51">
        <f t="shared" si="10"/>
        <v>300</v>
      </c>
      <c r="E171" s="51" t="s">
        <v>3</v>
      </c>
      <c r="F171" s="99">
        <f t="shared" si="11"/>
        <v>1000</v>
      </c>
      <c r="G171" s="51" t="s">
        <v>3</v>
      </c>
      <c r="H171" s="48">
        <v>2</v>
      </c>
      <c r="I171" s="49" t="s">
        <v>45</v>
      </c>
      <c r="J171" s="184">
        <v>110</v>
      </c>
      <c r="K171" s="75">
        <v>300</v>
      </c>
      <c r="L171" s="75">
        <v>1000</v>
      </c>
      <c r="M171" s="191">
        <v>10.180152700895</v>
      </c>
      <c r="N171" s="87">
        <v>443.50285640018319</v>
      </c>
      <c r="O171" s="123">
        <v>15182.178092464952</v>
      </c>
      <c r="P171" s="121">
        <v>19160.885552426553</v>
      </c>
      <c r="Q171" s="120">
        <v>12738.355464408416</v>
      </c>
      <c r="R171" s="314">
        <v>27920.533556873368</v>
      </c>
      <c r="S171" s="315">
        <v>31899.241016834967</v>
      </c>
      <c r="U171" s="7" t="s">
        <v>2684</v>
      </c>
    </row>
    <row r="172" spans="1:21" ht="16.5" thickBot="1">
      <c r="A172" s="50" t="s">
        <v>35</v>
      </c>
      <c r="B172" s="51">
        <f t="shared" si="9"/>
        <v>110</v>
      </c>
      <c r="C172" s="51" t="s">
        <v>3</v>
      </c>
      <c r="D172" s="51">
        <f t="shared" si="10"/>
        <v>300</v>
      </c>
      <c r="E172" s="51" t="s">
        <v>3</v>
      </c>
      <c r="F172" s="99">
        <f t="shared" si="11"/>
        <v>1050</v>
      </c>
      <c r="G172" s="51" t="s">
        <v>3</v>
      </c>
      <c r="H172" s="48">
        <v>2</v>
      </c>
      <c r="I172" s="49" t="s">
        <v>45</v>
      </c>
      <c r="J172" s="184">
        <v>110</v>
      </c>
      <c r="K172" s="75">
        <v>300</v>
      </c>
      <c r="L172" s="75">
        <v>1050</v>
      </c>
      <c r="M172" s="191">
        <v>10.638223580775</v>
      </c>
      <c r="N172" s="87">
        <v>477.61846073865877</v>
      </c>
      <c r="O172" s="123">
        <v>15653.290623665065</v>
      </c>
      <c r="P172" s="121">
        <v>19798.713236088341</v>
      </c>
      <c r="Q172" s="120">
        <v>13449.342410055679</v>
      </c>
      <c r="R172" s="314">
        <v>29102.633033720744</v>
      </c>
      <c r="S172" s="315">
        <v>33248.055646144021</v>
      </c>
      <c r="U172" s="7" t="s">
        <v>2685</v>
      </c>
    </row>
    <row r="173" spans="1:21" ht="16.5" thickBot="1">
      <c r="A173" s="47" t="s">
        <v>35</v>
      </c>
      <c r="B173" s="48">
        <f t="shared" si="9"/>
        <v>110</v>
      </c>
      <c r="C173" s="48" t="s">
        <v>3</v>
      </c>
      <c r="D173" s="48">
        <f t="shared" si="10"/>
        <v>300</v>
      </c>
      <c r="E173" s="48" t="s">
        <v>3</v>
      </c>
      <c r="F173" s="99">
        <f t="shared" si="11"/>
        <v>1100</v>
      </c>
      <c r="G173" s="48" t="s">
        <v>3</v>
      </c>
      <c r="H173" s="48">
        <v>2</v>
      </c>
      <c r="I173" s="49" t="s">
        <v>45</v>
      </c>
      <c r="J173" s="184">
        <v>110</v>
      </c>
      <c r="K173" s="75">
        <v>300</v>
      </c>
      <c r="L173" s="75">
        <v>1100</v>
      </c>
      <c r="M173" s="191">
        <v>11.079254460655001</v>
      </c>
      <c r="N173" s="87">
        <v>511.7340650771344</v>
      </c>
      <c r="O173" s="123">
        <v>16124.403154865176</v>
      </c>
      <c r="P173" s="121">
        <v>20436.541060143492</v>
      </c>
      <c r="Q173" s="120">
        <v>13929.747718313029</v>
      </c>
      <c r="R173" s="314">
        <v>30054.150873178205</v>
      </c>
      <c r="S173" s="315">
        <v>34366.288778456525</v>
      </c>
      <c r="U173" s="7" t="s">
        <v>2686</v>
      </c>
    </row>
    <row r="174" spans="1:21" ht="16.5" thickBot="1">
      <c r="A174" s="50" t="s">
        <v>35</v>
      </c>
      <c r="B174" s="51">
        <f t="shared" si="9"/>
        <v>110</v>
      </c>
      <c r="C174" s="51" t="s">
        <v>3</v>
      </c>
      <c r="D174" s="51">
        <f t="shared" si="10"/>
        <v>300</v>
      </c>
      <c r="E174" s="51" t="s">
        <v>3</v>
      </c>
      <c r="F174" s="99">
        <f t="shared" si="11"/>
        <v>1150</v>
      </c>
      <c r="G174" s="51" t="s">
        <v>3</v>
      </c>
      <c r="H174" s="48">
        <v>2</v>
      </c>
      <c r="I174" s="49" t="s">
        <v>45</v>
      </c>
      <c r="J174" s="184">
        <v>110</v>
      </c>
      <c r="K174" s="75">
        <v>300</v>
      </c>
      <c r="L174" s="75">
        <v>1150</v>
      </c>
      <c r="M174" s="191">
        <v>11.520285340535001</v>
      </c>
      <c r="N174" s="87">
        <v>545.84966941561004</v>
      </c>
      <c r="O174" s="123">
        <v>16595.515686065148</v>
      </c>
      <c r="P174" s="121">
        <v>21074.36888419864</v>
      </c>
      <c r="Q174" s="120">
        <v>14410.152886177015</v>
      </c>
      <c r="R174" s="314">
        <v>31005.668572242161</v>
      </c>
      <c r="S174" s="315">
        <v>35484.521770375657</v>
      </c>
      <c r="U174" s="7" t="s">
        <v>2687</v>
      </c>
    </row>
    <row r="175" spans="1:21" ht="16.5" thickBot="1">
      <c r="A175" s="50" t="s">
        <v>35</v>
      </c>
      <c r="B175" s="51">
        <f t="shared" si="9"/>
        <v>110</v>
      </c>
      <c r="C175" s="51" t="s">
        <v>3</v>
      </c>
      <c r="D175" s="51">
        <f t="shared" si="10"/>
        <v>300</v>
      </c>
      <c r="E175" s="51" t="s">
        <v>3</v>
      </c>
      <c r="F175" s="99">
        <f t="shared" si="11"/>
        <v>1200</v>
      </c>
      <c r="G175" s="51" t="s">
        <v>3</v>
      </c>
      <c r="H175" s="48">
        <v>2</v>
      </c>
      <c r="I175" s="49" t="s">
        <v>45</v>
      </c>
      <c r="J175" s="184">
        <v>110</v>
      </c>
      <c r="K175" s="75">
        <v>300</v>
      </c>
      <c r="L175" s="75">
        <v>1200</v>
      </c>
      <c r="M175" s="191">
        <v>12.017606220415001</v>
      </c>
      <c r="N175" s="87">
        <v>579.96527375408562</v>
      </c>
      <c r="O175" s="123">
        <v>17112.499923348565</v>
      </c>
      <c r="P175" s="121">
        <v>21758.348499095144</v>
      </c>
      <c r="Q175" s="120">
        <v>15121.139831824277</v>
      </c>
      <c r="R175" s="314">
        <v>32233.639755172844</v>
      </c>
      <c r="S175" s="315">
        <v>36879.488330919419</v>
      </c>
      <c r="U175" s="7" t="s">
        <v>2688</v>
      </c>
    </row>
    <row r="176" spans="1:21" ht="16.5" thickBot="1">
      <c r="A176" s="50" t="s">
        <v>35</v>
      </c>
      <c r="B176" s="51">
        <f t="shared" si="9"/>
        <v>110</v>
      </c>
      <c r="C176" s="51" t="s">
        <v>3</v>
      </c>
      <c r="D176" s="51">
        <f t="shared" si="10"/>
        <v>300</v>
      </c>
      <c r="E176" s="51" t="s">
        <v>3</v>
      </c>
      <c r="F176" s="99">
        <f t="shared" si="11"/>
        <v>1250</v>
      </c>
      <c r="G176" s="51" t="s">
        <v>3</v>
      </c>
      <c r="H176" s="48">
        <v>2</v>
      </c>
      <c r="I176" s="49" t="s">
        <v>45</v>
      </c>
      <c r="J176" s="184">
        <v>110</v>
      </c>
      <c r="K176" s="75">
        <v>300</v>
      </c>
      <c r="L176" s="75">
        <v>1250</v>
      </c>
      <c r="M176" s="191">
        <v>12.458637100294998</v>
      </c>
      <c r="N176" s="87">
        <v>614.08087809256131</v>
      </c>
      <c r="O176" s="123">
        <v>17583.612454548678</v>
      </c>
      <c r="P176" s="121">
        <v>22396.176323150292</v>
      </c>
      <c r="Q176" s="120">
        <v>15601.545140081627</v>
      </c>
      <c r="R176" s="314">
        <v>33185.157594630306</v>
      </c>
      <c r="S176" s="315">
        <v>37997.721463231923</v>
      </c>
      <c r="U176" s="7" t="s">
        <v>2689</v>
      </c>
    </row>
    <row r="177" spans="1:21" ht="16.5" thickBot="1">
      <c r="A177" s="50" t="s">
        <v>35</v>
      </c>
      <c r="B177" s="51">
        <f t="shared" si="9"/>
        <v>110</v>
      </c>
      <c r="C177" s="51" t="s">
        <v>3</v>
      </c>
      <c r="D177" s="51">
        <f t="shared" si="10"/>
        <v>300</v>
      </c>
      <c r="E177" s="51" t="s">
        <v>3</v>
      </c>
      <c r="F177" s="99">
        <f t="shared" si="11"/>
        <v>1300</v>
      </c>
      <c r="G177" s="51" t="s">
        <v>3</v>
      </c>
      <c r="H177" s="48">
        <v>2</v>
      </c>
      <c r="I177" s="49" t="s">
        <v>45</v>
      </c>
      <c r="J177" s="184">
        <v>110</v>
      </c>
      <c r="K177" s="75">
        <v>300</v>
      </c>
      <c r="L177" s="75">
        <v>1300</v>
      </c>
      <c r="M177" s="191">
        <v>12.916707980175001</v>
      </c>
      <c r="N177" s="87">
        <v>648.196482431037</v>
      </c>
      <c r="O177" s="123">
        <v>18054.724985748791</v>
      </c>
      <c r="P177" s="121">
        <v>23034.00400681208</v>
      </c>
      <c r="Q177" s="120">
        <v>16312.53208572889</v>
      </c>
      <c r="R177" s="314">
        <v>34367.257071477681</v>
      </c>
      <c r="S177" s="315">
        <v>39346.53609254097</v>
      </c>
      <c r="U177" s="7" t="s">
        <v>2690</v>
      </c>
    </row>
    <row r="178" spans="1:21" ht="16.5" thickBot="1">
      <c r="A178" s="50" t="s">
        <v>35</v>
      </c>
      <c r="B178" s="51">
        <f t="shared" si="9"/>
        <v>110</v>
      </c>
      <c r="C178" s="51" t="s">
        <v>3</v>
      </c>
      <c r="D178" s="51">
        <f t="shared" si="10"/>
        <v>300</v>
      </c>
      <c r="E178" s="51" t="s">
        <v>3</v>
      </c>
      <c r="F178" s="99">
        <f t="shared" si="11"/>
        <v>1350</v>
      </c>
      <c r="G178" s="51" t="s">
        <v>3</v>
      </c>
      <c r="H178" s="48">
        <v>2</v>
      </c>
      <c r="I178" s="49" t="s">
        <v>45</v>
      </c>
      <c r="J178" s="184">
        <v>110</v>
      </c>
      <c r="K178" s="75">
        <v>300</v>
      </c>
      <c r="L178" s="75">
        <v>1350</v>
      </c>
      <c r="M178" s="191">
        <v>13.357738860055001</v>
      </c>
      <c r="N178" s="87">
        <v>682.31208676951258</v>
      </c>
      <c r="O178" s="123">
        <v>18525.837516948905</v>
      </c>
      <c r="P178" s="121">
        <v>23671.831830867228</v>
      </c>
      <c r="Q178" s="120">
        <v>16792.937253592878</v>
      </c>
      <c r="R178" s="314">
        <v>35318.774770541786</v>
      </c>
      <c r="S178" s="315">
        <v>40464.769084460102</v>
      </c>
      <c r="U178" s="7" t="s">
        <v>2691</v>
      </c>
    </row>
    <row r="179" spans="1:21" ht="16.5" thickBot="1">
      <c r="A179" s="50" t="s">
        <v>35</v>
      </c>
      <c r="B179" s="51">
        <f t="shared" si="9"/>
        <v>110</v>
      </c>
      <c r="C179" s="51" t="s">
        <v>3</v>
      </c>
      <c r="D179" s="51">
        <f t="shared" si="10"/>
        <v>300</v>
      </c>
      <c r="E179" s="51" t="s">
        <v>3</v>
      </c>
      <c r="F179" s="99">
        <f t="shared" si="11"/>
        <v>1400</v>
      </c>
      <c r="G179" s="51" t="s">
        <v>3</v>
      </c>
      <c r="H179" s="48">
        <v>2</v>
      </c>
      <c r="I179" s="49" t="s">
        <v>45</v>
      </c>
      <c r="J179" s="184">
        <v>110</v>
      </c>
      <c r="K179" s="75">
        <v>300</v>
      </c>
      <c r="L179" s="75">
        <v>1400</v>
      </c>
      <c r="M179" s="191">
        <v>13.815809739935002</v>
      </c>
      <c r="N179" s="87">
        <v>716.42769110798815</v>
      </c>
      <c r="O179" s="123">
        <v>18996.950048149018</v>
      </c>
      <c r="P179" s="121">
        <v>24309.65965492238</v>
      </c>
      <c r="Q179" s="120">
        <v>17503.924339633504</v>
      </c>
      <c r="R179" s="314">
        <v>36500.874387782518</v>
      </c>
      <c r="S179" s="315">
        <v>41813.583994555884</v>
      </c>
      <c r="U179" s="7" t="s">
        <v>2692</v>
      </c>
    </row>
    <row r="180" spans="1:21" ht="16.5" thickBot="1">
      <c r="A180" s="50" t="s">
        <v>35</v>
      </c>
      <c r="B180" s="51">
        <f t="shared" si="9"/>
        <v>110</v>
      </c>
      <c r="C180" s="51" t="s">
        <v>3</v>
      </c>
      <c r="D180" s="51">
        <f t="shared" si="10"/>
        <v>300</v>
      </c>
      <c r="E180" s="51" t="s">
        <v>3</v>
      </c>
      <c r="F180" s="99">
        <f t="shared" si="11"/>
        <v>1450</v>
      </c>
      <c r="G180" s="51" t="s">
        <v>3</v>
      </c>
      <c r="H180" s="48">
        <v>2</v>
      </c>
      <c r="I180" s="49" t="s">
        <v>45</v>
      </c>
      <c r="J180" s="184">
        <v>110</v>
      </c>
      <c r="K180" s="75">
        <v>300</v>
      </c>
      <c r="L180" s="75">
        <v>1450</v>
      </c>
      <c r="M180" s="191">
        <v>14.256840619815002</v>
      </c>
      <c r="N180" s="87">
        <v>750.54329544646373</v>
      </c>
      <c r="O180" s="123">
        <v>19468.062579349131</v>
      </c>
      <c r="P180" s="121">
        <v>24947.487338584167</v>
      </c>
      <c r="Q180" s="120">
        <v>17984.32950749735</v>
      </c>
      <c r="R180" s="314">
        <v>37452.392086846477</v>
      </c>
      <c r="S180" s="315">
        <v>42931.816846081521</v>
      </c>
      <c r="U180" s="7" t="s">
        <v>2693</v>
      </c>
    </row>
    <row r="181" spans="1:21" ht="16.5" thickBot="1">
      <c r="A181" s="50" t="s">
        <v>35</v>
      </c>
      <c r="B181" s="51">
        <f t="shared" si="9"/>
        <v>110</v>
      </c>
      <c r="C181" s="51" t="s">
        <v>3</v>
      </c>
      <c r="D181" s="51">
        <f t="shared" si="10"/>
        <v>300</v>
      </c>
      <c r="E181" s="51" t="s">
        <v>3</v>
      </c>
      <c r="F181" s="99">
        <f t="shared" si="11"/>
        <v>1500</v>
      </c>
      <c r="G181" s="51" t="s">
        <v>3</v>
      </c>
      <c r="H181" s="48">
        <v>2</v>
      </c>
      <c r="I181" s="49" t="s">
        <v>45</v>
      </c>
      <c r="J181" s="184">
        <v>110</v>
      </c>
      <c r="K181" s="75">
        <v>300</v>
      </c>
      <c r="L181" s="75">
        <v>1500</v>
      </c>
      <c r="M181" s="191">
        <v>14.882064656995</v>
      </c>
      <c r="N181" s="87">
        <v>784.65889978493942</v>
      </c>
      <c r="O181" s="123">
        <v>20643.438196886291</v>
      </c>
      <c r="P181" s="121">
        <v>26247.365615100043</v>
      </c>
      <c r="Q181" s="120">
        <v>18695.316593538118</v>
      </c>
      <c r="R181" s="314">
        <v>39338.754790424413</v>
      </c>
      <c r="S181" s="315">
        <v>44942.682208638158</v>
      </c>
      <c r="U181" s="7" t="s">
        <v>2694</v>
      </c>
    </row>
    <row r="182" spans="1:21" ht="16.5" thickBot="1">
      <c r="A182" s="50" t="s">
        <v>35</v>
      </c>
      <c r="B182" s="51">
        <f t="shared" si="9"/>
        <v>110</v>
      </c>
      <c r="C182" s="51" t="s">
        <v>3</v>
      </c>
      <c r="D182" s="51">
        <f t="shared" si="10"/>
        <v>300</v>
      </c>
      <c r="E182" s="51" t="s">
        <v>3</v>
      </c>
      <c r="F182" s="99">
        <f t="shared" si="11"/>
        <v>1550</v>
      </c>
      <c r="G182" s="51" t="s">
        <v>3</v>
      </c>
      <c r="H182" s="48">
        <v>2</v>
      </c>
      <c r="I182" s="49" t="s">
        <v>45</v>
      </c>
      <c r="J182" s="184">
        <v>110</v>
      </c>
      <c r="K182" s="75">
        <v>300</v>
      </c>
      <c r="L182" s="75">
        <v>1550</v>
      </c>
      <c r="M182" s="191">
        <v>15.323095536875002</v>
      </c>
      <c r="N182" s="87">
        <v>818.77450412341489</v>
      </c>
      <c r="O182" s="123">
        <v>21114.550728086404</v>
      </c>
      <c r="P182" s="121">
        <v>26885.193439155195</v>
      </c>
      <c r="Q182" s="120">
        <v>19175.721761402103</v>
      </c>
      <c r="R182" s="314">
        <v>40290.272489488503</v>
      </c>
      <c r="S182" s="315">
        <v>46060.915200557298</v>
      </c>
      <c r="U182" s="7" t="s">
        <v>2695</v>
      </c>
    </row>
    <row r="183" spans="1:21" ht="16.5" thickBot="1">
      <c r="A183" s="47" t="s">
        <v>35</v>
      </c>
      <c r="B183" s="48">
        <f t="shared" si="9"/>
        <v>110</v>
      </c>
      <c r="C183" s="48" t="s">
        <v>3</v>
      </c>
      <c r="D183" s="48">
        <f t="shared" si="10"/>
        <v>300</v>
      </c>
      <c r="E183" s="48" t="s">
        <v>3</v>
      </c>
      <c r="F183" s="99">
        <f t="shared" si="11"/>
        <v>1600</v>
      </c>
      <c r="G183" s="48" t="s">
        <v>3</v>
      </c>
      <c r="H183" s="48">
        <v>2</v>
      </c>
      <c r="I183" s="49" t="s">
        <v>45</v>
      </c>
      <c r="J183" s="184">
        <v>110</v>
      </c>
      <c r="K183" s="75">
        <v>300</v>
      </c>
      <c r="L183" s="75">
        <v>1600</v>
      </c>
      <c r="M183" s="191">
        <v>15.764126416754999</v>
      </c>
      <c r="N183" s="87">
        <v>852.89010846189069</v>
      </c>
      <c r="O183" s="123">
        <v>21585.663399679877</v>
      </c>
      <c r="P183" s="121">
        <v>27523.021263210343</v>
      </c>
      <c r="Q183" s="120">
        <v>19656.126929266091</v>
      </c>
      <c r="R183" s="314">
        <v>41241.790328945965</v>
      </c>
      <c r="S183" s="315">
        <v>47179.148192476438</v>
      </c>
      <c r="U183" s="7" t="s">
        <v>2696</v>
      </c>
    </row>
    <row r="184" spans="1:21" ht="16.5" thickBot="1">
      <c r="A184" s="50" t="s">
        <v>35</v>
      </c>
      <c r="B184" s="51">
        <f t="shared" si="9"/>
        <v>110</v>
      </c>
      <c r="C184" s="51" t="s">
        <v>3</v>
      </c>
      <c r="D184" s="51">
        <f t="shared" si="10"/>
        <v>300</v>
      </c>
      <c r="E184" s="51" t="s">
        <v>3</v>
      </c>
      <c r="F184" s="99">
        <f t="shared" si="11"/>
        <v>1650</v>
      </c>
      <c r="G184" s="51" t="s">
        <v>3</v>
      </c>
      <c r="H184" s="48">
        <v>2</v>
      </c>
      <c r="I184" s="49" t="s">
        <v>45</v>
      </c>
      <c r="J184" s="184">
        <v>110</v>
      </c>
      <c r="K184" s="75">
        <v>300</v>
      </c>
      <c r="L184" s="75">
        <v>1650</v>
      </c>
      <c r="M184" s="191">
        <v>16.222197296635002</v>
      </c>
      <c r="N184" s="87">
        <v>887.00571280036638</v>
      </c>
      <c r="O184" s="123">
        <v>22056.77593087999</v>
      </c>
      <c r="P184" s="121">
        <v>28160.848946872131</v>
      </c>
      <c r="Q184" s="120">
        <v>20367.114015306717</v>
      </c>
      <c r="R184" s="314">
        <v>42423.889946186711</v>
      </c>
      <c r="S184" s="315">
        <v>48527.962962178848</v>
      </c>
      <c r="U184" s="7" t="s">
        <v>2697</v>
      </c>
    </row>
    <row r="185" spans="1:21" ht="16.5" thickBot="1">
      <c r="A185" s="50" t="s">
        <v>35</v>
      </c>
      <c r="B185" s="51">
        <f t="shared" si="9"/>
        <v>110</v>
      </c>
      <c r="C185" s="51" t="s">
        <v>3</v>
      </c>
      <c r="D185" s="51">
        <f t="shared" si="10"/>
        <v>300</v>
      </c>
      <c r="E185" s="51" t="s">
        <v>3</v>
      </c>
      <c r="F185" s="99">
        <f t="shared" si="11"/>
        <v>1700</v>
      </c>
      <c r="G185" s="51" t="s">
        <v>3</v>
      </c>
      <c r="H185" s="48">
        <v>2</v>
      </c>
      <c r="I185" s="49" t="s">
        <v>45</v>
      </c>
      <c r="J185" s="184">
        <v>110</v>
      </c>
      <c r="K185" s="75">
        <v>300</v>
      </c>
      <c r="L185" s="75">
        <v>1700</v>
      </c>
      <c r="M185" s="191">
        <v>16.663228176515002</v>
      </c>
      <c r="N185" s="87">
        <v>921.12131713884196</v>
      </c>
      <c r="O185" s="123">
        <v>22527.888462080104</v>
      </c>
      <c r="P185" s="121">
        <v>28798.676770927279</v>
      </c>
      <c r="Q185" s="120">
        <v>20847.519183170705</v>
      </c>
      <c r="R185" s="314">
        <v>43375.407645250809</v>
      </c>
      <c r="S185" s="315">
        <v>49646.195954097988</v>
      </c>
      <c r="U185" s="7" t="s">
        <v>2698</v>
      </c>
    </row>
    <row r="186" spans="1:21" ht="16.5" thickBot="1">
      <c r="A186" s="50" t="s">
        <v>35</v>
      </c>
      <c r="B186" s="51">
        <f t="shared" si="9"/>
        <v>110</v>
      </c>
      <c r="C186" s="51" t="s">
        <v>3</v>
      </c>
      <c r="D186" s="51">
        <f t="shared" si="10"/>
        <v>300</v>
      </c>
      <c r="E186" s="51" t="s">
        <v>3</v>
      </c>
      <c r="F186" s="99">
        <f t="shared" si="11"/>
        <v>1750</v>
      </c>
      <c r="G186" s="51" t="s">
        <v>3</v>
      </c>
      <c r="H186" s="48">
        <v>2</v>
      </c>
      <c r="I186" s="49" t="s">
        <v>45</v>
      </c>
      <c r="J186" s="184">
        <v>110</v>
      </c>
      <c r="K186" s="75">
        <v>300</v>
      </c>
      <c r="L186" s="75">
        <v>1750</v>
      </c>
      <c r="M186" s="191">
        <v>17.121299056394999</v>
      </c>
      <c r="N186" s="87">
        <v>955.23692147731754</v>
      </c>
      <c r="O186" s="123">
        <v>22999.000993280217</v>
      </c>
      <c r="P186" s="121">
        <v>29436.504594982431</v>
      </c>
      <c r="Q186" s="120">
        <v>21558.506269211328</v>
      </c>
      <c r="R186" s="314">
        <v>44557.507262491548</v>
      </c>
      <c r="S186" s="315">
        <v>50995.010864193755</v>
      </c>
      <c r="U186" s="7" t="s">
        <v>2699</v>
      </c>
    </row>
    <row r="187" spans="1:21" ht="16.5" thickBot="1">
      <c r="A187" s="50" t="s">
        <v>35</v>
      </c>
      <c r="B187" s="51">
        <f t="shared" si="9"/>
        <v>110</v>
      </c>
      <c r="C187" s="51" t="s">
        <v>3</v>
      </c>
      <c r="D187" s="51">
        <f t="shared" si="10"/>
        <v>300</v>
      </c>
      <c r="E187" s="51" t="s">
        <v>3</v>
      </c>
      <c r="F187" s="99">
        <f t="shared" si="11"/>
        <v>1800</v>
      </c>
      <c r="G187" s="51" t="s">
        <v>3</v>
      </c>
      <c r="H187" s="48">
        <v>2</v>
      </c>
      <c r="I187" s="49" t="s">
        <v>45</v>
      </c>
      <c r="J187" s="184">
        <v>110</v>
      </c>
      <c r="K187" s="75">
        <v>300</v>
      </c>
      <c r="L187" s="75">
        <v>1800</v>
      </c>
      <c r="M187" s="191">
        <v>17.562329936274999</v>
      </c>
      <c r="N187" s="87">
        <v>989.35252581579311</v>
      </c>
      <c r="O187" s="123">
        <v>23470.11352448033</v>
      </c>
      <c r="P187" s="121">
        <v>30074.332419037582</v>
      </c>
      <c r="Q187" s="120">
        <v>22038.911437075316</v>
      </c>
      <c r="R187" s="314">
        <v>45509.024961555646</v>
      </c>
      <c r="S187" s="315">
        <v>52113.243856112895</v>
      </c>
      <c r="U187" s="7" t="s">
        <v>2700</v>
      </c>
    </row>
    <row r="188" spans="1:21" ht="16.5" thickBot="1">
      <c r="A188" s="50" t="s">
        <v>35</v>
      </c>
      <c r="B188" s="51">
        <f t="shared" si="9"/>
        <v>110</v>
      </c>
      <c r="C188" s="51" t="s">
        <v>3</v>
      </c>
      <c r="D188" s="51">
        <f t="shared" si="10"/>
        <v>300</v>
      </c>
      <c r="E188" s="51" t="s">
        <v>3</v>
      </c>
      <c r="F188" s="99">
        <f t="shared" si="11"/>
        <v>1850</v>
      </c>
      <c r="G188" s="51" t="s">
        <v>3</v>
      </c>
      <c r="H188" s="48">
        <v>2</v>
      </c>
      <c r="I188" s="49" t="s">
        <v>45</v>
      </c>
      <c r="J188" s="184">
        <v>110</v>
      </c>
      <c r="K188" s="75">
        <v>300</v>
      </c>
      <c r="L188" s="75">
        <v>1850</v>
      </c>
      <c r="M188" s="191">
        <v>18.020400816155004</v>
      </c>
      <c r="N188" s="87">
        <v>1023.4681301542688</v>
      </c>
      <c r="O188" s="123">
        <v>23941.226055680443</v>
      </c>
      <c r="P188" s="121">
        <v>30712.160102699367</v>
      </c>
      <c r="Q188" s="120">
        <v>22749.898382722578</v>
      </c>
      <c r="R188" s="314">
        <v>46691.124438403021</v>
      </c>
      <c r="S188" s="315">
        <v>53462.058485421949</v>
      </c>
      <c r="U188" s="7" t="s">
        <v>2701</v>
      </c>
    </row>
    <row r="189" spans="1:21" ht="16.5" thickBot="1">
      <c r="A189" s="50" t="s">
        <v>35</v>
      </c>
      <c r="B189" s="51">
        <f t="shared" si="9"/>
        <v>110</v>
      </c>
      <c r="C189" s="51" t="s">
        <v>3</v>
      </c>
      <c r="D189" s="51">
        <f t="shared" si="10"/>
        <v>300</v>
      </c>
      <c r="E189" s="51" t="s">
        <v>3</v>
      </c>
      <c r="F189" s="99">
        <f t="shared" si="11"/>
        <v>1900</v>
      </c>
      <c r="G189" s="51" t="s">
        <v>3</v>
      </c>
      <c r="H189" s="48">
        <v>2</v>
      </c>
      <c r="I189" s="49" t="s">
        <v>45</v>
      </c>
      <c r="J189" s="184">
        <v>110</v>
      </c>
      <c r="K189" s="75">
        <v>300</v>
      </c>
      <c r="L189" s="75">
        <v>1900</v>
      </c>
      <c r="M189" s="191">
        <v>18.461431696035</v>
      </c>
      <c r="N189" s="87">
        <v>1057.5837344927443</v>
      </c>
      <c r="O189" s="123">
        <v>24412.338586880556</v>
      </c>
      <c r="P189" s="121">
        <v>31349.987926754518</v>
      </c>
      <c r="Q189" s="120">
        <v>23230.30369097993</v>
      </c>
      <c r="R189" s="314">
        <v>47642.64227786049</v>
      </c>
      <c r="S189" s="315">
        <v>54580.291617734445</v>
      </c>
      <c r="U189" s="7" t="s">
        <v>2702</v>
      </c>
    </row>
    <row r="190" spans="1:21" ht="16.5" thickBot="1">
      <c r="A190" s="50" t="s">
        <v>35</v>
      </c>
      <c r="B190" s="51">
        <f t="shared" si="9"/>
        <v>110</v>
      </c>
      <c r="C190" s="51" t="s">
        <v>3</v>
      </c>
      <c r="D190" s="51">
        <f t="shared" si="10"/>
        <v>300</v>
      </c>
      <c r="E190" s="51" t="s">
        <v>3</v>
      </c>
      <c r="F190" s="99">
        <f t="shared" si="11"/>
        <v>1950</v>
      </c>
      <c r="G190" s="51" t="s">
        <v>3</v>
      </c>
      <c r="H190" s="48">
        <v>2</v>
      </c>
      <c r="I190" s="49" t="s">
        <v>45</v>
      </c>
      <c r="J190" s="184">
        <v>110</v>
      </c>
      <c r="K190" s="75">
        <v>300</v>
      </c>
      <c r="L190" s="75">
        <v>1950</v>
      </c>
      <c r="M190" s="191">
        <v>18.941712575915005</v>
      </c>
      <c r="N190" s="87">
        <v>1091.6993388312201</v>
      </c>
      <c r="O190" s="123">
        <v>24929.322824163832</v>
      </c>
      <c r="P190" s="121">
        <v>32033.967541651022</v>
      </c>
      <c r="Q190" s="120">
        <v>23710.708858843918</v>
      </c>
      <c r="R190" s="314">
        <v>48640.03168300775</v>
      </c>
      <c r="S190" s="315">
        <v>55744.676400494936</v>
      </c>
      <c r="U190" s="7" t="s">
        <v>2703</v>
      </c>
    </row>
    <row r="191" spans="1:21" ht="16.5" thickBot="1">
      <c r="A191" s="50" t="s">
        <v>35</v>
      </c>
      <c r="B191" s="51">
        <f t="shared" si="9"/>
        <v>110</v>
      </c>
      <c r="C191" s="51" t="s">
        <v>3</v>
      </c>
      <c r="D191" s="51">
        <f t="shared" si="10"/>
        <v>300</v>
      </c>
      <c r="E191" s="51" t="s">
        <v>3</v>
      </c>
      <c r="F191" s="99">
        <f t="shared" si="11"/>
        <v>2000</v>
      </c>
      <c r="G191" s="51" t="s">
        <v>3</v>
      </c>
      <c r="H191" s="48">
        <v>2</v>
      </c>
      <c r="I191" s="49" t="s">
        <v>45</v>
      </c>
      <c r="J191" s="184">
        <v>110</v>
      </c>
      <c r="K191" s="75">
        <v>300</v>
      </c>
      <c r="L191" s="75">
        <v>2000</v>
      </c>
      <c r="M191" s="191">
        <v>19.491345855795</v>
      </c>
      <c r="N191" s="87">
        <v>1125.8149431696957</v>
      </c>
      <c r="O191" s="123">
        <v>25630.978384579164</v>
      </c>
      <c r="P191" s="121">
        <v>32984.476093225472</v>
      </c>
      <c r="Q191" s="120">
        <v>24421.695804491177</v>
      </c>
      <c r="R191" s="314">
        <v>50052.674189070342</v>
      </c>
      <c r="S191" s="315">
        <v>57406.171897716646</v>
      </c>
      <c r="U191" s="7" t="s">
        <v>2704</v>
      </c>
    </row>
    <row r="192" spans="1:21" ht="16.5" thickBot="1">
      <c r="A192" s="50" t="s">
        <v>35</v>
      </c>
      <c r="B192" s="51">
        <f t="shared" si="9"/>
        <v>110</v>
      </c>
      <c r="C192" s="51" t="s">
        <v>3</v>
      </c>
      <c r="D192" s="51">
        <f t="shared" si="10"/>
        <v>300</v>
      </c>
      <c r="E192" s="51" t="s">
        <v>3</v>
      </c>
      <c r="F192" s="99">
        <f t="shared" si="11"/>
        <v>2050</v>
      </c>
      <c r="G192" s="51" t="s">
        <v>3</v>
      </c>
      <c r="H192" s="48">
        <v>2</v>
      </c>
      <c r="I192" s="49" t="s">
        <v>45</v>
      </c>
      <c r="J192" s="184">
        <v>110</v>
      </c>
      <c r="K192" s="75">
        <v>300</v>
      </c>
      <c r="L192" s="75">
        <v>2050</v>
      </c>
      <c r="M192" s="191">
        <v>19.932376735675</v>
      </c>
      <c r="N192" s="87">
        <v>1159.9305475081712</v>
      </c>
      <c r="O192" s="123">
        <v>26102.090915779278</v>
      </c>
      <c r="P192" s="121">
        <v>33622.303917280624</v>
      </c>
      <c r="Q192" s="120">
        <v>24902.101112748529</v>
      </c>
      <c r="R192" s="314">
        <v>51004.192028527803</v>
      </c>
      <c r="S192" s="315">
        <v>58524.405030029156</v>
      </c>
      <c r="U192" s="7" t="s">
        <v>2705</v>
      </c>
    </row>
    <row r="193" spans="1:21" ht="16.5" thickBot="1">
      <c r="A193" s="47" t="s">
        <v>35</v>
      </c>
      <c r="B193" s="48">
        <f t="shared" si="9"/>
        <v>110</v>
      </c>
      <c r="C193" s="48" t="s">
        <v>3</v>
      </c>
      <c r="D193" s="48">
        <f t="shared" si="10"/>
        <v>300</v>
      </c>
      <c r="E193" s="48" t="s">
        <v>3</v>
      </c>
      <c r="F193" s="99">
        <f t="shared" si="11"/>
        <v>2100</v>
      </c>
      <c r="G193" s="48" t="s">
        <v>3</v>
      </c>
      <c r="H193" s="48">
        <v>2</v>
      </c>
      <c r="I193" s="49" t="s">
        <v>45</v>
      </c>
      <c r="J193" s="184">
        <v>110</v>
      </c>
      <c r="K193" s="75">
        <v>300</v>
      </c>
      <c r="L193" s="75">
        <v>2100</v>
      </c>
      <c r="M193" s="191">
        <v>20.390447615555001</v>
      </c>
      <c r="N193" s="87">
        <v>1194.046151846647</v>
      </c>
      <c r="O193" s="123">
        <v>26573.203446979391</v>
      </c>
      <c r="P193" s="121">
        <v>34260.131600942404</v>
      </c>
      <c r="Q193" s="120">
        <v>25613.088058395791</v>
      </c>
      <c r="R193" s="314">
        <v>52186.291505375179</v>
      </c>
      <c r="S193" s="315">
        <v>59873.219659338196</v>
      </c>
      <c r="U193" s="7" t="s">
        <v>2706</v>
      </c>
    </row>
    <row r="194" spans="1:21" ht="16.5" thickBot="1">
      <c r="A194" s="50" t="s">
        <v>35</v>
      </c>
      <c r="B194" s="51">
        <f t="shared" si="9"/>
        <v>110</v>
      </c>
      <c r="C194" s="51" t="s">
        <v>3</v>
      </c>
      <c r="D194" s="51">
        <f t="shared" si="10"/>
        <v>300</v>
      </c>
      <c r="E194" s="51" t="s">
        <v>3</v>
      </c>
      <c r="F194" s="99">
        <f t="shared" si="11"/>
        <v>2150</v>
      </c>
      <c r="G194" s="51" t="s">
        <v>3</v>
      </c>
      <c r="H194" s="48">
        <v>2</v>
      </c>
      <c r="I194" s="49" t="s">
        <v>45</v>
      </c>
      <c r="J194" s="184">
        <v>110</v>
      </c>
      <c r="K194" s="75">
        <v>300</v>
      </c>
      <c r="L194" s="75">
        <v>2150</v>
      </c>
      <c r="M194" s="191">
        <v>20.831478495435</v>
      </c>
      <c r="N194" s="87">
        <v>1228.1617561851226</v>
      </c>
      <c r="O194" s="123">
        <v>27044.315978179504</v>
      </c>
      <c r="P194" s="121">
        <v>34897.959424997556</v>
      </c>
      <c r="Q194" s="120">
        <v>26093.493366653143</v>
      </c>
      <c r="R194" s="314">
        <v>53137.809344832647</v>
      </c>
      <c r="S194" s="315">
        <v>60991.4527916507</v>
      </c>
      <c r="U194" s="7" t="s">
        <v>2707</v>
      </c>
    </row>
    <row r="195" spans="1:21" ht="16.5" thickBot="1">
      <c r="A195" s="50" t="s">
        <v>35</v>
      </c>
      <c r="B195" s="51">
        <f t="shared" si="9"/>
        <v>110</v>
      </c>
      <c r="C195" s="51" t="s">
        <v>3</v>
      </c>
      <c r="D195" s="51">
        <f t="shared" si="10"/>
        <v>300</v>
      </c>
      <c r="E195" s="51" t="s">
        <v>3</v>
      </c>
      <c r="F195" s="99">
        <f t="shared" si="11"/>
        <v>2200</v>
      </c>
      <c r="G195" s="51" t="s">
        <v>3</v>
      </c>
      <c r="H195" s="48">
        <v>2</v>
      </c>
      <c r="I195" s="49" t="s">
        <v>45</v>
      </c>
      <c r="J195" s="184">
        <v>110</v>
      </c>
      <c r="K195" s="75">
        <v>300</v>
      </c>
      <c r="L195" s="75">
        <v>2200</v>
      </c>
      <c r="M195" s="191">
        <v>21.289549375315001</v>
      </c>
      <c r="N195" s="87">
        <v>1262.2773605235982</v>
      </c>
      <c r="O195" s="123">
        <v>27515.428509379617</v>
      </c>
      <c r="P195" s="121">
        <v>35535.787249052708</v>
      </c>
      <c r="Q195" s="120">
        <v>26804.480312300402</v>
      </c>
      <c r="R195" s="314">
        <v>54319.908821680016</v>
      </c>
      <c r="S195" s="315">
        <v>62340.26756135311</v>
      </c>
      <c r="U195" s="7" t="s">
        <v>2708</v>
      </c>
    </row>
    <row r="196" spans="1:21" ht="16.5" thickBot="1">
      <c r="A196" s="50" t="s">
        <v>35</v>
      </c>
      <c r="B196" s="51">
        <f t="shared" si="9"/>
        <v>110</v>
      </c>
      <c r="C196" s="51" t="s">
        <v>3</v>
      </c>
      <c r="D196" s="51">
        <f t="shared" si="10"/>
        <v>300</v>
      </c>
      <c r="E196" s="51" t="s">
        <v>3</v>
      </c>
      <c r="F196" s="99">
        <f t="shared" si="11"/>
        <v>2250</v>
      </c>
      <c r="G196" s="51" t="s">
        <v>3</v>
      </c>
      <c r="H196" s="48">
        <v>2</v>
      </c>
      <c r="I196" s="49" t="s">
        <v>45</v>
      </c>
      <c r="J196" s="184">
        <v>110</v>
      </c>
      <c r="K196" s="75">
        <v>300</v>
      </c>
      <c r="L196" s="75">
        <v>2250</v>
      </c>
      <c r="M196" s="191">
        <v>21.730580255195001</v>
      </c>
      <c r="N196" s="87">
        <v>1296.392964862074</v>
      </c>
      <c r="O196" s="123">
        <v>27986.54104057973</v>
      </c>
      <c r="P196" s="121">
        <v>36173.61507310786</v>
      </c>
      <c r="Q196" s="120">
        <v>27284.885480164394</v>
      </c>
      <c r="R196" s="314">
        <v>55271.42652074412</v>
      </c>
      <c r="S196" s="315">
        <v>63458.500553272257</v>
      </c>
      <c r="U196" s="7" t="s">
        <v>2709</v>
      </c>
    </row>
    <row r="197" spans="1:21" ht="16.5" thickBot="1">
      <c r="A197" s="50" t="s">
        <v>35</v>
      </c>
      <c r="B197" s="51">
        <f t="shared" si="9"/>
        <v>110</v>
      </c>
      <c r="C197" s="51" t="s">
        <v>3</v>
      </c>
      <c r="D197" s="51">
        <f t="shared" si="10"/>
        <v>300</v>
      </c>
      <c r="E197" s="51" t="s">
        <v>3</v>
      </c>
      <c r="F197" s="99">
        <f t="shared" si="11"/>
        <v>2300</v>
      </c>
      <c r="G197" s="51" t="s">
        <v>3</v>
      </c>
      <c r="H197" s="48">
        <v>2</v>
      </c>
      <c r="I197" s="49" t="s">
        <v>45</v>
      </c>
      <c r="J197" s="184">
        <v>110</v>
      </c>
      <c r="K197" s="75">
        <v>300</v>
      </c>
      <c r="L197" s="75">
        <v>2300</v>
      </c>
      <c r="M197" s="191">
        <v>22.171611135075</v>
      </c>
      <c r="N197" s="87">
        <v>1330.5085692005493</v>
      </c>
      <c r="O197" s="123">
        <v>28457.653571779843</v>
      </c>
      <c r="P197" s="121">
        <v>36811.442756769648</v>
      </c>
      <c r="Q197" s="120">
        <v>27765.290788421746</v>
      </c>
      <c r="R197" s="314">
        <v>56222.944360201589</v>
      </c>
      <c r="S197" s="315">
        <v>64576.733545191397</v>
      </c>
      <c r="U197" s="7" t="s">
        <v>2710</v>
      </c>
    </row>
    <row r="198" spans="1:21" ht="16.5" thickBot="1">
      <c r="A198" s="50" t="s">
        <v>35</v>
      </c>
      <c r="B198" s="51">
        <f t="shared" si="9"/>
        <v>110</v>
      </c>
      <c r="C198" s="51" t="s">
        <v>3</v>
      </c>
      <c r="D198" s="51">
        <f t="shared" si="10"/>
        <v>300</v>
      </c>
      <c r="E198" s="51" t="s">
        <v>3</v>
      </c>
      <c r="F198" s="99">
        <f t="shared" si="11"/>
        <v>2350</v>
      </c>
      <c r="G198" s="51" t="s">
        <v>3</v>
      </c>
      <c r="H198" s="48">
        <v>2</v>
      </c>
      <c r="I198" s="49" t="s">
        <v>45</v>
      </c>
      <c r="J198" s="184">
        <v>110</v>
      </c>
      <c r="K198" s="75">
        <v>300</v>
      </c>
      <c r="L198" s="75">
        <v>2350</v>
      </c>
      <c r="M198" s="191">
        <v>22.629682014955002</v>
      </c>
      <c r="N198" s="87">
        <v>1364.6241735390252</v>
      </c>
      <c r="O198" s="123">
        <v>28928.766102979953</v>
      </c>
      <c r="P198" s="121">
        <v>37449.270580824792</v>
      </c>
      <c r="Q198" s="120">
        <v>28476.277734069005</v>
      </c>
      <c r="R198" s="314">
        <v>57405.043837048957</v>
      </c>
      <c r="S198" s="315">
        <v>65925.548314893793</v>
      </c>
      <c r="U198" s="7" t="s">
        <v>2711</v>
      </c>
    </row>
    <row r="199" spans="1:21" ht="16.5" thickBot="1">
      <c r="A199" s="50" t="s">
        <v>35</v>
      </c>
      <c r="B199" s="51">
        <f t="shared" si="9"/>
        <v>110</v>
      </c>
      <c r="C199" s="51" t="s">
        <v>3</v>
      </c>
      <c r="D199" s="51">
        <f t="shared" si="10"/>
        <v>300</v>
      </c>
      <c r="E199" s="51" t="s">
        <v>3</v>
      </c>
      <c r="F199" s="99">
        <f t="shared" si="11"/>
        <v>2400</v>
      </c>
      <c r="G199" s="51" t="s">
        <v>3</v>
      </c>
      <c r="H199" s="48">
        <v>2</v>
      </c>
      <c r="I199" s="49" t="s">
        <v>45</v>
      </c>
      <c r="J199" s="184">
        <v>110</v>
      </c>
      <c r="K199" s="75">
        <v>300</v>
      </c>
      <c r="L199" s="75">
        <v>2400</v>
      </c>
      <c r="M199" s="191">
        <v>23.070712894835001</v>
      </c>
      <c r="N199" s="87">
        <v>1398.7397778775005</v>
      </c>
      <c r="O199" s="123">
        <v>29399.878634180066</v>
      </c>
      <c r="P199" s="121">
        <v>38087.098404879944</v>
      </c>
      <c r="Q199" s="120">
        <v>28956.682901932996</v>
      </c>
      <c r="R199" s="314">
        <v>58356.561536113062</v>
      </c>
      <c r="S199" s="315">
        <v>67043.781306812947</v>
      </c>
      <c r="U199" s="7" t="s">
        <v>2712</v>
      </c>
    </row>
    <row r="200" spans="1:21" ht="16.5" thickBot="1">
      <c r="A200" s="50" t="s">
        <v>35</v>
      </c>
      <c r="B200" s="51">
        <f t="shared" si="9"/>
        <v>110</v>
      </c>
      <c r="C200" s="51" t="s">
        <v>3</v>
      </c>
      <c r="D200" s="51">
        <f t="shared" si="10"/>
        <v>300</v>
      </c>
      <c r="E200" s="51" t="s">
        <v>3</v>
      </c>
      <c r="F200" s="99">
        <f t="shared" si="11"/>
        <v>2450</v>
      </c>
      <c r="G200" s="51" t="s">
        <v>3</v>
      </c>
      <c r="H200" s="48">
        <v>2</v>
      </c>
      <c r="I200" s="49" t="s">
        <v>45</v>
      </c>
      <c r="J200" s="184">
        <v>110</v>
      </c>
      <c r="K200" s="75">
        <v>300</v>
      </c>
      <c r="L200" s="75">
        <v>2450</v>
      </c>
      <c r="M200" s="191">
        <v>23.695936932015002</v>
      </c>
      <c r="N200" s="87">
        <v>1432.8553822159763</v>
      </c>
      <c r="O200" s="123">
        <v>30575.254251717233</v>
      </c>
      <c r="P200" s="121">
        <v>39386.976541002456</v>
      </c>
      <c r="Q200" s="120">
        <v>29667.669987973619</v>
      </c>
      <c r="R200" s="314">
        <v>60242.924239690852</v>
      </c>
      <c r="S200" s="315">
        <v>69054.646528976067</v>
      </c>
      <c r="U200" s="7" t="s">
        <v>2713</v>
      </c>
    </row>
    <row r="201" spans="1:21" ht="16.5" thickBot="1">
      <c r="A201" s="50" t="s">
        <v>35</v>
      </c>
      <c r="B201" s="51">
        <f t="shared" si="9"/>
        <v>110</v>
      </c>
      <c r="C201" s="51" t="s">
        <v>3</v>
      </c>
      <c r="D201" s="51">
        <f t="shared" si="10"/>
        <v>300</v>
      </c>
      <c r="E201" s="51" t="s">
        <v>3</v>
      </c>
      <c r="F201" s="99">
        <f t="shared" si="11"/>
        <v>2500</v>
      </c>
      <c r="G201" s="51" t="s">
        <v>3</v>
      </c>
      <c r="H201" s="48">
        <v>2</v>
      </c>
      <c r="I201" s="49" t="s">
        <v>45</v>
      </c>
      <c r="J201" s="184">
        <v>110</v>
      </c>
      <c r="K201" s="75">
        <v>300</v>
      </c>
      <c r="L201" s="75">
        <v>2500</v>
      </c>
      <c r="M201" s="191">
        <v>24.136967811895001</v>
      </c>
      <c r="N201" s="87">
        <v>1466.9709865544521</v>
      </c>
      <c r="O201" s="123">
        <v>31046.366782917343</v>
      </c>
      <c r="P201" s="121">
        <v>40024.804365057607</v>
      </c>
      <c r="Q201" s="120">
        <v>30148.075155837607</v>
      </c>
      <c r="R201" s="314">
        <v>61194.44193875495</v>
      </c>
      <c r="S201" s="315">
        <v>70172.879520895222</v>
      </c>
      <c r="U201" s="7" t="s">
        <v>2714</v>
      </c>
    </row>
    <row r="202" spans="1:21" ht="16.5" thickBot="1">
      <c r="A202" s="50" t="s">
        <v>35</v>
      </c>
      <c r="B202" s="51">
        <f t="shared" si="9"/>
        <v>110</v>
      </c>
      <c r="C202" s="51" t="s">
        <v>3</v>
      </c>
      <c r="D202" s="51">
        <f t="shared" si="10"/>
        <v>300</v>
      </c>
      <c r="E202" s="51" t="s">
        <v>3</v>
      </c>
      <c r="F202" s="99">
        <f t="shared" si="11"/>
        <v>2550</v>
      </c>
      <c r="G202" s="51" t="s">
        <v>3</v>
      </c>
      <c r="H202" s="48">
        <v>2</v>
      </c>
      <c r="I202" s="49" t="s">
        <v>45</v>
      </c>
      <c r="J202" s="184">
        <v>110</v>
      </c>
      <c r="K202" s="75">
        <v>300</v>
      </c>
      <c r="L202" s="75">
        <v>2550</v>
      </c>
      <c r="M202" s="191">
        <v>24.595038691775002</v>
      </c>
      <c r="N202" s="87">
        <v>1501.0865908929275</v>
      </c>
      <c r="O202" s="123">
        <v>31517.479314117456</v>
      </c>
      <c r="P202" s="121">
        <v>40662.632189112759</v>
      </c>
      <c r="Q202" s="120">
        <v>30859.06224187823</v>
      </c>
      <c r="R202" s="314">
        <v>62376.541555995689</v>
      </c>
      <c r="S202" s="315">
        <v>71521.694430990989</v>
      </c>
      <c r="U202" s="7" t="s">
        <v>2715</v>
      </c>
    </row>
    <row r="203" spans="1:21" ht="16.5" thickBot="1">
      <c r="A203" s="47" t="s">
        <v>35</v>
      </c>
      <c r="B203" s="48">
        <f t="shared" si="9"/>
        <v>110</v>
      </c>
      <c r="C203" s="48" t="s">
        <v>3</v>
      </c>
      <c r="D203" s="48">
        <f t="shared" si="10"/>
        <v>300</v>
      </c>
      <c r="E203" s="48" t="s">
        <v>3</v>
      </c>
      <c r="F203" s="99">
        <f t="shared" si="11"/>
        <v>2600</v>
      </c>
      <c r="G203" s="48" t="s">
        <v>3</v>
      </c>
      <c r="H203" s="48">
        <v>2</v>
      </c>
      <c r="I203" s="49" t="s">
        <v>45</v>
      </c>
      <c r="J203" s="184">
        <v>110</v>
      </c>
      <c r="K203" s="75">
        <v>300</v>
      </c>
      <c r="L203" s="75">
        <v>2600</v>
      </c>
      <c r="M203" s="191">
        <v>25.036069571655002</v>
      </c>
      <c r="N203" s="87">
        <v>1535.2021952314033</v>
      </c>
      <c r="O203" s="123">
        <v>31988.591845317569</v>
      </c>
      <c r="P203" s="121">
        <v>41300.460013167911</v>
      </c>
      <c r="Q203" s="120">
        <v>31339.467409742221</v>
      </c>
      <c r="R203" s="314">
        <v>63328.059255059794</v>
      </c>
      <c r="S203" s="315">
        <v>72639.927422910128</v>
      </c>
      <c r="U203" s="7" t="s">
        <v>2716</v>
      </c>
    </row>
    <row r="204" spans="1:21" ht="16.5" thickBot="1">
      <c r="A204" s="50" t="s">
        <v>35</v>
      </c>
      <c r="B204" s="51">
        <f t="shared" si="9"/>
        <v>110</v>
      </c>
      <c r="C204" s="51" t="s">
        <v>3</v>
      </c>
      <c r="D204" s="51">
        <f t="shared" si="10"/>
        <v>300</v>
      </c>
      <c r="E204" s="51" t="s">
        <v>3</v>
      </c>
      <c r="F204" s="99">
        <f t="shared" si="11"/>
        <v>2650</v>
      </c>
      <c r="G204" s="51" t="s">
        <v>3</v>
      </c>
      <c r="H204" s="48">
        <v>2</v>
      </c>
      <c r="I204" s="49" t="s">
        <v>45</v>
      </c>
      <c r="J204" s="184">
        <v>110</v>
      </c>
      <c r="K204" s="75">
        <v>300</v>
      </c>
      <c r="L204" s="75">
        <v>2650</v>
      </c>
      <c r="M204" s="191">
        <v>25.494140451534999</v>
      </c>
      <c r="N204" s="87">
        <v>1569.3177995698788</v>
      </c>
      <c r="O204" s="123">
        <v>32459.704376517682</v>
      </c>
      <c r="P204" s="121">
        <v>41938.287696829699</v>
      </c>
      <c r="Q204" s="120">
        <v>32050.45435538948</v>
      </c>
      <c r="R204" s="314">
        <v>64510.158731907162</v>
      </c>
      <c r="S204" s="315">
        <v>73988.742052219182</v>
      </c>
      <c r="U204" s="7" t="s">
        <v>2717</v>
      </c>
    </row>
    <row r="205" spans="1:21" ht="16.5" thickBot="1">
      <c r="A205" s="50" t="s">
        <v>35</v>
      </c>
      <c r="B205" s="51">
        <f t="shared" si="9"/>
        <v>110</v>
      </c>
      <c r="C205" s="51" t="s">
        <v>3</v>
      </c>
      <c r="D205" s="51">
        <f t="shared" si="10"/>
        <v>300</v>
      </c>
      <c r="E205" s="51" t="s">
        <v>3</v>
      </c>
      <c r="F205" s="99">
        <f t="shared" si="11"/>
        <v>2700</v>
      </c>
      <c r="G205" s="51" t="s">
        <v>3</v>
      </c>
      <c r="H205" s="48">
        <v>2</v>
      </c>
      <c r="I205" s="49" t="s">
        <v>45</v>
      </c>
      <c r="J205" s="184">
        <v>110</v>
      </c>
      <c r="K205" s="75">
        <v>300</v>
      </c>
      <c r="L205" s="75">
        <v>2700</v>
      </c>
      <c r="M205" s="191">
        <v>25.974421331415002</v>
      </c>
      <c r="N205" s="87">
        <v>1603.4334039083546</v>
      </c>
      <c r="O205" s="123">
        <v>32976.688754194322</v>
      </c>
      <c r="P205" s="121">
        <v>42622.267311726195</v>
      </c>
      <c r="Q205" s="120">
        <v>32530.859663646832</v>
      </c>
      <c r="R205" s="314">
        <v>65507.548417841157</v>
      </c>
      <c r="S205" s="315">
        <v>75153.12697537303</v>
      </c>
      <c r="U205" s="7" t="s">
        <v>2718</v>
      </c>
    </row>
    <row r="206" spans="1:21" ht="16.5" thickBot="1">
      <c r="A206" s="50" t="s">
        <v>35</v>
      </c>
      <c r="B206" s="51">
        <f t="shared" si="9"/>
        <v>110</v>
      </c>
      <c r="C206" s="51" t="s">
        <v>3</v>
      </c>
      <c r="D206" s="51">
        <f t="shared" si="10"/>
        <v>300</v>
      </c>
      <c r="E206" s="51" t="s">
        <v>3</v>
      </c>
      <c r="F206" s="99">
        <f t="shared" si="11"/>
        <v>2750</v>
      </c>
      <c r="G206" s="51" t="s">
        <v>3</v>
      </c>
      <c r="H206" s="48">
        <v>2</v>
      </c>
      <c r="I206" s="49" t="s">
        <v>45</v>
      </c>
      <c r="J206" s="184">
        <v>110</v>
      </c>
      <c r="K206" s="75">
        <v>300</v>
      </c>
      <c r="L206" s="75">
        <v>2750</v>
      </c>
      <c r="M206" s="191">
        <v>26.415452211295005</v>
      </c>
      <c r="N206" s="87">
        <v>1637.5490082468298</v>
      </c>
      <c r="O206" s="123">
        <v>33447.801285394431</v>
      </c>
      <c r="P206" s="121">
        <v>43260.095135781346</v>
      </c>
      <c r="Q206" s="120">
        <v>33011.264831510824</v>
      </c>
      <c r="R206" s="314">
        <v>66459.066116905247</v>
      </c>
      <c r="S206" s="315">
        <v>76271.35996729217</v>
      </c>
      <c r="U206" s="7" t="s">
        <v>2719</v>
      </c>
    </row>
    <row r="207" spans="1:21" ht="16.5" thickBot="1">
      <c r="A207" s="50" t="s">
        <v>35</v>
      </c>
      <c r="B207" s="51">
        <f t="shared" si="9"/>
        <v>110</v>
      </c>
      <c r="C207" s="51" t="s">
        <v>3</v>
      </c>
      <c r="D207" s="51">
        <f t="shared" si="10"/>
        <v>300</v>
      </c>
      <c r="E207" s="51" t="s">
        <v>3</v>
      </c>
      <c r="F207" s="99">
        <f t="shared" si="11"/>
        <v>2800</v>
      </c>
      <c r="G207" s="51" t="s">
        <v>3</v>
      </c>
      <c r="H207" s="48">
        <v>2</v>
      </c>
      <c r="I207" s="49" t="s">
        <v>45</v>
      </c>
      <c r="J207" s="184">
        <v>110</v>
      </c>
      <c r="K207" s="75">
        <v>300</v>
      </c>
      <c r="L207" s="75">
        <v>2800</v>
      </c>
      <c r="M207" s="191">
        <v>26.873523091175002</v>
      </c>
      <c r="N207" s="87">
        <v>1671.6646125853056</v>
      </c>
      <c r="O207" s="123">
        <v>33918.913816594548</v>
      </c>
      <c r="P207" s="121">
        <v>43897.922959836498</v>
      </c>
      <c r="Q207" s="120">
        <v>33722.251777158082</v>
      </c>
      <c r="R207" s="314">
        <v>67641.165593752638</v>
      </c>
      <c r="S207" s="315">
        <v>77620.174736994581</v>
      </c>
      <c r="U207" s="7" t="s">
        <v>2720</v>
      </c>
    </row>
    <row r="208" spans="1:21" ht="16.5" thickBot="1">
      <c r="A208" s="50" t="s">
        <v>35</v>
      </c>
      <c r="B208" s="51">
        <f t="shared" si="9"/>
        <v>110</v>
      </c>
      <c r="C208" s="51" t="s">
        <v>3</v>
      </c>
      <c r="D208" s="51">
        <f t="shared" si="10"/>
        <v>300</v>
      </c>
      <c r="E208" s="51" t="s">
        <v>3</v>
      </c>
      <c r="F208" s="99">
        <f t="shared" si="11"/>
        <v>2850</v>
      </c>
      <c r="G208" s="51" t="s">
        <v>3</v>
      </c>
      <c r="H208" s="48">
        <v>2</v>
      </c>
      <c r="I208" s="49" t="s">
        <v>45</v>
      </c>
      <c r="J208" s="184">
        <v>110</v>
      </c>
      <c r="K208" s="75">
        <v>300</v>
      </c>
      <c r="L208" s="75">
        <v>2850</v>
      </c>
      <c r="M208" s="191">
        <v>27.314553971055002</v>
      </c>
      <c r="N208" s="87">
        <v>1705.7802169237814</v>
      </c>
      <c r="O208" s="123">
        <v>34390.026347794657</v>
      </c>
      <c r="P208" s="121">
        <v>44535.75078389165</v>
      </c>
      <c r="Q208" s="120">
        <v>34202.657085415434</v>
      </c>
      <c r="R208" s="314">
        <v>68592.683433210099</v>
      </c>
      <c r="S208" s="315">
        <v>78738.407869307091</v>
      </c>
      <c r="U208" s="7" t="s">
        <v>2721</v>
      </c>
    </row>
    <row r="209" spans="1:21" ht="16.5" thickBot="1">
      <c r="A209" s="50" t="s">
        <v>35</v>
      </c>
      <c r="B209" s="51">
        <f t="shared" si="9"/>
        <v>110</v>
      </c>
      <c r="C209" s="51" t="s">
        <v>3</v>
      </c>
      <c r="D209" s="51">
        <f t="shared" si="10"/>
        <v>300</v>
      </c>
      <c r="E209" s="51" t="s">
        <v>3</v>
      </c>
      <c r="F209" s="99">
        <f t="shared" si="11"/>
        <v>2900</v>
      </c>
      <c r="G209" s="51" t="s">
        <v>3</v>
      </c>
      <c r="H209" s="48">
        <v>2</v>
      </c>
      <c r="I209" s="49" t="s">
        <v>45</v>
      </c>
      <c r="J209" s="184">
        <v>110</v>
      </c>
      <c r="K209" s="75">
        <v>300</v>
      </c>
      <c r="L209" s="75">
        <v>2900</v>
      </c>
      <c r="M209" s="191">
        <v>27.772624850935003</v>
      </c>
      <c r="N209" s="87">
        <v>1739.895821262257</v>
      </c>
      <c r="O209" s="123">
        <v>34861.138878994774</v>
      </c>
      <c r="P209" s="121">
        <v>45173.578467553438</v>
      </c>
      <c r="Q209" s="120">
        <v>34913.644031062693</v>
      </c>
      <c r="R209" s="314">
        <v>69774.78291005746</v>
      </c>
      <c r="S209" s="315">
        <v>80087.222498616131</v>
      </c>
      <c r="U209" s="7" t="s">
        <v>2722</v>
      </c>
    </row>
    <row r="210" spans="1:21" ht="16.5" thickBot="1">
      <c r="A210" s="50" t="s">
        <v>35</v>
      </c>
      <c r="B210" s="51">
        <f t="shared" si="9"/>
        <v>110</v>
      </c>
      <c r="C210" s="51" t="s">
        <v>3</v>
      </c>
      <c r="D210" s="51">
        <f t="shared" si="10"/>
        <v>300</v>
      </c>
      <c r="E210" s="51" t="s">
        <v>3</v>
      </c>
      <c r="F210" s="99">
        <f t="shared" si="11"/>
        <v>2950</v>
      </c>
      <c r="G210" s="51" t="s">
        <v>3</v>
      </c>
      <c r="H210" s="48">
        <v>2</v>
      </c>
      <c r="I210" s="49" t="s">
        <v>45</v>
      </c>
      <c r="J210" s="184">
        <v>110</v>
      </c>
      <c r="K210" s="75">
        <v>300</v>
      </c>
      <c r="L210" s="75">
        <v>2950</v>
      </c>
      <c r="M210" s="191">
        <v>28.213655730815006</v>
      </c>
      <c r="N210" s="87">
        <v>1774.0114256007328</v>
      </c>
      <c r="O210" s="123">
        <v>35332.251410194884</v>
      </c>
      <c r="P210" s="121">
        <v>45811.406291608582</v>
      </c>
      <c r="Q210" s="120">
        <v>35394.049339320045</v>
      </c>
      <c r="R210" s="314">
        <v>70726.300749514921</v>
      </c>
      <c r="S210" s="315">
        <v>81205.455630928627</v>
      </c>
      <c r="U210" s="7" t="s">
        <v>2723</v>
      </c>
    </row>
    <row r="211" spans="1:21" ht="16.5" thickBot="1">
      <c r="A211" s="52" t="s">
        <v>35</v>
      </c>
      <c r="B211" s="53">
        <f t="shared" si="9"/>
        <v>110</v>
      </c>
      <c r="C211" s="53" t="s">
        <v>3</v>
      </c>
      <c r="D211" s="53">
        <f t="shared" si="10"/>
        <v>300</v>
      </c>
      <c r="E211" s="53" t="s">
        <v>3</v>
      </c>
      <c r="F211" s="100">
        <f t="shared" si="11"/>
        <v>3000</v>
      </c>
      <c r="G211" s="53" t="s">
        <v>3</v>
      </c>
      <c r="H211" s="55">
        <v>2</v>
      </c>
      <c r="I211" s="54" t="s">
        <v>45</v>
      </c>
      <c r="J211" s="186">
        <v>110</v>
      </c>
      <c r="K211" s="147">
        <v>300</v>
      </c>
      <c r="L211" s="147">
        <v>3000</v>
      </c>
      <c r="M211" s="192">
        <v>28.671726610695004</v>
      </c>
      <c r="N211" s="148">
        <v>1808.1270299392081</v>
      </c>
      <c r="O211" s="149">
        <v>36978.521387646833</v>
      </c>
      <c r="P211" s="158">
        <v>46449.234115663734</v>
      </c>
      <c r="Q211" s="159">
        <v>36105.036284967304</v>
      </c>
      <c r="R211" s="316">
        <v>73083.557672614144</v>
      </c>
      <c r="S211" s="317">
        <v>82554.270400631038</v>
      </c>
      <c r="U211" s="7" t="s">
        <v>2724</v>
      </c>
    </row>
    <row r="212" spans="1:21" ht="16.5" thickBot="1">
      <c r="A212" s="2583" t="s">
        <v>135</v>
      </c>
      <c r="B212" s="2584"/>
      <c r="C212" s="2584"/>
      <c r="D212" s="2584"/>
      <c r="E212" s="2584"/>
      <c r="F212" s="2584"/>
      <c r="G212" s="2584"/>
      <c r="H212" s="2584"/>
      <c r="I212" s="2584"/>
      <c r="J212" s="2584"/>
      <c r="K212" s="2584"/>
      <c r="L212" s="2584"/>
      <c r="M212" s="2584"/>
      <c r="N212" s="2584"/>
      <c r="O212" s="2584"/>
      <c r="P212" s="2584"/>
      <c r="Q212" s="2584"/>
      <c r="R212" s="2584"/>
      <c r="S212" s="2585"/>
      <c r="U212" s="7"/>
    </row>
    <row r="213" spans="1:21" ht="16.5" thickBot="1">
      <c r="A213" s="47" t="s">
        <v>35</v>
      </c>
      <c r="B213" s="48">
        <f>J213</f>
        <v>110</v>
      </c>
      <c r="C213" s="48" t="s">
        <v>3</v>
      </c>
      <c r="D213" s="48">
        <f>K213</f>
        <v>300</v>
      </c>
      <c r="E213" s="48" t="s">
        <v>3</v>
      </c>
      <c r="F213" s="99">
        <f>L213</f>
        <v>600</v>
      </c>
      <c r="G213" s="48" t="s">
        <v>3</v>
      </c>
      <c r="H213" s="48">
        <v>4</v>
      </c>
      <c r="I213" s="49" t="s">
        <v>45</v>
      </c>
      <c r="J213" s="181">
        <v>110</v>
      </c>
      <c r="K213" s="143">
        <v>300</v>
      </c>
      <c r="L213" s="143">
        <v>600</v>
      </c>
      <c r="M213" s="190">
        <v>7.1082994495100014</v>
      </c>
      <c r="N213" s="144">
        <v>216.96967236000003</v>
      </c>
      <c r="O213" s="145">
        <v>13619.348804114441</v>
      </c>
      <c r="P213" s="183">
        <v>16300.640487138415</v>
      </c>
      <c r="Q213" s="169">
        <v>8203.3683669666007</v>
      </c>
      <c r="R213" s="312">
        <v>21822.717171081043</v>
      </c>
      <c r="S213" s="313">
        <v>24504.008854105014</v>
      </c>
      <c r="U213" s="7" t="s">
        <v>2725</v>
      </c>
    </row>
    <row r="214" spans="1:21" ht="16.5" thickBot="1">
      <c r="A214" s="50" t="s">
        <v>35</v>
      </c>
      <c r="B214" s="51">
        <f t="shared" ref="B214:B261" si="12">J214</f>
        <v>110</v>
      </c>
      <c r="C214" s="51" t="s">
        <v>3</v>
      </c>
      <c r="D214" s="51">
        <f t="shared" ref="D214:D261" si="13">K214</f>
        <v>300</v>
      </c>
      <c r="E214" s="51" t="s">
        <v>3</v>
      </c>
      <c r="F214" s="99">
        <f t="shared" ref="F214:F261" si="14">L214</f>
        <v>650</v>
      </c>
      <c r="G214" s="51" t="s">
        <v>3</v>
      </c>
      <c r="H214" s="48">
        <v>4</v>
      </c>
      <c r="I214" s="49" t="s">
        <v>45</v>
      </c>
      <c r="J214" s="184">
        <v>110</v>
      </c>
      <c r="K214" s="75">
        <v>300</v>
      </c>
      <c r="L214" s="75">
        <v>650</v>
      </c>
      <c r="M214" s="191">
        <v>7.6159527192700001</v>
      </c>
      <c r="N214" s="87">
        <v>260.36360683200002</v>
      </c>
      <c r="O214" s="123">
        <v>14370.297456857064</v>
      </c>
      <c r="P214" s="121">
        <v>17221.915911593027</v>
      </c>
      <c r="Q214" s="120">
        <v>8683.7735348305905</v>
      </c>
      <c r="R214" s="314">
        <v>23054.070991687655</v>
      </c>
      <c r="S214" s="315">
        <v>25905.689446423617</v>
      </c>
      <c r="U214" s="7" t="s">
        <v>2726</v>
      </c>
    </row>
    <row r="215" spans="1:21" ht="16.5" thickBot="1">
      <c r="A215" s="50" t="s">
        <v>35</v>
      </c>
      <c r="B215" s="51">
        <f t="shared" si="12"/>
        <v>110</v>
      </c>
      <c r="C215" s="51" t="s">
        <v>3</v>
      </c>
      <c r="D215" s="51">
        <f t="shared" si="13"/>
        <v>300</v>
      </c>
      <c r="E215" s="51" t="s">
        <v>3</v>
      </c>
      <c r="F215" s="99">
        <f t="shared" si="14"/>
        <v>700</v>
      </c>
      <c r="G215" s="51" t="s">
        <v>3</v>
      </c>
      <c r="H215" s="48">
        <v>4</v>
      </c>
      <c r="I215" s="49" t="s">
        <v>45</v>
      </c>
      <c r="J215" s="184">
        <v>110</v>
      </c>
      <c r="K215" s="75">
        <v>300</v>
      </c>
      <c r="L215" s="75">
        <v>700</v>
      </c>
      <c r="M215" s="191">
        <v>8.1406459890300003</v>
      </c>
      <c r="N215" s="87">
        <v>303.75754130400003</v>
      </c>
      <c r="O215" s="123">
        <v>15049.299425086127</v>
      </c>
      <c r="P215" s="121">
        <v>18070.80564148954</v>
      </c>
      <c r="Q215" s="120">
        <v>9394.7606208712132</v>
      </c>
      <c r="R215" s="314">
        <v>24444.06004595734</v>
      </c>
      <c r="S215" s="315">
        <v>27465.566262360753</v>
      </c>
      <c r="U215" s="7" t="s">
        <v>2727</v>
      </c>
    </row>
    <row r="216" spans="1:21" ht="16.5" thickBot="1">
      <c r="A216" s="50" t="s">
        <v>35</v>
      </c>
      <c r="B216" s="51">
        <f t="shared" si="12"/>
        <v>110</v>
      </c>
      <c r="C216" s="51" t="s">
        <v>3</v>
      </c>
      <c r="D216" s="51">
        <f t="shared" si="13"/>
        <v>300</v>
      </c>
      <c r="E216" s="51" t="s">
        <v>3</v>
      </c>
      <c r="F216" s="99">
        <f t="shared" si="14"/>
        <v>750</v>
      </c>
      <c r="G216" s="51" t="s">
        <v>3</v>
      </c>
      <c r="H216" s="48">
        <v>4</v>
      </c>
      <c r="I216" s="49" t="s">
        <v>45</v>
      </c>
      <c r="J216" s="184">
        <v>110</v>
      </c>
      <c r="K216" s="75">
        <v>300</v>
      </c>
      <c r="L216" s="75">
        <v>750</v>
      </c>
      <c r="M216" s="191">
        <v>8.6482992587900007</v>
      </c>
      <c r="N216" s="87">
        <v>347.1514757760001</v>
      </c>
      <c r="O216" s="123">
        <v>15728.301533708554</v>
      </c>
      <c r="P216" s="121">
        <v>18919.695230992689</v>
      </c>
      <c r="Q216" s="120">
        <v>9875.165788735203</v>
      </c>
      <c r="R216" s="314">
        <v>25603.467322443757</v>
      </c>
      <c r="S216" s="315">
        <v>28794.86101972789</v>
      </c>
      <c r="U216" s="7" t="s">
        <v>2728</v>
      </c>
    </row>
    <row r="217" spans="1:21" ht="16.5" thickBot="1">
      <c r="A217" s="50" t="s">
        <v>35</v>
      </c>
      <c r="B217" s="51">
        <f t="shared" si="12"/>
        <v>110</v>
      </c>
      <c r="C217" s="51" t="s">
        <v>3</v>
      </c>
      <c r="D217" s="51">
        <f t="shared" si="13"/>
        <v>300</v>
      </c>
      <c r="E217" s="51" t="s">
        <v>3</v>
      </c>
      <c r="F217" s="99">
        <f t="shared" si="14"/>
        <v>800</v>
      </c>
      <c r="G217" s="51" t="s">
        <v>3</v>
      </c>
      <c r="H217" s="48">
        <v>4</v>
      </c>
      <c r="I217" s="49" t="s">
        <v>45</v>
      </c>
      <c r="J217" s="184">
        <v>110</v>
      </c>
      <c r="K217" s="75">
        <v>300</v>
      </c>
      <c r="L217" s="75">
        <v>800</v>
      </c>
      <c r="M217" s="191">
        <v>9.1559525285499994</v>
      </c>
      <c r="N217" s="87">
        <v>390.54541024800005</v>
      </c>
      <c r="O217" s="123">
        <v>16407.303642330979</v>
      </c>
      <c r="P217" s="121">
        <v>19768.584960889206</v>
      </c>
      <c r="Q217" s="120">
        <v>10355.570956599189</v>
      </c>
      <c r="R217" s="314">
        <v>26762.874598930168</v>
      </c>
      <c r="S217" s="315">
        <v>30124.155917488395</v>
      </c>
      <c r="U217" s="7" t="s">
        <v>2729</v>
      </c>
    </row>
    <row r="218" spans="1:21" ht="16.5" thickBot="1">
      <c r="A218" s="50" t="s">
        <v>35</v>
      </c>
      <c r="B218" s="51">
        <f t="shared" si="12"/>
        <v>110</v>
      </c>
      <c r="C218" s="51" t="s">
        <v>3</v>
      </c>
      <c r="D218" s="51">
        <f t="shared" si="13"/>
        <v>300</v>
      </c>
      <c r="E218" s="51" t="s">
        <v>3</v>
      </c>
      <c r="F218" s="99">
        <f t="shared" si="14"/>
        <v>850</v>
      </c>
      <c r="G218" s="51" t="s">
        <v>3</v>
      </c>
      <c r="H218" s="48">
        <v>4</v>
      </c>
      <c r="I218" s="49" t="s">
        <v>45</v>
      </c>
      <c r="J218" s="184">
        <v>110</v>
      </c>
      <c r="K218" s="75">
        <v>300</v>
      </c>
      <c r="L218" s="75">
        <v>850</v>
      </c>
      <c r="M218" s="191">
        <v>9.6806457983099996</v>
      </c>
      <c r="N218" s="87">
        <v>433.93934472000007</v>
      </c>
      <c r="O218" s="123">
        <v>17086.305750953405</v>
      </c>
      <c r="P218" s="121">
        <v>20617.474550392355</v>
      </c>
      <c r="Q218" s="120">
        <v>11066.558042639816</v>
      </c>
      <c r="R218" s="314">
        <v>28152.86379359322</v>
      </c>
      <c r="S218" s="315">
        <v>31684.032593032171</v>
      </c>
      <c r="U218" s="7" t="s">
        <v>2730</v>
      </c>
    </row>
    <row r="219" spans="1:21" ht="16.5" thickBot="1">
      <c r="A219" s="50" t="s">
        <v>35</v>
      </c>
      <c r="B219" s="51">
        <f t="shared" si="12"/>
        <v>110</v>
      </c>
      <c r="C219" s="51" t="s">
        <v>3</v>
      </c>
      <c r="D219" s="51">
        <f t="shared" si="13"/>
        <v>300</v>
      </c>
      <c r="E219" s="51" t="s">
        <v>3</v>
      </c>
      <c r="F219" s="99">
        <f t="shared" si="14"/>
        <v>900</v>
      </c>
      <c r="G219" s="51" t="s">
        <v>3</v>
      </c>
      <c r="H219" s="48">
        <v>4</v>
      </c>
      <c r="I219" s="49" t="s">
        <v>45</v>
      </c>
      <c r="J219" s="184">
        <v>110</v>
      </c>
      <c r="K219" s="75">
        <v>300</v>
      </c>
      <c r="L219" s="75">
        <v>900</v>
      </c>
      <c r="M219" s="191">
        <v>10.188299068070002</v>
      </c>
      <c r="N219" s="87">
        <v>477.33327919200002</v>
      </c>
      <c r="O219" s="123">
        <v>17765.307719182467</v>
      </c>
      <c r="P219" s="121">
        <v>21466.364280288868</v>
      </c>
      <c r="Q219" s="120">
        <v>11546.963210503804</v>
      </c>
      <c r="R219" s="314">
        <v>29312.27092968627</v>
      </c>
      <c r="S219" s="315">
        <v>33013.327490792668</v>
      </c>
      <c r="U219" s="7" t="s">
        <v>2731</v>
      </c>
    </row>
    <row r="220" spans="1:21" ht="16.5" thickBot="1">
      <c r="A220" s="50" t="s">
        <v>35</v>
      </c>
      <c r="B220" s="51">
        <f t="shared" si="12"/>
        <v>110</v>
      </c>
      <c r="C220" s="51" t="s">
        <v>3</v>
      </c>
      <c r="D220" s="51">
        <f t="shared" si="13"/>
        <v>300</v>
      </c>
      <c r="E220" s="51" t="s">
        <v>3</v>
      </c>
      <c r="F220" s="99">
        <f t="shared" si="14"/>
        <v>950</v>
      </c>
      <c r="G220" s="51" t="s">
        <v>3</v>
      </c>
      <c r="H220" s="48">
        <v>4</v>
      </c>
      <c r="I220" s="49" t="s">
        <v>45</v>
      </c>
      <c r="J220" s="184">
        <v>110</v>
      </c>
      <c r="K220" s="75">
        <v>300</v>
      </c>
      <c r="L220" s="75">
        <v>950</v>
      </c>
      <c r="M220" s="191">
        <v>10.712992337829998</v>
      </c>
      <c r="N220" s="87">
        <v>520.72721366400003</v>
      </c>
      <c r="O220" s="123">
        <v>18444.309827804893</v>
      </c>
      <c r="P220" s="121">
        <v>22315.254010185381</v>
      </c>
      <c r="Q220" s="120">
        <v>12257.950156151066</v>
      </c>
      <c r="R220" s="314">
        <v>30702.259983955959</v>
      </c>
      <c r="S220" s="315">
        <v>34573.204166336451</v>
      </c>
      <c r="U220" s="7" t="s">
        <v>2732</v>
      </c>
    </row>
    <row r="221" spans="1:21" ht="16.5" thickBot="1">
      <c r="A221" s="50" t="s">
        <v>35</v>
      </c>
      <c r="B221" s="51">
        <f t="shared" si="12"/>
        <v>110</v>
      </c>
      <c r="C221" s="51" t="s">
        <v>3</v>
      </c>
      <c r="D221" s="51">
        <f t="shared" si="13"/>
        <v>300</v>
      </c>
      <c r="E221" s="51" t="s">
        <v>3</v>
      </c>
      <c r="F221" s="99">
        <f t="shared" si="14"/>
        <v>1000</v>
      </c>
      <c r="G221" s="51" t="s">
        <v>3</v>
      </c>
      <c r="H221" s="48">
        <v>4</v>
      </c>
      <c r="I221" s="49" t="s">
        <v>45</v>
      </c>
      <c r="J221" s="184">
        <v>110</v>
      </c>
      <c r="K221" s="75">
        <v>300</v>
      </c>
      <c r="L221" s="75">
        <v>1000</v>
      </c>
      <c r="M221" s="191">
        <v>11.220645607590001</v>
      </c>
      <c r="N221" s="87">
        <v>564.12114813599999</v>
      </c>
      <c r="O221" s="123">
        <v>19123.311936427319</v>
      </c>
      <c r="P221" s="121">
        <v>23164.14359968853</v>
      </c>
      <c r="Q221" s="120">
        <v>12738.355464408416</v>
      </c>
      <c r="R221" s="314">
        <v>31861.667400835737</v>
      </c>
      <c r="S221" s="315">
        <v>35902.499064096948</v>
      </c>
      <c r="U221" s="7" t="s">
        <v>2733</v>
      </c>
    </row>
    <row r="222" spans="1:21" ht="16.5" thickBot="1">
      <c r="A222" s="50" t="s">
        <v>35</v>
      </c>
      <c r="B222" s="51">
        <f t="shared" si="12"/>
        <v>110</v>
      </c>
      <c r="C222" s="51" t="s">
        <v>3</v>
      </c>
      <c r="D222" s="51">
        <f t="shared" si="13"/>
        <v>300</v>
      </c>
      <c r="E222" s="51" t="s">
        <v>3</v>
      </c>
      <c r="F222" s="99">
        <f t="shared" si="14"/>
        <v>1050</v>
      </c>
      <c r="G222" s="51" t="s">
        <v>3</v>
      </c>
      <c r="H222" s="48">
        <v>4</v>
      </c>
      <c r="I222" s="49" t="s">
        <v>45</v>
      </c>
      <c r="J222" s="184">
        <v>110</v>
      </c>
      <c r="K222" s="75">
        <v>300</v>
      </c>
      <c r="L222" s="75">
        <v>1050</v>
      </c>
      <c r="M222" s="191">
        <v>11.745338877349997</v>
      </c>
      <c r="N222" s="87">
        <v>607.51508260800006</v>
      </c>
      <c r="O222" s="123">
        <v>19802.314045049741</v>
      </c>
      <c r="P222" s="121">
        <v>24013.033329585043</v>
      </c>
      <c r="Q222" s="120">
        <v>13449.342410055679</v>
      </c>
      <c r="R222" s="314">
        <v>33251.656455105418</v>
      </c>
      <c r="S222" s="315">
        <v>37462.375739640724</v>
      </c>
      <c r="U222" s="7" t="s">
        <v>2734</v>
      </c>
    </row>
    <row r="223" spans="1:21" ht="16.5" thickBot="1">
      <c r="A223" s="47" t="s">
        <v>35</v>
      </c>
      <c r="B223" s="48">
        <f t="shared" si="12"/>
        <v>110</v>
      </c>
      <c r="C223" s="48" t="s">
        <v>3</v>
      </c>
      <c r="D223" s="48">
        <f t="shared" si="13"/>
        <v>300</v>
      </c>
      <c r="E223" s="48" t="s">
        <v>3</v>
      </c>
      <c r="F223" s="99">
        <f t="shared" si="14"/>
        <v>1100</v>
      </c>
      <c r="G223" s="48" t="s">
        <v>3</v>
      </c>
      <c r="H223" s="48">
        <v>4</v>
      </c>
      <c r="I223" s="49" t="s">
        <v>45</v>
      </c>
      <c r="J223" s="184">
        <v>110</v>
      </c>
      <c r="K223" s="75">
        <v>300</v>
      </c>
      <c r="L223" s="75">
        <v>1100</v>
      </c>
      <c r="M223" s="191">
        <v>12.25299214711</v>
      </c>
      <c r="N223" s="87">
        <v>650.90901708000001</v>
      </c>
      <c r="O223" s="123">
        <v>20481.316013278803</v>
      </c>
      <c r="P223" s="121">
        <v>24861.922919088192</v>
      </c>
      <c r="Q223" s="120">
        <v>13929.747718313029</v>
      </c>
      <c r="R223" s="314">
        <v>34411.063731591828</v>
      </c>
      <c r="S223" s="315">
        <v>38791.670637401221</v>
      </c>
      <c r="U223" s="7" t="s">
        <v>2735</v>
      </c>
    </row>
    <row r="224" spans="1:21" ht="16.5" thickBot="1">
      <c r="A224" s="50" t="s">
        <v>35</v>
      </c>
      <c r="B224" s="51">
        <f t="shared" si="12"/>
        <v>110</v>
      </c>
      <c r="C224" s="51" t="s">
        <v>3</v>
      </c>
      <c r="D224" s="51">
        <f t="shared" si="13"/>
        <v>300</v>
      </c>
      <c r="E224" s="51" t="s">
        <v>3</v>
      </c>
      <c r="F224" s="99">
        <f t="shared" si="14"/>
        <v>1150</v>
      </c>
      <c r="G224" s="51" t="s">
        <v>3</v>
      </c>
      <c r="H224" s="48">
        <v>4</v>
      </c>
      <c r="I224" s="49" t="s">
        <v>45</v>
      </c>
      <c r="J224" s="184">
        <v>110</v>
      </c>
      <c r="K224" s="75">
        <v>300</v>
      </c>
      <c r="L224" s="75">
        <v>1150</v>
      </c>
      <c r="M224" s="191">
        <v>12.760645416869998</v>
      </c>
      <c r="N224" s="87">
        <v>694.3029515520002</v>
      </c>
      <c r="O224" s="123">
        <v>21160.318121901088</v>
      </c>
      <c r="P224" s="121">
        <v>25710.812648984705</v>
      </c>
      <c r="Q224" s="120">
        <v>14410.152886177015</v>
      </c>
      <c r="R224" s="314">
        <v>35570.471008078101</v>
      </c>
      <c r="S224" s="315">
        <v>40120.965535161718</v>
      </c>
      <c r="U224" s="7" t="s">
        <v>2736</v>
      </c>
    </row>
    <row r="225" spans="1:21" ht="16.5" thickBot="1">
      <c r="A225" s="50" t="s">
        <v>35</v>
      </c>
      <c r="B225" s="51">
        <f t="shared" si="12"/>
        <v>110</v>
      </c>
      <c r="C225" s="51" t="s">
        <v>3</v>
      </c>
      <c r="D225" s="51">
        <f t="shared" si="13"/>
        <v>300</v>
      </c>
      <c r="E225" s="51" t="s">
        <v>3</v>
      </c>
      <c r="F225" s="99">
        <f t="shared" si="14"/>
        <v>1200</v>
      </c>
      <c r="G225" s="51" t="s">
        <v>3</v>
      </c>
      <c r="H225" s="48">
        <v>4</v>
      </c>
      <c r="I225" s="49" t="s">
        <v>45</v>
      </c>
      <c r="J225" s="184">
        <v>110</v>
      </c>
      <c r="K225" s="75">
        <v>300</v>
      </c>
      <c r="L225" s="75">
        <v>1200</v>
      </c>
      <c r="M225" s="191">
        <v>13.36383868663</v>
      </c>
      <c r="N225" s="87">
        <v>737.69688602400004</v>
      </c>
      <c r="O225" s="123">
        <v>21916.474526032431</v>
      </c>
      <c r="P225" s="121">
        <v>26637.327694121177</v>
      </c>
      <c r="Q225" s="120">
        <v>15121.139831824277</v>
      </c>
      <c r="R225" s="314">
        <v>37037.614357856706</v>
      </c>
      <c r="S225" s="315">
        <v>41758.467525945453</v>
      </c>
      <c r="U225" s="7" t="s">
        <v>2737</v>
      </c>
    </row>
    <row r="226" spans="1:21" ht="16.5" thickBot="1">
      <c r="A226" s="50" t="s">
        <v>35</v>
      </c>
      <c r="B226" s="51">
        <f t="shared" si="12"/>
        <v>110</v>
      </c>
      <c r="C226" s="51" t="s">
        <v>3</v>
      </c>
      <c r="D226" s="51">
        <f t="shared" si="13"/>
        <v>300</v>
      </c>
      <c r="E226" s="51" t="s">
        <v>3</v>
      </c>
      <c r="F226" s="99">
        <f t="shared" si="14"/>
        <v>1250</v>
      </c>
      <c r="G226" s="51" t="s">
        <v>3</v>
      </c>
      <c r="H226" s="48">
        <v>4</v>
      </c>
      <c r="I226" s="49" t="s">
        <v>45</v>
      </c>
      <c r="J226" s="184">
        <v>110</v>
      </c>
      <c r="K226" s="75">
        <v>300</v>
      </c>
      <c r="L226" s="75">
        <v>1250</v>
      </c>
      <c r="M226" s="191">
        <v>13.871491956389999</v>
      </c>
      <c r="N226" s="87">
        <v>781.09082049600011</v>
      </c>
      <c r="O226" s="123">
        <v>22595.476634654853</v>
      </c>
      <c r="P226" s="121">
        <v>27486.21742401769</v>
      </c>
      <c r="Q226" s="120">
        <v>15601.545140081627</v>
      </c>
      <c r="R226" s="314">
        <v>38197.02177473648</v>
      </c>
      <c r="S226" s="315">
        <v>43087.762564099321</v>
      </c>
      <c r="U226" s="7" t="s">
        <v>2738</v>
      </c>
    </row>
    <row r="227" spans="1:21" ht="16.5" thickBot="1">
      <c r="A227" s="50" t="s">
        <v>35</v>
      </c>
      <c r="B227" s="51">
        <f t="shared" si="12"/>
        <v>110</v>
      </c>
      <c r="C227" s="51" t="s">
        <v>3</v>
      </c>
      <c r="D227" s="51">
        <f t="shared" si="13"/>
        <v>300</v>
      </c>
      <c r="E227" s="51" t="s">
        <v>3</v>
      </c>
      <c r="F227" s="99">
        <f t="shared" si="14"/>
        <v>1300</v>
      </c>
      <c r="G227" s="51" t="s">
        <v>3</v>
      </c>
      <c r="H227" s="48">
        <v>4</v>
      </c>
      <c r="I227" s="49" t="s">
        <v>45</v>
      </c>
      <c r="J227" s="184">
        <v>110</v>
      </c>
      <c r="K227" s="75">
        <v>300</v>
      </c>
      <c r="L227" s="75">
        <v>1300</v>
      </c>
      <c r="M227" s="191">
        <v>14.396185226149999</v>
      </c>
      <c r="N227" s="87">
        <v>824.48475496800006</v>
      </c>
      <c r="O227" s="123">
        <v>23274.478743277279</v>
      </c>
      <c r="P227" s="121">
        <v>28335.107013520843</v>
      </c>
      <c r="Q227" s="120">
        <v>16312.53208572889</v>
      </c>
      <c r="R227" s="314">
        <v>39587.010829006169</v>
      </c>
      <c r="S227" s="315">
        <v>44647.639099249733</v>
      </c>
      <c r="U227" s="7" t="s">
        <v>2739</v>
      </c>
    </row>
    <row r="228" spans="1:21" ht="16.5" thickBot="1">
      <c r="A228" s="50" t="s">
        <v>35</v>
      </c>
      <c r="B228" s="51">
        <f t="shared" si="12"/>
        <v>110</v>
      </c>
      <c r="C228" s="51" t="s">
        <v>3</v>
      </c>
      <c r="D228" s="51">
        <f t="shared" si="13"/>
        <v>300</v>
      </c>
      <c r="E228" s="51" t="s">
        <v>3</v>
      </c>
      <c r="F228" s="99">
        <f t="shared" si="14"/>
        <v>1350</v>
      </c>
      <c r="G228" s="51" t="s">
        <v>3</v>
      </c>
      <c r="H228" s="48">
        <v>4</v>
      </c>
      <c r="I228" s="49" t="s">
        <v>45</v>
      </c>
      <c r="J228" s="184">
        <v>110</v>
      </c>
      <c r="K228" s="75">
        <v>300</v>
      </c>
      <c r="L228" s="75">
        <v>1350</v>
      </c>
      <c r="M228" s="191">
        <v>14.903838495910001</v>
      </c>
      <c r="N228" s="87">
        <v>867.87868944000013</v>
      </c>
      <c r="O228" s="123">
        <v>23953.480851899705</v>
      </c>
      <c r="P228" s="121">
        <v>29183.996743417356</v>
      </c>
      <c r="Q228" s="120">
        <v>16792.937253592878</v>
      </c>
      <c r="R228" s="314">
        <v>40746.418105492587</v>
      </c>
      <c r="S228" s="315">
        <v>45976.93399701023</v>
      </c>
      <c r="U228" s="7" t="s">
        <v>2740</v>
      </c>
    </row>
    <row r="229" spans="1:21" ht="16.5" thickBot="1">
      <c r="A229" s="50" t="s">
        <v>35</v>
      </c>
      <c r="B229" s="51">
        <f t="shared" si="12"/>
        <v>110</v>
      </c>
      <c r="C229" s="51" t="s">
        <v>3</v>
      </c>
      <c r="D229" s="51">
        <f t="shared" si="13"/>
        <v>300</v>
      </c>
      <c r="E229" s="51" t="s">
        <v>3</v>
      </c>
      <c r="F229" s="99">
        <f t="shared" si="14"/>
        <v>1400</v>
      </c>
      <c r="G229" s="51" t="s">
        <v>3</v>
      </c>
      <c r="H229" s="48">
        <v>4</v>
      </c>
      <c r="I229" s="49" t="s">
        <v>45</v>
      </c>
      <c r="J229" s="184">
        <v>110</v>
      </c>
      <c r="K229" s="75">
        <v>300</v>
      </c>
      <c r="L229" s="75">
        <v>1400</v>
      </c>
      <c r="M229" s="191">
        <v>15.428531765670002</v>
      </c>
      <c r="N229" s="87">
        <v>911.27262391200009</v>
      </c>
      <c r="O229" s="123">
        <v>24632.482820128771</v>
      </c>
      <c r="P229" s="121">
        <v>30032.886332920505</v>
      </c>
      <c r="Q229" s="120">
        <v>17503.924339633504</v>
      </c>
      <c r="R229" s="314">
        <v>42136.407159762275</v>
      </c>
      <c r="S229" s="315">
        <v>47536.810672554013</v>
      </c>
      <c r="U229" s="7" t="s">
        <v>2741</v>
      </c>
    </row>
    <row r="230" spans="1:21" ht="16.5" thickBot="1">
      <c r="A230" s="50" t="s">
        <v>35</v>
      </c>
      <c r="B230" s="51">
        <f t="shared" si="12"/>
        <v>110</v>
      </c>
      <c r="C230" s="51" t="s">
        <v>3</v>
      </c>
      <c r="D230" s="51">
        <f t="shared" si="13"/>
        <v>300</v>
      </c>
      <c r="E230" s="51" t="s">
        <v>3</v>
      </c>
      <c r="F230" s="99">
        <f t="shared" si="14"/>
        <v>1450</v>
      </c>
      <c r="G230" s="51" t="s">
        <v>3</v>
      </c>
      <c r="H230" s="48">
        <v>4</v>
      </c>
      <c r="I230" s="49" t="s">
        <v>45</v>
      </c>
      <c r="J230" s="184">
        <v>110</v>
      </c>
      <c r="K230" s="75">
        <v>300</v>
      </c>
      <c r="L230" s="75">
        <v>1450</v>
      </c>
      <c r="M230" s="191">
        <v>15.93618503543</v>
      </c>
      <c r="N230" s="87">
        <v>954.66655838400004</v>
      </c>
      <c r="O230" s="123">
        <v>25311.484928751193</v>
      </c>
      <c r="P230" s="121">
        <v>30881.776062817018</v>
      </c>
      <c r="Q230" s="120">
        <v>17984.32950749735</v>
      </c>
      <c r="R230" s="314">
        <v>43295.814436248547</v>
      </c>
      <c r="S230" s="315">
        <v>48866.105570314365</v>
      </c>
      <c r="U230" s="7" t="s">
        <v>2742</v>
      </c>
    </row>
    <row r="231" spans="1:21" ht="16.5" thickBot="1">
      <c r="A231" s="50" t="s">
        <v>35</v>
      </c>
      <c r="B231" s="51">
        <f t="shared" si="12"/>
        <v>110</v>
      </c>
      <c r="C231" s="51" t="s">
        <v>3</v>
      </c>
      <c r="D231" s="51">
        <f t="shared" si="13"/>
        <v>300</v>
      </c>
      <c r="E231" s="51" t="s">
        <v>3</v>
      </c>
      <c r="F231" s="99">
        <f t="shared" si="14"/>
        <v>1500</v>
      </c>
      <c r="G231" s="51" t="s">
        <v>3</v>
      </c>
      <c r="H231" s="48">
        <v>4</v>
      </c>
      <c r="I231" s="49" t="s">
        <v>45</v>
      </c>
      <c r="J231" s="184">
        <v>110</v>
      </c>
      <c r="K231" s="75">
        <v>300</v>
      </c>
      <c r="L231" s="75">
        <v>1500</v>
      </c>
      <c r="M231" s="191">
        <v>16.62803146249</v>
      </c>
      <c r="N231" s="87">
        <v>998.06049285600011</v>
      </c>
      <c r="O231" s="123">
        <v>26694.75012371067</v>
      </c>
      <c r="P231" s="121">
        <v>32392.716245174259</v>
      </c>
      <c r="Q231" s="120">
        <v>18695.316593538118</v>
      </c>
      <c r="R231" s="314">
        <v>45390.066717248788</v>
      </c>
      <c r="S231" s="315">
        <v>51088.032838712374</v>
      </c>
      <c r="U231" s="7" t="s">
        <v>2743</v>
      </c>
    </row>
    <row r="232" spans="1:21" ht="16.5" thickBot="1">
      <c r="A232" s="50" t="s">
        <v>35</v>
      </c>
      <c r="B232" s="51">
        <f t="shared" si="12"/>
        <v>110</v>
      </c>
      <c r="C232" s="51" t="s">
        <v>3</v>
      </c>
      <c r="D232" s="51">
        <f t="shared" si="13"/>
        <v>300</v>
      </c>
      <c r="E232" s="51" t="s">
        <v>3</v>
      </c>
      <c r="F232" s="99">
        <f t="shared" si="14"/>
        <v>1550</v>
      </c>
      <c r="G232" s="51" t="s">
        <v>3</v>
      </c>
      <c r="H232" s="48">
        <v>4</v>
      </c>
      <c r="I232" s="49" t="s">
        <v>45</v>
      </c>
      <c r="J232" s="184">
        <v>110</v>
      </c>
      <c r="K232" s="75">
        <v>300</v>
      </c>
      <c r="L232" s="75">
        <v>1550</v>
      </c>
      <c r="M232" s="191">
        <v>17.135684732249999</v>
      </c>
      <c r="N232" s="87">
        <v>1041.4544273280001</v>
      </c>
      <c r="O232" s="123">
        <v>27373.752232333092</v>
      </c>
      <c r="P232" s="121">
        <v>33241.605834677408</v>
      </c>
      <c r="Q232" s="120">
        <v>19175.721761402103</v>
      </c>
      <c r="R232" s="314">
        <v>46549.473993735199</v>
      </c>
      <c r="S232" s="315">
        <v>52417.327596079514</v>
      </c>
      <c r="U232" s="7" t="s">
        <v>2744</v>
      </c>
    </row>
    <row r="233" spans="1:21" ht="16.5" thickBot="1">
      <c r="A233" s="47" t="s">
        <v>35</v>
      </c>
      <c r="B233" s="48">
        <f t="shared" si="12"/>
        <v>110</v>
      </c>
      <c r="C233" s="48" t="s">
        <v>3</v>
      </c>
      <c r="D233" s="48">
        <f t="shared" si="13"/>
        <v>300</v>
      </c>
      <c r="E233" s="48" t="s">
        <v>3</v>
      </c>
      <c r="F233" s="99">
        <f t="shared" si="14"/>
        <v>1600</v>
      </c>
      <c r="G233" s="48" t="s">
        <v>3</v>
      </c>
      <c r="H233" s="48">
        <v>4</v>
      </c>
      <c r="I233" s="49" t="s">
        <v>45</v>
      </c>
      <c r="J233" s="184">
        <v>110</v>
      </c>
      <c r="K233" s="75">
        <v>300</v>
      </c>
      <c r="L233" s="75">
        <v>1600</v>
      </c>
      <c r="M233" s="191">
        <v>17.643338002009997</v>
      </c>
      <c r="N233" s="87">
        <v>1084.8483618</v>
      </c>
      <c r="O233" s="123">
        <v>28052.754200562154</v>
      </c>
      <c r="P233" s="121">
        <v>34090.495564573917</v>
      </c>
      <c r="Q233" s="120">
        <v>19656.126929266091</v>
      </c>
      <c r="R233" s="314">
        <v>47708.881129828245</v>
      </c>
      <c r="S233" s="315">
        <v>53746.622493840012</v>
      </c>
      <c r="U233" s="7" t="s">
        <v>2745</v>
      </c>
    </row>
    <row r="234" spans="1:21" ht="16.5" thickBot="1">
      <c r="A234" s="50" t="s">
        <v>35</v>
      </c>
      <c r="B234" s="51">
        <f t="shared" si="12"/>
        <v>110</v>
      </c>
      <c r="C234" s="51" t="s">
        <v>3</v>
      </c>
      <c r="D234" s="51">
        <f t="shared" si="13"/>
        <v>300</v>
      </c>
      <c r="E234" s="51" t="s">
        <v>3</v>
      </c>
      <c r="F234" s="99">
        <f t="shared" si="14"/>
        <v>1650</v>
      </c>
      <c r="G234" s="51" t="s">
        <v>3</v>
      </c>
      <c r="H234" s="48">
        <v>4</v>
      </c>
      <c r="I234" s="49" t="s">
        <v>45</v>
      </c>
      <c r="J234" s="184">
        <v>110</v>
      </c>
      <c r="K234" s="75">
        <v>300</v>
      </c>
      <c r="L234" s="75">
        <v>1650</v>
      </c>
      <c r="M234" s="191">
        <v>18.168031271770001</v>
      </c>
      <c r="N234" s="87">
        <v>1128.242296272</v>
      </c>
      <c r="O234" s="123">
        <v>28731.756309184584</v>
      </c>
      <c r="P234" s="121">
        <v>34939.38515407707</v>
      </c>
      <c r="Q234" s="120">
        <v>20367.114015306717</v>
      </c>
      <c r="R234" s="314">
        <v>49098.870324491305</v>
      </c>
      <c r="S234" s="315">
        <v>55306.499169383787</v>
      </c>
      <c r="U234" s="7" t="s">
        <v>2746</v>
      </c>
    </row>
    <row r="235" spans="1:21" ht="16.5" thickBot="1">
      <c r="A235" s="50" t="s">
        <v>35</v>
      </c>
      <c r="B235" s="51">
        <f t="shared" si="12"/>
        <v>110</v>
      </c>
      <c r="C235" s="51" t="s">
        <v>3</v>
      </c>
      <c r="D235" s="51">
        <f t="shared" si="13"/>
        <v>300</v>
      </c>
      <c r="E235" s="51" t="s">
        <v>3</v>
      </c>
      <c r="F235" s="99">
        <f t="shared" si="14"/>
        <v>1700</v>
      </c>
      <c r="G235" s="51" t="s">
        <v>3</v>
      </c>
      <c r="H235" s="48">
        <v>4</v>
      </c>
      <c r="I235" s="49" t="s">
        <v>45</v>
      </c>
      <c r="J235" s="184">
        <v>110</v>
      </c>
      <c r="K235" s="75">
        <v>300</v>
      </c>
      <c r="L235" s="75">
        <v>1700</v>
      </c>
      <c r="M235" s="191">
        <v>18.675684541530003</v>
      </c>
      <c r="N235" s="87">
        <v>1171.6362307440002</v>
      </c>
      <c r="O235" s="123">
        <v>29410.758417807006</v>
      </c>
      <c r="P235" s="121">
        <v>35788.274883973587</v>
      </c>
      <c r="Q235" s="120">
        <v>20847.519183170705</v>
      </c>
      <c r="R235" s="314">
        <v>50258.277600977715</v>
      </c>
      <c r="S235" s="315">
        <v>56635.794067144292</v>
      </c>
      <c r="U235" s="7" t="s">
        <v>2747</v>
      </c>
    </row>
    <row r="236" spans="1:21" ht="16.5" thickBot="1">
      <c r="A236" s="50" t="s">
        <v>35</v>
      </c>
      <c r="B236" s="51">
        <f t="shared" si="12"/>
        <v>110</v>
      </c>
      <c r="C236" s="51" t="s">
        <v>3</v>
      </c>
      <c r="D236" s="51">
        <f t="shared" si="13"/>
        <v>300</v>
      </c>
      <c r="E236" s="51" t="s">
        <v>3</v>
      </c>
      <c r="F236" s="99">
        <f t="shared" si="14"/>
        <v>1750</v>
      </c>
      <c r="G236" s="51" t="s">
        <v>3</v>
      </c>
      <c r="H236" s="48">
        <v>4</v>
      </c>
      <c r="I236" s="49" t="s">
        <v>45</v>
      </c>
      <c r="J236" s="184">
        <v>110</v>
      </c>
      <c r="K236" s="75">
        <v>300</v>
      </c>
      <c r="L236" s="75">
        <v>1750</v>
      </c>
      <c r="M236" s="191">
        <v>19.20037781129</v>
      </c>
      <c r="N236" s="87">
        <v>1215.0301652160001</v>
      </c>
      <c r="O236" s="123">
        <v>30089.760526429433</v>
      </c>
      <c r="P236" s="121">
        <v>36637.164613870096</v>
      </c>
      <c r="Q236" s="120">
        <v>21558.506269211328</v>
      </c>
      <c r="R236" s="314">
        <v>51648.26679564076</v>
      </c>
      <c r="S236" s="315">
        <v>58195.670883081424</v>
      </c>
      <c r="U236" s="7" t="s">
        <v>2748</v>
      </c>
    </row>
    <row r="237" spans="1:21" ht="16.5" thickBot="1">
      <c r="A237" s="50" t="s">
        <v>35</v>
      </c>
      <c r="B237" s="51">
        <f t="shared" si="12"/>
        <v>110</v>
      </c>
      <c r="C237" s="51" t="s">
        <v>3</v>
      </c>
      <c r="D237" s="51">
        <f t="shared" si="13"/>
        <v>300</v>
      </c>
      <c r="E237" s="51" t="s">
        <v>3</v>
      </c>
      <c r="F237" s="99">
        <f t="shared" si="14"/>
        <v>1800</v>
      </c>
      <c r="G237" s="51" t="s">
        <v>3</v>
      </c>
      <c r="H237" s="48">
        <v>4</v>
      </c>
      <c r="I237" s="49" t="s">
        <v>45</v>
      </c>
      <c r="J237" s="184">
        <v>110</v>
      </c>
      <c r="K237" s="75">
        <v>300</v>
      </c>
      <c r="L237" s="75">
        <v>1800</v>
      </c>
      <c r="M237" s="191">
        <v>19.708031081049999</v>
      </c>
      <c r="N237" s="87">
        <v>1258.4240996880001</v>
      </c>
      <c r="O237" s="123">
        <v>30768.762494658495</v>
      </c>
      <c r="P237" s="121">
        <v>37486.054203373249</v>
      </c>
      <c r="Q237" s="120">
        <v>22038.911437075316</v>
      </c>
      <c r="R237" s="314">
        <v>52807.673931733807</v>
      </c>
      <c r="S237" s="315">
        <v>59524.965640448565</v>
      </c>
      <c r="U237" s="7" t="s">
        <v>2749</v>
      </c>
    </row>
    <row r="238" spans="1:21" ht="16.5" thickBot="1">
      <c r="A238" s="50" t="s">
        <v>35</v>
      </c>
      <c r="B238" s="51">
        <f t="shared" si="12"/>
        <v>110</v>
      </c>
      <c r="C238" s="51" t="s">
        <v>3</v>
      </c>
      <c r="D238" s="51">
        <f t="shared" si="13"/>
        <v>300</v>
      </c>
      <c r="E238" s="51" t="s">
        <v>3</v>
      </c>
      <c r="F238" s="99">
        <f t="shared" si="14"/>
        <v>1850</v>
      </c>
      <c r="G238" s="51" t="s">
        <v>3</v>
      </c>
      <c r="H238" s="48">
        <v>4</v>
      </c>
      <c r="I238" s="49" t="s">
        <v>45</v>
      </c>
      <c r="J238" s="184">
        <v>110</v>
      </c>
      <c r="K238" s="75">
        <v>300</v>
      </c>
      <c r="L238" s="75">
        <v>1850</v>
      </c>
      <c r="M238" s="191">
        <v>20.232724350810003</v>
      </c>
      <c r="N238" s="87">
        <v>1301.81803416</v>
      </c>
      <c r="O238" s="123">
        <v>31447.764603280921</v>
      </c>
      <c r="P238" s="121">
        <v>38334.943933269758</v>
      </c>
      <c r="Q238" s="120">
        <v>22749.898382722578</v>
      </c>
      <c r="R238" s="314">
        <v>54197.662986003503</v>
      </c>
      <c r="S238" s="315">
        <v>61084.84231599234</v>
      </c>
      <c r="U238" s="7" t="s">
        <v>2750</v>
      </c>
    </row>
    <row r="239" spans="1:21" ht="16.5" thickBot="1">
      <c r="A239" s="50" t="s">
        <v>35</v>
      </c>
      <c r="B239" s="51">
        <f t="shared" si="12"/>
        <v>110</v>
      </c>
      <c r="C239" s="51" t="s">
        <v>3</v>
      </c>
      <c r="D239" s="51">
        <f t="shared" si="13"/>
        <v>300</v>
      </c>
      <c r="E239" s="51" t="s">
        <v>3</v>
      </c>
      <c r="F239" s="99">
        <f t="shared" si="14"/>
        <v>1900</v>
      </c>
      <c r="G239" s="51" t="s">
        <v>3</v>
      </c>
      <c r="H239" s="48">
        <v>4</v>
      </c>
      <c r="I239" s="49" t="s">
        <v>45</v>
      </c>
      <c r="J239" s="184">
        <v>110</v>
      </c>
      <c r="K239" s="75">
        <v>300</v>
      </c>
      <c r="L239" s="75">
        <v>1900</v>
      </c>
      <c r="M239" s="191">
        <v>20.740377620570001</v>
      </c>
      <c r="N239" s="87">
        <v>1345.211968632</v>
      </c>
      <c r="O239" s="123">
        <v>32126.766711903343</v>
      </c>
      <c r="P239" s="121">
        <v>39183.833522772911</v>
      </c>
      <c r="Q239" s="120">
        <v>23230.30369097993</v>
      </c>
      <c r="R239" s="314">
        <v>55357.07040288327</v>
      </c>
      <c r="S239" s="315">
        <v>62414.137213752838</v>
      </c>
      <c r="U239" s="7" t="s">
        <v>2751</v>
      </c>
    </row>
    <row r="240" spans="1:21" ht="16.5" thickBot="1">
      <c r="A240" s="50" t="s">
        <v>35</v>
      </c>
      <c r="B240" s="51">
        <f t="shared" si="12"/>
        <v>110</v>
      </c>
      <c r="C240" s="51" t="s">
        <v>3</v>
      </c>
      <c r="D240" s="51">
        <f t="shared" si="13"/>
        <v>300</v>
      </c>
      <c r="E240" s="51" t="s">
        <v>3</v>
      </c>
      <c r="F240" s="99">
        <f t="shared" si="14"/>
        <v>1950</v>
      </c>
      <c r="G240" s="51" t="s">
        <v>3</v>
      </c>
      <c r="H240" s="48">
        <v>4</v>
      </c>
      <c r="I240" s="49" t="s">
        <v>45</v>
      </c>
      <c r="J240" s="184">
        <v>110</v>
      </c>
      <c r="K240" s="75">
        <v>300</v>
      </c>
      <c r="L240" s="75">
        <v>1950</v>
      </c>
      <c r="M240" s="191">
        <v>21.326530890330005</v>
      </c>
      <c r="N240" s="87">
        <v>1388.6059031040004</v>
      </c>
      <c r="O240" s="123">
        <v>32882.923116034544</v>
      </c>
      <c r="P240" s="121">
        <v>40110.348708302743</v>
      </c>
      <c r="Q240" s="120">
        <v>23710.708858843918</v>
      </c>
      <c r="R240" s="314">
        <v>56593.631974878459</v>
      </c>
      <c r="S240" s="315">
        <v>63821.057567146665</v>
      </c>
      <c r="U240" s="7" t="s">
        <v>2752</v>
      </c>
    </row>
    <row r="241" spans="1:21" ht="16.5" thickBot="1">
      <c r="A241" s="50" t="s">
        <v>35</v>
      </c>
      <c r="B241" s="51">
        <f t="shared" si="12"/>
        <v>110</v>
      </c>
      <c r="C241" s="51" t="s">
        <v>3</v>
      </c>
      <c r="D241" s="51">
        <f t="shared" si="13"/>
        <v>300</v>
      </c>
      <c r="E241" s="51" t="s">
        <v>3</v>
      </c>
      <c r="F241" s="99">
        <f t="shared" si="14"/>
        <v>2000</v>
      </c>
      <c r="G241" s="51" t="s">
        <v>3</v>
      </c>
      <c r="H241" s="48">
        <v>4</v>
      </c>
      <c r="I241" s="49" t="s">
        <v>45</v>
      </c>
      <c r="J241" s="184">
        <v>110</v>
      </c>
      <c r="K241" s="75">
        <v>300</v>
      </c>
      <c r="L241" s="75">
        <v>2000</v>
      </c>
      <c r="M241" s="191">
        <v>21.942786560090003</v>
      </c>
      <c r="N241" s="87">
        <v>1431.9998375760003</v>
      </c>
      <c r="O241" s="123">
        <v>33792.468253872197</v>
      </c>
      <c r="P241" s="121">
        <v>41271.919025325195</v>
      </c>
      <c r="Q241" s="120">
        <v>24421.695804491177</v>
      </c>
      <c r="R241" s="314">
        <v>58214.164058363371</v>
      </c>
      <c r="S241" s="315">
        <v>65693.614829816375</v>
      </c>
      <c r="U241" s="7" t="s">
        <v>2753</v>
      </c>
    </row>
    <row r="242" spans="1:21" ht="16.5" thickBot="1">
      <c r="A242" s="50" t="s">
        <v>35</v>
      </c>
      <c r="B242" s="51">
        <f t="shared" si="12"/>
        <v>110</v>
      </c>
      <c r="C242" s="51" t="s">
        <v>3</v>
      </c>
      <c r="D242" s="51">
        <f t="shared" si="13"/>
        <v>300</v>
      </c>
      <c r="E242" s="51" t="s">
        <v>3</v>
      </c>
      <c r="F242" s="99">
        <f t="shared" si="14"/>
        <v>2050</v>
      </c>
      <c r="G242" s="51" t="s">
        <v>3</v>
      </c>
      <c r="H242" s="48">
        <v>4</v>
      </c>
      <c r="I242" s="49" t="s">
        <v>45</v>
      </c>
      <c r="J242" s="184">
        <v>110</v>
      </c>
      <c r="K242" s="75">
        <v>300</v>
      </c>
      <c r="L242" s="75">
        <v>2050</v>
      </c>
      <c r="M242" s="191">
        <v>22.450439829850001</v>
      </c>
      <c r="N242" s="87">
        <v>1475.3937720480001</v>
      </c>
      <c r="O242" s="123">
        <v>34471.47036249462</v>
      </c>
      <c r="P242" s="121">
        <v>42120.808755221711</v>
      </c>
      <c r="Q242" s="120">
        <v>24902.101112748529</v>
      </c>
      <c r="R242" s="314">
        <v>59373.571475243152</v>
      </c>
      <c r="S242" s="315">
        <v>67022.909867970244</v>
      </c>
      <c r="U242" s="7" t="s">
        <v>2754</v>
      </c>
    </row>
    <row r="243" spans="1:21" ht="16.5" thickBot="1">
      <c r="A243" s="47" t="s">
        <v>35</v>
      </c>
      <c r="B243" s="48">
        <f t="shared" si="12"/>
        <v>110</v>
      </c>
      <c r="C243" s="48" t="s">
        <v>3</v>
      </c>
      <c r="D243" s="48">
        <f t="shared" si="13"/>
        <v>300</v>
      </c>
      <c r="E243" s="48" t="s">
        <v>3</v>
      </c>
      <c r="F243" s="99">
        <f t="shared" si="14"/>
        <v>2100</v>
      </c>
      <c r="G243" s="48" t="s">
        <v>3</v>
      </c>
      <c r="H243" s="48">
        <v>4</v>
      </c>
      <c r="I243" s="49" t="s">
        <v>45</v>
      </c>
      <c r="J243" s="184">
        <v>110</v>
      </c>
      <c r="K243" s="75">
        <v>300</v>
      </c>
      <c r="L243" s="75">
        <v>2100</v>
      </c>
      <c r="M243" s="191">
        <v>22.975133099609998</v>
      </c>
      <c r="N243" s="87">
        <v>1518.78770652</v>
      </c>
      <c r="O243" s="123">
        <v>35150.472330723685</v>
      </c>
      <c r="P243" s="121">
        <v>42969.698485118221</v>
      </c>
      <c r="Q243" s="120">
        <v>25613.088058395791</v>
      </c>
      <c r="R243" s="314">
        <v>60763.560389119477</v>
      </c>
      <c r="S243" s="315">
        <v>68582.786543514012</v>
      </c>
      <c r="U243" s="7" t="s">
        <v>2755</v>
      </c>
    </row>
    <row r="244" spans="1:21" ht="16.5" thickBot="1">
      <c r="A244" s="50" t="s">
        <v>35</v>
      </c>
      <c r="B244" s="51">
        <f t="shared" si="12"/>
        <v>110</v>
      </c>
      <c r="C244" s="51" t="s">
        <v>3</v>
      </c>
      <c r="D244" s="51">
        <f t="shared" si="13"/>
        <v>300</v>
      </c>
      <c r="E244" s="51" t="s">
        <v>3</v>
      </c>
      <c r="F244" s="99">
        <f t="shared" si="14"/>
        <v>2150</v>
      </c>
      <c r="G244" s="51" t="s">
        <v>3</v>
      </c>
      <c r="H244" s="48">
        <v>4</v>
      </c>
      <c r="I244" s="49" t="s">
        <v>45</v>
      </c>
      <c r="J244" s="184">
        <v>110</v>
      </c>
      <c r="K244" s="75">
        <v>300</v>
      </c>
      <c r="L244" s="75">
        <v>2150</v>
      </c>
      <c r="M244" s="191">
        <v>23.482786369370004</v>
      </c>
      <c r="N244" s="87">
        <v>1562.1816409920002</v>
      </c>
      <c r="O244" s="123">
        <v>35829.474439346108</v>
      </c>
      <c r="P244" s="121">
        <v>43818.588074621373</v>
      </c>
      <c r="Q244" s="120">
        <v>26093.493366653143</v>
      </c>
      <c r="R244" s="314">
        <v>61922.967805999251</v>
      </c>
      <c r="S244" s="315">
        <v>69912.081441274524</v>
      </c>
      <c r="U244" s="7" t="s">
        <v>2756</v>
      </c>
    </row>
    <row r="245" spans="1:21" ht="16.5" thickBot="1">
      <c r="A245" s="50" t="s">
        <v>35</v>
      </c>
      <c r="B245" s="51">
        <f t="shared" si="12"/>
        <v>110</v>
      </c>
      <c r="C245" s="51" t="s">
        <v>3</v>
      </c>
      <c r="D245" s="51">
        <f t="shared" si="13"/>
        <v>300</v>
      </c>
      <c r="E245" s="51" t="s">
        <v>3</v>
      </c>
      <c r="F245" s="99">
        <f t="shared" si="14"/>
        <v>2200</v>
      </c>
      <c r="G245" s="51" t="s">
        <v>3</v>
      </c>
      <c r="H245" s="48">
        <v>4</v>
      </c>
      <c r="I245" s="49" t="s">
        <v>45</v>
      </c>
      <c r="J245" s="184">
        <v>110</v>
      </c>
      <c r="K245" s="75">
        <v>300</v>
      </c>
      <c r="L245" s="75">
        <v>2200</v>
      </c>
      <c r="M245" s="191">
        <v>24.007479639130004</v>
      </c>
      <c r="N245" s="87">
        <v>1605.5755754640002</v>
      </c>
      <c r="O245" s="123">
        <v>36508.47654796853</v>
      </c>
      <c r="P245" s="121">
        <v>44667.477804517883</v>
      </c>
      <c r="Q245" s="120">
        <v>26804.480312300402</v>
      </c>
      <c r="R245" s="314">
        <v>63312.956860268932</v>
      </c>
      <c r="S245" s="315">
        <v>71471.958116818278</v>
      </c>
      <c r="U245" s="7" t="s">
        <v>2757</v>
      </c>
    </row>
    <row r="246" spans="1:21" ht="16.5" thickBot="1">
      <c r="A246" s="50" t="s">
        <v>35</v>
      </c>
      <c r="B246" s="51">
        <f t="shared" si="12"/>
        <v>110</v>
      </c>
      <c r="C246" s="51" t="s">
        <v>3</v>
      </c>
      <c r="D246" s="51">
        <f t="shared" si="13"/>
        <v>300</v>
      </c>
      <c r="E246" s="51" t="s">
        <v>3</v>
      </c>
      <c r="F246" s="99">
        <f t="shared" si="14"/>
        <v>2250</v>
      </c>
      <c r="G246" s="51" t="s">
        <v>3</v>
      </c>
      <c r="H246" s="48">
        <v>4</v>
      </c>
      <c r="I246" s="49" t="s">
        <v>45</v>
      </c>
      <c r="J246" s="184">
        <v>110</v>
      </c>
      <c r="K246" s="75">
        <v>300</v>
      </c>
      <c r="L246" s="75">
        <v>2250</v>
      </c>
      <c r="M246" s="191">
        <v>24.515132908890003</v>
      </c>
      <c r="N246" s="87">
        <v>1648.9695099360001</v>
      </c>
      <c r="O246" s="123">
        <v>37187.478656590953</v>
      </c>
      <c r="P246" s="121">
        <v>45516.367394021036</v>
      </c>
      <c r="Q246" s="120">
        <v>27284.885480164394</v>
      </c>
      <c r="R246" s="314">
        <v>64472.36413675535</v>
      </c>
      <c r="S246" s="315">
        <v>72801.252874185433</v>
      </c>
      <c r="U246" s="7" t="s">
        <v>2758</v>
      </c>
    </row>
    <row r="247" spans="1:21" ht="16.5" thickBot="1">
      <c r="A247" s="50" t="s">
        <v>35</v>
      </c>
      <c r="B247" s="51">
        <f t="shared" si="12"/>
        <v>110</v>
      </c>
      <c r="C247" s="51" t="s">
        <v>3</v>
      </c>
      <c r="D247" s="51">
        <f t="shared" si="13"/>
        <v>300</v>
      </c>
      <c r="E247" s="51" t="s">
        <v>3</v>
      </c>
      <c r="F247" s="99">
        <f t="shared" si="14"/>
        <v>2300</v>
      </c>
      <c r="G247" s="51" t="s">
        <v>3</v>
      </c>
      <c r="H247" s="48">
        <v>4</v>
      </c>
      <c r="I247" s="49" t="s">
        <v>45</v>
      </c>
      <c r="J247" s="184">
        <v>110</v>
      </c>
      <c r="K247" s="75">
        <v>300</v>
      </c>
      <c r="L247" s="75">
        <v>2300</v>
      </c>
      <c r="M247" s="191">
        <v>25.022786178650001</v>
      </c>
      <c r="N247" s="87">
        <v>1692.3634444080001</v>
      </c>
      <c r="O247" s="123">
        <v>37866.480624820018</v>
      </c>
      <c r="P247" s="121">
        <v>46365.257123917545</v>
      </c>
      <c r="Q247" s="120">
        <v>27765.290788421746</v>
      </c>
      <c r="R247" s="314">
        <v>65631.77141324176</v>
      </c>
      <c r="S247" s="315">
        <v>74130.547912339287</v>
      </c>
      <c r="U247" s="7" t="s">
        <v>2759</v>
      </c>
    </row>
    <row r="248" spans="1:21" ht="16.5" thickBot="1">
      <c r="A248" s="50" t="s">
        <v>35</v>
      </c>
      <c r="B248" s="51">
        <f t="shared" si="12"/>
        <v>110</v>
      </c>
      <c r="C248" s="51" t="s">
        <v>3</v>
      </c>
      <c r="D248" s="51">
        <f t="shared" si="13"/>
        <v>300</v>
      </c>
      <c r="E248" s="51" t="s">
        <v>3</v>
      </c>
      <c r="F248" s="99">
        <f t="shared" si="14"/>
        <v>2350</v>
      </c>
      <c r="G248" s="51" t="s">
        <v>3</v>
      </c>
      <c r="H248" s="48">
        <v>4</v>
      </c>
      <c r="I248" s="49" t="s">
        <v>45</v>
      </c>
      <c r="J248" s="184">
        <v>110</v>
      </c>
      <c r="K248" s="75">
        <v>300</v>
      </c>
      <c r="L248" s="75">
        <v>2350</v>
      </c>
      <c r="M248" s="191">
        <v>25.547479448410002</v>
      </c>
      <c r="N248" s="87">
        <v>1735.7573788800003</v>
      </c>
      <c r="O248" s="123">
        <v>38545.482733442448</v>
      </c>
      <c r="P248" s="121">
        <v>47214.146713420698</v>
      </c>
      <c r="Q248" s="120">
        <v>28476.277734069005</v>
      </c>
      <c r="R248" s="314">
        <v>67021.760467511456</v>
      </c>
      <c r="S248" s="315">
        <v>75690.424447489699</v>
      </c>
      <c r="U248" s="7" t="s">
        <v>2760</v>
      </c>
    </row>
    <row r="249" spans="1:21" ht="16.5" thickBot="1">
      <c r="A249" s="50" t="s">
        <v>35</v>
      </c>
      <c r="B249" s="51">
        <f t="shared" si="12"/>
        <v>110</v>
      </c>
      <c r="C249" s="51" t="s">
        <v>3</v>
      </c>
      <c r="D249" s="51">
        <f t="shared" si="13"/>
        <v>300</v>
      </c>
      <c r="E249" s="51" t="s">
        <v>3</v>
      </c>
      <c r="F249" s="99">
        <f t="shared" si="14"/>
        <v>2400</v>
      </c>
      <c r="G249" s="51" t="s">
        <v>3</v>
      </c>
      <c r="H249" s="48">
        <v>4</v>
      </c>
      <c r="I249" s="49" t="s">
        <v>45</v>
      </c>
      <c r="J249" s="184">
        <v>110</v>
      </c>
      <c r="K249" s="75">
        <v>300</v>
      </c>
      <c r="L249" s="75">
        <v>2400</v>
      </c>
      <c r="M249" s="191">
        <v>26.05513271817</v>
      </c>
      <c r="N249" s="87">
        <v>1779.1513133520004</v>
      </c>
      <c r="O249" s="123">
        <v>39224.48484206487</v>
      </c>
      <c r="P249" s="121">
        <v>48063.036443317207</v>
      </c>
      <c r="Q249" s="120">
        <v>28956.682901932996</v>
      </c>
      <c r="R249" s="314">
        <v>68181.167743997867</v>
      </c>
      <c r="S249" s="315">
        <v>77019.719345250196</v>
      </c>
      <c r="U249" s="7" t="s">
        <v>2761</v>
      </c>
    </row>
    <row r="250" spans="1:21" ht="16.5" thickBot="1">
      <c r="A250" s="50" t="s">
        <v>35</v>
      </c>
      <c r="B250" s="51">
        <f t="shared" si="12"/>
        <v>110</v>
      </c>
      <c r="C250" s="51" t="s">
        <v>3</v>
      </c>
      <c r="D250" s="51">
        <f t="shared" si="13"/>
        <v>300</v>
      </c>
      <c r="E250" s="51" t="s">
        <v>3</v>
      </c>
      <c r="F250" s="99">
        <f t="shared" si="14"/>
        <v>2450</v>
      </c>
      <c r="G250" s="51" t="s">
        <v>3</v>
      </c>
      <c r="H250" s="48">
        <v>4</v>
      </c>
      <c r="I250" s="49" t="s">
        <v>45</v>
      </c>
      <c r="J250" s="184">
        <v>110</v>
      </c>
      <c r="K250" s="75">
        <v>300</v>
      </c>
      <c r="L250" s="75">
        <v>2450</v>
      </c>
      <c r="M250" s="191">
        <v>26.74697914523</v>
      </c>
      <c r="N250" s="87">
        <v>1822.5452478240002</v>
      </c>
      <c r="O250" s="123">
        <v>40607.750037024343</v>
      </c>
      <c r="P250" s="121">
        <v>49573.976625674448</v>
      </c>
      <c r="Q250" s="120">
        <v>29667.669987973619</v>
      </c>
      <c r="R250" s="314">
        <v>70275.420024997962</v>
      </c>
      <c r="S250" s="315">
        <v>79241.646613648074</v>
      </c>
      <c r="U250" s="7" t="s">
        <v>2762</v>
      </c>
    </row>
    <row r="251" spans="1:21" ht="16.5" thickBot="1">
      <c r="A251" s="50" t="s">
        <v>35</v>
      </c>
      <c r="B251" s="51">
        <f t="shared" si="12"/>
        <v>110</v>
      </c>
      <c r="C251" s="51" t="s">
        <v>3</v>
      </c>
      <c r="D251" s="51">
        <f t="shared" si="13"/>
        <v>300</v>
      </c>
      <c r="E251" s="51" t="s">
        <v>3</v>
      </c>
      <c r="F251" s="99">
        <f t="shared" si="14"/>
        <v>2500</v>
      </c>
      <c r="G251" s="51" t="s">
        <v>3</v>
      </c>
      <c r="H251" s="48">
        <v>4</v>
      </c>
      <c r="I251" s="49" t="s">
        <v>45</v>
      </c>
      <c r="J251" s="184">
        <v>110</v>
      </c>
      <c r="K251" s="75">
        <v>300</v>
      </c>
      <c r="L251" s="75">
        <v>2500</v>
      </c>
      <c r="M251" s="191">
        <v>27.254632414989999</v>
      </c>
      <c r="N251" s="87">
        <v>1865.9391822960001</v>
      </c>
      <c r="O251" s="123">
        <v>41286.752005253409</v>
      </c>
      <c r="P251" s="121">
        <v>50422.866215177593</v>
      </c>
      <c r="Q251" s="120">
        <v>30148.075155837607</v>
      </c>
      <c r="R251" s="314">
        <v>71434.827161091016</v>
      </c>
      <c r="S251" s="315">
        <v>80570.9413710152</v>
      </c>
      <c r="U251" s="7" t="s">
        <v>2763</v>
      </c>
    </row>
    <row r="252" spans="1:21" ht="16.5" thickBot="1">
      <c r="A252" s="50" t="s">
        <v>35</v>
      </c>
      <c r="B252" s="51">
        <f t="shared" si="12"/>
        <v>110</v>
      </c>
      <c r="C252" s="51" t="s">
        <v>3</v>
      </c>
      <c r="D252" s="51">
        <f t="shared" si="13"/>
        <v>300</v>
      </c>
      <c r="E252" s="51" t="s">
        <v>3</v>
      </c>
      <c r="F252" s="99">
        <f t="shared" si="14"/>
        <v>2550</v>
      </c>
      <c r="G252" s="51" t="s">
        <v>3</v>
      </c>
      <c r="H252" s="48">
        <v>4</v>
      </c>
      <c r="I252" s="49" t="s">
        <v>45</v>
      </c>
      <c r="J252" s="184">
        <v>110</v>
      </c>
      <c r="K252" s="75">
        <v>300</v>
      </c>
      <c r="L252" s="75">
        <v>2550</v>
      </c>
      <c r="M252" s="191">
        <v>27.779325684749999</v>
      </c>
      <c r="N252" s="87">
        <v>1909.3331167680001</v>
      </c>
      <c r="O252" s="123">
        <v>41965.754113875832</v>
      </c>
      <c r="P252" s="121">
        <v>51271.75594507411</v>
      </c>
      <c r="Q252" s="120">
        <v>30859.06224187823</v>
      </c>
      <c r="R252" s="314">
        <v>72824.816355754068</v>
      </c>
      <c r="S252" s="315">
        <v>82130.81818695234</v>
      </c>
      <c r="U252" s="7" t="s">
        <v>2764</v>
      </c>
    </row>
    <row r="253" spans="1:21" ht="16.5" thickBot="1">
      <c r="A253" s="47" t="s">
        <v>35</v>
      </c>
      <c r="B253" s="48">
        <f t="shared" si="12"/>
        <v>110</v>
      </c>
      <c r="C253" s="48" t="s">
        <v>3</v>
      </c>
      <c r="D253" s="48">
        <f t="shared" si="13"/>
        <v>300</v>
      </c>
      <c r="E253" s="48" t="s">
        <v>3</v>
      </c>
      <c r="F253" s="99">
        <f t="shared" si="14"/>
        <v>2600</v>
      </c>
      <c r="G253" s="48" t="s">
        <v>3</v>
      </c>
      <c r="H253" s="48">
        <v>4</v>
      </c>
      <c r="I253" s="49" t="s">
        <v>45</v>
      </c>
      <c r="J253" s="184">
        <v>110</v>
      </c>
      <c r="K253" s="75">
        <v>300</v>
      </c>
      <c r="L253" s="75">
        <v>2600</v>
      </c>
      <c r="M253" s="191">
        <v>28.286978954510005</v>
      </c>
      <c r="N253" s="87">
        <v>1952.72705124</v>
      </c>
      <c r="O253" s="123">
        <v>42644.756222498261</v>
      </c>
      <c r="P253" s="121">
        <v>52120.645534577263</v>
      </c>
      <c r="Q253" s="120">
        <v>31339.467409742221</v>
      </c>
      <c r="R253" s="314">
        <v>73984.223632240479</v>
      </c>
      <c r="S253" s="315">
        <v>83460.11294431948</v>
      </c>
      <c r="U253" s="7" t="s">
        <v>2765</v>
      </c>
    </row>
    <row r="254" spans="1:21" ht="16.5" thickBot="1">
      <c r="A254" s="50" t="s">
        <v>35</v>
      </c>
      <c r="B254" s="51">
        <f t="shared" si="12"/>
        <v>110</v>
      </c>
      <c r="C254" s="51" t="s">
        <v>3</v>
      </c>
      <c r="D254" s="51">
        <f t="shared" si="13"/>
        <v>300</v>
      </c>
      <c r="E254" s="51" t="s">
        <v>3</v>
      </c>
      <c r="F254" s="99">
        <f t="shared" si="14"/>
        <v>2650</v>
      </c>
      <c r="G254" s="51" t="s">
        <v>3</v>
      </c>
      <c r="H254" s="48">
        <v>4</v>
      </c>
      <c r="I254" s="49" t="s">
        <v>45</v>
      </c>
      <c r="J254" s="184">
        <v>110</v>
      </c>
      <c r="K254" s="75">
        <v>300</v>
      </c>
      <c r="L254" s="75">
        <v>2650</v>
      </c>
      <c r="M254" s="191">
        <v>28.811672224270001</v>
      </c>
      <c r="N254" s="87">
        <v>1996.1209857120002</v>
      </c>
      <c r="O254" s="123">
        <v>43323.758331120684</v>
      </c>
      <c r="P254" s="121">
        <v>52969.53526447378</v>
      </c>
      <c r="Q254" s="120">
        <v>32050.45435538948</v>
      </c>
      <c r="R254" s="314">
        <v>75374.21268651016</v>
      </c>
      <c r="S254" s="315">
        <v>85019.989619863263</v>
      </c>
      <c r="U254" s="7" t="s">
        <v>2766</v>
      </c>
    </row>
    <row r="255" spans="1:21" ht="16.5" thickBot="1">
      <c r="A255" s="50" t="s">
        <v>35</v>
      </c>
      <c r="B255" s="51">
        <f t="shared" si="12"/>
        <v>110</v>
      </c>
      <c r="C255" s="51" t="s">
        <v>3</v>
      </c>
      <c r="D255" s="51">
        <f t="shared" si="13"/>
        <v>300</v>
      </c>
      <c r="E255" s="51" t="s">
        <v>3</v>
      </c>
      <c r="F255" s="99">
        <f t="shared" si="14"/>
        <v>2700</v>
      </c>
      <c r="G255" s="51" t="s">
        <v>3</v>
      </c>
      <c r="H255" s="48">
        <v>4</v>
      </c>
      <c r="I255" s="49" t="s">
        <v>45</v>
      </c>
      <c r="J255" s="184">
        <v>110</v>
      </c>
      <c r="K255" s="75">
        <v>300</v>
      </c>
      <c r="L255" s="75">
        <v>2700</v>
      </c>
      <c r="M255" s="191">
        <v>29.397825494030002</v>
      </c>
      <c r="N255" s="87">
        <v>2039.5149201840004</v>
      </c>
      <c r="O255" s="123">
        <v>44079.914735251885</v>
      </c>
      <c r="P255" s="121">
        <v>53896.050309610247</v>
      </c>
      <c r="Q255" s="120">
        <v>32530.859663646832</v>
      </c>
      <c r="R255" s="314">
        <v>76610.77439889872</v>
      </c>
      <c r="S255" s="315">
        <v>86426.909973257076</v>
      </c>
      <c r="U255" s="7" t="s">
        <v>2767</v>
      </c>
    </row>
    <row r="256" spans="1:21" ht="16.5" thickBot="1">
      <c r="A256" s="50" t="s">
        <v>35</v>
      </c>
      <c r="B256" s="51">
        <f t="shared" si="12"/>
        <v>110</v>
      </c>
      <c r="C256" s="51" t="s">
        <v>3</v>
      </c>
      <c r="D256" s="51">
        <f t="shared" si="13"/>
        <v>300</v>
      </c>
      <c r="E256" s="51" t="s">
        <v>3</v>
      </c>
      <c r="F256" s="99">
        <f t="shared" si="14"/>
        <v>2750</v>
      </c>
      <c r="G256" s="51" t="s">
        <v>3</v>
      </c>
      <c r="H256" s="48">
        <v>4</v>
      </c>
      <c r="I256" s="49" t="s">
        <v>45</v>
      </c>
      <c r="J256" s="184">
        <v>110</v>
      </c>
      <c r="K256" s="75">
        <v>300</v>
      </c>
      <c r="L256" s="75">
        <v>2750</v>
      </c>
      <c r="M256" s="191">
        <v>29.905478763790004</v>
      </c>
      <c r="N256" s="87">
        <v>2082.9088546560001</v>
      </c>
      <c r="O256" s="123">
        <v>44758.916843874307</v>
      </c>
      <c r="P256" s="121">
        <v>54744.940039506764</v>
      </c>
      <c r="Q256" s="120">
        <v>33011.264831510824</v>
      </c>
      <c r="R256" s="314">
        <v>77770.181675385131</v>
      </c>
      <c r="S256" s="315">
        <v>87756.204871017588</v>
      </c>
      <c r="U256" s="7" t="s">
        <v>2768</v>
      </c>
    </row>
    <row r="257" spans="1:21" ht="16.5" thickBot="1">
      <c r="A257" s="50" t="s">
        <v>35</v>
      </c>
      <c r="B257" s="51">
        <f t="shared" si="12"/>
        <v>110</v>
      </c>
      <c r="C257" s="51" t="s">
        <v>3</v>
      </c>
      <c r="D257" s="51">
        <f t="shared" si="13"/>
        <v>300</v>
      </c>
      <c r="E257" s="51" t="s">
        <v>3</v>
      </c>
      <c r="F257" s="99">
        <f t="shared" si="14"/>
        <v>2800</v>
      </c>
      <c r="G257" s="51" t="s">
        <v>3</v>
      </c>
      <c r="H257" s="48">
        <v>4</v>
      </c>
      <c r="I257" s="49" t="s">
        <v>45</v>
      </c>
      <c r="J257" s="184">
        <v>110</v>
      </c>
      <c r="K257" s="75">
        <v>300</v>
      </c>
      <c r="L257" s="75">
        <v>2800</v>
      </c>
      <c r="M257" s="191">
        <v>30.430172033550001</v>
      </c>
      <c r="N257" s="87">
        <v>2126.3027891280003</v>
      </c>
      <c r="O257" s="123">
        <v>45437.918952496737</v>
      </c>
      <c r="P257" s="121">
        <v>55593.829629009917</v>
      </c>
      <c r="Q257" s="120">
        <v>33722.251777158082</v>
      </c>
      <c r="R257" s="314">
        <v>79160.170729654812</v>
      </c>
      <c r="S257" s="315">
        <v>89316.081406167999</v>
      </c>
      <c r="U257" s="7" t="s">
        <v>2769</v>
      </c>
    </row>
    <row r="258" spans="1:21" ht="16.5" thickBot="1">
      <c r="A258" s="50" t="s">
        <v>35</v>
      </c>
      <c r="B258" s="51">
        <f t="shared" si="12"/>
        <v>110</v>
      </c>
      <c r="C258" s="51" t="s">
        <v>3</v>
      </c>
      <c r="D258" s="51">
        <f t="shared" si="13"/>
        <v>300</v>
      </c>
      <c r="E258" s="51" t="s">
        <v>3</v>
      </c>
      <c r="F258" s="99">
        <f t="shared" si="14"/>
        <v>2850</v>
      </c>
      <c r="G258" s="51" t="s">
        <v>3</v>
      </c>
      <c r="H258" s="48">
        <v>4</v>
      </c>
      <c r="I258" s="49" t="s">
        <v>45</v>
      </c>
      <c r="J258" s="184">
        <v>110</v>
      </c>
      <c r="K258" s="75">
        <v>300</v>
      </c>
      <c r="L258" s="75">
        <v>2850</v>
      </c>
      <c r="M258" s="191">
        <v>30.937825303309999</v>
      </c>
      <c r="N258" s="87">
        <v>2169.6967236</v>
      </c>
      <c r="O258" s="123">
        <v>46116.920920725795</v>
      </c>
      <c r="P258" s="121">
        <v>56442.719358906419</v>
      </c>
      <c r="Q258" s="120">
        <v>34202.657085415434</v>
      </c>
      <c r="R258" s="314">
        <v>80319.578006141237</v>
      </c>
      <c r="S258" s="315">
        <v>90645.376444321853</v>
      </c>
      <c r="U258" s="7" t="s">
        <v>2770</v>
      </c>
    </row>
    <row r="259" spans="1:21" ht="16.5" thickBot="1">
      <c r="A259" s="50" t="s">
        <v>35</v>
      </c>
      <c r="B259" s="51">
        <f t="shared" si="12"/>
        <v>110</v>
      </c>
      <c r="C259" s="51" t="s">
        <v>3</v>
      </c>
      <c r="D259" s="51">
        <f t="shared" si="13"/>
        <v>300</v>
      </c>
      <c r="E259" s="51" t="s">
        <v>3</v>
      </c>
      <c r="F259" s="99">
        <f t="shared" si="14"/>
        <v>2900</v>
      </c>
      <c r="G259" s="51" t="s">
        <v>3</v>
      </c>
      <c r="H259" s="48">
        <v>4</v>
      </c>
      <c r="I259" s="49" t="s">
        <v>45</v>
      </c>
      <c r="J259" s="184">
        <v>110</v>
      </c>
      <c r="K259" s="75">
        <v>300</v>
      </c>
      <c r="L259" s="75">
        <v>2900</v>
      </c>
      <c r="M259" s="191">
        <v>31.46251857307</v>
      </c>
      <c r="N259" s="87">
        <v>2213.0906580720002</v>
      </c>
      <c r="O259" s="123">
        <v>46795.923029348218</v>
      </c>
      <c r="P259" s="121">
        <v>57291.609088802936</v>
      </c>
      <c r="Q259" s="120">
        <v>34913.644031062693</v>
      </c>
      <c r="R259" s="314">
        <v>81709.567060410918</v>
      </c>
      <c r="S259" s="315">
        <v>92205.253119865636</v>
      </c>
      <c r="U259" s="7" t="s">
        <v>2771</v>
      </c>
    </row>
    <row r="260" spans="1:21" ht="16.5" thickBot="1">
      <c r="A260" s="50" t="s">
        <v>35</v>
      </c>
      <c r="B260" s="51">
        <f t="shared" si="12"/>
        <v>110</v>
      </c>
      <c r="C260" s="51" t="s">
        <v>3</v>
      </c>
      <c r="D260" s="51">
        <f t="shared" si="13"/>
        <v>300</v>
      </c>
      <c r="E260" s="51" t="s">
        <v>3</v>
      </c>
      <c r="F260" s="99">
        <f t="shared" si="14"/>
        <v>2950</v>
      </c>
      <c r="G260" s="51" t="s">
        <v>3</v>
      </c>
      <c r="H260" s="48">
        <v>4</v>
      </c>
      <c r="I260" s="49" t="s">
        <v>45</v>
      </c>
      <c r="J260" s="184">
        <v>110</v>
      </c>
      <c r="K260" s="75">
        <v>300</v>
      </c>
      <c r="L260" s="75">
        <v>2950</v>
      </c>
      <c r="M260" s="191">
        <v>31.970171842830005</v>
      </c>
      <c r="N260" s="87">
        <v>2256.484592544</v>
      </c>
      <c r="O260" s="123">
        <v>47474.925137970655</v>
      </c>
      <c r="P260" s="121">
        <v>58140.498678306089</v>
      </c>
      <c r="Q260" s="120">
        <v>35394.049339320045</v>
      </c>
      <c r="R260" s="314">
        <v>82868.9744772907</v>
      </c>
      <c r="S260" s="315">
        <v>93534.548017626134</v>
      </c>
      <c r="U260" s="7" t="s">
        <v>2772</v>
      </c>
    </row>
    <row r="261" spans="1:21" ht="16.5" thickBot="1">
      <c r="A261" s="52" t="s">
        <v>35</v>
      </c>
      <c r="B261" s="53">
        <f t="shared" si="12"/>
        <v>110</v>
      </c>
      <c r="C261" s="53" t="s">
        <v>3</v>
      </c>
      <c r="D261" s="53">
        <f t="shared" si="13"/>
        <v>300</v>
      </c>
      <c r="E261" s="53" t="s">
        <v>3</v>
      </c>
      <c r="F261" s="100">
        <f t="shared" si="14"/>
        <v>3000</v>
      </c>
      <c r="G261" s="53" t="s">
        <v>3</v>
      </c>
      <c r="H261" s="55">
        <v>4</v>
      </c>
      <c r="I261" s="54" t="s">
        <v>45</v>
      </c>
      <c r="J261" s="186">
        <v>110</v>
      </c>
      <c r="K261" s="147">
        <v>300</v>
      </c>
      <c r="L261" s="147">
        <v>3000</v>
      </c>
      <c r="M261" s="192">
        <v>32.494865112589999</v>
      </c>
      <c r="N261" s="148">
        <v>2299.8785270160001</v>
      </c>
      <c r="O261" s="149">
        <v>49329.084552451546</v>
      </c>
      <c r="P261" s="158">
        <v>58989.388408202598</v>
      </c>
      <c r="Q261" s="159">
        <v>36105.036284967304</v>
      </c>
      <c r="R261" s="316">
        <v>85434.120837418857</v>
      </c>
      <c r="S261" s="317">
        <v>95094.424693169902</v>
      </c>
      <c r="U261" s="7" t="s">
        <v>2773</v>
      </c>
    </row>
    <row r="262" spans="1:21" ht="22.5" customHeight="1" thickBot="1">
      <c r="A262" s="2580" t="s">
        <v>522</v>
      </c>
      <c r="B262" s="2581"/>
      <c r="C262" s="2581"/>
      <c r="D262" s="2581"/>
      <c r="E262" s="2581"/>
      <c r="F262" s="2581"/>
      <c r="G262" s="2581"/>
      <c r="H262" s="2581"/>
      <c r="I262" s="2581"/>
      <c r="J262" s="2581"/>
      <c r="K262" s="2581"/>
      <c r="L262" s="2581"/>
      <c r="M262" s="2581"/>
      <c r="N262" s="2581"/>
      <c r="O262" s="2581"/>
      <c r="P262" s="2581"/>
      <c r="Q262" s="2581"/>
      <c r="R262" s="2581"/>
      <c r="S262" s="2582"/>
      <c r="U262" s="7"/>
    </row>
    <row r="263" spans="1:21" ht="16.5" thickBot="1">
      <c r="A263" s="2583" t="s">
        <v>135</v>
      </c>
      <c r="B263" s="2584"/>
      <c r="C263" s="2584"/>
      <c r="D263" s="2584"/>
      <c r="E263" s="2584"/>
      <c r="F263" s="2584"/>
      <c r="G263" s="2584"/>
      <c r="H263" s="2584"/>
      <c r="I263" s="2584"/>
      <c r="J263" s="2584"/>
      <c r="K263" s="2584"/>
      <c r="L263" s="2584"/>
      <c r="M263" s="2584"/>
      <c r="N263" s="2584"/>
      <c r="O263" s="2584"/>
      <c r="P263" s="2584"/>
      <c r="Q263" s="2584"/>
      <c r="R263" s="2584"/>
      <c r="S263" s="2585"/>
      <c r="U263" s="7"/>
    </row>
    <row r="264" spans="1:21" ht="16.5" thickBot="1">
      <c r="A264" s="47" t="s">
        <v>35</v>
      </c>
      <c r="B264" s="48">
        <f>J264</f>
        <v>110</v>
      </c>
      <c r="C264" s="48" t="s">
        <v>3</v>
      </c>
      <c r="D264" s="48">
        <f>K264</f>
        <v>360</v>
      </c>
      <c r="E264" s="48" t="s">
        <v>3</v>
      </c>
      <c r="F264" s="99">
        <f>L264</f>
        <v>600</v>
      </c>
      <c r="G264" s="48" t="s">
        <v>3</v>
      </c>
      <c r="H264" s="48">
        <v>4</v>
      </c>
      <c r="I264" s="49" t="s">
        <v>45</v>
      </c>
      <c r="J264" s="181">
        <v>110</v>
      </c>
      <c r="K264" s="143">
        <v>360</v>
      </c>
      <c r="L264" s="143">
        <v>600</v>
      </c>
      <c r="M264" s="190">
        <v>7.9319177571942117</v>
      </c>
      <c r="N264" s="144">
        <v>235.68702076259999</v>
      </c>
      <c r="O264" s="145">
        <v>14369.645891261704</v>
      </c>
      <c r="P264" s="183">
        <v>17455.392600511055</v>
      </c>
      <c r="Q264" s="169">
        <v>9204.3678470371888</v>
      </c>
      <c r="R264" s="312">
        <v>23574.013738298891</v>
      </c>
      <c r="S264" s="313">
        <v>26659.760447548244</v>
      </c>
      <c r="U264" s="7" t="s">
        <v>2774</v>
      </c>
    </row>
    <row r="265" spans="1:21" ht="16.5" thickBot="1">
      <c r="A265" s="50" t="s">
        <v>35</v>
      </c>
      <c r="B265" s="51">
        <f t="shared" ref="B265:B312" si="15">J265</f>
        <v>110</v>
      </c>
      <c r="C265" s="51" t="s">
        <v>3</v>
      </c>
      <c r="D265" s="51">
        <f t="shared" ref="D265:D312" si="16">K265</f>
        <v>360</v>
      </c>
      <c r="E265" s="51" t="s">
        <v>3</v>
      </c>
      <c r="F265" s="99">
        <f t="shared" ref="F265:F312" si="17">L265</f>
        <v>650</v>
      </c>
      <c r="G265" s="51" t="s">
        <v>3</v>
      </c>
      <c r="H265" s="48">
        <v>4</v>
      </c>
      <c r="I265" s="49" t="s">
        <v>45</v>
      </c>
      <c r="J265" s="184">
        <v>110</v>
      </c>
      <c r="K265" s="75">
        <v>360</v>
      </c>
      <c r="L265" s="75">
        <v>650</v>
      </c>
      <c r="M265" s="191">
        <v>8.4873515887963151</v>
      </c>
      <c r="N265" s="87">
        <v>282.82442491512001</v>
      </c>
      <c r="O265" s="123">
        <v>15076.766965279166</v>
      </c>
      <c r="P265" s="121">
        <v>18353.531198825665</v>
      </c>
      <c r="Q265" s="120">
        <v>9757.9649885401141</v>
      </c>
      <c r="R265" s="314">
        <v>24834.731953819282</v>
      </c>
      <c r="S265" s="315">
        <v>28111.496187365781</v>
      </c>
      <c r="U265" s="7" t="s">
        <v>2775</v>
      </c>
    </row>
    <row r="266" spans="1:21" ht="16.5" thickBot="1">
      <c r="A266" s="50" t="s">
        <v>35</v>
      </c>
      <c r="B266" s="51">
        <f t="shared" si="15"/>
        <v>110</v>
      </c>
      <c r="C266" s="51" t="s">
        <v>3</v>
      </c>
      <c r="D266" s="51">
        <f t="shared" si="16"/>
        <v>360</v>
      </c>
      <c r="E266" s="51" t="s">
        <v>3</v>
      </c>
      <c r="F266" s="99">
        <f t="shared" si="17"/>
        <v>700</v>
      </c>
      <c r="G266" s="51" t="s">
        <v>3</v>
      </c>
      <c r="H266" s="48">
        <v>4</v>
      </c>
      <c r="I266" s="49" t="s">
        <v>45</v>
      </c>
      <c r="J266" s="184">
        <v>110</v>
      </c>
      <c r="K266" s="75">
        <v>360</v>
      </c>
      <c r="L266" s="75">
        <v>700</v>
      </c>
      <c r="M266" s="191">
        <v>9.0598254203984201</v>
      </c>
      <c r="N266" s="87">
        <v>329.96182906764</v>
      </c>
      <c r="O266" s="123">
        <v>15783.888039296629</v>
      </c>
      <c r="P266" s="121">
        <v>19251.669797140279</v>
      </c>
      <c r="Q266" s="120">
        <v>10542.143907826316</v>
      </c>
      <c r="R266" s="314">
        <v>26326.031947122945</v>
      </c>
      <c r="S266" s="315">
        <v>29793.813704966597</v>
      </c>
      <c r="U266" s="7" t="s">
        <v>2776</v>
      </c>
    </row>
    <row r="267" spans="1:21" ht="16.5" thickBot="1">
      <c r="A267" s="50" t="s">
        <v>35</v>
      </c>
      <c r="B267" s="51">
        <f t="shared" si="15"/>
        <v>110</v>
      </c>
      <c r="C267" s="51" t="s">
        <v>3</v>
      </c>
      <c r="D267" s="51">
        <f t="shared" si="16"/>
        <v>360</v>
      </c>
      <c r="E267" s="51" t="s">
        <v>3</v>
      </c>
      <c r="F267" s="99">
        <f t="shared" si="17"/>
        <v>750</v>
      </c>
      <c r="G267" s="51" t="s">
        <v>3</v>
      </c>
      <c r="H267" s="48">
        <v>4</v>
      </c>
      <c r="I267" s="49" t="s">
        <v>45</v>
      </c>
      <c r="J267" s="184">
        <v>110</v>
      </c>
      <c r="K267" s="75">
        <v>360</v>
      </c>
      <c r="L267" s="75">
        <v>750</v>
      </c>
      <c r="M267" s="191">
        <v>9.6152592520005271</v>
      </c>
      <c r="N267" s="87">
        <v>377.09923322015999</v>
      </c>
      <c r="O267" s="123">
        <v>16491.009113314092</v>
      </c>
      <c r="P267" s="121">
        <v>20149.808395454889</v>
      </c>
      <c r="Q267" s="120">
        <v>11095.741049329239</v>
      </c>
      <c r="R267" s="314">
        <v>27586.75016264333</v>
      </c>
      <c r="S267" s="315">
        <v>31245.549444784127</v>
      </c>
      <c r="U267" s="7" t="s">
        <v>2777</v>
      </c>
    </row>
    <row r="268" spans="1:21" ht="16.5" thickBot="1">
      <c r="A268" s="50" t="s">
        <v>35</v>
      </c>
      <c r="B268" s="51">
        <f t="shared" si="15"/>
        <v>110</v>
      </c>
      <c r="C268" s="51" t="s">
        <v>3</v>
      </c>
      <c r="D268" s="51">
        <f t="shared" si="16"/>
        <v>360</v>
      </c>
      <c r="E268" s="51" t="s">
        <v>3</v>
      </c>
      <c r="F268" s="99">
        <f t="shared" si="17"/>
        <v>800</v>
      </c>
      <c r="G268" s="51" t="s">
        <v>3</v>
      </c>
      <c r="H268" s="48">
        <v>4</v>
      </c>
      <c r="I268" s="49" t="s">
        <v>45</v>
      </c>
      <c r="J268" s="184">
        <v>110</v>
      </c>
      <c r="K268" s="75">
        <v>360</v>
      </c>
      <c r="L268" s="75">
        <v>800</v>
      </c>
      <c r="M268" s="191">
        <v>10.170693083602632</v>
      </c>
      <c r="N268" s="87">
        <v>424.23663737268004</v>
      </c>
      <c r="O268" s="123">
        <v>17198.130046938193</v>
      </c>
      <c r="P268" s="121">
        <v>21047.946853376143</v>
      </c>
      <c r="Q268" s="120">
        <v>11649.338190832164</v>
      </c>
      <c r="R268" s="314">
        <v>28847.468237770358</v>
      </c>
      <c r="S268" s="315">
        <v>32697.285044208307</v>
      </c>
      <c r="U268" s="7" t="s">
        <v>2778</v>
      </c>
    </row>
    <row r="269" spans="1:21" ht="16.5" thickBot="1">
      <c r="A269" s="50" t="s">
        <v>35</v>
      </c>
      <c r="B269" s="51">
        <f t="shared" si="15"/>
        <v>110</v>
      </c>
      <c r="C269" s="51" t="s">
        <v>3</v>
      </c>
      <c r="D269" s="51">
        <f t="shared" si="16"/>
        <v>360</v>
      </c>
      <c r="E269" s="51" t="s">
        <v>3</v>
      </c>
      <c r="F269" s="99">
        <f t="shared" si="17"/>
        <v>850</v>
      </c>
      <c r="G269" s="51" t="s">
        <v>3</v>
      </c>
      <c r="H269" s="48">
        <v>4</v>
      </c>
      <c r="I269" s="49" t="s">
        <v>45</v>
      </c>
      <c r="J269" s="184">
        <v>110</v>
      </c>
      <c r="K269" s="75">
        <v>360</v>
      </c>
      <c r="L269" s="75">
        <v>850</v>
      </c>
      <c r="M269" s="191">
        <v>10.743166915204737</v>
      </c>
      <c r="N269" s="87">
        <v>471.37404152519997</v>
      </c>
      <c r="O269" s="123">
        <v>17905.251120955654</v>
      </c>
      <c r="P269" s="121">
        <v>21946.085451690753</v>
      </c>
      <c r="Q269" s="120">
        <v>12433.517110118366</v>
      </c>
      <c r="R269" s="314">
        <v>30338.76823107402</v>
      </c>
      <c r="S269" s="315">
        <v>34379.602561809123</v>
      </c>
      <c r="U269" s="7" t="s">
        <v>2779</v>
      </c>
    </row>
    <row r="270" spans="1:21" ht="16.5" thickBot="1">
      <c r="A270" s="50" t="s">
        <v>35</v>
      </c>
      <c r="B270" s="51">
        <f t="shared" si="15"/>
        <v>110</v>
      </c>
      <c r="C270" s="51" t="s">
        <v>3</v>
      </c>
      <c r="D270" s="51">
        <f t="shared" si="16"/>
        <v>360</v>
      </c>
      <c r="E270" s="51" t="s">
        <v>3</v>
      </c>
      <c r="F270" s="99">
        <f t="shared" si="17"/>
        <v>900</v>
      </c>
      <c r="G270" s="51" t="s">
        <v>3</v>
      </c>
      <c r="H270" s="48">
        <v>4</v>
      </c>
      <c r="I270" s="49" t="s">
        <v>45</v>
      </c>
      <c r="J270" s="184">
        <v>110</v>
      </c>
      <c r="K270" s="75">
        <v>360</v>
      </c>
      <c r="L270" s="75">
        <v>900</v>
      </c>
      <c r="M270" s="191">
        <v>11.298600746806844</v>
      </c>
      <c r="N270" s="87">
        <v>518.51144567771996</v>
      </c>
      <c r="O270" s="123">
        <v>18612.372194973119</v>
      </c>
      <c r="P270" s="121">
        <v>22844.224050005367</v>
      </c>
      <c r="Q270" s="120">
        <v>12987.114251621291</v>
      </c>
      <c r="R270" s="314">
        <v>31599.486446594412</v>
      </c>
      <c r="S270" s="315">
        <v>35831.33830162666</v>
      </c>
      <c r="U270" s="7" t="s">
        <v>2780</v>
      </c>
    </row>
    <row r="271" spans="1:21" ht="16.5" thickBot="1">
      <c r="A271" s="50" t="s">
        <v>35</v>
      </c>
      <c r="B271" s="51">
        <f t="shared" si="15"/>
        <v>110</v>
      </c>
      <c r="C271" s="51" t="s">
        <v>3</v>
      </c>
      <c r="D271" s="51">
        <f t="shared" si="16"/>
        <v>360</v>
      </c>
      <c r="E271" s="51" t="s">
        <v>3</v>
      </c>
      <c r="F271" s="99">
        <f t="shared" si="17"/>
        <v>950</v>
      </c>
      <c r="G271" s="51" t="s">
        <v>3</v>
      </c>
      <c r="H271" s="48">
        <v>4</v>
      </c>
      <c r="I271" s="49" t="s">
        <v>45</v>
      </c>
      <c r="J271" s="184">
        <v>110</v>
      </c>
      <c r="K271" s="75">
        <v>360</v>
      </c>
      <c r="L271" s="75">
        <v>950</v>
      </c>
      <c r="M271" s="191">
        <v>11.871074578408946</v>
      </c>
      <c r="N271" s="87">
        <v>565.64884983024001</v>
      </c>
      <c r="O271" s="123">
        <v>19319.49326899058</v>
      </c>
      <c r="P271" s="121">
        <v>23742.362648319981</v>
      </c>
      <c r="Q271" s="120">
        <v>13771.293170907491</v>
      </c>
      <c r="R271" s="314">
        <v>33090.786439898075</v>
      </c>
      <c r="S271" s="315">
        <v>37513.655819227468</v>
      </c>
      <c r="U271" s="7" t="s">
        <v>2781</v>
      </c>
    </row>
    <row r="272" spans="1:21" ht="16.5" thickBot="1">
      <c r="A272" s="50" t="s">
        <v>35</v>
      </c>
      <c r="B272" s="51">
        <f t="shared" si="15"/>
        <v>110</v>
      </c>
      <c r="C272" s="51" t="s">
        <v>3</v>
      </c>
      <c r="D272" s="51">
        <f t="shared" si="16"/>
        <v>360</v>
      </c>
      <c r="E272" s="51" t="s">
        <v>3</v>
      </c>
      <c r="F272" s="99">
        <f t="shared" si="17"/>
        <v>1000</v>
      </c>
      <c r="G272" s="51" t="s">
        <v>3</v>
      </c>
      <c r="H272" s="48">
        <v>4</v>
      </c>
      <c r="I272" s="49" t="s">
        <v>45</v>
      </c>
      <c r="J272" s="184">
        <v>110</v>
      </c>
      <c r="K272" s="75">
        <v>360</v>
      </c>
      <c r="L272" s="75">
        <v>1000</v>
      </c>
      <c r="M272" s="191">
        <v>12.426508410011053</v>
      </c>
      <c r="N272" s="87">
        <v>612.78625398275994</v>
      </c>
      <c r="O272" s="123">
        <v>20026.614343008041</v>
      </c>
      <c r="P272" s="121">
        <v>24640.50110624123</v>
      </c>
      <c r="Q272" s="120">
        <v>14324.890312410414</v>
      </c>
      <c r="R272" s="314">
        <v>34351.504655418452</v>
      </c>
      <c r="S272" s="315">
        <v>38965.391418651649</v>
      </c>
      <c r="U272" s="7" t="s">
        <v>2782</v>
      </c>
    </row>
    <row r="273" spans="1:21" ht="16.5" thickBot="1">
      <c r="A273" s="50" t="s">
        <v>35</v>
      </c>
      <c r="B273" s="51">
        <f t="shared" si="15"/>
        <v>110</v>
      </c>
      <c r="C273" s="51" t="s">
        <v>3</v>
      </c>
      <c r="D273" s="51">
        <f t="shared" si="16"/>
        <v>360</v>
      </c>
      <c r="E273" s="51" t="s">
        <v>3</v>
      </c>
      <c r="F273" s="99">
        <f t="shared" si="17"/>
        <v>1050</v>
      </c>
      <c r="G273" s="51" t="s">
        <v>3</v>
      </c>
      <c r="H273" s="48">
        <v>4</v>
      </c>
      <c r="I273" s="49" t="s">
        <v>45</v>
      </c>
      <c r="J273" s="184">
        <v>110</v>
      </c>
      <c r="K273" s="75">
        <v>360</v>
      </c>
      <c r="L273" s="75">
        <v>1050</v>
      </c>
      <c r="M273" s="191">
        <v>12.998982241613156</v>
      </c>
      <c r="N273" s="87">
        <v>659.92365813527999</v>
      </c>
      <c r="O273" s="123">
        <v>20733.735417025506</v>
      </c>
      <c r="P273" s="121">
        <v>25538.639704555844</v>
      </c>
      <c r="Q273" s="120">
        <v>15109.069231696616</v>
      </c>
      <c r="R273" s="314">
        <v>35842.804648722122</v>
      </c>
      <c r="S273" s="315">
        <v>40647.708936252457</v>
      </c>
      <c r="U273" s="7" t="s">
        <v>2783</v>
      </c>
    </row>
    <row r="274" spans="1:21" ht="16.5" thickBot="1">
      <c r="A274" s="47" t="s">
        <v>35</v>
      </c>
      <c r="B274" s="48">
        <f t="shared" si="15"/>
        <v>110</v>
      </c>
      <c r="C274" s="48" t="s">
        <v>3</v>
      </c>
      <c r="D274" s="48">
        <f t="shared" si="16"/>
        <v>360</v>
      </c>
      <c r="E274" s="48" t="s">
        <v>3</v>
      </c>
      <c r="F274" s="99">
        <f t="shared" si="17"/>
        <v>1100</v>
      </c>
      <c r="G274" s="48" t="s">
        <v>3</v>
      </c>
      <c r="H274" s="48">
        <v>4</v>
      </c>
      <c r="I274" s="49" t="s">
        <v>45</v>
      </c>
      <c r="J274" s="184">
        <v>110</v>
      </c>
      <c r="K274" s="75">
        <v>360</v>
      </c>
      <c r="L274" s="75">
        <v>1100</v>
      </c>
      <c r="M274" s="191">
        <v>13.554416073215263</v>
      </c>
      <c r="N274" s="87">
        <v>707.06106228780004</v>
      </c>
      <c r="O274" s="123">
        <v>21440.856350649603</v>
      </c>
      <c r="P274" s="121">
        <v>26436.778302870458</v>
      </c>
      <c r="Q274" s="120">
        <v>15662.66637319954</v>
      </c>
      <c r="R274" s="314">
        <v>37103.522723849142</v>
      </c>
      <c r="S274" s="315">
        <v>42099.444676069994</v>
      </c>
      <c r="U274" s="7" t="s">
        <v>2784</v>
      </c>
    </row>
    <row r="275" spans="1:21" ht="16.5" thickBot="1">
      <c r="A275" s="50" t="s">
        <v>35</v>
      </c>
      <c r="B275" s="51">
        <f t="shared" si="15"/>
        <v>110</v>
      </c>
      <c r="C275" s="51" t="s">
        <v>3</v>
      </c>
      <c r="D275" s="51">
        <f t="shared" si="16"/>
        <v>360</v>
      </c>
      <c r="E275" s="51" t="s">
        <v>3</v>
      </c>
      <c r="F275" s="99">
        <f t="shared" si="17"/>
        <v>1150</v>
      </c>
      <c r="G275" s="51" t="s">
        <v>3</v>
      </c>
      <c r="H275" s="48">
        <v>4</v>
      </c>
      <c r="I275" s="49" t="s">
        <v>45</v>
      </c>
      <c r="J275" s="184">
        <v>110</v>
      </c>
      <c r="K275" s="75">
        <v>360</v>
      </c>
      <c r="L275" s="75">
        <v>1150</v>
      </c>
      <c r="M275" s="191">
        <v>14.109849904817368</v>
      </c>
      <c r="N275" s="87">
        <v>754.19846644031998</v>
      </c>
      <c r="O275" s="123">
        <v>22147.977424667068</v>
      </c>
      <c r="P275" s="121">
        <v>27334.916901185068</v>
      </c>
      <c r="Q275" s="120">
        <v>16216.263514702467</v>
      </c>
      <c r="R275" s="314">
        <v>38364.240939369534</v>
      </c>
      <c r="S275" s="315">
        <v>43551.180415887531</v>
      </c>
      <c r="U275" s="7" t="s">
        <v>2785</v>
      </c>
    </row>
    <row r="276" spans="1:21" ht="16.5" thickBot="1">
      <c r="A276" s="50" t="s">
        <v>35</v>
      </c>
      <c r="B276" s="51">
        <f t="shared" si="15"/>
        <v>110</v>
      </c>
      <c r="C276" s="51" t="s">
        <v>3</v>
      </c>
      <c r="D276" s="51">
        <f t="shared" si="16"/>
        <v>360</v>
      </c>
      <c r="E276" s="51" t="s">
        <v>3</v>
      </c>
      <c r="F276" s="99">
        <f t="shared" si="17"/>
        <v>1200</v>
      </c>
      <c r="G276" s="51" t="s">
        <v>3</v>
      </c>
      <c r="H276" s="48">
        <v>4</v>
      </c>
      <c r="I276" s="49" t="s">
        <v>45</v>
      </c>
      <c r="J276" s="184">
        <v>110</v>
      </c>
      <c r="K276" s="75">
        <v>360</v>
      </c>
      <c r="L276" s="75">
        <v>1200</v>
      </c>
      <c r="M276" s="191">
        <v>14.760823736419471</v>
      </c>
      <c r="N276" s="87">
        <v>801.33587059284002</v>
      </c>
      <c r="O276" s="123">
        <v>22932.252934586668</v>
      </c>
      <c r="P276" s="121">
        <v>28310.680814739644</v>
      </c>
      <c r="Q276" s="120">
        <v>17000.442574382028</v>
      </c>
      <c r="R276" s="314">
        <v>39932.695508968696</v>
      </c>
      <c r="S276" s="315">
        <v>45311.123389121669</v>
      </c>
      <c r="U276" s="7" t="s">
        <v>2786</v>
      </c>
    </row>
    <row r="277" spans="1:21" ht="16.5" thickBot="1">
      <c r="A277" s="50" t="s">
        <v>35</v>
      </c>
      <c r="B277" s="51">
        <f t="shared" si="15"/>
        <v>110</v>
      </c>
      <c r="C277" s="51" t="s">
        <v>3</v>
      </c>
      <c r="D277" s="51">
        <f t="shared" si="16"/>
        <v>360</v>
      </c>
      <c r="E277" s="51" t="s">
        <v>3</v>
      </c>
      <c r="F277" s="99">
        <f t="shared" si="17"/>
        <v>1250</v>
      </c>
      <c r="G277" s="51" t="s">
        <v>3</v>
      </c>
      <c r="H277" s="48">
        <v>4</v>
      </c>
      <c r="I277" s="49" t="s">
        <v>45</v>
      </c>
      <c r="J277" s="184">
        <v>110</v>
      </c>
      <c r="K277" s="75">
        <v>360</v>
      </c>
      <c r="L277" s="75">
        <v>1250</v>
      </c>
      <c r="M277" s="191">
        <v>15.31625756802158</v>
      </c>
      <c r="N277" s="87">
        <v>848.47327474536007</v>
      </c>
      <c r="O277" s="123">
        <v>23639.374008604129</v>
      </c>
      <c r="P277" s="121">
        <v>29208.819413054258</v>
      </c>
      <c r="Q277" s="120">
        <v>17554.039715884952</v>
      </c>
      <c r="R277" s="314">
        <v>41193.413724489081</v>
      </c>
      <c r="S277" s="315">
        <v>46762.859128939206</v>
      </c>
      <c r="U277" s="7" t="s">
        <v>2787</v>
      </c>
    </row>
    <row r="278" spans="1:21" ht="16.5" thickBot="1">
      <c r="A278" s="50" t="s">
        <v>35</v>
      </c>
      <c r="B278" s="51">
        <f t="shared" si="15"/>
        <v>110</v>
      </c>
      <c r="C278" s="51" t="s">
        <v>3</v>
      </c>
      <c r="D278" s="51">
        <f t="shared" si="16"/>
        <v>360</v>
      </c>
      <c r="E278" s="51" t="s">
        <v>3</v>
      </c>
      <c r="F278" s="99">
        <f t="shared" si="17"/>
        <v>1300</v>
      </c>
      <c r="G278" s="51" t="s">
        <v>3</v>
      </c>
      <c r="H278" s="48">
        <v>4</v>
      </c>
      <c r="I278" s="49" t="s">
        <v>45</v>
      </c>
      <c r="J278" s="184">
        <v>110</v>
      </c>
      <c r="K278" s="75">
        <v>360</v>
      </c>
      <c r="L278" s="75">
        <v>1300</v>
      </c>
      <c r="M278" s="191">
        <v>15.888731399623683</v>
      </c>
      <c r="N278" s="87">
        <v>895.61067889787989</v>
      </c>
      <c r="O278" s="123">
        <v>24346.49494222823</v>
      </c>
      <c r="P278" s="121">
        <v>30106.958011368872</v>
      </c>
      <c r="Q278" s="120">
        <v>18338.218635171153</v>
      </c>
      <c r="R278" s="314">
        <v>42684.71357739938</v>
      </c>
      <c r="S278" s="315">
        <v>48445.176646540029</v>
      </c>
      <c r="U278" s="7" t="s">
        <v>2788</v>
      </c>
    </row>
    <row r="279" spans="1:21" ht="16.5" thickBot="1">
      <c r="A279" s="50" t="s">
        <v>35</v>
      </c>
      <c r="B279" s="51">
        <f t="shared" si="15"/>
        <v>110</v>
      </c>
      <c r="C279" s="51" t="s">
        <v>3</v>
      </c>
      <c r="D279" s="51">
        <f t="shared" si="16"/>
        <v>360</v>
      </c>
      <c r="E279" s="51" t="s">
        <v>3</v>
      </c>
      <c r="F279" s="99">
        <f t="shared" si="17"/>
        <v>1350</v>
      </c>
      <c r="G279" s="51" t="s">
        <v>3</v>
      </c>
      <c r="H279" s="48">
        <v>4</v>
      </c>
      <c r="I279" s="49" t="s">
        <v>45</v>
      </c>
      <c r="J279" s="184">
        <v>110</v>
      </c>
      <c r="K279" s="75">
        <v>360</v>
      </c>
      <c r="L279" s="75">
        <v>1350</v>
      </c>
      <c r="M279" s="191">
        <v>16.444165231225789</v>
      </c>
      <c r="N279" s="87">
        <v>942.74808305039994</v>
      </c>
      <c r="O279" s="123">
        <v>25053.616016245694</v>
      </c>
      <c r="P279" s="121">
        <v>31005.096609683478</v>
      </c>
      <c r="Q279" s="120">
        <v>18891.815776674081</v>
      </c>
      <c r="R279" s="314">
        <v>43945.431792919771</v>
      </c>
      <c r="S279" s="315">
        <v>49896.912386357559</v>
      </c>
      <c r="U279" s="7" t="s">
        <v>2789</v>
      </c>
    </row>
    <row r="280" spans="1:21" ht="16.5" thickBot="1">
      <c r="A280" s="50" t="s">
        <v>35</v>
      </c>
      <c r="B280" s="51">
        <f t="shared" si="15"/>
        <v>110</v>
      </c>
      <c r="C280" s="51" t="s">
        <v>3</v>
      </c>
      <c r="D280" s="51">
        <f t="shared" si="16"/>
        <v>360</v>
      </c>
      <c r="E280" s="51" t="s">
        <v>3</v>
      </c>
      <c r="F280" s="99">
        <f t="shared" si="17"/>
        <v>1400</v>
      </c>
      <c r="G280" s="51" t="s">
        <v>3</v>
      </c>
      <c r="H280" s="48">
        <v>4</v>
      </c>
      <c r="I280" s="49" t="s">
        <v>45</v>
      </c>
      <c r="J280" s="184">
        <v>110</v>
      </c>
      <c r="K280" s="75">
        <v>360</v>
      </c>
      <c r="L280" s="75">
        <v>1400</v>
      </c>
      <c r="M280" s="191">
        <v>17.016639062827892</v>
      </c>
      <c r="N280" s="87">
        <v>989.88548720291999</v>
      </c>
      <c r="O280" s="123">
        <v>25760.737090263156</v>
      </c>
      <c r="P280" s="121">
        <v>31903.235067604735</v>
      </c>
      <c r="Q280" s="120">
        <v>19675.994695960278</v>
      </c>
      <c r="R280" s="314">
        <v>45436.731786223434</v>
      </c>
      <c r="S280" s="315">
        <v>51579.229763565017</v>
      </c>
      <c r="U280" s="7" t="s">
        <v>2790</v>
      </c>
    </row>
    <row r="281" spans="1:21" ht="16.5" thickBot="1">
      <c r="A281" s="50" t="s">
        <v>35</v>
      </c>
      <c r="B281" s="51">
        <f t="shared" si="15"/>
        <v>110</v>
      </c>
      <c r="C281" s="51" t="s">
        <v>3</v>
      </c>
      <c r="D281" s="51">
        <f t="shared" si="16"/>
        <v>360</v>
      </c>
      <c r="E281" s="51" t="s">
        <v>3</v>
      </c>
      <c r="F281" s="99">
        <f t="shared" si="17"/>
        <v>1450</v>
      </c>
      <c r="G281" s="51" t="s">
        <v>3</v>
      </c>
      <c r="H281" s="48">
        <v>4</v>
      </c>
      <c r="I281" s="49" t="s">
        <v>45</v>
      </c>
      <c r="J281" s="184">
        <v>110</v>
      </c>
      <c r="K281" s="75">
        <v>360</v>
      </c>
      <c r="L281" s="75">
        <v>1450</v>
      </c>
      <c r="M281" s="191">
        <v>17.572072894430001</v>
      </c>
      <c r="N281" s="87">
        <v>1037.0228913554399</v>
      </c>
      <c r="O281" s="123">
        <v>26467.85816428062</v>
      </c>
      <c r="P281" s="121">
        <v>32801.373665919346</v>
      </c>
      <c r="Q281" s="120">
        <v>20229.591837463206</v>
      </c>
      <c r="R281" s="314">
        <v>46697.450001743826</v>
      </c>
      <c r="S281" s="315">
        <v>53030.965503382555</v>
      </c>
      <c r="U281" s="7" t="s">
        <v>2791</v>
      </c>
    </row>
    <row r="282" spans="1:21" ht="16.5" thickBot="1">
      <c r="A282" s="50" t="s">
        <v>35</v>
      </c>
      <c r="B282" s="51">
        <f t="shared" si="15"/>
        <v>110</v>
      </c>
      <c r="C282" s="51" t="s">
        <v>3</v>
      </c>
      <c r="D282" s="51">
        <f t="shared" si="16"/>
        <v>360</v>
      </c>
      <c r="E282" s="51" t="s">
        <v>3</v>
      </c>
      <c r="F282" s="99">
        <f t="shared" si="17"/>
        <v>1500</v>
      </c>
      <c r="G282" s="51" t="s">
        <v>3</v>
      </c>
      <c r="H282" s="48">
        <v>4</v>
      </c>
      <c r="I282" s="49" t="s">
        <v>45</v>
      </c>
      <c r="J282" s="184">
        <v>110</v>
      </c>
      <c r="K282" s="75">
        <v>360</v>
      </c>
      <c r="L282" s="75">
        <v>1500</v>
      </c>
      <c r="M282" s="191">
        <v>18.347776104332105</v>
      </c>
      <c r="N282" s="87">
        <v>1084.16029550796</v>
      </c>
      <c r="O282" s="123">
        <v>27927.448491549945</v>
      </c>
      <c r="P282" s="121">
        <v>34438.145751611446</v>
      </c>
      <c r="Q282" s="120">
        <v>21013.770756749404</v>
      </c>
      <c r="R282" s="314">
        <v>48941.219248299349</v>
      </c>
      <c r="S282" s="315">
        <v>55451.916508360853</v>
      </c>
      <c r="U282" s="7" t="s">
        <v>2792</v>
      </c>
    </row>
    <row r="283" spans="1:21" ht="16.5" thickBot="1">
      <c r="A283" s="50" t="s">
        <v>35</v>
      </c>
      <c r="B283" s="51">
        <f t="shared" si="15"/>
        <v>110</v>
      </c>
      <c r="C283" s="51" t="s">
        <v>3</v>
      </c>
      <c r="D283" s="51">
        <f t="shared" si="16"/>
        <v>360</v>
      </c>
      <c r="E283" s="51" t="s">
        <v>3</v>
      </c>
      <c r="F283" s="99">
        <f t="shared" si="17"/>
        <v>1550</v>
      </c>
      <c r="G283" s="51" t="s">
        <v>3</v>
      </c>
      <c r="H283" s="48">
        <v>4</v>
      </c>
      <c r="I283" s="49" t="s">
        <v>45</v>
      </c>
      <c r="J283" s="184">
        <v>110</v>
      </c>
      <c r="K283" s="75">
        <v>360</v>
      </c>
      <c r="L283" s="75">
        <v>1550</v>
      </c>
      <c r="M283" s="191">
        <v>18.903209935934207</v>
      </c>
      <c r="N283" s="87">
        <v>1131.29769966048</v>
      </c>
      <c r="O283" s="123">
        <v>28634.569565567406</v>
      </c>
      <c r="P283" s="121">
        <v>35336.284349926056</v>
      </c>
      <c r="Q283" s="120">
        <v>21567.367898252327</v>
      </c>
      <c r="R283" s="314">
        <v>50201.937463819733</v>
      </c>
      <c r="S283" s="315">
        <v>56903.652248178383</v>
      </c>
      <c r="U283" s="7" t="s">
        <v>2793</v>
      </c>
    </row>
    <row r="284" spans="1:21" ht="16.5" thickBot="1">
      <c r="A284" s="47" t="s">
        <v>35</v>
      </c>
      <c r="B284" s="48">
        <f t="shared" si="15"/>
        <v>110</v>
      </c>
      <c r="C284" s="48" t="s">
        <v>3</v>
      </c>
      <c r="D284" s="48">
        <f t="shared" si="16"/>
        <v>360</v>
      </c>
      <c r="E284" s="48" t="s">
        <v>3</v>
      </c>
      <c r="F284" s="99">
        <f t="shared" si="17"/>
        <v>1600</v>
      </c>
      <c r="G284" s="48" t="s">
        <v>3</v>
      </c>
      <c r="H284" s="48">
        <v>4</v>
      </c>
      <c r="I284" s="49" t="s">
        <v>45</v>
      </c>
      <c r="J284" s="184">
        <v>110</v>
      </c>
      <c r="K284" s="75">
        <v>360</v>
      </c>
      <c r="L284" s="75">
        <v>1600</v>
      </c>
      <c r="M284" s="191">
        <v>19.458643767536312</v>
      </c>
      <c r="N284" s="87">
        <v>1178.4351038129998</v>
      </c>
      <c r="O284" s="123">
        <v>29341.690639584871</v>
      </c>
      <c r="P284" s="121">
        <v>36234.422948240674</v>
      </c>
      <c r="Q284" s="120">
        <v>22120.965039755254</v>
      </c>
      <c r="R284" s="314">
        <v>51462.655679340125</v>
      </c>
      <c r="S284" s="315">
        <v>58355.387987995928</v>
      </c>
      <c r="U284" s="7" t="s">
        <v>2794</v>
      </c>
    </row>
    <row r="285" spans="1:21" ht="16.5" thickBot="1">
      <c r="A285" s="50" t="s">
        <v>35</v>
      </c>
      <c r="B285" s="51">
        <f t="shared" si="15"/>
        <v>110</v>
      </c>
      <c r="C285" s="51" t="s">
        <v>3</v>
      </c>
      <c r="D285" s="51">
        <f t="shared" si="16"/>
        <v>360</v>
      </c>
      <c r="E285" s="51" t="s">
        <v>3</v>
      </c>
      <c r="F285" s="99">
        <f t="shared" si="17"/>
        <v>1650</v>
      </c>
      <c r="G285" s="51" t="s">
        <v>3</v>
      </c>
      <c r="H285" s="48">
        <v>4</v>
      </c>
      <c r="I285" s="49" t="s">
        <v>45</v>
      </c>
      <c r="J285" s="184">
        <v>110</v>
      </c>
      <c r="K285" s="75">
        <v>360</v>
      </c>
      <c r="L285" s="75">
        <v>1650</v>
      </c>
      <c r="M285" s="191">
        <v>20.031117599138422</v>
      </c>
      <c r="N285" s="87">
        <v>1225.5725079655199</v>
      </c>
      <c r="O285" s="123">
        <v>30048.811713602332</v>
      </c>
      <c r="P285" s="121">
        <v>37132.561546555284</v>
      </c>
      <c r="Q285" s="120">
        <v>22905.143959041456</v>
      </c>
      <c r="R285" s="314">
        <v>52953.955672643788</v>
      </c>
      <c r="S285" s="315">
        <v>60037.705505596736</v>
      </c>
      <c r="U285" s="7" t="s">
        <v>2795</v>
      </c>
    </row>
    <row r="286" spans="1:21" ht="16.5" thickBot="1">
      <c r="A286" s="50" t="s">
        <v>35</v>
      </c>
      <c r="B286" s="51">
        <f t="shared" si="15"/>
        <v>110</v>
      </c>
      <c r="C286" s="51" t="s">
        <v>3</v>
      </c>
      <c r="D286" s="51">
        <f t="shared" si="16"/>
        <v>360</v>
      </c>
      <c r="E286" s="51" t="s">
        <v>3</v>
      </c>
      <c r="F286" s="99">
        <f t="shared" si="17"/>
        <v>1700</v>
      </c>
      <c r="G286" s="51" t="s">
        <v>3</v>
      </c>
      <c r="H286" s="48">
        <v>4</v>
      </c>
      <c r="I286" s="49" t="s">
        <v>45</v>
      </c>
      <c r="J286" s="184">
        <v>110</v>
      </c>
      <c r="K286" s="75">
        <v>360</v>
      </c>
      <c r="L286" s="75">
        <v>1700</v>
      </c>
      <c r="M286" s="191">
        <v>20.586551430740528</v>
      </c>
      <c r="N286" s="87">
        <v>1272.7099121180399</v>
      </c>
      <c r="O286" s="123">
        <v>30755.932787619797</v>
      </c>
      <c r="P286" s="121">
        <v>38030.700004476537</v>
      </c>
      <c r="Q286" s="120">
        <v>23458.741100544379</v>
      </c>
      <c r="R286" s="314">
        <v>54214.67388816418</v>
      </c>
      <c r="S286" s="315">
        <v>61489.441105020916</v>
      </c>
      <c r="U286" s="7" t="s">
        <v>2796</v>
      </c>
    </row>
    <row r="287" spans="1:21" ht="16.5" thickBot="1">
      <c r="A287" s="50" t="s">
        <v>35</v>
      </c>
      <c r="B287" s="51">
        <f t="shared" si="15"/>
        <v>110</v>
      </c>
      <c r="C287" s="51" t="s">
        <v>3</v>
      </c>
      <c r="D287" s="51">
        <f t="shared" si="16"/>
        <v>360</v>
      </c>
      <c r="E287" s="51" t="s">
        <v>3</v>
      </c>
      <c r="F287" s="99">
        <f t="shared" si="17"/>
        <v>1750</v>
      </c>
      <c r="G287" s="51" t="s">
        <v>3</v>
      </c>
      <c r="H287" s="48">
        <v>4</v>
      </c>
      <c r="I287" s="49" t="s">
        <v>45</v>
      </c>
      <c r="J287" s="184">
        <v>110</v>
      </c>
      <c r="K287" s="75">
        <v>360</v>
      </c>
      <c r="L287" s="75">
        <v>1750</v>
      </c>
      <c r="M287" s="191">
        <v>21.159025262342627</v>
      </c>
      <c r="N287" s="87">
        <v>1319.84731627056</v>
      </c>
      <c r="O287" s="123">
        <v>31463.053721243894</v>
      </c>
      <c r="P287" s="121">
        <v>38928.838602791147</v>
      </c>
      <c r="Q287" s="120">
        <v>24242.920019830581</v>
      </c>
      <c r="R287" s="314">
        <v>55705.973741074471</v>
      </c>
      <c r="S287" s="315">
        <v>63171.758622621724</v>
      </c>
      <c r="U287" s="7" t="s">
        <v>2797</v>
      </c>
    </row>
    <row r="288" spans="1:21" ht="16.5" thickBot="1">
      <c r="A288" s="50" t="s">
        <v>35</v>
      </c>
      <c r="B288" s="51">
        <f t="shared" si="15"/>
        <v>110</v>
      </c>
      <c r="C288" s="51" t="s">
        <v>3</v>
      </c>
      <c r="D288" s="51">
        <f t="shared" si="16"/>
        <v>360</v>
      </c>
      <c r="E288" s="51" t="s">
        <v>3</v>
      </c>
      <c r="F288" s="99">
        <f t="shared" si="17"/>
        <v>1800</v>
      </c>
      <c r="G288" s="51" t="s">
        <v>3</v>
      </c>
      <c r="H288" s="48">
        <v>4</v>
      </c>
      <c r="I288" s="49" t="s">
        <v>45</v>
      </c>
      <c r="J288" s="184">
        <v>110</v>
      </c>
      <c r="K288" s="75">
        <v>360</v>
      </c>
      <c r="L288" s="75">
        <v>1800</v>
      </c>
      <c r="M288" s="191">
        <v>21.714459093944736</v>
      </c>
      <c r="N288" s="87">
        <v>1366.98472042308</v>
      </c>
      <c r="O288" s="123">
        <v>32170.174795261359</v>
      </c>
      <c r="P288" s="121">
        <v>39826.977201105758</v>
      </c>
      <c r="Q288" s="120">
        <v>24796.517161333504</v>
      </c>
      <c r="R288" s="314">
        <v>56966.691956594863</v>
      </c>
      <c r="S288" s="315">
        <v>64623.494362439262</v>
      </c>
      <c r="U288" s="7" t="s">
        <v>2798</v>
      </c>
    </row>
    <row r="289" spans="1:21" ht="16.5" thickBot="1">
      <c r="A289" s="50" t="s">
        <v>35</v>
      </c>
      <c r="B289" s="51">
        <f t="shared" si="15"/>
        <v>110</v>
      </c>
      <c r="C289" s="51" t="s">
        <v>3</v>
      </c>
      <c r="D289" s="51">
        <f t="shared" si="16"/>
        <v>360</v>
      </c>
      <c r="E289" s="51" t="s">
        <v>3</v>
      </c>
      <c r="F289" s="99">
        <f t="shared" si="17"/>
        <v>1850</v>
      </c>
      <c r="G289" s="51" t="s">
        <v>3</v>
      </c>
      <c r="H289" s="48">
        <v>4</v>
      </c>
      <c r="I289" s="49" t="s">
        <v>45</v>
      </c>
      <c r="J289" s="184">
        <v>110</v>
      </c>
      <c r="K289" s="75">
        <v>360</v>
      </c>
      <c r="L289" s="75">
        <v>1850</v>
      </c>
      <c r="M289" s="191">
        <v>22.286932925546843</v>
      </c>
      <c r="N289" s="87">
        <v>1414.1221245756001</v>
      </c>
      <c r="O289" s="123">
        <v>32877.295869278816</v>
      </c>
      <c r="P289" s="121">
        <v>40725.115799420368</v>
      </c>
      <c r="Q289" s="120">
        <v>25580.69622101307</v>
      </c>
      <c r="R289" s="314">
        <v>58457.992090291882</v>
      </c>
      <c r="S289" s="315">
        <v>66305.812020433441</v>
      </c>
      <c r="U289" s="7" t="s">
        <v>2799</v>
      </c>
    </row>
    <row r="290" spans="1:21" ht="16.5" thickBot="1">
      <c r="A290" s="50" t="s">
        <v>35</v>
      </c>
      <c r="B290" s="51">
        <f t="shared" si="15"/>
        <v>110</v>
      </c>
      <c r="C290" s="51" t="s">
        <v>3</v>
      </c>
      <c r="D290" s="51">
        <f t="shared" si="16"/>
        <v>360</v>
      </c>
      <c r="E290" s="51" t="s">
        <v>3</v>
      </c>
      <c r="F290" s="99">
        <f t="shared" si="17"/>
        <v>1900</v>
      </c>
      <c r="G290" s="51" t="s">
        <v>3</v>
      </c>
      <c r="H290" s="48">
        <v>4</v>
      </c>
      <c r="I290" s="49" t="s">
        <v>45</v>
      </c>
      <c r="J290" s="184">
        <v>110</v>
      </c>
      <c r="K290" s="75">
        <v>360</v>
      </c>
      <c r="L290" s="75">
        <v>1900</v>
      </c>
      <c r="M290" s="191">
        <v>22.842366757148948</v>
      </c>
      <c r="N290" s="87">
        <v>1461.2595287281201</v>
      </c>
      <c r="O290" s="123">
        <v>33584.416943296281</v>
      </c>
      <c r="P290" s="121">
        <v>41623.254257341621</v>
      </c>
      <c r="Q290" s="120">
        <v>26134.293362515993</v>
      </c>
      <c r="R290" s="314">
        <v>59718.710305812274</v>
      </c>
      <c r="S290" s="315">
        <v>67757.547619857622</v>
      </c>
      <c r="U290" s="7" t="s">
        <v>2800</v>
      </c>
    </row>
    <row r="291" spans="1:21" ht="16.5" thickBot="1">
      <c r="A291" s="50" t="s">
        <v>35</v>
      </c>
      <c r="B291" s="51">
        <f t="shared" si="15"/>
        <v>110</v>
      </c>
      <c r="C291" s="51" t="s">
        <v>3</v>
      </c>
      <c r="D291" s="51">
        <f t="shared" si="16"/>
        <v>360</v>
      </c>
      <c r="E291" s="51" t="s">
        <v>3</v>
      </c>
      <c r="F291" s="99">
        <f t="shared" si="17"/>
        <v>1950</v>
      </c>
      <c r="G291" s="51" t="s">
        <v>3</v>
      </c>
      <c r="H291" s="48">
        <v>4</v>
      </c>
      <c r="I291" s="49" t="s">
        <v>45</v>
      </c>
      <c r="J291" s="184">
        <v>110</v>
      </c>
      <c r="K291" s="75">
        <v>360</v>
      </c>
      <c r="L291" s="75">
        <v>1950</v>
      </c>
      <c r="M291" s="191">
        <v>23.476300588751055</v>
      </c>
      <c r="N291" s="87">
        <v>1508.39693288064</v>
      </c>
      <c r="O291" s="123">
        <v>34368.692312822517</v>
      </c>
      <c r="P291" s="121">
        <v>42599.018311289561</v>
      </c>
      <c r="Q291" s="120">
        <v>26687.890504018917</v>
      </c>
      <c r="R291" s="314">
        <v>61056.58281684143</v>
      </c>
      <c r="S291" s="315">
        <v>69286.908815308474</v>
      </c>
      <c r="U291" s="7" t="s">
        <v>2801</v>
      </c>
    </row>
    <row r="292" spans="1:21" ht="16.5" thickBot="1">
      <c r="A292" s="50" t="s">
        <v>35</v>
      </c>
      <c r="B292" s="51">
        <f t="shared" si="15"/>
        <v>110</v>
      </c>
      <c r="C292" s="51" t="s">
        <v>3</v>
      </c>
      <c r="D292" s="51">
        <f t="shared" si="16"/>
        <v>360</v>
      </c>
      <c r="E292" s="51" t="s">
        <v>3</v>
      </c>
      <c r="F292" s="99">
        <f t="shared" si="17"/>
        <v>2000</v>
      </c>
      <c r="G292" s="51" t="s">
        <v>3</v>
      </c>
      <c r="H292" s="48">
        <v>4</v>
      </c>
      <c r="I292" s="49" t="s">
        <v>45</v>
      </c>
      <c r="J292" s="184">
        <v>110</v>
      </c>
      <c r="K292" s="75">
        <v>360</v>
      </c>
      <c r="L292" s="75">
        <v>2000</v>
      </c>
      <c r="M292" s="191">
        <v>24.140336820353156</v>
      </c>
      <c r="N292" s="87">
        <v>1555.53433703316</v>
      </c>
      <c r="O292" s="123">
        <v>35306.356416055205</v>
      </c>
      <c r="P292" s="121">
        <v>43809.837637123477</v>
      </c>
      <c r="Q292" s="120">
        <v>27472.069423305118</v>
      </c>
      <c r="R292" s="314">
        <v>62778.425839360323</v>
      </c>
      <c r="S292" s="315">
        <v>71281.907060428595</v>
      </c>
      <c r="U292" s="7" t="s">
        <v>2802</v>
      </c>
    </row>
    <row r="293" spans="1:21" ht="16.5" thickBot="1">
      <c r="A293" s="50" t="s">
        <v>35</v>
      </c>
      <c r="B293" s="51">
        <f t="shared" si="15"/>
        <v>110</v>
      </c>
      <c r="C293" s="51" t="s">
        <v>3</v>
      </c>
      <c r="D293" s="51">
        <f t="shared" si="16"/>
        <v>360</v>
      </c>
      <c r="E293" s="51" t="s">
        <v>3</v>
      </c>
      <c r="F293" s="99">
        <f t="shared" si="17"/>
        <v>2050</v>
      </c>
      <c r="G293" s="51" t="s">
        <v>3</v>
      </c>
      <c r="H293" s="48">
        <v>4</v>
      </c>
      <c r="I293" s="49" t="s">
        <v>45</v>
      </c>
      <c r="J293" s="184">
        <v>110</v>
      </c>
      <c r="K293" s="75">
        <v>360</v>
      </c>
      <c r="L293" s="75">
        <v>2050</v>
      </c>
      <c r="M293" s="191">
        <v>24.695770651955264</v>
      </c>
      <c r="N293" s="87">
        <v>1602.67174118568</v>
      </c>
      <c r="O293" s="123">
        <v>36013.47749007267</v>
      </c>
      <c r="P293" s="121">
        <v>44707.97623543808</v>
      </c>
      <c r="Q293" s="120">
        <v>28025.666564808042</v>
      </c>
      <c r="R293" s="314">
        <v>64039.144054880715</v>
      </c>
      <c r="S293" s="315">
        <v>72733.642800246118</v>
      </c>
      <c r="U293" s="7" t="s">
        <v>2803</v>
      </c>
    </row>
    <row r="294" spans="1:21" ht="16.5" thickBot="1">
      <c r="A294" s="47" t="s">
        <v>35</v>
      </c>
      <c r="B294" s="48">
        <f t="shared" si="15"/>
        <v>110</v>
      </c>
      <c r="C294" s="48" t="s">
        <v>3</v>
      </c>
      <c r="D294" s="48">
        <f t="shared" si="16"/>
        <v>360</v>
      </c>
      <c r="E294" s="48" t="s">
        <v>3</v>
      </c>
      <c r="F294" s="99">
        <f t="shared" si="17"/>
        <v>2100</v>
      </c>
      <c r="G294" s="48" t="s">
        <v>3</v>
      </c>
      <c r="H294" s="48">
        <v>4</v>
      </c>
      <c r="I294" s="49" t="s">
        <v>45</v>
      </c>
      <c r="J294" s="184">
        <v>110</v>
      </c>
      <c r="K294" s="75">
        <v>360</v>
      </c>
      <c r="L294" s="75">
        <v>2100</v>
      </c>
      <c r="M294" s="191">
        <v>25.268244483557368</v>
      </c>
      <c r="N294" s="87">
        <v>1649.8091453382001</v>
      </c>
      <c r="O294" s="123">
        <v>36720.598564090127</v>
      </c>
      <c r="P294" s="121">
        <v>45606.114693359334</v>
      </c>
      <c r="Q294" s="120">
        <v>28809.845484094247</v>
      </c>
      <c r="R294" s="314">
        <v>65530.444048184378</v>
      </c>
      <c r="S294" s="315">
        <v>74415.960177453584</v>
      </c>
      <c r="U294" s="7" t="s">
        <v>2804</v>
      </c>
    </row>
    <row r="295" spans="1:21" ht="16.5" thickBot="1">
      <c r="A295" s="50" t="s">
        <v>35</v>
      </c>
      <c r="B295" s="51">
        <f t="shared" si="15"/>
        <v>110</v>
      </c>
      <c r="C295" s="51" t="s">
        <v>3</v>
      </c>
      <c r="D295" s="51">
        <f t="shared" si="16"/>
        <v>360</v>
      </c>
      <c r="E295" s="51" t="s">
        <v>3</v>
      </c>
      <c r="F295" s="99">
        <f t="shared" si="17"/>
        <v>2150</v>
      </c>
      <c r="G295" s="51" t="s">
        <v>3</v>
      </c>
      <c r="H295" s="48">
        <v>4</v>
      </c>
      <c r="I295" s="49" t="s">
        <v>45</v>
      </c>
      <c r="J295" s="184">
        <v>110</v>
      </c>
      <c r="K295" s="75">
        <v>360</v>
      </c>
      <c r="L295" s="75">
        <v>2150</v>
      </c>
      <c r="M295" s="191">
        <v>25.823678315159473</v>
      </c>
      <c r="N295" s="87">
        <v>1696.9465494907201</v>
      </c>
      <c r="O295" s="123">
        <v>37427.719497714228</v>
      </c>
      <c r="P295" s="121">
        <v>46504.253291673944</v>
      </c>
      <c r="Q295" s="120">
        <v>29363.442625597167</v>
      </c>
      <c r="R295" s="314">
        <v>66791.162123311398</v>
      </c>
      <c r="S295" s="315">
        <v>75867.695917271107</v>
      </c>
      <c r="U295" s="7" t="s">
        <v>2805</v>
      </c>
    </row>
    <row r="296" spans="1:21" ht="16.5" thickBot="1">
      <c r="A296" s="50" t="s">
        <v>35</v>
      </c>
      <c r="B296" s="51">
        <f t="shared" si="15"/>
        <v>110</v>
      </c>
      <c r="C296" s="51" t="s">
        <v>3</v>
      </c>
      <c r="D296" s="51">
        <f t="shared" si="16"/>
        <v>360</v>
      </c>
      <c r="E296" s="51" t="s">
        <v>3</v>
      </c>
      <c r="F296" s="99">
        <f t="shared" si="17"/>
        <v>2200</v>
      </c>
      <c r="G296" s="51" t="s">
        <v>3</v>
      </c>
      <c r="H296" s="48">
        <v>4</v>
      </c>
      <c r="I296" s="49" t="s">
        <v>45</v>
      </c>
      <c r="J296" s="184">
        <v>110</v>
      </c>
      <c r="K296" s="75">
        <v>360</v>
      </c>
      <c r="L296" s="75">
        <v>2200</v>
      </c>
      <c r="M296" s="191">
        <v>26.39615214676158</v>
      </c>
      <c r="N296" s="87">
        <v>1744.0839536432402</v>
      </c>
      <c r="O296" s="123">
        <v>38134.8405717317</v>
      </c>
      <c r="P296" s="121">
        <v>47402.391889988561</v>
      </c>
      <c r="Q296" s="120">
        <v>30147.621544883372</v>
      </c>
      <c r="R296" s="314">
        <v>68282.462116615076</v>
      </c>
      <c r="S296" s="315">
        <v>77550.013434871929</v>
      </c>
      <c r="U296" s="7" t="s">
        <v>2806</v>
      </c>
    </row>
    <row r="297" spans="1:21" ht="16.5" thickBot="1">
      <c r="A297" s="50" t="s">
        <v>35</v>
      </c>
      <c r="B297" s="51">
        <f t="shared" si="15"/>
        <v>110</v>
      </c>
      <c r="C297" s="51" t="s">
        <v>3</v>
      </c>
      <c r="D297" s="51">
        <f t="shared" si="16"/>
        <v>360</v>
      </c>
      <c r="E297" s="51" t="s">
        <v>3</v>
      </c>
      <c r="F297" s="99">
        <f t="shared" si="17"/>
        <v>2250</v>
      </c>
      <c r="G297" s="51" t="s">
        <v>3</v>
      </c>
      <c r="H297" s="48">
        <v>4</v>
      </c>
      <c r="I297" s="49" t="s">
        <v>45</v>
      </c>
      <c r="J297" s="184">
        <v>110</v>
      </c>
      <c r="K297" s="75">
        <v>360</v>
      </c>
      <c r="L297" s="75">
        <v>2250</v>
      </c>
      <c r="M297" s="191">
        <v>26.951585978363685</v>
      </c>
      <c r="N297" s="87">
        <v>1791.2213577957598</v>
      </c>
      <c r="O297" s="123">
        <v>38841.961645749157</v>
      </c>
      <c r="P297" s="121">
        <v>48300.530488303171</v>
      </c>
      <c r="Q297" s="120">
        <v>30701.218686386295</v>
      </c>
      <c r="R297" s="314">
        <v>69543.180332135453</v>
      </c>
      <c r="S297" s="315">
        <v>79001.749174689467</v>
      </c>
      <c r="U297" s="7" t="s">
        <v>2807</v>
      </c>
    </row>
    <row r="298" spans="1:21" ht="16.5" thickBot="1">
      <c r="A298" s="50" t="s">
        <v>35</v>
      </c>
      <c r="B298" s="51">
        <f t="shared" si="15"/>
        <v>110</v>
      </c>
      <c r="C298" s="51" t="s">
        <v>3</v>
      </c>
      <c r="D298" s="51">
        <f t="shared" si="16"/>
        <v>360</v>
      </c>
      <c r="E298" s="51" t="s">
        <v>3</v>
      </c>
      <c r="F298" s="99">
        <f t="shared" si="17"/>
        <v>2300</v>
      </c>
      <c r="G298" s="51" t="s">
        <v>3</v>
      </c>
      <c r="H298" s="48">
        <v>4</v>
      </c>
      <c r="I298" s="49" t="s">
        <v>45</v>
      </c>
      <c r="J298" s="184">
        <v>110</v>
      </c>
      <c r="K298" s="75">
        <v>360</v>
      </c>
      <c r="L298" s="75">
        <v>2300</v>
      </c>
      <c r="M298" s="191">
        <v>27.50701980996579</v>
      </c>
      <c r="N298" s="87">
        <v>1838.3587619482798</v>
      </c>
      <c r="O298" s="123">
        <v>39549.082719766622</v>
      </c>
      <c r="P298" s="121">
        <v>49198.669086617789</v>
      </c>
      <c r="Q298" s="120">
        <v>31254.815827889219</v>
      </c>
      <c r="R298" s="314">
        <v>70803.898547655845</v>
      </c>
      <c r="S298" s="315">
        <v>80453.484914507004</v>
      </c>
      <c r="U298" s="7" t="s">
        <v>2808</v>
      </c>
    </row>
    <row r="299" spans="1:21" ht="16.5" thickBot="1">
      <c r="A299" s="50" t="s">
        <v>35</v>
      </c>
      <c r="B299" s="51">
        <f t="shared" si="15"/>
        <v>110</v>
      </c>
      <c r="C299" s="51" t="s">
        <v>3</v>
      </c>
      <c r="D299" s="51">
        <f t="shared" si="16"/>
        <v>360</v>
      </c>
      <c r="E299" s="51" t="s">
        <v>3</v>
      </c>
      <c r="F299" s="99">
        <f t="shared" si="17"/>
        <v>2350</v>
      </c>
      <c r="G299" s="51" t="s">
        <v>3</v>
      </c>
      <c r="H299" s="48">
        <v>4</v>
      </c>
      <c r="I299" s="49" t="s">
        <v>45</v>
      </c>
      <c r="J299" s="184">
        <v>110</v>
      </c>
      <c r="K299" s="75">
        <v>360</v>
      </c>
      <c r="L299" s="75">
        <v>2350</v>
      </c>
      <c r="M299" s="191">
        <v>28.079493641567893</v>
      </c>
      <c r="N299" s="87">
        <v>1885.4961661007999</v>
      </c>
      <c r="O299" s="123">
        <v>40256.20379378408</v>
      </c>
      <c r="P299" s="121">
        <v>50096.807544539028</v>
      </c>
      <c r="Q299" s="120">
        <v>32038.99474717542</v>
      </c>
      <c r="R299" s="314">
        <v>72295.198540959507</v>
      </c>
      <c r="S299" s="315">
        <v>82135.802291714441</v>
      </c>
      <c r="U299" s="7" t="s">
        <v>2809</v>
      </c>
    </row>
    <row r="300" spans="1:21" ht="16.5" thickBot="1">
      <c r="A300" s="50" t="s">
        <v>35</v>
      </c>
      <c r="B300" s="51">
        <f t="shared" si="15"/>
        <v>110</v>
      </c>
      <c r="C300" s="51" t="s">
        <v>3</v>
      </c>
      <c r="D300" s="51">
        <f t="shared" si="16"/>
        <v>360</v>
      </c>
      <c r="E300" s="51" t="s">
        <v>3</v>
      </c>
      <c r="F300" s="99">
        <f t="shared" si="17"/>
        <v>2400</v>
      </c>
      <c r="G300" s="51" t="s">
        <v>3</v>
      </c>
      <c r="H300" s="48">
        <v>4</v>
      </c>
      <c r="I300" s="49" t="s">
        <v>45</v>
      </c>
      <c r="J300" s="184">
        <v>110</v>
      </c>
      <c r="K300" s="75">
        <v>360</v>
      </c>
      <c r="L300" s="75">
        <v>2400</v>
      </c>
      <c r="M300" s="191">
        <v>28.634927473169999</v>
      </c>
      <c r="N300" s="87">
        <v>1932.6335702533199</v>
      </c>
      <c r="O300" s="123">
        <v>40963.324867801544</v>
      </c>
      <c r="P300" s="121">
        <v>50994.946142853645</v>
      </c>
      <c r="Q300" s="120">
        <v>32592.591888678344</v>
      </c>
      <c r="R300" s="314">
        <v>73555.916756479884</v>
      </c>
      <c r="S300" s="315">
        <v>83587.538031531993</v>
      </c>
      <c r="U300" s="7" t="s">
        <v>2810</v>
      </c>
    </row>
    <row r="301" spans="1:21" ht="16.5" thickBot="1">
      <c r="A301" s="50" t="s">
        <v>35</v>
      </c>
      <c r="B301" s="51">
        <f t="shared" si="15"/>
        <v>110</v>
      </c>
      <c r="C301" s="51" t="s">
        <v>3</v>
      </c>
      <c r="D301" s="51">
        <f t="shared" si="16"/>
        <v>360</v>
      </c>
      <c r="E301" s="51" t="s">
        <v>3</v>
      </c>
      <c r="F301" s="99">
        <f t="shared" si="17"/>
        <v>2450</v>
      </c>
      <c r="G301" s="51" t="s">
        <v>3</v>
      </c>
      <c r="H301" s="48">
        <v>4</v>
      </c>
      <c r="I301" s="49" t="s">
        <v>45</v>
      </c>
      <c r="J301" s="184">
        <v>110</v>
      </c>
      <c r="K301" s="75">
        <v>360</v>
      </c>
      <c r="L301" s="75">
        <v>2450</v>
      </c>
      <c r="M301" s="191">
        <v>29.4106306830721</v>
      </c>
      <c r="N301" s="87">
        <v>1979.77097440584</v>
      </c>
      <c r="O301" s="123">
        <v>42422.915195070877</v>
      </c>
      <c r="P301" s="121">
        <v>52631.718228545753</v>
      </c>
      <c r="Q301" s="120">
        <v>33376.770807964545</v>
      </c>
      <c r="R301" s="314">
        <v>75799.686003035429</v>
      </c>
      <c r="S301" s="315">
        <v>86008.489036510291</v>
      </c>
      <c r="U301" s="7" t="s">
        <v>2811</v>
      </c>
    </row>
    <row r="302" spans="1:21" ht="16.5" thickBot="1">
      <c r="A302" s="50" t="s">
        <v>35</v>
      </c>
      <c r="B302" s="51">
        <f t="shared" si="15"/>
        <v>110</v>
      </c>
      <c r="C302" s="51" t="s">
        <v>3</v>
      </c>
      <c r="D302" s="51">
        <f t="shared" si="16"/>
        <v>360</v>
      </c>
      <c r="E302" s="51" t="s">
        <v>3</v>
      </c>
      <c r="F302" s="99">
        <f t="shared" si="17"/>
        <v>2500</v>
      </c>
      <c r="G302" s="51" t="s">
        <v>3</v>
      </c>
      <c r="H302" s="48">
        <v>4</v>
      </c>
      <c r="I302" s="49" t="s">
        <v>45</v>
      </c>
      <c r="J302" s="184">
        <v>110</v>
      </c>
      <c r="K302" s="75">
        <v>360</v>
      </c>
      <c r="L302" s="75">
        <v>2500</v>
      </c>
      <c r="M302" s="191">
        <v>29.966064514674208</v>
      </c>
      <c r="N302" s="87">
        <v>2026.90837855836</v>
      </c>
      <c r="O302" s="123">
        <v>43130.036269088334</v>
      </c>
      <c r="P302" s="121">
        <v>53529.856826860363</v>
      </c>
      <c r="Q302" s="120">
        <v>33930.367949467472</v>
      </c>
      <c r="R302" s="314">
        <v>77060.404218555806</v>
      </c>
      <c r="S302" s="315">
        <v>87460.224776327843</v>
      </c>
      <c r="U302" s="7" t="s">
        <v>2812</v>
      </c>
    </row>
    <row r="303" spans="1:21" ht="16.5" thickBot="1">
      <c r="A303" s="50" t="s">
        <v>35</v>
      </c>
      <c r="B303" s="51">
        <f t="shared" si="15"/>
        <v>110</v>
      </c>
      <c r="C303" s="51" t="s">
        <v>3</v>
      </c>
      <c r="D303" s="51">
        <f t="shared" si="16"/>
        <v>360</v>
      </c>
      <c r="E303" s="51" t="s">
        <v>3</v>
      </c>
      <c r="F303" s="99">
        <f t="shared" si="17"/>
        <v>2550</v>
      </c>
      <c r="G303" s="51" t="s">
        <v>3</v>
      </c>
      <c r="H303" s="48">
        <v>4</v>
      </c>
      <c r="I303" s="49" t="s">
        <v>45</v>
      </c>
      <c r="J303" s="184">
        <v>110</v>
      </c>
      <c r="K303" s="75">
        <v>360</v>
      </c>
      <c r="L303" s="75">
        <v>2550</v>
      </c>
      <c r="M303" s="191">
        <v>30.538538346276312</v>
      </c>
      <c r="N303" s="87">
        <v>2074.0457827108798</v>
      </c>
      <c r="O303" s="123">
        <v>43837.157343105799</v>
      </c>
      <c r="P303" s="121">
        <v>54427.99542517498</v>
      </c>
      <c r="Q303" s="120">
        <v>34714.547009147034</v>
      </c>
      <c r="R303" s="314">
        <v>78551.704352252826</v>
      </c>
      <c r="S303" s="315">
        <v>89142.542434322007</v>
      </c>
      <c r="U303" s="7" t="s">
        <v>2813</v>
      </c>
    </row>
    <row r="304" spans="1:21" ht="16.5" thickBot="1">
      <c r="A304" s="47" t="s">
        <v>35</v>
      </c>
      <c r="B304" s="48">
        <f t="shared" si="15"/>
        <v>110</v>
      </c>
      <c r="C304" s="48" t="s">
        <v>3</v>
      </c>
      <c r="D304" s="48">
        <f t="shared" si="16"/>
        <v>360</v>
      </c>
      <c r="E304" s="48" t="s">
        <v>3</v>
      </c>
      <c r="F304" s="99">
        <f t="shared" si="17"/>
        <v>2600</v>
      </c>
      <c r="G304" s="48" t="s">
        <v>3</v>
      </c>
      <c r="H304" s="48">
        <v>4</v>
      </c>
      <c r="I304" s="49" t="s">
        <v>45</v>
      </c>
      <c r="J304" s="184">
        <v>110</v>
      </c>
      <c r="K304" s="75">
        <v>360</v>
      </c>
      <c r="L304" s="75">
        <v>2600</v>
      </c>
      <c r="M304" s="191">
        <v>31.09397217787842</v>
      </c>
      <c r="N304" s="87">
        <v>2121.1831868633999</v>
      </c>
      <c r="O304" s="123">
        <v>44544.278276729892</v>
      </c>
      <c r="P304" s="121">
        <v>55326.134023489591</v>
      </c>
      <c r="Q304" s="120">
        <v>35268.144150649961</v>
      </c>
      <c r="R304" s="314">
        <v>79812.422427379846</v>
      </c>
      <c r="S304" s="315">
        <v>90594.278174139559</v>
      </c>
      <c r="U304" s="7" t="s">
        <v>2814</v>
      </c>
    </row>
    <row r="305" spans="1:21" ht="16.5" thickBot="1">
      <c r="A305" s="50" t="s">
        <v>35</v>
      </c>
      <c r="B305" s="51">
        <f t="shared" si="15"/>
        <v>110</v>
      </c>
      <c r="C305" s="51" t="s">
        <v>3</v>
      </c>
      <c r="D305" s="51">
        <f t="shared" si="16"/>
        <v>360</v>
      </c>
      <c r="E305" s="51" t="s">
        <v>3</v>
      </c>
      <c r="F305" s="99">
        <f t="shared" si="17"/>
        <v>2650</v>
      </c>
      <c r="G305" s="51" t="s">
        <v>3</v>
      </c>
      <c r="H305" s="48">
        <v>4</v>
      </c>
      <c r="I305" s="49" t="s">
        <v>45</v>
      </c>
      <c r="J305" s="184">
        <v>110</v>
      </c>
      <c r="K305" s="75">
        <v>360</v>
      </c>
      <c r="L305" s="75">
        <v>2650</v>
      </c>
      <c r="M305" s="191">
        <v>31.666446009480524</v>
      </c>
      <c r="N305" s="87">
        <v>2168.3205910159199</v>
      </c>
      <c r="O305" s="123">
        <v>45251.399350747357</v>
      </c>
      <c r="P305" s="121">
        <v>56224.272481410837</v>
      </c>
      <c r="Q305" s="120">
        <v>36052.323069936159</v>
      </c>
      <c r="R305" s="314">
        <v>81303.722420683509</v>
      </c>
      <c r="S305" s="315">
        <v>92276.595551346996</v>
      </c>
      <c r="U305" s="7" t="s">
        <v>2815</v>
      </c>
    </row>
    <row r="306" spans="1:21" ht="16.5" thickBot="1">
      <c r="A306" s="50" t="s">
        <v>35</v>
      </c>
      <c r="B306" s="51">
        <f t="shared" si="15"/>
        <v>110</v>
      </c>
      <c r="C306" s="51" t="s">
        <v>3</v>
      </c>
      <c r="D306" s="51">
        <f t="shared" si="16"/>
        <v>360</v>
      </c>
      <c r="E306" s="51" t="s">
        <v>3</v>
      </c>
      <c r="F306" s="99">
        <f t="shared" si="17"/>
        <v>2700</v>
      </c>
      <c r="G306" s="51" t="s">
        <v>3</v>
      </c>
      <c r="H306" s="48">
        <v>4</v>
      </c>
      <c r="I306" s="49" t="s">
        <v>45</v>
      </c>
      <c r="J306" s="184">
        <v>110</v>
      </c>
      <c r="K306" s="75">
        <v>360</v>
      </c>
      <c r="L306" s="75">
        <v>2700</v>
      </c>
      <c r="M306" s="191">
        <v>32.300379841082631</v>
      </c>
      <c r="N306" s="87">
        <v>2215.45799516844</v>
      </c>
      <c r="O306" s="123">
        <v>46035.674860666964</v>
      </c>
      <c r="P306" s="121">
        <v>57200.036535358777</v>
      </c>
      <c r="Q306" s="120">
        <v>36605.920211439086</v>
      </c>
      <c r="R306" s="314">
        <v>82641.595072106051</v>
      </c>
      <c r="S306" s="315">
        <v>93805.956746797863</v>
      </c>
      <c r="U306" s="7" t="s">
        <v>2816</v>
      </c>
    </row>
    <row r="307" spans="1:21" ht="16.5" thickBot="1">
      <c r="A307" s="50" t="s">
        <v>35</v>
      </c>
      <c r="B307" s="51">
        <f t="shared" si="15"/>
        <v>110</v>
      </c>
      <c r="C307" s="51" t="s">
        <v>3</v>
      </c>
      <c r="D307" s="51">
        <f t="shared" si="16"/>
        <v>360</v>
      </c>
      <c r="E307" s="51" t="s">
        <v>3</v>
      </c>
      <c r="F307" s="99">
        <f t="shared" si="17"/>
        <v>2750</v>
      </c>
      <c r="G307" s="51" t="s">
        <v>3</v>
      </c>
      <c r="H307" s="48">
        <v>4</v>
      </c>
      <c r="I307" s="49" t="s">
        <v>45</v>
      </c>
      <c r="J307" s="184">
        <v>110</v>
      </c>
      <c r="K307" s="75">
        <v>360</v>
      </c>
      <c r="L307" s="75">
        <v>2750</v>
      </c>
      <c r="M307" s="191">
        <v>32.855813672684732</v>
      </c>
      <c r="N307" s="87">
        <v>2262.59539932096</v>
      </c>
      <c r="O307" s="123">
        <v>46742.795934684422</v>
      </c>
      <c r="P307" s="121">
        <v>58098.175133673394</v>
      </c>
      <c r="Q307" s="120">
        <v>37159.517352942006</v>
      </c>
      <c r="R307" s="314">
        <v>83902.313287626428</v>
      </c>
      <c r="S307" s="315">
        <v>95257.6924866154</v>
      </c>
      <c r="U307" s="7" t="s">
        <v>2817</v>
      </c>
    </row>
    <row r="308" spans="1:21" ht="16.5" thickBot="1">
      <c r="A308" s="50" t="s">
        <v>35</v>
      </c>
      <c r="B308" s="51">
        <f t="shared" si="15"/>
        <v>110</v>
      </c>
      <c r="C308" s="51" t="s">
        <v>3</v>
      </c>
      <c r="D308" s="51">
        <f t="shared" si="16"/>
        <v>360</v>
      </c>
      <c r="E308" s="51" t="s">
        <v>3</v>
      </c>
      <c r="F308" s="99">
        <f t="shared" si="17"/>
        <v>2800</v>
      </c>
      <c r="G308" s="51" t="s">
        <v>3</v>
      </c>
      <c r="H308" s="48">
        <v>4</v>
      </c>
      <c r="I308" s="49" t="s">
        <v>45</v>
      </c>
      <c r="J308" s="184">
        <v>110</v>
      </c>
      <c r="K308" s="75">
        <v>360</v>
      </c>
      <c r="L308" s="75">
        <v>2800</v>
      </c>
      <c r="M308" s="191">
        <v>33.428287504286843</v>
      </c>
      <c r="N308" s="87">
        <v>2309.7328034734801</v>
      </c>
      <c r="O308" s="123">
        <v>47449.916868308523</v>
      </c>
      <c r="P308" s="121">
        <v>58996.313591594633</v>
      </c>
      <c r="Q308" s="120">
        <v>37943.696272228204</v>
      </c>
      <c r="R308" s="314">
        <v>85393.613140536734</v>
      </c>
      <c r="S308" s="315">
        <v>96940.009863822837</v>
      </c>
      <c r="U308" s="7" t="s">
        <v>2818</v>
      </c>
    </row>
    <row r="309" spans="1:21" ht="16.5" thickBot="1">
      <c r="A309" s="50" t="s">
        <v>35</v>
      </c>
      <c r="B309" s="51">
        <f t="shared" si="15"/>
        <v>110</v>
      </c>
      <c r="C309" s="51" t="s">
        <v>3</v>
      </c>
      <c r="D309" s="51">
        <f t="shared" si="16"/>
        <v>360</v>
      </c>
      <c r="E309" s="51" t="s">
        <v>3</v>
      </c>
      <c r="F309" s="99">
        <f t="shared" si="17"/>
        <v>2850</v>
      </c>
      <c r="G309" s="51" t="s">
        <v>3</v>
      </c>
      <c r="H309" s="48">
        <v>4</v>
      </c>
      <c r="I309" s="49" t="s">
        <v>45</v>
      </c>
      <c r="J309" s="184">
        <v>110</v>
      </c>
      <c r="K309" s="75">
        <v>360</v>
      </c>
      <c r="L309" s="75">
        <v>2850</v>
      </c>
      <c r="M309" s="191">
        <v>33.983721335888944</v>
      </c>
      <c r="N309" s="87">
        <v>2356.8702076259997</v>
      </c>
      <c r="O309" s="123">
        <v>48157.037942325987</v>
      </c>
      <c r="P309" s="121">
        <v>59894.452189909251</v>
      </c>
      <c r="Q309" s="120">
        <v>38497.293413731131</v>
      </c>
      <c r="R309" s="314">
        <v>86654.331356057111</v>
      </c>
      <c r="S309" s="315">
        <v>98391.745603640389</v>
      </c>
      <c r="U309" s="7" t="s">
        <v>2819</v>
      </c>
    </row>
    <row r="310" spans="1:21" ht="16.5" thickBot="1">
      <c r="A310" s="50" t="s">
        <v>35</v>
      </c>
      <c r="B310" s="51">
        <f t="shared" si="15"/>
        <v>110</v>
      </c>
      <c r="C310" s="51" t="s">
        <v>3</v>
      </c>
      <c r="D310" s="51">
        <f t="shared" si="16"/>
        <v>360</v>
      </c>
      <c r="E310" s="51" t="s">
        <v>3</v>
      </c>
      <c r="F310" s="99">
        <f t="shared" si="17"/>
        <v>2900</v>
      </c>
      <c r="G310" s="51" t="s">
        <v>3</v>
      </c>
      <c r="H310" s="48">
        <v>4</v>
      </c>
      <c r="I310" s="49" t="s">
        <v>45</v>
      </c>
      <c r="J310" s="184">
        <v>110</v>
      </c>
      <c r="K310" s="75">
        <v>360</v>
      </c>
      <c r="L310" s="75">
        <v>2900</v>
      </c>
      <c r="M310" s="191">
        <v>34.556195167491055</v>
      </c>
      <c r="N310" s="87">
        <v>2404.0076117785197</v>
      </c>
      <c r="O310" s="123">
        <v>48864.159016343445</v>
      </c>
      <c r="P310" s="121">
        <v>60792.590788223861</v>
      </c>
      <c r="Q310" s="120">
        <v>39281.472333017329</v>
      </c>
      <c r="R310" s="314">
        <v>88145.631349360774</v>
      </c>
      <c r="S310" s="315">
        <v>100074.0631212412</v>
      </c>
      <c r="U310" s="7" t="s">
        <v>2820</v>
      </c>
    </row>
    <row r="311" spans="1:21" ht="16.5" thickBot="1">
      <c r="A311" s="50" t="s">
        <v>35</v>
      </c>
      <c r="B311" s="51">
        <f t="shared" si="15"/>
        <v>110</v>
      </c>
      <c r="C311" s="51" t="s">
        <v>3</v>
      </c>
      <c r="D311" s="51">
        <f t="shared" si="16"/>
        <v>360</v>
      </c>
      <c r="E311" s="51" t="s">
        <v>3</v>
      </c>
      <c r="F311" s="99">
        <f t="shared" si="17"/>
        <v>2950</v>
      </c>
      <c r="G311" s="51" t="s">
        <v>3</v>
      </c>
      <c r="H311" s="48">
        <v>4</v>
      </c>
      <c r="I311" s="49" t="s">
        <v>45</v>
      </c>
      <c r="J311" s="184">
        <v>110</v>
      </c>
      <c r="K311" s="75">
        <v>360</v>
      </c>
      <c r="L311" s="75">
        <v>2950</v>
      </c>
      <c r="M311" s="191">
        <v>35.111628999093156</v>
      </c>
      <c r="N311" s="87">
        <v>2451.1450159310398</v>
      </c>
      <c r="O311" s="123">
        <v>49571.28009036091</v>
      </c>
      <c r="P311" s="121">
        <v>61690.729386538478</v>
      </c>
      <c r="Q311" s="120">
        <v>39835.069474520256</v>
      </c>
      <c r="R311" s="314">
        <v>89406.349564881166</v>
      </c>
      <c r="S311" s="315">
        <v>101525.79886105873</v>
      </c>
      <c r="U311" s="7" t="s">
        <v>2821</v>
      </c>
    </row>
    <row r="312" spans="1:21" ht="16.5" thickBot="1">
      <c r="A312" s="52" t="s">
        <v>35</v>
      </c>
      <c r="B312" s="53">
        <f t="shared" si="15"/>
        <v>110</v>
      </c>
      <c r="C312" s="53" t="s">
        <v>3</v>
      </c>
      <c r="D312" s="53">
        <f t="shared" si="16"/>
        <v>360</v>
      </c>
      <c r="E312" s="53" t="s">
        <v>3</v>
      </c>
      <c r="F312" s="100">
        <f t="shared" si="17"/>
        <v>3000</v>
      </c>
      <c r="G312" s="53" t="s">
        <v>3</v>
      </c>
      <c r="H312" s="55">
        <v>4</v>
      </c>
      <c r="I312" s="54" t="s">
        <v>45</v>
      </c>
      <c r="J312" s="186">
        <v>110</v>
      </c>
      <c r="K312" s="147">
        <v>360</v>
      </c>
      <c r="L312" s="147">
        <v>3000</v>
      </c>
      <c r="M312" s="192">
        <v>35.684102830695259</v>
      </c>
      <c r="N312" s="148">
        <v>2498.2824200835598</v>
      </c>
      <c r="O312" s="149">
        <v>51453.558470236843</v>
      </c>
      <c r="P312" s="158">
        <v>62588.867844459717</v>
      </c>
      <c r="Q312" s="159">
        <v>40619.248393806454</v>
      </c>
      <c r="R312" s="316">
        <v>92072.80686404329</v>
      </c>
      <c r="S312" s="317">
        <v>103208.11623826617</v>
      </c>
      <c r="U312" s="7" t="s">
        <v>2822</v>
      </c>
    </row>
    <row r="313" spans="1:21" ht="22.5" customHeight="1" thickBot="1">
      <c r="A313" s="2580" t="s">
        <v>523</v>
      </c>
      <c r="B313" s="2581"/>
      <c r="C313" s="2581"/>
      <c r="D313" s="2581"/>
      <c r="E313" s="2581"/>
      <c r="F313" s="2581"/>
      <c r="G313" s="2581"/>
      <c r="H313" s="2581"/>
      <c r="I313" s="2581"/>
      <c r="J313" s="2581"/>
      <c r="K313" s="2581"/>
      <c r="L313" s="2581"/>
      <c r="M313" s="2581"/>
      <c r="N313" s="2581"/>
      <c r="O313" s="2581"/>
      <c r="P313" s="2581"/>
      <c r="Q313" s="2581"/>
      <c r="R313" s="2581"/>
      <c r="S313" s="2582"/>
      <c r="U313" s="7"/>
    </row>
    <row r="314" spans="1:21" ht="16.5" thickBot="1">
      <c r="A314" s="2583" t="s">
        <v>135</v>
      </c>
      <c r="B314" s="2584"/>
      <c r="C314" s="2584"/>
      <c r="D314" s="2584"/>
      <c r="E314" s="2584"/>
      <c r="F314" s="2584"/>
      <c r="G314" s="2584"/>
      <c r="H314" s="2584"/>
      <c r="I314" s="2584"/>
      <c r="J314" s="2584"/>
      <c r="K314" s="2584"/>
      <c r="L314" s="2584"/>
      <c r="M314" s="2584"/>
      <c r="N314" s="2584"/>
      <c r="O314" s="2584"/>
      <c r="P314" s="2584"/>
      <c r="Q314" s="2584"/>
      <c r="R314" s="2584"/>
      <c r="S314" s="2585"/>
      <c r="U314" s="7"/>
    </row>
    <row r="315" spans="1:21" ht="16.5" thickBot="1">
      <c r="A315" s="47" t="s">
        <v>35</v>
      </c>
      <c r="B315" s="48">
        <f>J315</f>
        <v>110</v>
      </c>
      <c r="C315" s="48" t="s">
        <v>3</v>
      </c>
      <c r="D315" s="48">
        <f>K315</f>
        <v>400</v>
      </c>
      <c r="E315" s="48" t="s">
        <v>3</v>
      </c>
      <c r="F315" s="99">
        <f>L315</f>
        <v>600</v>
      </c>
      <c r="G315" s="48" t="s">
        <v>3</v>
      </c>
      <c r="H315" s="48">
        <v>4</v>
      </c>
      <c r="I315" s="49" t="s">
        <v>45</v>
      </c>
      <c r="J315" s="181">
        <v>110</v>
      </c>
      <c r="K315" s="143">
        <v>400</v>
      </c>
      <c r="L315" s="143">
        <v>600</v>
      </c>
      <c r="M315" s="190">
        <v>8.4809966289836858</v>
      </c>
      <c r="N315" s="144">
        <v>246.4534572030739</v>
      </c>
      <c r="O315" s="145">
        <v>14890.628671902341</v>
      </c>
      <c r="P315" s="183">
        <v>18199.168556363555</v>
      </c>
      <c r="Q315" s="169">
        <v>9871.7007401553401</v>
      </c>
      <c r="R315" s="312">
        <v>24762.329412057683</v>
      </c>
      <c r="S315" s="313">
        <v>28070.869296518897</v>
      </c>
      <c r="U315" s="7" t="s">
        <v>2823</v>
      </c>
    </row>
    <row r="316" spans="1:21" ht="16.5" thickBot="1">
      <c r="A316" s="50" t="s">
        <v>35</v>
      </c>
      <c r="B316" s="51">
        <f t="shared" ref="B316:B363" si="18">J316</f>
        <v>110</v>
      </c>
      <c r="C316" s="51" t="s">
        <v>3</v>
      </c>
      <c r="D316" s="51">
        <f t="shared" ref="D316:D363" si="19">K316</f>
        <v>400</v>
      </c>
      <c r="E316" s="51" t="s">
        <v>3</v>
      </c>
      <c r="F316" s="99">
        <f t="shared" ref="F316:F363" si="20">L316</f>
        <v>650</v>
      </c>
      <c r="G316" s="51" t="s">
        <v>3</v>
      </c>
      <c r="H316" s="48">
        <v>4</v>
      </c>
      <c r="I316" s="49" t="s">
        <v>45</v>
      </c>
      <c r="J316" s="184">
        <v>110</v>
      </c>
      <c r="K316" s="75">
        <v>400</v>
      </c>
      <c r="L316" s="75">
        <v>650</v>
      </c>
      <c r="M316" s="191">
        <v>9.0682841684805275</v>
      </c>
      <c r="N316" s="87">
        <v>295.74414864368867</v>
      </c>
      <c r="O316" s="123">
        <v>15616.495629254254</v>
      </c>
      <c r="P316" s="121">
        <v>19130.13982721914</v>
      </c>
      <c r="Q316" s="120">
        <v>10474.092577548676</v>
      </c>
      <c r="R316" s="314">
        <v>26090.588206802931</v>
      </c>
      <c r="S316" s="315">
        <v>29604.232404767816</v>
      </c>
      <c r="U316" s="7" t="s">
        <v>2824</v>
      </c>
    </row>
    <row r="317" spans="1:21" ht="16.5" thickBot="1">
      <c r="A317" s="50" t="s">
        <v>35</v>
      </c>
      <c r="B317" s="51">
        <f t="shared" si="18"/>
        <v>110</v>
      </c>
      <c r="C317" s="51" t="s">
        <v>3</v>
      </c>
      <c r="D317" s="51">
        <f t="shared" si="19"/>
        <v>400</v>
      </c>
      <c r="E317" s="51" t="s">
        <v>3</v>
      </c>
      <c r="F317" s="99">
        <f t="shared" si="20"/>
        <v>700</v>
      </c>
      <c r="G317" s="51" t="s">
        <v>3</v>
      </c>
      <c r="H317" s="48">
        <v>4</v>
      </c>
      <c r="I317" s="49" t="s">
        <v>45</v>
      </c>
      <c r="J317" s="184">
        <v>110</v>
      </c>
      <c r="K317" s="75">
        <v>400</v>
      </c>
      <c r="L317" s="75">
        <v>700</v>
      </c>
      <c r="M317" s="191">
        <v>9.6726117079773672</v>
      </c>
      <c r="N317" s="87">
        <v>345.03484008430348</v>
      </c>
      <c r="O317" s="123">
        <v>16342.362726999527</v>
      </c>
      <c r="P317" s="121">
        <v>20061.110957681365</v>
      </c>
      <c r="Q317" s="120">
        <v>11307.066052331927</v>
      </c>
      <c r="R317" s="314">
        <v>27649.428779331454</v>
      </c>
      <c r="S317" s="315">
        <v>31368.177010013293</v>
      </c>
      <c r="U317" s="7" t="s">
        <v>2825</v>
      </c>
    </row>
    <row r="318" spans="1:21" ht="16.5" thickBot="1">
      <c r="A318" s="50" t="s">
        <v>35</v>
      </c>
      <c r="B318" s="51">
        <f t="shared" si="18"/>
        <v>110</v>
      </c>
      <c r="C318" s="51" t="s">
        <v>3</v>
      </c>
      <c r="D318" s="51">
        <f t="shared" si="19"/>
        <v>400</v>
      </c>
      <c r="E318" s="51" t="s">
        <v>3</v>
      </c>
      <c r="F318" s="99">
        <f t="shared" si="20"/>
        <v>750</v>
      </c>
      <c r="G318" s="51" t="s">
        <v>3</v>
      </c>
      <c r="H318" s="48">
        <v>4</v>
      </c>
      <c r="I318" s="49" t="s">
        <v>45</v>
      </c>
      <c r="J318" s="184">
        <v>110</v>
      </c>
      <c r="K318" s="75">
        <v>400</v>
      </c>
      <c r="L318" s="75">
        <v>750</v>
      </c>
      <c r="M318" s="191">
        <v>10.259899247474209</v>
      </c>
      <c r="N318" s="87">
        <v>394.32553152491823</v>
      </c>
      <c r="O318" s="123">
        <v>17068.229684351441</v>
      </c>
      <c r="P318" s="121">
        <v>20992.08208814359</v>
      </c>
      <c r="Q318" s="120">
        <v>11909.457889725263</v>
      </c>
      <c r="R318" s="314">
        <v>28977.687574076706</v>
      </c>
      <c r="S318" s="315">
        <v>32901.539977868852</v>
      </c>
      <c r="U318" s="7" t="s">
        <v>2826</v>
      </c>
    </row>
    <row r="319" spans="1:21" ht="16.5" thickBot="1">
      <c r="A319" s="50" t="s">
        <v>35</v>
      </c>
      <c r="B319" s="51">
        <f t="shared" si="18"/>
        <v>110</v>
      </c>
      <c r="C319" s="51" t="s">
        <v>3</v>
      </c>
      <c r="D319" s="51">
        <f t="shared" si="19"/>
        <v>400</v>
      </c>
      <c r="E319" s="51" t="s">
        <v>3</v>
      </c>
      <c r="F319" s="99">
        <f t="shared" si="20"/>
        <v>800</v>
      </c>
      <c r="G319" s="51" t="s">
        <v>3</v>
      </c>
      <c r="H319" s="48">
        <v>4</v>
      </c>
      <c r="I319" s="49" t="s">
        <v>45</v>
      </c>
      <c r="J319" s="184">
        <v>110</v>
      </c>
      <c r="K319" s="75">
        <v>400</v>
      </c>
      <c r="L319" s="75">
        <v>800</v>
      </c>
      <c r="M319" s="191">
        <v>10.847186786971054</v>
      </c>
      <c r="N319" s="87">
        <v>443.6162229655331</v>
      </c>
      <c r="O319" s="123">
        <v>17794.096782096716</v>
      </c>
      <c r="P319" s="121">
        <v>21923.053218605819</v>
      </c>
      <c r="Q319" s="120">
        <v>12511.84958672524</v>
      </c>
      <c r="R319" s="314">
        <v>30305.946368821955</v>
      </c>
      <c r="S319" s="315">
        <v>34434.902805331061</v>
      </c>
      <c r="U319" s="7" t="s">
        <v>2827</v>
      </c>
    </row>
    <row r="320" spans="1:21" ht="16.5" thickBot="1">
      <c r="A320" s="50" t="s">
        <v>35</v>
      </c>
      <c r="B320" s="51">
        <f t="shared" si="18"/>
        <v>110</v>
      </c>
      <c r="C320" s="51" t="s">
        <v>3</v>
      </c>
      <c r="D320" s="51">
        <f t="shared" si="19"/>
        <v>400</v>
      </c>
      <c r="E320" s="51" t="s">
        <v>3</v>
      </c>
      <c r="F320" s="99">
        <f t="shared" si="20"/>
        <v>850</v>
      </c>
      <c r="G320" s="51" t="s">
        <v>3</v>
      </c>
      <c r="H320" s="48">
        <v>4</v>
      </c>
      <c r="I320" s="49" t="s">
        <v>45</v>
      </c>
      <c r="J320" s="184">
        <v>110</v>
      </c>
      <c r="K320" s="75">
        <v>400</v>
      </c>
      <c r="L320" s="75">
        <v>850</v>
      </c>
      <c r="M320" s="191">
        <v>11.451514326467894</v>
      </c>
      <c r="N320" s="87">
        <v>492.90691440614779</v>
      </c>
      <c r="O320" s="123">
        <v>18519.963879841991</v>
      </c>
      <c r="P320" s="121">
        <v>22854.024489461404</v>
      </c>
      <c r="Q320" s="120">
        <v>13344.823201901852</v>
      </c>
      <c r="R320" s="314">
        <v>31864.787081743845</v>
      </c>
      <c r="S320" s="315">
        <v>36198.847691363255</v>
      </c>
      <c r="U320" s="7" t="s">
        <v>2828</v>
      </c>
    </row>
    <row r="321" spans="1:21" ht="16.5" thickBot="1">
      <c r="A321" s="50" t="s">
        <v>35</v>
      </c>
      <c r="B321" s="51">
        <f t="shared" si="18"/>
        <v>110</v>
      </c>
      <c r="C321" s="51" t="s">
        <v>3</v>
      </c>
      <c r="D321" s="51">
        <f t="shared" si="19"/>
        <v>400</v>
      </c>
      <c r="E321" s="51" t="s">
        <v>3</v>
      </c>
      <c r="F321" s="99">
        <f t="shared" si="20"/>
        <v>900</v>
      </c>
      <c r="G321" s="51" t="s">
        <v>3</v>
      </c>
      <c r="H321" s="48">
        <v>4</v>
      </c>
      <c r="I321" s="49" t="s">
        <v>45</v>
      </c>
      <c r="J321" s="184">
        <v>110</v>
      </c>
      <c r="K321" s="75">
        <v>400</v>
      </c>
      <c r="L321" s="75">
        <v>900</v>
      </c>
      <c r="M321" s="191">
        <v>12.038801865964739</v>
      </c>
      <c r="N321" s="87">
        <v>542.19760584676249</v>
      </c>
      <c r="O321" s="123">
        <v>19245.830837193906</v>
      </c>
      <c r="P321" s="121">
        <v>23784.995619923629</v>
      </c>
      <c r="Q321" s="120">
        <v>13947.21489890183</v>
      </c>
      <c r="R321" s="314">
        <v>33193.045736095737</v>
      </c>
      <c r="S321" s="315">
        <v>37732.210518825457</v>
      </c>
      <c r="U321" s="7" t="s">
        <v>2829</v>
      </c>
    </row>
    <row r="322" spans="1:21" ht="16.5" thickBot="1">
      <c r="A322" s="50" t="s">
        <v>35</v>
      </c>
      <c r="B322" s="51">
        <f t="shared" si="18"/>
        <v>110</v>
      </c>
      <c r="C322" s="51" t="s">
        <v>3</v>
      </c>
      <c r="D322" s="51">
        <f t="shared" si="19"/>
        <v>400</v>
      </c>
      <c r="E322" s="51" t="s">
        <v>3</v>
      </c>
      <c r="F322" s="99">
        <f t="shared" si="20"/>
        <v>950</v>
      </c>
      <c r="G322" s="51" t="s">
        <v>3</v>
      </c>
      <c r="H322" s="48">
        <v>4</v>
      </c>
      <c r="I322" s="49" t="s">
        <v>45</v>
      </c>
      <c r="J322" s="184">
        <v>110</v>
      </c>
      <c r="K322" s="75">
        <v>400</v>
      </c>
      <c r="L322" s="75">
        <v>950</v>
      </c>
      <c r="M322" s="191">
        <v>12.643129405461579</v>
      </c>
      <c r="N322" s="87">
        <v>591.48829728737735</v>
      </c>
      <c r="O322" s="123">
        <v>19971.69793493918</v>
      </c>
      <c r="P322" s="121">
        <v>24715.966750385858</v>
      </c>
      <c r="Q322" s="120">
        <v>14780.188514078442</v>
      </c>
      <c r="R322" s="314">
        <v>34751.88644901762</v>
      </c>
      <c r="S322" s="315">
        <v>39496.155264464302</v>
      </c>
      <c r="U322" s="7" t="s">
        <v>2830</v>
      </c>
    </row>
    <row r="323" spans="1:21" ht="16.5" thickBot="1">
      <c r="A323" s="50" t="s">
        <v>35</v>
      </c>
      <c r="B323" s="51">
        <f t="shared" si="18"/>
        <v>110</v>
      </c>
      <c r="C323" s="51" t="s">
        <v>3</v>
      </c>
      <c r="D323" s="51">
        <f t="shared" si="19"/>
        <v>400</v>
      </c>
      <c r="E323" s="51" t="s">
        <v>3</v>
      </c>
      <c r="F323" s="99">
        <f t="shared" si="20"/>
        <v>1000</v>
      </c>
      <c r="G323" s="51" t="s">
        <v>3</v>
      </c>
      <c r="H323" s="48">
        <v>4</v>
      </c>
      <c r="I323" s="49" t="s">
        <v>45</v>
      </c>
      <c r="J323" s="184">
        <v>110</v>
      </c>
      <c r="K323" s="75">
        <v>400</v>
      </c>
      <c r="L323" s="75">
        <v>1000</v>
      </c>
      <c r="M323" s="191">
        <v>13.230416944958421</v>
      </c>
      <c r="N323" s="87">
        <v>640.7789887279921</v>
      </c>
      <c r="O323" s="123">
        <v>20697.564892291091</v>
      </c>
      <c r="P323" s="121">
        <v>25646.937880848083</v>
      </c>
      <c r="Q323" s="120">
        <v>15382.580351471779</v>
      </c>
      <c r="R323" s="314">
        <v>36080.145243762869</v>
      </c>
      <c r="S323" s="315">
        <v>41029.518232319861</v>
      </c>
      <c r="U323" s="7" t="s">
        <v>2831</v>
      </c>
    </row>
    <row r="324" spans="1:21" ht="16.5" thickBot="1">
      <c r="A324" s="50" t="s">
        <v>35</v>
      </c>
      <c r="B324" s="51">
        <f t="shared" si="18"/>
        <v>110</v>
      </c>
      <c r="C324" s="51" t="s">
        <v>3</v>
      </c>
      <c r="D324" s="51">
        <f t="shared" si="19"/>
        <v>400</v>
      </c>
      <c r="E324" s="51" t="s">
        <v>3</v>
      </c>
      <c r="F324" s="99">
        <f t="shared" si="20"/>
        <v>1050</v>
      </c>
      <c r="G324" s="51" t="s">
        <v>3</v>
      </c>
      <c r="H324" s="48">
        <v>4</v>
      </c>
      <c r="I324" s="49" t="s">
        <v>45</v>
      </c>
      <c r="J324" s="184">
        <v>110</v>
      </c>
      <c r="K324" s="75">
        <v>400</v>
      </c>
      <c r="L324" s="75">
        <v>1050</v>
      </c>
      <c r="M324" s="191">
        <v>13.834744484455264</v>
      </c>
      <c r="N324" s="87">
        <v>690.06968016860696</v>
      </c>
      <c r="O324" s="123">
        <v>21423.431990036366</v>
      </c>
      <c r="P324" s="121">
        <v>26577.909011310308</v>
      </c>
      <c r="Q324" s="120">
        <v>16215.553826255029</v>
      </c>
      <c r="R324" s="314">
        <v>37638.985816291395</v>
      </c>
      <c r="S324" s="315">
        <v>42793.462837565341</v>
      </c>
      <c r="U324" s="7" t="s">
        <v>2832</v>
      </c>
    </row>
    <row r="325" spans="1:21" ht="16.5" thickBot="1">
      <c r="A325" s="47" t="s">
        <v>35</v>
      </c>
      <c r="B325" s="48">
        <f t="shared" si="18"/>
        <v>110</v>
      </c>
      <c r="C325" s="48" t="s">
        <v>3</v>
      </c>
      <c r="D325" s="48">
        <f t="shared" si="19"/>
        <v>400</v>
      </c>
      <c r="E325" s="48" t="s">
        <v>3</v>
      </c>
      <c r="F325" s="99">
        <f t="shared" si="20"/>
        <v>1100</v>
      </c>
      <c r="G325" s="48" t="s">
        <v>3</v>
      </c>
      <c r="H325" s="48">
        <v>4</v>
      </c>
      <c r="I325" s="49" t="s">
        <v>45</v>
      </c>
      <c r="J325" s="184">
        <v>110</v>
      </c>
      <c r="K325" s="75">
        <v>400</v>
      </c>
      <c r="L325" s="75">
        <v>1100</v>
      </c>
      <c r="M325" s="191">
        <v>14.422032023952106</v>
      </c>
      <c r="N325" s="87">
        <v>739.36037160922172</v>
      </c>
      <c r="O325" s="123">
        <v>22149.298947388281</v>
      </c>
      <c r="P325" s="121">
        <v>27508.880282165894</v>
      </c>
      <c r="Q325" s="120">
        <v>16817.945663648366</v>
      </c>
      <c r="R325" s="314">
        <v>38967.244611036644</v>
      </c>
      <c r="S325" s="315">
        <v>44326.825945814257</v>
      </c>
      <c r="U325" s="7" t="s">
        <v>2833</v>
      </c>
    </row>
    <row r="326" spans="1:21" ht="16.5" thickBot="1">
      <c r="A326" s="50" t="s">
        <v>35</v>
      </c>
      <c r="B326" s="51">
        <f t="shared" si="18"/>
        <v>110</v>
      </c>
      <c r="C326" s="51" t="s">
        <v>3</v>
      </c>
      <c r="D326" s="51">
        <f t="shared" si="19"/>
        <v>400</v>
      </c>
      <c r="E326" s="51" t="s">
        <v>3</v>
      </c>
      <c r="F326" s="99">
        <f t="shared" si="20"/>
        <v>1150</v>
      </c>
      <c r="G326" s="51" t="s">
        <v>3</v>
      </c>
      <c r="H326" s="48">
        <v>4</v>
      </c>
      <c r="I326" s="49" t="s">
        <v>45</v>
      </c>
      <c r="J326" s="184">
        <v>110</v>
      </c>
      <c r="K326" s="75">
        <v>400</v>
      </c>
      <c r="L326" s="75">
        <v>1150</v>
      </c>
      <c r="M326" s="191">
        <v>15.009319563448949</v>
      </c>
      <c r="N326" s="87">
        <v>788.65106304983647</v>
      </c>
      <c r="O326" s="123">
        <v>22875.166045133556</v>
      </c>
      <c r="P326" s="121">
        <v>28439.851412628119</v>
      </c>
      <c r="Q326" s="120">
        <v>17420.33736064834</v>
      </c>
      <c r="R326" s="314">
        <v>40295.503405781899</v>
      </c>
      <c r="S326" s="315">
        <v>45860.188773276459</v>
      </c>
      <c r="U326" s="7" t="s">
        <v>2834</v>
      </c>
    </row>
    <row r="327" spans="1:21" ht="16.5" thickBot="1">
      <c r="A327" s="50" t="s">
        <v>35</v>
      </c>
      <c r="B327" s="51">
        <f t="shared" si="18"/>
        <v>110</v>
      </c>
      <c r="C327" s="51" t="s">
        <v>3</v>
      </c>
      <c r="D327" s="51">
        <f t="shared" si="19"/>
        <v>400</v>
      </c>
      <c r="E327" s="51" t="s">
        <v>3</v>
      </c>
      <c r="F327" s="99">
        <f t="shared" si="20"/>
        <v>1200</v>
      </c>
      <c r="G327" s="51" t="s">
        <v>3</v>
      </c>
      <c r="H327" s="48">
        <v>4</v>
      </c>
      <c r="I327" s="49" t="s">
        <v>45</v>
      </c>
      <c r="J327" s="184">
        <v>110</v>
      </c>
      <c r="K327" s="75">
        <v>400</v>
      </c>
      <c r="L327" s="75">
        <v>1200</v>
      </c>
      <c r="M327" s="191">
        <v>15.692147102945789</v>
      </c>
      <c r="N327" s="87">
        <v>837.94175449045133</v>
      </c>
      <c r="O327" s="123">
        <v>23678.187438387606</v>
      </c>
      <c r="P327" s="121">
        <v>29448.447998723666</v>
      </c>
      <c r="Q327" s="120">
        <v>18253.310975824952</v>
      </c>
      <c r="R327" s="314">
        <v>41931.498414212561</v>
      </c>
      <c r="S327" s="315">
        <v>47701.758974548618</v>
      </c>
      <c r="U327" s="7" t="s">
        <v>2835</v>
      </c>
    </row>
    <row r="328" spans="1:21" ht="16.5" thickBot="1">
      <c r="A328" s="50" t="s">
        <v>35</v>
      </c>
      <c r="B328" s="51">
        <f t="shared" si="18"/>
        <v>110</v>
      </c>
      <c r="C328" s="51" t="s">
        <v>3</v>
      </c>
      <c r="D328" s="51">
        <f t="shared" si="19"/>
        <v>400</v>
      </c>
      <c r="E328" s="51" t="s">
        <v>3</v>
      </c>
      <c r="F328" s="99">
        <f t="shared" si="20"/>
        <v>1250</v>
      </c>
      <c r="G328" s="51" t="s">
        <v>3</v>
      </c>
      <c r="H328" s="48">
        <v>4</v>
      </c>
      <c r="I328" s="49" t="s">
        <v>45</v>
      </c>
      <c r="J328" s="184">
        <v>110</v>
      </c>
      <c r="K328" s="75">
        <v>400</v>
      </c>
      <c r="L328" s="75">
        <v>1250</v>
      </c>
      <c r="M328" s="191">
        <v>16.279434642442631</v>
      </c>
      <c r="N328" s="87">
        <v>887.2324459310662</v>
      </c>
      <c r="O328" s="123">
        <v>24404.05453613288</v>
      </c>
      <c r="P328" s="121">
        <v>30379.419129185892</v>
      </c>
      <c r="Q328" s="120">
        <v>18855.702672824929</v>
      </c>
      <c r="R328" s="314">
        <v>43259.75720895781</v>
      </c>
      <c r="S328" s="315">
        <v>49235.121802010821</v>
      </c>
      <c r="U328" s="7" t="s">
        <v>2836</v>
      </c>
    </row>
    <row r="329" spans="1:21" ht="16.5" thickBot="1">
      <c r="A329" s="50" t="s">
        <v>35</v>
      </c>
      <c r="B329" s="51">
        <f t="shared" si="18"/>
        <v>110</v>
      </c>
      <c r="C329" s="51" t="s">
        <v>3</v>
      </c>
      <c r="D329" s="51">
        <f t="shared" si="19"/>
        <v>400</v>
      </c>
      <c r="E329" s="51" t="s">
        <v>3</v>
      </c>
      <c r="F329" s="99">
        <f t="shared" si="20"/>
        <v>1300</v>
      </c>
      <c r="G329" s="51" t="s">
        <v>3</v>
      </c>
      <c r="H329" s="48">
        <v>4</v>
      </c>
      <c r="I329" s="49" t="s">
        <v>45</v>
      </c>
      <c r="J329" s="184">
        <v>110</v>
      </c>
      <c r="K329" s="75">
        <v>400</v>
      </c>
      <c r="L329" s="75">
        <v>1300</v>
      </c>
      <c r="M329" s="191">
        <v>16.883762181939474</v>
      </c>
      <c r="N329" s="87">
        <v>936.52313737168072</v>
      </c>
      <c r="O329" s="123">
        <v>25129.921493484791</v>
      </c>
      <c r="P329" s="121">
        <v>31310.390259648117</v>
      </c>
      <c r="Q329" s="120">
        <v>19688.676288001541</v>
      </c>
      <c r="R329" s="314">
        <v>44818.597781486329</v>
      </c>
      <c r="S329" s="315">
        <v>50999.066547649658</v>
      </c>
      <c r="U329" s="7" t="s">
        <v>2837</v>
      </c>
    </row>
    <row r="330" spans="1:21" ht="16.5" thickBot="1">
      <c r="A330" s="50" t="s">
        <v>35</v>
      </c>
      <c r="B330" s="51">
        <f t="shared" si="18"/>
        <v>110</v>
      </c>
      <c r="C330" s="51" t="s">
        <v>3</v>
      </c>
      <c r="D330" s="51">
        <f t="shared" si="19"/>
        <v>400</v>
      </c>
      <c r="E330" s="51" t="s">
        <v>3</v>
      </c>
      <c r="F330" s="99">
        <f t="shared" si="20"/>
        <v>1350</v>
      </c>
      <c r="G330" s="51" t="s">
        <v>3</v>
      </c>
      <c r="H330" s="48">
        <v>4</v>
      </c>
      <c r="I330" s="49" t="s">
        <v>45</v>
      </c>
      <c r="J330" s="184">
        <v>110</v>
      </c>
      <c r="K330" s="75">
        <v>400</v>
      </c>
      <c r="L330" s="75">
        <v>1350</v>
      </c>
      <c r="M330" s="191">
        <v>17.471049721436316</v>
      </c>
      <c r="N330" s="87">
        <v>985.81382881229558</v>
      </c>
      <c r="O330" s="123">
        <v>25855.78859123007</v>
      </c>
      <c r="P330" s="121">
        <v>32241.361530503709</v>
      </c>
      <c r="Q330" s="120">
        <v>20291.067985001515</v>
      </c>
      <c r="R330" s="314">
        <v>46146.856576231585</v>
      </c>
      <c r="S330" s="315">
        <v>52532.429515505224</v>
      </c>
      <c r="U330" s="7" t="s">
        <v>2838</v>
      </c>
    </row>
    <row r="331" spans="1:21" ht="16.5" thickBot="1">
      <c r="A331" s="50" t="s">
        <v>35</v>
      </c>
      <c r="B331" s="51">
        <f t="shared" si="18"/>
        <v>110</v>
      </c>
      <c r="C331" s="51" t="s">
        <v>3</v>
      </c>
      <c r="D331" s="51">
        <f t="shared" si="19"/>
        <v>400</v>
      </c>
      <c r="E331" s="51" t="s">
        <v>3</v>
      </c>
      <c r="F331" s="99">
        <f t="shared" si="20"/>
        <v>1400</v>
      </c>
      <c r="G331" s="51" t="s">
        <v>3</v>
      </c>
      <c r="H331" s="48">
        <v>4</v>
      </c>
      <c r="I331" s="49" t="s">
        <v>45</v>
      </c>
      <c r="J331" s="184">
        <v>110</v>
      </c>
      <c r="K331" s="75">
        <v>400</v>
      </c>
      <c r="L331" s="75">
        <v>1400</v>
      </c>
      <c r="M331" s="191">
        <v>18.075377260933156</v>
      </c>
      <c r="N331" s="87">
        <v>1035.1045202529106</v>
      </c>
      <c r="O331" s="123">
        <v>26581.655548581981</v>
      </c>
      <c r="P331" s="121">
        <v>33172.332660965934</v>
      </c>
      <c r="Q331" s="120">
        <v>21124.04160017813</v>
      </c>
      <c r="R331" s="314">
        <v>47705.697148760111</v>
      </c>
      <c r="S331" s="315">
        <v>54296.374261144068</v>
      </c>
      <c r="U331" s="7" t="s">
        <v>2839</v>
      </c>
    </row>
    <row r="332" spans="1:21" ht="16.5" thickBot="1">
      <c r="A332" s="50" t="s">
        <v>35</v>
      </c>
      <c r="B332" s="51">
        <f t="shared" si="18"/>
        <v>110</v>
      </c>
      <c r="C332" s="51" t="s">
        <v>3</v>
      </c>
      <c r="D332" s="51">
        <f t="shared" si="19"/>
        <v>400</v>
      </c>
      <c r="E332" s="51" t="s">
        <v>3</v>
      </c>
      <c r="F332" s="99">
        <f t="shared" si="20"/>
        <v>1450</v>
      </c>
      <c r="G332" s="51" t="s">
        <v>3</v>
      </c>
      <c r="H332" s="48">
        <v>4</v>
      </c>
      <c r="I332" s="49" t="s">
        <v>45</v>
      </c>
      <c r="J332" s="184">
        <v>110</v>
      </c>
      <c r="K332" s="75">
        <v>400</v>
      </c>
      <c r="L332" s="75">
        <v>1450</v>
      </c>
      <c r="M332" s="191">
        <v>18.662664800430001</v>
      </c>
      <c r="N332" s="87">
        <v>1084.395211693525</v>
      </c>
      <c r="O332" s="123">
        <v>27307.522646327259</v>
      </c>
      <c r="P332" s="121">
        <v>34103.303791428159</v>
      </c>
      <c r="Q332" s="120">
        <v>21726.433297178104</v>
      </c>
      <c r="R332" s="314">
        <v>49033.955943505367</v>
      </c>
      <c r="S332" s="315">
        <v>55829.737088606264</v>
      </c>
      <c r="U332" s="7" t="s">
        <v>2840</v>
      </c>
    </row>
    <row r="333" spans="1:21" ht="16.5" thickBot="1">
      <c r="A333" s="50" t="s">
        <v>35</v>
      </c>
      <c r="B333" s="51">
        <f t="shared" si="18"/>
        <v>110</v>
      </c>
      <c r="C333" s="51" t="s">
        <v>3</v>
      </c>
      <c r="D333" s="51">
        <f t="shared" si="19"/>
        <v>400</v>
      </c>
      <c r="E333" s="51" t="s">
        <v>3</v>
      </c>
      <c r="F333" s="99">
        <f t="shared" si="20"/>
        <v>1500</v>
      </c>
      <c r="G333" s="51" t="s">
        <v>3</v>
      </c>
      <c r="H333" s="48">
        <v>4</v>
      </c>
      <c r="I333" s="49" t="s">
        <v>45</v>
      </c>
      <c r="J333" s="184">
        <v>110</v>
      </c>
      <c r="K333" s="75">
        <v>400</v>
      </c>
      <c r="L333" s="75">
        <v>1500</v>
      </c>
      <c r="M333" s="191">
        <v>19.494272532226844</v>
      </c>
      <c r="N333" s="87">
        <v>1133.6859031341398</v>
      </c>
      <c r="O333" s="123">
        <v>28878.784661996331</v>
      </c>
      <c r="P333" s="121">
        <v>35860.659455384783</v>
      </c>
      <c r="Q333" s="120">
        <v>22559.406912354716</v>
      </c>
      <c r="R333" s="314">
        <v>51438.191574351047</v>
      </c>
      <c r="S333" s="315">
        <v>58420.066367739499</v>
      </c>
      <c r="U333" s="7" t="s">
        <v>2841</v>
      </c>
    </row>
    <row r="334" spans="1:21" ht="16.5" thickBot="1">
      <c r="A334" s="50" t="s">
        <v>35</v>
      </c>
      <c r="B334" s="51">
        <f t="shared" si="18"/>
        <v>110</v>
      </c>
      <c r="C334" s="51" t="s">
        <v>3</v>
      </c>
      <c r="D334" s="51">
        <f t="shared" si="19"/>
        <v>400</v>
      </c>
      <c r="E334" s="51" t="s">
        <v>3</v>
      </c>
      <c r="F334" s="99">
        <f t="shared" si="20"/>
        <v>1550</v>
      </c>
      <c r="G334" s="51" t="s">
        <v>3</v>
      </c>
      <c r="H334" s="48">
        <v>4</v>
      </c>
      <c r="I334" s="49" t="s">
        <v>45</v>
      </c>
      <c r="J334" s="184">
        <v>110</v>
      </c>
      <c r="K334" s="75">
        <v>400</v>
      </c>
      <c r="L334" s="75">
        <v>1550</v>
      </c>
      <c r="M334" s="191">
        <v>20.081560071723686</v>
      </c>
      <c r="N334" s="87">
        <v>1182.9765945747547</v>
      </c>
      <c r="O334" s="123">
        <v>29604.651759741606</v>
      </c>
      <c r="P334" s="121">
        <v>36791.630585847008</v>
      </c>
      <c r="Q334" s="120">
        <v>23161.79860935469</v>
      </c>
      <c r="R334" s="314">
        <v>52766.450369096296</v>
      </c>
      <c r="S334" s="315">
        <v>59953.429195201694</v>
      </c>
      <c r="U334" s="7" t="s">
        <v>2842</v>
      </c>
    </row>
    <row r="335" spans="1:21" ht="16.5" thickBot="1">
      <c r="A335" s="47" t="s">
        <v>35</v>
      </c>
      <c r="B335" s="48">
        <f t="shared" si="18"/>
        <v>110</v>
      </c>
      <c r="C335" s="48" t="s">
        <v>3</v>
      </c>
      <c r="D335" s="48">
        <f t="shared" si="19"/>
        <v>400</v>
      </c>
      <c r="E335" s="48" t="s">
        <v>3</v>
      </c>
      <c r="F335" s="99">
        <f t="shared" si="20"/>
        <v>1600</v>
      </c>
      <c r="G335" s="48" t="s">
        <v>3</v>
      </c>
      <c r="H335" s="48">
        <v>4</v>
      </c>
      <c r="I335" s="49" t="s">
        <v>45</v>
      </c>
      <c r="J335" s="184">
        <v>110</v>
      </c>
      <c r="K335" s="75">
        <v>400</v>
      </c>
      <c r="L335" s="75">
        <v>1600</v>
      </c>
      <c r="M335" s="191">
        <v>20.668847611220528</v>
      </c>
      <c r="N335" s="87">
        <v>1232.2672860153693</v>
      </c>
      <c r="O335" s="123">
        <v>30330.518717093521</v>
      </c>
      <c r="P335" s="121">
        <v>37722.601856702597</v>
      </c>
      <c r="Q335" s="120">
        <v>23764.190446748027</v>
      </c>
      <c r="R335" s="314">
        <v>54094.709163841544</v>
      </c>
      <c r="S335" s="315">
        <v>61486.792303450624</v>
      </c>
      <c r="U335" s="7" t="s">
        <v>2843</v>
      </c>
    </row>
    <row r="336" spans="1:21" ht="16.5" thickBot="1">
      <c r="A336" s="50" t="s">
        <v>35</v>
      </c>
      <c r="B336" s="51">
        <f t="shared" si="18"/>
        <v>110</v>
      </c>
      <c r="C336" s="51" t="s">
        <v>3</v>
      </c>
      <c r="D336" s="51">
        <f t="shared" si="19"/>
        <v>400</v>
      </c>
      <c r="E336" s="51" t="s">
        <v>3</v>
      </c>
      <c r="F336" s="99">
        <f t="shared" si="20"/>
        <v>1650</v>
      </c>
      <c r="G336" s="51" t="s">
        <v>3</v>
      </c>
      <c r="H336" s="48">
        <v>4</v>
      </c>
      <c r="I336" s="49" t="s">
        <v>45</v>
      </c>
      <c r="J336" s="184">
        <v>110</v>
      </c>
      <c r="K336" s="75">
        <v>400</v>
      </c>
      <c r="L336" s="75">
        <v>1650</v>
      </c>
      <c r="M336" s="191">
        <v>21.273175150717371</v>
      </c>
      <c r="N336" s="87">
        <v>1281.5579774559842</v>
      </c>
      <c r="O336" s="123">
        <v>31056.385814838795</v>
      </c>
      <c r="P336" s="121">
        <v>38653.572987164822</v>
      </c>
      <c r="Q336" s="120">
        <v>24597.164061924639</v>
      </c>
      <c r="R336" s="314">
        <v>55653.549876763434</v>
      </c>
      <c r="S336" s="315">
        <v>63250.737049089461</v>
      </c>
      <c r="U336" s="7" t="s">
        <v>2844</v>
      </c>
    </row>
    <row r="337" spans="1:21" ht="16.5" thickBot="1">
      <c r="A337" s="50" t="s">
        <v>35</v>
      </c>
      <c r="B337" s="51">
        <f t="shared" si="18"/>
        <v>110</v>
      </c>
      <c r="C337" s="51" t="s">
        <v>3</v>
      </c>
      <c r="D337" s="51">
        <f t="shared" si="19"/>
        <v>400</v>
      </c>
      <c r="E337" s="51" t="s">
        <v>3</v>
      </c>
      <c r="F337" s="99">
        <f t="shared" si="20"/>
        <v>1700</v>
      </c>
      <c r="G337" s="51" t="s">
        <v>3</v>
      </c>
      <c r="H337" s="48">
        <v>4</v>
      </c>
      <c r="I337" s="49" t="s">
        <v>45</v>
      </c>
      <c r="J337" s="184">
        <v>110</v>
      </c>
      <c r="K337" s="75">
        <v>400</v>
      </c>
      <c r="L337" s="75">
        <v>1700</v>
      </c>
      <c r="M337" s="191">
        <v>21.860462690214213</v>
      </c>
      <c r="N337" s="87">
        <v>1330.8486688965991</v>
      </c>
      <c r="O337" s="123">
        <v>31782.25277219071</v>
      </c>
      <c r="P337" s="121">
        <v>39584.544117627047</v>
      </c>
      <c r="Q337" s="120">
        <v>25199.55575892462</v>
      </c>
      <c r="R337" s="314">
        <v>56981.808531115326</v>
      </c>
      <c r="S337" s="315">
        <v>64784.099876551671</v>
      </c>
      <c r="U337" s="7" t="s">
        <v>2845</v>
      </c>
    </row>
    <row r="338" spans="1:21" ht="16.5" thickBot="1">
      <c r="A338" s="50" t="s">
        <v>35</v>
      </c>
      <c r="B338" s="51">
        <f t="shared" si="18"/>
        <v>110</v>
      </c>
      <c r="C338" s="51" t="s">
        <v>3</v>
      </c>
      <c r="D338" s="51">
        <f t="shared" si="19"/>
        <v>400</v>
      </c>
      <c r="E338" s="51" t="s">
        <v>3</v>
      </c>
      <c r="F338" s="99">
        <f t="shared" si="20"/>
        <v>1750</v>
      </c>
      <c r="G338" s="51" t="s">
        <v>3</v>
      </c>
      <c r="H338" s="48">
        <v>4</v>
      </c>
      <c r="I338" s="49" t="s">
        <v>45</v>
      </c>
      <c r="J338" s="184">
        <v>110</v>
      </c>
      <c r="K338" s="75">
        <v>400</v>
      </c>
      <c r="L338" s="75">
        <v>1750</v>
      </c>
      <c r="M338" s="191">
        <v>22.464790229711049</v>
      </c>
      <c r="N338" s="87">
        <v>1380.1393603372139</v>
      </c>
      <c r="O338" s="123">
        <v>32508.119869935981</v>
      </c>
      <c r="P338" s="121">
        <v>40515.515248089272</v>
      </c>
      <c r="Q338" s="120">
        <v>26032.529374101232</v>
      </c>
      <c r="R338" s="314">
        <v>58540.649244037209</v>
      </c>
      <c r="S338" s="315">
        <v>66548.0446221905</v>
      </c>
      <c r="U338" s="7" t="s">
        <v>2846</v>
      </c>
    </row>
    <row r="339" spans="1:21" ht="16.5" thickBot="1">
      <c r="A339" s="50" t="s">
        <v>35</v>
      </c>
      <c r="B339" s="51">
        <f t="shared" si="18"/>
        <v>110</v>
      </c>
      <c r="C339" s="51" t="s">
        <v>3</v>
      </c>
      <c r="D339" s="51">
        <f t="shared" si="19"/>
        <v>400</v>
      </c>
      <c r="E339" s="51" t="s">
        <v>3</v>
      </c>
      <c r="F339" s="99">
        <f t="shared" si="20"/>
        <v>1800</v>
      </c>
      <c r="G339" s="51" t="s">
        <v>3</v>
      </c>
      <c r="H339" s="48">
        <v>4</v>
      </c>
      <c r="I339" s="49" t="s">
        <v>45</v>
      </c>
      <c r="J339" s="184">
        <v>110</v>
      </c>
      <c r="K339" s="75">
        <v>400</v>
      </c>
      <c r="L339" s="75">
        <v>1800</v>
      </c>
      <c r="M339" s="191">
        <v>23.052077769207898</v>
      </c>
      <c r="N339" s="87">
        <v>1429.4300517778286</v>
      </c>
      <c r="O339" s="123">
        <v>33233.986827287896</v>
      </c>
      <c r="P339" s="121">
        <v>41446.486518944861</v>
      </c>
      <c r="Q339" s="120">
        <v>26634.921071101206</v>
      </c>
      <c r="R339" s="314">
        <v>59868.907898389101</v>
      </c>
      <c r="S339" s="315">
        <v>68081.407590046059</v>
      </c>
      <c r="U339" s="7" t="s">
        <v>2847</v>
      </c>
    </row>
    <row r="340" spans="1:21" ht="16.5" thickBot="1">
      <c r="A340" s="50" t="s">
        <v>35</v>
      </c>
      <c r="B340" s="51">
        <f t="shared" si="18"/>
        <v>110</v>
      </c>
      <c r="C340" s="51" t="s">
        <v>3</v>
      </c>
      <c r="D340" s="51">
        <f t="shared" si="19"/>
        <v>400</v>
      </c>
      <c r="E340" s="51" t="s">
        <v>3</v>
      </c>
      <c r="F340" s="99">
        <f t="shared" si="20"/>
        <v>1850</v>
      </c>
      <c r="G340" s="51" t="s">
        <v>3</v>
      </c>
      <c r="H340" s="48">
        <v>4</v>
      </c>
      <c r="I340" s="49" t="s">
        <v>45</v>
      </c>
      <c r="J340" s="184">
        <v>110</v>
      </c>
      <c r="K340" s="75">
        <v>400</v>
      </c>
      <c r="L340" s="75">
        <v>1850</v>
      </c>
      <c r="M340" s="191">
        <v>23.656405308704741</v>
      </c>
      <c r="N340" s="87">
        <v>1478.7207432184434</v>
      </c>
      <c r="O340" s="123">
        <v>33959.853925033174</v>
      </c>
      <c r="P340" s="121">
        <v>42377.457649407086</v>
      </c>
      <c r="Q340" s="120">
        <v>27467.894686277818</v>
      </c>
      <c r="R340" s="314">
        <v>61427.748611310992</v>
      </c>
      <c r="S340" s="315">
        <v>69845.352335684904</v>
      </c>
      <c r="U340" s="7" t="s">
        <v>2848</v>
      </c>
    </row>
    <row r="341" spans="1:21" ht="16.5" thickBot="1">
      <c r="A341" s="50" t="s">
        <v>35</v>
      </c>
      <c r="B341" s="51">
        <f t="shared" si="18"/>
        <v>110</v>
      </c>
      <c r="C341" s="51" t="s">
        <v>3</v>
      </c>
      <c r="D341" s="51">
        <f t="shared" si="19"/>
        <v>400</v>
      </c>
      <c r="E341" s="51" t="s">
        <v>3</v>
      </c>
      <c r="F341" s="99">
        <f t="shared" si="20"/>
        <v>1900</v>
      </c>
      <c r="G341" s="51" t="s">
        <v>3</v>
      </c>
      <c r="H341" s="48">
        <v>4</v>
      </c>
      <c r="I341" s="49" t="s">
        <v>45</v>
      </c>
      <c r="J341" s="184">
        <v>110</v>
      </c>
      <c r="K341" s="75">
        <v>400</v>
      </c>
      <c r="L341" s="75">
        <v>1900</v>
      </c>
      <c r="M341" s="191">
        <v>24.243692848201583</v>
      </c>
      <c r="N341" s="87">
        <v>1528.0114346590583</v>
      </c>
      <c r="O341" s="123">
        <v>34685.720882385081</v>
      </c>
      <c r="P341" s="121">
        <v>43308.428779869311</v>
      </c>
      <c r="Q341" s="120">
        <v>28070.286383277791</v>
      </c>
      <c r="R341" s="314">
        <v>62756.007265662876</v>
      </c>
      <c r="S341" s="315">
        <v>71378.715163147106</v>
      </c>
      <c r="U341" s="7" t="s">
        <v>2849</v>
      </c>
    </row>
    <row r="342" spans="1:21" ht="16.5" thickBot="1">
      <c r="A342" s="50" t="s">
        <v>35</v>
      </c>
      <c r="B342" s="51">
        <f t="shared" si="18"/>
        <v>110</v>
      </c>
      <c r="C342" s="51" t="s">
        <v>3</v>
      </c>
      <c r="D342" s="51">
        <f t="shared" si="19"/>
        <v>400</v>
      </c>
      <c r="E342" s="51" t="s">
        <v>3</v>
      </c>
      <c r="F342" s="99">
        <f t="shared" si="20"/>
        <v>1950</v>
      </c>
      <c r="G342" s="51" t="s">
        <v>3</v>
      </c>
      <c r="H342" s="48">
        <v>4</v>
      </c>
      <c r="I342" s="49" t="s">
        <v>45</v>
      </c>
      <c r="J342" s="184">
        <v>110</v>
      </c>
      <c r="K342" s="75">
        <v>400</v>
      </c>
      <c r="L342" s="75">
        <v>1950</v>
      </c>
      <c r="M342" s="191">
        <v>24.909480387698427</v>
      </c>
      <c r="N342" s="87">
        <v>1577.3021260996729</v>
      </c>
      <c r="O342" s="123">
        <v>35488.742416032495</v>
      </c>
      <c r="P342" s="121">
        <v>44317.025365964859</v>
      </c>
      <c r="Q342" s="120">
        <v>28672.678220671129</v>
      </c>
      <c r="R342" s="314">
        <v>64161.420636703624</v>
      </c>
      <c r="S342" s="315">
        <v>72989.703586635995</v>
      </c>
      <c r="U342" s="7" t="s">
        <v>2850</v>
      </c>
    </row>
    <row r="343" spans="1:21" ht="16.5" thickBot="1">
      <c r="A343" s="50" t="s">
        <v>35</v>
      </c>
      <c r="B343" s="51">
        <f t="shared" si="18"/>
        <v>110</v>
      </c>
      <c r="C343" s="51" t="s">
        <v>3</v>
      </c>
      <c r="D343" s="51">
        <f t="shared" si="19"/>
        <v>400</v>
      </c>
      <c r="E343" s="51" t="s">
        <v>3</v>
      </c>
      <c r="F343" s="99">
        <f t="shared" si="20"/>
        <v>2000</v>
      </c>
      <c r="G343" s="51" t="s">
        <v>3</v>
      </c>
      <c r="H343" s="48">
        <v>4</v>
      </c>
      <c r="I343" s="49" t="s">
        <v>45</v>
      </c>
      <c r="J343" s="184">
        <v>110</v>
      </c>
      <c r="K343" s="75">
        <v>400</v>
      </c>
      <c r="L343" s="75">
        <v>2000</v>
      </c>
      <c r="M343" s="191">
        <v>25.605370327195267</v>
      </c>
      <c r="N343" s="87">
        <v>1626.5928175402878</v>
      </c>
      <c r="O343" s="123">
        <v>36445.152402599633</v>
      </c>
      <c r="P343" s="121">
        <v>45560.677223946383</v>
      </c>
      <c r="Q343" s="120">
        <v>29505.651695454384</v>
      </c>
      <c r="R343" s="314">
        <v>65950.80409805401</v>
      </c>
      <c r="S343" s="315">
        <v>75066.328919400767</v>
      </c>
      <c r="U343" s="7" t="s">
        <v>2851</v>
      </c>
    </row>
    <row r="344" spans="1:21" ht="16.5" thickBot="1">
      <c r="A344" s="50" t="s">
        <v>35</v>
      </c>
      <c r="B344" s="51">
        <f t="shared" si="18"/>
        <v>110</v>
      </c>
      <c r="C344" s="51" t="s">
        <v>3</v>
      </c>
      <c r="D344" s="51">
        <f t="shared" si="19"/>
        <v>400</v>
      </c>
      <c r="E344" s="51" t="s">
        <v>3</v>
      </c>
      <c r="F344" s="99">
        <f t="shared" si="20"/>
        <v>2050</v>
      </c>
      <c r="G344" s="51" t="s">
        <v>3</v>
      </c>
      <c r="H344" s="48">
        <v>4</v>
      </c>
      <c r="I344" s="49" t="s">
        <v>45</v>
      </c>
      <c r="J344" s="184">
        <v>110</v>
      </c>
      <c r="K344" s="75">
        <v>400</v>
      </c>
      <c r="L344" s="75">
        <v>2050</v>
      </c>
      <c r="M344" s="191">
        <v>26.192657866692109</v>
      </c>
      <c r="N344" s="87">
        <v>1675.8835089809027</v>
      </c>
      <c r="O344" s="123">
        <v>37171.019500344912</v>
      </c>
      <c r="P344" s="121">
        <v>46491.648494801972</v>
      </c>
      <c r="Q344" s="120">
        <v>30108.043532847722</v>
      </c>
      <c r="R344" s="314">
        <v>67279.063033192637</v>
      </c>
      <c r="S344" s="315">
        <v>76599.692027649697</v>
      </c>
      <c r="U344" s="7" t="s">
        <v>2852</v>
      </c>
    </row>
    <row r="345" spans="1:21" ht="16.5" thickBot="1">
      <c r="A345" s="47" t="s">
        <v>35</v>
      </c>
      <c r="B345" s="48">
        <f t="shared" si="18"/>
        <v>110</v>
      </c>
      <c r="C345" s="48" t="s">
        <v>3</v>
      </c>
      <c r="D345" s="48">
        <f t="shared" si="19"/>
        <v>400</v>
      </c>
      <c r="E345" s="48" t="s">
        <v>3</v>
      </c>
      <c r="F345" s="99">
        <f t="shared" si="20"/>
        <v>2100</v>
      </c>
      <c r="G345" s="48" t="s">
        <v>3</v>
      </c>
      <c r="H345" s="48">
        <v>4</v>
      </c>
      <c r="I345" s="49" t="s">
        <v>45</v>
      </c>
      <c r="J345" s="184">
        <v>110</v>
      </c>
      <c r="K345" s="75">
        <v>400</v>
      </c>
      <c r="L345" s="75">
        <v>2100</v>
      </c>
      <c r="M345" s="191">
        <v>26.796985406188949</v>
      </c>
      <c r="N345" s="87">
        <v>1725.1742004215173</v>
      </c>
      <c r="O345" s="123">
        <v>37896.886457696819</v>
      </c>
      <c r="P345" s="121">
        <v>47422.619625264197</v>
      </c>
      <c r="Q345" s="120">
        <v>30941.01700763097</v>
      </c>
      <c r="R345" s="314">
        <v>68837.903465327792</v>
      </c>
      <c r="S345" s="315">
        <v>78363.63663289517</v>
      </c>
      <c r="U345" s="7" t="s">
        <v>2853</v>
      </c>
    </row>
    <row r="346" spans="1:21" ht="16.5" thickBot="1">
      <c r="A346" s="50" t="s">
        <v>35</v>
      </c>
      <c r="B346" s="51">
        <f t="shared" si="18"/>
        <v>110</v>
      </c>
      <c r="C346" s="51" t="s">
        <v>3</v>
      </c>
      <c r="D346" s="51">
        <f t="shared" si="19"/>
        <v>400</v>
      </c>
      <c r="E346" s="51" t="s">
        <v>3</v>
      </c>
      <c r="F346" s="99">
        <f t="shared" si="20"/>
        <v>2150</v>
      </c>
      <c r="G346" s="51" t="s">
        <v>3</v>
      </c>
      <c r="H346" s="48">
        <v>4</v>
      </c>
      <c r="I346" s="49" t="s">
        <v>45</v>
      </c>
      <c r="J346" s="184">
        <v>110</v>
      </c>
      <c r="K346" s="75">
        <v>400</v>
      </c>
      <c r="L346" s="75">
        <v>2150</v>
      </c>
      <c r="M346" s="191">
        <v>27.384272945685794</v>
      </c>
      <c r="N346" s="87">
        <v>1774.4648918621324</v>
      </c>
      <c r="O346" s="123">
        <v>38622.753555442097</v>
      </c>
      <c r="P346" s="121">
        <v>48353.590755726422</v>
      </c>
      <c r="Q346" s="120">
        <v>31543.408845024307</v>
      </c>
      <c r="R346" s="314">
        <v>70166.162400466405</v>
      </c>
      <c r="S346" s="315">
        <v>79896.999600750729</v>
      </c>
      <c r="U346" s="7" t="s">
        <v>2854</v>
      </c>
    </row>
    <row r="347" spans="1:21" ht="16.5" thickBot="1">
      <c r="A347" s="50" t="s">
        <v>35</v>
      </c>
      <c r="B347" s="51">
        <f t="shared" si="18"/>
        <v>110</v>
      </c>
      <c r="C347" s="51" t="s">
        <v>3</v>
      </c>
      <c r="D347" s="51">
        <f t="shared" si="19"/>
        <v>400</v>
      </c>
      <c r="E347" s="51" t="s">
        <v>3</v>
      </c>
      <c r="F347" s="99">
        <f t="shared" si="20"/>
        <v>2200</v>
      </c>
      <c r="G347" s="51" t="s">
        <v>3</v>
      </c>
      <c r="H347" s="48">
        <v>4</v>
      </c>
      <c r="I347" s="49" t="s">
        <v>45</v>
      </c>
      <c r="J347" s="184">
        <v>110</v>
      </c>
      <c r="K347" s="75">
        <v>400</v>
      </c>
      <c r="L347" s="75">
        <v>2200</v>
      </c>
      <c r="M347" s="191">
        <v>27.98860048518263</v>
      </c>
      <c r="N347" s="87">
        <v>1823.755583302747</v>
      </c>
      <c r="O347" s="123">
        <v>39348.620512794005</v>
      </c>
      <c r="P347" s="121">
        <v>49284.561886188647</v>
      </c>
      <c r="Q347" s="120">
        <v>32376.382319807555</v>
      </c>
      <c r="R347" s="314">
        <v>71725.00283260156</v>
      </c>
      <c r="S347" s="315">
        <v>81660.944205996202</v>
      </c>
      <c r="U347" s="7" t="s">
        <v>2855</v>
      </c>
    </row>
    <row r="348" spans="1:21" ht="16.5" thickBot="1">
      <c r="A348" s="50" t="s">
        <v>35</v>
      </c>
      <c r="B348" s="51">
        <f t="shared" si="18"/>
        <v>110</v>
      </c>
      <c r="C348" s="51" t="s">
        <v>3</v>
      </c>
      <c r="D348" s="51">
        <f t="shared" si="19"/>
        <v>400</v>
      </c>
      <c r="E348" s="51" t="s">
        <v>3</v>
      </c>
      <c r="F348" s="99">
        <f t="shared" si="20"/>
        <v>2250</v>
      </c>
      <c r="G348" s="51" t="s">
        <v>3</v>
      </c>
      <c r="H348" s="48">
        <v>4</v>
      </c>
      <c r="I348" s="49" t="s">
        <v>45</v>
      </c>
      <c r="J348" s="184">
        <v>110</v>
      </c>
      <c r="K348" s="75">
        <v>400</v>
      </c>
      <c r="L348" s="75">
        <v>2250</v>
      </c>
      <c r="M348" s="191">
        <v>28.575888024679472</v>
      </c>
      <c r="N348" s="87">
        <v>1873.0462747433614</v>
      </c>
      <c r="O348" s="123">
        <v>40074.487610539283</v>
      </c>
      <c r="P348" s="121">
        <v>50215.533157044236</v>
      </c>
      <c r="Q348" s="120">
        <v>32978.774157200758</v>
      </c>
      <c r="R348" s="314">
        <v>73053.261767740041</v>
      </c>
      <c r="S348" s="315">
        <v>83194.307314245001</v>
      </c>
      <c r="U348" s="7" t="s">
        <v>2856</v>
      </c>
    </row>
    <row r="349" spans="1:21" ht="16.5" thickBot="1">
      <c r="A349" s="50" t="s">
        <v>35</v>
      </c>
      <c r="B349" s="51">
        <f t="shared" si="18"/>
        <v>110</v>
      </c>
      <c r="C349" s="51" t="s">
        <v>3</v>
      </c>
      <c r="D349" s="51">
        <f t="shared" si="19"/>
        <v>400</v>
      </c>
      <c r="E349" s="51" t="s">
        <v>3</v>
      </c>
      <c r="F349" s="99">
        <f t="shared" si="20"/>
        <v>2300</v>
      </c>
      <c r="G349" s="51" t="s">
        <v>3</v>
      </c>
      <c r="H349" s="48">
        <v>4</v>
      </c>
      <c r="I349" s="49" t="s">
        <v>45</v>
      </c>
      <c r="J349" s="184">
        <v>110</v>
      </c>
      <c r="K349" s="75">
        <v>400</v>
      </c>
      <c r="L349" s="75">
        <v>2300</v>
      </c>
      <c r="M349" s="191">
        <v>29.163175564176317</v>
      </c>
      <c r="N349" s="87">
        <v>1922.3369661839765</v>
      </c>
      <c r="O349" s="123">
        <v>40800.354567891198</v>
      </c>
      <c r="P349" s="121">
        <v>51146.504287506454</v>
      </c>
      <c r="Q349" s="120">
        <v>33581.165854200874</v>
      </c>
      <c r="R349" s="314">
        <v>74381.520422092071</v>
      </c>
      <c r="S349" s="315">
        <v>84727.67014170732</v>
      </c>
      <c r="U349" s="7" t="s">
        <v>2857</v>
      </c>
    </row>
    <row r="350" spans="1:21" ht="16.5" thickBot="1">
      <c r="A350" s="50" t="s">
        <v>35</v>
      </c>
      <c r="B350" s="51">
        <f t="shared" si="18"/>
        <v>110</v>
      </c>
      <c r="C350" s="51" t="s">
        <v>3</v>
      </c>
      <c r="D350" s="51">
        <f t="shared" si="19"/>
        <v>400</v>
      </c>
      <c r="E350" s="51" t="s">
        <v>3</v>
      </c>
      <c r="F350" s="99">
        <f t="shared" si="20"/>
        <v>2350</v>
      </c>
      <c r="G350" s="51" t="s">
        <v>3</v>
      </c>
      <c r="H350" s="48">
        <v>4</v>
      </c>
      <c r="I350" s="49" t="s">
        <v>45</v>
      </c>
      <c r="J350" s="184">
        <v>110</v>
      </c>
      <c r="K350" s="75">
        <v>400</v>
      </c>
      <c r="L350" s="75">
        <v>2350</v>
      </c>
      <c r="M350" s="191">
        <v>29.767503103673164</v>
      </c>
      <c r="N350" s="87">
        <v>1971.6276576245912</v>
      </c>
      <c r="O350" s="123">
        <v>41526.221665636469</v>
      </c>
      <c r="P350" s="121">
        <v>52077.475417968686</v>
      </c>
      <c r="Q350" s="120">
        <v>34414.139469377486</v>
      </c>
      <c r="R350" s="314">
        <v>75940.361135013954</v>
      </c>
      <c r="S350" s="315">
        <v>86491.614887346164</v>
      </c>
      <c r="U350" s="7" t="s">
        <v>2858</v>
      </c>
    </row>
    <row r="351" spans="1:21" ht="16.5" thickBot="1">
      <c r="A351" s="50" t="s">
        <v>35</v>
      </c>
      <c r="B351" s="51">
        <f t="shared" si="18"/>
        <v>110</v>
      </c>
      <c r="C351" s="51" t="s">
        <v>3</v>
      </c>
      <c r="D351" s="51">
        <f t="shared" si="19"/>
        <v>400</v>
      </c>
      <c r="E351" s="51" t="s">
        <v>3</v>
      </c>
      <c r="F351" s="99">
        <f t="shared" si="20"/>
        <v>2400</v>
      </c>
      <c r="G351" s="51" t="s">
        <v>3</v>
      </c>
      <c r="H351" s="48">
        <v>4</v>
      </c>
      <c r="I351" s="49" t="s">
        <v>45</v>
      </c>
      <c r="J351" s="184">
        <v>110</v>
      </c>
      <c r="K351" s="75">
        <v>400</v>
      </c>
      <c r="L351" s="75">
        <v>2400</v>
      </c>
      <c r="M351" s="191">
        <v>30.354790643169999</v>
      </c>
      <c r="N351" s="87">
        <v>2020.9183490652058</v>
      </c>
      <c r="O351" s="123">
        <v>42252.088622988384</v>
      </c>
      <c r="P351" s="121">
        <v>53008.446548430911</v>
      </c>
      <c r="Q351" s="120">
        <v>35016.531306770819</v>
      </c>
      <c r="R351" s="314">
        <v>77268.61992975921</v>
      </c>
      <c r="S351" s="315">
        <v>88024.977855201723</v>
      </c>
      <c r="U351" s="7" t="s">
        <v>2859</v>
      </c>
    </row>
    <row r="352" spans="1:21" ht="16.5" thickBot="1">
      <c r="A352" s="50" t="s">
        <v>35</v>
      </c>
      <c r="B352" s="51">
        <f t="shared" si="18"/>
        <v>110</v>
      </c>
      <c r="C352" s="51" t="s">
        <v>3</v>
      </c>
      <c r="D352" s="51">
        <f t="shared" si="19"/>
        <v>400</v>
      </c>
      <c r="E352" s="51" t="s">
        <v>3</v>
      </c>
      <c r="F352" s="99">
        <f t="shared" si="20"/>
        <v>2450</v>
      </c>
      <c r="G352" s="51" t="s">
        <v>3</v>
      </c>
      <c r="H352" s="48">
        <v>4</v>
      </c>
      <c r="I352" s="49" t="s">
        <v>45</v>
      </c>
      <c r="J352" s="184">
        <v>110</v>
      </c>
      <c r="K352" s="75">
        <v>400</v>
      </c>
      <c r="L352" s="75">
        <v>2450</v>
      </c>
      <c r="M352" s="191">
        <v>31.186398374966842</v>
      </c>
      <c r="N352" s="87">
        <v>2070.2090405058211</v>
      </c>
      <c r="O352" s="123">
        <v>43823.350779050823</v>
      </c>
      <c r="P352" s="121">
        <v>54765.802212387534</v>
      </c>
      <c r="Q352" s="120">
        <v>35849.504781554067</v>
      </c>
      <c r="R352" s="314">
        <v>79672.85556060489</v>
      </c>
      <c r="S352" s="315">
        <v>90615.306993941602</v>
      </c>
      <c r="U352" s="7" t="s">
        <v>2860</v>
      </c>
    </row>
    <row r="353" spans="1:21" ht="16.5" thickBot="1">
      <c r="A353" s="50" t="s">
        <v>35</v>
      </c>
      <c r="B353" s="51">
        <f t="shared" si="18"/>
        <v>110</v>
      </c>
      <c r="C353" s="51" t="s">
        <v>3</v>
      </c>
      <c r="D353" s="51">
        <f t="shared" si="19"/>
        <v>400</v>
      </c>
      <c r="E353" s="51" t="s">
        <v>3</v>
      </c>
      <c r="F353" s="99">
        <f t="shared" si="20"/>
        <v>2500</v>
      </c>
      <c r="G353" s="51" t="s">
        <v>3</v>
      </c>
      <c r="H353" s="48">
        <v>4</v>
      </c>
      <c r="I353" s="49" t="s">
        <v>45</v>
      </c>
      <c r="J353" s="184">
        <v>110</v>
      </c>
      <c r="K353" s="75">
        <v>400</v>
      </c>
      <c r="L353" s="75">
        <v>2500</v>
      </c>
      <c r="M353" s="191">
        <v>31.773685914463684</v>
      </c>
      <c r="N353" s="87">
        <v>2119.4997319464355</v>
      </c>
      <c r="O353" s="123">
        <v>44549.217736402738</v>
      </c>
      <c r="P353" s="121">
        <v>55696.773483243123</v>
      </c>
      <c r="Q353" s="120">
        <v>36451.896618947409</v>
      </c>
      <c r="R353" s="314">
        <v>81001.114355350146</v>
      </c>
      <c r="S353" s="315">
        <v>92148.670102190532</v>
      </c>
      <c r="U353" s="7" t="s">
        <v>2861</v>
      </c>
    </row>
    <row r="354" spans="1:21" ht="16.5" thickBot="1">
      <c r="A354" s="50" t="s">
        <v>35</v>
      </c>
      <c r="B354" s="51">
        <f t="shared" si="18"/>
        <v>110</v>
      </c>
      <c r="C354" s="51" t="s">
        <v>3</v>
      </c>
      <c r="D354" s="51">
        <f t="shared" si="19"/>
        <v>400</v>
      </c>
      <c r="E354" s="51" t="s">
        <v>3</v>
      </c>
      <c r="F354" s="99">
        <f t="shared" si="20"/>
        <v>2550</v>
      </c>
      <c r="G354" s="51" t="s">
        <v>3</v>
      </c>
      <c r="H354" s="48">
        <v>4</v>
      </c>
      <c r="I354" s="49" t="s">
        <v>45</v>
      </c>
      <c r="J354" s="184">
        <v>110</v>
      </c>
      <c r="K354" s="75">
        <v>400</v>
      </c>
      <c r="L354" s="75">
        <v>2550</v>
      </c>
      <c r="M354" s="191">
        <v>32.37801345396052</v>
      </c>
      <c r="N354" s="87">
        <v>2168.7904233870499</v>
      </c>
      <c r="O354" s="123">
        <v>45275.084834148009</v>
      </c>
      <c r="P354" s="121">
        <v>56627.744613705348</v>
      </c>
      <c r="Q354" s="120">
        <v>37284.870093730657</v>
      </c>
      <c r="R354" s="314">
        <v>82559.954927878658</v>
      </c>
      <c r="S354" s="315">
        <v>93912.614707436005</v>
      </c>
      <c r="U354" s="7" t="s">
        <v>2862</v>
      </c>
    </row>
    <row r="355" spans="1:21" ht="16.5" thickBot="1">
      <c r="A355" s="47" t="s">
        <v>35</v>
      </c>
      <c r="B355" s="48">
        <f t="shared" si="18"/>
        <v>110</v>
      </c>
      <c r="C355" s="48" t="s">
        <v>3</v>
      </c>
      <c r="D355" s="48">
        <f t="shared" si="19"/>
        <v>400</v>
      </c>
      <c r="E355" s="48" t="s">
        <v>3</v>
      </c>
      <c r="F355" s="99">
        <f t="shared" si="20"/>
        <v>2600</v>
      </c>
      <c r="G355" s="48" t="s">
        <v>3</v>
      </c>
      <c r="H355" s="48">
        <v>4</v>
      </c>
      <c r="I355" s="49" t="s">
        <v>45</v>
      </c>
      <c r="J355" s="184">
        <v>110</v>
      </c>
      <c r="K355" s="75">
        <v>400</v>
      </c>
      <c r="L355" s="75">
        <v>2600</v>
      </c>
      <c r="M355" s="191">
        <v>32.965300993457376</v>
      </c>
      <c r="N355" s="87">
        <v>2218.0811148276653</v>
      </c>
      <c r="O355" s="123">
        <v>46000.951791499923</v>
      </c>
      <c r="P355" s="121">
        <v>57558.715744167574</v>
      </c>
      <c r="Q355" s="120">
        <v>37887.261931123991</v>
      </c>
      <c r="R355" s="314">
        <v>83888.213722623914</v>
      </c>
      <c r="S355" s="315">
        <v>95445.977675291564</v>
      </c>
      <c r="U355" s="7" t="s">
        <v>2863</v>
      </c>
    </row>
    <row r="356" spans="1:21" ht="16.5" thickBot="1">
      <c r="A356" s="50" t="s">
        <v>35</v>
      </c>
      <c r="B356" s="51">
        <f t="shared" si="18"/>
        <v>110</v>
      </c>
      <c r="C356" s="51" t="s">
        <v>3</v>
      </c>
      <c r="D356" s="51">
        <f t="shared" si="19"/>
        <v>400</v>
      </c>
      <c r="E356" s="51" t="s">
        <v>3</v>
      </c>
      <c r="F356" s="99">
        <f t="shared" si="20"/>
        <v>2650</v>
      </c>
      <c r="G356" s="51" t="s">
        <v>3</v>
      </c>
      <c r="H356" s="48">
        <v>4</v>
      </c>
      <c r="I356" s="49" t="s">
        <v>45</v>
      </c>
      <c r="J356" s="184">
        <v>110</v>
      </c>
      <c r="K356" s="75">
        <v>400</v>
      </c>
      <c r="L356" s="75">
        <v>2650</v>
      </c>
      <c r="M356" s="191">
        <v>33.569628532954212</v>
      </c>
      <c r="N356" s="87">
        <v>2267.3718062682797</v>
      </c>
      <c r="O356" s="123">
        <v>46726.818889245194</v>
      </c>
      <c r="P356" s="121">
        <v>58489.686874629799</v>
      </c>
      <c r="Q356" s="120">
        <v>38720.235405907246</v>
      </c>
      <c r="R356" s="314">
        <v>85447.05429515244</v>
      </c>
      <c r="S356" s="315">
        <v>97209.922280537052</v>
      </c>
      <c r="U356" s="7" t="s">
        <v>2864</v>
      </c>
    </row>
    <row r="357" spans="1:21" ht="16.5" thickBot="1">
      <c r="A357" s="50" t="s">
        <v>35</v>
      </c>
      <c r="B357" s="51">
        <f t="shared" si="18"/>
        <v>110</v>
      </c>
      <c r="C357" s="51" t="s">
        <v>3</v>
      </c>
      <c r="D357" s="51">
        <f t="shared" si="19"/>
        <v>400</v>
      </c>
      <c r="E357" s="51" t="s">
        <v>3</v>
      </c>
      <c r="F357" s="99">
        <f t="shared" si="20"/>
        <v>2700</v>
      </c>
      <c r="G357" s="51" t="s">
        <v>3</v>
      </c>
      <c r="H357" s="48">
        <v>4</v>
      </c>
      <c r="I357" s="49" t="s">
        <v>45</v>
      </c>
      <c r="J357" s="184">
        <v>110</v>
      </c>
      <c r="K357" s="75">
        <v>400</v>
      </c>
      <c r="L357" s="75">
        <v>2700</v>
      </c>
      <c r="M357" s="191">
        <v>34.235416072451059</v>
      </c>
      <c r="N357" s="87">
        <v>2316.6624977088945</v>
      </c>
      <c r="O357" s="123">
        <v>47529.840282499244</v>
      </c>
      <c r="P357" s="121">
        <v>59498.283460725346</v>
      </c>
      <c r="Q357" s="120">
        <v>39322.627243300587</v>
      </c>
      <c r="R357" s="314">
        <v>86852.467525799831</v>
      </c>
      <c r="S357" s="315">
        <v>98820.910704025941</v>
      </c>
      <c r="U357" s="7" t="s">
        <v>2865</v>
      </c>
    </row>
    <row r="358" spans="1:21" ht="16.5" thickBot="1">
      <c r="A358" s="50" t="s">
        <v>35</v>
      </c>
      <c r="B358" s="51">
        <f t="shared" si="18"/>
        <v>110</v>
      </c>
      <c r="C358" s="51" t="s">
        <v>3</v>
      </c>
      <c r="D358" s="51">
        <f t="shared" si="19"/>
        <v>400</v>
      </c>
      <c r="E358" s="51" t="s">
        <v>3</v>
      </c>
      <c r="F358" s="99">
        <f t="shared" si="20"/>
        <v>2750</v>
      </c>
      <c r="G358" s="51" t="s">
        <v>3</v>
      </c>
      <c r="H358" s="48">
        <v>4</v>
      </c>
      <c r="I358" s="49" t="s">
        <v>45</v>
      </c>
      <c r="J358" s="184">
        <v>110</v>
      </c>
      <c r="K358" s="75">
        <v>400</v>
      </c>
      <c r="L358" s="75">
        <v>2750</v>
      </c>
      <c r="M358" s="191">
        <v>34.822703611947901</v>
      </c>
      <c r="N358" s="87">
        <v>2365.9531891495094</v>
      </c>
      <c r="O358" s="123">
        <v>48255.707380244523</v>
      </c>
      <c r="P358" s="121">
        <v>60429.254591187579</v>
      </c>
      <c r="Q358" s="120">
        <v>39925.018940300557</v>
      </c>
      <c r="R358" s="314">
        <v>88180.726320545073</v>
      </c>
      <c r="S358" s="315">
        <v>100354.27353148814</v>
      </c>
      <c r="U358" s="7" t="s">
        <v>2866</v>
      </c>
    </row>
    <row r="359" spans="1:21" ht="16.5" thickBot="1">
      <c r="A359" s="50" t="s">
        <v>35</v>
      </c>
      <c r="B359" s="51">
        <f t="shared" si="18"/>
        <v>110</v>
      </c>
      <c r="C359" s="51" t="s">
        <v>3</v>
      </c>
      <c r="D359" s="51">
        <f t="shared" si="19"/>
        <v>400</v>
      </c>
      <c r="E359" s="51" t="s">
        <v>3</v>
      </c>
      <c r="F359" s="99">
        <f t="shared" si="20"/>
        <v>2800</v>
      </c>
      <c r="G359" s="51" t="s">
        <v>3</v>
      </c>
      <c r="H359" s="48">
        <v>4</v>
      </c>
      <c r="I359" s="49" t="s">
        <v>45</v>
      </c>
      <c r="J359" s="184">
        <v>110</v>
      </c>
      <c r="K359" s="75">
        <v>400</v>
      </c>
      <c r="L359" s="75">
        <v>2800</v>
      </c>
      <c r="M359" s="191">
        <v>35.427031151444737</v>
      </c>
      <c r="N359" s="87">
        <v>2415.2438805901243</v>
      </c>
      <c r="O359" s="123">
        <v>48981.57433759643</v>
      </c>
      <c r="P359" s="121">
        <v>61360.225862043168</v>
      </c>
      <c r="Q359" s="120">
        <v>40757.992555477169</v>
      </c>
      <c r="R359" s="314">
        <v>89739.566893073599</v>
      </c>
      <c r="S359" s="315">
        <v>102118.21841752034</v>
      </c>
      <c r="U359" s="7" t="s">
        <v>2867</v>
      </c>
    </row>
    <row r="360" spans="1:21" ht="16.5" thickBot="1">
      <c r="A360" s="50" t="s">
        <v>35</v>
      </c>
      <c r="B360" s="51">
        <f t="shared" si="18"/>
        <v>110</v>
      </c>
      <c r="C360" s="51" t="s">
        <v>3</v>
      </c>
      <c r="D360" s="51">
        <f t="shared" si="19"/>
        <v>400</v>
      </c>
      <c r="E360" s="51" t="s">
        <v>3</v>
      </c>
      <c r="F360" s="99">
        <f t="shared" si="20"/>
        <v>2850</v>
      </c>
      <c r="G360" s="51" t="s">
        <v>3</v>
      </c>
      <c r="H360" s="48">
        <v>4</v>
      </c>
      <c r="I360" s="49" t="s">
        <v>45</v>
      </c>
      <c r="J360" s="184">
        <v>110</v>
      </c>
      <c r="K360" s="75">
        <v>400</v>
      </c>
      <c r="L360" s="75">
        <v>2850</v>
      </c>
      <c r="M360" s="191">
        <v>36.014318690941579</v>
      </c>
      <c r="N360" s="87">
        <v>2464.5345720307387</v>
      </c>
      <c r="O360" s="123">
        <v>49707.441435341709</v>
      </c>
      <c r="P360" s="121">
        <v>62291.196992505385</v>
      </c>
      <c r="Q360" s="120">
        <v>41360.384252477146</v>
      </c>
      <c r="R360" s="314">
        <v>91067.825687818855</v>
      </c>
      <c r="S360" s="315">
        <v>103651.58124498253</v>
      </c>
      <c r="U360" s="7" t="s">
        <v>2868</v>
      </c>
    </row>
    <row r="361" spans="1:21" ht="16.5" thickBot="1">
      <c r="A361" s="50" t="s">
        <v>35</v>
      </c>
      <c r="B361" s="51">
        <f t="shared" si="18"/>
        <v>110</v>
      </c>
      <c r="C361" s="51" t="s">
        <v>3</v>
      </c>
      <c r="D361" s="51">
        <f t="shared" si="19"/>
        <v>400</v>
      </c>
      <c r="E361" s="51" t="s">
        <v>3</v>
      </c>
      <c r="F361" s="99">
        <f t="shared" si="20"/>
        <v>2900</v>
      </c>
      <c r="G361" s="51" t="s">
        <v>3</v>
      </c>
      <c r="H361" s="48">
        <v>4</v>
      </c>
      <c r="I361" s="49" t="s">
        <v>45</v>
      </c>
      <c r="J361" s="184">
        <v>110</v>
      </c>
      <c r="K361" s="75">
        <v>400</v>
      </c>
      <c r="L361" s="75">
        <v>2900</v>
      </c>
      <c r="M361" s="191">
        <v>36.618646230438422</v>
      </c>
      <c r="N361" s="87">
        <v>2513.8252634713535</v>
      </c>
      <c r="O361" s="123">
        <v>50433.308392693623</v>
      </c>
      <c r="P361" s="121">
        <v>63222.168122967618</v>
      </c>
      <c r="Q361" s="120">
        <v>42193.357867653758</v>
      </c>
      <c r="R361" s="314">
        <v>92626.666260347381</v>
      </c>
      <c r="S361" s="315">
        <v>105415.52599062138</v>
      </c>
      <c r="U361" s="7" t="s">
        <v>2869</v>
      </c>
    </row>
    <row r="362" spans="1:21" ht="16.5" thickBot="1">
      <c r="A362" s="50" t="s">
        <v>35</v>
      </c>
      <c r="B362" s="51">
        <f t="shared" si="18"/>
        <v>110</v>
      </c>
      <c r="C362" s="51" t="s">
        <v>3</v>
      </c>
      <c r="D362" s="51">
        <f t="shared" si="19"/>
        <v>400</v>
      </c>
      <c r="E362" s="51" t="s">
        <v>3</v>
      </c>
      <c r="F362" s="99">
        <f t="shared" si="20"/>
        <v>2950</v>
      </c>
      <c r="G362" s="51" t="s">
        <v>3</v>
      </c>
      <c r="H362" s="48">
        <v>4</v>
      </c>
      <c r="I362" s="49" t="s">
        <v>45</v>
      </c>
      <c r="J362" s="184">
        <v>110</v>
      </c>
      <c r="K362" s="75">
        <v>400</v>
      </c>
      <c r="L362" s="75">
        <v>2950</v>
      </c>
      <c r="M362" s="191">
        <v>37.205933769935264</v>
      </c>
      <c r="N362" s="87">
        <v>2563.1159549119684</v>
      </c>
      <c r="O362" s="123">
        <v>51159.175490438902</v>
      </c>
      <c r="P362" s="121">
        <v>64153.139253429836</v>
      </c>
      <c r="Q362" s="120">
        <v>42795.749564653735</v>
      </c>
      <c r="R362" s="314">
        <v>93954.925055092637</v>
      </c>
      <c r="S362" s="315">
        <v>106948.88881808356</v>
      </c>
      <c r="U362" s="7" t="s">
        <v>2870</v>
      </c>
    </row>
    <row r="363" spans="1:21" ht="16.5" thickBot="1">
      <c r="A363" s="52" t="s">
        <v>35</v>
      </c>
      <c r="B363" s="53">
        <f t="shared" si="18"/>
        <v>110</v>
      </c>
      <c r="C363" s="53" t="s">
        <v>3</v>
      </c>
      <c r="D363" s="53">
        <f t="shared" si="19"/>
        <v>400</v>
      </c>
      <c r="E363" s="53" t="s">
        <v>3</v>
      </c>
      <c r="F363" s="100">
        <f t="shared" si="20"/>
        <v>3000</v>
      </c>
      <c r="G363" s="53" t="s">
        <v>3</v>
      </c>
      <c r="H363" s="55">
        <v>4</v>
      </c>
      <c r="I363" s="54" t="s">
        <v>45</v>
      </c>
      <c r="J363" s="186">
        <v>110</v>
      </c>
      <c r="K363" s="147">
        <v>400</v>
      </c>
      <c r="L363" s="147">
        <v>3000</v>
      </c>
      <c r="M363" s="192">
        <v>37.8102613094321</v>
      </c>
      <c r="N363" s="148">
        <v>2612.4066463525833</v>
      </c>
      <c r="O363" s="149">
        <v>53060.199894042649</v>
      </c>
      <c r="P363" s="158">
        <v>65084.110524285425</v>
      </c>
      <c r="Q363" s="159">
        <v>43628.723179830347</v>
      </c>
      <c r="R363" s="316">
        <v>96688.923073872997</v>
      </c>
      <c r="S363" s="317">
        <v>108712.83370411576</v>
      </c>
      <c r="U363" s="7" t="s">
        <v>2871</v>
      </c>
    </row>
    <row r="364" spans="1:21" ht="16.5" thickBot="1">
      <c r="A364" s="2583" t="s">
        <v>136</v>
      </c>
      <c r="B364" s="2584"/>
      <c r="C364" s="2584"/>
      <c r="D364" s="2584"/>
      <c r="E364" s="2584"/>
      <c r="F364" s="2584"/>
      <c r="G364" s="2584"/>
      <c r="H364" s="2584"/>
      <c r="I364" s="2584"/>
      <c r="J364" s="2584"/>
      <c r="K364" s="2584"/>
      <c r="L364" s="2584"/>
      <c r="M364" s="2584"/>
      <c r="N364" s="2584"/>
      <c r="O364" s="2584"/>
      <c r="P364" s="2584"/>
      <c r="Q364" s="2584"/>
      <c r="R364" s="2584"/>
      <c r="S364" s="2585"/>
      <c r="U364" s="7"/>
    </row>
    <row r="365" spans="1:21" ht="16.5" thickBot="1">
      <c r="A365" s="47" t="s">
        <v>35</v>
      </c>
      <c r="B365" s="48">
        <f>J365</f>
        <v>110</v>
      </c>
      <c r="C365" s="48" t="s">
        <v>3</v>
      </c>
      <c r="D365" s="48">
        <f>K365</f>
        <v>400</v>
      </c>
      <c r="E365" s="48" t="s">
        <v>3</v>
      </c>
      <c r="F365" s="99">
        <f>L365</f>
        <v>600</v>
      </c>
      <c r="G365" s="48" t="s">
        <v>3</v>
      </c>
      <c r="H365" s="48">
        <v>6</v>
      </c>
      <c r="I365" s="49" t="s">
        <v>45</v>
      </c>
      <c r="J365" s="181">
        <v>110</v>
      </c>
      <c r="K365" s="143">
        <v>400</v>
      </c>
      <c r="L365" s="143">
        <v>600</v>
      </c>
      <c r="M365" s="190">
        <v>8.128416287884999</v>
      </c>
      <c r="N365" s="144">
        <v>281.98876569599997</v>
      </c>
      <c r="O365" s="145">
        <v>17197.824550981393</v>
      </c>
      <c r="P365" s="183">
        <v>20543.28817056683</v>
      </c>
      <c r="Q365" s="169">
        <v>9871.7007401553401</v>
      </c>
      <c r="R365" s="312">
        <v>27069.525291136735</v>
      </c>
      <c r="S365" s="313">
        <v>30414.988910722168</v>
      </c>
      <c r="U365" s="7" t="s">
        <v>2872</v>
      </c>
    </row>
    <row r="366" spans="1:21" ht="16.5" thickBot="1">
      <c r="A366" s="50" t="s">
        <v>35</v>
      </c>
      <c r="B366" s="51">
        <f t="shared" ref="B366:B413" si="21">J366</f>
        <v>110</v>
      </c>
      <c r="C366" s="51" t="s">
        <v>3</v>
      </c>
      <c r="D366" s="51">
        <f t="shared" ref="D366:D413" si="22">K366</f>
        <v>400</v>
      </c>
      <c r="E366" s="51" t="s">
        <v>3</v>
      </c>
      <c r="F366" s="99">
        <f t="shared" ref="F366:F413" si="23">L366</f>
        <v>650</v>
      </c>
      <c r="G366" s="51" t="s">
        <v>3</v>
      </c>
      <c r="H366" s="48">
        <v>6</v>
      </c>
      <c r="I366" s="49" t="s">
        <v>45</v>
      </c>
      <c r="J366" s="184">
        <v>110</v>
      </c>
      <c r="K366" s="75">
        <v>400</v>
      </c>
      <c r="L366" s="75">
        <v>650</v>
      </c>
      <c r="M366" s="191">
        <v>8.7823262172618435</v>
      </c>
      <c r="N366" s="87">
        <v>338.38651883520004</v>
      </c>
      <c r="O366" s="123">
        <v>18131.581085755617</v>
      </c>
      <c r="P366" s="121">
        <v>21685.321206870416</v>
      </c>
      <c r="Q366" s="120">
        <v>10474.092577548676</v>
      </c>
      <c r="R366" s="314">
        <v>28605.673663304293</v>
      </c>
      <c r="S366" s="315">
        <v>32159.413784419092</v>
      </c>
      <c r="U366" s="7" t="s">
        <v>2873</v>
      </c>
    </row>
    <row r="367" spans="1:21" ht="16.5" thickBot="1">
      <c r="A367" s="50" t="s">
        <v>35</v>
      </c>
      <c r="B367" s="51">
        <f t="shared" si="21"/>
        <v>110</v>
      </c>
      <c r="C367" s="51" t="s">
        <v>3</v>
      </c>
      <c r="D367" s="51">
        <f t="shared" si="22"/>
        <v>400</v>
      </c>
      <c r="E367" s="51" t="s">
        <v>3</v>
      </c>
      <c r="F367" s="99">
        <f t="shared" si="23"/>
        <v>700</v>
      </c>
      <c r="G367" s="51" t="s">
        <v>3</v>
      </c>
      <c r="H367" s="48">
        <v>6</v>
      </c>
      <c r="I367" s="49" t="s">
        <v>45</v>
      </c>
      <c r="J367" s="184">
        <v>110</v>
      </c>
      <c r="K367" s="75">
        <v>400</v>
      </c>
      <c r="L367" s="75">
        <v>700</v>
      </c>
      <c r="M367" s="191">
        <v>10.313370275392368</v>
      </c>
      <c r="N367" s="87">
        <v>394.78427197439993</v>
      </c>
      <c r="O367" s="123">
        <v>19065.337620529841</v>
      </c>
      <c r="P367" s="121">
        <v>22827.354243174002</v>
      </c>
      <c r="Q367" s="120">
        <v>11307.066052331927</v>
      </c>
      <c r="R367" s="314">
        <v>30372.403672861768</v>
      </c>
      <c r="S367" s="315">
        <v>34134.42029550593</v>
      </c>
      <c r="U367" s="7" t="s">
        <v>2874</v>
      </c>
    </row>
    <row r="368" spans="1:21" ht="16.5" thickBot="1">
      <c r="A368" s="50" t="s">
        <v>35</v>
      </c>
      <c r="B368" s="51">
        <f t="shared" si="21"/>
        <v>110</v>
      </c>
      <c r="C368" s="51" t="s">
        <v>3</v>
      </c>
      <c r="D368" s="51">
        <f t="shared" si="22"/>
        <v>400</v>
      </c>
      <c r="E368" s="51" t="s">
        <v>3</v>
      </c>
      <c r="F368" s="99">
        <f t="shared" si="23"/>
        <v>750</v>
      </c>
      <c r="G368" s="51" t="s">
        <v>3</v>
      </c>
      <c r="H368" s="48">
        <v>6</v>
      </c>
      <c r="I368" s="49" t="s">
        <v>45</v>
      </c>
      <c r="J368" s="184">
        <v>110</v>
      </c>
      <c r="K368" s="75">
        <v>400</v>
      </c>
      <c r="L368" s="75">
        <v>750</v>
      </c>
      <c r="M368" s="191">
        <v>10.96728020476921</v>
      </c>
      <c r="N368" s="87">
        <v>451.18202511359999</v>
      </c>
      <c r="O368" s="123">
        <v>19999.094295697429</v>
      </c>
      <c r="P368" s="121">
        <v>23969.387279477593</v>
      </c>
      <c r="Q368" s="120">
        <v>11909.457889725263</v>
      </c>
      <c r="R368" s="314">
        <v>31908.55218542269</v>
      </c>
      <c r="S368" s="315">
        <v>35878.845169202854</v>
      </c>
      <c r="U368" s="7" t="s">
        <v>2875</v>
      </c>
    </row>
    <row r="369" spans="1:21" ht="16.5" thickBot="1">
      <c r="A369" s="50" t="s">
        <v>35</v>
      </c>
      <c r="B369" s="51">
        <f t="shared" si="21"/>
        <v>110</v>
      </c>
      <c r="C369" s="51" t="s">
        <v>3</v>
      </c>
      <c r="D369" s="51">
        <f t="shared" si="22"/>
        <v>400</v>
      </c>
      <c r="E369" s="51" t="s">
        <v>3</v>
      </c>
      <c r="F369" s="99">
        <f t="shared" si="23"/>
        <v>800</v>
      </c>
      <c r="G369" s="51" t="s">
        <v>3</v>
      </c>
      <c r="H369" s="48">
        <v>6</v>
      </c>
      <c r="I369" s="49" t="s">
        <v>45</v>
      </c>
      <c r="J369" s="184">
        <v>110</v>
      </c>
      <c r="K369" s="75">
        <v>400</v>
      </c>
      <c r="L369" s="75">
        <v>800</v>
      </c>
      <c r="M369" s="191">
        <v>11.621190134146053</v>
      </c>
      <c r="N369" s="87">
        <v>507.5797782528</v>
      </c>
      <c r="O369" s="123">
        <v>20932.850830471652</v>
      </c>
      <c r="P369" s="121">
        <v>25111.420315781183</v>
      </c>
      <c r="Q369" s="120">
        <v>12511.84958672524</v>
      </c>
      <c r="R369" s="314">
        <v>33444.700417196895</v>
      </c>
      <c r="S369" s="315">
        <v>37623.269902506421</v>
      </c>
      <c r="U369" s="7" t="s">
        <v>2876</v>
      </c>
    </row>
    <row r="370" spans="1:21" ht="16.5" thickBot="1">
      <c r="A370" s="50" t="s">
        <v>35</v>
      </c>
      <c r="B370" s="51">
        <f t="shared" si="21"/>
        <v>110</v>
      </c>
      <c r="C370" s="51" t="s">
        <v>3</v>
      </c>
      <c r="D370" s="51">
        <f t="shared" si="22"/>
        <v>400</v>
      </c>
      <c r="E370" s="51" t="s">
        <v>3</v>
      </c>
      <c r="F370" s="99">
        <f t="shared" si="23"/>
        <v>850</v>
      </c>
      <c r="G370" s="51" t="s">
        <v>3</v>
      </c>
      <c r="H370" s="48">
        <v>6</v>
      </c>
      <c r="I370" s="49" t="s">
        <v>45</v>
      </c>
      <c r="J370" s="184">
        <v>110</v>
      </c>
      <c r="K370" s="75">
        <v>400</v>
      </c>
      <c r="L370" s="75">
        <v>850</v>
      </c>
      <c r="M370" s="191">
        <v>12.292140063522895</v>
      </c>
      <c r="N370" s="87">
        <v>563.97753139199995</v>
      </c>
      <c r="O370" s="123">
        <v>21866.60736524588</v>
      </c>
      <c r="P370" s="121">
        <v>26253.453352084769</v>
      </c>
      <c r="Q370" s="120">
        <v>13344.823201901852</v>
      </c>
      <c r="R370" s="314">
        <v>35211.430567147734</v>
      </c>
      <c r="S370" s="315">
        <v>39598.276553986623</v>
      </c>
      <c r="U370" s="7" t="s">
        <v>2877</v>
      </c>
    </row>
    <row r="371" spans="1:21" ht="16.5" thickBot="1">
      <c r="A371" s="50" t="s">
        <v>35</v>
      </c>
      <c r="B371" s="51">
        <f t="shared" si="21"/>
        <v>110</v>
      </c>
      <c r="C371" s="51" t="s">
        <v>3</v>
      </c>
      <c r="D371" s="51">
        <f t="shared" si="22"/>
        <v>400</v>
      </c>
      <c r="E371" s="51" t="s">
        <v>3</v>
      </c>
      <c r="F371" s="99">
        <f t="shared" si="23"/>
        <v>900</v>
      </c>
      <c r="G371" s="51" t="s">
        <v>3</v>
      </c>
      <c r="H371" s="48">
        <v>6</v>
      </c>
      <c r="I371" s="49" t="s">
        <v>45</v>
      </c>
      <c r="J371" s="184">
        <v>110</v>
      </c>
      <c r="K371" s="75">
        <v>400</v>
      </c>
      <c r="L371" s="75">
        <v>900</v>
      </c>
      <c r="M371" s="191">
        <v>12.946049992899738</v>
      </c>
      <c r="N371" s="87">
        <v>620.37528453120001</v>
      </c>
      <c r="O371" s="123">
        <v>22800.363900020104</v>
      </c>
      <c r="P371" s="121">
        <v>27395.486388388355</v>
      </c>
      <c r="Q371" s="120">
        <v>13947.21489890183</v>
      </c>
      <c r="R371" s="314">
        <v>36747.578798921932</v>
      </c>
      <c r="S371" s="315">
        <v>41342.701287290183</v>
      </c>
      <c r="U371" s="7" t="s">
        <v>2878</v>
      </c>
    </row>
    <row r="372" spans="1:21" ht="16.5" thickBot="1">
      <c r="A372" s="50" t="s">
        <v>35</v>
      </c>
      <c r="B372" s="51">
        <f t="shared" si="21"/>
        <v>110</v>
      </c>
      <c r="C372" s="51" t="s">
        <v>3</v>
      </c>
      <c r="D372" s="51">
        <f t="shared" si="22"/>
        <v>400</v>
      </c>
      <c r="E372" s="51" t="s">
        <v>3</v>
      </c>
      <c r="F372" s="99">
        <f t="shared" si="23"/>
        <v>950</v>
      </c>
      <c r="G372" s="51" t="s">
        <v>3</v>
      </c>
      <c r="H372" s="48">
        <v>6</v>
      </c>
      <c r="I372" s="49" t="s">
        <v>45</v>
      </c>
      <c r="J372" s="184">
        <v>110</v>
      </c>
      <c r="K372" s="75">
        <v>400</v>
      </c>
      <c r="L372" s="75">
        <v>950</v>
      </c>
      <c r="M372" s="191">
        <v>13.616999922276579</v>
      </c>
      <c r="N372" s="87">
        <v>676.77303767040007</v>
      </c>
      <c r="O372" s="123">
        <v>23734.120575187695</v>
      </c>
      <c r="P372" s="121">
        <v>28537.519424691942</v>
      </c>
      <c r="Q372" s="120">
        <v>14780.188514078442</v>
      </c>
      <c r="R372" s="314">
        <v>38514.309089266135</v>
      </c>
      <c r="S372" s="315">
        <v>43317.707938770385</v>
      </c>
      <c r="U372" s="7" t="s">
        <v>2879</v>
      </c>
    </row>
    <row r="373" spans="1:21" ht="16.5" thickBot="1">
      <c r="A373" s="50" t="s">
        <v>35</v>
      </c>
      <c r="B373" s="51">
        <f t="shared" si="21"/>
        <v>110</v>
      </c>
      <c r="C373" s="51" t="s">
        <v>3</v>
      </c>
      <c r="D373" s="51">
        <f t="shared" si="22"/>
        <v>400</v>
      </c>
      <c r="E373" s="51" t="s">
        <v>3</v>
      </c>
      <c r="F373" s="99">
        <f t="shared" si="23"/>
        <v>1000</v>
      </c>
      <c r="G373" s="51" t="s">
        <v>3</v>
      </c>
      <c r="H373" s="48">
        <v>6</v>
      </c>
      <c r="I373" s="49" t="s">
        <v>45</v>
      </c>
      <c r="J373" s="184">
        <v>110</v>
      </c>
      <c r="K373" s="75">
        <v>400</v>
      </c>
      <c r="L373" s="75">
        <v>1000</v>
      </c>
      <c r="M373" s="191">
        <v>14.270909851653421</v>
      </c>
      <c r="N373" s="87">
        <v>733.17079080960013</v>
      </c>
      <c r="O373" s="123">
        <v>24667.877109961915</v>
      </c>
      <c r="P373" s="121">
        <v>29679.552460995532</v>
      </c>
      <c r="Q373" s="120">
        <v>15382.580351471779</v>
      </c>
      <c r="R373" s="314">
        <v>40050.457461433696</v>
      </c>
      <c r="S373" s="315">
        <v>45062.132812467309</v>
      </c>
      <c r="U373" s="7" t="s">
        <v>2880</v>
      </c>
    </row>
    <row r="374" spans="1:21" ht="16.5" thickBot="1">
      <c r="A374" s="50" t="s">
        <v>35</v>
      </c>
      <c r="B374" s="51">
        <f t="shared" si="21"/>
        <v>110</v>
      </c>
      <c r="C374" s="51" t="s">
        <v>3</v>
      </c>
      <c r="D374" s="51">
        <f t="shared" si="22"/>
        <v>400</v>
      </c>
      <c r="E374" s="51" t="s">
        <v>3</v>
      </c>
      <c r="F374" s="99">
        <f t="shared" si="23"/>
        <v>1050</v>
      </c>
      <c r="G374" s="51" t="s">
        <v>3</v>
      </c>
      <c r="H374" s="48">
        <v>6</v>
      </c>
      <c r="I374" s="49" t="s">
        <v>45</v>
      </c>
      <c r="J374" s="184">
        <v>110</v>
      </c>
      <c r="K374" s="75">
        <v>400</v>
      </c>
      <c r="L374" s="75">
        <v>1050</v>
      </c>
      <c r="M374" s="191">
        <v>14.941859781030264</v>
      </c>
      <c r="N374" s="87">
        <v>789.56854394879986</v>
      </c>
      <c r="O374" s="123">
        <v>25601.633644736143</v>
      </c>
      <c r="P374" s="121">
        <v>30821.585497299122</v>
      </c>
      <c r="Q374" s="120">
        <v>16215.553826255029</v>
      </c>
      <c r="R374" s="314">
        <v>41817.187470991172</v>
      </c>
      <c r="S374" s="315">
        <v>47037.139323554147</v>
      </c>
      <c r="U374" s="7" t="s">
        <v>2881</v>
      </c>
    </row>
    <row r="375" spans="1:21" ht="16.5" thickBot="1">
      <c r="A375" s="47" t="s">
        <v>35</v>
      </c>
      <c r="B375" s="48">
        <f t="shared" si="21"/>
        <v>110</v>
      </c>
      <c r="C375" s="48" t="s">
        <v>3</v>
      </c>
      <c r="D375" s="48">
        <f t="shared" si="22"/>
        <v>400</v>
      </c>
      <c r="E375" s="48" t="s">
        <v>3</v>
      </c>
      <c r="F375" s="99">
        <f t="shared" si="23"/>
        <v>1100</v>
      </c>
      <c r="G375" s="48" t="s">
        <v>3</v>
      </c>
      <c r="H375" s="48">
        <v>6</v>
      </c>
      <c r="I375" s="49" t="s">
        <v>45</v>
      </c>
      <c r="J375" s="184">
        <v>110</v>
      </c>
      <c r="K375" s="75">
        <v>400</v>
      </c>
      <c r="L375" s="75">
        <v>1100</v>
      </c>
      <c r="M375" s="191">
        <v>15.595769710407104</v>
      </c>
      <c r="N375" s="87">
        <v>845.96629708799992</v>
      </c>
      <c r="O375" s="123">
        <v>26391.497231663332</v>
      </c>
      <c r="P375" s="121">
        <v>31818.847144486506</v>
      </c>
      <c r="Q375" s="120">
        <v>16817.945663648366</v>
      </c>
      <c r="R375" s="314">
        <v>43209.442895311702</v>
      </c>
      <c r="S375" s="315">
        <v>48636.792808134873</v>
      </c>
      <c r="U375" s="7" t="s">
        <v>2882</v>
      </c>
    </row>
    <row r="376" spans="1:21" ht="16.5" thickBot="1">
      <c r="A376" s="50" t="s">
        <v>35</v>
      </c>
      <c r="B376" s="51">
        <f t="shared" si="21"/>
        <v>110</v>
      </c>
      <c r="C376" s="51" t="s">
        <v>3</v>
      </c>
      <c r="D376" s="51">
        <f t="shared" si="22"/>
        <v>400</v>
      </c>
      <c r="E376" s="51" t="s">
        <v>3</v>
      </c>
      <c r="F376" s="99">
        <f t="shared" si="23"/>
        <v>1150</v>
      </c>
      <c r="G376" s="51" t="s">
        <v>3</v>
      </c>
      <c r="H376" s="48">
        <v>6</v>
      </c>
      <c r="I376" s="49" t="s">
        <v>45</v>
      </c>
      <c r="J376" s="184">
        <v>110</v>
      </c>
      <c r="K376" s="75">
        <v>400</v>
      </c>
      <c r="L376" s="75">
        <v>1150</v>
      </c>
      <c r="M376" s="191">
        <v>16.249679639783949</v>
      </c>
      <c r="N376" s="87">
        <v>902.36405022719998</v>
      </c>
      <c r="O376" s="123">
        <v>27541.093398798159</v>
      </c>
      <c r="P376" s="121">
        <v>33178.037404857758</v>
      </c>
      <c r="Q376" s="120">
        <v>17420.33736064834</v>
      </c>
      <c r="R376" s="314">
        <v>44961.430759446499</v>
      </c>
      <c r="S376" s="315">
        <v>50598.374765506102</v>
      </c>
      <c r="U376" s="7" t="s">
        <v>2883</v>
      </c>
    </row>
    <row r="377" spans="1:21" ht="16.5" thickBot="1">
      <c r="A377" s="50" t="s">
        <v>35</v>
      </c>
      <c r="B377" s="51">
        <f t="shared" si="21"/>
        <v>110</v>
      </c>
      <c r="C377" s="51" t="s">
        <v>3</v>
      </c>
      <c r="D377" s="51">
        <f t="shared" si="22"/>
        <v>400</v>
      </c>
      <c r="E377" s="51" t="s">
        <v>3</v>
      </c>
      <c r="F377" s="99">
        <f t="shared" si="23"/>
        <v>1200</v>
      </c>
      <c r="G377" s="51" t="s">
        <v>3</v>
      </c>
      <c r="H377" s="48">
        <v>6</v>
      </c>
      <c r="I377" s="49" t="s">
        <v>45</v>
      </c>
      <c r="J377" s="184">
        <v>110</v>
      </c>
      <c r="K377" s="75">
        <v>400</v>
      </c>
      <c r="L377" s="75">
        <v>1200</v>
      </c>
      <c r="M377" s="191">
        <v>17.038379569160789</v>
      </c>
      <c r="N377" s="87">
        <v>958.76180336639993</v>
      </c>
      <c r="O377" s="123">
        <v>28597.87607555768</v>
      </c>
      <c r="P377" s="121">
        <v>34443.847687636022</v>
      </c>
      <c r="Q377" s="120">
        <v>18253.310975824952</v>
      </c>
      <c r="R377" s="314">
        <v>46851.187051382629</v>
      </c>
      <c r="S377" s="315">
        <v>52697.15866346097</v>
      </c>
      <c r="U377" s="7" t="s">
        <v>2884</v>
      </c>
    </row>
    <row r="378" spans="1:21" ht="16.5" thickBot="1">
      <c r="A378" s="50" t="s">
        <v>35</v>
      </c>
      <c r="B378" s="51">
        <f t="shared" si="21"/>
        <v>110</v>
      </c>
      <c r="C378" s="51" t="s">
        <v>3</v>
      </c>
      <c r="D378" s="51">
        <f t="shared" si="22"/>
        <v>400</v>
      </c>
      <c r="E378" s="51" t="s">
        <v>3</v>
      </c>
      <c r="F378" s="99">
        <f t="shared" si="23"/>
        <v>1250</v>
      </c>
      <c r="G378" s="51" t="s">
        <v>3</v>
      </c>
      <c r="H378" s="48">
        <v>6</v>
      </c>
      <c r="I378" s="49" t="s">
        <v>45</v>
      </c>
      <c r="J378" s="184">
        <v>110</v>
      </c>
      <c r="K378" s="75">
        <v>400</v>
      </c>
      <c r="L378" s="75">
        <v>1250</v>
      </c>
      <c r="M378" s="191">
        <v>17.69228949853763</v>
      </c>
      <c r="N378" s="87">
        <v>1015.1595565056</v>
      </c>
      <c r="O378" s="123">
        <v>29531.632610331904</v>
      </c>
      <c r="P378" s="121">
        <v>35585.880723939605</v>
      </c>
      <c r="Q378" s="120">
        <v>18855.702672824929</v>
      </c>
      <c r="R378" s="314">
        <v>48387.335283156834</v>
      </c>
      <c r="S378" s="315">
        <v>54441.58339676453</v>
      </c>
      <c r="U378" s="7" t="s">
        <v>2885</v>
      </c>
    </row>
    <row r="379" spans="1:21" ht="16.5" thickBot="1">
      <c r="A379" s="50" t="s">
        <v>35</v>
      </c>
      <c r="B379" s="51">
        <f t="shared" si="21"/>
        <v>110</v>
      </c>
      <c r="C379" s="51" t="s">
        <v>3</v>
      </c>
      <c r="D379" s="51">
        <f t="shared" si="22"/>
        <v>400</v>
      </c>
      <c r="E379" s="51" t="s">
        <v>3</v>
      </c>
      <c r="F379" s="99">
        <f t="shared" si="23"/>
        <v>1300</v>
      </c>
      <c r="G379" s="51" t="s">
        <v>3</v>
      </c>
      <c r="H379" s="48">
        <v>6</v>
      </c>
      <c r="I379" s="49" t="s">
        <v>45</v>
      </c>
      <c r="J379" s="184">
        <v>110</v>
      </c>
      <c r="K379" s="75">
        <v>400</v>
      </c>
      <c r="L379" s="75">
        <v>1300</v>
      </c>
      <c r="M379" s="191">
        <v>18.363239427914475</v>
      </c>
      <c r="N379" s="87">
        <v>1071.5573096447999</v>
      </c>
      <c r="O379" s="123">
        <v>30465.389145106132</v>
      </c>
      <c r="P379" s="121">
        <v>36727.913760243195</v>
      </c>
      <c r="Q379" s="120">
        <v>19688.676288001541</v>
      </c>
      <c r="R379" s="314">
        <v>50154.065433107673</v>
      </c>
      <c r="S379" s="315">
        <v>56416.590048244732</v>
      </c>
      <c r="U379" s="7" t="s">
        <v>2886</v>
      </c>
    </row>
    <row r="380" spans="1:21" ht="16.5" thickBot="1">
      <c r="A380" s="50" t="s">
        <v>35</v>
      </c>
      <c r="B380" s="51">
        <f t="shared" si="21"/>
        <v>110</v>
      </c>
      <c r="C380" s="51" t="s">
        <v>3</v>
      </c>
      <c r="D380" s="51">
        <f t="shared" si="22"/>
        <v>400</v>
      </c>
      <c r="E380" s="51" t="s">
        <v>3</v>
      </c>
      <c r="F380" s="99">
        <f t="shared" si="23"/>
        <v>1350</v>
      </c>
      <c r="G380" s="51" t="s">
        <v>3</v>
      </c>
      <c r="H380" s="48">
        <v>6</v>
      </c>
      <c r="I380" s="49" t="s">
        <v>45</v>
      </c>
      <c r="J380" s="184">
        <v>110</v>
      </c>
      <c r="K380" s="75">
        <v>400</v>
      </c>
      <c r="L380" s="75">
        <v>1350</v>
      </c>
      <c r="M380" s="191">
        <v>19.017149357291316</v>
      </c>
      <c r="N380" s="87">
        <v>1127.9550627839999</v>
      </c>
      <c r="O380" s="123">
        <v>31399.145820273581</v>
      </c>
      <c r="P380" s="121">
        <v>37869.946796546785</v>
      </c>
      <c r="Q380" s="120">
        <v>20291.067985001515</v>
      </c>
      <c r="R380" s="314">
        <v>51690.213805275096</v>
      </c>
      <c r="S380" s="315">
        <v>58161.0147815483</v>
      </c>
      <c r="U380" s="7" t="s">
        <v>2887</v>
      </c>
    </row>
    <row r="381" spans="1:21" ht="16.5" thickBot="1">
      <c r="A381" s="50" t="s">
        <v>35</v>
      </c>
      <c r="B381" s="51">
        <f t="shared" si="21"/>
        <v>110</v>
      </c>
      <c r="C381" s="51" t="s">
        <v>3</v>
      </c>
      <c r="D381" s="51">
        <f t="shared" si="22"/>
        <v>400</v>
      </c>
      <c r="E381" s="51" t="s">
        <v>3</v>
      </c>
      <c r="F381" s="99">
        <f t="shared" si="23"/>
        <v>1400</v>
      </c>
      <c r="G381" s="51" t="s">
        <v>3</v>
      </c>
      <c r="H381" s="48">
        <v>6</v>
      </c>
      <c r="I381" s="49" t="s">
        <v>45</v>
      </c>
      <c r="J381" s="184">
        <v>110</v>
      </c>
      <c r="K381" s="75">
        <v>400</v>
      </c>
      <c r="L381" s="75">
        <v>1400</v>
      </c>
      <c r="M381" s="191">
        <v>19.688099286668159</v>
      </c>
      <c r="N381" s="87">
        <v>1184.3528159232001</v>
      </c>
      <c r="O381" s="123">
        <v>32332.902355047943</v>
      </c>
      <c r="P381" s="121">
        <v>39011.979832850375</v>
      </c>
      <c r="Q381" s="120">
        <v>21124.04160017813</v>
      </c>
      <c r="R381" s="314">
        <v>53456.943955226074</v>
      </c>
      <c r="S381" s="315">
        <v>60136.021433028509</v>
      </c>
      <c r="U381" s="7" t="s">
        <v>2888</v>
      </c>
    </row>
    <row r="382" spans="1:21" ht="16.5" thickBot="1">
      <c r="A382" s="50" t="s">
        <v>35</v>
      </c>
      <c r="B382" s="51">
        <f t="shared" si="21"/>
        <v>110</v>
      </c>
      <c r="C382" s="51" t="s">
        <v>3</v>
      </c>
      <c r="D382" s="51">
        <f t="shared" si="22"/>
        <v>400</v>
      </c>
      <c r="E382" s="51" t="s">
        <v>3</v>
      </c>
      <c r="F382" s="99">
        <f t="shared" si="23"/>
        <v>1450</v>
      </c>
      <c r="G382" s="51" t="s">
        <v>3</v>
      </c>
      <c r="H382" s="48">
        <v>6</v>
      </c>
      <c r="I382" s="49" t="s">
        <v>45</v>
      </c>
      <c r="J382" s="184">
        <v>110</v>
      </c>
      <c r="K382" s="75">
        <v>400</v>
      </c>
      <c r="L382" s="75">
        <v>1450</v>
      </c>
      <c r="M382" s="191">
        <v>20.342009216045003</v>
      </c>
      <c r="N382" s="87">
        <v>1240.7505690624</v>
      </c>
      <c r="O382" s="123">
        <v>33266.658889822167</v>
      </c>
      <c r="P382" s="121">
        <v>40154.012869153958</v>
      </c>
      <c r="Q382" s="120">
        <v>21726.433297178104</v>
      </c>
      <c r="R382" s="314">
        <v>54993.092187000271</v>
      </c>
      <c r="S382" s="315">
        <v>61880.446166332062</v>
      </c>
      <c r="U382" s="7" t="s">
        <v>2889</v>
      </c>
    </row>
    <row r="383" spans="1:21" ht="16.5" thickBot="1">
      <c r="A383" s="50" t="s">
        <v>35</v>
      </c>
      <c r="B383" s="51">
        <f t="shared" si="21"/>
        <v>110</v>
      </c>
      <c r="C383" s="51" t="s">
        <v>3</v>
      </c>
      <c r="D383" s="51">
        <f t="shared" si="22"/>
        <v>400</v>
      </c>
      <c r="E383" s="51" t="s">
        <v>3</v>
      </c>
      <c r="F383" s="99">
        <f t="shared" si="23"/>
        <v>1500</v>
      </c>
      <c r="G383" s="51" t="s">
        <v>3</v>
      </c>
      <c r="H383" s="48">
        <v>6</v>
      </c>
      <c r="I383" s="49" t="s">
        <v>45</v>
      </c>
      <c r="J383" s="184">
        <v>110</v>
      </c>
      <c r="K383" s="75">
        <v>400</v>
      </c>
      <c r="L383" s="75">
        <v>1500</v>
      </c>
      <c r="M383" s="191">
        <v>21.240239337721846</v>
      </c>
      <c r="N383" s="87">
        <v>1297.1483222016</v>
      </c>
      <c r="O383" s="123">
        <v>35045.810482913563</v>
      </c>
      <c r="P383" s="121">
        <v>42122.430438951946</v>
      </c>
      <c r="Q383" s="120">
        <v>22559.406912354716</v>
      </c>
      <c r="R383" s="314">
        <v>57605.217395268279</v>
      </c>
      <c r="S383" s="315">
        <v>64681.837351306662</v>
      </c>
      <c r="U383" s="7" t="s">
        <v>2890</v>
      </c>
    </row>
    <row r="384" spans="1:21" ht="16.5" thickBot="1">
      <c r="A384" s="50" t="s">
        <v>35</v>
      </c>
      <c r="B384" s="51">
        <f t="shared" si="21"/>
        <v>110</v>
      </c>
      <c r="C384" s="51" t="s">
        <v>3</v>
      </c>
      <c r="D384" s="51">
        <f t="shared" si="22"/>
        <v>400</v>
      </c>
      <c r="E384" s="51" t="s">
        <v>3</v>
      </c>
      <c r="F384" s="99">
        <f t="shared" si="23"/>
        <v>1550</v>
      </c>
      <c r="G384" s="51" t="s">
        <v>3</v>
      </c>
      <c r="H384" s="48">
        <v>6</v>
      </c>
      <c r="I384" s="49" t="s">
        <v>45</v>
      </c>
      <c r="J384" s="184">
        <v>110</v>
      </c>
      <c r="K384" s="75">
        <v>400</v>
      </c>
      <c r="L384" s="75">
        <v>1550</v>
      </c>
      <c r="M384" s="191">
        <v>21.894149267098687</v>
      </c>
      <c r="N384" s="87">
        <v>1353.5460753408001</v>
      </c>
      <c r="O384" s="123">
        <v>35979.567158081147</v>
      </c>
      <c r="P384" s="121">
        <v>43264.463475255536</v>
      </c>
      <c r="Q384" s="120">
        <v>23161.79860935469</v>
      </c>
      <c r="R384" s="314">
        <v>59141.36576743584</v>
      </c>
      <c r="S384" s="315">
        <v>66426.262084610222</v>
      </c>
      <c r="U384" s="7" t="s">
        <v>2891</v>
      </c>
    </row>
    <row r="385" spans="1:21" ht="16.5" thickBot="1">
      <c r="A385" s="47" t="s">
        <v>35</v>
      </c>
      <c r="B385" s="48">
        <f t="shared" si="21"/>
        <v>110</v>
      </c>
      <c r="C385" s="48" t="s">
        <v>3</v>
      </c>
      <c r="D385" s="48">
        <f t="shared" si="22"/>
        <v>400</v>
      </c>
      <c r="E385" s="48" t="s">
        <v>3</v>
      </c>
      <c r="F385" s="99">
        <f t="shared" si="23"/>
        <v>1600</v>
      </c>
      <c r="G385" s="48" t="s">
        <v>3</v>
      </c>
      <c r="H385" s="48">
        <v>6</v>
      </c>
      <c r="I385" s="49" t="s">
        <v>45</v>
      </c>
      <c r="J385" s="184">
        <v>110</v>
      </c>
      <c r="K385" s="75">
        <v>400</v>
      </c>
      <c r="L385" s="75">
        <v>1600</v>
      </c>
      <c r="M385" s="191">
        <v>22.548059196475528</v>
      </c>
      <c r="N385" s="87">
        <v>1409.9438284800001</v>
      </c>
      <c r="O385" s="123">
        <v>36913.323692855374</v>
      </c>
      <c r="P385" s="121">
        <v>44406.496511559126</v>
      </c>
      <c r="Q385" s="120">
        <v>23764.190446748027</v>
      </c>
      <c r="R385" s="314">
        <v>60677.514139603401</v>
      </c>
      <c r="S385" s="315">
        <v>68170.686958307153</v>
      </c>
      <c r="U385" s="7" t="s">
        <v>2892</v>
      </c>
    </row>
    <row r="386" spans="1:21" ht="16.5" thickBot="1">
      <c r="A386" s="50" t="s">
        <v>35</v>
      </c>
      <c r="B386" s="51">
        <f t="shared" si="21"/>
        <v>110</v>
      </c>
      <c r="C386" s="51" t="s">
        <v>3</v>
      </c>
      <c r="D386" s="51">
        <f t="shared" si="22"/>
        <v>400</v>
      </c>
      <c r="E386" s="51" t="s">
        <v>3</v>
      </c>
      <c r="F386" s="99">
        <f t="shared" si="23"/>
        <v>1650</v>
      </c>
      <c r="G386" s="51" t="s">
        <v>3</v>
      </c>
      <c r="H386" s="48">
        <v>6</v>
      </c>
      <c r="I386" s="49" t="s">
        <v>45</v>
      </c>
      <c r="J386" s="184">
        <v>110</v>
      </c>
      <c r="K386" s="75">
        <v>400</v>
      </c>
      <c r="L386" s="75">
        <v>1650</v>
      </c>
      <c r="M386" s="191">
        <v>23.219009125852367</v>
      </c>
      <c r="N386" s="87">
        <v>1466.3415816192003</v>
      </c>
      <c r="O386" s="123">
        <v>37847.080227629594</v>
      </c>
      <c r="P386" s="121">
        <v>45548.529547862709</v>
      </c>
      <c r="Q386" s="120">
        <v>24597.164061924639</v>
      </c>
      <c r="R386" s="314">
        <v>62444.244289554234</v>
      </c>
      <c r="S386" s="315">
        <v>70145.693609787355</v>
      </c>
      <c r="U386" s="7" t="s">
        <v>2893</v>
      </c>
    </row>
    <row r="387" spans="1:21" ht="16.5" thickBot="1">
      <c r="A387" s="50" t="s">
        <v>35</v>
      </c>
      <c r="B387" s="51">
        <f t="shared" si="21"/>
        <v>110</v>
      </c>
      <c r="C387" s="51" t="s">
        <v>3</v>
      </c>
      <c r="D387" s="51">
        <f t="shared" si="22"/>
        <v>400</v>
      </c>
      <c r="E387" s="51" t="s">
        <v>3</v>
      </c>
      <c r="F387" s="99">
        <f t="shared" si="23"/>
        <v>1700</v>
      </c>
      <c r="G387" s="51" t="s">
        <v>3</v>
      </c>
      <c r="H387" s="48">
        <v>6</v>
      </c>
      <c r="I387" s="49" t="s">
        <v>45</v>
      </c>
      <c r="J387" s="184">
        <v>110</v>
      </c>
      <c r="K387" s="75">
        <v>400</v>
      </c>
      <c r="L387" s="75">
        <v>1700</v>
      </c>
      <c r="M387" s="191">
        <v>23.872919055229211</v>
      </c>
      <c r="N387" s="87">
        <v>1522.7393347583998</v>
      </c>
      <c r="O387" s="123">
        <v>38780.836762403822</v>
      </c>
      <c r="P387" s="121">
        <v>46690.562724559662</v>
      </c>
      <c r="Q387" s="120">
        <v>25199.55575892462</v>
      </c>
      <c r="R387" s="314">
        <v>63980.392521328438</v>
      </c>
      <c r="S387" s="315">
        <v>71890.118483484286</v>
      </c>
      <c r="U387" s="7" t="s">
        <v>2894</v>
      </c>
    </row>
    <row r="388" spans="1:21" ht="16.5" thickBot="1">
      <c r="A388" s="50" t="s">
        <v>35</v>
      </c>
      <c r="B388" s="51">
        <f t="shared" si="21"/>
        <v>110</v>
      </c>
      <c r="C388" s="51" t="s">
        <v>3</v>
      </c>
      <c r="D388" s="51">
        <f t="shared" si="22"/>
        <v>400</v>
      </c>
      <c r="E388" s="51" t="s">
        <v>3</v>
      </c>
      <c r="F388" s="99">
        <f t="shared" si="23"/>
        <v>1750</v>
      </c>
      <c r="G388" s="51" t="s">
        <v>3</v>
      </c>
      <c r="H388" s="48">
        <v>6</v>
      </c>
      <c r="I388" s="49" t="s">
        <v>45</v>
      </c>
      <c r="J388" s="184">
        <v>110</v>
      </c>
      <c r="K388" s="75">
        <v>400</v>
      </c>
      <c r="L388" s="75">
        <v>1750</v>
      </c>
      <c r="M388" s="191">
        <v>24.54386898460605</v>
      </c>
      <c r="N388" s="87">
        <v>1579.1370878975997</v>
      </c>
      <c r="O388" s="123">
        <v>39714.593437571406</v>
      </c>
      <c r="P388" s="121">
        <v>47832.595760863245</v>
      </c>
      <c r="Q388" s="120">
        <v>26032.529374101232</v>
      </c>
      <c r="R388" s="314">
        <v>65747.122811672642</v>
      </c>
      <c r="S388" s="315">
        <v>73865.125134964474</v>
      </c>
      <c r="U388" s="7" t="s">
        <v>2895</v>
      </c>
    </row>
    <row r="389" spans="1:21" ht="16.5" thickBot="1">
      <c r="A389" s="50" t="s">
        <v>35</v>
      </c>
      <c r="B389" s="51">
        <f t="shared" si="21"/>
        <v>110</v>
      </c>
      <c r="C389" s="51" t="s">
        <v>3</v>
      </c>
      <c r="D389" s="51">
        <f t="shared" si="22"/>
        <v>400</v>
      </c>
      <c r="E389" s="51" t="s">
        <v>3</v>
      </c>
      <c r="F389" s="99">
        <f t="shared" si="23"/>
        <v>1800</v>
      </c>
      <c r="G389" s="51" t="s">
        <v>3</v>
      </c>
      <c r="H389" s="48">
        <v>6</v>
      </c>
      <c r="I389" s="49" t="s">
        <v>45</v>
      </c>
      <c r="J389" s="184">
        <v>110</v>
      </c>
      <c r="K389" s="75">
        <v>400</v>
      </c>
      <c r="L389" s="75">
        <v>1800</v>
      </c>
      <c r="M389" s="191">
        <v>25.197778913982894</v>
      </c>
      <c r="N389" s="87">
        <v>1635.5348410367999</v>
      </c>
      <c r="O389" s="123">
        <v>40648.349972345633</v>
      </c>
      <c r="P389" s="121">
        <v>48974.628797166835</v>
      </c>
      <c r="Q389" s="120">
        <v>26634.921071101206</v>
      </c>
      <c r="R389" s="314">
        <v>67283.271043446846</v>
      </c>
      <c r="S389" s="315">
        <v>75609.549868268048</v>
      </c>
      <c r="U389" s="7" t="s">
        <v>2896</v>
      </c>
    </row>
    <row r="390" spans="1:21" ht="16.5" thickBot="1">
      <c r="A390" s="50" t="s">
        <v>35</v>
      </c>
      <c r="B390" s="51">
        <f t="shared" si="21"/>
        <v>110</v>
      </c>
      <c r="C390" s="51" t="s">
        <v>3</v>
      </c>
      <c r="D390" s="51">
        <f t="shared" si="22"/>
        <v>400</v>
      </c>
      <c r="E390" s="51" t="s">
        <v>3</v>
      </c>
      <c r="F390" s="99">
        <f t="shared" si="23"/>
        <v>1850</v>
      </c>
      <c r="G390" s="51" t="s">
        <v>3</v>
      </c>
      <c r="H390" s="48">
        <v>6</v>
      </c>
      <c r="I390" s="49" t="s">
        <v>45</v>
      </c>
      <c r="J390" s="184">
        <v>110</v>
      </c>
      <c r="K390" s="75">
        <v>400</v>
      </c>
      <c r="L390" s="75">
        <v>1850</v>
      </c>
      <c r="M390" s="191">
        <v>25.86872884335974</v>
      </c>
      <c r="N390" s="87">
        <v>1691.9325941759998</v>
      </c>
      <c r="O390" s="123">
        <v>41582.106507119854</v>
      </c>
      <c r="P390" s="121">
        <v>50116.661833470425</v>
      </c>
      <c r="Q390" s="120">
        <v>27467.894686277818</v>
      </c>
      <c r="R390" s="314">
        <v>69050.001193397678</v>
      </c>
      <c r="S390" s="315">
        <v>77584.556519748236</v>
      </c>
      <c r="U390" s="7" t="s">
        <v>2897</v>
      </c>
    </row>
    <row r="391" spans="1:21" ht="16.5" thickBot="1">
      <c r="A391" s="50" t="s">
        <v>35</v>
      </c>
      <c r="B391" s="51">
        <f t="shared" si="21"/>
        <v>110</v>
      </c>
      <c r="C391" s="51" t="s">
        <v>3</v>
      </c>
      <c r="D391" s="51">
        <f t="shared" si="22"/>
        <v>400</v>
      </c>
      <c r="E391" s="51" t="s">
        <v>3</v>
      </c>
      <c r="F391" s="99">
        <f t="shared" si="23"/>
        <v>1900</v>
      </c>
      <c r="G391" s="51" t="s">
        <v>3</v>
      </c>
      <c r="H391" s="48">
        <v>6</v>
      </c>
      <c r="I391" s="49" t="s">
        <v>45</v>
      </c>
      <c r="J391" s="184">
        <v>110</v>
      </c>
      <c r="K391" s="75">
        <v>400</v>
      </c>
      <c r="L391" s="75">
        <v>1900</v>
      </c>
      <c r="M391" s="191">
        <v>26.522638772736585</v>
      </c>
      <c r="N391" s="87">
        <v>1748.3303473152</v>
      </c>
      <c r="O391" s="123">
        <v>42515.863041894081</v>
      </c>
      <c r="P391" s="121">
        <v>51258.694869774008</v>
      </c>
      <c r="Q391" s="120">
        <v>28070.286383277791</v>
      </c>
      <c r="R391" s="314">
        <v>70586.149425171869</v>
      </c>
      <c r="S391" s="315">
        <v>79328.981253051796</v>
      </c>
      <c r="U391" s="7" t="s">
        <v>2898</v>
      </c>
    </row>
    <row r="392" spans="1:21" ht="16.5" thickBot="1">
      <c r="A392" s="50" t="s">
        <v>35</v>
      </c>
      <c r="B392" s="51">
        <f t="shared" si="21"/>
        <v>110</v>
      </c>
      <c r="C392" s="51" t="s">
        <v>3</v>
      </c>
      <c r="D392" s="51">
        <f t="shared" si="22"/>
        <v>400</v>
      </c>
      <c r="E392" s="51" t="s">
        <v>3</v>
      </c>
      <c r="F392" s="99">
        <f t="shared" si="23"/>
        <v>1950</v>
      </c>
      <c r="G392" s="51" t="s">
        <v>3</v>
      </c>
      <c r="H392" s="48">
        <v>6</v>
      </c>
      <c r="I392" s="49" t="s">
        <v>45</v>
      </c>
      <c r="J392" s="184">
        <v>110</v>
      </c>
      <c r="K392" s="75">
        <v>400</v>
      </c>
      <c r="L392" s="75">
        <v>1950</v>
      </c>
      <c r="M392" s="191">
        <v>27.294298702113426</v>
      </c>
      <c r="N392" s="87">
        <v>1804.7281004544</v>
      </c>
      <c r="O392" s="123">
        <v>43572.64585904697</v>
      </c>
      <c r="P392" s="121">
        <v>52524.505152552272</v>
      </c>
      <c r="Q392" s="120">
        <v>28672.678220671129</v>
      </c>
      <c r="R392" s="314">
        <v>72245.324079718092</v>
      </c>
      <c r="S392" s="315">
        <v>81197.183373223408</v>
      </c>
      <c r="U392" s="7" t="s">
        <v>2899</v>
      </c>
    </row>
    <row r="393" spans="1:21" ht="16.5" thickBot="1">
      <c r="A393" s="50" t="s">
        <v>35</v>
      </c>
      <c r="B393" s="51">
        <f t="shared" si="21"/>
        <v>110</v>
      </c>
      <c r="C393" s="51" t="s">
        <v>3</v>
      </c>
      <c r="D393" s="51">
        <f t="shared" si="22"/>
        <v>400</v>
      </c>
      <c r="E393" s="51" t="s">
        <v>3</v>
      </c>
      <c r="F393" s="99">
        <f t="shared" si="23"/>
        <v>2000</v>
      </c>
      <c r="G393" s="51" t="s">
        <v>3</v>
      </c>
      <c r="H393" s="48">
        <v>6</v>
      </c>
      <c r="I393" s="49" t="s">
        <v>45</v>
      </c>
      <c r="J393" s="184">
        <v>110</v>
      </c>
      <c r="K393" s="75">
        <v>400</v>
      </c>
      <c r="L393" s="75">
        <v>2000</v>
      </c>
      <c r="M393" s="191">
        <v>28.05681103149027</v>
      </c>
      <c r="N393" s="87">
        <v>1861.1258535935999</v>
      </c>
      <c r="O393" s="123">
        <v>44736.945423036421</v>
      </c>
      <c r="P393" s="121">
        <v>53979.218916375161</v>
      </c>
      <c r="Q393" s="120">
        <v>29505.651695454384</v>
      </c>
      <c r="R393" s="314">
        <v>74242.597118490812</v>
      </c>
      <c r="S393" s="315">
        <v>83484.870611829538</v>
      </c>
      <c r="U393" s="7" t="s">
        <v>2900</v>
      </c>
    </row>
    <row r="394" spans="1:21" ht="16.5" thickBot="1">
      <c r="A394" s="50" t="s">
        <v>35</v>
      </c>
      <c r="B394" s="51">
        <f t="shared" si="21"/>
        <v>110</v>
      </c>
      <c r="C394" s="51" t="s">
        <v>3</v>
      </c>
      <c r="D394" s="51">
        <f t="shared" si="22"/>
        <v>400</v>
      </c>
      <c r="E394" s="51" t="s">
        <v>3</v>
      </c>
      <c r="F394" s="99">
        <f t="shared" si="23"/>
        <v>2050</v>
      </c>
      <c r="G394" s="51" t="s">
        <v>3</v>
      </c>
      <c r="H394" s="48">
        <v>6</v>
      </c>
      <c r="I394" s="49" t="s">
        <v>45</v>
      </c>
      <c r="J394" s="184">
        <v>110</v>
      </c>
      <c r="K394" s="75">
        <v>400</v>
      </c>
      <c r="L394" s="75">
        <v>2050</v>
      </c>
      <c r="M394" s="191">
        <v>28.710720960867107</v>
      </c>
      <c r="N394" s="87">
        <v>1917.5236067327999</v>
      </c>
      <c r="O394" s="123">
        <v>45670.701957810648</v>
      </c>
      <c r="P394" s="121">
        <v>55121.251952678751</v>
      </c>
      <c r="Q394" s="120">
        <v>30108.043532847722</v>
      </c>
      <c r="R394" s="314">
        <v>75778.745490658373</v>
      </c>
      <c r="S394" s="315">
        <v>85229.295485526469</v>
      </c>
      <c r="U394" s="7" t="s">
        <v>2901</v>
      </c>
    </row>
    <row r="395" spans="1:21" ht="16.5" thickBot="1">
      <c r="A395" s="47" t="s">
        <v>35</v>
      </c>
      <c r="B395" s="48">
        <f t="shared" si="21"/>
        <v>110</v>
      </c>
      <c r="C395" s="48" t="s">
        <v>3</v>
      </c>
      <c r="D395" s="48">
        <f t="shared" si="22"/>
        <v>400</v>
      </c>
      <c r="E395" s="48" t="s">
        <v>3</v>
      </c>
      <c r="F395" s="99">
        <f t="shared" si="23"/>
        <v>2100</v>
      </c>
      <c r="G395" s="48" t="s">
        <v>3</v>
      </c>
      <c r="H395" s="48">
        <v>6</v>
      </c>
      <c r="I395" s="49" t="s">
        <v>45</v>
      </c>
      <c r="J395" s="184">
        <v>110</v>
      </c>
      <c r="K395" s="75">
        <v>400</v>
      </c>
      <c r="L395" s="75">
        <v>2100</v>
      </c>
      <c r="M395" s="191">
        <v>29.381670890243949</v>
      </c>
      <c r="N395" s="87">
        <v>1973.921359872</v>
      </c>
      <c r="O395" s="123">
        <v>46604.458632978232</v>
      </c>
      <c r="P395" s="121">
        <v>56263.284988982334</v>
      </c>
      <c r="Q395" s="120">
        <v>30941.01700763097</v>
      </c>
      <c r="R395" s="314">
        <v>77545.475640609206</v>
      </c>
      <c r="S395" s="315">
        <v>87204.3019966133</v>
      </c>
      <c r="U395" s="7" t="s">
        <v>2902</v>
      </c>
    </row>
    <row r="396" spans="1:21" ht="16.5" thickBot="1">
      <c r="A396" s="50" t="s">
        <v>35</v>
      </c>
      <c r="B396" s="51">
        <f t="shared" si="21"/>
        <v>110</v>
      </c>
      <c r="C396" s="51" t="s">
        <v>3</v>
      </c>
      <c r="D396" s="51">
        <f t="shared" si="22"/>
        <v>400</v>
      </c>
      <c r="E396" s="51" t="s">
        <v>3</v>
      </c>
      <c r="F396" s="99">
        <f t="shared" si="23"/>
        <v>2150</v>
      </c>
      <c r="G396" s="51" t="s">
        <v>3</v>
      </c>
      <c r="H396" s="48">
        <v>6</v>
      </c>
      <c r="I396" s="49" t="s">
        <v>45</v>
      </c>
      <c r="J396" s="184">
        <v>110</v>
      </c>
      <c r="K396" s="75">
        <v>400</v>
      </c>
      <c r="L396" s="75">
        <v>2150</v>
      </c>
      <c r="M396" s="191">
        <v>30.03558081962079</v>
      </c>
      <c r="N396" s="87">
        <v>2030.3191130112</v>
      </c>
      <c r="O396" s="123">
        <v>47538.21516775246</v>
      </c>
      <c r="P396" s="121">
        <v>57405.318025285924</v>
      </c>
      <c r="Q396" s="120">
        <v>31543.408845024307</v>
      </c>
      <c r="R396" s="314">
        <v>79081.624012776767</v>
      </c>
      <c r="S396" s="315">
        <v>88948.726870310231</v>
      </c>
      <c r="U396" s="7" t="s">
        <v>2903</v>
      </c>
    </row>
    <row r="397" spans="1:21" ht="16.5" thickBot="1">
      <c r="A397" s="50" t="s">
        <v>35</v>
      </c>
      <c r="B397" s="51">
        <f t="shared" si="21"/>
        <v>110</v>
      </c>
      <c r="C397" s="51" t="s">
        <v>3</v>
      </c>
      <c r="D397" s="51">
        <f t="shared" si="22"/>
        <v>400</v>
      </c>
      <c r="E397" s="51" t="s">
        <v>3</v>
      </c>
      <c r="F397" s="99">
        <f t="shared" si="23"/>
        <v>2200</v>
      </c>
      <c r="G397" s="51" t="s">
        <v>3</v>
      </c>
      <c r="H397" s="48">
        <v>6</v>
      </c>
      <c r="I397" s="49" t="s">
        <v>45</v>
      </c>
      <c r="J397" s="184">
        <v>110</v>
      </c>
      <c r="K397" s="75">
        <v>400</v>
      </c>
      <c r="L397" s="75">
        <v>2200</v>
      </c>
      <c r="M397" s="191">
        <v>30.706530748997636</v>
      </c>
      <c r="N397" s="87">
        <v>2086.7168661503997</v>
      </c>
      <c r="O397" s="123">
        <v>48471.971702526687</v>
      </c>
      <c r="P397" s="121">
        <v>58547.35120198287</v>
      </c>
      <c r="Q397" s="120">
        <v>32376.382319807555</v>
      </c>
      <c r="R397" s="314">
        <v>80848.354022334242</v>
      </c>
      <c r="S397" s="315">
        <v>90923.733521790418</v>
      </c>
      <c r="U397" s="7" t="s">
        <v>2904</v>
      </c>
    </row>
    <row r="398" spans="1:21" ht="16.5" thickBot="1">
      <c r="A398" s="50" t="s">
        <v>35</v>
      </c>
      <c r="B398" s="51">
        <f t="shared" si="21"/>
        <v>110</v>
      </c>
      <c r="C398" s="51" t="s">
        <v>3</v>
      </c>
      <c r="D398" s="51">
        <f t="shared" si="22"/>
        <v>400</v>
      </c>
      <c r="E398" s="51" t="s">
        <v>3</v>
      </c>
      <c r="F398" s="99">
        <f t="shared" si="23"/>
        <v>2250</v>
      </c>
      <c r="G398" s="51" t="s">
        <v>3</v>
      </c>
      <c r="H398" s="48">
        <v>6</v>
      </c>
      <c r="I398" s="49" t="s">
        <v>45</v>
      </c>
      <c r="J398" s="184">
        <v>110</v>
      </c>
      <c r="K398" s="75">
        <v>400</v>
      </c>
      <c r="L398" s="75">
        <v>2250</v>
      </c>
      <c r="M398" s="191">
        <v>31.36044067837447</v>
      </c>
      <c r="N398" s="87">
        <v>2143.1146192895999</v>
      </c>
      <c r="O398" s="123">
        <v>49405.728237300915</v>
      </c>
      <c r="P398" s="121">
        <v>59689.384238286468</v>
      </c>
      <c r="Q398" s="120">
        <v>32978.774157200758</v>
      </c>
      <c r="R398" s="314">
        <v>82384.502394501673</v>
      </c>
      <c r="S398" s="315">
        <v>92668.158395487233</v>
      </c>
      <c r="U398" s="7" t="s">
        <v>2905</v>
      </c>
    </row>
    <row r="399" spans="1:21" ht="16.5" thickBot="1">
      <c r="A399" s="50" t="s">
        <v>35</v>
      </c>
      <c r="B399" s="51">
        <f t="shared" si="21"/>
        <v>110</v>
      </c>
      <c r="C399" s="51" t="s">
        <v>3</v>
      </c>
      <c r="D399" s="51">
        <f t="shared" si="22"/>
        <v>400</v>
      </c>
      <c r="E399" s="51" t="s">
        <v>3</v>
      </c>
      <c r="F399" s="99">
        <f t="shared" si="23"/>
        <v>2300</v>
      </c>
      <c r="G399" s="51" t="s">
        <v>3</v>
      </c>
      <c r="H399" s="48">
        <v>6</v>
      </c>
      <c r="I399" s="49" t="s">
        <v>45</v>
      </c>
      <c r="J399" s="184">
        <v>110</v>
      </c>
      <c r="K399" s="75">
        <v>400</v>
      </c>
      <c r="L399" s="75">
        <v>2300</v>
      </c>
      <c r="M399" s="191">
        <v>32.014350607751325</v>
      </c>
      <c r="N399" s="87">
        <v>2199.5123724287996</v>
      </c>
      <c r="O399" s="123">
        <v>50339.484912468499</v>
      </c>
      <c r="P399" s="121">
        <v>60831.417274590051</v>
      </c>
      <c r="Q399" s="120">
        <v>33581.165854200874</v>
      </c>
      <c r="R399" s="314">
        <v>83920.650766669365</v>
      </c>
      <c r="S399" s="315">
        <v>94412.583128790924</v>
      </c>
      <c r="U399" s="7" t="s">
        <v>2906</v>
      </c>
    </row>
    <row r="400" spans="1:21" ht="16.5" thickBot="1">
      <c r="A400" s="50" t="s">
        <v>35</v>
      </c>
      <c r="B400" s="51">
        <f t="shared" si="21"/>
        <v>110</v>
      </c>
      <c r="C400" s="51" t="s">
        <v>3</v>
      </c>
      <c r="D400" s="51">
        <f t="shared" si="22"/>
        <v>400</v>
      </c>
      <c r="E400" s="51" t="s">
        <v>3</v>
      </c>
      <c r="F400" s="99">
        <f t="shared" si="23"/>
        <v>2350</v>
      </c>
      <c r="G400" s="51" t="s">
        <v>3</v>
      </c>
      <c r="H400" s="48">
        <v>6</v>
      </c>
      <c r="I400" s="49" t="s">
        <v>45</v>
      </c>
      <c r="J400" s="184">
        <v>110</v>
      </c>
      <c r="K400" s="75">
        <v>400</v>
      </c>
      <c r="L400" s="75">
        <v>2350</v>
      </c>
      <c r="M400" s="191">
        <v>32.685300537128157</v>
      </c>
      <c r="N400" s="87">
        <v>2255.9101255679998</v>
      </c>
      <c r="O400" s="123">
        <v>51273.241447242726</v>
      </c>
      <c r="P400" s="121">
        <v>61973.450310893633</v>
      </c>
      <c r="Q400" s="120">
        <v>34414.139469377486</v>
      </c>
      <c r="R400" s="314">
        <v>85687.380916620212</v>
      </c>
      <c r="S400" s="315">
        <v>96387.589780271112</v>
      </c>
      <c r="U400" s="7" t="s">
        <v>2907</v>
      </c>
    </row>
    <row r="401" spans="1:21" ht="16.5" thickBot="1">
      <c r="A401" s="50" t="s">
        <v>35</v>
      </c>
      <c r="B401" s="51">
        <f t="shared" si="21"/>
        <v>110</v>
      </c>
      <c r="C401" s="51" t="s">
        <v>3</v>
      </c>
      <c r="D401" s="51">
        <f t="shared" si="22"/>
        <v>400</v>
      </c>
      <c r="E401" s="51" t="s">
        <v>3</v>
      </c>
      <c r="F401" s="99">
        <f t="shared" si="23"/>
        <v>2400</v>
      </c>
      <c r="G401" s="51" t="s">
        <v>3</v>
      </c>
      <c r="H401" s="48">
        <v>6</v>
      </c>
      <c r="I401" s="49" t="s">
        <v>45</v>
      </c>
      <c r="J401" s="184">
        <v>110</v>
      </c>
      <c r="K401" s="75">
        <v>400</v>
      </c>
      <c r="L401" s="75">
        <v>2400</v>
      </c>
      <c r="M401" s="191">
        <v>33.339210466505001</v>
      </c>
      <c r="N401" s="87">
        <v>2312.3078787072</v>
      </c>
      <c r="O401" s="123">
        <v>52206.997982016954</v>
      </c>
      <c r="P401" s="121">
        <v>63115.483347197231</v>
      </c>
      <c r="Q401" s="120">
        <v>35016.531306770819</v>
      </c>
      <c r="R401" s="314">
        <v>87223.529288787773</v>
      </c>
      <c r="S401" s="315">
        <v>98132.014653968043</v>
      </c>
      <c r="U401" s="7" t="s">
        <v>2908</v>
      </c>
    </row>
    <row r="402" spans="1:21" ht="16.5" thickBot="1">
      <c r="A402" s="50" t="s">
        <v>35</v>
      </c>
      <c r="B402" s="51">
        <f t="shared" si="21"/>
        <v>110</v>
      </c>
      <c r="C402" s="51" t="s">
        <v>3</v>
      </c>
      <c r="D402" s="51">
        <f t="shared" si="22"/>
        <v>400</v>
      </c>
      <c r="E402" s="51" t="s">
        <v>3</v>
      </c>
      <c r="F402" s="99">
        <f t="shared" si="23"/>
        <v>2450</v>
      </c>
      <c r="G402" s="51" t="s">
        <v>3</v>
      </c>
      <c r="H402" s="48">
        <v>6</v>
      </c>
      <c r="I402" s="49" t="s">
        <v>45</v>
      </c>
      <c r="J402" s="184">
        <v>110</v>
      </c>
      <c r="K402" s="75">
        <v>400</v>
      </c>
      <c r="L402" s="75">
        <v>2450</v>
      </c>
      <c r="M402" s="191">
        <v>34.23744058818184</v>
      </c>
      <c r="N402" s="87">
        <v>2368.7056318464001</v>
      </c>
      <c r="O402" s="123">
        <v>53986.149575108335</v>
      </c>
      <c r="P402" s="121">
        <v>65083.900916995219</v>
      </c>
      <c r="Q402" s="120">
        <v>35849.504781554067</v>
      </c>
      <c r="R402" s="314">
        <v>89835.654356662402</v>
      </c>
      <c r="S402" s="315">
        <v>100933.40569854929</v>
      </c>
      <c r="U402" s="7" t="s">
        <v>2909</v>
      </c>
    </row>
    <row r="403" spans="1:21" ht="16.5" thickBot="1">
      <c r="A403" s="50" t="s">
        <v>35</v>
      </c>
      <c r="B403" s="51">
        <f t="shared" si="21"/>
        <v>110</v>
      </c>
      <c r="C403" s="51" t="s">
        <v>3</v>
      </c>
      <c r="D403" s="51">
        <f t="shared" si="22"/>
        <v>400</v>
      </c>
      <c r="E403" s="51" t="s">
        <v>3</v>
      </c>
      <c r="F403" s="99">
        <f t="shared" si="23"/>
        <v>2500</v>
      </c>
      <c r="G403" s="51" t="s">
        <v>3</v>
      </c>
      <c r="H403" s="48">
        <v>6</v>
      </c>
      <c r="I403" s="49" t="s">
        <v>45</v>
      </c>
      <c r="J403" s="184">
        <v>110</v>
      </c>
      <c r="K403" s="75">
        <v>400</v>
      </c>
      <c r="L403" s="75">
        <v>2500</v>
      </c>
      <c r="M403" s="191">
        <v>34.891350517558678</v>
      </c>
      <c r="N403" s="87">
        <v>2425.1033849855999</v>
      </c>
      <c r="O403" s="123">
        <v>54919.906109882562</v>
      </c>
      <c r="P403" s="121">
        <v>66225.933953298809</v>
      </c>
      <c r="Q403" s="120">
        <v>36451.896618947409</v>
      </c>
      <c r="R403" s="314">
        <v>91371.802728829964</v>
      </c>
      <c r="S403" s="315">
        <v>102677.83057224622</v>
      </c>
      <c r="U403" s="7" t="s">
        <v>2910</v>
      </c>
    </row>
    <row r="404" spans="1:21" ht="16.5" thickBot="1">
      <c r="A404" s="50" t="s">
        <v>35</v>
      </c>
      <c r="B404" s="51">
        <f t="shared" si="21"/>
        <v>110</v>
      </c>
      <c r="C404" s="51" t="s">
        <v>3</v>
      </c>
      <c r="D404" s="51">
        <f t="shared" si="22"/>
        <v>400</v>
      </c>
      <c r="E404" s="51" t="s">
        <v>3</v>
      </c>
      <c r="F404" s="99">
        <f t="shared" si="23"/>
        <v>2550</v>
      </c>
      <c r="G404" s="51" t="s">
        <v>3</v>
      </c>
      <c r="H404" s="48">
        <v>6</v>
      </c>
      <c r="I404" s="49" t="s">
        <v>45</v>
      </c>
      <c r="J404" s="184">
        <v>110</v>
      </c>
      <c r="K404" s="75">
        <v>400</v>
      </c>
      <c r="L404" s="75">
        <v>2550</v>
      </c>
      <c r="M404" s="191">
        <v>35.562300446935524</v>
      </c>
      <c r="N404" s="87">
        <v>2481.5011381248</v>
      </c>
      <c r="O404" s="123">
        <v>55853.662785050146</v>
      </c>
      <c r="P404" s="121">
        <v>67367.966989602384</v>
      </c>
      <c r="Q404" s="120">
        <v>37284.870093730657</v>
      </c>
      <c r="R404" s="314">
        <v>93138.532878780796</v>
      </c>
      <c r="S404" s="315">
        <v>104652.83708333304</v>
      </c>
      <c r="U404" s="7" t="s">
        <v>2911</v>
      </c>
    </row>
    <row r="405" spans="1:21" ht="16.5" thickBot="1">
      <c r="A405" s="47" t="s">
        <v>35</v>
      </c>
      <c r="B405" s="48">
        <f t="shared" si="21"/>
        <v>110</v>
      </c>
      <c r="C405" s="48" t="s">
        <v>3</v>
      </c>
      <c r="D405" s="48">
        <f t="shared" si="22"/>
        <v>400</v>
      </c>
      <c r="E405" s="48" t="s">
        <v>3</v>
      </c>
      <c r="F405" s="99">
        <f t="shared" si="23"/>
        <v>2600</v>
      </c>
      <c r="G405" s="48" t="s">
        <v>3</v>
      </c>
      <c r="H405" s="48">
        <v>6</v>
      </c>
      <c r="I405" s="49" t="s">
        <v>45</v>
      </c>
      <c r="J405" s="184">
        <v>110</v>
      </c>
      <c r="K405" s="75">
        <v>400</v>
      </c>
      <c r="L405" s="75">
        <v>2600</v>
      </c>
      <c r="M405" s="191">
        <v>36.216210376312375</v>
      </c>
      <c r="N405" s="87">
        <v>2537.8988912639998</v>
      </c>
      <c r="O405" s="123">
        <v>56787.419319824374</v>
      </c>
      <c r="P405" s="121">
        <v>68510.000025905974</v>
      </c>
      <c r="Q405" s="120">
        <v>37887.261931123991</v>
      </c>
      <c r="R405" s="314">
        <v>94674.681250948372</v>
      </c>
      <c r="S405" s="315">
        <v>106397.26195702996</v>
      </c>
      <c r="U405" s="7" t="s">
        <v>2912</v>
      </c>
    </row>
    <row r="406" spans="1:21" ht="16.5" thickBot="1">
      <c r="A406" s="50" t="s">
        <v>35</v>
      </c>
      <c r="B406" s="51">
        <f t="shared" si="21"/>
        <v>110</v>
      </c>
      <c r="C406" s="51" t="s">
        <v>3</v>
      </c>
      <c r="D406" s="51">
        <f t="shared" si="22"/>
        <v>400</v>
      </c>
      <c r="E406" s="51" t="s">
        <v>3</v>
      </c>
      <c r="F406" s="99">
        <f t="shared" si="23"/>
        <v>2650</v>
      </c>
      <c r="G406" s="51" t="s">
        <v>3</v>
      </c>
      <c r="H406" s="48">
        <v>6</v>
      </c>
      <c r="I406" s="49" t="s">
        <v>45</v>
      </c>
      <c r="J406" s="184">
        <v>110</v>
      </c>
      <c r="K406" s="75">
        <v>400</v>
      </c>
      <c r="L406" s="75">
        <v>2650</v>
      </c>
      <c r="M406" s="191">
        <v>36.887160305689214</v>
      </c>
      <c r="N406" s="87">
        <v>2594.2966444031999</v>
      </c>
      <c r="O406" s="123">
        <v>57721.175854598601</v>
      </c>
      <c r="P406" s="121">
        <v>69652.033062209564</v>
      </c>
      <c r="Q406" s="120">
        <v>38720.235405907246</v>
      </c>
      <c r="R406" s="314">
        <v>96441.411260505847</v>
      </c>
      <c r="S406" s="315">
        <v>108372.26846811682</v>
      </c>
      <c r="U406" s="7" t="s">
        <v>2913</v>
      </c>
    </row>
    <row r="407" spans="1:21" ht="16.5" thickBot="1">
      <c r="A407" s="50" t="s">
        <v>35</v>
      </c>
      <c r="B407" s="51">
        <f t="shared" si="21"/>
        <v>110</v>
      </c>
      <c r="C407" s="51" t="s">
        <v>3</v>
      </c>
      <c r="D407" s="51">
        <f t="shared" si="22"/>
        <v>400</v>
      </c>
      <c r="E407" s="51" t="s">
        <v>3</v>
      </c>
      <c r="F407" s="99">
        <f t="shared" si="23"/>
        <v>2700</v>
      </c>
      <c r="G407" s="51" t="s">
        <v>3</v>
      </c>
      <c r="H407" s="48">
        <v>6</v>
      </c>
      <c r="I407" s="49" t="s">
        <v>45</v>
      </c>
      <c r="J407" s="184">
        <v>110</v>
      </c>
      <c r="K407" s="75">
        <v>400</v>
      </c>
      <c r="L407" s="75">
        <v>2700</v>
      </c>
      <c r="M407" s="191">
        <v>37.658820235066059</v>
      </c>
      <c r="N407" s="87">
        <v>2650.6943975423997</v>
      </c>
      <c r="O407" s="123">
        <v>58777.958671751483</v>
      </c>
      <c r="P407" s="121">
        <v>70917.843344987821</v>
      </c>
      <c r="Q407" s="120">
        <v>39322.627243300587</v>
      </c>
      <c r="R407" s="314">
        <v>98100.58591505207</v>
      </c>
      <c r="S407" s="315">
        <v>110240.47058828842</v>
      </c>
      <c r="U407" s="7" t="s">
        <v>2914</v>
      </c>
    </row>
    <row r="408" spans="1:21" ht="16.5" thickBot="1">
      <c r="A408" s="50" t="s">
        <v>35</v>
      </c>
      <c r="B408" s="51">
        <f t="shared" si="21"/>
        <v>110</v>
      </c>
      <c r="C408" s="51" t="s">
        <v>3</v>
      </c>
      <c r="D408" s="51">
        <f t="shared" si="22"/>
        <v>400</v>
      </c>
      <c r="E408" s="51" t="s">
        <v>3</v>
      </c>
      <c r="F408" s="99">
        <f t="shared" si="23"/>
        <v>2750</v>
      </c>
      <c r="G408" s="51" t="s">
        <v>3</v>
      </c>
      <c r="H408" s="48">
        <v>6</v>
      </c>
      <c r="I408" s="49" t="s">
        <v>45</v>
      </c>
      <c r="J408" s="184">
        <v>110</v>
      </c>
      <c r="K408" s="75">
        <v>400</v>
      </c>
      <c r="L408" s="75">
        <v>2750</v>
      </c>
      <c r="M408" s="191">
        <v>38.312730164442897</v>
      </c>
      <c r="N408" s="87">
        <v>2707.0921506816003</v>
      </c>
      <c r="O408" s="123">
        <v>59711.715206525711</v>
      </c>
      <c r="P408" s="121">
        <v>72059.876381291411</v>
      </c>
      <c r="Q408" s="120">
        <v>39925.018940300557</v>
      </c>
      <c r="R408" s="314">
        <v>99636.73414682626</v>
      </c>
      <c r="S408" s="315">
        <v>111984.89532159196</v>
      </c>
      <c r="U408" s="7" t="s">
        <v>2915</v>
      </c>
    </row>
    <row r="409" spans="1:21" ht="16.5" thickBot="1">
      <c r="A409" s="50" t="s">
        <v>35</v>
      </c>
      <c r="B409" s="51">
        <f t="shared" si="21"/>
        <v>110</v>
      </c>
      <c r="C409" s="51" t="s">
        <v>3</v>
      </c>
      <c r="D409" s="51">
        <f t="shared" si="22"/>
        <v>400</v>
      </c>
      <c r="E409" s="51" t="s">
        <v>3</v>
      </c>
      <c r="F409" s="99">
        <f t="shared" si="23"/>
        <v>2800</v>
      </c>
      <c r="G409" s="51" t="s">
        <v>3</v>
      </c>
      <c r="H409" s="48">
        <v>6</v>
      </c>
      <c r="I409" s="49" t="s">
        <v>45</v>
      </c>
      <c r="J409" s="184">
        <v>110</v>
      </c>
      <c r="K409" s="75">
        <v>400</v>
      </c>
      <c r="L409" s="75">
        <v>2800</v>
      </c>
      <c r="M409" s="191">
        <v>38.983680093819743</v>
      </c>
      <c r="N409" s="87">
        <v>2763.4899038208</v>
      </c>
      <c r="O409" s="123">
        <v>60645.471741299938</v>
      </c>
      <c r="P409" s="121">
        <v>73201.909417595001</v>
      </c>
      <c r="Q409" s="120">
        <v>40757.992555477169</v>
      </c>
      <c r="R409" s="314">
        <v>101403.46429677711</v>
      </c>
      <c r="S409" s="315">
        <v>113959.90197307218</v>
      </c>
      <c r="U409" s="7" t="s">
        <v>2916</v>
      </c>
    </row>
    <row r="410" spans="1:21" ht="16.5" thickBot="1">
      <c r="A410" s="50" t="s">
        <v>35</v>
      </c>
      <c r="B410" s="51">
        <f t="shared" si="21"/>
        <v>110</v>
      </c>
      <c r="C410" s="51" t="s">
        <v>3</v>
      </c>
      <c r="D410" s="51">
        <f t="shared" si="22"/>
        <v>400</v>
      </c>
      <c r="E410" s="51" t="s">
        <v>3</v>
      </c>
      <c r="F410" s="99">
        <f t="shared" si="23"/>
        <v>2850</v>
      </c>
      <c r="G410" s="51" t="s">
        <v>3</v>
      </c>
      <c r="H410" s="48">
        <v>6</v>
      </c>
      <c r="I410" s="49" t="s">
        <v>45</v>
      </c>
      <c r="J410" s="184">
        <v>110</v>
      </c>
      <c r="K410" s="75">
        <v>400</v>
      </c>
      <c r="L410" s="75">
        <v>2850</v>
      </c>
      <c r="M410" s="191">
        <v>39.63759002319658</v>
      </c>
      <c r="N410" s="87">
        <v>2819.8876569600002</v>
      </c>
      <c r="O410" s="123">
        <v>61579.228276074165</v>
      </c>
      <c r="P410" s="121">
        <v>74343.942453898591</v>
      </c>
      <c r="Q410" s="120">
        <v>41360.384252477146</v>
      </c>
      <c r="R410" s="314">
        <v>102939.61252855131</v>
      </c>
      <c r="S410" s="315">
        <v>115704.32670637574</v>
      </c>
      <c r="U410" s="7" t="s">
        <v>2917</v>
      </c>
    </row>
    <row r="411" spans="1:21" ht="16.5" thickBot="1">
      <c r="A411" s="50" t="s">
        <v>35</v>
      </c>
      <c r="B411" s="51">
        <f t="shared" si="21"/>
        <v>110</v>
      </c>
      <c r="C411" s="51" t="s">
        <v>3</v>
      </c>
      <c r="D411" s="51">
        <f t="shared" si="22"/>
        <v>400</v>
      </c>
      <c r="E411" s="51" t="s">
        <v>3</v>
      </c>
      <c r="F411" s="99">
        <f t="shared" si="23"/>
        <v>2900</v>
      </c>
      <c r="G411" s="51" t="s">
        <v>3</v>
      </c>
      <c r="H411" s="48">
        <v>6</v>
      </c>
      <c r="I411" s="49" t="s">
        <v>45</v>
      </c>
      <c r="J411" s="184">
        <v>110</v>
      </c>
      <c r="K411" s="75">
        <v>400</v>
      </c>
      <c r="L411" s="75">
        <v>2900</v>
      </c>
      <c r="M411" s="191">
        <v>40.308539952573419</v>
      </c>
      <c r="N411" s="87">
        <v>2876.2854100991995</v>
      </c>
      <c r="O411" s="123">
        <v>62512.98495124175</v>
      </c>
      <c r="P411" s="121">
        <v>75485.975630595538</v>
      </c>
      <c r="Q411" s="120">
        <v>42193.357867653758</v>
      </c>
      <c r="R411" s="314">
        <v>104706.3428188955</v>
      </c>
      <c r="S411" s="315">
        <v>117679.3334982493</v>
      </c>
      <c r="U411" s="7" t="s">
        <v>2918</v>
      </c>
    </row>
    <row r="412" spans="1:21" ht="16.5" thickBot="1">
      <c r="A412" s="50" t="s">
        <v>35</v>
      </c>
      <c r="B412" s="51">
        <f t="shared" si="21"/>
        <v>110</v>
      </c>
      <c r="C412" s="51" t="s">
        <v>3</v>
      </c>
      <c r="D412" s="51">
        <f t="shared" si="22"/>
        <v>400</v>
      </c>
      <c r="E412" s="51" t="s">
        <v>3</v>
      </c>
      <c r="F412" s="99">
        <f t="shared" si="23"/>
        <v>2950</v>
      </c>
      <c r="G412" s="51" t="s">
        <v>3</v>
      </c>
      <c r="H412" s="48">
        <v>6</v>
      </c>
      <c r="I412" s="49" t="s">
        <v>45</v>
      </c>
      <c r="J412" s="184">
        <v>110</v>
      </c>
      <c r="K412" s="75">
        <v>400</v>
      </c>
      <c r="L412" s="75">
        <v>2950</v>
      </c>
      <c r="M412" s="191">
        <v>40.962449881950263</v>
      </c>
      <c r="N412" s="87">
        <v>2932.6831632384005</v>
      </c>
      <c r="O412" s="123">
        <v>63446.741486015977</v>
      </c>
      <c r="P412" s="121">
        <v>76628.008666899128</v>
      </c>
      <c r="Q412" s="120">
        <v>42795.749564653735</v>
      </c>
      <c r="R412" s="314">
        <v>106242.49105066972</v>
      </c>
      <c r="S412" s="315">
        <v>119423.75823155287</v>
      </c>
      <c r="U412" s="7" t="s">
        <v>2919</v>
      </c>
    </row>
    <row r="413" spans="1:21" ht="16.5" thickBot="1">
      <c r="A413" s="50" t="s">
        <v>35</v>
      </c>
      <c r="B413" s="51">
        <f t="shared" si="21"/>
        <v>110</v>
      </c>
      <c r="C413" s="51" t="s">
        <v>3</v>
      </c>
      <c r="D413" s="51">
        <f t="shared" si="22"/>
        <v>400</v>
      </c>
      <c r="E413" s="51" t="s">
        <v>3</v>
      </c>
      <c r="F413" s="99">
        <f t="shared" si="23"/>
        <v>3000</v>
      </c>
      <c r="G413" s="51" t="s">
        <v>3</v>
      </c>
      <c r="H413" s="48">
        <v>6</v>
      </c>
      <c r="I413" s="49" t="s">
        <v>45</v>
      </c>
      <c r="J413" s="186">
        <v>110</v>
      </c>
      <c r="K413" s="147">
        <v>400</v>
      </c>
      <c r="L413" s="147">
        <v>3000</v>
      </c>
      <c r="M413" s="192">
        <v>41.633399811327102</v>
      </c>
      <c r="N413" s="148">
        <v>2989.0809163775998</v>
      </c>
      <c r="O413" s="149">
        <v>65555.655467042045</v>
      </c>
      <c r="P413" s="158">
        <v>77770.041703202718</v>
      </c>
      <c r="Q413" s="159">
        <v>43628.723179830347</v>
      </c>
      <c r="R413" s="316">
        <v>109184.37864687238</v>
      </c>
      <c r="S413" s="317">
        <v>121398.76488303306</v>
      </c>
      <c r="U413" s="7" t="s">
        <v>2920</v>
      </c>
    </row>
  </sheetData>
  <mergeCells count="24">
    <mergeCell ref="A110:S110"/>
    <mergeCell ref="A111:S111"/>
    <mergeCell ref="A7:S7"/>
    <mergeCell ref="A8:S8"/>
    <mergeCell ref="A9:S9"/>
    <mergeCell ref="A59:S59"/>
    <mergeCell ref="A60:S60"/>
    <mergeCell ref="A313:S313"/>
    <mergeCell ref="A314:S314"/>
    <mergeCell ref="A364:S364"/>
    <mergeCell ref="A161:S161"/>
    <mergeCell ref="A162:S162"/>
    <mergeCell ref="A212:S212"/>
    <mergeCell ref="A262:S262"/>
    <mergeCell ref="A263:S263"/>
    <mergeCell ref="Q4:Q5"/>
    <mergeCell ref="R4:R5"/>
    <mergeCell ref="S4:S5"/>
    <mergeCell ref="O6:S6"/>
    <mergeCell ref="A4:I6"/>
    <mergeCell ref="J4:M5"/>
    <mergeCell ref="N4:N6"/>
    <mergeCell ref="O4:O5"/>
    <mergeCell ref="P4:P5"/>
  </mergeCells>
  <hyperlinks>
    <hyperlink ref="A1:I1" location="Главная!A1" display="Вернуться на главную страницу" xr:uid="{00000000-0004-0000-1500-000000000000}"/>
    <hyperlink ref="A2" location="'Калькулятор теплоотдач ВК'!R1C1" display="Вернуться Калькулятор теплоотдач ВК" xr:uid="{00000000-0004-0000-1500-000001000000}"/>
  </hyperlink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24">
    <tabColor rgb="FFFFC000"/>
  </sheetPr>
  <dimension ref="A1:U568"/>
  <sheetViews>
    <sheetView zoomScale="70" zoomScaleNormal="70" workbookViewId="0">
      <pane ySplit="6" topLeftCell="A7" activePane="bottomLeft" state="frozen"/>
      <selection pane="bottomLeft" activeCell="U2" sqref="U2"/>
    </sheetView>
  </sheetViews>
  <sheetFormatPr defaultRowHeight="15.75"/>
  <cols>
    <col min="1" max="1" width="3.7109375" style="7" customWidth="1"/>
    <col min="2" max="2" width="6" style="7" customWidth="1"/>
    <col min="3" max="3" width="3" style="7" customWidth="1"/>
    <col min="4" max="4" width="6" style="7" customWidth="1"/>
    <col min="5" max="5" width="3" style="7" customWidth="1"/>
    <col min="6" max="6" width="7.7109375" style="96" customWidth="1"/>
    <col min="7" max="7" width="3" style="7" customWidth="1"/>
    <col min="8" max="8" width="6" style="7" customWidth="1"/>
    <col min="9" max="9" width="4.5703125" style="7" customWidth="1"/>
    <col min="10" max="10" width="11.28515625" style="7" customWidth="1"/>
    <col min="11" max="12" width="11.28515625" style="96" customWidth="1"/>
    <col min="13" max="13" width="15.5703125" style="1" customWidth="1"/>
    <col min="14" max="14" width="19.140625" style="7" customWidth="1"/>
    <col min="15" max="15" width="27.7109375" style="122" customWidth="1"/>
    <col min="16" max="16" width="27.7109375" style="116" customWidth="1"/>
    <col min="17" max="17" width="26.28515625" style="117" customWidth="1"/>
    <col min="18" max="18" width="27.7109375" style="122" customWidth="1"/>
    <col min="19" max="19" width="27.7109375" style="117" customWidth="1"/>
    <col min="20" max="20" width="9.140625" style="74"/>
    <col min="21" max="21" width="22.42578125" style="74" customWidth="1"/>
    <col min="22" max="16384" width="9.140625" style="74"/>
  </cols>
  <sheetData>
    <row r="1" spans="1:21" ht="16.5" customHeight="1">
      <c r="A1" s="1217" t="s">
        <v>9</v>
      </c>
      <c r="B1" s="1217"/>
      <c r="C1" s="1217"/>
      <c r="D1" s="1217"/>
      <c r="E1" s="1217"/>
      <c r="F1" s="97"/>
      <c r="G1" s="1217"/>
      <c r="H1" s="1217"/>
      <c r="I1" s="1217"/>
      <c r="M1" s="175"/>
      <c r="O1" s="117"/>
      <c r="P1" s="117"/>
      <c r="R1" s="117"/>
    </row>
    <row r="2" spans="1:21" ht="16.5" customHeight="1">
      <c r="A2" s="956" t="s">
        <v>378</v>
      </c>
      <c r="B2" s="1217"/>
      <c r="C2" s="1217"/>
      <c r="D2" s="1217"/>
      <c r="E2" s="1217"/>
      <c r="F2" s="97"/>
      <c r="G2" s="1217"/>
      <c r="H2" s="1217"/>
      <c r="I2" s="1217"/>
      <c r="M2" s="175"/>
      <c r="O2" s="117"/>
      <c r="P2" s="117"/>
      <c r="R2" s="117"/>
    </row>
    <row r="3" spans="1:21" ht="13.5" customHeight="1" thickBot="1">
      <c r="A3" s="16"/>
      <c r="B3" s="16"/>
      <c r="C3" s="16"/>
      <c r="D3" s="16"/>
      <c r="E3" s="16"/>
      <c r="F3" s="109"/>
      <c r="G3" s="16"/>
      <c r="H3" s="16"/>
      <c r="I3" s="16"/>
      <c r="J3" s="16"/>
      <c r="K3" s="108"/>
      <c r="L3" s="108"/>
      <c r="M3" s="175"/>
      <c r="O3" s="116"/>
      <c r="R3" s="117"/>
    </row>
    <row r="4" spans="1:21" ht="69" customHeight="1">
      <c r="A4" s="2643" t="s">
        <v>8</v>
      </c>
      <c r="B4" s="2644"/>
      <c r="C4" s="2644"/>
      <c r="D4" s="2644"/>
      <c r="E4" s="2644"/>
      <c r="F4" s="2644"/>
      <c r="G4" s="2644"/>
      <c r="H4" s="2644"/>
      <c r="I4" s="2645"/>
      <c r="J4" s="2637" t="s">
        <v>97</v>
      </c>
      <c r="K4" s="2638"/>
      <c r="L4" s="2638"/>
      <c r="M4" s="2639"/>
      <c r="N4" s="2652" t="s">
        <v>96</v>
      </c>
      <c r="O4" s="2655" t="s">
        <v>170</v>
      </c>
      <c r="P4" s="2617" t="s">
        <v>166</v>
      </c>
      <c r="Q4" s="2655" t="s">
        <v>171</v>
      </c>
      <c r="R4" s="2630" t="s">
        <v>460</v>
      </c>
      <c r="S4" s="2590" t="s">
        <v>461</v>
      </c>
    </row>
    <row r="5" spans="1:21" ht="72.75" customHeight="1" thickBot="1">
      <c r="A5" s="2646"/>
      <c r="B5" s="2647"/>
      <c r="C5" s="2647"/>
      <c r="D5" s="2647"/>
      <c r="E5" s="2647"/>
      <c r="F5" s="2647"/>
      <c r="G5" s="2647"/>
      <c r="H5" s="2647"/>
      <c r="I5" s="2648"/>
      <c r="J5" s="2640"/>
      <c r="K5" s="2641"/>
      <c r="L5" s="2641"/>
      <c r="M5" s="2642"/>
      <c r="N5" s="2653"/>
      <c r="O5" s="2656"/>
      <c r="P5" s="2618"/>
      <c r="Q5" s="2656"/>
      <c r="R5" s="2631"/>
      <c r="S5" s="2591"/>
    </row>
    <row r="6" spans="1:21" ht="61.5" customHeight="1" thickBot="1">
      <c r="A6" s="2649"/>
      <c r="B6" s="2650"/>
      <c r="C6" s="2650"/>
      <c r="D6" s="2650"/>
      <c r="E6" s="2650"/>
      <c r="F6" s="2650"/>
      <c r="G6" s="2650"/>
      <c r="H6" s="2650"/>
      <c r="I6" s="2651"/>
      <c r="J6" s="1223" t="s">
        <v>0</v>
      </c>
      <c r="K6" s="115" t="s">
        <v>1</v>
      </c>
      <c r="L6" s="115" t="s">
        <v>2</v>
      </c>
      <c r="M6" s="180" t="s">
        <v>94</v>
      </c>
      <c r="N6" s="2654"/>
      <c r="O6" s="2634" t="s">
        <v>169</v>
      </c>
      <c r="P6" s="2635"/>
      <c r="Q6" s="2635"/>
      <c r="R6" s="2635"/>
      <c r="S6" s="2636"/>
    </row>
    <row r="7" spans="1:21" ht="22.5" customHeight="1" thickBot="1">
      <c r="A7" s="2580" t="s">
        <v>519</v>
      </c>
      <c r="B7" s="2581"/>
      <c r="C7" s="2581"/>
      <c r="D7" s="2581"/>
      <c r="E7" s="2581"/>
      <c r="F7" s="2581"/>
      <c r="G7" s="2581"/>
      <c r="H7" s="2581"/>
      <c r="I7" s="2581"/>
      <c r="J7" s="2581"/>
      <c r="K7" s="2581"/>
      <c r="L7" s="2581"/>
      <c r="M7" s="2581"/>
      <c r="N7" s="2581"/>
      <c r="O7" s="2581"/>
      <c r="P7" s="2581"/>
      <c r="Q7" s="2581"/>
      <c r="R7" s="2581"/>
      <c r="S7" s="2582"/>
    </row>
    <row r="8" spans="1:21" ht="22.5" customHeight="1" thickBot="1">
      <c r="A8" s="2624" t="s">
        <v>69</v>
      </c>
      <c r="B8" s="2625"/>
      <c r="C8" s="2625"/>
      <c r="D8" s="2625"/>
      <c r="E8" s="2625"/>
      <c r="F8" s="2625"/>
      <c r="G8" s="2625"/>
      <c r="H8" s="2625"/>
      <c r="I8" s="2625"/>
      <c r="J8" s="2625"/>
      <c r="K8" s="2625"/>
      <c r="L8" s="2625"/>
      <c r="M8" s="2625"/>
      <c r="N8" s="2625"/>
      <c r="O8" s="2625"/>
      <c r="P8" s="2625"/>
      <c r="Q8" s="2625"/>
      <c r="R8" s="2625"/>
      <c r="S8" s="2626"/>
    </row>
    <row r="9" spans="1:21" ht="16.5" customHeight="1" thickBot="1">
      <c r="A9" s="2583" t="s">
        <v>139</v>
      </c>
      <c r="B9" s="2584"/>
      <c r="C9" s="2584"/>
      <c r="D9" s="2584"/>
      <c r="E9" s="2584"/>
      <c r="F9" s="2584"/>
      <c r="G9" s="2584"/>
      <c r="H9" s="2584"/>
      <c r="I9" s="2584"/>
      <c r="J9" s="2584"/>
      <c r="K9" s="2584"/>
      <c r="L9" s="2584"/>
      <c r="M9" s="2584"/>
      <c r="N9" s="2584"/>
      <c r="O9" s="2584"/>
      <c r="P9" s="2584"/>
      <c r="Q9" s="2584"/>
      <c r="R9" s="2632"/>
      <c r="S9" s="2633"/>
    </row>
    <row r="10" spans="1:21" ht="16.5" customHeight="1" thickBot="1">
      <c r="A10" s="47" t="s">
        <v>35</v>
      </c>
      <c r="B10" s="48">
        <f>J10</f>
        <v>140</v>
      </c>
      <c r="C10" s="48" t="s">
        <v>3</v>
      </c>
      <c r="D10" s="48">
        <f>K10</f>
        <v>160</v>
      </c>
      <c r="E10" s="48" t="s">
        <v>3</v>
      </c>
      <c r="F10" s="110">
        <f>L10</f>
        <v>600</v>
      </c>
      <c r="G10" s="48" t="s">
        <v>3</v>
      </c>
      <c r="H10" s="48">
        <v>4</v>
      </c>
      <c r="I10" s="49" t="s">
        <v>46</v>
      </c>
      <c r="J10" s="181">
        <v>140</v>
      </c>
      <c r="K10" s="168">
        <v>160</v>
      </c>
      <c r="L10" s="168">
        <v>600</v>
      </c>
      <c r="M10" s="201">
        <v>5.8878514580763159</v>
      </c>
      <c r="N10" s="144">
        <v>162.95665499999998</v>
      </c>
      <c r="O10" s="183">
        <v>12691.857182748416</v>
      </c>
      <c r="P10" s="183">
        <v>14982.532272895278</v>
      </c>
      <c r="Q10" s="309">
        <v>5867.7029602663515</v>
      </c>
      <c r="R10" s="312">
        <v>18559.560143014765</v>
      </c>
      <c r="S10" s="313">
        <v>20850.235233161628</v>
      </c>
      <c r="U10" s="7" t="s">
        <v>2921</v>
      </c>
    </row>
    <row r="11" spans="1:21" ht="16.5" customHeight="1" thickBot="1">
      <c r="A11" s="50" t="s">
        <v>35</v>
      </c>
      <c r="B11" s="51">
        <f t="shared" ref="B11:B58" si="0">J11</f>
        <v>140</v>
      </c>
      <c r="C11" s="51" t="s">
        <v>3</v>
      </c>
      <c r="D11" s="51">
        <f t="shared" ref="D11:D58" si="1">K11</f>
        <v>160</v>
      </c>
      <c r="E11" s="51" t="s">
        <v>3</v>
      </c>
      <c r="F11" s="110">
        <f t="shared" ref="F11:F58" si="2">L11</f>
        <v>650</v>
      </c>
      <c r="G11" s="51" t="s">
        <v>3</v>
      </c>
      <c r="H11" s="48">
        <v>4</v>
      </c>
      <c r="I11" s="49" t="s">
        <v>46</v>
      </c>
      <c r="J11" s="184">
        <v>140</v>
      </c>
      <c r="K11" s="113">
        <v>160</v>
      </c>
      <c r="L11" s="113">
        <v>650</v>
      </c>
      <c r="M11" s="202">
        <v>6.3300060010994734</v>
      </c>
      <c r="N11" s="87">
        <v>195.54798599999998</v>
      </c>
      <c r="O11" s="121">
        <v>13323.43385194489</v>
      </c>
      <c r="P11" s="121">
        <v>15781.534625361041</v>
      </c>
      <c r="Q11" s="310">
        <v>6177.3270434973019</v>
      </c>
      <c r="R11" s="314">
        <v>19500.760895442192</v>
      </c>
      <c r="S11" s="315">
        <v>21958.861668858342</v>
      </c>
      <c r="U11" s="7" t="s">
        <v>2922</v>
      </c>
    </row>
    <row r="12" spans="1:21" ht="16.5" customHeight="1" thickBot="1">
      <c r="A12" s="50" t="s">
        <v>35</v>
      </c>
      <c r="B12" s="51">
        <f t="shared" si="0"/>
        <v>140</v>
      </c>
      <c r="C12" s="51" t="s">
        <v>3</v>
      </c>
      <c r="D12" s="51">
        <f t="shared" si="1"/>
        <v>160</v>
      </c>
      <c r="E12" s="51" t="s">
        <v>3</v>
      </c>
      <c r="F12" s="110">
        <f t="shared" si="2"/>
        <v>700</v>
      </c>
      <c r="G12" s="51" t="s">
        <v>3</v>
      </c>
      <c r="H12" s="48">
        <v>4</v>
      </c>
      <c r="I12" s="49" t="s">
        <v>46</v>
      </c>
      <c r="J12" s="184">
        <v>140</v>
      </c>
      <c r="K12" s="113">
        <v>160</v>
      </c>
      <c r="L12" s="113">
        <v>700</v>
      </c>
      <c r="M12" s="202">
        <v>6.7892005441226324</v>
      </c>
      <c r="N12" s="87">
        <v>228.13931699999995</v>
      </c>
      <c r="O12" s="121">
        <v>13955.010661534729</v>
      </c>
      <c r="P12" s="121">
        <v>16580.536837433443</v>
      </c>
      <c r="Q12" s="310">
        <v>6717.5327641181639</v>
      </c>
      <c r="R12" s="314">
        <v>20672.543425652893</v>
      </c>
      <c r="S12" s="315">
        <v>23298.069601551608</v>
      </c>
      <c r="U12" s="7" t="s">
        <v>2923</v>
      </c>
    </row>
    <row r="13" spans="1:21" ht="16.5" customHeight="1" thickBot="1">
      <c r="A13" s="50" t="s">
        <v>35</v>
      </c>
      <c r="B13" s="51">
        <f t="shared" si="0"/>
        <v>140</v>
      </c>
      <c r="C13" s="51" t="s">
        <v>3</v>
      </c>
      <c r="D13" s="51">
        <f t="shared" si="1"/>
        <v>160</v>
      </c>
      <c r="E13" s="51" t="s">
        <v>3</v>
      </c>
      <c r="F13" s="110">
        <f t="shared" si="2"/>
        <v>750</v>
      </c>
      <c r="G13" s="51" t="s">
        <v>3</v>
      </c>
      <c r="H13" s="48">
        <v>4</v>
      </c>
      <c r="I13" s="49" t="s">
        <v>46</v>
      </c>
      <c r="J13" s="184">
        <v>140</v>
      </c>
      <c r="K13" s="113">
        <v>160</v>
      </c>
      <c r="L13" s="113">
        <v>750</v>
      </c>
      <c r="M13" s="202">
        <v>7.2313550871457899</v>
      </c>
      <c r="N13" s="87">
        <v>260.73064799999997</v>
      </c>
      <c r="O13" s="121">
        <v>14586.587330731203</v>
      </c>
      <c r="P13" s="121">
        <v>17379.539049505842</v>
      </c>
      <c r="Q13" s="310">
        <v>7027.1568473491143</v>
      </c>
      <c r="R13" s="314">
        <v>21613.744178080316</v>
      </c>
      <c r="S13" s="315">
        <v>24406.695896854955</v>
      </c>
      <c r="U13" s="7" t="s">
        <v>2924</v>
      </c>
    </row>
    <row r="14" spans="1:21" ht="16.5" customHeight="1" thickBot="1">
      <c r="A14" s="50" t="s">
        <v>35</v>
      </c>
      <c r="B14" s="51">
        <f t="shared" si="0"/>
        <v>140</v>
      </c>
      <c r="C14" s="51" t="s">
        <v>3</v>
      </c>
      <c r="D14" s="51">
        <f t="shared" si="1"/>
        <v>160</v>
      </c>
      <c r="E14" s="51" t="s">
        <v>3</v>
      </c>
      <c r="F14" s="110">
        <f t="shared" si="2"/>
        <v>800</v>
      </c>
      <c r="G14" s="51" t="s">
        <v>3</v>
      </c>
      <c r="H14" s="48">
        <v>4</v>
      </c>
      <c r="I14" s="49" t="s">
        <v>46</v>
      </c>
      <c r="J14" s="184">
        <v>140</v>
      </c>
      <c r="K14" s="113">
        <v>160</v>
      </c>
      <c r="L14" s="113">
        <v>800</v>
      </c>
      <c r="M14" s="202">
        <v>7.6735096301689474</v>
      </c>
      <c r="N14" s="87">
        <v>293.321979</v>
      </c>
      <c r="O14" s="121">
        <v>15218.164140321041</v>
      </c>
      <c r="P14" s="121">
        <v>18178.541401971605</v>
      </c>
      <c r="Q14" s="310">
        <v>7336.7809305800638</v>
      </c>
      <c r="R14" s="314">
        <v>22554.945070901107</v>
      </c>
      <c r="S14" s="315">
        <v>25515.322332551666</v>
      </c>
      <c r="U14" s="7" t="s">
        <v>2925</v>
      </c>
    </row>
    <row r="15" spans="1:21" ht="16.5" customHeight="1" thickBot="1">
      <c r="A15" s="50" t="s">
        <v>35</v>
      </c>
      <c r="B15" s="51">
        <f t="shared" si="0"/>
        <v>140</v>
      </c>
      <c r="C15" s="51" t="s">
        <v>3</v>
      </c>
      <c r="D15" s="51">
        <f t="shared" si="1"/>
        <v>160</v>
      </c>
      <c r="E15" s="51" t="s">
        <v>3</v>
      </c>
      <c r="F15" s="110">
        <f t="shared" si="2"/>
        <v>850</v>
      </c>
      <c r="G15" s="51" t="s">
        <v>3</v>
      </c>
      <c r="H15" s="48">
        <v>4</v>
      </c>
      <c r="I15" s="49" t="s">
        <v>46</v>
      </c>
      <c r="J15" s="184">
        <v>140</v>
      </c>
      <c r="K15" s="113">
        <v>160</v>
      </c>
      <c r="L15" s="113">
        <v>850</v>
      </c>
      <c r="M15" s="202">
        <v>8.1327041731921064</v>
      </c>
      <c r="N15" s="87">
        <v>325.91330999999997</v>
      </c>
      <c r="O15" s="121">
        <v>15849.740949910878</v>
      </c>
      <c r="P15" s="121">
        <v>18977.543614044003</v>
      </c>
      <c r="Q15" s="310">
        <v>7876.9867915942896</v>
      </c>
      <c r="R15" s="314">
        <v>23726.727741505169</v>
      </c>
      <c r="S15" s="315">
        <v>26854.530405638292</v>
      </c>
      <c r="U15" s="7" t="s">
        <v>2926</v>
      </c>
    </row>
    <row r="16" spans="1:21" ht="16.5" customHeight="1" thickBot="1">
      <c r="A16" s="50" t="s">
        <v>35</v>
      </c>
      <c r="B16" s="51">
        <f t="shared" si="0"/>
        <v>140</v>
      </c>
      <c r="C16" s="51" t="s">
        <v>3</v>
      </c>
      <c r="D16" s="51">
        <f t="shared" si="1"/>
        <v>160</v>
      </c>
      <c r="E16" s="51" t="s">
        <v>3</v>
      </c>
      <c r="F16" s="110">
        <f t="shared" si="2"/>
        <v>900</v>
      </c>
      <c r="G16" s="51" t="s">
        <v>3</v>
      </c>
      <c r="H16" s="48">
        <v>4</v>
      </c>
      <c r="I16" s="49" t="s">
        <v>46</v>
      </c>
      <c r="J16" s="184">
        <v>140</v>
      </c>
      <c r="K16" s="113">
        <v>160</v>
      </c>
      <c r="L16" s="113">
        <v>900</v>
      </c>
      <c r="M16" s="202">
        <v>8.5748587162152621</v>
      </c>
      <c r="N16" s="87">
        <v>358.50464099999999</v>
      </c>
      <c r="O16" s="121">
        <v>16481.317619107354</v>
      </c>
      <c r="P16" s="121">
        <v>19776.545966509766</v>
      </c>
      <c r="Q16" s="310">
        <v>8186.6107344318762</v>
      </c>
      <c r="R16" s="314">
        <v>24667.928353539231</v>
      </c>
      <c r="S16" s="315">
        <v>27963.156700941643</v>
      </c>
      <c r="U16" s="7" t="s">
        <v>2927</v>
      </c>
    </row>
    <row r="17" spans="1:21" ht="16.5" customHeight="1" thickBot="1">
      <c r="A17" s="50" t="s">
        <v>35</v>
      </c>
      <c r="B17" s="51">
        <f t="shared" si="0"/>
        <v>140</v>
      </c>
      <c r="C17" s="51" t="s">
        <v>3</v>
      </c>
      <c r="D17" s="51">
        <f t="shared" si="1"/>
        <v>160</v>
      </c>
      <c r="E17" s="51" t="s">
        <v>3</v>
      </c>
      <c r="F17" s="110">
        <f t="shared" si="2"/>
        <v>950</v>
      </c>
      <c r="G17" s="51" t="s">
        <v>3</v>
      </c>
      <c r="H17" s="48">
        <v>4</v>
      </c>
      <c r="I17" s="49" t="s">
        <v>46</v>
      </c>
      <c r="J17" s="184">
        <v>140</v>
      </c>
      <c r="K17" s="113">
        <v>160</v>
      </c>
      <c r="L17" s="113">
        <v>950</v>
      </c>
      <c r="M17" s="202">
        <v>9.0340532592384193</v>
      </c>
      <c r="N17" s="87">
        <v>391.09597199999996</v>
      </c>
      <c r="O17" s="121">
        <v>17112.894428697189</v>
      </c>
      <c r="P17" s="121">
        <v>20575.548178582168</v>
      </c>
      <c r="Q17" s="310">
        <v>8726.8165954461019</v>
      </c>
      <c r="R17" s="314">
        <v>25839.711024143289</v>
      </c>
      <c r="S17" s="315">
        <v>29302.364774028269</v>
      </c>
      <c r="U17" s="7" t="s">
        <v>2928</v>
      </c>
    </row>
    <row r="18" spans="1:21" ht="16.5" customHeight="1" thickBot="1">
      <c r="A18" s="50" t="s">
        <v>35</v>
      </c>
      <c r="B18" s="51">
        <f t="shared" si="0"/>
        <v>140</v>
      </c>
      <c r="C18" s="51" t="s">
        <v>3</v>
      </c>
      <c r="D18" s="51">
        <f t="shared" si="1"/>
        <v>160</v>
      </c>
      <c r="E18" s="51" t="s">
        <v>3</v>
      </c>
      <c r="F18" s="110">
        <f t="shared" si="2"/>
        <v>1000</v>
      </c>
      <c r="G18" s="51" t="s">
        <v>3</v>
      </c>
      <c r="H18" s="48">
        <v>4</v>
      </c>
      <c r="I18" s="49" t="s">
        <v>46</v>
      </c>
      <c r="J18" s="184">
        <v>140</v>
      </c>
      <c r="K18" s="113">
        <v>160</v>
      </c>
      <c r="L18" s="113">
        <v>1000</v>
      </c>
      <c r="M18" s="202">
        <v>9.4762078022615803</v>
      </c>
      <c r="N18" s="87">
        <v>423.68730299999999</v>
      </c>
      <c r="O18" s="121">
        <v>17744.471097893667</v>
      </c>
      <c r="P18" s="121">
        <v>21374.550531047928</v>
      </c>
      <c r="Q18" s="310">
        <v>9036.4406786770523</v>
      </c>
      <c r="R18" s="314">
        <v>26780.91177657072</v>
      </c>
      <c r="S18" s="315">
        <v>30410.99120972498</v>
      </c>
      <c r="U18" s="7" t="s">
        <v>2929</v>
      </c>
    </row>
    <row r="19" spans="1:21" ht="16.5" customHeight="1" thickBot="1">
      <c r="A19" s="50" t="s">
        <v>35</v>
      </c>
      <c r="B19" s="51">
        <f t="shared" si="0"/>
        <v>140</v>
      </c>
      <c r="C19" s="51" t="s">
        <v>3</v>
      </c>
      <c r="D19" s="51">
        <f t="shared" si="1"/>
        <v>160</v>
      </c>
      <c r="E19" s="51" t="s">
        <v>3</v>
      </c>
      <c r="F19" s="110">
        <f t="shared" si="2"/>
        <v>1050</v>
      </c>
      <c r="G19" s="51" t="s">
        <v>3</v>
      </c>
      <c r="H19" s="48">
        <v>4</v>
      </c>
      <c r="I19" s="49" t="s">
        <v>46</v>
      </c>
      <c r="J19" s="184">
        <v>140</v>
      </c>
      <c r="K19" s="113">
        <v>160</v>
      </c>
      <c r="L19" s="113">
        <v>1050</v>
      </c>
      <c r="M19" s="202">
        <v>9.9354023452847393</v>
      </c>
      <c r="N19" s="87">
        <v>456.2786339999999</v>
      </c>
      <c r="O19" s="121">
        <v>18376.047907483502</v>
      </c>
      <c r="P19" s="121">
        <v>22173.55274312033</v>
      </c>
      <c r="Q19" s="310">
        <v>9576.6465396912772</v>
      </c>
      <c r="R19" s="314">
        <v>27952.694447174777</v>
      </c>
      <c r="S19" s="315">
        <v>31750.199282811605</v>
      </c>
      <c r="U19" s="7" t="s">
        <v>2930</v>
      </c>
    </row>
    <row r="20" spans="1:21" ht="16.5" customHeight="1" thickBot="1">
      <c r="A20" s="47" t="s">
        <v>35</v>
      </c>
      <c r="B20" s="48">
        <f t="shared" si="0"/>
        <v>140</v>
      </c>
      <c r="C20" s="48" t="s">
        <v>3</v>
      </c>
      <c r="D20" s="48">
        <f t="shared" si="1"/>
        <v>160</v>
      </c>
      <c r="E20" s="48" t="s">
        <v>3</v>
      </c>
      <c r="F20" s="110">
        <f t="shared" si="2"/>
        <v>1100</v>
      </c>
      <c r="G20" s="48" t="s">
        <v>3</v>
      </c>
      <c r="H20" s="48">
        <v>4</v>
      </c>
      <c r="I20" s="49" t="s">
        <v>46</v>
      </c>
      <c r="J20" s="184">
        <v>140</v>
      </c>
      <c r="K20" s="113">
        <v>160</v>
      </c>
      <c r="L20" s="113">
        <v>1100</v>
      </c>
      <c r="M20" s="202">
        <v>10.377556888307893</v>
      </c>
      <c r="N20" s="87">
        <v>488.86996499999998</v>
      </c>
      <c r="O20" s="121">
        <v>19007.62471707334</v>
      </c>
      <c r="P20" s="121">
        <v>22972.555095586093</v>
      </c>
      <c r="Q20" s="310">
        <v>9886.2704825288656</v>
      </c>
      <c r="R20" s="314">
        <v>28893.895199602208</v>
      </c>
      <c r="S20" s="315">
        <v>32858.825578114956</v>
      </c>
      <c r="U20" s="7" t="s">
        <v>2931</v>
      </c>
    </row>
    <row r="21" spans="1:21" ht="16.5" customHeight="1" thickBot="1">
      <c r="A21" s="50" t="s">
        <v>35</v>
      </c>
      <c r="B21" s="51">
        <f t="shared" si="0"/>
        <v>140</v>
      </c>
      <c r="C21" s="51" t="s">
        <v>3</v>
      </c>
      <c r="D21" s="51">
        <f t="shared" si="1"/>
        <v>160</v>
      </c>
      <c r="E21" s="51" t="s">
        <v>3</v>
      </c>
      <c r="F21" s="110">
        <f t="shared" si="2"/>
        <v>1150</v>
      </c>
      <c r="G21" s="51" t="s">
        <v>3</v>
      </c>
      <c r="H21" s="48">
        <v>4</v>
      </c>
      <c r="I21" s="49" t="s">
        <v>46</v>
      </c>
      <c r="J21" s="184">
        <v>140</v>
      </c>
      <c r="K21" s="113">
        <v>160</v>
      </c>
      <c r="L21" s="113">
        <v>1150</v>
      </c>
      <c r="M21" s="202">
        <v>10.819711431331058</v>
      </c>
      <c r="N21" s="87">
        <v>521.46129599999995</v>
      </c>
      <c r="O21" s="121">
        <v>19639.201386269815</v>
      </c>
      <c r="P21" s="121">
        <v>23771.557307658495</v>
      </c>
      <c r="Q21" s="310">
        <v>10195.894565759814</v>
      </c>
      <c r="R21" s="314">
        <v>29835.095952029631</v>
      </c>
      <c r="S21" s="315">
        <v>33967.451873418308</v>
      </c>
      <c r="U21" s="7" t="s">
        <v>2932</v>
      </c>
    </row>
    <row r="22" spans="1:21" ht="16.5" customHeight="1" thickBot="1">
      <c r="A22" s="50" t="s">
        <v>35</v>
      </c>
      <c r="B22" s="51">
        <f t="shared" si="0"/>
        <v>140</v>
      </c>
      <c r="C22" s="51" t="s">
        <v>3</v>
      </c>
      <c r="D22" s="51">
        <f t="shared" si="1"/>
        <v>160</v>
      </c>
      <c r="E22" s="51" t="s">
        <v>3</v>
      </c>
      <c r="F22" s="110">
        <f t="shared" si="2"/>
        <v>1200</v>
      </c>
      <c r="G22" s="51" t="s">
        <v>3</v>
      </c>
      <c r="H22" s="48">
        <v>4</v>
      </c>
      <c r="I22" s="49" t="s">
        <v>46</v>
      </c>
      <c r="J22" s="184">
        <v>140</v>
      </c>
      <c r="K22" s="113">
        <v>160</v>
      </c>
      <c r="L22" s="113">
        <v>1200</v>
      </c>
      <c r="M22" s="202">
        <v>11.357405974354212</v>
      </c>
      <c r="N22" s="87">
        <v>554.05262699999992</v>
      </c>
      <c r="O22" s="121">
        <v>20343.871753751479</v>
      </c>
      <c r="P22" s="121">
        <v>24648.184975364216</v>
      </c>
      <c r="Q22" s="310">
        <v>10736.100426774039</v>
      </c>
      <c r="R22" s="314">
        <v>31079.972180525518</v>
      </c>
      <c r="S22" s="315">
        <v>35384.285402138252</v>
      </c>
      <c r="U22" s="7" t="s">
        <v>2933</v>
      </c>
    </row>
    <row r="23" spans="1:21" ht="16.5" customHeight="1" thickBot="1">
      <c r="A23" s="50" t="s">
        <v>35</v>
      </c>
      <c r="B23" s="51">
        <f t="shared" si="0"/>
        <v>140</v>
      </c>
      <c r="C23" s="51" t="s">
        <v>3</v>
      </c>
      <c r="D23" s="51">
        <f t="shared" si="1"/>
        <v>160</v>
      </c>
      <c r="E23" s="51" t="s">
        <v>3</v>
      </c>
      <c r="F23" s="110">
        <f t="shared" si="2"/>
        <v>1250</v>
      </c>
      <c r="G23" s="51" t="s">
        <v>3</v>
      </c>
      <c r="H23" s="48">
        <v>4</v>
      </c>
      <c r="I23" s="49" t="s">
        <v>46</v>
      </c>
      <c r="J23" s="184">
        <v>140</v>
      </c>
      <c r="K23" s="113">
        <v>160</v>
      </c>
      <c r="L23" s="113">
        <v>1250</v>
      </c>
      <c r="M23" s="202">
        <v>11.799560517377365</v>
      </c>
      <c r="N23" s="87">
        <v>586.643958</v>
      </c>
      <c r="O23" s="121">
        <v>20975.448563341317</v>
      </c>
      <c r="P23" s="121">
        <v>25447.187327829983</v>
      </c>
      <c r="Q23" s="310">
        <v>11045.724510004989</v>
      </c>
      <c r="R23" s="314">
        <v>32021.173073346305</v>
      </c>
      <c r="S23" s="315">
        <v>36492.911837834974</v>
      </c>
      <c r="U23" s="7" t="s">
        <v>2934</v>
      </c>
    </row>
    <row r="24" spans="1:21" ht="16.5" customHeight="1" thickBot="1">
      <c r="A24" s="50" t="s">
        <v>35</v>
      </c>
      <c r="B24" s="51">
        <f t="shared" si="0"/>
        <v>140</v>
      </c>
      <c r="C24" s="51" t="s">
        <v>3</v>
      </c>
      <c r="D24" s="51">
        <f t="shared" si="1"/>
        <v>160</v>
      </c>
      <c r="E24" s="51" t="s">
        <v>3</v>
      </c>
      <c r="F24" s="110">
        <f t="shared" si="2"/>
        <v>1300</v>
      </c>
      <c r="G24" s="51" t="s">
        <v>3</v>
      </c>
      <c r="H24" s="48">
        <v>4</v>
      </c>
      <c r="I24" s="49" t="s">
        <v>46</v>
      </c>
      <c r="J24" s="184">
        <v>140</v>
      </c>
      <c r="K24" s="113">
        <v>160</v>
      </c>
      <c r="L24" s="113">
        <v>1300</v>
      </c>
      <c r="M24" s="202">
        <v>12.258755060400521</v>
      </c>
      <c r="N24" s="87">
        <v>619.23528899999985</v>
      </c>
      <c r="O24" s="121">
        <v>21607.025372931155</v>
      </c>
      <c r="P24" s="121">
        <v>26246.189539902382</v>
      </c>
      <c r="Q24" s="310">
        <v>11585.930230625852</v>
      </c>
      <c r="R24" s="314">
        <v>33192.955603557006</v>
      </c>
      <c r="S24" s="315">
        <v>37832.119770528232</v>
      </c>
      <c r="U24" s="7" t="s">
        <v>2935</v>
      </c>
    </row>
    <row r="25" spans="1:21" ht="16.5" customHeight="1" thickBot="1">
      <c r="A25" s="50" t="s">
        <v>35</v>
      </c>
      <c r="B25" s="51">
        <f t="shared" si="0"/>
        <v>140</v>
      </c>
      <c r="C25" s="51" t="s">
        <v>3</v>
      </c>
      <c r="D25" s="51">
        <f t="shared" si="1"/>
        <v>160</v>
      </c>
      <c r="E25" s="51" t="s">
        <v>3</v>
      </c>
      <c r="F25" s="110">
        <f t="shared" si="2"/>
        <v>1350</v>
      </c>
      <c r="G25" s="51" t="s">
        <v>3</v>
      </c>
      <c r="H25" s="48">
        <v>4</v>
      </c>
      <c r="I25" s="49" t="s">
        <v>46</v>
      </c>
      <c r="J25" s="184">
        <v>140</v>
      </c>
      <c r="K25" s="113">
        <v>160</v>
      </c>
      <c r="L25" s="113">
        <v>1350</v>
      </c>
      <c r="M25" s="202">
        <v>12.700909603423684</v>
      </c>
      <c r="N25" s="87">
        <v>651.82661999999993</v>
      </c>
      <c r="O25" s="121">
        <v>22238.60204212763</v>
      </c>
      <c r="P25" s="121">
        <v>27045.19175197478</v>
      </c>
      <c r="Q25" s="310">
        <v>11895.554313856801</v>
      </c>
      <c r="R25" s="314">
        <v>34134.156355984429</v>
      </c>
      <c r="S25" s="315">
        <v>38940.746065831583</v>
      </c>
      <c r="U25" s="7" t="s">
        <v>2936</v>
      </c>
    </row>
    <row r="26" spans="1:21" ht="16.5" customHeight="1" thickBot="1">
      <c r="A26" s="50" t="s">
        <v>35</v>
      </c>
      <c r="B26" s="51">
        <f t="shared" si="0"/>
        <v>140</v>
      </c>
      <c r="C26" s="51" t="s">
        <v>3</v>
      </c>
      <c r="D26" s="51">
        <f t="shared" si="1"/>
        <v>160</v>
      </c>
      <c r="E26" s="51" t="s">
        <v>3</v>
      </c>
      <c r="F26" s="110">
        <f t="shared" si="2"/>
        <v>1400</v>
      </c>
      <c r="G26" s="51" t="s">
        <v>3</v>
      </c>
      <c r="H26" s="48">
        <v>4</v>
      </c>
      <c r="I26" s="49" t="s">
        <v>46</v>
      </c>
      <c r="J26" s="184">
        <v>140</v>
      </c>
      <c r="K26" s="113">
        <v>160</v>
      </c>
      <c r="L26" s="113">
        <v>1400</v>
      </c>
      <c r="M26" s="202">
        <v>13.160104146446844</v>
      </c>
      <c r="N26" s="87">
        <v>684.41795100000002</v>
      </c>
      <c r="O26" s="121">
        <v>22870.178851717468</v>
      </c>
      <c r="P26" s="121">
        <v>27844.194104440543</v>
      </c>
      <c r="Q26" s="310">
        <v>12435.760174871028</v>
      </c>
      <c r="R26" s="314">
        <v>35305.939026588494</v>
      </c>
      <c r="S26" s="315">
        <v>40279.954279311569</v>
      </c>
      <c r="U26" s="7" t="s">
        <v>2937</v>
      </c>
    </row>
    <row r="27" spans="1:21" ht="16.5" customHeight="1" thickBot="1">
      <c r="A27" s="50" t="s">
        <v>35</v>
      </c>
      <c r="B27" s="51">
        <f t="shared" si="0"/>
        <v>140</v>
      </c>
      <c r="C27" s="51" t="s">
        <v>3</v>
      </c>
      <c r="D27" s="51">
        <f t="shared" si="1"/>
        <v>160</v>
      </c>
      <c r="E27" s="51" t="s">
        <v>3</v>
      </c>
      <c r="F27" s="110">
        <f t="shared" si="2"/>
        <v>1450</v>
      </c>
      <c r="G27" s="51" t="s">
        <v>3</v>
      </c>
      <c r="H27" s="48">
        <v>4</v>
      </c>
      <c r="I27" s="49" t="s">
        <v>46</v>
      </c>
      <c r="J27" s="184">
        <v>140</v>
      </c>
      <c r="K27" s="113">
        <v>160</v>
      </c>
      <c r="L27" s="113">
        <v>1450</v>
      </c>
      <c r="M27" s="202">
        <v>13.602258689470002</v>
      </c>
      <c r="N27" s="87">
        <v>717.00928199999998</v>
      </c>
      <c r="O27" s="121">
        <v>23501.755520913943</v>
      </c>
      <c r="P27" s="121">
        <v>28643.196316512945</v>
      </c>
      <c r="Q27" s="310">
        <v>12745.384258101978</v>
      </c>
      <c r="R27" s="314">
        <v>36247.139779015924</v>
      </c>
      <c r="S27" s="315">
        <v>41388.580574614927</v>
      </c>
      <c r="U27" s="7" t="s">
        <v>2938</v>
      </c>
    </row>
    <row r="28" spans="1:21" ht="16.5" customHeight="1" thickBot="1">
      <c r="A28" s="50" t="s">
        <v>35</v>
      </c>
      <c r="B28" s="51">
        <f t="shared" si="0"/>
        <v>140</v>
      </c>
      <c r="C28" s="51" t="s">
        <v>3</v>
      </c>
      <c r="D28" s="51">
        <f t="shared" si="1"/>
        <v>160</v>
      </c>
      <c r="E28" s="51" t="s">
        <v>3</v>
      </c>
      <c r="F28" s="110">
        <f t="shared" si="2"/>
        <v>1500</v>
      </c>
      <c r="G28" s="51" t="s">
        <v>3</v>
      </c>
      <c r="H28" s="48">
        <v>4</v>
      </c>
      <c r="I28" s="49" t="s">
        <v>46</v>
      </c>
      <c r="J28" s="184">
        <v>140</v>
      </c>
      <c r="K28" s="113">
        <v>160</v>
      </c>
      <c r="L28" s="113">
        <v>1500</v>
      </c>
      <c r="M28" s="202">
        <v>14.136153783253157</v>
      </c>
      <c r="N28" s="87">
        <v>749.60061299999984</v>
      </c>
      <c r="O28" s="121">
        <v>24634.874280665594</v>
      </c>
      <c r="P28" s="121">
        <v>29882.988339779258</v>
      </c>
      <c r="Q28" s="310">
        <v>13285.589978722841</v>
      </c>
      <c r="R28" s="314">
        <v>37920.464259388435</v>
      </c>
      <c r="S28" s="315">
        <v>43168.578318502099</v>
      </c>
      <c r="U28" s="7" t="s">
        <v>2939</v>
      </c>
    </row>
    <row r="29" spans="1:21" ht="16.5" customHeight="1" thickBot="1">
      <c r="A29" s="50" t="s">
        <v>35</v>
      </c>
      <c r="B29" s="51">
        <f t="shared" si="0"/>
        <v>140</v>
      </c>
      <c r="C29" s="51" t="s">
        <v>3</v>
      </c>
      <c r="D29" s="51">
        <f t="shared" si="1"/>
        <v>160</v>
      </c>
      <c r="E29" s="51" t="s">
        <v>3</v>
      </c>
      <c r="F29" s="110">
        <f t="shared" si="2"/>
        <v>1550</v>
      </c>
      <c r="G29" s="51" t="s">
        <v>3</v>
      </c>
      <c r="H29" s="48">
        <v>4</v>
      </c>
      <c r="I29" s="49" t="s">
        <v>46</v>
      </c>
      <c r="J29" s="184">
        <v>140</v>
      </c>
      <c r="K29" s="113">
        <v>160</v>
      </c>
      <c r="L29" s="113">
        <v>1550</v>
      </c>
      <c r="M29" s="202">
        <v>14.578308326276314</v>
      </c>
      <c r="N29" s="87">
        <v>782.19194399999992</v>
      </c>
      <c r="O29" s="121">
        <v>25266.451090255432</v>
      </c>
      <c r="P29" s="121">
        <v>30681.990551851657</v>
      </c>
      <c r="Q29" s="310">
        <v>13595.214061953789</v>
      </c>
      <c r="R29" s="314">
        <v>38861.665152209222</v>
      </c>
      <c r="S29" s="315">
        <v>44277.204613805443</v>
      </c>
      <c r="U29" s="7" t="s">
        <v>2940</v>
      </c>
    </row>
    <row r="30" spans="1:21" ht="16.5" customHeight="1" thickBot="1">
      <c r="A30" s="47" t="s">
        <v>35</v>
      </c>
      <c r="B30" s="48">
        <f t="shared" si="0"/>
        <v>140</v>
      </c>
      <c r="C30" s="48" t="s">
        <v>3</v>
      </c>
      <c r="D30" s="48">
        <f t="shared" si="1"/>
        <v>160</v>
      </c>
      <c r="E30" s="48" t="s">
        <v>3</v>
      </c>
      <c r="F30" s="110">
        <f t="shared" si="2"/>
        <v>1600</v>
      </c>
      <c r="G30" s="48" t="s">
        <v>3</v>
      </c>
      <c r="H30" s="48">
        <v>4</v>
      </c>
      <c r="I30" s="49" t="s">
        <v>46</v>
      </c>
      <c r="J30" s="184">
        <v>140</v>
      </c>
      <c r="K30" s="113">
        <v>160</v>
      </c>
      <c r="L30" s="113">
        <v>1600</v>
      </c>
      <c r="M30" s="202">
        <v>15.020462869299473</v>
      </c>
      <c r="N30" s="87">
        <v>814.78327499999989</v>
      </c>
      <c r="O30" s="121">
        <v>25898.027759451907</v>
      </c>
      <c r="P30" s="121">
        <v>31480.992904317416</v>
      </c>
      <c r="Q30" s="310">
        <v>13904.83814518474</v>
      </c>
      <c r="R30" s="314">
        <v>39802.865904636645</v>
      </c>
      <c r="S30" s="315">
        <v>45385.831049502158</v>
      </c>
      <c r="U30" s="7" t="s">
        <v>2941</v>
      </c>
    </row>
    <row r="31" spans="1:21" ht="16.5" customHeight="1" thickBot="1">
      <c r="A31" s="50" t="s">
        <v>35</v>
      </c>
      <c r="B31" s="51">
        <f t="shared" si="0"/>
        <v>140</v>
      </c>
      <c r="C31" s="51" t="s">
        <v>3</v>
      </c>
      <c r="D31" s="51">
        <f t="shared" si="1"/>
        <v>160</v>
      </c>
      <c r="E31" s="51" t="s">
        <v>3</v>
      </c>
      <c r="F31" s="110">
        <f t="shared" si="2"/>
        <v>1650</v>
      </c>
      <c r="G31" s="51" t="s">
        <v>3</v>
      </c>
      <c r="H31" s="48">
        <v>4</v>
      </c>
      <c r="I31" s="49" t="s">
        <v>46</v>
      </c>
      <c r="J31" s="184">
        <v>140</v>
      </c>
      <c r="K31" s="113">
        <v>160</v>
      </c>
      <c r="L31" s="113">
        <v>1650</v>
      </c>
      <c r="M31" s="202">
        <v>15.479657412322638</v>
      </c>
      <c r="N31" s="87">
        <v>847.37460599999997</v>
      </c>
      <c r="O31" s="121">
        <v>26529.604569041745</v>
      </c>
      <c r="P31" s="121">
        <v>32279.995116389819</v>
      </c>
      <c r="Q31" s="310">
        <v>14445.044006198967</v>
      </c>
      <c r="R31" s="314">
        <v>40974.64857524071</v>
      </c>
      <c r="S31" s="315">
        <v>46725.039122588787</v>
      </c>
      <c r="U31" s="7" t="s">
        <v>2942</v>
      </c>
    </row>
    <row r="32" spans="1:21" ht="16.5" customHeight="1" thickBot="1">
      <c r="A32" s="50" t="s">
        <v>35</v>
      </c>
      <c r="B32" s="51">
        <f t="shared" si="0"/>
        <v>140</v>
      </c>
      <c r="C32" s="51" t="s">
        <v>3</v>
      </c>
      <c r="D32" s="51">
        <f t="shared" si="1"/>
        <v>160</v>
      </c>
      <c r="E32" s="51" t="s">
        <v>3</v>
      </c>
      <c r="F32" s="110">
        <f t="shared" si="2"/>
        <v>1700</v>
      </c>
      <c r="G32" s="51" t="s">
        <v>3</v>
      </c>
      <c r="H32" s="48">
        <v>4</v>
      </c>
      <c r="I32" s="49" t="s">
        <v>46</v>
      </c>
      <c r="J32" s="184">
        <v>140</v>
      </c>
      <c r="K32" s="113">
        <v>160</v>
      </c>
      <c r="L32" s="113">
        <v>1700</v>
      </c>
      <c r="M32" s="202">
        <v>15.921811955345788</v>
      </c>
      <c r="N32" s="87">
        <v>879.96593699999994</v>
      </c>
      <c r="O32" s="121">
        <v>27161.181378631583</v>
      </c>
      <c r="P32" s="121">
        <v>33078.997468855581</v>
      </c>
      <c r="Q32" s="310">
        <v>14754.667949036411</v>
      </c>
      <c r="R32" s="314">
        <v>41915.849327667995</v>
      </c>
      <c r="S32" s="315">
        <v>47833.665417891993</v>
      </c>
      <c r="U32" s="7" t="s">
        <v>2943</v>
      </c>
    </row>
    <row r="33" spans="1:21" ht="16.5" customHeight="1" thickBot="1">
      <c r="A33" s="50" t="s">
        <v>35</v>
      </c>
      <c r="B33" s="51">
        <f t="shared" si="0"/>
        <v>140</v>
      </c>
      <c r="C33" s="51" t="s">
        <v>3</v>
      </c>
      <c r="D33" s="51">
        <f t="shared" si="1"/>
        <v>160</v>
      </c>
      <c r="E33" s="51" t="s">
        <v>3</v>
      </c>
      <c r="F33" s="110">
        <f t="shared" si="2"/>
        <v>1750</v>
      </c>
      <c r="G33" s="51" t="s">
        <v>3</v>
      </c>
      <c r="H33" s="48">
        <v>4</v>
      </c>
      <c r="I33" s="49" t="s">
        <v>46</v>
      </c>
      <c r="J33" s="184">
        <v>140</v>
      </c>
      <c r="K33" s="113">
        <v>160</v>
      </c>
      <c r="L33" s="113">
        <v>1750</v>
      </c>
      <c r="M33" s="202">
        <v>16.381006498368951</v>
      </c>
      <c r="N33" s="87">
        <v>912.55726799999979</v>
      </c>
      <c r="O33" s="121">
        <v>27792.758047828058</v>
      </c>
      <c r="P33" s="121">
        <v>33877.999680927984</v>
      </c>
      <c r="Q33" s="310">
        <v>15294.87381005078</v>
      </c>
      <c r="R33" s="314">
        <v>43087.631857878834</v>
      </c>
      <c r="S33" s="315">
        <v>49172.87349097876</v>
      </c>
      <c r="U33" s="7" t="s">
        <v>2944</v>
      </c>
    </row>
    <row r="34" spans="1:21" ht="16.5" customHeight="1" thickBot="1">
      <c r="A34" s="50" t="s">
        <v>35</v>
      </c>
      <c r="B34" s="51">
        <f t="shared" si="0"/>
        <v>140</v>
      </c>
      <c r="C34" s="51" t="s">
        <v>3</v>
      </c>
      <c r="D34" s="51">
        <f t="shared" si="1"/>
        <v>160</v>
      </c>
      <c r="E34" s="51" t="s">
        <v>3</v>
      </c>
      <c r="F34" s="110">
        <f t="shared" si="2"/>
        <v>1800</v>
      </c>
      <c r="G34" s="51" t="s">
        <v>3</v>
      </c>
      <c r="H34" s="48">
        <v>4</v>
      </c>
      <c r="I34" s="49" t="s">
        <v>46</v>
      </c>
      <c r="J34" s="184">
        <v>140</v>
      </c>
      <c r="K34" s="113">
        <v>160</v>
      </c>
      <c r="L34" s="113">
        <v>1800</v>
      </c>
      <c r="M34" s="202">
        <v>16.823161041392105</v>
      </c>
      <c r="N34" s="87">
        <v>945.14859899999988</v>
      </c>
      <c r="O34" s="121">
        <v>28424.334857417896</v>
      </c>
      <c r="P34" s="121">
        <v>34677.001893000379</v>
      </c>
      <c r="Q34" s="310">
        <v>15604.497893281728</v>
      </c>
      <c r="R34" s="314">
        <v>44028.832750699628</v>
      </c>
      <c r="S34" s="315">
        <v>50281.499786282104</v>
      </c>
      <c r="U34" s="7" t="s">
        <v>2945</v>
      </c>
    </row>
    <row r="35" spans="1:21" ht="16.5" customHeight="1" thickBot="1">
      <c r="A35" s="50" t="s">
        <v>35</v>
      </c>
      <c r="B35" s="51">
        <f t="shared" si="0"/>
        <v>140</v>
      </c>
      <c r="C35" s="51" t="s">
        <v>3</v>
      </c>
      <c r="D35" s="51">
        <f t="shared" si="1"/>
        <v>160</v>
      </c>
      <c r="E35" s="51" t="s">
        <v>3</v>
      </c>
      <c r="F35" s="110">
        <f t="shared" si="2"/>
        <v>1850</v>
      </c>
      <c r="G35" s="51" t="s">
        <v>3</v>
      </c>
      <c r="H35" s="48">
        <v>4</v>
      </c>
      <c r="I35" s="49" t="s">
        <v>46</v>
      </c>
      <c r="J35" s="184">
        <v>140</v>
      </c>
      <c r="K35" s="113">
        <v>160</v>
      </c>
      <c r="L35" s="113">
        <v>1850</v>
      </c>
      <c r="M35" s="202">
        <v>17.282355584415257</v>
      </c>
      <c r="N35" s="87">
        <v>977.73992999999996</v>
      </c>
      <c r="O35" s="121">
        <v>29055.911526614371</v>
      </c>
      <c r="P35" s="121">
        <v>35476.004245466145</v>
      </c>
      <c r="Q35" s="310">
        <v>16144.703754295953</v>
      </c>
      <c r="R35" s="314">
        <v>45200.615280910322</v>
      </c>
      <c r="S35" s="315">
        <v>51620.707999762097</v>
      </c>
      <c r="U35" s="7" t="s">
        <v>2946</v>
      </c>
    </row>
    <row r="36" spans="1:21" ht="16.5" customHeight="1" thickBot="1">
      <c r="A36" s="50" t="s">
        <v>35</v>
      </c>
      <c r="B36" s="51">
        <f t="shared" si="0"/>
        <v>140</v>
      </c>
      <c r="C36" s="51" t="s">
        <v>3</v>
      </c>
      <c r="D36" s="51">
        <f t="shared" si="1"/>
        <v>160</v>
      </c>
      <c r="E36" s="51" t="s">
        <v>3</v>
      </c>
      <c r="F36" s="110">
        <f t="shared" si="2"/>
        <v>1900</v>
      </c>
      <c r="G36" s="51" t="s">
        <v>3</v>
      </c>
      <c r="H36" s="48">
        <v>4</v>
      </c>
      <c r="I36" s="49" t="s">
        <v>46</v>
      </c>
      <c r="J36" s="184">
        <v>140</v>
      </c>
      <c r="K36" s="113">
        <v>160</v>
      </c>
      <c r="L36" s="113">
        <v>1900</v>
      </c>
      <c r="M36" s="202">
        <v>17.724510127438414</v>
      </c>
      <c r="N36" s="87">
        <v>1010.3312609999999</v>
      </c>
      <c r="O36" s="121">
        <v>29687.488336204206</v>
      </c>
      <c r="P36" s="121">
        <v>36275.006457538548</v>
      </c>
      <c r="Q36" s="310">
        <v>16454.32769713354</v>
      </c>
      <c r="R36" s="314">
        <v>46141.816033337745</v>
      </c>
      <c r="S36" s="315">
        <v>52729.334154672091</v>
      </c>
      <c r="U36" s="7" t="s">
        <v>2947</v>
      </c>
    </row>
    <row r="37" spans="1:21" ht="16.5" customHeight="1" thickBot="1">
      <c r="A37" s="50" t="s">
        <v>35</v>
      </c>
      <c r="B37" s="51">
        <f t="shared" si="0"/>
        <v>140</v>
      </c>
      <c r="C37" s="51" t="s">
        <v>3</v>
      </c>
      <c r="D37" s="51">
        <f t="shared" si="1"/>
        <v>160</v>
      </c>
      <c r="E37" s="51" t="s">
        <v>3</v>
      </c>
      <c r="F37" s="110">
        <f t="shared" si="2"/>
        <v>1950</v>
      </c>
      <c r="G37" s="51" t="s">
        <v>3</v>
      </c>
      <c r="H37" s="48">
        <v>4</v>
      </c>
      <c r="I37" s="49" t="s">
        <v>46</v>
      </c>
      <c r="J37" s="184">
        <v>140</v>
      </c>
      <c r="K37" s="113">
        <v>160</v>
      </c>
      <c r="L37" s="113">
        <v>1950</v>
      </c>
      <c r="M37" s="202">
        <v>18.24516467046158</v>
      </c>
      <c r="N37" s="87">
        <v>1042.9225919999999</v>
      </c>
      <c r="O37" s="121">
        <v>30392.158703685873</v>
      </c>
      <c r="P37" s="121">
        <v>37151.634265637629</v>
      </c>
      <c r="Q37" s="310">
        <v>16763.951780364492</v>
      </c>
      <c r="R37" s="314">
        <v>47156.110484050369</v>
      </c>
      <c r="S37" s="315">
        <v>53915.586046002121</v>
      </c>
      <c r="U37" s="7" t="s">
        <v>2948</v>
      </c>
    </row>
    <row r="38" spans="1:21" ht="16.5" customHeight="1" thickBot="1">
      <c r="A38" s="50" t="s">
        <v>35</v>
      </c>
      <c r="B38" s="51">
        <f t="shared" si="0"/>
        <v>140</v>
      </c>
      <c r="C38" s="51" t="s">
        <v>3</v>
      </c>
      <c r="D38" s="51">
        <f t="shared" si="1"/>
        <v>160</v>
      </c>
      <c r="E38" s="51" t="s">
        <v>3</v>
      </c>
      <c r="F38" s="110">
        <f t="shared" si="2"/>
        <v>2000</v>
      </c>
      <c r="G38" s="51" t="s">
        <v>3</v>
      </c>
      <c r="H38" s="48">
        <v>4</v>
      </c>
      <c r="I38" s="49" t="s">
        <v>46</v>
      </c>
      <c r="J38" s="184">
        <v>140</v>
      </c>
      <c r="K38" s="113">
        <v>160</v>
      </c>
      <c r="L38" s="113">
        <v>2000</v>
      </c>
      <c r="M38" s="202">
        <v>18.795921613484737</v>
      </c>
      <c r="N38" s="87">
        <v>1075.5139229999997</v>
      </c>
      <c r="O38" s="121">
        <v>31242.144624956782</v>
      </c>
      <c r="P38" s="121">
        <v>38263.31720522933</v>
      </c>
      <c r="Q38" s="310">
        <v>17304.157641378715</v>
      </c>
      <c r="R38" s="314">
        <v>48546.302266335493</v>
      </c>
      <c r="S38" s="315">
        <v>55567.474846608049</v>
      </c>
      <c r="U38" s="7" t="s">
        <v>2949</v>
      </c>
    </row>
    <row r="39" spans="1:21" ht="16.5" customHeight="1" thickBot="1">
      <c r="A39" s="50" t="s">
        <v>35</v>
      </c>
      <c r="B39" s="51">
        <f t="shared" si="0"/>
        <v>140</v>
      </c>
      <c r="C39" s="51" t="s">
        <v>3</v>
      </c>
      <c r="D39" s="51">
        <f t="shared" si="1"/>
        <v>160</v>
      </c>
      <c r="E39" s="51" t="s">
        <v>3</v>
      </c>
      <c r="F39" s="110">
        <f t="shared" si="2"/>
        <v>2050</v>
      </c>
      <c r="G39" s="51" t="s">
        <v>3</v>
      </c>
      <c r="H39" s="48">
        <v>4</v>
      </c>
      <c r="I39" s="49" t="s">
        <v>46</v>
      </c>
      <c r="J39" s="184">
        <v>140</v>
      </c>
      <c r="K39" s="113">
        <v>160</v>
      </c>
      <c r="L39" s="113">
        <v>2050</v>
      </c>
      <c r="M39" s="202">
        <v>19.238076156507887</v>
      </c>
      <c r="N39" s="87">
        <v>1108.1052539999998</v>
      </c>
      <c r="O39" s="121">
        <v>31873.72143454662</v>
      </c>
      <c r="P39" s="121">
        <v>39062.319557695097</v>
      </c>
      <c r="Q39" s="310">
        <v>17613.781724609664</v>
      </c>
      <c r="R39" s="314">
        <v>49487.503159156287</v>
      </c>
      <c r="S39" s="315">
        <v>56676.101282304764</v>
      </c>
      <c r="U39" s="7" t="s">
        <v>2950</v>
      </c>
    </row>
    <row r="40" spans="1:21" ht="16.5" customHeight="1" thickBot="1">
      <c r="A40" s="47" t="s">
        <v>35</v>
      </c>
      <c r="B40" s="48">
        <f t="shared" si="0"/>
        <v>140</v>
      </c>
      <c r="C40" s="48" t="s">
        <v>3</v>
      </c>
      <c r="D40" s="48">
        <f t="shared" si="1"/>
        <v>160</v>
      </c>
      <c r="E40" s="48" t="s">
        <v>3</v>
      </c>
      <c r="F40" s="110">
        <f t="shared" si="2"/>
        <v>2100</v>
      </c>
      <c r="G40" s="48" t="s">
        <v>3</v>
      </c>
      <c r="H40" s="48">
        <v>4</v>
      </c>
      <c r="I40" s="49" t="s">
        <v>46</v>
      </c>
      <c r="J40" s="184">
        <v>140</v>
      </c>
      <c r="K40" s="113">
        <v>160</v>
      </c>
      <c r="L40" s="113">
        <v>2100</v>
      </c>
      <c r="M40" s="202">
        <v>19.697270699531053</v>
      </c>
      <c r="N40" s="87">
        <v>1140.6965849999999</v>
      </c>
      <c r="O40" s="121">
        <v>32505.298103743095</v>
      </c>
      <c r="P40" s="121">
        <v>39861.321769767492</v>
      </c>
      <c r="Q40" s="310">
        <v>18153.98758562389</v>
      </c>
      <c r="R40" s="314">
        <v>50659.285689366981</v>
      </c>
      <c r="S40" s="315">
        <v>58015.309355391379</v>
      </c>
      <c r="U40" s="7" t="s">
        <v>2951</v>
      </c>
    </row>
    <row r="41" spans="1:21" ht="16.5" customHeight="1" thickBot="1">
      <c r="A41" s="50" t="s">
        <v>35</v>
      </c>
      <c r="B41" s="51">
        <f t="shared" si="0"/>
        <v>140</v>
      </c>
      <c r="C41" s="51" t="s">
        <v>3</v>
      </c>
      <c r="D41" s="51">
        <f t="shared" si="1"/>
        <v>160</v>
      </c>
      <c r="E41" s="51" t="s">
        <v>3</v>
      </c>
      <c r="F41" s="110">
        <f t="shared" si="2"/>
        <v>2150</v>
      </c>
      <c r="G41" s="51" t="s">
        <v>3</v>
      </c>
      <c r="H41" s="48">
        <v>4</v>
      </c>
      <c r="I41" s="49" t="s">
        <v>46</v>
      </c>
      <c r="J41" s="184">
        <v>140</v>
      </c>
      <c r="K41" s="113">
        <v>160</v>
      </c>
      <c r="L41" s="113">
        <v>2150</v>
      </c>
      <c r="M41" s="202">
        <v>20.139425242554211</v>
      </c>
      <c r="N41" s="87">
        <v>1173.287916</v>
      </c>
      <c r="O41" s="121">
        <v>33136.874913332933</v>
      </c>
      <c r="P41" s="121">
        <v>40660.323981839894</v>
      </c>
      <c r="Q41" s="310">
        <v>18463.611528461479</v>
      </c>
      <c r="R41" s="314">
        <v>51600.486441794412</v>
      </c>
      <c r="S41" s="315">
        <v>59123.935510301373</v>
      </c>
      <c r="U41" s="7" t="s">
        <v>2952</v>
      </c>
    </row>
    <row r="42" spans="1:21" ht="16.5" customHeight="1" thickBot="1">
      <c r="A42" s="50" t="s">
        <v>35</v>
      </c>
      <c r="B42" s="51">
        <f t="shared" si="0"/>
        <v>140</v>
      </c>
      <c r="C42" s="51" t="s">
        <v>3</v>
      </c>
      <c r="D42" s="51">
        <f t="shared" si="1"/>
        <v>160</v>
      </c>
      <c r="E42" s="51" t="s">
        <v>3</v>
      </c>
      <c r="F42" s="110">
        <f t="shared" si="2"/>
        <v>2200</v>
      </c>
      <c r="G42" s="51" t="s">
        <v>3</v>
      </c>
      <c r="H42" s="48">
        <v>4</v>
      </c>
      <c r="I42" s="49" t="s">
        <v>46</v>
      </c>
      <c r="J42" s="184">
        <v>140</v>
      </c>
      <c r="K42" s="113">
        <v>160</v>
      </c>
      <c r="L42" s="113">
        <v>2200</v>
      </c>
      <c r="M42" s="202">
        <v>20.598619785577363</v>
      </c>
      <c r="N42" s="87">
        <v>1205.8792469999999</v>
      </c>
      <c r="O42" s="121">
        <v>33768.451722922771</v>
      </c>
      <c r="P42" s="121">
        <v>41459.326334305661</v>
      </c>
      <c r="Q42" s="310">
        <v>19003.817389475706</v>
      </c>
      <c r="R42" s="314">
        <v>52772.269112398477</v>
      </c>
      <c r="S42" s="315">
        <v>60463.143723781366</v>
      </c>
      <c r="U42" s="7" t="s">
        <v>2953</v>
      </c>
    </row>
    <row r="43" spans="1:21" ht="16.5" customHeight="1" thickBot="1">
      <c r="A43" s="50" t="s">
        <v>35</v>
      </c>
      <c r="B43" s="51">
        <f t="shared" si="0"/>
        <v>140</v>
      </c>
      <c r="C43" s="51" t="s">
        <v>3</v>
      </c>
      <c r="D43" s="51">
        <f t="shared" si="1"/>
        <v>160</v>
      </c>
      <c r="E43" s="51" t="s">
        <v>3</v>
      </c>
      <c r="F43" s="110">
        <f t="shared" si="2"/>
        <v>2250</v>
      </c>
      <c r="G43" s="51" t="s">
        <v>3</v>
      </c>
      <c r="H43" s="48">
        <v>4</v>
      </c>
      <c r="I43" s="49" t="s">
        <v>46</v>
      </c>
      <c r="J43" s="184">
        <v>140</v>
      </c>
      <c r="K43" s="113">
        <v>160</v>
      </c>
      <c r="L43" s="113">
        <v>2250</v>
      </c>
      <c r="M43" s="202">
        <v>21.04077432860052</v>
      </c>
      <c r="N43" s="87">
        <v>1238.4705779999997</v>
      </c>
      <c r="O43" s="121">
        <v>34400.028392119246</v>
      </c>
      <c r="P43" s="121">
        <v>42258.328546378056</v>
      </c>
      <c r="Q43" s="310">
        <v>19313.441472706654</v>
      </c>
      <c r="R43" s="314">
        <v>53713.4698648259</v>
      </c>
      <c r="S43" s="315">
        <v>61571.77001908471</v>
      </c>
      <c r="U43" s="7" t="s">
        <v>2954</v>
      </c>
    </row>
    <row r="44" spans="1:21" ht="16.5" customHeight="1" thickBot="1">
      <c r="A44" s="50" t="s">
        <v>35</v>
      </c>
      <c r="B44" s="51">
        <f t="shared" si="0"/>
        <v>140</v>
      </c>
      <c r="C44" s="51" t="s">
        <v>3</v>
      </c>
      <c r="D44" s="51">
        <f t="shared" si="1"/>
        <v>160</v>
      </c>
      <c r="E44" s="51" t="s">
        <v>3</v>
      </c>
      <c r="F44" s="110">
        <f t="shared" si="2"/>
        <v>2300</v>
      </c>
      <c r="G44" s="51" t="s">
        <v>3</v>
      </c>
      <c r="H44" s="48">
        <v>4</v>
      </c>
      <c r="I44" s="49" t="s">
        <v>46</v>
      </c>
      <c r="J44" s="184">
        <v>140</v>
      </c>
      <c r="K44" s="113">
        <v>160</v>
      </c>
      <c r="L44" s="113">
        <v>2300</v>
      </c>
      <c r="M44" s="202">
        <v>21.482928871623677</v>
      </c>
      <c r="N44" s="87">
        <v>1271.0619089999998</v>
      </c>
      <c r="O44" s="121">
        <v>35031.605201709084</v>
      </c>
      <c r="P44" s="121">
        <v>43057.330898843822</v>
      </c>
      <c r="Q44" s="310">
        <v>19623.065415544243</v>
      </c>
      <c r="R44" s="314">
        <v>54654.67061725333</v>
      </c>
      <c r="S44" s="315">
        <v>62680.396314388068</v>
      </c>
      <c r="U44" s="7" t="s">
        <v>2955</v>
      </c>
    </row>
    <row r="45" spans="1:21" ht="16.5" customHeight="1" thickBot="1">
      <c r="A45" s="50" t="s">
        <v>35</v>
      </c>
      <c r="B45" s="51">
        <f t="shared" si="0"/>
        <v>140</v>
      </c>
      <c r="C45" s="51" t="s">
        <v>3</v>
      </c>
      <c r="D45" s="51">
        <f t="shared" si="1"/>
        <v>160</v>
      </c>
      <c r="E45" s="51" t="s">
        <v>3</v>
      </c>
      <c r="F45" s="110">
        <f t="shared" si="2"/>
        <v>2350</v>
      </c>
      <c r="G45" s="51" t="s">
        <v>3</v>
      </c>
      <c r="H45" s="48">
        <v>4</v>
      </c>
      <c r="I45" s="49" t="s">
        <v>46</v>
      </c>
      <c r="J45" s="184">
        <v>140</v>
      </c>
      <c r="K45" s="113">
        <v>160</v>
      </c>
      <c r="L45" s="113">
        <v>2350</v>
      </c>
      <c r="M45" s="202">
        <v>21.942123414646844</v>
      </c>
      <c r="N45" s="87">
        <v>1303.6532399999999</v>
      </c>
      <c r="O45" s="121">
        <v>35663.181870905559</v>
      </c>
      <c r="P45" s="121">
        <v>43856.333110916225</v>
      </c>
      <c r="Q45" s="310">
        <v>20163.271276558466</v>
      </c>
      <c r="R45" s="314">
        <v>55826.453147464024</v>
      </c>
      <c r="S45" s="315">
        <v>64019.60438747469</v>
      </c>
      <c r="U45" s="7" t="s">
        <v>2956</v>
      </c>
    </row>
    <row r="46" spans="1:21" ht="16.5" customHeight="1" thickBot="1">
      <c r="A46" s="50" t="s">
        <v>35</v>
      </c>
      <c r="B46" s="51">
        <f t="shared" si="0"/>
        <v>140</v>
      </c>
      <c r="C46" s="51" t="s">
        <v>3</v>
      </c>
      <c r="D46" s="51">
        <f t="shared" si="1"/>
        <v>160</v>
      </c>
      <c r="E46" s="51" t="s">
        <v>3</v>
      </c>
      <c r="F46" s="110">
        <f t="shared" si="2"/>
        <v>2400</v>
      </c>
      <c r="G46" s="51" t="s">
        <v>3</v>
      </c>
      <c r="H46" s="48">
        <v>4</v>
      </c>
      <c r="I46" s="49" t="s">
        <v>46</v>
      </c>
      <c r="J46" s="184">
        <v>140</v>
      </c>
      <c r="K46" s="113">
        <v>160</v>
      </c>
      <c r="L46" s="113">
        <v>2400</v>
      </c>
      <c r="M46" s="202">
        <v>22.384277957669994</v>
      </c>
      <c r="N46" s="87">
        <v>1336.2445709999997</v>
      </c>
      <c r="O46" s="121">
        <v>36294.758680495397</v>
      </c>
      <c r="P46" s="121">
        <v>44655.335463381984</v>
      </c>
      <c r="Q46" s="310">
        <v>20472.895359789418</v>
      </c>
      <c r="R46" s="314">
        <v>56767.654040284819</v>
      </c>
      <c r="S46" s="315">
        <v>65128.230823171398</v>
      </c>
      <c r="U46" s="7" t="s">
        <v>2957</v>
      </c>
    </row>
    <row r="47" spans="1:21" ht="16.5" customHeight="1" thickBot="1">
      <c r="A47" s="50" t="s">
        <v>35</v>
      </c>
      <c r="B47" s="51">
        <f t="shared" si="0"/>
        <v>140</v>
      </c>
      <c r="C47" s="51" t="s">
        <v>3</v>
      </c>
      <c r="D47" s="51">
        <f t="shared" si="1"/>
        <v>160</v>
      </c>
      <c r="E47" s="51" t="s">
        <v>3</v>
      </c>
      <c r="F47" s="110">
        <f t="shared" si="2"/>
        <v>2450</v>
      </c>
      <c r="G47" s="51" t="s">
        <v>3</v>
      </c>
      <c r="H47" s="48">
        <v>4</v>
      </c>
      <c r="I47" s="49" t="s">
        <v>46</v>
      </c>
      <c r="J47" s="184">
        <v>140</v>
      </c>
      <c r="K47" s="113">
        <v>160</v>
      </c>
      <c r="L47" s="113">
        <v>2450</v>
      </c>
      <c r="M47" s="202">
        <v>22.948945051453148</v>
      </c>
      <c r="N47" s="87">
        <v>1368.835902</v>
      </c>
      <c r="O47" s="121">
        <v>37427.877440247044</v>
      </c>
      <c r="P47" s="121">
        <v>45895.127346254936</v>
      </c>
      <c r="Q47" s="310">
        <v>21013.101220803645</v>
      </c>
      <c r="R47" s="314">
        <v>58440.978661050685</v>
      </c>
      <c r="S47" s="315">
        <v>66908.228567058584</v>
      </c>
      <c r="U47" s="7" t="s">
        <v>2958</v>
      </c>
    </row>
    <row r="48" spans="1:21" ht="16.5" customHeight="1" thickBot="1">
      <c r="A48" s="50" t="s">
        <v>35</v>
      </c>
      <c r="B48" s="51">
        <f t="shared" si="0"/>
        <v>140</v>
      </c>
      <c r="C48" s="51" t="s">
        <v>3</v>
      </c>
      <c r="D48" s="51">
        <f t="shared" si="1"/>
        <v>160</v>
      </c>
      <c r="E48" s="51" t="s">
        <v>3</v>
      </c>
      <c r="F48" s="110">
        <f t="shared" si="2"/>
        <v>2500</v>
      </c>
      <c r="G48" s="51" t="s">
        <v>3</v>
      </c>
      <c r="H48" s="48">
        <v>4</v>
      </c>
      <c r="I48" s="49" t="s">
        <v>46</v>
      </c>
      <c r="J48" s="184">
        <v>140</v>
      </c>
      <c r="K48" s="113">
        <v>160</v>
      </c>
      <c r="L48" s="113">
        <v>2500</v>
      </c>
      <c r="M48" s="202">
        <v>23.360327594476303</v>
      </c>
      <c r="N48" s="87">
        <v>1401.4272329999999</v>
      </c>
      <c r="O48" s="121">
        <v>38059.454109443519</v>
      </c>
      <c r="P48" s="121">
        <v>46694.129698720695</v>
      </c>
      <c r="Q48" s="310">
        <v>21322.725304034593</v>
      </c>
      <c r="R48" s="314">
        <v>59382.179413478108</v>
      </c>
      <c r="S48" s="315">
        <v>68016.855002755285</v>
      </c>
      <c r="U48" s="7" t="s">
        <v>2959</v>
      </c>
    </row>
    <row r="49" spans="1:21" ht="16.5" customHeight="1" thickBot="1">
      <c r="A49" s="50" t="s">
        <v>35</v>
      </c>
      <c r="B49" s="51">
        <f t="shared" si="0"/>
        <v>140</v>
      </c>
      <c r="C49" s="51" t="s">
        <v>3</v>
      </c>
      <c r="D49" s="51">
        <f t="shared" si="1"/>
        <v>160</v>
      </c>
      <c r="E49" s="51" t="s">
        <v>3</v>
      </c>
      <c r="F49" s="110">
        <f t="shared" si="2"/>
        <v>2550</v>
      </c>
      <c r="G49" s="51" t="s">
        <v>3</v>
      </c>
      <c r="H49" s="48">
        <v>4</v>
      </c>
      <c r="I49" s="49" t="s">
        <v>46</v>
      </c>
      <c r="J49" s="184">
        <v>140</v>
      </c>
      <c r="K49" s="113">
        <v>160</v>
      </c>
      <c r="L49" s="113">
        <v>2550</v>
      </c>
      <c r="M49" s="202">
        <v>23.819522137499465</v>
      </c>
      <c r="N49" s="87">
        <v>1434.018564</v>
      </c>
      <c r="O49" s="121">
        <v>38691.030919033357</v>
      </c>
      <c r="P49" s="121">
        <v>47493.131910793098</v>
      </c>
      <c r="Q49" s="310">
        <v>21862.931024655456</v>
      </c>
      <c r="R49" s="314">
        <v>60553.961943688817</v>
      </c>
      <c r="S49" s="315">
        <v>69356.062935448557</v>
      </c>
      <c r="U49" s="7" t="s">
        <v>2960</v>
      </c>
    </row>
    <row r="50" spans="1:21" ht="16.5" customHeight="1" thickBot="1">
      <c r="A50" s="47" t="s">
        <v>35</v>
      </c>
      <c r="B50" s="48">
        <f t="shared" si="0"/>
        <v>140</v>
      </c>
      <c r="C50" s="48" t="s">
        <v>3</v>
      </c>
      <c r="D50" s="48">
        <f t="shared" si="1"/>
        <v>160</v>
      </c>
      <c r="E50" s="48" t="s">
        <v>3</v>
      </c>
      <c r="F50" s="110">
        <f t="shared" si="2"/>
        <v>2600</v>
      </c>
      <c r="G50" s="48" t="s">
        <v>3</v>
      </c>
      <c r="H50" s="48">
        <v>4</v>
      </c>
      <c r="I50" s="49" t="s">
        <v>46</v>
      </c>
      <c r="J50" s="184">
        <v>140</v>
      </c>
      <c r="K50" s="113">
        <v>160</v>
      </c>
      <c r="L50" s="113">
        <v>2600</v>
      </c>
      <c r="M50" s="202">
        <v>24.261676680522626</v>
      </c>
      <c r="N50" s="87">
        <v>1466.6098949999998</v>
      </c>
      <c r="O50" s="121">
        <v>39322.607728623196</v>
      </c>
      <c r="P50" s="121">
        <v>48292.134122865493</v>
      </c>
      <c r="Q50" s="310">
        <v>22172.555107886405</v>
      </c>
      <c r="R50" s="314">
        <v>61495.162836509597</v>
      </c>
      <c r="S50" s="315">
        <v>70464.689230751901</v>
      </c>
      <c r="U50" s="7" t="s">
        <v>2961</v>
      </c>
    </row>
    <row r="51" spans="1:21" ht="16.5" customHeight="1" thickBot="1">
      <c r="A51" s="50" t="s">
        <v>35</v>
      </c>
      <c r="B51" s="51">
        <f t="shared" si="0"/>
        <v>140</v>
      </c>
      <c r="C51" s="51" t="s">
        <v>3</v>
      </c>
      <c r="D51" s="51">
        <f t="shared" si="1"/>
        <v>160</v>
      </c>
      <c r="E51" s="51" t="s">
        <v>3</v>
      </c>
      <c r="F51" s="110">
        <f t="shared" si="2"/>
        <v>2650</v>
      </c>
      <c r="G51" s="51" t="s">
        <v>3</v>
      </c>
      <c r="H51" s="48">
        <v>4</v>
      </c>
      <c r="I51" s="49" t="s">
        <v>46</v>
      </c>
      <c r="J51" s="184">
        <v>140</v>
      </c>
      <c r="K51" s="113">
        <v>160</v>
      </c>
      <c r="L51" s="113">
        <v>2650</v>
      </c>
      <c r="M51" s="202">
        <v>24.720871223545785</v>
      </c>
      <c r="N51" s="87">
        <v>1499.2012259999997</v>
      </c>
      <c r="O51" s="121">
        <v>39954.18439781967</v>
      </c>
      <c r="P51" s="121">
        <v>49091.136475331259</v>
      </c>
      <c r="Q51" s="310">
        <v>22712.760968900628</v>
      </c>
      <c r="R51" s="314">
        <v>62666.945366720298</v>
      </c>
      <c r="S51" s="315">
        <v>71803.897444231887</v>
      </c>
      <c r="U51" s="7" t="s">
        <v>2962</v>
      </c>
    </row>
    <row r="52" spans="1:21" ht="16.5" customHeight="1" thickBot="1">
      <c r="A52" s="50" t="s">
        <v>35</v>
      </c>
      <c r="B52" s="51">
        <f t="shared" si="0"/>
        <v>140</v>
      </c>
      <c r="C52" s="51" t="s">
        <v>3</v>
      </c>
      <c r="D52" s="51">
        <f t="shared" si="1"/>
        <v>160</v>
      </c>
      <c r="E52" s="51" t="s">
        <v>3</v>
      </c>
      <c r="F52" s="110">
        <f t="shared" si="2"/>
        <v>2700</v>
      </c>
      <c r="G52" s="51" t="s">
        <v>3</v>
      </c>
      <c r="H52" s="48">
        <v>4</v>
      </c>
      <c r="I52" s="49" t="s">
        <v>46</v>
      </c>
      <c r="J52" s="184">
        <v>140</v>
      </c>
      <c r="K52" s="113">
        <v>160</v>
      </c>
      <c r="L52" s="113">
        <v>2700</v>
      </c>
      <c r="M52" s="202">
        <v>25.241525766568948</v>
      </c>
      <c r="N52" s="87">
        <v>1531.792557</v>
      </c>
      <c r="O52" s="121">
        <v>40658.85476530133</v>
      </c>
      <c r="P52" s="121">
        <v>49967.764143036984</v>
      </c>
      <c r="Q52" s="310">
        <v>23022.385052131584</v>
      </c>
      <c r="R52" s="314">
        <v>63681.239817432914</v>
      </c>
      <c r="S52" s="315">
        <v>72990.149195168575</v>
      </c>
      <c r="U52" s="7" t="s">
        <v>2963</v>
      </c>
    </row>
    <row r="53" spans="1:21" ht="16.5" customHeight="1" thickBot="1">
      <c r="A53" s="50" t="s">
        <v>35</v>
      </c>
      <c r="B53" s="51">
        <f t="shared" si="0"/>
        <v>140</v>
      </c>
      <c r="C53" s="51" t="s">
        <v>3</v>
      </c>
      <c r="D53" s="51">
        <f t="shared" si="1"/>
        <v>160</v>
      </c>
      <c r="E53" s="51" t="s">
        <v>3</v>
      </c>
      <c r="F53" s="110">
        <f t="shared" si="2"/>
        <v>2750</v>
      </c>
      <c r="G53" s="51" t="s">
        <v>3</v>
      </c>
      <c r="H53" s="48">
        <v>4</v>
      </c>
      <c r="I53" s="49" t="s">
        <v>46</v>
      </c>
      <c r="J53" s="184">
        <v>140</v>
      </c>
      <c r="K53" s="113">
        <v>160</v>
      </c>
      <c r="L53" s="113">
        <v>2750</v>
      </c>
      <c r="M53" s="202">
        <v>25.683680309592106</v>
      </c>
      <c r="N53" s="87">
        <v>1564.3838879999998</v>
      </c>
      <c r="O53" s="121">
        <v>41290.431574891169</v>
      </c>
      <c r="P53" s="121">
        <v>50766.766495502743</v>
      </c>
      <c r="Q53" s="310">
        <v>23332.008994969165</v>
      </c>
      <c r="R53" s="314">
        <v>64622.440569860337</v>
      </c>
      <c r="S53" s="315">
        <v>74098.775490471904</v>
      </c>
      <c r="U53" s="7" t="s">
        <v>2964</v>
      </c>
    </row>
    <row r="54" spans="1:21" ht="16.5" customHeight="1" thickBot="1">
      <c r="A54" s="50" t="s">
        <v>35</v>
      </c>
      <c r="B54" s="51">
        <f t="shared" si="0"/>
        <v>140</v>
      </c>
      <c r="C54" s="51" t="s">
        <v>3</v>
      </c>
      <c r="D54" s="51">
        <f t="shared" si="1"/>
        <v>160</v>
      </c>
      <c r="E54" s="51" t="s">
        <v>3</v>
      </c>
      <c r="F54" s="110">
        <f t="shared" si="2"/>
        <v>2800</v>
      </c>
      <c r="G54" s="51" t="s">
        <v>3</v>
      </c>
      <c r="H54" s="48">
        <v>4</v>
      </c>
      <c r="I54" s="49" t="s">
        <v>46</v>
      </c>
      <c r="J54" s="184">
        <v>140</v>
      </c>
      <c r="K54" s="113">
        <v>160</v>
      </c>
      <c r="L54" s="113">
        <v>2800</v>
      </c>
      <c r="M54" s="202">
        <v>26.142874852615257</v>
      </c>
      <c r="N54" s="87">
        <v>1596.9752189999999</v>
      </c>
      <c r="O54" s="121">
        <v>41922.008384481007</v>
      </c>
      <c r="P54" s="121">
        <v>51565.768707575153</v>
      </c>
      <c r="Q54" s="310">
        <v>23872.214855983391</v>
      </c>
      <c r="R54" s="314">
        <v>65794.223240464402</v>
      </c>
      <c r="S54" s="315">
        <v>75437.983563558548</v>
      </c>
      <c r="U54" s="7" t="s">
        <v>2965</v>
      </c>
    </row>
    <row r="55" spans="1:21" ht="16.5" customHeight="1" thickBot="1">
      <c r="A55" s="50" t="s">
        <v>35</v>
      </c>
      <c r="B55" s="51">
        <f t="shared" si="0"/>
        <v>140</v>
      </c>
      <c r="C55" s="51" t="s">
        <v>3</v>
      </c>
      <c r="D55" s="51">
        <f t="shared" si="1"/>
        <v>160</v>
      </c>
      <c r="E55" s="51" t="s">
        <v>3</v>
      </c>
      <c r="F55" s="110">
        <f t="shared" si="2"/>
        <v>2850</v>
      </c>
      <c r="G55" s="51" t="s">
        <v>3</v>
      </c>
      <c r="H55" s="48">
        <v>4</v>
      </c>
      <c r="I55" s="49" t="s">
        <v>46</v>
      </c>
      <c r="J55" s="184">
        <v>140</v>
      </c>
      <c r="K55" s="113">
        <v>160</v>
      </c>
      <c r="L55" s="113">
        <v>2850</v>
      </c>
      <c r="M55" s="202">
        <v>26.585029395638415</v>
      </c>
      <c r="N55" s="87">
        <v>1629.5665499999998</v>
      </c>
      <c r="O55" s="121">
        <v>42553.585053677481</v>
      </c>
      <c r="P55" s="121">
        <v>52364.770919647548</v>
      </c>
      <c r="Q55" s="310">
        <v>24181.838939214344</v>
      </c>
      <c r="R55" s="314">
        <v>66735.423992891825</v>
      </c>
      <c r="S55" s="315">
        <v>76546.609858861892</v>
      </c>
      <c r="U55" s="7" t="s">
        <v>2966</v>
      </c>
    </row>
    <row r="56" spans="1:21" ht="16.5" customHeight="1" thickBot="1">
      <c r="A56" s="50" t="s">
        <v>35</v>
      </c>
      <c r="B56" s="51">
        <f t="shared" si="0"/>
        <v>140</v>
      </c>
      <c r="C56" s="51" t="s">
        <v>3</v>
      </c>
      <c r="D56" s="51">
        <f t="shared" si="1"/>
        <v>160</v>
      </c>
      <c r="E56" s="51" t="s">
        <v>3</v>
      </c>
      <c r="F56" s="110">
        <f t="shared" si="2"/>
        <v>2900</v>
      </c>
      <c r="G56" s="51" t="s">
        <v>3</v>
      </c>
      <c r="H56" s="48">
        <v>4</v>
      </c>
      <c r="I56" s="49" t="s">
        <v>46</v>
      </c>
      <c r="J56" s="184">
        <v>140</v>
      </c>
      <c r="K56" s="113">
        <v>160</v>
      </c>
      <c r="L56" s="113">
        <v>2900</v>
      </c>
      <c r="M56" s="202">
        <v>27.044223938661567</v>
      </c>
      <c r="N56" s="87">
        <v>1662.1578809999996</v>
      </c>
      <c r="O56" s="121">
        <v>43185.16186326732</v>
      </c>
      <c r="P56" s="121">
        <v>53163.773272113307</v>
      </c>
      <c r="Q56" s="310">
        <v>24722.044800228567</v>
      </c>
      <c r="R56" s="314">
        <v>67907.20666349589</v>
      </c>
      <c r="S56" s="315">
        <v>77885.818072341877</v>
      </c>
      <c r="U56" s="7" t="s">
        <v>2967</v>
      </c>
    </row>
    <row r="57" spans="1:21" ht="16.5" customHeight="1" thickBot="1">
      <c r="A57" s="50" t="s">
        <v>35</v>
      </c>
      <c r="B57" s="51">
        <f t="shared" si="0"/>
        <v>140</v>
      </c>
      <c r="C57" s="51" t="s">
        <v>3</v>
      </c>
      <c r="D57" s="51">
        <f t="shared" si="1"/>
        <v>160</v>
      </c>
      <c r="E57" s="51" t="s">
        <v>3</v>
      </c>
      <c r="F57" s="110">
        <f t="shared" si="2"/>
        <v>2950</v>
      </c>
      <c r="G57" s="51" t="s">
        <v>3</v>
      </c>
      <c r="H57" s="48">
        <v>4</v>
      </c>
      <c r="I57" s="49" t="s">
        <v>46</v>
      </c>
      <c r="J57" s="184">
        <v>140</v>
      </c>
      <c r="K57" s="113">
        <v>160</v>
      </c>
      <c r="L57" s="113">
        <v>2950</v>
      </c>
      <c r="M57" s="202">
        <v>27.486378481684731</v>
      </c>
      <c r="N57" s="87">
        <v>1694.7492119999999</v>
      </c>
      <c r="O57" s="121">
        <v>43816.738532463794</v>
      </c>
      <c r="P57" s="121">
        <v>53962.775484185717</v>
      </c>
      <c r="Q57" s="310">
        <v>25031.668743066155</v>
      </c>
      <c r="R57" s="314">
        <v>68848.407275529957</v>
      </c>
      <c r="S57" s="315">
        <v>78994.444227251865</v>
      </c>
      <c r="U57" s="7" t="s">
        <v>2968</v>
      </c>
    </row>
    <row r="58" spans="1:21" ht="16.5" customHeight="1" thickBot="1">
      <c r="A58" s="52" t="s">
        <v>35</v>
      </c>
      <c r="B58" s="53">
        <f t="shared" si="0"/>
        <v>140</v>
      </c>
      <c r="C58" s="53" t="s">
        <v>3</v>
      </c>
      <c r="D58" s="53">
        <f t="shared" si="1"/>
        <v>160</v>
      </c>
      <c r="E58" s="53" t="s">
        <v>3</v>
      </c>
      <c r="F58" s="111">
        <f t="shared" si="2"/>
        <v>3000</v>
      </c>
      <c r="G58" s="53" t="s">
        <v>3</v>
      </c>
      <c r="H58" s="55">
        <v>4</v>
      </c>
      <c r="I58" s="54" t="s">
        <v>46</v>
      </c>
      <c r="J58" s="184">
        <v>140</v>
      </c>
      <c r="K58" s="157">
        <v>160</v>
      </c>
      <c r="L58" s="157">
        <v>3000</v>
      </c>
      <c r="M58" s="209">
        <v>27.945573024707887</v>
      </c>
      <c r="N58" s="148">
        <v>1727.3405429999998</v>
      </c>
      <c r="O58" s="158">
        <v>45425.302643369039</v>
      </c>
      <c r="P58" s="158">
        <v>55799.338135004225</v>
      </c>
      <c r="Q58" s="311">
        <v>25571.874604080382</v>
      </c>
      <c r="R58" s="316">
        <v>70997.177247449421</v>
      </c>
      <c r="S58" s="317">
        <v>81371.212739084614</v>
      </c>
      <c r="U58" s="7" t="s">
        <v>2969</v>
      </c>
    </row>
    <row r="59" spans="1:21" ht="22.5" customHeight="1" thickBot="1">
      <c r="A59" s="2580" t="s">
        <v>520</v>
      </c>
      <c r="B59" s="2581"/>
      <c r="C59" s="2581"/>
      <c r="D59" s="2581"/>
      <c r="E59" s="2581"/>
      <c r="F59" s="2581"/>
      <c r="G59" s="2581"/>
      <c r="H59" s="2581"/>
      <c r="I59" s="2581"/>
      <c r="J59" s="2581"/>
      <c r="K59" s="2581"/>
      <c r="L59" s="2581"/>
      <c r="M59" s="2581"/>
      <c r="N59" s="2581"/>
      <c r="O59" s="2581"/>
      <c r="P59" s="2581"/>
      <c r="Q59" s="2581"/>
      <c r="R59" s="2657"/>
      <c r="S59" s="2658"/>
      <c r="U59" s="7"/>
    </row>
    <row r="60" spans="1:21" ht="16.5" customHeight="1" thickBot="1">
      <c r="A60" s="2583" t="s">
        <v>139</v>
      </c>
      <c r="B60" s="2584"/>
      <c r="C60" s="2584"/>
      <c r="D60" s="2584"/>
      <c r="E60" s="2584"/>
      <c r="F60" s="2584"/>
      <c r="G60" s="2584"/>
      <c r="H60" s="2584"/>
      <c r="I60" s="2584"/>
      <c r="J60" s="2584"/>
      <c r="K60" s="2584"/>
      <c r="L60" s="2584"/>
      <c r="M60" s="2584"/>
      <c r="N60" s="2584"/>
      <c r="O60" s="2584"/>
      <c r="P60" s="2584"/>
      <c r="Q60" s="2584"/>
      <c r="R60" s="2584"/>
      <c r="S60" s="2585"/>
      <c r="U60" s="7"/>
    </row>
    <row r="61" spans="1:21" ht="16.5" customHeight="1" thickBot="1">
      <c r="A61" s="47" t="s">
        <v>35</v>
      </c>
      <c r="B61" s="48">
        <f>J61</f>
        <v>140</v>
      </c>
      <c r="C61" s="48" t="s">
        <v>3</v>
      </c>
      <c r="D61" s="48">
        <f>K61</f>
        <v>200</v>
      </c>
      <c r="E61" s="48" t="s">
        <v>3</v>
      </c>
      <c r="F61" s="99">
        <f>L61</f>
        <v>600</v>
      </c>
      <c r="G61" s="48" t="s">
        <v>3</v>
      </c>
      <c r="H61" s="48">
        <v>4</v>
      </c>
      <c r="I61" s="49" t="s">
        <v>46</v>
      </c>
      <c r="J61" s="181">
        <v>140</v>
      </c>
      <c r="K61" s="143">
        <v>200</v>
      </c>
      <c r="L61" s="143">
        <v>600</v>
      </c>
      <c r="M61" s="201">
        <v>6.0667353860363162</v>
      </c>
      <c r="N61" s="144">
        <v>187.3065</v>
      </c>
      <c r="O61" s="145">
        <v>13151.997832275791</v>
      </c>
      <c r="P61" s="188">
        <v>15639.891902328154</v>
      </c>
      <c r="Q61" s="169">
        <v>6535.0358533845019</v>
      </c>
      <c r="R61" s="312">
        <v>19687.033685660292</v>
      </c>
      <c r="S61" s="313">
        <v>22174.927755712655</v>
      </c>
      <c r="U61" s="7" t="s">
        <v>2970</v>
      </c>
    </row>
    <row r="62" spans="1:21" ht="16.5" customHeight="1" thickBot="1">
      <c r="A62" s="50" t="s">
        <v>35</v>
      </c>
      <c r="B62" s="51">
        <f t="shared" ref="B62:B109" si="3">J62</f>
        <v>140</v>
      </c>
      <c r="C62" s="51" t="s">
        <v>3</v>
      </c>
      <c r="D62" s="51">
        <f t="shared" ref="D62:D109" si="4">K62</f>
        <v>200</v>
      </c>
      <c r="E62" s="51" t="s">
        <v>3</v>
      </c>
      <c r="F62" s="99">
        <f t="shared" ref="F62:F109" si="5">L62</f>
        <v>650</v>
      </c>
      <c r="G62" s="51" t="s">
        <v>3</v>
      </c>
      <c r="H62" s="48">
        <v>4</v>
      </c>
      <c r="I62" s="49" t="s">
        <v>46</v>
      </c>
      <c r="J62" s="184">
        <v>140</v>
      </c>
      <c r="K62" s="75">
        <v>200</v>
      </c>
      <c r="L62" s="75">
        <v>650</v>
      </c>
      <c r="M62" s="202">
        <v>6.5194054860594726</v>
      </c>
      <c r="N62" s="87">
        <v>224.76779999999999</v>
      </c>
      <c r="O62" s="123">
        <v>13820.992421232491</v>
      </c>
      <c r="P62" s="119">
        <v>16471.726646548166</v>
      </c>
      <c r="Q62" s="120">
        <v>6893.4546325058636</v>
      </c>
      <c r="R62" s="314">
        <v>20714.447053738353</v>
      </c>
      <c r="S62" s="315">
        <v>23365.181279054028</v>
      </c>
      <c r="U62" s="7" t="s">
        <v>2971</v>
      </c>
    </row>
    <row r="63" spans="1:21" ht="16.5" customHeight="1" thickBot="1">
      <c r="A63" s="50" t="s">
        <v>35</v>
      </c>
      <c r="B63" s="51">
        <f t="shared" si="3"/>
        <v>140</v>
      </c>
      <c r="C63" s="51" t="s">
        <v>3</v>
      </c>
      <c r="D63" s="51">
        <f t="shared" si="4"/>
        <v>200</v>
      </c>
      <c r="E63" s="51" t="s">
        <v>3</v>
      </c>
      <c r="F63" s="99">
        <f t="shared" si="5"/>
        <v>700</v>
      </c>
      <c r="G63" s="51" t="s">
        <v>3</v>
      </c>
      <c r="H63" s="48">
        <v>4</v>
      </c>
      <c r="I63" s="49" t="s">
        <v>46</v>
      </c>
      <c r="J63" s="184">
        <v>140</v>
      </c>
      <c r="K63" s="75">
        <v>200</v>
      </c>
      <c r="L63" s="75">
        <v>700</v>
      </c>
      <c r="M63" s="202">
        <v>6.9891155860826313</v>
      </c>
      <c r="N63" s="87">
        <v>262.22909999999996</v>
      </c>
      <c r="O63" s="123">
        <v>14489.98686979583</v>
      </c>
      <c r="P63" s="119">
        <v>17303.56153116154</v>
      </c>
      <c r="Q63" s="120">
        <v>7482.4550490171396</v>
      </c>
      <c r="R63" s="314">
        <v>21972.441918812969</v>
      </c>
      <c r="S63" s="315">
        <v>24786.016580178679</v>
      </c>
      <c r="U63" s="7" t="s">
        <v>2972</v>
      </c>
    </row>
    <row r="64" spans="1:21" ht="16.5" customHeight="1" thickBot="1">
      <c r="A64" s="50" t="s">
        <v>35</v>
      </c>
      <c r="B64" s="51">
        <f t="shared" si="3"/>
        <v>140</v>
      </c>
      <c r="C64" s="51" t="s">
        <v>3</v>
      </c>
      <c r="D64" s="51">
        <f t="shared" si="4"/>
        <v>200</v>
      </c>
      <c r="E64" s="51" t="s">
        <v>3</v>
      </c>
      <c r="F64" s="99">
        <f t="shared" si="5"/>
        <v>750</v>
      </c>
      <c r="G64" s="51" t="s">
        <v>3</v>
      </c>
      <c r="H64" s="48">
        <v>4</v>
      </c>
      <c r="I64" s="49" t="s">
        <v>46</v>
      </c>
      <c r="J64" s="184">
        <v>140</v>
      </c>
      <c r="K64" s="75">
        <v>200</v>
      </c>
      <c r="L64" s="75">
        <v>750</v>
      </c>
      <c r="M64" s="202">
        <v>7.4417856861057903</v>
      </c>
      <c r="N64" s="87">
        <v>299.69040000000001</v>
      </c>
      <c r="O64" s="123">
        <v>15158.981318359165</v>
      </c>
      <c r="P64" s="119">
        <v>18135.396415774918</v>
      </c>
      <c r="Q64" s="120">
        <v>7840.8736877451383</v>
      </c>
      <c r="R64" s="314">
        <v>22999.855006104302</v>
      </c>
      <c r="S64" s="315">
        <v>25976.270103520055</v>
      </c>
      <c r="U64" s="7" t="s">
        <v>2973</v>
      </c>
    </row>
    <row r="65" spans="1:21" ht="16.5" customHeight="1" thickBot="1">
      <c r="A65" s="50" t="s">
        <v>35</v>
      </c>
      <c r="B65" s="51">
        <f t="shared" si="3"/>
        <v>140</v>
      </c>
      <c r="C65" s="51" t="s">
        <v>3</v>
      </c>
      <c r="D65" s="51">
        <f t="shared" si="4"/>
        <v>200</v>
      </c>
      <c r="E65" s="51" t="s">
        <v>3</v>
      </c>
      <c r="F65" s="99">
        <f t="shared" si="5"/>
        <v>800</v>
      </c>
      <c r="G65" s="51" t="s">
        <v>3</v>
      </c>
      <c r="H65" s="48">
        <v>4</v>
      </c>
      <c r="I65" s="49" t="s">
        <v>46</v>
      </c>
      <c r="J65" s="184">
        <v>140</v>
      </c>
      <c r="K65" s="75">
        <v>200</v>
      </c>
      <c r="L65" s="75">
        <v>800</v>
      </c>
      <c r="M65" s="202">
        <v>7.8944557861289475</v>
      </c>
      <c r="N65" s="87">
        <v>337.15170000000001</v>
      </c>
      <c r="O65" s="123">
        <v>15827.975766922504</v>
      </c>
      <c r="P65" s="119">
        <v>18967.231300388292</v>
      </c>
      <c r="Q65" s="120">
        <v>8199.2923264731398</v>
      </c>
      <c r="R65" s="314">
        <v>24027.268093395644</v>
      </c>
      <c r="S65" s="315">
        <v>27166.523626861432</v>
      </c>
      <c r="U65" s="7" t="s">
        <v>2974</v>
      </c>
    </row>
    <row r="66" spans="1:21" ht="16.5" customHeight="1" thickBot="1">
      <c r="A66" s="50" t="s">
        <v>35</v>
      </c>
      <c r="B66" s="51">
        <f t="shared" si="3"/>
        <v>140</v>
      </c>
      <c r="C66" s="51" t="s">
        <v>3</v>
      </c>
      <c r="D66" s="51">
        <f t="shared" si="4"/>
        <v>200</v>
      </c>
      <c r="E66" s="51" t="s">
        <v>3</v>
      </c>
      <c r="F66" s="99">
        <f t="shared" si="5"/>
        <v>850</v>
      </c>
      <c r="G66" s="51" t="s">
        <v>3</v>
      </c>
      <c r="H66" s="48">
        <v>4</v>
      </c>
      <c r="I66" s="49" t="s">
        <v>46</v>
      </c>
      <c r="J66" s="184">
        <v>140</v>
      </c>
      <c r="K66" s="75">
        <v>200</v>
      </c>
      <c r="L66" s="75">
        <v>850</v>
      </c>
      <c r="M66" s="202">
        <v>8.3641658861521044</v>
      </c>
      <c r="N66" s="87">
        <v>374.613</v>
      </c>
      <c r="O66" s="123">
        <v>16496.970215485839</v>
      </c>
      <c r="P66" s="119">
        <v>19799.066185001666</v>
      </c>
      <c r="Q66" s="120">
        <v>8788.2927429844149</v>
      </c>
      <c r="R66" s="314">
        <v>25285.262958470252</v>
      </c>
      <c r="S66" s="315">
        <v>28587.358927986083</v>
      </c>
      <c r="U66" s="7" t="s">
        <v>2975</v>
      </c>
    </row>
    <row r="67" spans="1:21" ht="16.5" customHeight="1" thickBot="1">
      <c r="A67" s="50" t="s">
        <v>35</v>
      </c>
      <c r="B67" s="51">
        <f t="shared" si="3"/>
        <v>140</v>
      </c>
      <c r="C67" s="51" t="s">
        <v>3</v>
      </c>
      <c r="D67" s="51">
        <f t="shared" si="4"/>
        <v>200</v>
      </c>
      <c r="E67" s="51" t="s">
        <v>3</v>
      </c>
      <c r="F67" s="99">
        <f t="shared" si="5"/>
        <v>900</v>
      </c>
      <c r="G67" s="51" t="s">
        <v>3</v>
      </c>
      <c r="H67" s="48">
        <v>4</v>
      </c>
      <c r="I67" s="49" t="s">
        <v>46</v>
      </c>
      <c r="J67" s="184">
        <v>140</v>
      </c>
      <c r="K67" s="75">
        <v>200</v>
      </c>
      <c r="L67" s="75">
        <v>900</v>
      </c>
      <c r="M67" s="202">
        <v>8.8168359861752634</v>
      </c>
      <c r="N67" s="87">
        <v>412.07430000000005</v>
      </c>
      <c r="O67" s="123">
        <v>17165.964664049177</v>
      </c>
      <c r="P67" s="119">
        <v>20630.90106961504</v>
      </c>
      <c r="Q67" s="120">
        <v>9146.7115221057775</v>
      </c>
      <c r="R67" s="314">
        <v>26312.676186154953</v>
      </c>
      <c r="S67" s="315">
        <v>29777.612591720819</v>
      </c>
      <c r="U67" s="7" t="s">
        <v>2976</v>
      </c>
    </row>
    <row r="68" spans="1:21" ht="16.5" customHeight="1" thickBot="1">
      <c r="A68" s="50" t="s">
        <v>35</v>
      </c>
      <c r="B68" s="51">
        <f t="shared" si="3"/>
        <v>140</v>
      </c>
      <c r="C68" s="51" t="s">
        <v>3</v>
      </c>
      <c r="D68" s="51">
        <f t="shared" si="4"/>
        <v>200</v>
      </c>
      <c r="E68" s="51" t="s">
        <v>3</v>
      </c>
      <c r="F68" s="99">
        <f t="shared" si="5"/>
        <v>950</v>
      </c>
      <c r="G68" s="51" t="s">
        <v>3</v>
      </c>
      <c r="H68" s="48">
        <v>4</v>
      </c>
      <c r="I68" s="49" t="s">
        <v>46</v>
      </c>
      <c r="J68" s="184">
        <v>140</v>
      </c>
      <c r="K68" s="75">
        <v>200</v>
      </c>
      <c r="L68" s="75">
        <v>950</v>
      </c>
      <c r="M68" s="202">
        <v>9.2865460861984204</v>
      </c>
      <c r="N68" s="87">
        <v>449.53559999999999</v>
      </c>
      <c r="O68" s="123">
        <v>17834.959112612516</v>
      </c>
      <c r="P68" s="119">
        <v>21462.735954228418</v>
      </c>
      <c r="Q68" s="120">
        <v>9735.7119386170507</v>
      </c>
      <c r="R68" s="314">
        <v>27570.671051229569</v>
      </c>
      <c r="S68" s="315">
        <v>31198.44789284547</v>
      </c>
      <c r="U68" s="7" t="s">
        <v>2977</v>
      </c>
    </row>
    <row r="69" spans="1:21" ht="16.5" customHeight="1" thickBot="1">
      <c r="A69" s="50" t="s">
        <v>35</v>
      </c>
      <c r="B69" s="51">
        <f t="shared" si="3"/>
        <v>140</v>
      </c>
      <c r="C69" s="51" t="s">
        <v>3</v>
      </c>
      <c r="D69" s="51">
        <f t="shared" si="4"/>
        <v>200</v>
      </c>
      <c r="E69" s="51" t="s">
        <v>3</v>
      </c>
      <c r="F69" s="99">
        <f t="shared" si="5"/>
        <v>1000</v>
      </c>
      <c r="G69" s="51" t="s">
        <v>3</v>
      </c>
      <c r="H69" s="48">
        <v>4</v>
      </c>
      <c r="I69" s="49" t="s">
        <v>46</v>
      </c>
      <c r="J69" s="184">
        <v>140</v>
      </c>
      <c r="K69" s="75">
        <v>200</v>
      </c>
      <c r="L69" s="75">
        <v>1000</v>
      </c>
      <c r="M69" s="202">
        <v>9.7392161862215794</v>
      </c>
      <c r="N69" s="87">
        <v>486.99690000000004</v>
      </c>
      <c r="O69" s="123">
        <v>18503.953561175855</v>
      </c>
      <c r="P69" s="119">
        <v>22294.570838841792</v>
      </c>
      <c r="Q69" s="120">
        <v>10094.130577345051</v>
      </c>
      <c r="R69" s="314">
        <v>28598.084138520906</v>
      </c>
      <c r="S69" s="315">
        <v>32388.701416186843</v>
      </c>
      <c r="U69" s="7" t="s">
        <v>2978</v>
      </c>
    </row>
    <row r="70" spans="1:21" ht="16.5" customHeight="1" thickBot="1">
      <c r="A70" s="50" t="s">
        <v>35</v>
      </c>
      <c r="B70" s="51">
        <f t="shared" si="3"/>
        <v>140</v>
      </c>
      <c r="C70" s="51" t="s">
        <v>3</v>
      </c>
      <c r="D70" s="51">
        <f t="shared" si="4"/>
        <v>200</v>
      </c>
      <c r="E70" s="51" t="s">
        <v>3</v>
      </c>
      <c r="F70" s="99">
        <f t="shared" si="5"/>
        <v>1050</v>
      </c>
      <c r="G70" s="51" t="s">
        <v>3</v>
      </c>
      <c r="H70" s="48">
        <v>4</v>
      </c>
      <c r="I70" s="49" t="s">
        <v>46</v>
      </c>
      <c r="J70" s="184">
        <v>140</v>
      </c>
      <c r="K70" s="75">
        <v>200</v>
      </c>
      <c r="L70" s="75">
        <v>1050</v>
      </c>
      <c r="M70" s="202">
        <v>10.208926286244736</v>
      </c>
      <c r="N70" s="87">
        <v>524.45819999999992</v>
      </c>
      <c r="O70" s="123">
        <v>19172.948009739193</v>
      </c>
      <c r="P70" s="119">
        <v>23126.405723455169</v>
      </c>
      <c r="Q70" s="120">
        <v>10683.130993856326</v>
      </c>
      <c r="R70" s="314">
        <v>29856.079003595521</v>
      </c>
      <c r="S70" s="315">
        <v>33809.536717311494</v>
      </c>
      <c r="U70" s="7" t="s">
        <v>2979</v>
      </c>
    </row>
    <row r="71" spans="1:21" ht="16.5" customHeight="1" thickBot="1">
      <c r="A71" s="47" t="s">
        <v>35</v>
      </c>
      <c r="B71" s="48">
        <f t="shared" si="3"/>
        <v>140</v>
      </c>
      <c r="C71" s="48" t="s">
        <v>3</v>
      </c>
      <c r="D71" s="48">
        <f t="shared" si="4"/>
        <v>200</v>
      </c>
      <c r="E71" s="48" t="s">
        <v>3</v>
      </c>
      <c r="F71" s="99">
        <f t="shared" si="5"/>
        <v>1100</v>
      </c>
      <c r="G71" s="48" t="s">
        <v>3</v>
      </c>
      <c r="H71" s="48">
        <v>4</v>
      </c>
      <c r="I71" s="49" t="s">
        <v>46</v>
      </c>
      <c r="J71" s="184">
        <v>140</v>
      </c>
      <c r="K71" s="75">
        <v>200</v>
      </c>
      <c r="L71" s="75">
        <v>1100</v>
      </c>
      <c r="M71" s="202">
        <v>10.661596386267892</v>
      </c>
      <c r="N71" s="87">
        <v>561.91949999999997</v>
      </c>
      <c r="O71" s="123">
        <v>19841.942458302528</v>
      </c>
      <c r="P71" s="119">
        <v>23958.240467675183</v>
      </c>
      <c r="Q71" s="120">
        <v>11041.549772977691</v>
      </c>
      <c r="R71" s="314">
        <v>30883.492231280219</v>
      </c>
      <c r="S71" s="315">
        <v>34999.790240652874</v>
      </c>
      <c r="U71" s="7" t="s">
        <v>2980</v>
      </c>
    </row>
    <row r="72" spans="1:21" ht="16.5" customHeight="1" thickBot="1">
      <c r="A72" s="50" t="s">
        <v>35</v>
      </c>
      <c r="B72" s="51">
        <f t="shared" si="3"/>
        <v>140</v>
      </c>
      <c r="C72" s="51" t="s">
        <v>3</v>
      </c>
      <c r="D72" s="51">
        <f t="shared" si="4"/>
        <v>200</v>
      </c>
      <c r="E72" s="51" t="s">
        <v>3</v>
      </c>
      <c r="F72" s="99">
        <f t="shared" si="5"/>
        <v>1150</v>
      </c>
      <c r="G72" s="51" t="s">
        <v>3</v>
      </c>
      <c r="H72" s="48">
        <v>4</v>
      </c>
      <c r="I72" s="49" t="s">
        <v>46</v>
      </c>
      <c r="J72" s="184">
        <v>140</v>
      </c>
      <c r="K72" s="75">
        <v>200</v>
      </c>
      <c r="L72" s="75">
        <v>1150</v>
      </c>
      <c r="M72" s="202">
        <v>11.114266486291054</v>
      </c>
      <c r="N72" s="87">
        <v>599.38080000000002</v>
      </c>
      <c r="O72" s="123">
        <v>20510.936906865867</v>
      </c>
      <c r="P72" s="119">
        <v>24790.075352288557</v>
      </c>
      <c r="Q72" s="120">
        <v>11399.96841170569</v>
      </c>
      <c r="R72" s="314">
        <v>31910.905318571557</v>
      </c>
      <c r="S72" s="315">
        <v>36190.043763994247</v>
      </c>
      <c r="U72" s="7" t="s">
        <v>2981</v>
      </c>
    </row>
    <row r="73" spans="1:21" ht="16.5" customHeight="1" thickBot="1">
      <c r="A73" s="50" t="s">
        <v>35</v>
      </c>
      <c r="B73" s="51">
        <f t="shared" si="3"/>
        <v>140</v>
      </c>
      <c r="C73" s="51" t="s">
        <v>3</v>
      </c>
      <c r="D73" s="51">
        <f t="shared" si="4"/>
        <v>200</v>
      </c>
      <c r="E73" s="51" t="s">
        <v>3</v>
      </c>
      <c r="F73" s="99">
        <f t="shared" si="5"/>
        <v>1200</v>
      </c>
      <c r="G73" s="51" t="s">
        <v>3</v>
      </c>
      <c r="H73" s="48">
        <v>4</v>
      </c>
      <c r="I73" s="49" t="s">
        <v>46</v>
      </c>
      <c r="J73" s="184">
        <v>140</v>
      </c>
      <c r="K73" s="75">
        <v>200</v>
      </c>
      <c r="L73" s="75">
        <v>1200</v>
      </c>
      <c r="M73" s="202">
        <v>11.662476586314209</v>
      </c>
      <c r="N73" s="87">
        <v>636.84209999999996</v>
      </c>
      <c r="O73" s="123">
        <v>21257.085650937981</v>
      </c>
      <c r="P73" s="119">
        <v>25699.535692535257</v>
      </c>
      <c r="Q73" s="120">
        <v>11988.968828216965</v>
      </c>
      <c r="R73" s="314">
        <v>33246.054479154947</v>
      </c>
      <c r="S73" s="315">
        <v>37688.50452075222</v>
      </c>
      <c r="U73" s="7" t="s">
        <v>2982</v>
      </c>
    </row>
    <row r="74" spans="1:21" ht="16.5" customHeight="1" thickBot="1">
      <c r="A74" s="50" t="s">
        <v>35</v>
      </c>
      <c r="B74" s="51">
        <f t="shared" si="3"/>
        <v>140</v>
      </c>
      <c r="C74" s="51" t="s">
        <v>3</v>
      </c>
      <c r="D74" s="51">
        <f t="shared" si="4"/>
        <v>200</v>
      </c>
      <c r="E74" s="51" t="s">
        <v>3</v>
      </c>
      <c r="F74" s="99">
        <f t="shared" si="5"/>
        <v>1250</v>
      </c>
      <c r="G74" s="51" t="s">
        <v>3</v>
      </c>
      <c r="H74" s="48">
        <v>4</v>
      </c>
      <c r="I74" s="49" t="s">
        <v>46</v>
      </c>
      <c r="J74" s="184">
        <v>140</v>
      </c>
      <c r="K74" s="75">
        <v>200</v>
      </c>
      <c r="L74" s="75">
        <v>1250</v>
      </c>
      <c r="M74" s="202">
        <v>12.115146686337367</v>
      </c>
      <c r="N74" s="87">
        <v>674.30340000000001</v>
      </c>
      <c r="O74" s="123">
        <v>21926.080099501316</v>
      </c>
      <c r="P74" s="119">
        <v>26531.370577148631</v>
      </c>
      <c r="Q74" s="120">
        <v>12347.387466944965</v>
      </c>
      <c r="R74" s="314">
        <v>34273.467566446285</v>
      </c>
      <c r="S74" s="315">
        <v>38878.7580440936</v>
      </c>
      <c r="U74" s="7" t="s">
        <v>2983</v>
      </c>
    </row>
    <row r="75" spans="1:21" ht="16.5" customHeight="1" thickBot="1">
      <c r="A75" s="50" t="s">
        <v>35</v>
      </c>
      <c r="B75" s="51">
        <f t="shared" si="3"/>
        <v>140</v>
      </c>
      <c r="C75" s="51" t="s">
        <v>3</v>
      </c>
      <c r="D75" s="51">
        <f t="shared" si="4"/>
        <v>200</v>
      </c>
      <c r="E75" s="51" t="s">
        <v>3</v>
      </c>
      <c r="F75" s="99">
        <f t="shared" si="5"/>
        <v>1300</v>
      </c>
      <c r="G75" s="51" t="s">
        <v>3</v>
      </c>
      <c r="H75" s="48">
        <v>4</v>
      </c>
      <c r="I75" s="49" t="s">
        <v>46</v>
      </c>
      <c r="J75" s="184">
        <v>140</v>
      </c>
      <c r="K75" s="75">
        <v>200</v>
      </c>
      <c r="L75" s="75">
        <v>1300</v>
      </c>
      <c r="M75" s="202">
        <v>12.584856786360525</v>
      </c>
      <c r="N75" s="87">
        <v>711.76469999999995</v>
      </c>
      <c r="O75" s="123">
        <v>22595.074548064655</v>
      </c>
      <c r="P75" s="119">
        <v>27363.205461762002</v>
      </c>
      <c r="Q75" s="120">
        <v>12936.38788345624</v>
      </c>
      <c r="R75" s="314">
        <v>35531.462431520893</v>
      </c>
      <c r="S75" s="315">
        <v>40299.593345218243</v>
      </c>
      <c r="U75" s="7" t="s">
        <v>2984</v>
      </c>
    </row>
    <row r="76" spans="1:21" ht="16.5" customHeight="1" thickBot="1">
      <c r="A76" s="50" t="s">
        <v>35</v>
      </c>
      <c r="B76" s="51">
        <f t="shared" si="3"/>
        <v>140</v>
      </c>
      <c r="C76" s="51" t="s">
        <v>3</v>
      </c>
      <c r="D76" s="51">
        <f t="shared" si="4"/>
        <v>200</v>
      </c>
      <c r="E76" s="51" t="s">
        <v>3</v>
      </c>
      <c r="F76" s="99">
        <f t="shared" si="5"/>
        <v>1350</v>
      </c>
      <c r="G76" s="51" t="s">
        <v>3</v>
      </c>
      <c r="H76" s="48">
        <v>4</v>
      </c>
      <c r="I76" s="49" t="s">
        <v>46</v>
      </c>
      <c r="J76" s="184">
        <v>140</v>
      </c>
      <c r="K76" s="75">
        <v>200</v>
      </c>
      <c r="L76" s="75">
        <v>1350</v>
      </c>
      <c r="M76" s="202">
        <v>13.037526886383684</v>
      </c>
      <c r="N76" s="87">
        <v>749.226</v>
      </c>
      <c r="O76" s="123">
        <v>23264.06899662799</v>
      </c>
      <c r="P76" s="119">
        <v>28195.040346375379</v>
      </c>
      <c r="Q76" s="120">
        <v>13294.806662577603</v>
      </c>
      <c r="R76" s="314">
        <v>36558.875659205594</v>
      </c>
      <c r="S76" s="315">
        <v>41489.84700895298</v>
      </c>
      <c r="U76" s="7" t="s">
        <v>2985</v>
      </c>
    </row>
    <row r="77" spans="1:21" ht="16.5" customHeight="1" thickBot="1">
      <c r="A77" s="50" t="s">
        <v>35</v>
      </c>
      <c r="B77" s="51">
        <f t="shared" si="3"/>
        <v>140</v>
      </c>
      <c r="C77" s="51" t="s">
        <v>3</v>
      </c>
      <c r="D77" s="51">
        <f t="shared" si="4"/>
        <v>200</v>
      </c>
      <c r="E77" s="51" t="s">
        <v>3</v>
      </c>
      <c r="F77" s="99">
        <f t="shared" si="5"/>
        <v>1400</v>
      </c>
      <c r="G77" s="51" t="s">
        <v>3</v>
      </c>
      <c r="H77" s="48">
        <v>4</v>
      </c>
      <c r="I77" s="49" t="s">
        <v>46</v>
      </c>
      <c r="J77" s="184">
        <v>140</v>
      </c>
      <c r="K77" s="75">
        <v>200</v>
      </c>
      <c r="L77" s="75">
        <v>1400</v>
      </c>
      <c r="M77" s="202">
        <v>13.507236986406841</v>
      </c>
      <c r="N77" s="87">
        <v>786.68730000000005</v>
      </c>
      <c r="O77" s="123">
        <v>23933.063445191332</v>
      </c>
      <c r="P77" s="119">
        <v>29026.875230988757</v>
      </c>
      <c r="Q77" s="120">
        <v>13883.807079088876</v>
      </c>
      <c r="R77" s="314">
        <v>37816.87052428021</v>
      </c>
      <c r="S77" s="315">
        <v>42910.682310077631</v>
      </c>
      <c r="U77" s="7" t="s">
        <v>2986</v>
      </c>
    </row>
    <row r="78" spans="1:21" ht="16.5" customHeight="1" thickBot="1">
      <c r="A78" s="50" t="s">
        <v>35</v>
      </c>
      <c r="B78" s="51">
        <f t="shared" si="3"/>
        <v>140</v>
      </c>
      <c r="C78" s="51" t="s">
        <v>3</v>
      </c>
      <c r="D78" s="51">
        <f t="shared" si="4"/>
        <v>200</v>
      </c>
      <c r="E78" s="51" t="s">
        <v>3</v>
      </c>
      <c r="F78" s="99">
        <f t="shared" si="5"/>
        <v>1450</v>
      </c>
      <c r="G78" s="51" t="s">
        <v>3</v>
      </c>
      <c r="H78" s="48">
        <v>4</v>
      </c>
      <c r="I78" s="49" t="s">
        <v>46</v>
      </c>
      <c r="J78" s="184">
        <v>140</v>
      </c>
      <c r="K78" s="75">
        <v>200</v>
      </c>
      <c r="L78" s="75">
        <v>1450</v>
      </c>
      <c r="M78" s="202">
        <v>13.959907086430002</v>
      </c>
      <c r="N78" s="87">
        <v>824.1486000000001</v>
      </c>
      <c r="O78" s="123">
        <v>24602.057893754667</v>
      </c>
      <c r="P78" s="119">
        <v>29858.709975208767</v>
      </c>
      <c r="Q78" s="120">
        <v>14242.225717816877</v>
      </c>
      <c r="R78" s="314">
        <v>38844.283611571547</v>
      </c>
      <c r="S78" s="315">
        <v>44100.935693025647</v>
      </c>
      <c r="U78" s="7" t="s">
        <v>2987</v>
      </c>
    </row>
    <row r="79" spans="1:21" ht="16.5" customHeight="1" thickBot="1">
      <c r="A79" s="50" t="s">
        <v>35</v>
      </c>
      <c r="B79" s="51">
        <f t="shared" si="3"/>
        <v>140</v>
      </c>
      <c r="C79" s="51" t="s">
        <v>3</v>
      </c>
      <c r="D79" s="51">
        <f t="shared" si="4"/>
        <v>200</v>
      </c>
      <c r="E79" s="51" t="s">
        <v>3</v>
      </c>
      <c r="F79" s="99">
        <f t="shared" si="5"/>
        <v>1500</v>
      </c>
      <c r="G79" s="51" t="s">
        <v>3</v>
      </c>
      <c r="H79" s="48">
        <v>4</v>
      </c>
      <c r="I79" s="49" t="s">
        <v>46</v>
      </c>
      <c r="J79" s="184">
        <v>140</v>
      </c>
      <c r="K79" s="75">
        <v>200</v>
      </c>
      <c r="L79" s="75">
        <v>1500</v>
      </c>
      <c r="M79" s="202">
        <v>14.516547308753157</v>
      </c>
      <c r="N79" s="87">
        <v>861.60989999999993</v>
      </c>
      <c r="O79" s="123">
        <v>25826.889038739533</v>
      </c>
      <c r="P79" s="119">
        <v>31183.857793434385</v>
      </c>
      <c r="Q79" s="120">
        <v>14831.226134328155</v>
      </c>
      <c r="R79" s="314">
        <v>40658.115173067687</v>
      </c>
      <c r="S79" s="315">
        <v>46015.083927762542</v>
      </c>
      <c r="U79" s="7" t="s">
        <v>2988</v>
      </c>
    </row>
    <row r="80" spans="1:21" ht="16.5" customHeight="1" thickBot="1">
      <c r="A80" s="50" t="s">
        <v>35</v>
      </c>
      <c r="B80" s="51">
        <f t="shared" si="3"/>
        <v>140</v>
      </c>
      <c r="C80" s="51" t="s">
        <v>3</v>
      </c>
      <c r="D80" s="51">
        <f t="shared" si="4"/>
        <v>200</v>
      </c>
      <c r="E80" s="51" t="s">
        <v>3</v>
      </c>
      <c r="F80" s="99">
        <f t="shared" si="5"/>
        <v>1550</v>
      </c>
      <c r="G80" s="51" t="s">
        <v>3</v>
      </c>
      <c r="H80" s="48">
        <v>4</v>
      </c>
      <c r="I80" s="49" t="s">
        <v>46</v>
      </c>
      <c r="J80" s="184">
        <v>140</v>
      </c>
      <c r="K80" s="75">
        <v>200</v>
      </c>
      <c r="L80" s="75">
        <v>1550</v>
      </c>
      <c r="M80" s="202">
        <v>14.969217408776313</v>
      </c>
      <c r="N80" s="87">
        <v>899.07119999999998</v>
      </c>
      <c r="O80" s="123">
        <v>26495.883487302868</v>
      </c>
      <c r="P80" s="119">
        <v>32015.692678047755</v>
      </c>
      <c r="Q80" s="120">
        <v>15189.644913449516</v>
      </c>
      <c r="R80" s="314">
        <v>41685.528400752388</v>
      </c>
      <c r="S80" s="315">
        <v>47205.337591497271</v>
      </c>
      <c r="U80" s="7" t="s">
        <v>2989</v>
      </c>
    </row>
    <row r="81" spans="1:21" ht="16.5" customHeight="1" thickBot="1">
      <c r="A81" s="47" t="s">
        <v>35</v>
      </c>
      <c r="B81" s="48">
        <f t="shared" si="3"/>
        <v>140</v>
      </c>
      <c r="C81" s="48" t="s">
        <v>3</v>
      </c>
      <c r="D81" s="48">
        <f t="shared" si="4"/>
        <v>200</v>
      </c>
      <c r="E81" s="48" t="s">
        <v>3</v>
      </c>
      <c r="F81" s="99">
        <f t="shared" si="5"/>
        <v>1600</v>
      </c>
      <c r="G81" s="48" t="s">
        <v>3</v>
      </c>
      <c r="H81" s="48">
        <v>4</v>
      </c>
      <c r="I81" s="49" t="s">
        <v>46</v>
      </c>
      <c r="J81" s="184">
        <v>140</v>
      </c>
      <c r="K81" s="75">
        <v>200</v>
      </c>
      <c r="L81" s="75">
        <v>1600</v>
      </c>
      <c r="M81" s="202">
        <v>15.421887508799472</v>
      </c>
      <c r="N81" s="87">
        <v>936.53250000000003</v>
      </c>
      <c r="O81" s="123">
        <v>27164.877935866203</v>
      </c>
      <c r="P81" s="119">
        <v>32847.527562661133</v>
      </c>
      <c r="Q81" s="120">
        <v>15548.063552177517</v>
      </c>
      <c r="R81" s="314">
        <v>42712.941488043718</v>
      </c>
      <c r="S81" s="315">
        <v>48395.591114838651</v>
      </c>
      <c r="U81" s="7" t="s">
        <v>2990</v>
      </c>
    </row>
    <row r="82" spans="1:21" ht="16.5" customHeight="1" thickBot="1">
      <c r="A82" s="50" t="s">
        <v>35</v>
      </c>
      <c r="B82" s="51">
        <f t="shared" si="3"/>
        <v>140</v>
      </c>
      <c r="C82" s="51" t="s">
        <v>3</v>
      </c>
      <c r="D82" s="51">
        <f t="shared" si="4"/>
        <v>200</v>
      </c>
      <c r="E82" s="51" t="s">
        <v>3</v>
      </c>
      <c r="F82" s="99">
        <f t="shared" si="5"/>
        <v>1650</v>
      </c>
      <c r="G82" s="51" t="s">
        <v>3</v>
      </c>
      <c r="H82" s="48">
        <v>4</v>
      </c>
      <c r="I82" s="49" t="s">
        <v>46</v>
      </c>
      <c r="J82" s="184">
        <v>140</v>
      </c>
      <c r="K82" s="75">
        <v>200</v>
      </c>
      <c r="L82" s="75">
        <v>1650</v>
      </c>
      <c r="M82" s="202">
        <v>15.891597608822631</v>
      </c>
      <c r="N82" s="87">
        <v>973.99380000000008</v>
      </c>
      <c r="O82" s="123">
        <v>27833.872384429542</v>
      </c>
      <c r="P82" s="119">
        <v>33679.362447274507</v>
      </c>
      <c r="Q82" s="120">
        <v>16137.063968688792</v>
      </c>
      <c r="R82" s="314">
        <v>43970.936353118333</v>
      </c>
      <c r="S82" s="315">
        <v>49816.426415963302</v>
      </c>
      <c r="U82" s="7" t="s">
        <v>2991</v>
      </c>
    </row>
    <row r="83" spans="1:21" ht="16.5" customHeight="1" thickBot="1">
      <c r="A83" s="50" t="s">
        <v>35</v>
      </c>
      <c r="B83" s="51">
        <f t="shared" si="3"/>
        <v>140</v>
      </c>
      <c r="C83" s="51" t="s">
        <v>3</v>
      </c>
      <c r="D83" s="51">
        <f t="shared" si="4"/>
        <v>200</v>
      </c>
      <c r="E83" s="51" t="s">
        <v>3</v>
      </c>
      <c r="F83" s="99">
        <f t="shared" si="5"/>
        <v>1700</v>
      </c>
      <c r="G83" s="51" t="s">
        <v>3</v>
      </c>
      <c r="H83" s="48">
        <v>4</v>
      </c>
      <c r="I83" s="49" t="s">
        <v>46</v>
      </c>
      <c r="J83" s="184">
        <v>140</v>
      </c>
      <c r="K83" s="75">
        <v>200</v>
      </c>
      <c r="L83" s="75">
        <v>1700</v>
      </c>
      <c r="M83" s="202">
        <v>16.344267708845784</v>
      </c>
      <c r="N83" s="87">
        <v>1011.4551</v>
      </c>
      <c r="O83" s="123">
        <v>28502.866832992881</v>
      </c>
      <c r="P83" s="119">
        <v>34511.197331887881</v>
      </c>
      <c r="Q83" s="120">
        <v>16495.48260741679</v>
      </c>
      <c r="R83" s="314">
        <v>44998.349440409671</v>
      </c>
      <c r="S83" s="315">
        <v>51006.679939304668</v>
      </c>
      <c r="U83" s="7" t="s">
        <v>2992</v>
      </c>
    </row>
    <row r="84" spans="1:21" ht="16.5" customHeight="1" thickBot="1">
      <c r="A84" s="50" t="s">
        <v>35</v>
      </c>
      <c r="B84" s="51">
        <f t="shared" si="3"/>
        <v>140</v>
      </c>
      <c r="C84" s="51" t="s">
        <v>3</v>
      </c>
      <c r="D84" s="51">
        <f t="shared" si="4"/>
        <v>200</v>
      </c>
      <c r="E84" s="51" t="s">
        <v>3</v>
      </c>
      <c r="F84" s="99">
        <f t="shared" si="5"/>
        <v>1750</v>
      </c>
      <c r="G84" s="51" t="s">
        <v>3</v>
      </c>
      <c r="H84" s="48">
        <v>4</v>
      </c>
      <c r="I84" s="49" t="s">
        <v>46</v>
      </c>
      <c r="J84" s="184">
        <v>140</v>
      </c>
      <c r="K84" s="75">
        <v>200</v>
      </c>
      <c r="L84" s="75">
        <v>1750</v>
      </c>
      <c r="M84" s="202">
        <v>16.813977808868945</v>
      </c>
      <c r="N84" s="87">
        <v>1048.9163999999998</v>
      </c>
      <c r="O84" s="123">
        <v>29171.861281556219</v>
      </c>
      <c r="P84" s="119">
        <v>35343.032216501262</v>
      </c>
      <c r="Q84" s="120">
        <v>17084.483023928067</v>
      </c>
      <c r="R84" s="314">
        <v>46256.344305484286</v>
      </c>
      <c r="S84" s="315">
        <v>52427.515240429333</v>
      </c>
      <c r="U84" s="7" t="s">
        <v>2993</v>
      </c>
    </row>
    <row r="85" spans="1:21" ht="16.5" customHeight="1" thickBot="1">
      <c r="A85" s="50" t="s">
        <v>35</v>
      </c>
      <c r="B85" s="51">
        <f t="shared" si="3"/>
        <v>140</v>
      </c>
      <c r="C85" s="51" t="s">
        <v>3</v>
      </c>
      <c r="D85" s="51">
        <f t="shared" si="4"/>
        <v>200</v>
      </c>
      <c r="E85" s="51" t="s">
        <v>3</v>
      </c>
      <c r="F85" s="99">
        <f t="shared" si="5"/>
        <v>1800</v>
      </c>
      <c r="G85" s="51" t="s">
        <v>3</v>
      </c>
      <c r="H85" s="48">
        <v>4</v>
      </c>
      <c r="I85" s="49" t="s">
        <v>46</v>
      </c>
      <c r="J85" s="184">
        <v>140</v>
      </c>
      <c r="K85" s="75">
        <v>200</v>
      </c>
      <c r="L85" s="75">
        <v>1800</v>
      </c>
      <c r="M85" s="202">
        <v>17.2666479088921</v>
      </c>
      <c r="N85" s="87">
        <v>1086.3777</v>
      </c>
      <c r="O85" s="123">
        <v>29840.855730119554</v>
      </c>
      <c r="P85" s="119">
        <v>36174.866960721272</v>
      </c>
      <c r="Q85" s="120">
        <v>17442.90180304943</v>
      </c>
      <c r="R85" s="314">
        <v>47283.757533168988</v>
      </c>
      <c r="S85" s="315">
        <v>53617.768763770699</v>
      </c>
      <c r="U85" s="7" t="s">
        <v>2994</v>
      </c>
    </row>
    <row r="86" spans="1:21" ht="16.5" customHeight="1" thickBot="1">
      <c r="A86" s="50" t="s">
        <v>35</v>
      </c>
      <c r="B86" s="51">
        <f t="shared" si="3"/>
        <v>140</v>
      </c>
      <c r="C86" s="51" t="s">
        <v>3</v>
      </c>
      <c r="D86" s="51">
        <f t="shared" si="4"/>
        <v>200</v>
      </c>
      <c r="E86" s="51" t="s">
        <v>3</v>
      </c>
      <c r="F86" s="99">
        <f t="shared" si="5"/>
        <v>1850</v>
      </c>
      <c r="G86" s="51" t="s">
        <v>3</v>
      </c>
      <c r="H86" s="48">
        <v>4</v>
      </c>
      <c r="I86" s="49" t="s">
        <v>46</v>
      </c>
      <c r="J86" s="184">
        <v>140</v>
      </c>
      <c r="K86" s="75">
        <v>200</v>
      </c>
      <c r="L86" s="75">
        <v>1850</v>
      </c>
      <c r="M86" s="202">
        <v>17.736358008915261</v>
      </c>
      <c r="N86" s="87">
        <v>1123.8389999999999</v>
      </c>
      <c r="O86" s="123">
        <v>30509.850178682897</v>
      </c>
      <c r="P86" s="119">
        <v>37006.701845334646</v>
      </c>
      <c r="Q86" s="120">
        <v>18031.902219560703</v>
      </c>
      <c r="R86" s="314">
        <v>48541.752398243596</v>
      </c>
      <c r="S86" s="315">
        <v>55038.604064895349</v>
      </c>
      <c r="U86" s="7" t="s">
        <v>2995</v>
      </c>
    </row>
    <row r="87" spans="1:21" ht="16.5" customHeight="1" thickBot="1">
      <c r="A87" s="50" t="s">
        <v>35</v>
      </c>
      <c r="B87" s="51">
        <f t="shared" si="3"/>
        <v>140</v>
      </c>
      <c r="C87" s="51" t="s">
        <v>3</v>
      </c>
      <c r="D87" s="51">
        <f t="shared" si="4"/>
        <v>200</v>
      </c>
      <c r="E87" s="51" t="s">
        <v>3</v>
      </c>
      <c r="F87" s="99">
        <f t="shared" si="5"/>
        <v>1900</v>
      </c>
      <c r="G87" s="51" t="s">
        <v>3</v>
      </c>
      <c r="H87" s="48">
        <v>4</v>
      </c>
      <c r="I87" s="49" t="s">
        <v>46</v>
      </c>
      <c r="J87" s="184">
        <v>140</v>
      </c>
      <c r="K87" s="75">
        <v>200</v>
      </c>
      <c r="L87" s="75">
        <v>1900</v>
      </c>
      <c r="M87" s="202">
        <v>18.189028108938416</v>
      </c>
      <c r="N87" s="87">
        <v>1161.3003000000001</v>
      </c>
      <c r="O87" s="123">
        <v>31178.844627246232</v>
      </c>
      <c r="P87" s="119">
        <v>37838.53672994802</v>
      </c>
      <c r="Q87" s="120">
        <v>18390.320858288702</v>
      </c>
      <c r="R87" s="314">
        <v>49569.165485534933</v>
      </c>
      <c r="S87" s="315">
        <v>56228.857588236722</v>
      </c>
      <c r="U87" s="7" t="s">
        <v>2996</v>
      </c>
    </row>
    <row r="88" spans="1:21" ht="16.5" customHeight="1" thickBot="1">
      <c r="A88" s="50" t="s">
        <v>35</v>
      </c>
      <c r="B88" s="51">
        <f t="shared" si="3"/>
        <v>140</v>
      </c>
      <c r="C88" s="51" t="s">
        <v>3</v>
      </c>
      <c r="D88" s="51">
        <f t="shared" si="4"/>
        <v>200</v>
      </c>
      <c r="E88" s="51" t="s">
        <v>3</v>
      </c>
      <c r="F88" s="99">
        <f t="shared" si="5"/>
        <v>1950</v>
      </c>
      <c r="G88" s="51" t="s">
        <v>3</v>
      </c>
      <c r="H88" s="48">
        <v>4</v>
      </c>
      <c r="I88" s="49" t="s">
        <v>46</v>
      </c>
      <c r="J88" s="184">
        <v>140</v>
      </c>
      <c r="K88" s="75">
        <v>200</v>
      </c>
      <c r="L88" s="75">
        <v>1950</v>
      </c>
      <c r="M88" s="202">
        <v>18.72019820896157</v>
      </c>
      <c r="N88" s="87">
        <v>1198.7616</v>
      </c>
      <c r="O88" s="123">
        <v>31924.993511711706</v>
      </c>
      <c r="P88" s="119">
        <v>38747.997070194724</v>
      </c>
      <c r="Q88" s="120">
        <v>18748.739497016704</v>
      </c>
      <c r="R88" s="314">
        <v>50673.733008728406</v>
      </c>
      <c r="S88" s="315">
        <v>57496.736567211425</v>
      </c>
      <c r="U88" s="7" t="s">
        <v>2997</v>
      </c>
    </row>
    <row r="89" spans="1:21" ht="16.5" customHeight="1" thickBot="1">
      <c r="A89" s="50" t="s">
        <v>35</v>
      </c>
      <c r="B89" s="51">
        <f t="shared" si="3"/>
        <v>140</v>
      </c>
      <c r="C89" s="51" t="s">
        <v>3</v>
      </c>
      <c r="D89" s="51">
        <f t="shared" si="4"/>
        <v>200</v>
      </c>
      <c r="E89" s="51" t="s">
        <v>3</v>
      </c>
      <c r="F89" s="99">
        <f t="shared" si="5"/>
        <v>2000</v>
      </c>
      <c r="G89" s="51" t="s">
        <v>3</v>
      </c>
      <c r="H89" s="48">
        <v>4</v>
      </c>
      <c r="I89" s="49" t="s">
        <v>46</v>
      </c>
      <c r="J89" s="184">
        <v>140</v>
      </c>
      <c r="K89" s="75">
        <v>200</v>
      </c>
      <c r="L89" s="75">
        <v>2000</v>
      </c>
      <c r="M89" s="202">
        <v>19.281470708984735</v>
      </c>
      <c r="N89" s="87">
        <v>1236.2229</v>
      </c>
      <c r="O89" s="123">
        <v>32824.530849096904</v>
      </c>
      <c r="P89" s="119">
        <v>39892.512682327397</v>
      </c>
      <c r="Q89" s="120">
        <v>19337.740053921341</v>
      </c>
      <c r="R89" s="314">
        <v>52162.270903018245</v>
      </c>
      <c r="S89" s="315">
        <v>59230.252736248738</v>
      </c>
      <c r="U89" s="7" t="s">
        <v>2998</v>
      </c>
    </row>
    <row r="90" spans="1:21" ht="16.5" customHeight="1" thickBot="1">
      <c r="A90" s="50" t="s">
        <v>35</v>
      </c>
      <c r="B90" s="51">
        <f t="shared" si="3"/>
        <v>140</v>
      </c>
      <c r="C90" s="51" t="s">
        <v>3</v>
      </c>
      <c r="D90" s="51">
        <f t="shared" si="4"/>
        <v>200</v>
      </c>
      <c r="E90" s="51" t="s">
        <v>3</v>
      </c>
      <c r="F90" s="99">
        <f t="shared" si="5"/>
        <v>2050</v>
      </c>
      <c r="G90" s="51" t="s">
        <v>3</v>
      </c>
      <c r="H90" s="48">
        <v>4</v>
      </c>
      <c r="I90" s="49" t="s">
        <v>46</v>
      </c>
      <c r="J90" s="184">
        <v>140</v>
      </c>
      <c r="K90" s="75">
        <v>200</v>
      </c>
      <c r="L90" s="75">
        <v>2050</v>
      </c>
      <c r="M90" s="202">
        <v>19.73414080900789</v>
      </c>
      <c r="N90" s="87">
        <v>1273.6841999999999</v>
      </c>
      <c r="O90" s="123">
        <v>33493.525438053606</v>
      </c>
      <c r="P90" s="119">
        <v>40724.347566940771</v>
      </c>
      <c r="Q90" s="120">
        <v>19696.15869264934</v>
      </c>
      <c r="R90" s="314">
        <v>53189.684130702946</v>
      </c>
      <c r="S90" s="315">
        <v>60420.506259590111</v>
      </c>
      <c r="U90" s="7" t="s">
        <v>2999</v>
      </c>
    </row>
    <row r="91" spans="1:21" ht="16.5" customHeight="1" thickBot="1">
      <c r="A91" s="47" t="s">
        <v>35</v>
      </c>
      <c r="B91" s="48">
        <f t="shared" si="3"/>
        <v>140</v>
      </c>
      <c r="C91" s="48" t="s">
        <v>3</v>
      </c>
      <c r="D91" s="48">
        <f t="shared" si="4"/>
        <v>200</v>
      </c>
      <c r="E91" s="48" t="s">
        <v>3</v>
      </c>
      <c r="F91" s="99">
        <f t="shared" si="5"/>
        <v>2100</v>
      </c>
      <c r="G91" s="48" t="s">
        <v>3</v>
      </c>
      <c r="H91" s="48">
        <v>4</v>
      </c>
      <c r="I91" s="49" t="s">
        <v>46</v>
      </c>
      <c r="J91" s="184">
        <v>140</v>
      </c>
      <c r="K91" s="75">
        <v>200</v>
      </c>
      <c r="L91" s="75">
        <v>2100</v>
      </c>
      <c r="M91" s="202">
        <v>20.203850909031047</v>
      </c>
      <c r="N91" s="87">
        <v>1311.1455000000001</v>
      </c>
      <c r="O91" s="123">
        <v>34162.519886616945</v>
      </c>
      <c r="P91" s="119">
        <v>41556.182451554145</v>
      </c>
      <c r="Q91" s="120">
        <v>20285.159109160617</v>
      </c>
      <c r="R91" s="314">
        <v>54447.678995777562</v>
      </c>
      <c r="S91" s="315">
        <v>61841.341560714762</v>
      </c>
      <c r="U91" s="7" t="s">
        <v>3000</v>
      </c>
    </row>
    <row r="92" spans="1:21" ht="16.5" customHeight="1" thickBot="1">
      <c r="A92" s="50" t="s">
        <v>35</v>
      </c>
      <c r="B92" s="51">
        <f t="shared" si="3"/>
        <v>140</v>
      </c>
      <c r="C92" s="51" t="s">
        <v>3</v>
      </c>
      <c r="D92" s="51">
        <f t="shared" si="4"/>
        <v>200</v>
      </c>
      <c r="E92" s="51" t="s">
        <v>3</v>
      </c>
      <c r="F92" s="99">
        <f t="shared" si="5"/>
        <v>2150</v>
      </c>
      <c r="G92" s="51" t="s">
        <v>3</v>
      </c>
      <c r="H92" s="48">
        <v>4</v>
      </c>
      <c r="I92" s="49" t="s">
        <v>46</v>
      </c>
      <c r="J92" s="184">
        <v>140</v>
      </c>
      <c r="K92" s="75">
        <v>200</v>
      </c>
      <c r="L92" s="75">
        <v>2150</v>
      </c>
      <c r="M92" s="202">
        <v>20.65652100905421</v>
      </c>
      <c r="N92" s="87">
        <v>1348.6068</v>
      </c>
      <c r="O92" s="123">
        <v>34831.514335180284</v>
      </c>
      <c r="P92" s="119">
        <v>42388.017336167519</v>
      </c>
      <c r="Q92" s="120">
        <v>20643.577747888616</v>
      </c>
      <c r="R92" s="314">
        <v>55475.092083068899</v>
      </c>
      <c r="S92" s="315">
        <v>63031.595084056135</v>
      </c>
      <c r="U92" s="7" t="s">
        <v>3001</v>
      </c>
    </row>
    <row r="93" spans="1:21" ht="16.5" customHeight="1" thickBot="1">
      <c r="A93" s="50" t="s">
        <v>35</v>
      </c>
      <c r="B93" s="51">
        <f t="shared" si="3"/>
        <v>140</v>
      </c>
      <c r="C93" s="51" t="s">
        <v>3</v>
      </c>
      <c r="D93" s="51">
        <f t="shared" si="4"/>
        <v>200</v>
      </c>
      <c r="E93" s="51" t="s">
        <v>3</v>
      </c>
      <c r="F93" s="99">
        <f t="shared" si="5"/>
        <v>2200</v>
      </c>
      <c r="G93" s="51" t="s">
        <v>3</v>
      </c>
      <c r="H93" s="48">
        <v>4</v>
      </c>
      <c r="I93" s="49" t="s">
        <v>46</v>
      </c>
      <c r="J93" s="184">
        <v>140</v>
      </c>
      <c r="K93" s="75">
        <v>200</v>
      </c>
      <c r="L93" s="75">
        <v>2200</v>
      </c>
      <c r="M93" s="202">
        <v>21.126231109077366</v>
      </c>
      <c r="N93" s="87">
        <v>1386.0681</v>
      </c>
      <c r="O93" s="123">
        <v>35500.508783743622</v>
      </c>
      <c r="P93" s="119">
        <v>43219.852220780893</v>
      </c>
      <c r="Q93" s="120">
        <v>21232.578164399893</v>
      </c>
      <c r="R93" s="314">
        <v>56733.086948143515</v>
      </c>
      <c r="S93" s="315">
        <v>64452.430385180785</v>
      </c>
      <c r="U93" s="7" t="s">
        <v>3002</v>
      </c>
    </row>
    <row r="94" spans="1:21" ht="16.5" customHeight="1" thickBot="1">
      <c r="A94" s="50" t="s">
        <v>35</v>
      </c>
      <c r="B94" s="51">
        <f t="shared" si="3"/>
        <v>140</v>
      </c>
      <c r="C94" s="51" t="s">
        <v>3</v>
      </c>
      <c r="D94" s="51">
        <f t="shared" si="4"/>
        <v>200</v>
      </c>
      <c r="E94" s="51" t="s">
        <v>3</v>
      </c>
      <c r="F94" s="99">
        <f t="shared" si="5"/>
        <v>2250</v>
      </c>
      <c r="G94" s="51" t="s">
        <v>3</v>
      </c>
      <c r="H94" s="48">
        <v>4</v>
      </c>
      <c r="I94" s="49" t="s">
        <v>46</v>
      </c>
      <c r="J94" s="184">
        <v>140</v>
      </c>
      <c r="K94" s="75">
        <v>200</v>
      </c>
      <c r="L94" s="75">
        <v>2250</v>
      </c>
      <c r="M94" s="202">
        <v>21.578901209100522</v>
      </c>
      <c r="N94" s="87">
        <v>1423.5293999999999</v>
      </c>
      <c r="O94" s="123">
        <v>36169.503232306954</v>
      </c>
      <c r="P94" s="119">
        <v>44051.687105394274</v>
      </c>
      <c r="Q94" s="120">
        <v>21590.996943521255</v>
      </c>
      <c r="R94" s="314">
        <v>57760.500175828209</v>
      </c>
      <c r="S94" s="315">
        <v>65642.684048915529</v>
      </c>
      <c r="U94" s="7" t="s">
        <v>3003</v>
      </c>
    </row>
    <row r="95" spans="1:21" ht="16.5" customHeight="1" thickBot="1">
      <c r="A95" s="50" t="s">
        <v>35</v>
      </c>
      <c r="B95" s="51">
        <f t="shared" si="3"/>
        <v>140</v>
      </c>
      <c r="C95" s="51" t="s">
        <v>3</v>
      </c>
      <c r="D95" s="51">
        <f t="shared" si="4"/>
        <v>200</v>
      </c>
      <c r="E95" s="51" t="s">
        <v>3</v>
      </c>
      <c r="F95" s="99">
        <f t="shared" si="5"/>
        <v>2300</v>
      </c>
      <c r="G95" s="51" t="s">
        <v>3</v>
      </c>
      <c r="H95" s="48">
        <v>4</v>
      </c>
      <c r="I95" s="49" t="s">
        <v>46</v>
      </c>
      <c r="J95" s="184">
        <v>140</v>
      </c>
      <c r="K95" s="75">
        <v>200</v>
      </c>
      <c r="L95" s="75">
        <v>2300</v>
      </c>
      <c r="M95" s="202">
        <v>22.031571309123681</v>
      </c>
      <c r="N95" s="87">
        <v>1460.9907000000001</v>
      </c>
      <c r="O95" s="123">
        <v>36838.4976808703</v>
      </c>
      <c r="P95" s="119">
        <v>44883.521849614284</v>
      </c>
      <c r="Q95" s="120">
        <v>21949.415582249254</v>
      </c>
      <c r="R95" s="314">
        <v>58787.913263119553</v>
      </c>
      <c r="S95" s="315">
        <v>66832.937431863538</v>
      </c>
      <c r="U95" s="7" t="s">
        <v>3004</v>
      </c>
    </row>
    <row r="96" spans="1:21" ht="16.5" customHeight="1" thickBot="1">
      <c r="A96" s="50" t="s">
        <v>35</v>
      </c>
      <c r="B96" s="51">
        <f t="shared" si="3"/>
        <v>140</v>
      </c>
      <c r="C96" s="51" t="s">
        <v>3</v>
      </c>
      <c r="D96" s="51">
        <f t="shared" si="4"/>
        <v>200</v>
      </c>
      <c r="E96" s="51" t="s">
        <v>3</v>
      </c>
      <c r="F96" s="99">
        <f t="shared" si="5"/>
        <v>2350</v>
      </c>
      <c r="G96" s="51" t="s">
        <v>3</v>
      </c>
      <c r="H96" s="48">
        <v>4</v>
      </c>
      <c r="I96" s="49" t="s">
        <v>46</v>
      </c>
      <c r="J96" s="184">
        <v>140</v>
      </c>
      <c r="K96" s="75">
        <v>200</v>
      </c>
      <c r="L96" s="75">
        <v>2350</v>
      </c>
      <c r="M96" s="202">
        <v>22.501281409146841</v>
      </c>
      <c r="N96" s="87">
        <v>1498.452</v>
      </c>
      <c r="O96" s="123">
        <v>37507.492129433631</v>
      </c>
      <c r="P96" s="119">
        <v>45715.356734227658</v>
      </c>
      <c r="Q96" s="120">
        <v>22538.415998760531</v>
      </c>
      <c r="R96" s="314">
        <v>60045.908128194162</v>
      </c>
      <c r="S96" s="315">
        <v>68253.772732988189</v>
      </c>
      <c r="U96" s="7" t="s">
        <v>3005</v>
      </c>
    </row>
    <row r="97" spans="1:21" ht="16.5" customHeight="1" thickBot="1">
      <c r="A97" s="50" t="s">
        <v>35</v>
      </c>
      <c r="B97" s="51">
        <f t="shared" si="3"/>
        <v>140</v>
      </c>
      <c r="C97" s="51" t="s">
        <v>3</v>
      </c>
      <c r="D97" s="51">
        <f t="shared" si="4"/>
        <v>200</v>
      </c>
      <c r="E97" s="51" t="s">
        <v>3</v>
      </c>
      <c r="F97" s="99">
        <f t="shared" si="5"/>
        <v>2400</v>
      </c>
      <c r="G97" s="51" t="s">
        <v>3</v>
      </c>
      <c r="H97" s="48">
        <v>4</v>
      </c>
      <c r="I97" s="49" t="s">
        <v>46</v>
      </c>
      <c r="J97" s="184">
        <v>140</v>
      </c>
      <c r="K97" s="75">
        <v>200</v>
      </c>
      <c r="L97" s="75">
        <v>2400</v>
      </c>
      <c r="M97" s="202">
        <v>22.953951509169997</v>
      </c>
      <c r="N97" s="87">
        <v>1535.9132999999999</v>
      </c>
      <c r="O97" s="123">
        <v>38176.48657799697</v>
      </c>
      <c r="P97" s="119">
        <v>46547.19161884104</v>
      </c>
      <c r="Q97" s="120">
        <v>22896.83463748853</v>
      </c>
      <c r="R97" s="314">
        <v>61073.321215485499</v>
      </c>
      <c r="S97" s="315">
        <v>69444.026256329569</v>
      </c>
      <c r="U97" s="7" t="s">
        <v>3006</v>
      </c>
    </row>
    <row r="98" spans="1:21" ht="16.5" customHeight="1" thickBot="1">
      <c r="A98" s="50" t="s">
        <v>35</v>
      </c>
      <c r="B98" s="51">
        <f t="shared" si="3"/>
        <v>140</v>
      </c>
      <c r="C98" s="51" t="s">
        <v>3</v>
      </c>
      <c r="D98" s="51">
        <f t="shared" si="4"/>
        <v>200</v>
      </c>
      <c r="E98" s="51" t="s">
        <v>3</v>
      </c>
      <c r="F98" s="99">
        <f t="shared" si="5"/>
        <v>2450</v>
      </c>
      <c r="G98" s="51" t="s">
        <v>3</v>
      </c>
      <c r="H98" s="48">
        <v>4</v>
      </c>
      <c r="I98" s="49" t="s">
        <v>46</v>
      </c>
      <c r="J98" s="184">
        <v>140</v>
      </c>
      <c r="K98" s="75">
        <v>200</v>
      </c>
      <c r="L98" s="75">
        <v>2450</v>
      </c>
      <c r="M98" s="202">
        <v>23.530687731493153</v>
      </c>
      <c r="N98" s="87">
        <v>1573.3746000000001</v>
      </c>
      <c r="O98" s="123">
        <v>39401.317582588468</v>
      </c>
      <c r="P98" s="119">
        <v>47872.339437066643</v>
      </c>
      <c r="Q98" s="120">
        <v>23485.83519439317</v>
      </c>
      <c r="R98" s="314">
        <v>62887.152776981638</v>
      </c>
      <c r="S98" s="315">
        <v>71358.174631459813</v>
      </c>
      <c r="U98" s="7" t="s">
        <v>3007</v>
      </c>
    </row>
    <row r="99" spans="1:21" ht="16.5" customHeight="1" thickBot="1">
      <c r="A99" s="50" t="s">
        <v>35</v>
      </c>
      <c r="B99" s="51">
        <f t="shared" si="3"/>
        <v>140</v>
      </c>
      <c r="C99" s="51" t="s">
        <v>3</v>
      </c>
      <c r="D99" s="51">
        <f t="shared" si="4"/>
        <v>200</v>
      </c>
      <c r="E99" s="51" t="s">
        <v>3</v>
      </c>
      <c r="F99" s="99">
        <f t="shared" si="5"/>
        <v>2500</v>
      </c>
      <c r="G99" s="51" t="s">
        <v>3</v>
      </c>
      <c r="H99" s="48">
        <v>4</v>
      </c>
      <c r="I99" s="49" t="s">
        <v>46</v>
      </c>
      <c r="J99" s="184">
        <v>140</v>
      </c>
      <c r="K99" s="75">
        <v>200</v>
      </c>
      <c r="L99" s="75">
        <v>2500</v>
      </c>
      <c r="M99" s="202">
        <v>23.96326183151632</v>
      </c>
      <c r="N99" s="87">
        <v>1610.8359</v>
      </c>
      <c r="O99" s="123">
        <v>40070.312031151814</v>
      </c>
      <c r="P99" s="119">
        <v>48704.174321680024</v>
      </c>
      <c r="Q99" s="120">
        <v>23844.253833121165</v>
      </c>
      <c r="R99" s="314">
        <v>63914.565864272983</v>
      </c>
      <c r="S99" s="315">
        <v>72548.428154801193</v>
      </c>
      <c r="U99" s="7" t="s">
        <v>3008</v>
      </c>
    </row>
    <row r="100" spans="1:21" ht="16.5" customHeight="1" thickBot="1">
      <c r="A100" s="50" t="s">
        <v>35</v>
      </c>
      <c r="B100" s="51">
        <f t="shared" si="3"/>
        <v>140</v>
      </c>
      <c r="C100" s="51" t="s">
        <v>3</v>
      </c>
      <c r="D100" s="51">
        <f t="shared" si="4"/>
        <v>200</v>
      </c>
      <c r="E100" s="51" t="s">
        <v>3</v>
      </c>
      <c r="F100" s="99">
        <f t="shared" si="5"/>
        <v>2550</v>
      </c>
      <c r="G100" s="51" t="s">
        <v>3</v>
      </c>
      <c r="H100" s="48">
        <v>4</v>
      </c>
      <c r="I100" s="49" t="s">
        <v>46</v>
      </c>
      <c r="J100" s="184">
        <v>140</v>
      </c>
      <c r="K100" s="75">
        <v>200</v>
      </c>
      <c r="L100" s="75">
        <v>2550</v>
      </c>
      <c r="M100" s="202">
        <v>24.43297193153947</v>
      </c>
      <c r="N100" s="87">
        <v>1648.2972000000002</v>
      </c>
      <c r="O100" s="123">
        <v>40739.306479715146</v>
      </c>
      <c r="P100" s="119">
        <v>49536.009206293398</v>
      </c>
      <c r="Q100" s="120">
        <v>24433.254249632446</v>
      </c>
      <c r="R100" s="314">
        <v>65172.560729347591</v>
      </c>
      <c r="S100" s="315">
        <v>73969.263455925844</v>
      </c>
      <c r="U100" s="7" t="s">
        <v>3009</v>
      </c>
    </row>
    <row r="101" spans="1:21" ht="16.5" customHeight="1" thickBot="1">
      <c r="A101" s="47" t="s">
        <v>35</v>
      </c>
      <c r="B101" s="48">
        <f t="shared" si="3"/>
        <v>140</v>
      </c>
      <c r="C101" s="48" t="s">
        <v>3</v>
      </c>
      <c r="D101" s="48">
        <f t="shared" si="4"/>
        <v>200</v>
      </c>
      <c r="E101" s="48" t="s">
        <v>3</v>
      </c>
      <c r="F101" s="99">
        <f t="shared" si="5"/>
        <v>2600</v>
      </c>
      <c r="G101" s="48" t="s">
        <v>3</v>
      </c>
      <c r="H101" s="48">
        <v>4</v>
      </c>
      <c r="I101" s="49" t="s">
        <v>46</v>
      </c>
      <c r="J101" s="184">
        <v>140</v>
      </c>
      <c r="K101" s="75">
        <v>200</v>
      </c>
      <c r="L101" s="75">
        <v>2600</v>
      </c>
      <c r="M101" s="202">
        <v>24.885642031562632</v>
      </c>
      <c r="N101" s="87">
        <v>1685.7584999999999</v>
      </c>
      <c r="O101" s="123">
        <v>41408.300928278484</v>
      </c>
      <c r="P101" s="119">
        <v>50367.844090906772</v>
      </c>
      <c r="Q101" s="120">
        <v>24791.672888360441</v>
      </c>
      <c r="R101" s="314">
        <v>66199.973816638929</v>
      </c>
      <c r="S101" s="315">
        <v>75159.51697926721</v>
      </c>
      <c r="U101" s="7" t="s">
        <v>3010</v>
      </c>
    </row>
    <row r="102" spans="1:21" ht="16.5" customHeight="1" thickBot="1">
      <c r="A102" s="50" t="s">
        <v>35</v>
      </c>
      <c r="B102" s="51">
        <f t="shared" si="3"/>
        <v>140</v>
      </c>
      <c r="C102" s="51" t="s">
        <v>3</v>
      </c>
      <c r="D102" s="51">
        <f t="shared" si="4"/>
        <v>200</v>
      </c>
      <c r="E102" s="51" t="s">
        <v>3</v>
      </c>
      <c r="F102" s="99">
        <f t="shared" si="5"/>
        <v>2650</v>
      </c>
      <c r="G102" s="51" t="s">
        <v>3</v>
      </c>
      <c r="H102" s="48">
        <v>4</v>
      </c>
      <c r="I102" s="49" t="s">
        <v>46</v>
      </c>
      <c r="J102" s="184">
        <v>140</v>
      </c>
      <c r="K102" s="75">
        <v>200</v>
      </c>
      <c r="L102" s="75">
        <v>2650</v>
      </c>
      <c r="M102" s="202">
        <v>25.355352131585793</v>
      </c>
      <c r="N102" s="87">
        <v>1723.2197999999999</v>
      </c>
      <c r="O102" s="123">
        <v>42077.295376841816</v>
      </c>
      <c r="P102" s="119">
        <v>51199.67883512679</v>
      </c>
      <c r="Q102" s="120">
        <v>25380.673304871718</v>
      </c>
      <c r="R102" s="314">
        <v>67457.968681713537</v>
      </c>
      <c r="S102" s="315">
        <v>76580.352139998504</v>
      </c>
      <c r="U102" s="7" t="s">
        <v>3011</v>
      </c>
    </row>
    <row r="103" spans="1:21" ht="16.5" customHeight="1" thickBot="1">
      <c r="A103" s="50" t="s">
        <v>35</v>
      </c>
      <c r="B103" s="51">
        <f t="shared" si="3"/>
        <v>140</v>
      </c>
      <c r="C103" s="51" t="s">
        <v>3</v>
      </c>
      <c r="D103" s="51">
        <f t="shared" si="4"/>
        <v>200</v>
      </c>
      <c r="E103" s="51" t="s">
        <v>3</v>
      </c>
      <c r="F103" s="99">
        <f t="shared" si="5"/>
        <v>2700</v>
      </c>
      <c r="G103" s="51" t="s">
        <v>3</v>
      </c>
      <c r="H103" s="48">
        <v>4</v>
      </c>
      <c r="I103" s="49" t="s">
        <v>46</v>
      </c>
      <c r="J103" s="184">
        <v>140</v>
      </c>
      <c r="K103" s="75">
        <v>200</v>
      </c>
      <c r="L103" s="75">
        <v>2700</v>
      </c>
      <c r="M103" s="202">
        <v>25.88652223160895</v>
      </c>
      <c r="N103" s="87">
        <v>1760.6811</v>
      </c>
      <c r="O103" s="123">
        <v>42823.444261307297</v>
      </c>
      <c r="P103" s="119">
        <v>52109.139175373486</v>
      </c>
      <c r="Q103" s="120">
        <v>25739.09208399308</v>
      </c>
      <c r="R103" s="314">
        <v>68562.536345300381</v>
      </c>
      <c r="S103" s="315">
        <v>77848.23125936657</v>
      </c>
      <c r="U103" s="7" t="s">
        <v>3012</v>
      </c>
    </row>
    <row r="104" spans="1:21" ht="16.5" customHeight="1" thickBot="1">
      <c r="A104" s="50" t="s">
        <v>35</v>
      </c>
      <c r="B104" s="51">
        <f t="shared" si="3"/>
        <v>140</v>
      </c>
      <c r="C104" s="51" t="s">
        <v>3</v>
      </c>
      <c r="D104" s="51">
        <f t="shared" si="4"/>
        <v>200</v>
      </c>
      <c r="E104" s="51" t="s">
        <v>3</v>
      </c>
      <c r="F104" s="99">
        <f t="shared" si="5"/>
        <v>2750</v>
      </c>
      <c r="G104" s="51" t="s">
        <v>3</v>
      </c>
      <c r="H104" s="48">
        <v>4</v>
      </c>
      <c r="I104" s="49" t="s">
        <v>46</v>
      </c>
      <c r="J104" s="184">
        <v>140</v>
      </c>
      <c r="K104" s="75">
        <v>200</v>
      </c>
      <c r="L104" s="75">
        <v>2750</v>
      </c>
      <c r="M104" s="202">
        <v>26.339192331632105</v>
      </c>
      <c r="N104" s="87">
        <v>1798.1424</v>
      </c>
      <c r="O104" s="123">
        <v>43492.438709870636</v>
      </c>
      <c r="P104" s="119">
        <v>52940.97405998686</v>
      </c>
      <c r="Q104" s="120">
        <v>26097.510722721079</v>
      </c>
      <c r="R104" s="314">
        <v>69589.949432591719</v>
      </c>
      <c r="S104" s="315">
        <v>79038.484782707936</v>
      </c>
      <c r="U104" s="7" t="s">
        <v>3013</v>
      </c>
    </row>
    <row r="105" spans="1:21" ht="16.5" customHeight="1" thickBot="1">
      <c r="A105" s="50" t="s">
        <v>35</v>
      </c>
      <c r="B105" s="51">
        <f t="shared" si="3"/>
        <v>140</v>
      </c>
      <c r="C105" s="51" t="s">
        <v>3</v>
      </c>
      <c r="D105" s="51">
        <f t="shared" si="4"/>
        <v>200</v>
      </c>
      <c r="E105" s="51" t="s">
        <v>3</v>
      </c>
      <c r="F105" s="99">
        <f t="shared" si="5"/>
        <v>2800</v>
      </c>
      <c r="G105" s="51" t="s">
        <v>3</v>
      </c>
      <c r="H105" s="48">
        <v>4</v>
      </c>
      <c r="I105" s="49" t="s">
        <v>46</v>
      </c>
      <c r="J105" s="184">
        <v>140</v>
      </c>
      <c r="K105" s="75">
        <v>200</v>
      </c>
      <c r="L105" s="75">
        <v>2800</v>
      </c>
      <c r="M105" s="202">
        <v>26.808902431655266</v>
      </c>
      <c r="N105" s="87">
        <v>1835.6037000000001</v>
      </c>
      <c r="O105" s="123">
        <v>44161.433158433974</v>
      </c>
      <c r="P105" s="119">
        <v>53772.808944600241</v>
      </c>
      <c r="Q105" s="120">
        <v>26686.511139232356</v>
      </c>
      <c r="R105" s="314">
        <v>70847.944297666327</v>
      </c>
      <c r="S105" s="315">
        <v>80459.320083832601</v>
      </c>
      <c r="U105" s="7" t="s">
        <v>3014</v>
      </c>
    </row>
    <row r="106" spans="1:21" ht="16.5" customHeight="1" thickBot="1">
      <c r="A106" s="50" t="s">
        <v>35</v>
      </c>
      <c r="B106" s="51">
        <f t="shared" si="3"/>
        <v>140</v>
      </c>
      <c r="C106" s="51" t="s">
        <v>3</v>
      </c>
      <c r="D106" s="51">
        <f t="shared" si="4"/>
        <v>200</v>
      </c>
      <c r="E106" s="51" t="s">
        <v>3</v>
      </c>
      <c r="F106" s="99">
        <f t="shared" si="5"/>
        <v>2850</v>
      </c>
      <c r="G106" s="51" t="s">
        <v>3</v>
      </c>
      <c r="H106" s="48">
        <v>4</v>
      </c>
      <c r="I106" s="49" t="s">
        <v>46</v>
      </c>
      <c r="J106" s="184">
        <v>140</v>
      </c>
      <c r="K106" s="75">
        <v>200</v>
      </c>
      <c r="L106" s="75">
        <v>2850</v>
      </c>
      <c r="M106" s="202">
        <v>27.261572531678418</v>
      </c>
      <c r="N106" s="87">
        <v>1873.0650000000001</v>
      </c>
      <c r="O106" s="123">
        <v>44830.427606997306</v>
      </c>
      <c r="P106" s="119">
        <v>54604.643829213608</v>
      </c>
      <c r="Q106" s="120">
        <v>27044.929777960355</v>
      </c>
      <c r="R106" s="314">
        <v>71875.357384957664</v>
      </c>
      <c r="S106" s="315">
        <v>81649.573607173967</v>
      </c>
      <c r="U106" s="7" t="s">
        <v>3015</v>
      </c>
    </row>
    <row r="107" spans="1:21" ht="16.5" customHeight="1" thickBot="1">
      <c r="A107" s="50" t="s">
        <v>35</v>
      </c>
      <c r="B107" s="51">
        <f t="shared" si="3"/>
        <v>140</v>
      </c>
      <c r="C107" s="51" t="s">
        <v>3</v>
      </c>
      <c r="D107" s="51">
        <f t="shared" si="4"/>
        <v>200</v>
      </c>
      <c r="E107" s="51" t="s">
        <v>3</v>
      </c>
      <c r="F107" s="99">
        <f t="shared" si="5"/>
        <v>2900</v>
      </c>
      <c r="G107" s="51" t="s">
        <v>3</v>
      </c>
      <c r="H107" s="48">
        <v>4</v>
      </c>
      <c r="I107" s="49" t="s">
        <v>46</v>
      </c>
      <c r="J107" s="184">
        <v>140</v>
      </c>
      <c r="K107" s="75">
        <v>200</v>
      </c>
      <c r="L107" s="75">
        <v>2900</v>
      </c>
      <c r="M107" s="202">
        <v>27.731282631701582</v>
      </c>
      <c r="N107" s="87">
        <v>1910.5262999999998</v>
      </c>
      <c r="O107" s="123">
        <v>45499.422055560652</v>
      </c>
      <c r="P107" s="119">
        <v>55436.478713826989</v>
      </c>
      <c r="Q107" s="120">
        <v>27633.930194471632</v>
      </c>
      <c r="R107" s="314">
        <v>73133.352250032287</v>
      </c>
      <c r="S107" s="315">
        <v>83070.408908298617</v>
      </c>
      <c r="U107" s="7" t="s">
        <v>3016</v>
      </c>
    </row>
    <row r="108" spans="1:21" ht="16.5" customHeight="1" thickBot="1">
      <c r="A108" s="50" t="s">
        <v>35</v>
      </c>
      <c r="B108" s="51">
        <f t="shared" si="3"/>
        <v>140</v>
      </c>
      <c r="C108" s="51" t="s">
        <v>3</v>
      </c>
      <c r="D108" s="51">
        <f t="shared" si="4"/>
        <v>200</v>
      </c>
      <c r="E108" s="51" t="s">
        <v>3</v>
      </c>
      <c r="F108" s="99">
        <f t="shared" si="5"/>
        <v>2950</v>
      </c>
      <c r="G108" s="51" t="s">
        <v>3</v>
      </c>
      <c r="H108" s="48">
        <v>4</v>
      </c>
      <c r="I108" s="49" t="s">
        <v>46</v>
      </c>
      <c r="J108" s="184">
        <v>140</v>
      </c>
      <c r="K108" s="75">
        <v>200</v>
      </c>
      <c r="L108" s="75">
        <v>2950</v>
      </c>
      <c r="M108" s="202">
        <v>28.183952731724737</v>
      </c>
      <c r="N108" s="87">
        <v>1947.9876000000002</v>
      </c>
      <c r="O108" s="123">
        <v>46168.41650412399</v>
      </c>
      <c r="P108" s="119">
        <v>56268.313598440363</v>
      </c>
      <c r="Q108" s="120">
        <v>27992.348973592994</v>
      </c>
      <c r="R108" s="314">
        <v>74160.765477716981</v>
      </c>
      <c r="S108" s="315">
        <v>84260.662572033354</v>
      </c>
      <c r="U108" s="7" t="s">
        <v>3017</v>
      </c>
    </row>
    <row r="109" spans="1:21" ht="16.5" customHeight="1" thickBot="1">
      <c r="A109" s="52" t="s">
        <v>35</v>
      </c>
      <c r="B109" s="53">
        <f t="shared" si="3"/>
        <v>140</v>
      </c>
      <c r="C109" s="53" t="s">
        <v>3</v>
      </c>
      <c r="D109" s="53">
        <f t="shared" si="4"/>
        <v>200</v>
      </c>
      <c r="E109" s="53" t="s">
        <v>3</v>
      </c>
      <c r="F109" s="100">
        <f t="shared" si="5"/>
        <v>3000</v>
      </c>
      <c r="G109" s="53" t="s">
        <v>3</v>
      </c>
      <c r="H109" s="55">
        <v>4</v>
      </c>
      <c r="I109" s="54" t="s">
        <v>46</v>
      </c>
      <c r="J109" s="184">
        <v>140</v>
      </c>
      <c r="K109" s="147">
        <v>200</v>
      </c>
      <c r="L109" s="147">
        <v>3000</v>
      </c>
      <c r="M109" s="209">
        <v>28.653662831747901</v>
      </c>
      <c r="N109" s="148">
        <v>1985.4488999999999</v>
      </c>
      <c r="O109" s="149">
        <v>48012.568398939162</v>
      </c>
      <c r="P109" s="189">
        <v>57100.148342660374</v>
      </c>
      <c r="Q109" s="159">
        <v>28581.349390104271</v>
      </c>
      <c r="R109" s="316">
        <v>76593.917789043437</v>
      </c>
      <c r="S109" s="317">
        <v>85681.497732764648</v>
      </c>
      <c r="U109" s="7" t="s">
        <v>3018</v>
      </c>
    </row>
    <row r="110" spans="1:21" ht="22.5" customHeight="1" thickBot="1">
      <c r="A110" s="2621" t="s">
        <v>50</v>
      </c>
      <c r="B110" s="2622"/>
      <c r="C110" s="2622"/>
      <c r="D110" s="2622"/>
      <c r="E110" s="2622"/>
      <c r="F110" s="2622"/>
      <c r="G110" s="2622"/>
      <c r="H110" s="2622"/>
      <c r="I110" s="2622"/>
      <c r="J110" s="2622"/>
      <c r="K110" s="2622"/>
      <c r="L110" s="2622"/>
      <c r="M110" s="2622"/>
      <c r="N110" s="2622"/>
      <c r="O110" s="2622"/>
      <c r="P110" s="2622"/>
      <c r="Q110" s="2622"/>
      <c r="R110" s="2622"/>
      <c r="S110" s="2623"/>
      <c r="U110" s="7"/>
    </row>
    <row r="111" spans="1:21" ht="16.5" customHeight="1" thickBot="1">
      <c r="A111" s="2583" t="s">
        <v>139</v>
      </c>
      <c r="B111" s="2584"/>
      <c r="C111" s="2584"/>
      <c r="D111" s="2584"/>
      <c r="E111" s="2584"/>
      <c r="F111" s="2584"/>
      <c r="G111" s="2584"/>
      <c r="H111" s="2584"/>
      <c r="I111" s="2584"/>
      <c r="J111" s="2584"/>
      <c r="K111" s="2584"/>
      <c r="L111" s="2584"/>
      <c r="M111" s="2584"/>
      <c r="N111" s="2584"/>
      <c r="O111" s="2584"/>
      <c r="P111" s="2584"/>
      <c r="Q111" s="2584"/>
      <c r="R111" s="2584"/>
      <c r="S111" s="2585"/>
      <c r="U111" s="7"/>
    </row>
    <row r="112" spans="1:21" ht="16.5" thickBot="1">
      <c r="A112" s="47" t="s">
        <v>35</v>
      </c>
      <c r="B112" s="48">
        <f>J112</f>
        <v>140</v>
      </c>
      <c r="C112" s="48" t="s">
        <v>3</v>
      </c>
      <c r="D112" s="48">
        <f>K112</f>
        <v>260</v>
      </c>
      <c r="E112" s="48" t="s">
        <v>3</v>
      </c>
      <c r="F112" s="99">
        <f>L112</f>
        <v>600</v>
      </c>
      <c r="G112" s="48" t="s">
        <v>3</v>
      </c>
      <c r="H112" s="48">
        <v>4</v>
      </c>
      <c r="I112" s="49" t="s">
        <v>46</v>
      </c>
      <c r="J112" s="181">
        <v>140</v>
      </c>
      <c r="K112" s="143">
        <v>260</v>
      </c>
      <c r="L112" s="143">
        <v>600</v>
      </c>
      <c r="M112" s="201">
        <v>6.9167950137205256</v>
      </c>
      <c r="N112" s="144">
        <v>242.85076285364997</v>
      </c>
      <c r="O112" s="145">
        <v>13809.925352859977</v>
      </c>
      <c r="P112" s="188">
        <v>16732.307958817168</v>
      </c>
      <c r="Q112" s="169">
        <v>7536.0353334550891</v>
      </c>
      <c r="R112" s="312">
        <v>21345.960686315066</v>
      </c>
      <c r="S112" s="313">
        <v>24268.343292272257</v>
      </c>
      <c r="U112" s="7" t="s">
        <v>3019</v>
      </c>
    </row>
    <row r="113" spans="1:21" ht="16.5" thickBot="1">
      <c r="A113" s="50" t="s">
        <v>35</v>
      </c>
      <c r="B113" s="51">
        <f t="shared" ref="B113:B160" si="6">J113</f>
        <v>140</v>
      </c>
      <c r="C113" s="51" t="s">
        <v>3</v>
      </c>
      <c r="D113" s="51">
        <f t="shared" ref="D113:D160" si="7">K113</f>
        <v>260</v>
      </c>
      <c r="E113" s="51" t="s">
        <v>3</v>
      </c>
      <c r="F113" s="99">
        <f t="shared" ref="F113:F160" si="8">L113</f>
        <v>650</v>
      </c>
      <c r="G113" s="51" t="s">
        <v>3</v>
      </c>
      <c r="H113" s="48">
        <v>4</v>
      </c>
      <c r="I113" s="49" t="s">
        <v>46</v>
      </c>
      <c r="J113" s="184">
        <v>140</v>
      </c>
      <c r="K113" s="75">
        <v>260</v>
      </c>
      <c r="L113" s="75">
        <v>650</v>
      </c>
      <c r="M113" s="202">
        <v>7.4172456755857885</v>
      </c>
      <c r="N113" s="87">
        <v>291.42091542437993</v>
      </c>
      <c r="O113" s="123">
        <v>14507.038766818352</v>
      </c>
      <c r="P113" s="119">
        <v>17613.391711848639</v>
      </c>
      <c r="Q113" s="120">
        <v>7967.645945822027</v>
      </c>
      <c r="R113" s="314">
        <v>22474.684712640381</v>
      </c>
      <c r="S113" s="315">
        <v>25581.037657670666</v>
      </c>
      <c r="U113" s="7" t="s">
        <v>3020</v>
      </c>
    </row>
    <row r="114" spans="1:21" ht="16.5" thickBot="1">
      <c r="A114" s="50" t="s">
        <v>35</v>
      </c>
      <c r="B114" s="51">
        <f t="shared" si="6"/>
        <v>140</v>
      </c>
      <c r="C114" s="51" t="s">
        <v>3</v>
      </c>
      <c r="D114" s="51">
        <f t="shared" si="7"/>
        <v>260</v>
      </c>
      <c r="E114" s="51" t="s">
        <v>3</v>
      </c>
      <c r="F114" s="99">
        <f t="shared" si="8"/>
        <v>700</v>
      </c>
      <c r="G114" s="51" t="s">
        <v>3</v>
      </c>
      <c r="H114" s="48">
        <v>4</v>
      </c>
      <c r="I114" s="49" t="s">
        <v>46</v>
      </c>
      <c r="J114" s="184">
        <v>140</v>
      </c>
      <c r="K114" s="75">
        <v>260</v>
      </c>
      <c r="L114" s="75">
        <v>700</v>
      </c>
      <c r="M114" s="202">
        <v>7.934736337451052</v>
      </c>
      <c r="N114" s="87">
        <v>339.99106799510992</v>
      </c>
      <c r="O114" s="123">
        <v>15204.152180776729</v>
      </c>
      <c r="P114" s="119">
        <v>18494.475464880117</v>
      </c>
      <c r="Q114" s="120">
        <v>8629.8383359722393</v>
      </c>
      <c r="R114" s="314">
        <v>23833.990516748971</v>
      </c>
      <c r="S114" s="315">
        <v>27124.313800852357</v>
      </c>
      <c r="U114" s="7" t="s">
        <v>3021</v>
      </c>
    </row>
    <row r="115" spans="1:21" ht="16.5" thickBot="1">
      <c r="A115" s="50" t="s">
        <v>35</v>
      </c>
      <c r="B115" s="51">
        <f t="shared" si="6"/>
        <v>140</v>
      </c>
      <c r="C115" s="51" t="s">
        <v>3</v>
      </c>
      <c r="D115" s="51">
        <f t="shared" si="7"/>
        <v>260</v>
      </c>
      <c r="E115" s="51" t="s">
        <v>3</v>
      </c>
      <c r="F115" s="99">
        <f t="shared" si="8"/>
        <v>750</v>
      </c>
      <c r="G115" s="51" t="s">
        <v>3</v>
      </c>
      <c r="H115" s="48">
        <v>4</v>
      </c>
      <c r="I115" s="49" t="s">
        <v>46</v>
      </c>
      <c r="J115" s="184">
        <v>140</v>
      </c>
      <c r="K115" s="75">
        <v>260</v>
      </c>
      <c r="L115" s="75">
        <v>750</v>
      </c>
      <c r="M115" s="202">
        <v>8.4351869993163149</v>
      </c>
      <c r="N115" s="87">
        <v>388.56122056583996</v>
      </c>
      <c r="O115" s="123">
        <v>15901.265735128465</v>
      </c>
      <c r="P115" s="119">
        <v>19375.559358304956</v>
      </c>
      <c r="Q115" s="120">
        <v>9061.4489483391772</v>
      </c>
      <c r="R115" s="314">
        <v>24962.714683467642</v>
      </c>
      <c r="S115" s="315">
        <v>28437.008306644133</v>
      </c>
      <c r="U115" s="7" t="s">
        <v>3022</v>
      </c>
    </row>
    <row r="116" spans="1:21" ht="16.5" thickBot="1">
      <c r="A116" s="50" t="s">
        <v>35</v>
      </c>
      <c r="B116" s="51">
        <f t="shared" si="6"/>
        <v>140</v>
      </c>
      <c r="C116" s="51" t="s">
        <v>3</v>
      </c>
      <c r="D116" s="51">
        <f t="shared" si="7"/>
        <v>260</v>
      </c>
      <c r="E116" s="51" t="s">
        <v>3</v>
      </c>
      <c r="F116" s="99">
        <f t="shared" si="8"/>
        <v>800</v>
      </c>
      <c r="G116" s="51" t="s">
        <v>3</v>
      </c>
      <c r="H116" s="48">
        <v>4</v>
      </c>
      <c r="I116" s="49" t="s">
        <v>46</v>
      </c>
      <c r="J116" s="184">
        <v>140</v>
      </c>
      <c r="K116" s="75">
        <v>260</v>
      </c>
      <c r="L116" s="75">
        <v>800</v>
      </c>
      <c r="M116" s="202">
        <v>8.9356376611815769</v>
      </c>
      <c r="N116" s="87">
        <v>437.13137313656995</v>
      </c>
      <c r="O116" s="123">
        <v>16598.379149086839</v>
      </c>
      <c r="P116" s="119">
        <v>20256.643111336427</v>
      </c>
      <c r="Q116" s="120">
        <v>9493.059560706115</v>
      </c>
      <c r="R116" s="314">
        <v>26091.438709792954</v>
      </c>
      <c r="S116" s="315">
        <v>29749.702672042542</v>
      </c>
      <c r="U116" s="7" t="s">
        <v>3023</v>
      </c>
    </row>
    <row r="117" spans="1:21" ht="16.5" thickBot="1">
      <c r="A117" s="50" t="s">
        <v>35</v>
      </c>
      <c r="B117" s="51">
        <f t="shared" si="6"/>
        <v>140</v>
      </c>
      <c r="C117" s="51" t="s">
        <v>3</v>
      </c>
      <c r="D117" s="51">
        <f t="shared" si="7"/>
        <v>260</v>
      </c>
      <c r="E117" s="51" t="s">
        <v>3</v>
      </c>
      <c r="F117" s="99">
        <f t="shared" si="8"/>
        <v>850</v>
      </c>
      <c r="G117" s="51" t="s">
        <v>3</v>
      </c>
      <c r="H117" s="48">
        <v>4</v>
      </c>
      <c r="I117" s="49" t="s">
        <v>46</v>
      </c>
      <c r="J117" s="184">
        <v>140</v>
      </c>
      <c r="K117" s="75">
        <v>260</v>
      </c>
      <c r="L117" s="75">
        <v>850</v>
      </c>
      <c r="M117" s="202">
        <v>9.4531283230468439</v>
      </c>
      <c r="N117" s="87">
        <v>485.70152570729994</v>
      </c>
      <c r="O117" s="123">
        <v>17295.492563045216</v>
      </c>
      <c r="P117" s="119">
        <v>21137.726864367905</v>
      </c>
      <c r="Q117" s="120">
        <v>10155.251950856327</v>
      </c>
      <c r="R117" s="314">
        <v>27450.744513901544</v>
      </c>
      <c r="S117" s="315">
        <v>31292.978815224233</v>
      </c>
      <c r="U117" s="7" t="s">
        <v>3024</v>
      </c>
    </row>
    <row r="118" spans="1:21" ht="16.5" thickBot="1">
      <c r="A118" s="50" t="s">
        <v>35</v>
      </c>
      <c r="B118" s="51">
        <f t="shared" si="6"/>
        <v>140</v>
      </c>
      <c r="C118" s="51" t="s">
        <v>3</v>
      </c>
      <c r="D118" s="51">
        <f t="shared" si="7"/>
        <v>260</v>
      </c>
      <c r="E118" s="51" t="s">
        <v>3</v>
      </c>
      <c r="F118" s="99">
        <f t="shared" si="8"/>
        <v>900</v>
      </c>
      <c r="G118" s="51" t="s">
        <v>3</v>
      </c>
      <c r="H118" s="48">
        <v>4</v>
      </c>
      <c r="I118" s="49" t="s">
        <v>46</v>
      </c>
      <c r="J118" s="184">
        <v>140</v>
      </c>
      <c r="K118" s="75">
        <v>260</v>
      </c>
      <c r="L118" s="75">
        <v>900</v>
      </c>
      <c r="M118" s="202">
        <v>9.9535789849121059</v>
      </c>
      <c r="N118" s="87">
        <v>534.27167827802998</v>
      </c>
      <c r="O118" s="123">
        <v>17992.605977003594</v>
      </c>
      <c r="P118" s="119">
        <v>22018.81061739938</v>
      </c>
      <c r="Q118" s="120">
        <v>10586.862563223265</v>
      </c>
      <c r="R118" s="314">
        <v>28579.468540226859</v>
      </c>
      <c r="S118" s="315">
        <v>32605.673180622645</v>
      </c>
      <c r="U118" s="7" t="s">
        <v>3025</v>
      </c>
    </row>
    <row r="119" spans="1:21" ht="16.5" thickBot="1">
      <c r="A119" s="50" t="s">
        <v>35</v>
      </c>
      <c r="B119" s="51">
        <f t="shared" si="6"/>
        <v>140</v>
      </c>
      <c r="C119" s="51" t="s">
        <v>3</v>
      </c>
      <c r="D119" s="51">
        <f t="shared" si="7"/>
        <v>260</v>
      </c>
      <c r="E119" s="51" t="s">
        <v>3</v>
      </c>
      <c r="F119" s="99">
        <f t="shared" si="8"/>
        <v>950</v>
      </c>
      <c r="G119" s="51" t="s">
        <v>3</v>
      </c>
      <c r="H119" s="48">
        <v>4</v>
      </c>
      <c r="I119" s="49" t="s">
        <v>46</v>
      </c>
      <c r="J119" s="184">
        <v>140</v>
      </c>
      <c r="K119" s="75">
        <v>260</v>
      </c>
      <c r="L119" s="75">
        <v>950</v>
      </c>
      <c r="M119" s="202">
        <v>10.471069646777369</v>
      </c>
      <c r="N119" s="87">
        <v>582.84183084875986</v>
      </c>
      <c r="O119" s="123">
        <v>18689.719390961967</v>
      </c>
      <c r="P119" s="119">
        <v>22899.894370430855</v>
      </c>
      <c r="Q119" s="120">
        <v>11249.054953373477</v>
      </c>
      <c r="R119" s="314">
        <v>29938.774344335445</v>
      </c>
      <c r="S119" s="315">
        <v>34148.949323804336</v>
      </c>
      <c r="U119" s="7" t="s">
        <v>3026</v>
      </c>
    </row>
    <row r="120" spans="1:21" ht="16.5" thickBot="1">
      <c r="A120" s="50" t="s">
        <v>35</v>
      </c>
      <c r="B120" s="51">
        <f t="shared" si="6"/>
        <v>140</v>
      </c>
      <c r="C120" s="51" t="s">
        <v>3</v>
      </c>
      <c r="D120" s="51">
        <f t="shared" si="7"/>
        <v>260</v>
      </c>
      <c r="E120" s="51" t="s">
        <v>3</v>
      </c>
      <c r="F120" s="99">
        <f t="shared" si="8"/>
        <v>1000</v>
      </c>
      <c r="G120" s="51" t="s">
        <v>3</v>
      </c>
      <c r="H120" s="48">
        <v>4</v>
      </c>
      <c r="I120" s="49" t="s">
        <v>46</v>
      </c>
      <c r="J120" s="184">
        <v>140</v>
      </c>
      <c r="K120" s="75">
        <v>260</v>
      </c>
      <c r="L120" s="75">
        <v>1000</v>
      </c>
      <c r="M120" s="202">
        <v>10.971520308642633</v>
      </c>
      <c r="N120" s="87">
        <v>631.41198341948996</v>
      </c>
      <c r="O120" s="123">
        <v>19386.832804920341</v>
      </c>
      <c r="P120" s="119">
        <v>23780.97812346233</v>
      </c>
      <c r="Q120" s="120">
        <v>11680.665565740415</v>
      </c>
      <c r="R120" s="314">
        <v>31067.498370660756</v>
      </c>
      <c r="S120" s="315">
        <v>35461.643689202741</v>
      </c>
      <c r="U120" s="7" t="s">
        <v>3027</v>
      </c>
    </row>
    <row r="121" spans="1:21" ht="16.5" thickBot="1">
      <c r="A121" s="50" t="s">
        <v>35</v>
      </c>
      <c r="B121" s="51">
        <f t="shared" si="6"/>
        <v>140</v>
      </c>
      <c r="C121" s="51" t="s">
        <v>3</v>
      </c>
      <c r="D121" s="51">
        <f t="shared" si="7"/>
        <v>260</v>
      </c>
      <c r="E121" s="51" t="s">
        <v>3</v>
      </c>
      <c r="F121" s="99">
        <f t="shared" si="8"/>
        <v>1050</v>
      </c>
      <c r="G121" s="51" t="s">
        <v>3</v>
      </c>
      <c r="H121" s="48">
        <v>4</v>
      </c>
      <c r="I121" s="49" t="s">
        <v>46</v>
      </c>
      <c r="J121" s="184">
        <v>140</v>
      </c>
      <c r="K121" s="75">
        <v>260</v>
      </c>
      <c r="L121" s="75">
        <v>1050</v>
      </c>
      <c r="M121" s="202">
        <v>11.489010970507897</v>
      </c>
      <c r="N121" s="87">
        <v>679.98213599021983</v>
      </c>
      <c r="O121" s="123">
        <v>20083.946218878715</v>
      </c>
      <c r="P121" s="119">
        <v>24662.061876493808</v>
      </c>
      <c r="Q121" s="120">
        <v>12342.857815497266</v>
      </c>
      <c r="R121" s="314">
        <v>32426.804034375979</v>
      </c>
      <c r="S121" s="315">
        <v>37004.919691991076</v>
      </c>
      <c r="U121" s="7" t="s">
        <v>3028</v>
      </c>
    </row>
    <row r="122" spans="1:21" ht="16.5" thickBot="1">
      <c r="A122" s="47" t="s">
        <v>35</v>
      </c>
      <c r="B122" s="48">
        <f t="shared" si="6"/>
        <v>140</v>
      </c>
      <c r="C122" s="48" t="s">
        <v>3</v>
      </c>
      <c r="D122" s="48">
        <f t="shared" si="7"/>
        <v>260</v>
      </c>
      <c r="E122" s="48" t="s">
        <v>3</v>
      </c>
      <c r="F122" s="99">
        <f t="shared" si="8"/>
        <v>1100</v>
      </c>
      <c r="G122" s="48" t="s">
        <v>3</v>
      </c>
      <c r="H122" s="48">
        <v>4</v>
      </c>
      <c r="I122" s="49" t="s">
        <v>46</v>
      </c>
      <c r="J122" s="184">
        <v>140</v>
      </c>
      <c r="K122" s="75">
        <v>260</v>
      </c>
      <c r="L122" s="75">
        <v>1100</v>
      </c>
      <c r="M122" s="202">
        <v>11.989461632373159</v>
      </c>
      <c r="N122" s="87">
        <v>728.55228856094993</v>
      </c>
      <c r="O122" s="123">
        <v>20781.059632837092</v>
      </c>
      <c r="P122" s="119">
        <v>25543.145629525283</v>
      </c>
      <c r="Q122" s="120">
        <v>12774.468427864203</v>
      </c>
      <c r="R122" s="314">
        <v>33555.528060701297</v>
      </c>
      <c r="S122" s="315">
        <v>38317.614057389488</v>
      </c>
      <c r="U122" s="7" t="s">
        <v>3029</v>
      </c>
    </row>
    <row r="123" spans="1:21" ht="16.5" thickBot="1">
      <c r="A123" s="50" t="s">
        <v>35</v>
      </c>
      <c r="B123" s="51">
        <f t="shared" si="6"/>
        <v>140</v>
      </c>
      <c r="C123" s="51" t="s">
        <v>3</v>
      </c>
      <c r="D123" s="51">
        <f t="shared" si="7"/>
        <v>260</v>
      </c>
      <c r="E123" s="51" t="s">
        <v>3</v>
      </c>
      <c r="F123" s="99">
        <f t="shared" si="8"/>
        <v>1150</v>
      </c>
      <c r="G123" s="51" t="s">
        <v>3</v>
      </c>
      <c r="H123" s="48">
        <v>4</v>
      </c>
      <c r="I123" s="49" t="s">
        <v>46</v>
      </c>
      <c r="J123" s="184">
        <v>140</v>
      </c>
      <c r="K123" s="75">
        <v>260</v>
      </c>
      <c r="L123" s="75">
        <v>1150</v>
      </c>
      <c r="M123" s="202">
        <v>12.489912294238421</v>
      </c>
      <c r="N123" s="87">
        <v>777.12244113167992</v>
      </c>
      <c r="O123" s="123">
        <v>21478.173046795469</v>
      </c>
      <c r="P123" s="119">
        <v>26424.229382556754</v>
      </c>
      <c r="Q123" s="120">
        <v>13206.07904023114</v>
      </c>
      <c r="R123" s="314">
        <v>34684.252087026609</v>
      </c>
      <c r="S123" s="315">
        <v>39630.308422787894</v>
      </c>
      <c r="U123" s="7" t="s">
        <v>3030</v>
      </c>
    </row>
    <row r="124" spans="1:21" ht="16.5" thickBot="1">
      <c r="A124" s="50" t="s">
        <v>35</v>
      </c>
      <c r="B124" s="51">
        <f t="shared" si="6"/>
        <v>140</v>
      </c>
      <c r="C124" s="51" t="s">
        <v>3</v>
      </c>
      <c r="D124" s="51">
        <f t="shared" si="7"/>
        <v>260</v>
      </c>
      <c r="E124" s="51" t="s">
        <v>3</v>
      </c>
      <c r="F124" s="99">
        <f t="shared" si="8"/>
        <v>1200</v>
      </c>
      <c r="G124" s="51" t="s">
        <v>3</v>
      </c>
      <c r="H124" s="48">
        <v>4</v>
      </c>
      <c r="I124" s="49" t="s">
        <v>46</v>
      </c>
      <c r="J124" s="184">
        <v>140</v>
      </c>
      <c r="K124" s="75">
        <v>260</v>
      </c>
      <c r="L124" s="75">
        <v>1200</v>
      </c>
      <c r="M124" s="202">
        <v>13.085902956103684</v>
      </c>
      <c r="N124" s="87">
        <v>825.69259370240991</v>
      </c>
      <c r="O124" s="123">
        <v>22252.440896655979</v>
      </c>
      <c r="P124" s="119">
        <v>27382.938591221558</v>
      </c>
      <c r="Q124" s="120">
        <v>13868.271430381354</v>
      </c>
      <c r="R124" s="314">
        <v>36120.712327037334</v>
      </c>
      <c r="S124" s="315">
        <v>41251.210021602914</v>
      </c>
      <c r="U124" s="7" t="s">
        <v>3031</v>
      </c>
    </row>
    <row r="125" spans="1:21" ht="16.5" thickBot="1">
      <c r="A125" s="50" t="s">
        <v>35</v>
      </c>
      <c r="B125" s="51">
        <f t="shared" si="6"/>
        <v>140</v>
      </c>
      <c r="C125" s="51" t="s">
        <v>3</v>
      </c>
      <c r="D125" s="51">
        <f t="shared" si="7"/>
        <v>260</v>
      </c>
      <c r="E125" s="51" t="s">
        <v>3</v>
      </c>
      <c r="F125" s="99">
        <f t="shared" si="8"/>
        <v>1250</v>
      </c>
      <c r="G125" s="51" t="s">
        <v>3</v>
      </c>
      <c r="H125" s="48">
        <v>4</v>
      </c>
      <c r="I125" s="49" t="s">
        <v>46</v>
      </c>
      <c r="J125" s="184">
        <v>140</v>
      </c>
      <c r="K125" s="75">
        <v>260</v>
      </c>
      <c r="L125" s="75">
        <v>1250</v>
      </c>
      <c r="M125" s="202">
        <v>13.586353617968946</v>
      </c>
      <c r="N125" s="87">
        <v>874.2627462731399</v>
      </c>
      <c r="O125" s="123">
        <v>22949.554310614356</v>
      </c>
      <c r="P125" s="119">
        <v>28264.02234425303</v>
      </c>
      <c r="Q125" s="120">
        <v>14299.882042748291</v>
      </c>
      <c r="R125" s="314">
        <v>37249.436353362646</v>
      </c>
      <c r="S125" s="315">
        <v>42563.904387001319</v>
      </c>
      <c r="U125" s="7" t="s">
        <v>3032</v>
      </c>
    </row>
    <row r="126" spans="1:21" ht="16.5" thickBot="1">
      <c r="A126" s="50" t="s">
        <v>35</v>
      </c>
      <c r="B126" s="51">
        <f t="shared" si="6"/>
        <v>140</v>
      </c>
      <c r="C126" s="51" t="s">
        <v>3</v>
      </c>
      <c r="D126" s="51">
        <f t="shared" si="7"/>
        <v>260</v>
      </c>
      <c r="E126" s="51" t="s">
        <v>3</v>
      </c>
      <c r="F126" s="99">
        <f t="shared" si="8"/>
        <v>1300</v>
      </c>
      <c r="G126" s="51" t="s">
        <v>3</v>
      </c>
      <c r="H126" s="48">
        <v>4</v>
      </c>
      <c r="I126" s="49" t="s">
        <v>46</v>
      </c>
      <c r="J126" s="184">
        <v>140</v>
      </c>
      <c r="K126" s="75">
        <v>260</v>
      </c>
      <c r="L126" s="75">
        <v>1300</v>
      </c>
      <c r="M126" s="202">
        <v>14.103844279834211</v>
      </c>
      <c r="N126" s="87">
        <v>922.83289884386988</v>
      </c>
      <c r="O126" s="123">
        <v>23646.66772457273</v>
      </c>
      <c r="P126" s="119">
        <v>29145.106097284504</v>
      </c>
      <c r="Q126" s="120">
        <v>14962.074432898504</v>
      </c>
      <c r="R126" s="314">
        <v>38608.742157471235</v>
      </c>
      <c r="S126" s="315">
        <v>44107.18053018301</v>
      </c>
      <c r="U126" s="7" t="s">
        <v>3033</v>
      </c>
    </row>
    <row r="127" spans="1:21" ht="16.5" thickBot="1">
      <c r="A127" s="50" t="s">
        <v>35</v>
      </c>
      <c r="B127" s="51">
        <f t="shared" si="6"/>
        <v>140</v>
      </c>
      <c r="C127" s="51" t="s">
        <v>3</v>
      </c>
      <c r="D127" s="51">
        <f t="shared" si="7"/>
        <v>260</v>
      </c>
      <c r="E127" s="51" t="s">
        <v>3</v>
      </c>
      <c r="F127" s="99">
        <f t="shared" si="8"/>
        <v>1350</v>
      </c>
      <c r="G127" s="51" t="s">
        <v>3</v>
      </c>
      <c r="H127" s="48">
        <v>4</v>
      </c>
      <c r="I127" s="49" t="s">
        <v>46</v>
      </c>
      <c r="J127" s="184">
        <v>140</v>
      </c>
      <c r="K127" s="75">
        <v>260</v>
      </c>
      <c r="L127" s="75">
        <v>1350</v>
      </c>
      <c r="M127" s="202">
        <v>14.604294941699475</v>
      </c>
      <c r="N127" s="87">
        <v>971.40305141459987</v>
      </c>
      <c r="O127" s="123">
        <v>24343.781138531103</v>
      </c>
      <c r="P127" s="119">
        <v>30026.189850315983</v>
      </c>
      <c r="Q127" s="120">
        <v>15393.685045265442</v>
      </c>
      <c r="R127" s="314">
        <v>39737.466183796547</v>
      </c>
      <c r="S127" s="315">
        <v>45419.874895581423</v>
      </c>
      <c r="U127" s="7" t="s">
        <v>3034</v>
      </c>
    </row>
    <row r="128" spans="1:21" ht="16.5" thickBot="1">
      <c r="A128" s="50" t="s">
        <v>35</v>
      </c>
      <c r="B128" s="51">
        <f t="shared" si="6"/>
        <v>140</v>
      </c>
      <c r="C128" s="51" t="s">
        <v>3</v>
      </c>
      <c r="D128" s="51">
        <f t="shared" si="7"/>
        <v>260</v>
      </c>
      <c r="E128" s="51" t="s">
        <v>3</v>
      </c>
      <c r="F128" s="99">
        <f t="shared" si="8"/>
        <v>1400</v>
      </c>
      <c r="G128" s="51" t="s">
        <v>3</v>
      </c>
      <c r="H128" s="48">
        <v>4</v>
      </c>
      <c r="I128" s="49" t="s">
        <v>46</v>
      </c>
      <c r="J128" s="184">
        <v>140</v>
      </c>
      <c r="K128" s="75">
        <v>260</v>
      </c>
      <c r="L128" s="75">
        <v>1400</v>
      </c>
      <c r="M128" s="202">
        <v>15.121785603564739</v>
      </c>
      <c r="N128" s="87">
        <v>1019.9732039853299</v>
      </c>
      <c r="O128" s="123">
        <v>25040.894552489481</v>
      </c>
      <c r="P128" s="119">
        <v>30907.273603347458</v>
      </c>
      <c r="Q128" s="120">
        <v>16055.877435415654</v>
      </c>
      <c r="R128" s="314">
        <v>41096.771987905136</v>
      </c>
      <c r="S128" s="315">
        <v>46963.151038763113</v>
      </c>
      <c r="U128" s="7" t="s">
        <v>3035</v>
      </c>
    </row>
    <row r="129" spans="1:21" ht="16.5" thickBot="1">
      <c r="A129" s="50" t="s">
        <v>35</v>
      </c>
      <c r="B129" s="51">
        <f t="shared" si="6"/>
        <v>140</v>
      </c>
      <c r="C129" s="51" t="s">
        <v>3</v>
      </c>
      <c r="D129" s="51">
        <f t="shared" si="7"/>
        <v>260</v>
      </c>
      <c r="E129" s="51" t="s">
        <v>3</v>
      </c>
      <c r="F129" s="99">
        <f t="shared" si="8"/>
        <v>1450</v>
      </c>
      <c r="G129" s="51" t="s">
        <v>3</v>
      </c>
      <c r="H129" s="48">
        <v>4</v>
      </c>
      <c r="I129" s="49" t="s">
        <v>46</v>
      </c>
      <c r="J129" s="184">
        <v>140</v>
      </c>
      <c r="K129" s="75">
        <v>260</v>
      </c>
      <c r="L129" s="75">
        <v>1450</v>
      </c>
      <c r="M129" s="202">
        <v>15.622236265429999</v>
      </c>
      <c r="N129" s="87">
        <v>1068.54335655606</v>
      </c>
      <c r="O129" s="123">
        <v>25738.008106841215</v>
      </c>
      <c r="P129" s="119">
        <v>31788.357356378932</v>
      </c>
      <c r="Q129" s="120">
        <v>16487.48804778259</v>
      </c>
      <c r="R129" s="314">
        <v>42225.496154623805</v>
      </c>
      <c r="S129" s="315">
        <v>48275.845404161519</v>
      </c>
      <c r="U129" s="7" t="s">
        <v>3036</v>
      </c>
    </row>
    <row r="130" spans="1:21" ht="16.5" thickBot="1">
      <c r="A130" s="50" t="s">
        <v>35</v>
      </c>
      <c r="B130" s="51">
        <f t="shared" si="6"/>
        <v>140</v>
      </c>
      <c r="C130" s="51" t="s">
        <v>3</v>
      </c>
      <c r="D130" s="51">
        <f t="shared" si="7"/>
        <v>260</v>
      </c>
      <c r="E130" s="51" t="s">
        <v>3</v>
      </c>
      <c r="F130" s="99">
        <f t="shared" si="8"/>
        <v>1500</v>
      </c>
      <c r="G130" s="51" t="s">
        <v>3</v>
      </c>
      <c r="H130" s="48">
        <v>4</v>
      </c>
      <c r="I130" s="49" t="s">
        <v>46</v>
      </c>
      <c r="J130" s="184">
        <v>140</v>
      </c>
      <c r="K130" s="75">
        <v>260</v>
      </c>
      <c r="L130" s="75">
        <v>1500</v>
      </c>
      <c r="M130" s="202">
        <v>16.259593270595261</v>
      </c>
      <c r="N130" s="87">
        <v>1117.1135091267897</v>
      </c>
      <c r="O130" s="123">
        <v>27046.458942464709</v>
      </c>
      <c r="P130" s="119">
        <v>33243.74065614758</v>
      </c>
      <c r="Q130" s="120">
        <v>17149.680437932802</v>
      </c>
      <c r="R130" s="314">
        <v>44196.139380397508</v>
      </c>
      <c r="S130" s="315">
        <v>50393.421094080382</v>
      </c>
      <c r="U130" s="7" t="s">
        <v>3037</v>
      </c>
    </row>
    <row r="131" spans="1:21" ht="16.5" thickBot="1">
      <c r="A131" s="50" t="s">
        <v>35</v>
      </c>
      <c r="B131" s="51">
        <f t="shared" si="6"/>
        <v>140</v>
      </c>
      <c r="C131" s="51" t="s">
        <v>3</v>
      </c>
      <c r="D131" s="51">
        <f t="shared" si="7"/>
        <v>260</v>
      </c>
      <c r="E131" s="51" t="s">
        <v>3</v>
      </c>
      <c r="F131" s="99">
        <f t="shared" si="8"/>
        <v>1550</v>
      </c>
      <c r="G131" s="51" t="s">
        <v>3</v>
      </c>
      <c r="H131" s="48">
        <v>4</v>
      </c>
      <c r="I131" s="49" t="s">
        <v>46</v>
      </c>
      <c r="J131" s="184">
        <v>140</v>
      </c>
      <c r="K131" s="75">
        <v>260</v>
      </c>
      <c r="L131" s="75">
        <v>1550</v>
      </c>
      <c r="M131" s="202">
        <v>16.760043932460526</v>
      </c>
      <c r="N131" s="87">
        <v>1165.6836616975197</v>
      </c>
      <c r="O131" s="123">
        <v>27743.572356423079</v>
      </c>
      <c r="P131" s="119">
        <v>34124.824409179062</v>
      </c>
      <c r="Q131" s="120">
        <v>17581.29105029974</v>
      </c>
      <c r="R131" s="314">
        <v>45324.863406722819</v>
      </c>
      <c r="S131" s="315">
        <v>51706.115459478802</v>
      </c>
      <c r="U131" s="7" t="s">
        <v>3038</v>
      </c>
    </row>
    <row r="132" spans="1:21" ht="16.5" thickBot="1">
      <c r="A132" s="47" t="s">
        <v>35</v>
      </c>
      <c r="B132" s="48">
        <f t="shared" si="6"/>
        <v>140</v>
      </c>
      <c r="C132" s="48" t="s">
        <v>3</v>
      </c>
      <c r="D132" s="48">
        <f t="shared" si="7"/>
        <v>260</v>
      </c>
      <c r="E132" s="48" t="s">
        <v>3</v>
      </c>
      <c r="F132" s="99">
        <f t="shared" si="8"/>
        <v>1600</v>
      </c>
      <c r="G132" s="48" t="s">
        <v>3</v>
      </c>
      <c r="H132" s="48">
        <v>4</v>
      </c>
      <c r="I132" s="49" t="s">
        <v>46</v>
      </c>
      <c r="J132" s="184">
        <v>140</v>
      </c>
      <c r="K132" s="75">
        <v>260</v>
      </c>
      <c r="L132" s="75">
        <v>1600</v>
      </c>
      <c r="M132" s="202">
        <v>17.260494594325788</v>
      </c>
      <c r="N132" s="87">
        <v>1214.2538142682499</v>
      </c>
      <c r="O132" s="123">
        <v>28440.685770381457</v>
      </c>
      <c r="P132" s="119">
        <v>35005.908162210537</v>
      </c>
      <c r="Q132" s="120">
        <v>18012.901662666678</v>
      </c>
      <c r="R132" s="314">
        <v>46453.587433048131</v>
      </c>
      <c r="S132" s="315">
        <v>53018.809824877215</v>
      </c>
      <c r="U132" s="7" t="s">
        <v>3039</v>
      </c>
    </row>
    <row r="133" spans="1:21" ht="16.5" thickBot="1">
      <c r="A133" s="50" t="s">
        <v>35</v>
      </c>
      <c r="B133" s="51">
        <f t="shared" si="6"/>
        <v>140</v>
      </c>
      <c r="C133" s="51" t="s">
        <v>3</v>
      </c>
      <c r="D133" s="51">
        <f t="shared" si="7"/>
        <v>260</v>
      </c>
      <c r="E133" s="51" t="s">
        <v>3</v>
      </c>
      <c r="F133" s="99">
        <f t="shared" si="8"/>
        <v>1650</v>
      </c>
      <c r="G133" s="51" t="s">
        <v>3</v>
      </c>
      <c r="H133" s="48">
        <v>4</v>
      </c>
      <c r="I133" s="49" t="s">
        <v>46</v>
      </c>
      <c r="J133" s="184">
        <v>140</v>
      </c>
      <c r="K133" s="75">
        <v>260</v>
      </c>
      <c r="L133" s="75">
        <v>1650</v>
      </c>
      <c r="M133" s="202">
        <v>17.777985256191052</v>
      </c>
      <c r="N133" s="87">
        <v>1262.8239668389799</v>
      </c>
      <c r="O133" s="123">
        <v>29137.79918433983</v>
      </c>
      <c r="P133" s="119">
        <v>35886.991915242004</v>
      </c>
      <c r="Q133" s="120">
        <v>18675.09391242353</v>
      </c>
      <c r="R133" s="314">
        <v>47812.893096763364</v>
      </c>
      <c r="S133" s="315">
        <v>54562.085827665534</v>
      </c>
      <c r="U133" s="7" t="s">
        <v>3040</v>
      </c>
    </row>
    <row r="134" spans="1:21" ht="16.5" thickBot="1">
      <c r="A134" s="50" t="s">
        <v>35</v>
      </c>
      <c r="B134" s="51">
        <f t="shared" si="6"/>
        <v>140</v>
      </c>
      <c r="C134" s="51" t="s">
        <v>3</v>
      </c>
      <c r="D134" s="51">
        <f t="shared" si="7"/>
        <v>260</v>
      </c>
      <c r="E134" s="51" t="s">
        <v>3</v>
      </c>
      <c r="F134" s="99">
        <f t="shared" si="8"/>
        <v>1700</v>
      </c>
      <c r="G134" s="51" t="s">
        <v>3</v>
      </c>
      <c r="H134" s="48">
        <v>4</v>
      </c>
      <c r="I134" s="49" t="s">
        <v>46</v>
      </c>
      <c r="J134" s="184">
        <v>140</v>
      </c>
      <c r="K134" s="75">
        <v>260</v>
      </c>
      <c r="L134" s="75">
        <v>1700</v>
      </c>
      <c r="M134" s="202">
        <v>18.278435918056317</v>
      </c>
      <c r="N134" s="87">
        <v>1311.3941194097099</v>
      </c>
      <c r="O134" s="123">
        <v>29834.912598298208</v>
      </c>
      <c r="P134" s="119">
        <v>36768.075668273479</v>
      </c>
      <c r="Q134" s="120">
        <v>19106.704524790468</v>
      </c>
      <c r="R134" s="314">
        <v>48941.617123088676</v>
      </c>
      <c r="S134" s="315">
        <v>55874.780193063947</v>
      </c>
      <c r="U134" s="7" t="s">
        <v>3041</v>
      </c>
    </row>
    <row r="135" spans="1:21" ht="16.5" thickBot="1">
      <c r="A135" s="50" t="s">
        <v>35</v>
      </c>
      <c r="B135" s="51">
        <f t="shared" si="6"/>
        <v>140</v>
      </c>
      <c r="C135" s="51" t="s">
        <v>3</v>
      </c>
      <c r="D135" s="51">
        <f t="shared" si="7"/>
        <v>260</v>
      </c>
      <c r="E135" s="51" t="s">
        <v>3</v>
      </c>
      <c r="F135" s="99">
        <f t="shared" si="8"/>
        <v>1750</v>
      </c>
      <c r="G135" s="51" t="s">
        <v>3</v>
      </c>
      <c r="H135" s="48">
        <v>4</v>
      </c>
      <c r="I135" s="49" t="s">
        <v>46</v>
      </c>
      <c r="J135" s="184">
        <v>140</v>
      </c>
      <c r="K135" s="75">
        <v>260</v>
      </c>
      <c r="L135" s="75">
        <v>1750</v>
      </c>
      <c r="M135" s="202">
        <v>18.79592657992157</v>
      </c>
      <c r="N135" s="87">
        <v>1359.9642719804397</v>
      </c>
      <c r="O135" s="123">
        <v>30532.026012256585</v>
      </c>
      <c r="P135" s="119">
        <v>37649.159421304961</v>
      </c>
      <c r="Q135" s="120">
        <v>19768.89691494068</v>
      </c>
      <c r="R135" s="314">
        <v>50300.922927197265</v>
      </c>
      <c r="S135" s="315">
        <v>57418.056336245645</v>
      </c>
      <c r="U135" s="7" t="s">
        <v>3042</v>
      </c>
    </row>
    <row r="136" spans="1:21" ht="16.5" thickBot="1">
      <c r="A136" s="50" t="s">
        <v>35</v>
      </c>
      <c r="B136" s="51">
        <f t="shared" si="6"/>
        <v>140</v>
      </c>
      <c r="C136" s="51" t="s">
        <v>3</v>
      </c>
      <c r="D136" s="51">
        <f t="shared" si="7"/>
        <v>260</v>
      </c>
      <c r="E136" s="51" t="s">
        <v>3</v>
      </c>
      <c r="F136" s="99">
        <f t="shared" si="8"/>
        <v>1800</v>
      </c>
      <c r="G136" s="51" t="s">
        <v>3</v>
      </c>
      <c r="H136" s="48">
        <v>4</v>
      </c>
      <c r="I136" s="49" t="s">
        <v>46</v>
      </c>
      <c r="J136" s="184">
        <v>140</v>
      </c>
      <c r="K136" s="75">
        <v>260</v>
      </c>
      <c r="L136" s="75">
        <v>1800</v>
      </c>
      <c r="M136" s="202">
        <v>19.296377241786843</v>
      </c>
      <c r="N136" s="87">
        <v>1408.5344245511699</v>
      </c>
      <c r="O136" s="123">
        <v>31229.139426214955</v>
      </c>
      <c r="P136" s="119">
        <v>38530.243174336436</v>
      </c>
      <c r="Q136" s="120">
        <v>20200.507527307618</v>
      </c>
      <c r="R136" s="314">
        <v>51429.646953522577</v>
      </c>
      <c r="S136" s="315">
        <v>58730.75070164405</v>
      </c>
      <c r="U136" s="7" t="s">
        <v>3043</v>
      </c>
    </row>
    <row r="137" spans="1:21" ht="16.5" thickBot="1">
      <c r="A137" s="50" t="s">
        <v>35</v>
      </c>
      <c r="B137" s="51">
        <f t="shared" si="6"/>
        <v>140</v>
      </c>
      <c r="C137" s="51" t="s">
        <v>3</v>
      </c>
      <c r="D137" s="51">
        <f t="shared" si="7"/>
        <v>260</v>
      </c>
      <c r="E137" s="51" t="s">
        <v>3</v>
      </c>
      <c r="F137" s="99">
        <f t="shared" si="8"/>
        <v>1850</v>
      </c>
      <c r="G137" s="51" t="s">
        <v>3</v>
      </c>
      <c r="H137" s="48">
        <v>4</v>
      </c>
      <c r="I137" s="49" t="s">
        <v>46</v>
      </c>
      <c r="J137" s="184">
        <v>140</v>
      </c>
      <c r="K137" s="75">
        <v>260</v>
      </c>
      <c r="L137" s="75">
        <v>1850</v>
      </c>
      <c r="M137" s="202">
        <v>19.813867903652103</v>
      </c>
      <c r="N137" s="87">
        <v>1457.1045771218999</v>
      </c>
      <c r="O137" s="123">
        <v>31926.252840173333</v>
      </c>
      <c r="P137" s="119">
        <v>39411.327067761267</v>
      </c>
      <c r="Q137" s="120">
        <v>20862.69991745783</v>
      </c>
      <c r="R137" s="314">
        <v>52788.952757631167</v>
      </c>
      <c r="S137" s="315">
        <v>60274.026985219098</v>
      </c>
      <c r="U137" s="7" t="s">
        <v>3044</v>
      </c>
    </row>
    <row r="138" spans="1:21" ht="16.5" thickBot="1">
      <c r="A138" s="50" t="s">
        <v>35</v>
      </c>
      <c r="B138" s="51">
        <f t="shared" si="6"/>
        <v>140</v>
      </c>
      <c r="C138" s="51" t="s">
        <v>3</v>
      </c>
      <c r="D138" s="51">
        <f t="shared" si="7"/>
        <v>260</v>
      </c>
      <c r="E138" s="51" t="s">
        <v>3</v>
      </c>
      <c r="F138" s="99">
        <f t="shared" si="8"/>
        <v>1900</v>
      </c>
      <c r="G138" s="51" t="s">
        <v>3</v>
      </c>
      <c r="H138" s="48">
        <v>4</v>
      </c>
      <c r="I138" s="49" t="s">
        <v>46</v>
      </c>
      <c r="J138" s="184">
        <v>140</v>
      </c>
      <c r="K138" s="75">
        <v>260</v>
      </c>
      <c r="L138" s="75">
        <v>1900</v>
      </c>
      <c r="M138" s="202">
        <v>20.314318565517368</v>
      </c>
      <c r="N138" s="87">
        <v>1505.6747296926299</v>
      </c>
      <c r="O138" s="123">
        <v>32623.366254131706</v>
      </c>
      <c r="P138" s="119">
        <v>40292.410820792749</v>
      </c>
      <c r="Q138" s="120">
        <v>21294.310529824768</v>
      </c>
      <c r="R138" s="314">
        <v>53917.676783956471</v>
      </c>
      <c r="S138" s="315">
        <v>61586.721350617518</v>
      </c>
      <c r="U138" s="7" t="s">
        <v>3045</v>
      </c>
    </row>
    <row r="139" spans="1:21" ht="16.5" thickBot="1">
      <c r="A139" s="50" t="s">
        <v>35</v>
      </c>
      <c r="B139" s="51">
        <f t="shared" si="6"/>
        <v>140</v>
      </c>
      <c r="C139" s="51" t="s">
        <v>3</v>
      </c>
      <c r="D139" s="51">
        <f t="shared" si="7"/>
        <v>260</v>
      </c>
      <c r="E139" s="51" t="s">
        <v>3</v>
      </c>
      <c r="F139" s="99">
        <f t="shared" si="8"/>
        <v>1950</v>
      </c>
      <c r="G139" s="51" t="s">
        <v>3</v>
      </c>
      <c r="H139" s="48">
        <v>4</v>
      </c>
      <c r="I139" s="49" t="s">
        <v>46</v>
      </c>
      <c r="J139" s="184">
        <v>140</v>
      </c>
      <c r="K139" s="75">
        <v>260</v>
      </c>
      <c r="L139" s="75">
        <v>1950</v>
      </c>
      <c r="M139" s="202">
        <v>20.893269227382632</v>
      </c>
      <c r="N139" s="87">
        <v>1554.2448822633598</v>
      </c>
      <c r="O139" s="123">
        <v>33397.634103992219</v>
      </c>
      <c r="P139" s="119">
        <v>41251.119889064183</v>
      </c>
      <c r="Q139" s="120">
        <v>21725.921142191706</v>
      </c>
      <c r="R139" s="314">
        <v>55123.555246183925</v>
      </c>
      <c r="S139" s="315">
        <v>62977.041031255889</v>
      </c>
      <c r="U139" s="7" t="s">
        <v>3046</v>
      </c>
    </row>
    <row r="140" spans="1:21" ht="16.5" thickBot="1">
      <c r="A140" s="50" t="s">
        <v>35</v>
      </c>
      <c r="B140" s="51">
        <f t="shared" si="6"/>
        <v>140</v>
      </c>
      <c r="C140" s="51" t="s">
        <v>3</v>
      </c>
      <c r="D140" s="51">
        <f t="shared" si="7"/>
        <v>260</v>
      </c>
      <c r="E140" s="51" t="s">
        <v>3</v>
      </c>
      <c r="F140" s="99">
        <f t="shared" si="8"/>
        <v>2000</v>
      </c>
      <c r="G140" s="51" t="s">
        <v>3</v>
      </c>
      <c r="H140" s="48">
        <v>4</v>
      </c>
      <c r="I140" s="49" t="s">
        <v>46</v>
      </c>
      <c r="J140" s="184">
        <v>140</v>
      </c>
      <c r="K140" s="75">
        <v>260</v>
      </c>
      <c r="L140" s="75">
        <v>2000</v>
      </c>
      <c r="M140" s="202">
        <v>21.502322289247893</v>
      </c>
      <c r="N140" s="87">
        <v>1602.8150348340896</v>
      </c>
      <c r="O140" s="123">
        <v>34325.290547165823</v>
      </c>
      <c r="P140" s="119">
        <v>42444.88451000832</v>
      </c>
      <c r="Q140" s="120">
        <v>22388.113532341918</v>
      </c>
      <c r="R140" s="314">
        <v>56713.404079507745</v>
      </c>
      <c r="S140" s="315">
        <v>64832.998042350242</v>
      </c>
      <c r="U140" s="7" t="s">
        <v>3047</v>
      </c>
    </row>
    <row r="141" spans="1:21" ht="16.5" thickBot="1">
      <c r="A141" s="50" t="s">
        <v>35</v>
      </c>
      <c r="B141" s="51">
        <f t="shared" si="6"/>
        <v>140</v>
      </c>
      <c r="C141" s="51" t="s">
        <v>3</v>
      </c>
      <c r="D141" s="51">
        <f t="shared" si="7"/>
        <v>260</v>
      </c>
      <c r="E141" s="51" t="s">
        <v>3</v>
      </c>
      <c r="F141" s="99">
        <f t="shared" si="8"/>
        <v>2050</v>
      </c>
      <c r="G141" s="51" t="s">
        <v>3</v>
      </c>
      <c r="H141" s="48">
        <v>4</v>
      </c>
      <c r="I141" s="49" t="s">
        <v>46</v>
      </c>
      <c r="J141" s="184">
        <v>140</v>
      </c>
      <c r="K141" s="75">
        <v>260</v>
      </c>
      <c r="L141" s="75">
        <v>2050</v>
      </c>
      <c r="M141" s="202">
        <v>22.002772951113155</v>
      </c>
      <c r="N141" s="87">
        <v>1651.3851874048198</v>
      </c>
      <c r="O141" s="123">
        <v>35022.40396112419</v>
      </c>
      <c r="P141" s="119">
        <v>43325.968263039795</v>
      </c>
      <c r="Q141" s="120">
        <v>22819.724144708856</v>
      </c>
      <c r="R141" s="314">
        <v>57842.12810583305</v>
      </c>
      <c r="S141" s="315">
        <v>66145.692407748647</v>
      </c>
      <c r="U141" s="7" t="s">
        <v>3048</v>
      </c>
    </row>
    <row r="142" spans="1:21" ht="16.5" thickBot="1">
      <c r="A142" s="47" t="s">
        <v>35</v>
      </c>
      <c r="B142" s="48">
        <f t="shared" si="6"/>
        <v>140</v>
      </c>
      <c r="C142" s="48" t="s">
        <v>3</v>
      </c>
      <c r="D142" s="48">
        <f t="shared" si="7"/>
        <v>260</v>
      </c>
      <c r="E142" s="48" t="s">
        <v>3</v>
      </c>
      <c r="F142" s="99">
        <f t="shared" si="8"/>
        <v>2100</v>
      </c>
      <c r="G142" s="48" t="s">
        <v>3</v>
      </c>
      <c r="H142" s="48">
        <v>4</v>
      </c>
      <c r="I142" s="49" t="s">
        <v>46</v>
      </c>
      <c r="J142" s="184">
        <v>140</v>
      </c>
      <c r="K142" s="75">
        <v>260</v>
      </c>
      <c r="L142" s="75">
        <v>2100</v>
      </c>
      <c r="M142" s="202">
        <v>22.520263612978418</v>
      </c>
      <c r="N142" s="87">
        <v>1699.9553399755498</v>
      </c>
      <c r="O142" s="123">
        <v>35719.517375082571</v>
      </c>
      <c r="P142" s="119">
        <v>44207.052016071277</v>
      </c>
      <c r="Q142" s="120">
        <v>23481.916534859069</v>
      </c>
      <c r="R142" s="314">
        <v>59201.433909941639</v>
      </c>
      <c r="S142" s="315">
        <v>67688.968550930353</v>
      </c>
      <c r="U142" s="7" t="s">
        <v>3049</v>
      </c>
    </row>
    <row r="143" spans="1:21" ht="16.5" thickBot="1">
      <c r="A143" s="50" t="s">
        <v>35</v>
      </c>
      <c r="B143" s="51">
        <f t="shared" si="6"/>
        <v>140</v>
      </c>
      <c r="C143" s="51" t="s">
        <v>3</v>
      </c>
      <c r="D143" s="51">
        <f t="shared" si="7"/>
        <v>260</v>
      </c>
      <c r="E143" s="51" t="s">
        <v>3</v>
      </c>
      <c r="F143" s="99">
        <f t="shared" si="8"/>
        <v>2150</v>
      </c>
      <c r="G143" s="51" t="s">
        <v>3</v>
      </c>
      <c r="H143" s="48">
        <v>4</v>
      </c>
      <c r="I143" s="49" t="s">
        <v>46</v>
      </c>
      <c r="J143" s="184">
        <v>140</v>
      </c>
      <c r="K143" s="75">
        <v>260</v>
      </c>
      <c r="L143" s="75">
        <v>2150</v>
      </c>
      <c r="M143" s="202">
        <v>23.020714274843684</v>
      </c>
      <c r="N143" s="87">
        <v>1748.5254925462798</v>
      </c>
      <c r="O143" s="123">
        <v>36416.630789040944</v>
      </c>
      <c r="P143" s="119">
        <v>45088.135769102744</v>
      </c>
      <c r="Q143" s="120">
        <v>23913.527147226006</v>
      </c>
      <c r="R143" s="314">
        <v>60330.157936266951</v>
      </c>
      <c r="S143" s="315">
        <v>69001.662916328758</v>
      </c>
      <c r="U143" s="7" t="s">
        <v>3050</v>
      </c>
    </row>
    <row r="144" spans="1:21" ht="16.5" thickBot="1">
      <c r="A144" s="50" t="s">
        <v>35</v>
      </c>
      <c r="B144" s="51">
        <f t="shared" si="6"/>
        <v>140</v>
      </c>
      <c r="C144" s="51" t="s">
        <v>3</v>
      </c>
      <c r="D144" s="51">
        <f t="shared" si="7"/>
        <v>260</v>
      </c>
      <c r="E144" s="51" t="s">
        <v>3</v>
      </c>
      <c r="F144" s="99">
        <f t="shared" si="8"/>
        <v>2200</v>
      </c>
      <c r="G144" s="51" t="s">
        <v>3</v>
      </c>
      <c r="H144" s="48">
        <v>4</v>
      </c>
      <c r="I144" s="49" t="s">
        <v>46</v>
      </c>
      <c r="J144" s="184">
        <v>140</v>
      </c>
      <c r="K144" s="75">
        <v>260</v>
      </c>
      <c r="L144" s="75">
        <v>2200</v>
      </c>
      <c r="M144" s="202">
        <v>23.538204936708947</v>
      </c>
      <c r="N144" s="87">
        <v>1797.0956451170098</v>
      </c>
      <c r="O144" s="123">
        <v>37113.744343392682</v>
      </c>
      <c r="P144" s="119">
        <v>45969.219522134219</v>
      </c>
      <c r="Q144" s="120">
        <v>24575.719537376219</v>
      </c>
      <c r="R144" s="314">
        <v>61689.463880768904</v>
      </c>
      <c r="S144" s="315">
        <v>70544.939059510434</v>
      </c>
      <c r="U144" s="7" t="s">
        <v>3051</v>
      </c>
    </row>
    <row r="145" spans="1:21" ht="16.5" thickBot="1">
      <c r="A145" s="50" t="s">
        <v>35</v>
      </c>
      <c r="B145" s="51">
        <f t="shared" si="6"/>
        <v>140</v>
      </c>
      <c r="C145" s="51" t="s">
        <v>3</v>
      </c>
      <c r="D145" s="51">
        <f t="shared" si="7"/>
        <v>260</v>
      </c>
      <c r="E145" s="51" t="s">
        <v>3</v>
      </c>
      <c r="F145" s="99">
        <f t="shared" si="8"/>
        <v>2250</v>
      </c>
      <c r="G145" s="51" t="s">
        <v>3</v>
      </c>
      <c r="H145" s="48">
        <v>4</v>
      </c>
      <c r="I145" s="49" t="s">
        <v>46</v>
      </c>
      <c r="J145" s="184">
        <v>140</v>
      </c>
      <c r="K145" s="75">
        <v>260</v>
      </c>
      <c r="L145" s="75">
        <v>2250</v>
      </c>
      <c r="M145" s="202">
        <v>24.038655598574202</v>
      </c>
      <c r="N145" s="87">
        <v>1845.6657976877398</v>
      </c>
      <c r="O145" s="123">
        <v>37810.857757351063</v>
      </c>
      <c r="P145" s="119">
        <v>46850.303275165701</v>
      </c>
      <c r="Q145" s="120">
        <v>25007.330009349789</v>
      </c>
      <c r="R145" s="314">
        <v>62818.187766700852</v>
      </c>
      <c r="S145" s="315">
        <v>71857.633284515498</v>
      </c>
      <c r="U145" s="7" t="s">
        <v>3052</v>
      </c>
    </row>
    <row r="146" spans="1:21" ht="16.5" thickBot="1">
      <c r="A146" s="50" t="s">
        <v>35</v>
      </c>
      <c r="B146" s="51">
        <f t="shared" si="6"/>
        <v>140</v>
      </c>
      <c r="C146" s="51" t="s">
        <v>3</v>
      </c>
      <c r="D146" s="51">
        <f t="shared" si="7"/>
        <v>260</v>
      </c>
      <c r="E146" s="51" t="s">
        <v>3</v>
      </c>
      <c r="F146" s="99">
        <f t="shared" si="8"/>
        <v>2300</v>
      </c>
      <c r="G146" s="51" t="s">
        <v>3</v>
      </c>
      <c r="H146" s="48">
        <v>4</v>
      </c>
      <c r="I146" s="49" t="s">
        <v>46</v>
      </c>
      <c r="J146" s="184">
        <v>140</v>
      </c>
      <c r="K146" s="75">
        <v>260</v>
      </c>
      <c r="L146" s="75">
        <v>2300</v>
      </c>
      <c r="M146" s="202">
        <v>24.539106260439475</v>
      </c>
      <c r="N146" s="87">
        <v>1894.2359502584698</v>
      </c>
      <c r="O146" s="123">
        <v>38507.971171309429</v>
      </c>
      <c r="P146" s="119">
        <v>47731.387028197176</v>
      </c>
      <c r="Q146" s="120">
        <v>25438.940621716731</v>
      </c>
      <c r="R146" s="314">
        <v>63946.911793026156</v>
      </c>
      <c r="S146" s="315">
        <v>73170.327649913903</v>
      </c>
      <c r="U146" s="7" t="s">
        <v>3053</v>
      </c>
    </row>
    <row r="147" spans="1:21" ht="16.5" thickBot="1">
      <c r="A147" s="50" t="s">
        <v>35</v>
      </c>
      <c r="B147" s="51">
        <f t="shared" si="6"/>
        <v>140</v>
      </c>
      <c r="C147" s="51" t="s">
        <v>3</v>
      </c>
      <c r="D147" s="51">
        <f t="shared" si="7"/>
        <v>260</v>
      </c>
      <c r="E147" s="51" t="s">
        <v>3</v>
      </c>
      <c r="F147" s="99">
        <f t="shared" si="8"/>
        <v>2350</v>
      </c>
      <c r="G147" s="51" t="s">
        <v>3</v>
      </c>
      <c r="H147" s="48">
        <v>4</v>
      </c>
      <c r="I147" s="49" t="s">
        <v>46</v>
      </c>
      <c r="J147" s="184">
        <v>140</v>
      </c>
      <c r="K147" s="75">
        <v>260</v>
      </c>
      <c r="L147" s="75">
        <v>2350</v>
      </c>
      <c r="M147" s="202">
        <v>25.056596922304738</v>
      </c>
      <c r="N147" s="87">
        <v>1942.8061028291997</v>
      </c>
      <c r="O147" s="123">
        <v>39205.08458526781</v>
      </c>
      <c r="P147" s="119">
        <v>48612.470781228643</v>
      </c>
      <c r="Q147" s="120">
        <v>26101.133011866939</v>
      </c>
      <c r="R147" s="314">
        <v>65306.217597134746</v>
      </c>
      <c r="S147" s="315">
        <v>74713.603793095579</v>
      </c>
      <c r="U147" s="7" t="s">
        <v>3054</v>
      </c>
    </row>
    <row r="148" spans="1:21" ht="16.5" thickBot="1">
      <c r="A148" s="50" t="s">
        <v>35</v>
      </c>
      <c r="B148" s="51">
        <f t="shared" si="6"/>
        <v>140</v>
      </c>
      <c r="C148" s="51" t="s">
        <v>3</v>
      </c>
      <c r="D148" s="51">
        <f t="shared" si="7"/>
        <v>260</v>
      </c>
      <c r="E148" s="51" t="s">
        <v>3</v>
      </c>
      <c r="F148" s="99">
        <f t="shared" si="8"/>
        <v>2400</v>
      </c>
      <c r="G148" s="51" t="s">
        <v>3</v>
      </c>
      <c r="H148" s="48">
        <v>4</v>
      </c>
      <c r="I148" s="49" t="s">
        <v>46</v>
      </c>
      <c r="J148" s="184">
        <v>140</v>
      </c>
      <c r="K148" s="75">
        <v>260</v>
      </c>
      <c r="L148" s="75">
        <v>2400</v>
      </c>
      <c r="M148" s="202">
        <v>25.557047584169993</v>
      </c>
      <c r="N148" s="87">
        <v>1991.3762553999295</v>
      </c>
      <c r="O148" s="123">
        <v>39902.197999226184</v>
      </c>
      <c r="P148" s="119">
        <v>49493.554534260125</v>
      </c>
      <c r="Q148" s="120">
        <v>26532.743624233881</v>
      </c>
      <c r="R148" s="314">
        <v>66434.941623460065</v>
      </c>
      <c r="S148" s="315">
        <v>76026.298158493999</v>
      </c>
      <c r="U148" s="7" t="s">
        <v>3055</v>
      </c>
    </row>
    <row r="149" spans="1:21" ht="16.5" thickBot="1">
      <c r="A149" s="50" t="s">
        <v>35</v>
      </c>
      <c r="B149" s="51">
        <f t="shared" si="6"/>
        <v>140</v>
      </c>
      <c r="C149" s="51" t="s">
        <v>3</v>
      </c>
      <c r="D149" s="51">
        <f t="shared" si="7"/>
        <v>260</v>
      </c>
      <c r="E149" s="51" t="s">
        <v>3</v>
      </c>
      <c r="F149" s="99">
        <f t="shared" si="8"/>
        <v>2450</v>
      </c>
      <c r="G149" s="51" t="s">
        <v>3</v>
      </c>
      <c r="H149" s="48">
        <v>4</v>
      </c>
      <c r="I149" s="49" t="s">
        <v>46</v>
      </c>
      <c r="J149" s="184">
        <v>140</v>
      </c>
      <c r="K149" s="75">
        <v>260</v>
      </c>
      <c r="L149" s="75">
        <v>2450</v>
      </c>
      <c r="M149" s="202">
        <v>26.217640589335261</v>
      </c>
      <c r="N149" s="87">
        <v>2039.9464079706597</v>
      </c>
      <c r="O149" s="123">
        <v>41210.648834849671</v>
      </c>
      <c r="P149" s="119">
        <v>50948.937834028766</v>
      </c>
      <c r="Q149" s="120">
        <v>27194.936014384097</v>
      </c>
      <c r="R149" s="314">
        <v>68405.584849233768</v>
      </c>
      <c r="S149" s="315">
        <v>78143.873848412855</v>
      </c>
      <c r="U149" s="7" t="s">
        <v>3056</v>
      </c>
    </row>
    <row r="150" spans="1:21" ht="16.5" thickBot="1">
      <c r="A150" s="50" t="s">
        <v>35</v>
      </c>
      <c r="B150" s="51">
        <f t="shared" si="6"/>
        <v>140</v>
      </c>
      <c r="C150" s="51" t="s">
        <v>3</v>
      </c>
      <c r="D150" s="51">
        <f t="shared" si="7"/>
        <v>260</v>
      </c>
      <c r="E150" s="51" t="s">
        <v>3</v>
      </c>
      <c r="F150" s="99">
        <f t="shared" si="8"/>
        <v>2500</v>
      </c>
      <c r="G150" s="51" t="s">
        <v>3</v>
      </c>
      <c r="H150" s="48">
        <v>4</v>
      </c>
      <c r="I150" s="49" t="s">
        <v>46</v>
      </c>
      <c r="J150" s="184">
        <v>140</v>
      </c>
      <c r="K150" s="75">
        <v>260</v>
      </c>
      <c r="L150" s="75">
        <v>2500</v>
      </c>
      <c r="M150" s="202">
        <v>26.694855251200522</v>
      </c>
      <c r="N150" s="87">
        <v>2088.5165605413895</v>
      </c>
      <c r="O150" s="123">
        <v>41907.762248808045</v>
      </c>
      <c r="P150" s="119">
        <v>51830.021587060248</v>
      </c>
      <c r="Q150" s="120">
        <v>27626.546626751031</v>
      </c>
      <c r="R150" s="314">
        <v>69534.308875559072</v>
      </c>
      <c r="S150" s="315">
        <v>79456.568213811275</v>
      </c>
      <c r="U150" s="7" t="s">
        <v>3057</v>
      </c>
    </row>
    <row r="151" spans="1:21" ht="16.5" thickBot="1">
      <c r="A151" s="50" t="s">
        <v>35</v>
      </c>
      <c r="B151" s="51">
        <f t="shared" si="6"/>
        <v>140</v>
      </c>
      <c r="C151" s="51" t="s">
        <v>3</v>
      </c>
      <c r="D151" s="51">
        <f t="shared" si="7"/>
        <v>260</v>
      </c>
      <c r="E151" s="51" t="s">
        <v>3</v>
      </c>
      <c r="F151" s="99">
        <f t="shared" si="8"/>
        <v>2550</v>
      </c>
      <c r="G151" s="51" t="s">
        <v>3</v>
      </c>
      <c r="H151" s="48">
        <v>4</v>
      </c>
      <c r="I151" s="49" t="s">
        <v>46</v>
      </c>
      <c r="J151" s="184">
        <v>140</v>
      </c>
      <c r="K151" s="75">
        <v>260</v>
      </c>
      <c r="L151" s="75">
        <v>2550</v>
      </c>
      <c r="M151" s="202">
        <v>27.212345913065789</v>
      </c>
      <c r="N151" s="87">
        <v>2137.0867131121199</v>
      </c>
      <c r="O151" s="123">
        <v>42604.875662766426</v>
      </c>
      <c r="P151" s="119">
        <v>52711.105340091723</v>
      </c>
      <c r="Q151" s="120">
        <v>28288.739016901247</v>
      </c>
      <c r="R151" s="314">
        <v>70893.614679667677</v>
      </c>
      <c r="S151" s="315">
        <v>80999.844356992966</v>
      </c>
      <c r="U151" s="7" t="s">
        <v>3058</v>
      </c>
    </row>
    <row r="152" spans="1:21" ht="16.5" thickBot="1">
      <c r="A152" s="47" t="s">
        <v>35</v>
      </c>
      <c r="B152" s="48">
        <f t="shared" si="6"/>
        <v>140</v>
      </c>
      <c r="C152" s="48" t="s">
        <v>3</v>
      </c>
      <c r="D152" s="48">
        <f t="shared" si="7"/>
        <v>260</v>
      </c>
      <c r="E152" s="48" t="s">
        <v>3</v>
      </c>
      <c r="F152" s="99">
        <f t="shared" si="8"/>
        <v>2600</v>
      </c>
      <c r="G152" s="48" t="s">
        <v>3</v>
      </c>
      <c r="H152" s="48">
        <v>4</v>
      </c>
      <c r="I152" s="49" t="s">
        <v>46</v>
      </c>
      <c r="J152" s="184">
        <v>140</v>
      </c>
      <c r="K152" s="75">
        <v>260</v>
      </c>
      <c r="L152" s="75">
        <v>2600</v>
      </c>
      <c r="M152" s="202">
        <v>27.712796574931055</v>
      </c>
      <c r="N152" s="87">
        <v>2185.6568656828499</v>
      </c>
      <c r="O152" s="123">
        <v>43301.989076724793</v>
      </c>
      <c r="P152" s="119">
        <v>53592.189093123205</v>
      </c>
      <c r="Q152" s="120">
        <v>28720.349629268181</v>
      </c>
      <c r="R152" s="314">
        <v>72022.338705992966</v>
      </c>
      <c r="S152" s="315">
        <v>82312.538722391386</v>
      </c>
      <c r="U152" s="7" t="s">
        <v>3059</v>
      </c>
    </row>
    <row r="153" spans="1:21" ht="16.5" thickBot="1">
      <c r="A153" s="50" t="s">
        <v>35</v>
      </c>
      <c r="B153" s="51">
        <f t="shared" si="6"/>
        <v>140</v>
      </c>
      <c r="C153" s="51" t="s">
        <v>3</v>
      </c>
      <c r="D153" s="51">
        <f t="shared" si="7"/>
        <v>260</v>
      </c>
      <c r="E153" s="51" t="s">
        <v>3</v>
      </c>
      <c r="F153" s="99">
        <f t="shared" si="8"/>
        <v>2650</v>
      </c>
      <c r="G153" s="51" t="s">
        <v>3</v>
      </c>
      <c r="H153" s="48">
        <v>4</v>
      </c>
      <c r="I153" s="49" t="s">
        <v>46</v>
      </c>
      <c r="J153" s="184">
        <v>140</v>
      </c>
      <c r="K153" s="75">
        <v>260</v>
      </c>
      <c r="L153" s="75">
        <v>2650</v>
      </c>
      <c r="M153" s="202">
        <v>28.230287236796315</v>
      </c>
      <c r="N153" s="87">
        <v>2234.2270182535794</v>
      </c>
      <c r="O153" s="123">
        <v>43999.102631076537</v>
      </c>
      <c r="P153" s="119">
        <v>54473.272846154672</v>
      </c>
      <c r="Q153" s="120">
        <v>29382.542019418397</v>
      </c>
      <c r="R153" s="314">
        <v>73381.644650494942</v>
      </c>
      <c r="S153" s="315">
        <v>83855.814865573077</v>
      </c>
      <c r="U153" s="7" t="s">
        <v>3060</v>
      </c>
    </row>
    <row r="154" spans="1:21" ht="16.5" thickBot="1">
      <c r="A154" s="50" t="s">
        <v>35</v>
      </c>
      <c r="B154" s="51">
        <f t="shared" si="6"/>
        <v>140</v>
      </c>
      <c r="C154" s="51" t="s">
        <v>3</v>
      </c>
      <c r="D154" s="51">
        <f t="shared" si="7"/>
        <v>260</v>
      </c>
      <c r="E154" s="51" t="s">
        <v>3</v>
      </c>
      <c r="F154" s="99">
        <f t="shared" si="8"/>
        <v>2700</v>
      </c>
      <c r="G154" s="51" t="s">
        <v>3</v>
      </c>
      <c r="H154" s="48">
        <v>4</v>
      </c>
      <c r="I154" s="49" t="s">
        <v>46</v>
      </c>
      <c r="J154" s="184">
        <v>140</v>
      </c>
      <c r="K154" s="75">
        <v>260</v>
      </c>
      <c r="L154" s="75">
        <v>2700</v>
      </c>
      <c r="M154" s="202">
        <v>28.809237898661578</v>
      </c>
      <c r="N154" s="87">
        <v>2282.7971708243099</v>
      </c>
      <c r="O154" s="123">
        <v>44773.370340543683</v>
      </c>
      <c r="P154" s="119">
        <v>55431.982054819469</v>
      </c>
      <c r="Q154" s="120">
        <v>29814.152631785331</v>
      </c>
      <c r="R154" s="314">
        <v>74587.52297232901</v>
      </c>
      <c r="S154" s="315">
        <v>85246.134686604797</v>
      </c>
      <c r="U154" s="7" t="s">
        <v>3061</v>
      </c>
    </row>
    <row r="155" spans="1:21" ht="16.5" thickBot="1">
      <c r="A155" s="50" t="s">
        <v>35</v>
      </c>
      <c r="B155" s="51">
        <f t="shared" si="6"/>
        <v>140</v>
      </c>
      <c r="C155" s="51" t="s">
        <v>3</v>
      </c>
      <c r="D155" s="51">
        <f t="shared" si="7"/>
        <v>260</v>
      </c>
      <c r="E155" s="51" t="s">
        <v>3</v>
      </c>
      <c r="F155" s="99">
        <f t="shared" si="8"/>
        <v>2750</v>
      </c>
      <c r="G155" s="51" t="s">
        <v>3</v>
      </c>
      <c r="H155" s="48">
        <v>4</v>
      </c>
      <c r="I155" s="49" t="s">
        <v>46</v>
      </c>
      <c r="J155" s="184">
        <v>140</v>
      </c>
      <c r="K155" s="75">
        <v>260</v>
      </c>
      <c r="L155" s="75">
        <v>2750</v>
      </c>
      <c r="M155" s="202">
        <v>29.30968856052684</v>
      </c>
      <c r="N155" s="87">
        <v>2331.3673233950394</v>
      </c>
      <c r="O155" s="123">
        <v>45470.483754502056</v>
      </c>
      <c r="P155" s="119">
        <v>56313.065807850951</v>
      </c>
      <c r="Q155" s="120">
        <v>30245.763244152273</v>
      </c>
      <c r="R155" s="314">
        <v>75716.246998654329</v>
      </c>
      <c r="S155" s="315">
        <v>86558.829052003217</v>
      </c>
      <c r="U155" s="7" t="s">
        <v>3062</v>
      </c>
    </row>
    <row r="156" spans="1:21" ht="16.5" thickBot="1">
      <c r="A156" s="50" t="s">
        <v>35</v>
      </c>
      <c r="B156" s="51">
        <f t="shared" si="6"/>
        <v>140</v>
      </c>
      <c r="C156" s="51" t="s">
        <v>3</v>
      </c>
      <c r="D156" s="51">
        <f t="shared" si="7"/>
        <v>260</v>
      </c>
      <c r="E156" s="51" t="s">
        <v>3</v>
      </c>
      <c r="F156" s="99">
        <f t="shared" si="8"/>
        <v>2800</v>
      </c>
      <c r="G156" s="51" t="s">
        <v>3</v>
      </c>
      <c r="H156" s="48">
        <v>4</v>
      </c>
      <c r="I156" s="49" t="s">
        <v>46</v>
      </c>
      <c r="J156" s="184">
        <v>140</v>
      </c>
      <c r="K156" s="75">
        <v>260</v>
      </c>
      <c r="L156" s="75">
        <v>2800</v>
      </c>
      <c r="M156" s="202">
        <v>29.827179222392108</v>
      </c>
      <c r="N156" s="87">
        <v>2379.9374759657699</v>
      </c>
      <c r="O156" s="123">
        <v>46167.59716846043</v>
      </c>
      <c r="P156" s="119">
        <v>57194.149560882426</v>
      </c>
      <c r="Q156" s="120">
        <v>30907.955493909118</v>
      </c>
      <c r="R156" s="314">
        <v>77075.552662369548</v>
      </c>
      <c r="S156" s="315">
        <v>88102.105054791551</v>
      </c>
      <c r="U156" s="7" t="s">
        <v>3063</v>
      </c>
    </row>
    <row r="157" spans="1:21" ht="16.5" thickBot="1">
      <c r="A157" s="50" t="s">
        <v>35</v>
      </c>
      <c r="B157" s="51">
        <f t="shared" si="6"/>
        <v>140</v>
      </c>
      <c r="C157" s="51" t="s">
        <v>3</v>
      </c>
      <c r="D157" s="51">
        <f t="shared" si="7"/>
        <v>260</v>
      </c>
      <c r="E157" s="51" t="s">
        <v>3</v>
      </c>
      <c r="F157" s="99">
        <f t="shared" si="8"/>
        <v>2850</v>
      </c>
      <c r="G157" s="51" t="s">
        <v>3</v>
      </c>
      <c r="H157" s="48">
        <v>4</v>
      </c>
      <c r="I157" s="49" t="s">
        <v>46</v>
      </c>
      <c r="J157" s="184">
        <v>140</v>
      </c>
      <c r="K157" s="75">
        <v>260</v>
      </c>
      <c r="L157" s="75">
        <v>2850</v>
      </c>
      <c r="M157" s="202">
        <v>30.327629884257369</v>
      </c>
      <c r="N157" s="87">
        <v>2428.5076285364999</v>
      </c>
      <c r="O157" s="123">
        <v>46864.710722812175</v>
      </c>
      <c r="P157" s="119">
        <v>58075.233313913894</v>
      </c>
      <c r="Q157" s="120">
        <v>31339.566106276056</v>
      </c>
      <c r="R157" s="314">
        <v>78204.276829088223</v>
      </c>
      <c r="S157" s="315">
        <v>89414.799420189956</v>
      </c>
      <c r="U157" s="7" t="s">
        <v>3064</v>
      </c>
    </row>
    <row r="158" spans="1:21" ht="16.5" thickBot="1">
      <c r="A158" s="50" t="s">
        <v>35</v>
      </c>
      <c r="B158" s="51">
        <f t="shared" si="6"/>
        <v>140</v>
      </c>
      <c r="C158" s="51" t="s">
        <v>3</v>
      </c>
      <c r="D158" s="51">
        <f t="shared" si="7"/>
        <v>260</v>
      </c>
      <c r="E158" s="51" t="s">
        <v>3</v>
      </c>
      <c r="F158" s="99">
        <f t="shared" si="8"/>
        <v>2900</v>
      </c>
      <c r="G158" s="51" t="s">
        <v>3</v>
      </c>
      <c r="H158" s="48">
        <v>4</v>
      </c>
      <c r="I158" s="49" t="s">
        <v>46</v>
      </c>
      <c r="J158" s="184">
        <v>140</v>
      </c>
      <c r="K158" s="75">
        <v>260</v>
      </c>
      <c r="L158" s="75">
        <v>2900</v>
      </c>
      <c r="M158" s="202">
        <v>30.845120546122622</v>
      </c>
      <c r="N158" s="87">
        <v>2477.0777811072294</v>
      </c>
      <c r="O158" s="123">
        <v>47561.824136770549</v>
      </c>
      <c r="P158" s="119">
        <v>58956.317066945376</v>
      </c>
      <c r="Q158" s="120">
        <v>32001.758496426271</v>
      </c>
      <c r="R158" s="314">
        <v>79563.582633196813</v>
      </c>
      <c r="S158" s="315">
        <v>90958.075563371647</v>
      </c>
      <c r="U158" s="7" t="s">
        <v>3065</v>
      </c>
    </row>
    <row r="159" spans="1:21" ht="16.5" thickBot="1">
      <c r="A159" s="50" t="s">
        <v>35</v>
      </c>
      <c r="B159" s="51">
        <f t="shared" si="6"/>
        <v>140</v>
      </c>
      <c r="C159" s="51" t="s">
        <v>3</v>
      </c>
      <c r="D159" s="51">
        <f t="shared" si="7"/>
        <v>260</v>
      </c>
      <c r="E159" s="51" t="s">
        <v>3</v>
      </c>
      <c r="F159" s="99">
        <f t="shared" si="8"/>
        <v>2950</v>
      </c>
      <c r="G159" s="51" t="s">
        <v>3</v>
      </c>
      <c r="H159" s="48">
        <v>4</v>
      </c>
      <c r="I159" s="49" t="s">
        <v>46</v>
      </c>
      <c r="J159" s="184">
        <v>140</v>
      </c>
      <c r="K159" s="75">
        <v>260</v>
      </c>
      <c r="L159" s="75">
        <v>2950</v>
      </c>
      <c r="M159" s="202">
        <v>31.345571207987899</v>
      </c>
      <c r="N159" s="87">
        <v>2525.6479336779598</v>
      </c>
      <c r="O159" s="123">
        <v>48258.937550728915</v>
      </c>
      <c r="P159" s="119">
        <v>59837.400819976705</v>
      </c>
      <c r="Q159" s="120">
        <v>32433.369108793206</v>
      </c>
      <c r="R159" s="314">
        <v>80692.306659522117</v>
      </c>
      <c r="S159" s="315">
        <v>92270.769928769907</v>
      </c>
      <c r="U159" s="7" t="s">
        <v>3066</v>
      </c>
    </row>
    <row r="160" spans="1:21" ht="16.5" thickBot="1">
      <c r="A160" s="52" t="s">
        <v>35</v>
      </c>
      <c r="B160" s="53">
        <f t="shared" si="6"/>
        <v>140</v>
      </c>
      <c r="C160" s="53" t="s">
        <v>3</v>
      </c>
      <c r="D160" s="53">
        <f t="shared" si="7"/>
        <v>260</v>
      </c>
      <c r="E160" s="53" t="s">
        <v>3</v>
      </c>
      <c r="F160" s="100">
        <f t="shared" si="8"/>
        <v>3000</v>
      </c>
      <c r="G160" s="53" t="s">
        <v>3</v>
      </c>
      <c r="H160" s="55">
        <v>4</v>
      </c>
      <c r="I160" s="54" t="s">
        <v>46</v>
      </c>
      <c r="J160" s="184">
        <v>140</v>
      </c>
      <c r="K160" s="147">
        <v>260</v>
      </c>
      <c r="L160" s="147">
        <v>3000</v>
      </c>
      <c r="M160" s="209">
        <v>31.863061869853151</v>
      </c>
      <c r="N160" s="148">
        <v>2574.2180862486894</v>
      </c>
      <c r="O160" s="149">
        <v>50131.208410939144</v>
      </c>
      <c r="P160" s="189">
        <v>60718.484713401689</v>
      </c>
      <c r="Q160" s="159">
        <v>33095.561498943418</v>
      </c>
      <c r="R160" s="316">
        <v>83226.769909882569</v>
      </c>
      <c r="S160" s="317">
        <v>93814.0462123451</v>
      </c>
      <c r="U160" s="7" t="s">
        <v>3067</v>
      </c>
    </row>
    <row r="161" spans="1:21" ht="22.5" customHeight="1" thickBot="1">
      <c r="A161" s="2621" t="s">
        <v>48</v>
      </c>
      <c r="B161" s="2622"/>
      <c r="C161" s="2622"/>
      <c r="D161" s="2622"/>
      <c r="E161" s="2622"/>
      <c r="F161" s="2622"/>
      <c r="G161" s="2622"/>
      <c r="H161" s="2622"/>
      <c r="I161" s="2622"/>
      <c r="J161" s="2622"/>
      <c r="K161" s="2622"/>
      <c r="L161" s="2622"/>
      <c r="M161" s="2622"/>
      <c r="N161" s="2622"/>
      <c r="O161" s="2622"/>
      <c r="P161" s="2622"/>
      <c r="Q161" s="2622"/>
      <c r="R161" s="2622"/>
      <c r="S161" s="2623"/>
      <c r="U161" s="7"/>
    </row>
    <row r="162" spans="1:21" ht="16.5" customHeight="1" thickBot="1">
      <c r="A162" s="2583" t="s">
        <v>180</v>
      </c>
      <c r="B162" s="2584"/>
      <c r="C162" s="2584"/>
      <c r="D162" s="2584"/>
      <c r="E162" s="2584"/>
      <c r="F162" s="2584"/>
      <c r="G162" s="2584"/>
      <c r="H162" s="2584"/>
      <c r="I162" s="2584"/>
      <c r="J162" s="2584"/>
      <c r="K162" s="2584"/>
      <c r="L162" s="2584"/>
      <c r="M162" s="2584"/>
      <c r="N162" s="2584"/>
      <c r="O162" s="2584"/>
      <c r="P162" s="2584"/>
      <c r="Q162" s="2584"/>
      <c r="R162" s="2584"/>
      <c r="S162" s="2585"/>
      <c r="U162" s="7"/>
    </row>
    <row r="163" spans="1:21" ht="16.5" thickBot="1">
      <c r="A163" s="47" t="s">
        <v>35</v>
      </c>
      <c r="B163" s="48">
        <f>J163</f>
        <v>140</v>
      </c>
      <c r="C163" s="48" t="s">
        <v>3</v>
      </c>
      <c r="D163" s="48">
        <f>K163</f>
        <v>300</v>
      </c>
      <c r="E163" s="48" t="s">
        <v>3</v>
      </c>
      <c r="F163" s="99">
        <f>L163</f>
        <v>600</v>
      </c>
      <c r="G163" s="48" t="s">
        <v>3</v>
      </c>
      <c r="H163" s="48">
        <v>6</v>
      </c>
      <c r="I163" s="49" t="s">
        <v>47</v>
      </c>
      <c r="J163" s="181">
        <v>140</v>
      </c>
      <c r="K163" s="143">
        <v>300</v>
      </c>
      <c r="L163" s="143">
        <v>600</v>
      </c>
      <c r="M163" s="201">
        <v>8.0008537913270228</v>
      </c>
      <c r="N163" s="144">
        <v>267.13901999999996</v>
      </c>
      <c r="O163" s="145">
        <v>16677.806974707943</v>
      </c>
      <c r="P163" s="183">
        <v>20243.867455742293</v>
      </c>
      <c r="Q163" s="169">
        <v>8203.3683669666007</v>
      </c>
      <c r="R163" s="312">
        <v>24881.175341674541</v>
      </c>
      <c r="S163" s="313">
        <v>28447.235822708892</v>
      </c>
      <c r="U163" s="7" t="s">
        <v>3068</v>
      </c>
    </row>
    <row r="164" spans="1:21" ht="16.5" thickBot="1">
      <c r="A164" s="50" t="s">
        <v>35</v>
      </c>
      <c r="B164" s="51">
        <f t="shared" ref="B164:B211" si="9">J164</f>
        <v>140</v>
      </c>
      <c r="C164" s="51" t="s">
        <v>3</v>
      </c>
      <c r="D164" s="51">
        <f t="shared" ref="D164:D211" si="10">K164</f>
        <v>300</v>
      </c>
      <c r="E164" s="51" t="s">
        <v>3</v>
      </c>
      <c r="F164" s="99">
        <f t="shared" ref="F164:F211" si="11">L164</f>
        <v>650</v>
      </c>
      <c r="G164" s="51" t="s">
        <v>3</v>
      </c>
      <c r="H164" s="48">
        <v>6</v>
      </c>
      <c r="I164" s="49" t="s">
        <v>47</v>
      </c>
      <c r="J164" s="184">
        <v>140</v>
      </c>
      <c r="K164" s="75">
        <v>300</v>
      </c>
      <c r="L164" s="75">
        <v>650</v>
      </c>
      <c r="M164" s="202">
        <v>8.6003492298513411</v>
      </c>
      <c r="N164" s="87">
        <v>320.56682399999994</v>
      </c>
      <c r="O164" s="123">
        <v>17587.852895669628</v>
      </c>
      <c r="P164" s="121">
        <v>21382.49918205259</v>
      </c>
      <c r="Q164" s="120">
        <v>8683.7735348305905</v>
      </c>
      <c r="R164" s="314">
        <v>26271.626430500219</v>
      </c>
      <c r="S164" s="315">
        <v>30066.272716883181</v>
      </c>
      <c r="U164" s="7" t="s">
        <v>3069</v>
      </c>
    </row>
    <row r="165" spans="1:21" ht="16.5" thickBot="1">
      <c r="A165" s="50" t="s">
        <v>35</v>
      </c>
      <c r="B165" s="51">
        <f t="shared" si="9"/>
        <v>140</v>
      </c>
      <c r="C165" s="51" t="s">
        <v>3</v>
      </c>
      <c r="D165" s="51">
        <f t="shared" si="10"/>
        <v>300</v>
      </c>
      <c r="E165" s="51" t="s">
        <v>3</v>
      </c>
      <c r="F165" s="99">
        <f t="shared" si="11"/>
        <v>700</v>
      </c>
      <c r="G165" s="51" t="s">
        <v>3</v>
      </c>
      <c r="H165" s="48">
        <v>6</v>
      </c>
      <c r="I165" s="49" t="s">
        <v>47</v>
      </c>
      <c r="J165" s="184">
        <v>140</v>
      </c>
      <c r="K165" s="75">
        <v>300</v>
      </c>
      <c r="L165" s="75">
        <v>700</v>
      </c>
      <c r="M165" s="202">
        <v>9.1998446683756594</v>
      </c>
      <c r="N165" s="87">
        <v>373.99462799999992</v>
      </c>
      <c r="O165" s="123">
        <v>18498.472744697217</v>
      </c>
      <c r="P165" s="121">
        <v>22521.363540164555</v>
      </c>
      <c r="Q165" s="120">
        <v>9394.7606208712132</v>
      </c>
      <c r="R165" s="314">
        <v>27893.233365568431</v>
      </c>
      <c r="S165" s="315">
        <v>31916.124161035768</v>
      </c>
      <c r="U165" s="7" t="s">
        <v>3070</v>
      </c>
    </row>
    <row r="166" spans="1:21" ht="16.5" thickBot="1">
      <c r="A166" s="50" t="s">
        <v>35</v>
      </c>
      <c r="B166" s="51">
        <f t="shared" si="9"/>
        <v>140</v>
      </c>
      <c r="C166" s="51" t="s">
        <v>3</v>
      </c>
      <c r="D166" s="51">
        <f t="shared" si="10"/>
        <v>300</v>
      </c>
      <c r="E166" s="51" t="s">
        <v>3</v>
      </c>
      <c r="F166" s="99">
        <f t="shared" si="11"/>
        <v>750</v>
      </c>
      <c r="G166" s="51" t="s">
        <v>3</v>
      </c>
      <c r="H166" s="48">
        <v>6</v>
      </c>
      <c r="I166" s="49" t="s">
        <v>47</v>
      </c>
      <c r="J166" s="184">
        <v>140</v>
      </c>
      <c r="K166" s="75">
        <v>300</v>
      </c>
      <c r="L166" s="75">
        <v>750</v>
      </c>
      <c r="M166" s="202">
        <v>9.7993401068999795</v>
      </c>
      <c r="N166" s="87">
        <v>427.42243199999996</v>
      </c>
      <c r="O166" s="123">
        <v>19409.574704531631</v>
      </c>
      <c r="P166" s="121">
        <v>23660.423747017208</v>
      </c>
      <c r="Q166" s="120">
        <v>9875.165788735203</v>
      </c>
      <c r="R166" s="314">
        <v>29284.740493266836</v>
      </c>
      <c r="S166" s="315">
        <v>33535.589535752413</v>
      </c>
      <c r="U166" s="7" t="s">
        <v>3071</v>
      </c>
    </row>
    <row r="167" spans="1:21" ht="16.5" thickBot="1">
      <c r="A167" s="50" t="s">
        <v>35</v>
      </c>
      <c r="B167" s="51">
        <f t="shared" si="9"/>
        <v>140</v>
      </c>
      <c r="C167" s="51" t="s">
        <v>3</v>
      </c>
      <c r="D167" s="51">
        <f t="shared" si="10"/>
        <v>300</v>
      </c>
      <c r="E167" s="51" t="s">
        <v>3</v>
      </c>
      <c r="F167" s="99">
        <f t="shared" si="11"/>
        <v>800</v>
      </c>
      <c r="G167" s="51" t="s">
        <v>3</v>
      </c>
      <c r="H167" s="48">
        <v>6</v>
      </c>
      <c r="I167" s="49" t="s">
        <v>47</v>
      </c>
      <c r="J167" s="184">
        <v>140</v>
      </c>
      <c r="K167" s="75">
        <v>300</v>
      </c>
      <c r="L167" s="75">
        <v>800</v>
      </c>
      <c r="M167" s="202">
        <v>10.3988355454243</v>
      </c>
      <c r="N167" s="87">
        <v>480.85023599999994</v>
      </c>
      <c r="O167" s="123">
        <v>20321.085068657554</v>
      </c>
      <c r="P167" s="121">
        <v>24799.651021971233</v>
      </c>
      <c r="Q167" s="120">
        <v>10355.570956599189</v>
      </c>
      <c r="R167" s="314">
        <v>30676.656025256743</v>
      </c>
      <c r="S167" s="315">
        <v>35155.221978570422</v>
      </c>
      <c r="U167" s="7" t="s">
        <v>3072</v>
      </c>
    </row>
    <row r="168" spans="1:21" ht="16.5" thickBot="1">
      <c r="A168" s="50" t="s">
        <v>35</v>
      </c>
      <c r="B168" s="51">
        <f t="shared" si="9"/>
        <v>140</v>
      </c>
      <c r="C168" s="51" t="s">
        <v>3</v>
      </c>
      <c r="D168" s="51">
        <f t="shared" si="10"/>
        <v>300</v>
      </c>
      <c r="E168" s="51" t="s">
        <v>3</v>
      </c>
      <c r="F168" s="99">
        <f t="shared" si="11"/>
        <v>850</v>
      </c>
      <c r="G168" s="51" t="s">
        <v>3</v>
      </c>
      <c r="H168" s="48">
        <v>6</v>
      </c>
      <c r="I168" s="49" t="s">
        <v>47</v>
      </c>
      <c r="J168" s="184">
        <v>140</v>
      </c>
      <c r="K168" s="75">
        <v>300</v>
      </c>
      <c r="L168" s="75">
        <v>850</v>
      </c>
      <c r="M168" s="202">
        <v>10.998330983948618</v>
      </c>
      <c r="N168" s="87">
        <v>534.27803999999992</v>
      </c>
      <c r="O168" s="123">
        <v>21232.944871862743</v>
      </c>
      <c r="P168" s="121">
        <v>25939.021357761645</v>
      </c>
      <c r="Q168" s="120">
        <v>11066.558042639816</v>
      </c>
      <c r="R168" s="314">
        <v>32299.502914502558</v>
      </c>
      <c r="S168" s="315">
        <v>37005.579400401461</v>
      </c>
      <c r="U168" s="7" t="s">
        <v>3073</v>
      </c>
    </row>
    <row r="169" spans="1:21" ht="16.5" thickBot="1">
      <c r="A169" s="50" t="s">
        <v>35</v>
      </c>
      <c r="B169" s="51">
        <f t="shared" si="9"/>
        <v>140</v>
      </c>
      <c r="C169" s="51" t="s">
        <v>3</v>
      </c>
      <c r="D169" s="51">
        <f t="shared" si="10"/>
        <v>300</v>
      </c>
      <c r="E169" s="51" t="s">
        <v>3</v>
      </c>
      <c r="F169" s="99">
        <f t="shared" si="11"/>
        <v>900</v>
      </c>
      <c r="G169" s="51" t="s">
        <v>3</v>
      </c>
      <c r="H169" s="48">
        <v>6</v>
      </c>
      <c r="I169" s="49" t="s">
        <v>47</v>
      </c>
      <c r="J169" s="184">
        <v>140</v>
      </c>
      <c r="K169" s="75">
        <v>300</v>
      </c>
      <c r="L169" s="75">
        <v>900</v>
      </c>
      <c r="M169" s="202">
        <v>11.59782642247294</v>
      </c>
      <c r="N169" s="87">
        <v>587.70584399999996</v>
      </c>
      <c r="O169" s="123">
        <v>22145.105678437129</v>
      </c>
      <c r="P169" s="121">
        <v>27078.515520497782</v>
      </c>
      <c r="Q169" s="120">
        <v>11546.963210503804</v>
      </c>
      <c r="R169" s="314">
        <v>33692.068888940936</v>
      </c>
      <c r="S169" s="315">
        <v>38625.478731001582</v>
      </c>
      <c r="U169" s="7" t="s">
        <v>3074</v>
      </c>
    </row>
    <row r="170" spans="1:21" ht="16.5" thickBot="1">
      <c r="A170" s="50" t="s">
        <v>35</v>
      </c>
      <c r="B170" s="51">
        <f t="shared" si="9"/>
        <v>140</v>
      </c>
      <c r="C170" s="51" t="s">
        <v>3</v>
      </c>
      <c r="D170" s="51">
        <f t="shared" si="10"/>
        <v>300</v>
      </c>
      <c r="E170" s="51" t="s">
        <v>3</v>
      </c>
      <c r="F170" s="99">
        <f t="shared" si="11"/>
        <v>950</v>
      </c>
      <c r="G170" s="51" t="s">
        <v>3</v>
      </c>
      <c r="H170" s="48">
        <v>6</v>
      </c>
      <c r="I170" s="49" t="s">
        <v>47</v>
      </c>
      <c r="J170" s="184">
        <v>140</v>
      </c>
      <c r="K170" s="75">
        <v>300</v>
      </c>
      <c r="L170" s="75">
        <v>950</v>
      </c>
      <c r="M170" s="202">
        <v>12.197321860997258</v>
      </c>
      <c r="N170" s="87">
        <v>641.13364799999988</v>
      </c>
      <c r="O170" s="123">
        <v>23057.527616665764</v>
      </c>
      <c r="P170" s="121">
        <v>28218.117505336319</v>
      </c>
      <c r="Q170" s="120">
        <v>12257.950156151066</v>
      </c>
      <c r="R170" s="314">
        <v>35315.477772816826</v>
      </c>
      <c r="S170" s="315">
        <v>40476.067661487381</v>
      </c>
      <c r="U170" s="7" t="s">
        <v>3075</v>
      </c>
    </row>
    <row r="171" spans="1:21" ht="16.5" thickBot="1">
      <c r="A171" s="50" t="s">
        <v>35</v>
      </c>
      <c r="B171" s="51">
        <f t="shared" si="9"/>
        <v>140</v>
      </c>
      <c r="C171" s="51" t="s">
        <v>3</v>
      </c>
      <c r="D171" s="51">
        <f t="shared" si="10"/>
        <v>300</v>
      </c>
      <c r="E171" s="51" t="s">
        <v>3</v>
      </c>
      <c r="F171" s="99">
        <f t="shared" si="11"/>
        <v>1000</v>
      </c>
      <c r="G171" s="51" t="s">
        <v>3</v>
      </c>
      <c r="H171" s="48">
        <v>6</v>
      </c>
      <c r="I171" s="49" t="s">
        <v>47</v>
      </c>
      <c r="J171" s="184">
        <v>140</v>
      </c>
      <c r="K171" s="75">
        <v>300</v>
      </c>
      <c r="L171" s="75">
        <v>1000</v>
      </c>
      <c r="M171" s="202">
        <v>12.796817299521578</v>
      </c>
      <c r="N171" s="87">
        <v>694.56145199999992</v>
      </c>
      <c r="O171" s="123">
        <v>23970.177834501828</v>
      </c>
      <c r="P171" s="121">
        <v>29357.813694121094</v>
      </c>
      <c r="Q171" s="120">
        <v>12738.355464408416</v>
      </c>
      <c r="R171" s="314">
        <v>36708.533298910246</v>
      </c>
      <c r="S171" s="315">
        <v>42096.169158529512</v>
      </c>
      <c r="U171" s="7" t="s">
        <v>3076</v>
      </c>
    </row>
    <row r="172" spans="1:21" ht="16.5" thickBot="1">
      <c r="A172" s="50" t="s">
        <v>35</v>
      </c>
      <c r="B172" s="51">
        <f t="shared" si="9"/>
        <v>140</v>
      </c>
      <c r="C172" s="51" t="s">
        <v>3</v>
      </c>
      <c r="D172" s="51">
        <f t="shared" si="10"/>
        <v>300</v>
      </c>
      <c r="E172" s="51" t="s">
        <v>3</v>
      </c>
      <c r="F172" s="99">
        <f t="shared" si="11"/>
        <v>1050</v>
      </c>
      <c r="G172" s="51" t="s">
        <v>3</v>
      </c>
      <c r="H172" s="48">
        <v>6</v>
      </c>
      <c r="I172" s="49" t="s">
        <v>47</v>
      </c>
      <c r="J172" s="184">
        <v>140</v>
      </c>
      <c r="K172" s="75">
        <v>300</v>
      </c>
      <c r="L172" s="75">
        <v>1050</v>
      </c>
      <c r="M172" s="202">
        <v>13.396312738045898</v>
      </c>
      <c r="N172" s="87">
        <v>747.98925599999984</v>
      </c>
      <c r="O172" s="123">
        <v>24892.166738024669</v>
      </c>
      <c r="P172" s="121">
        <v>30508.99012894422</v>
      </c>
      <c r="Q172" s="120">
        <v>13449.342410055679</v>
      </c>
      <c r="R172" s="314">
        <v>38341.509148080346</v>
      </c>
      <c r="S172" s="315">
        <v>43958.332538999901</v>
      </c>
      <c r="U172" s="7" t="s">
        <v>3077</v>
      </c>
    </row>
    <row r="173" spans="1:21" ht="16.5" thickBot="1">
      <c r="A173" s="47" t="s">
        <v>35</v>
      </c>
      <c r="B173" s="48">
        <f t="shared" si="9"/>
        <v>140</v>
      </c>
      <c r="C173" s="48" t="s">
        <v>3</v>
      </c>
      <c r="D173" s="48">
        <f t="shared" si="10"/>
        <v>300</v>
      </c>
      <c r="E173" s="48" t="s">
        <v>3</v>
      </c>
      <c r="F173" s="99">
        <f t="shared" si="11"/>
        <v>1100</v>
      </c>
      <c r="G173" s="48" t="s">
        <v>3</v>
      </c>
      <c r="H173" s="48">
        <v>6</v>
      </c>
      <c r="I173" s="49" t="s">
        <v>47</v>
      </c>
      <c r="J173" s="184">
        <v>140</v>
      </c>
      <c r="K173" s="75">
        <v>300</v>
      </c>
      <c r="L173" s="75">
        <v>1100</v>
      </c>
      <c r="M173" s="202">
        <v>13.995808176570216</v>
      </c>
      <c r="N173" s="87">
        <v>801.41705999999988</v>
      </c>
      <c r="O173" s="123">
        <v>25805.179872702793</v>
      </c>
      <c r="P173" s="121">
        <v>31648.835134693243</v>
      </c>
      <c r="Q173" s="120">
        <v>13929.747718313029</v>
      </c>
      <c r="R173" s="314">
        <v>39734.927591015818</v>
      </c>
      <c r="S173" s="315">
        <v>45578.582853006272</v>
      </c>
      <c r="U173" s="7" t="s">
        <v>3078</v>
      </c>
    </row>
    <row r="174" spans="1:21" ht="16.5" thickBot="1">
      <c r="A174" s="50" t="s">
        <v>35</v>
      </c>
      <c r="B174" s="51">
        <f t="shared" si="9"/>
        <v>140</v>
      </c>
      <c r="C174" s="51" t="s">
        <v>3</v>
      </c>
      <c r="D174" s="51">
        <f t="shared" si="10"/>
        <v>300</v>
      </c>
      <c r="E174" s="51" t="s">
        <v>3</v>
      </c>
      <c r="F174" s="99">
        <f t="shared" si="11"/>
        <v>1150</v>
      </c>
      <c r="G174" s="51" t="s">
        <v>3</v>
      </c>
      <c r="H174" s="48">
        <v>6</v>
      </c>
      <c r="I174" s="49" t="s">
        <v>47</v>
      </c>
      <c r="J174" s="184">
        <v>140</v>
      </c>
      <c r="K174" s="75">
        <v>300</v>
      </c>
      <c r="L174" s="75">
        <v>1150</v>
      </c>
      <c r="M174" s="202">
        <v>14.595303615094538</v>
      </c>
      <c r="N174" s="87">
        <v>854.84486399999992</v>
      </c>
      <c r="O174" s="123">
        <v>26718.351230700453</v>
      </c>
      <c r="P174" s="121">
        <v>32788.746265716007</v>
      </c>
      <c r="Q174" s="120">
        <v>14410.152886177015</v>
      </c>
      <c r="R174" s="314">
        <v>41128.50411687747</v>
      </c>
      <c r="S174" s="315">
        <v>47198.89915189302</v>
      </c>
      <c r="U174" s="7" t="s">
        <v>3079</v>
      </c>
    </row>
    <row r="175" spans="1:21" ht="16.5" thickBot="1">
      <c r="A175" s="50" t="s">
        <v>35</v>
      </c>
      <c r="B175" s="51">
        <f t="shared" si="9"/>
        <v>140</v>
      </c>
      <c r="C175" s="51" t="s">
        <v>3</v>
      </c>
      <c r="D175" s="51">
        <f t="shared" si="10"/>
        <v>300</v>
      </c>
      <c r="E175" s="51" t="s">
        <v>3</v>
      </c>
      <c r="F175" s="99">
        <f t="shared" si="11"/>
        <v>1200</v>
      </c>
      <c r="G175" s="51" t="s">
        <v>3</v>
      </c>
      <c r="H175" s="48">
        <v>6</v>
      </c>
      <c r="I175" s="49" t="s">
        <v>47</v>
      </c>
      <c r="J175" s="184">
        <v>140</v>
      </c>
      <c r="K175" s="75">
        <v>300</v>
      </c>
      <c r="L175" s="75">
        <v>1200</v>
      </c>
      <c r="M175" s="202">
        <v>15.311136053618858</v>
      </c>
      <c r="N175" s="87">
        <v>908.27266799999984</v>
      </c>
      <c r="O175" s="123">
        <v>27754.605168815146</v>
      </c>
      <c r="P175" s="121">
        <v>34054.746641107093</v>
      </c>
      <c r="Q175" s="120">
        <v>15121.139831824277</v>
      </c>
      <c r="R175" s="314">
        <v>42875.745000639421</v>
      </c>
      <c r="S175" s="315">
        <v>49175.886472931372</v>
      </c>
      <c r="U175" s="7" t="s">
        <v>3080</v>
      </c>
    </row>
    <row r="176" spans="1:21" ht="16.5" thickBot="1">
      <c r="A176" s="50" t="s">
        <v>35</v>
      </c>
      <c r="B176" s="51">
        <f t="shared" si="9"/>
        <v>140</v>
      </c>
      <c r="C176" s="51" t="s">
        <v>3</v>
      </c>
      <c r="D176" s="51">
        <f t="shared" si="10"/>
        <v>300</v>
      </c>
      <c r="E176" s="51" t="s">
        <v>3</v>
      </c>
      <c r="F176" s="99">
        <f t="shared" si="11"/>
        <v>1250</v>
      </c>
      <c r="G176" s="51" t="s">
        <v>3</v>
      </c>
      <c r="H176" s="48">
        <v>6</v>
      </c>
      <c r="I176" s="49" t="s">
        <v>47</v>
      </c>
      <c r="J176" s="184">
        <v>140</v>
      </c>
      <c r="K176" s="75">
        <v>300</v>
      </c>
      <c r="L176" s="75">
        <v>1250</v>
      </c>
      <c r="M176" s="202">
        <v>15.910631492143178</v>
      </c>
      <c r="N176" s="87">
        <v>961.70047199999988</v>
      </c>
      <c r="O176" s="123">
        <v>28668.041449087843</v>
      </c>
      <c r="P176" s="121">
        <v>35194.741446573906</v>
      </c>
      <c r="Q176" s="120">
        <v>15601.545140081627</v>
      </c>
      <c r="R176" s="314">
        <v>44269.58658916947</v>
      </c>
      <c r="S176" s="315">
        <v>50796.286586655537</v>
      </c>
      <c r="U176" s="7" t="s">
        <v>3081</v>
      </c>
    </row>
    <row r="177" spans="1:21" ht="16.5" thickBot="1">
      <c r="A177" s="50" t="s">
        <v>35</v>
      </c>
      <c r="B177" s="51">
        <f t="shared" si="9"/>
        <v>140</v>
      </c>
      <c r="C177" s="51" t="s">
        <v>3</v>
      </c>
      <c r="D177" s="51">
        <f t="shared" si="10"/>
        <v>300</v>
      </c>
      <c r="E177" s="51" t="s">
        <v>3</v>
      </c>
      <c r="F177" s="99">
        <f t="shared" si="11"/>
        <v>1300</v>
      </c>
      <c r="G177" s="51" t="s">
        <v>3</v>
      </c>
      <c r="H177" s="48">
        <v>6</v>
      </c>
      <c r="I177" s="49" t="s">
        <v>47</v>
      </c>
      <c r="J177" s="184">
        <v>140</v>
      </c>
      <c r="K177" s="75">
        <v>300</v>
      </c>
      <c r="L177" s="75">
        <v>1300</v>
      </c>
      <c r="M177" s="202">
        <v>16.510126930667496</v>
      </c>
      <c r="N177" s="87">
        <v>1015.1282759999998</v>
      </c>
      <c r="O177" s="123">
        <v>29581.590886410719</v>
      </c>
      <c r="P177" s="121">
        <v>36334.785530110959</v>
      </c>
      <c r="Q177" s="120">
        <v>16312.53208572889</v>
      </c>
      <c r="R177" s="314">
        <v>45894.122972139608</v>
      </c>
      <c r="S177" s="315">
        <v>52647.317615839849</v>
      </c>
      <c r="U177" s="7" t="s">
        <v>3082</v>
      </c>
    </row>
    <row r="178" spans="1:21" ht="16.5" thickBot="1">
      <c r="A178" s="50" t="s">
        <v>35</v>
      </c>
      <c r="B178" s="51">
        <f t="shared" si="9"/>
        <v>140</v>
      </c>
      <c r="C178" s="51" t="s">
        <v>3</v>
      </c>
      <c r="D178" s="51">
        <f t="shared" si="10"/>
        <v>300</v>
      </c>
      <c r="E178" s="51" t="s">
        <v>3</v>
      </c>
      <c r="F178" s="99">
        <f t="shared" si="11"/>
        <v>1350</v>
      </c>
      <c r="G178" s="51" t="s">
        <v>3</v>
      </c>
      <c r="H178" s="48">
        <v>6</v>
      </c>
      <c r="I178" s="49" t="s">
        <v>47</v>
      </c>
      <c r="J178" s="184">
        <v>140</v>
      </c>
      <c r="K178" s="75">
        <v>300</v>
      </c>
      <c r="L178" s="75">
        <v>1350</v>
      </c>
      <c r="M178" s="202">
        <v>17.109622369191822</v>
      </c>
      <c r="N178" s="87">
        <v>1068.5560799999998</v>
      </c>
      <c r="O178" s="123">
        <v>30495.24281088822</v>
      </c>
      <c r="P178" s="121">
        <v>37474.874258737284</v>
      </c>
      <c r="Q178" s="120">
        <v>16792.937253592878</v>
      </c>
      <c r="R178" s="314">
        <v>47288.180064481101</v>
      </c>
      <c r="S178" s="315">
        <v>54267.811512330161</v>
      </c>
      <c r="U178" s="7" t="s">
        <v>3083</v>
      </c>
    </row>
    <row r="179" spans="1:21" ht="16.5" thickBot="1">
      <c r="A179" s="50" t="s">
        <v>35</v>
      </c>
      <c r="B179" s="51">
        <f t="shared" si="9"/>
        <v>140</v>
      </c>
      <c r="C179" s="51" t="s">
        <v>3</v>
      </c>
      <c r="D179" s="51">
        <f t="shared" si="10"/>
        <v>300</v>
      </c>
      <c r="E179" s="51" t="s">
        <v>3</v>
      </c>
      <c r="F179" s="99">
        <f t="shared" si="11"/>
        <v>1400</v>
      </c>
      <c r="G179" s="51" t="s">
        <v>3</v>
      </c>
      <c r="H179" s="48">
        <v>6</v>
      </c>
      <c r="I179" s="49" t="s">
        <v>47</v>
      </c>
      <c r="J179" s="184">
        <v>140</v>
      </c>
      <c r="K179" s="75">
        <v>300</v>
      </c>
      <c r="L179" s="75">
        <v>1400</v>
      </c>
      <c r="M179" s="202">
        <v>17.70911780771614</v>
      </c>
      <c r="N179" s="87">
        <v>1121.983884</v>
      </c>
      <c r="O179" s="123">
        <v>31408.987254591608</v>
      </c>
      <c r="P179" s="121">
        <v>38615.003420652007</v>
      </c>
      <c r="Q179" s="120">
        <v>17503.924339633504</v>
      </c>
      <c r="R179" s="314">
        <v>48912.911594225108</v>
      </c>
      <c r="S179" s="315">
        <v>56118.927760285515</v>
      </c>
      <c r="U179" s="7" t="s">
        <v>3084</v>
      </c>
    </row>
    <row r="180" spans="1:21" ht="16.5" thickBot="1">
      <c r="A180" s="50" t="s">
        <v>35</v>
      </c>
      <c r="B180" s="51">
        <f t="shared" si="9"/>
        <v>140</v>
      </c>
      <c r="C180" s="51" t="s">
        <v>3</v>
      </c>
      <c r="D180" s="51">
        <f t="shared" si="10"/>
        <v>300</v>
      </c>
      <c r="E180" s="51" t="s">
        <v>3</v>
      </c>
      <c r="F180" s="99">
        <f t="shared" si="11"/>
        <v>1450</v>
      </c>
      <c r="G180" s="51" t="s">
        <v>3</v>
      </c>
      <c r="H180" s="48">
        <v>6</v>
      </c>
      <c r="I180" s="49" t="s">
        <v>47</v>
      </c>
      <c r="J180" s="184">
        <v>140</v>
      </c>
      <c r="K180" s="75">
        <v>300</v>
      </c>
      <c r="L180" s="75">
        <v>1450</v>
      </c>
      <c r="M180" s="202">
        <v>18.308613246240462</v>
      </c>
      <c r="N180" s="87">
        <v>1175.4116879999999</v>
      </c>
      <c r="O180" s="123">
        <v>32322.815793919133</v>
      </c>
      <c r="P180" s="121">
        <v>39755.16950602107</v>
      </c>
      <c r="Q180" s="120">
        <v>17984.32950749735</v>
      </c>
      <c r="R180" s="314">
        <v>50307.145301416487</v>
      </c>
      <c r="S180" s="315">
        <v>57739.49901351842</v>
      </c>
      <c r="U180" s="7" t="s">
        <v>3085</v>
      </c>
    </row>
    <row r="181" spans="1:21" ht="16.5" thickBot="1">
      <c r="A181" s="50" t="s">
        <v>35</v>
      </c>
      <c r="B181" s="51">
        <f t="shared" si="9"/>
        <v>140</v>
      </c>
      <c r="C181" s="51" t="s">
        <v>3</v>
      </c>
      <c r="D181" s="51">
        <f t="shared" si="10"/>
        <v>300</v>
      </c>
      <c r="E181" s="51" t="s">
        <v>3</v>
      </c>
      <c r="F181" s="99">
        <f t="shared" si="11"/>
        <v>1500</v>
      </c>
      <c r="G181" s="51" t="s">
        <v>3</v>
      </c>
      <c r="H181" s="48">
        <v>6</v>
      </c>
      <c r="I181" s="49" t="s">
        <v>47</v>
      </c>
      <c r="J181" s="184">
        <v>140</v>
      </c>
      <c r="K181" s="75">
        <v>300</v>
      </c>
      <c r="L181" s="75">
        <v>1500</v>
      </c>
      <c r="M181" s="202">
        <v>19.073256004177178</v>
      </c>
      <c r="N181" s="87">
        <v>1228.8394919999996</v>
      </c>
      <c r="O181" s="123">
        <v>33914.877367029309</v>
      </c>
      <c r="P181" s="121">
        <v>41556.951807180645</v>
      </c>
      <c r="Q181" s="120">
        <v>18695.316593538118</v>
      </c>
      <c r="R181" s="314">
        <v>52610.193960567427</v>
      </c>
      <c r="S181" s="315">
        <v>60252.268400718764</v>
      </c>
      <c r="U181" s="7" t="s">
        <v>3086</v>
      </c>
    </row>
    <row r="182" spans="1:21" ht="16.5" thickBot="1">
      <c r="A182" s="50" t="s">
        <v>35</v>
      </c>
      <c r="B182" s="51">
        <f t="shared" si="9"/>
        <v>140</v>
      </c>
      <c r="C182" s="51" t="s">
        <v>3</v>
      </c>
      <c r="D182" s="51">
        <f t="shared" si="10"/>
        <v>300</v>
      </c>
      <c r="E182" s="51" t="s">
        <v>3</v>
      </c>
      <c r="F182" s="99">
        <f t="shared" si="11"/>
        <v>1550</v>
      </c>
      <c r="G182" s="51" t="s">
        <v>3</v>
      </c>
      <c r="H182" s="48">
        <v>6</v>
      </c>
      <c r="I182" s="49" t="s">
        <v>47</v>
      </c>
      <c r="J182" s="184">
        <v>140</v>
      </c>
      <c r="K182" s="75">
        <v>300</v>
      </c>
      <c r="L182" s="75">
        <v>1550</v>
      </c>
      <c r="M182" s="202">
        <v>19.6727514427015</v>
      </c>
      <c r="N182" s="87">
        <v>1282.2672959999998</v>
      </c>
      <c r="O182" s="123">
        <v>34828.701975342687</v>
      </c>
      <c r="P182" s="121">
        <v>42697.271904068373</v>
      </c>
      <c r="Q182" s="120">
        <v>19175.721761402103</v>
      </c>
      <c r="R182" s="314">
        <v>54004.423736744793</v>
      </c>
      <c r="S182" s="315">
        <v>61872.99366547048</v>
      </c>
      <c r="U182" s="7" t="s">
        <v>3087</v>
      </c>
    </row>
    <row r="183" spans="1:21" ht="16.5" thickBot="1">
      <c r="A183" s="47" t="s">
        <v>35</v>
      </c>
      <c r="B183" s="48">
        <f t="shared" si="9"/>
        <v>140</v>
      </c>
      <c r="C183" s="48" t="s">
        <v>3</v>
      </c>
      <c r="D183" s="48">
        <f t="shared" si="10"/>
        <v>300</v>
      </c>
      <c r="E183" s="48" t="s">
        <v>3</v>
      </c>
      <c r="F183" s="99">
        <f t="shared" si="11"/>
        <v>1600</v>
      </c>
      <c r="G183" s="48" t="s">
        <v>3</v>
      </c>
      <c r="H183" s="48">
        <v>6</v>
      </c>
      <c r="I183" s="49" t="s">
        <v>47</v>
      </c>
      <c r="J183" s="184">
        <v>140</v>
      </c>
      <c r="K183" s="75">
        <v>300</v>
      </c>
      <c r="L183" s="75">
        <v>1600</v>
      </c>
      <c r="M183" s="202">
        <v>20.272246881225819</v>
      </c>
      <c r="N183" s="87">
        <v>1335.6950999999999</v>
      </c>
      <c r="O183" s="123">
        <v>35742.598043877566</v>
      </c>
      <c r="P183" s="121">
        <v>43837.614885074188</v>
      </c>
      <c r="Q183" s="120">
        <v>19656.126929266091</v>
      </c>
      <c r="R183" s="314">
        <v>55398.72497314366</v>
      </c>
      <c r="S183" s="315">
        <v>63493.741814340276</v>
      </c>
      <c r="U183" s="7" t="s">
        <v>3088</v>
      </c>
    </row>
    <row r="184" spans="1:21" ht="16.5" thickBot="1">
      <c r="A184" s="50" t="s">
        <v>35</v>
      </c>
      <c r="B184" s="51">
        <f t="shared" si="9"/>
        <v>140</v>
      </c>
      <c r="C184" s="51" t="s">
        <v>3</v>
      </c>
      <c r="D184" s="51">
        <f t="shared" si="10"/>
        <v>300</v>
      </c>
      <c r="E184" s="51" t="s">
        <v>3</v>
      </c>
      <c r="F184" s="99">
        <f t="shared" si="11"/>
        <v>1650</v>
      </c>
      <c r="G184" s="51" t="s">
        <v>3</v>
      </c>
      <c r="H184" s="48">
        <v>6</v>
      </c>
      <c r="I184" s="49" t="s">
        <v>47</v>
      </c>
      <c r="J184" s="184">
        <v>140</v>
      </c>
      <c r="K184" s="75">
        <v>300</v>
      </c>
      <c r="L184" s="75">
        <v>1650</v>
      </c>
      <c r="M184" s="202">
        <v>20.87174231975014</v>
      </c>
      <c r="N184" s="87">
        <v>1389.1229039999998</v>
      </c>
      <c r="O184" s="123">
        <v>36656.559956899473</v>
      </c>
      <c r="P184" s="121">
        <v>44977.978925084368</v>
      </c>
      <c r="Q184" s="120">
        <v>20367.114015306717</v>
      </c>
      <c r="R184" s="314">
        <v>57023.67397220619</v>
      </c>
      <c r="S184" s="315">
        <v>65345.092940391085</v>
      </c>
      <c r="U184" s="7" t="s">
        <v>3089</v>
      </c>
    </row>
    <row r="185" spans="1:21" ht="16.5" thickBot="1">
      <c r="A185" s="50" t="s">
        <v>35</v>
      </c>
      <c r="B185" s="51">
        <f t="shared" si="9"/>
        <v>140</v>
      </c>
      <c r="C185" s="51" t="s">
        <v>3</v>
      </c>
      <c r="D185" s="51">
        <f t="shared" si="10"/>
        <v>300</v>
      </c>
      <c r="E185" s="51" t="s">
        <v>3</v>
      </c>
      <c r="F185" s="99">
        <f t="shared" si="11"/>
        <v>1700</v>
      </c>
      <c r="G185" s="51" t="s">
        <v>3</v>
      </c>
      <c r="H185" s="48">
        <v>6</v>
      </c>
      <c r="I185" s="49" t="s">
        <v>47</v>
      </c>
      <c r="J185" s="184">
        <v>140</v>
      </c>
      <c r="K185" s="75">
        <v>300</v>
      </c>
      <c r="L185" s="75">
        <v>1700</v>
      </c>
      <c r="M185" s="202">
        <v>19.482930869639642</v>
      </c>
      <c r="N185" s="87">
        <v>1442.550708</v>
      </c>
      <c r="O185" s="123">
        <v>37570.582519853968</v>
      </c>
      <c r="P185" s="121">
        <v>46118.362339378582</v>
      </c>
      <c r="Q185" s="120">
        <v>20847.519183170705</v>
      </c>
      <c r="R185" s="314">
        <v>58418.101703024673</v>
      </c>
      <c r="S185" s="315">
        <v>66965.881522549287</v>
      </c>
      <c r="U185" s="7" t="s">
        <v>3090</v>
      </c>
    </row>
    <row r="186" spans="1:21" ht="16.5" thickBot="1">
      <c r="A186" s="50" t="s">
        <v>35</v>
      </c>
      <c r="B186" s="51">
        <f t="shared" si="9"/>
        <v>140</v>
      </c>
      <c r="C186" s="51" t="s">
        <v>3</v>
      </c>
      <c r="D186" s="51">
        <f t="shared" si="10"/>
        <v>300</v>
      </c>
      <c r="E186" s="51" t="s">
        <v>3</v>
      </c>
      <c r="F186" s="99">
        <f t="shared" si="11"/>
        <v>1750</v>
      </c>
      <c r="G186" s="51" t="s">
        <v>3</v>
      </c>
      <c r="H186" s="48">
        <v>6</v>
      </c>
      <c r="I186" s="49" t="s">
        <v>47</v>
      </c>
      <c r="J186" s="184">
        <v>140</v>
      </c>
      <c r="K186" s="75">
        <v>300</v>
      </c>
      <c r="L186" s="75">
        <v>1750</v>
      </c>
      <c r="M186" s="202">
        <v>22.070733196798781</v>
      </c>
      <c r="N186" s="87">
        <v>1495.9785119999997</v>
      </c>
      <c r="O186" s="123">
        <v>38484.661099760109</v>
      </c>
      <c r="P186" s="121">
        <v>47258.763864416564</v>
      </c>
      <c r="Q186" s="120">
        <v>21558.506269211328</v>
      </c>
      <c r="R186" s="314">
        <v>60043.167368971437</v>
      </c>
      <c r="S186" s="315">
        <v>68817.270133627899</v>
      </c>
      <c r="U186" s="7" t="s">
        <v>3091</v>
      </c>
    </row>
    <row r="187" spans="1:21" ht="16.5" thickBot="1">
      <c r="A187" s="50" t="s">
        <v>35</v>
      </c>
      <c r="B187" s="51">
        <f t="shared" si="9"/>
        <v>140</v>
      </c>
      <c r="C187" s="51" t="s">
        <v>3</v>
      </c>
      <c r="D187" s="51">
        <f t="shared" si="10"/>
        <v>300</v>
      </c>
      <c r="E187" s="51" t="s">
        <v>3</v>
      </c>
      <c r="F187" s="99">
        <f t="shared" si="11"/>
        <v>1800</v>
      </c>
      <c r="G187" s="51" t="s">
        <v>3</v>
      </c>
      <c r="H187" s="48">
        <v>6</v>
      </c>
      <c r="I187" s="49" t="s">
        <v>47</v>
      </c>
      <c r="J187" s="184">
        <v>140</v>
      </c>
      <c r="K187" s="75">
        <v>300</v>
      </c>
      <c r="L187" s="75">
        <v>1800</v>
      </c>
      <c r="M187" s="202">
        <v>22.670228635323099</v>
      </c>
      <c r="N187" s="87">
        <v>1549.4063159999996</v>
      </c>
      <c r="O187" s="123">
        <v>39398.791625210375</v>
      </c>
      <c r="P187" s="121">
        <v>48399.181815477947</v>
      </c>
      <c r="Q187" s="120">
        <v>22038.911437075316</v>
      </c>
      <c r="R187" s="314">
        <v>61437.703062285691</v>
      </c>
      <c r="S187" s="315">
        <v>70438.093252553255</v>
      </c>
      <c r="U187" s="7" t="s">
        <v>3092</v>
      </c>
    </row>
    <row r="188" spans="1:21" ht="16.5" thickBot="1">
      <c r="A188" s="50" t="s">
        <v>35</v>
      </c>
      <c r="B188" s="51">
        <f t="shared" si="9"/>
        <v>140</v>
      </c>
      <c r="C188" s="51" t="s">
        <v>3</v>
      </c>
      <c r="D188" s="51">
        <f t="shared" si="10"/>
        <v>300</v>
      </c>
      <c r="E188" s="51" t="s">
        <v>3</v>
      </c>
      <c r="F188" s="99">
        <f t="shared" si="11"/>
        <v>1850</v>
      </c>
      <c r="G188" s="51" t="s">
        <v>3</v>
      </c>
      <c r="H188" s="48">
        <v>6</v>
      </c>
      <c r="I188" s="49" t="s">
        <v>47</v>
      </c>
      <c r="J188" s="184">
        <v>140</v>
      </c>
      <c r="K188" s="75">
        <v>300</v>
      </c>
      <c r="L188" s="75">
        <v>1850</v>
      </c>
      <c r="M188" s="202">
        <v>23.269724073847428</v>
      </c>
      <c r="N188" s="87">
        <v>1602.8341199999998</v>
      </c>
      <c r="O188" s="123">
        <v>40312.970165190607</v>
      </c>
      <c r="P188" s="121">
        <v>49539.615350202577</v>
      </c>
      <c r="Q188" s="120">
        <v>22749.898382722578</v>
      </c>
      <c r="R188" s="314">
        <v>63062.868547913182</v>
      </c>
      <c r="S188" s="315">
        <v>72289.513732925159</v>
      </c>
      <c r="U188" s="7" t="s">
        <v>3093</v>
      </c>
    </row>
    <row r="189" spans="1:21" ht="16.5" thickBot="1">
      <c r="A189" s="50" t="s">
        <v>35</v>
      </c>
      <c r="B189" s="51">
        <f t="shared" si="9"/>
        <v>140</v>
      </c>
      <c r="C189" s="51" t="s">
        <v>3</v>
      </c>
      <c r="D189" s="51">
        <f t="shared" si="10"/>
        <v>300</v>
      </c>
      <c r="E189" s="51" t="s">
        <v>3</v>
      </c>
      <c r="F189" s="99">
        <f t="shared" si="11"/>
        <v>1900</v>
      </c>
      <c r="G189" s="51" t="s">
        <v>3</v>
      </c>
      <c r="H189" s="48">
        <v>6</v>
      </c>
      <c r="I189" s="49" t="s">
        <v>47</v>
      </c>
      <c r="J189" s="184">
        <v>140</v>
      </c>
      <c r="K189" s="75">
        <v>300</v>
      </c>
      <c r="L189" s="75">
        <v>1900</v>
      </c>
      <c r="M189" s="202">
        <v>23.869219512371739</v>
      </c>
      <c r="N189" s="87">
        <v>1656.2619239999999</v>
      </c>
      <c r="O189" s="123">
        <v>41227.193490653481</v>
      </c>
      <c r="P189" s="121">
        <v>50680.063205050174</v>
      </c>
      <c r="Q189" s="120">
        <v>23230.30369097993</v>
      </c>
      <c r="R189" s="314">
        <v>64457.497181633415</v>
      </c>
      <c r="S189" s="315">
        <v>73910.3668960301</v>
      </c>
      <c r="U189" s="7" t="s">
        <v>3094</v>
      </c>
    </row>
    <row r="190" spans="1:21" ht="16.5" thickBot="1">
      <c r="A190" s="50" t="s">
        <v>35</v>
      </c>
      <c r="B190" s="51">
        <f t="shared" si="9"/>
        <v>140</v>
      </c>
      <c r="C190" s="51" t="s">
        <v>3</v>
      </c>
      <c r="D190" s="51">
        <f t="shared" si="10"/>
        <v>300</v>
      </c>
      <c r="E190" s="51" t="s">
        <v>3</v>
      </c>
      <c r="F190" s="99">
        <f t="shared" si="11"/>
        <v>1950</v>
      </c>
      <c r="G190" s="51" t="s">
        <v>3</v>
      </c>
      <c r="H190" s="48">
        <v>6</v>
      </c>
      <c r="I190" s="49" t="s">
        <v>47</v>
      </c>
      <c r="J190" s="184">
        <v>140</v>
      </c>
      <c r="K190" s="75">
        <v>300</v>
      </c>
      <c r="L190" s="75">
        <v>1950</v>
      </c>
      <c r="M190" s="202">
        <v>24.585051950896066</v>
      </c>
      <c r="N190" s="87">
        <v>1709.6897279999998</v>
      </c>
      <c r="O190" s="123">
        <v>42264.356896970443</v>
      </c>
      <c r="P190" s="121">
        <v>51946.31881557429</v>
      </c>
      <c r="Q190" s="120">
        <v>23710.708858843918</v>
      </c>
      <c r="R190" s="314">
        <v>65975.065755814358</v>
      </c>
      <c r="S190" s="315">
        <v>75657.027674418205</v>
      </c>
      <c r="U190" s="7" t="s">
        <v>3095</v>
      </c>
    </row>
    <row r="191" spans="1:21" ht="16.5" thickBot="1">
      <c r="A191" s="50" t="s">
        <v>35</v>
      </c>
      <c r="B191" s="51">
        <f t="shared" si="9"/>
        <v>140</v>
      </c>
      <c r="C191" s="51" t="s">
        <v>3</v>
      </c>
      <c r="D191" s="51">
        <f t="shared" si="10"/>
        <v>300</v>
      </c>
      <c r="E191" s="51" t="s">
        <v>3</v>
      </c>
      <c r="F191" s="99">
        <f t="shared" si="11"/>
        <v>2000</v>
      </c>
      <c r="G191" s="51" t="s">
        <v>3</v>
      </c>
      <c r="H191" s="48">
        <v>6</v>
      </c>
      <c r="I191" s="49" t="s">
        <v>47</v>
      </c>
      <c r="J191" s="184">
        <v>140</v>
      </c>
      <c r="K191" s="75">
        <v>300</v>
      </c>
      <c r="L191" s="75">
        <v>2000</v>
      </c>
      <c r="M191" s="202">
        <v>25.275011040620385</v>
      </c>
      <c r="N191" s="87">
        <v>1763.1175319999995</v>
      </c>
      <c r="O191" s="123">
        <v>43420.363425037023</v>
      </c>
      <c r="P191" s="121">
        <v>53410.142704689802</v>
      </c>
      <c r="Q191" s="120">
        <v>24421.695804491177</v>
      </c>
      <c r="R191" s="314">
        <v>67842.059229528197</v>
      </c>
      <c r="S191" s="315">
        <v>77831.838509180976</v>
      </c>
      <c r="U191" s="7" t="s">
        <v>3096</v>
      </c>
    </row>
    <row r="192" spans="1:21" ht="16.5" thickBot="1">
      <c r="A192" s="50" t="s">
        <v>35</v>
      </c>
      <c r="B192" s="51">
        <f t="shared" si="9"/>
        <v>140</v>
      </c>
      <c r="C192" s="51" t="s">
        <v>3</v>
      </c>
      <c r="D192" s="51">
        <f t="shared" si="10"/>
        <v>300</v>
      </c>
      <c r="E192" s="51" t="s">
        <v>3</v>
      </c>
      <c r="F192" s="99">
        <f t="shared" si="11"/>
        <v>2050</v>
      </c>
      <c r="G192" s="51" t="s">
        <v>3</v>
      </c>
      <c r="H192" s="48">
        <v>6</v>
      </c>
      <c r="I192" s="49" t="s">
        <v>47</v>
      </c>
      <c r="J192" s="184">
        <v>140</v>
      </c>
      <c r="K192" s="75">
        <v>300</v>
      </c>
      <c r="L192" s="75">
        <v>2050</v>
      </c>
      <c r="M192" s="202">
        <v>25.874506479144703</v>
      </c>
      <c r="N192" s="87">
        <v>1816.5453359999997</v>
      </c>
      <c r="O192" s="123">
        <v>44334.681094839492</v>
      </c>
      <c r="P192" s="121">
        <v>54550.602492973208</v>
      </c>
      <c r="Q192" s="120">
        <v>24902.101112748529</v>
      </c>
      <c r="R192" s="314">
        <v>69236.782207588025</v>
      </c>
      <c r="S192" s="315">
        <v>79452.703605721734</v>
      </c>
      <c r="U192" s="7" t="s">
        <v>3097</v>
      </c>
    </row>
    <row r="193" spans="1:21" ht="16.5" thickBot="1">
      <c r="A193" s="47" t="s">
        <v>35</v>
      </c>
      <c r="B193" s="48">
        <f t="shared" si="9"/>
        <v>140</v>
      </c>
      <c r="C193" s="48" t="s">
        <v>3</v>
      </c>
      <c r="D193" s="48">
        <f t="shared" si="10"/>
        <v>300</v>
      </c>
      <c r="E193" s="48" t="s">
        <v>3</v>
      </c>
      <c r="F193" s="99">
        <f t="shared" si="11"/>
        <v>2100</v>
      </c>
      <c r="G193" s="48" t="s">
        <v>3</v>
      </c>
      <c r="H193" s="48">
        <v>6</v>
      </c>
      <c r="I193" s="49" t="s">
        <v>47</v>
      </c>
      <c r="J193" s="184">
        <v>140</v>
      </c>
      <c r="K193" s="75">
        <v>300</v>
      </c>
      <c r="L193" s="75">
        <v>2100</v>
      </c>
      <c r="M193" s="202">
        <v>26.474001917669018</v>
      </c>
      <c r="N193" s="87">
        <v>1869.9731399999996</v>
      </c>
      <c r="O193" s="123">
        <v>45249.033441802509</v>
      </c>
      <c r="P193" s="121">
        <v>55691.074214692431</v>
      </c>
      <c r="Q193" s="120">
        <v>25613.088058395791</v>
      </c>
      <c r="R193" s="314">
        <v>70862.121500198293</v>
      </c>
      <c r="S193" s="315">
        <v>81304.162273088223</v>
      </c>
      <c r="U193" s="7" t="s">
        <v>3098</v>
      </c>
    </row>
    <row r="194" spans="1:21" ht="16.5" thickBot="1">
      <c r="A194" s="50" t="s">
        <v>35</v>
      </c>
      <c r="B194" s="51">
        <f t="shared" si="9"/>
        <v>140</v>
      </c>
      <c r="C194" s="51" t="s">
        <v>3</v>
      </c>
      <c r="D194" s="51">
        <f t="shared" si="10"/>
        <v>300</v>
      </c>
      <c r="E194" s="51" t="s">
        <v>3</v>
      </c>
      <c r="F194" s="99">
        <f t="shared" si="11"/>
        <v>2150</v>
      </c>
      <c r="G194" s="51" t="s">
        <v>3</v>
      </c>
      <c r="H194" s="48">
        <v>6</v>
      </c>
      <c r="I194" s="49" t="s">
        <v>47</v>
      </c>
      <c r="J194" s="184">
        <v>140</v>
      </c>
      <c r="K194" s="75">
        <v>300</v>
      </c>
      <c r="L194" s="75">
        <v>2150</v>
      </c>
      <c r="M194" s="202">
        <v>27.07349735619335</v>
      </c>
      <c r="N194" s="87">
        <v>1923.4009439999998</v>
      </c>
      <c r="O194" s="123">
        <v>46163.418219632265</v>
      </c>
      <c r="P194" s="121">
        <v>56831.557027487303</v>
      </c>
      <c r="Q194" s="120">
        <v>26093.493366653143</v>
      </c>
      <c r="R194" s="314">
        <v>72256.911586285409</v>
      </c>
      <c r="S194" s="315">
        <v>82925.050394140446</v>
      </c>
      <c r="U194" s="7" t="s">
        <v>3099</v>
      </c>
    </row>
    <row r="195" spans="1:21" ht="16.5" thickBot="1">
      <c r="A195" s="50" t="s">
        <v>35</v>
      </c>
      <c r="B195" s="51">
        <f t="shared" si="9"/>
        <v>140</v>
      </c>
      <c r="C195" s="51" t="s">
        <v>3</v>
      </c>
      <c r="D195" s="51">
        <f t="shared" si="10"/>
        <v>300</v>
      </c>
      <c r="E195" s="51" t="s">
        <v>3</v>
      </c>
      <c r="F195" s="99">
        <f t="shared" si="11"/>
        <v>2200</v>
      </c>
      <c r="G195" s="51" t="s">
        <v>3</v>
      </c>
      <c r="H195" s="48">
        <v>6</v>
      </c>
      <c r="I195" s="49" t="s">
        <v>47</v>
      </c>
      <c r="J195" s="184">
        <v>140</v>
      </c>
      <c r="K195" s="75">
        <v>300</v>
      </c>
      <c r="L195" s="75">
        <v>2200</v>
      </c>
      <c r="M195" s="202">
        <v>27.672992794717661</v>
      </c>
      <c r="N195" s="87">
        <v>1976.8287479999999</v>
      </c>
      <c r="O195" s="123">
        <v>47077.833322428312</v>
      </c>
      <c r="P195" s="121">
        <v>57972.050369784352</v>
      </c>
      <c r="Q195" s="120">
        <v>26804.480312300402</v>
      </c>
      <c r="R195" s="314">
        <v>73882.313634728722</v>
      </c>
      <c r="S195" s="315">
        <v>84776.530682084762</v>
      </c>
      <c r="U195" s="7" t="s">
        <v>3100</v>
      </c>
    </row>
    <row r="196" spans="1:21" ht="16.5" thickBot="1">
      <c r="A196" s="50" t="s">
        <v>35</v>
      </c>
      <c r="B196" s="51">
        <f t="shared" si="9"/>
        <v>140</v>
      </c>
      <c r="C196" s="51" t="s">
        <v>3</v>
      </c>
      <c r="D196" s="51">
        <f t="shared" si="10"/>
        <v>300</v>
      </c>
      <c r="E196" s="51" t="s">
        <v>3</v>
      </c>
      <c r="F196" s="99">
        <f t="shared" si="11"/>
        <v>2250</v>
      </c>
      <c r="G196" s="51" t="s">
        <v>3</v>
      </c>
      <c r="H196" s="48">
        <v>6</v>
      </c>
      <c r="I196" s="49" t="s">
        <v>47</v>
      </c>
      <c r="J196" s="184">
        <v>140</v>
      </c>
      <c r="K196" s="75">
        <v>300</v>
      </c>
      <c r="L196" s="75">
        <v>2250</v>
      </c>
      <c r="M196" s="202">
        <v>28.272488233241983</v>
      </c>
      <c r="N196" s="87">
        <v>2030.2565519999996</v>
      </c>
      <c r="O196" s="123">
        <v>47992.277065470305</v>
      </c>
      <c r="P196" s="121">
        <v>59112.55368001014</v>
      </c>
      <c r="Q196" s="120">
        <v>27284.885480164394</v>
      </c>
      <c r="R196" s="314">
        <v>75277.162545634696</v>
      </c>
      <c r="S196" s="315">
        <v>86397.43916017453</v>
      </c>
      <c r="U196" s="7" t="s">
        <v>3101</v>
      </c>
    </row>
    <row r="197" spans="1:21" ht="16.5" thickBot="1">
      <c r="A197" s="50" t="s">
        <v>35</v>
      </c>
      <c r="B197" s="51">
        <f t="shared" si="9"/>
        <v>140</v>
      </c>
      <c r="C197" s="51" t="s">
        <v>3</v>
      </c>
      <c r="D197" s="51">
        <f t="shared" si="10"/>
        <v>300</v>
      </c>
      <c r="E197" s="51" t="s">
        <v>3</v>
      </c>
      <c r="F197" s="99">
        <f t="shared" si="11"/>
        <v>2300</v>
      </c>
      <c r="G197" s="51" t="s">
        <v>3</v>
      </c>
      <c r="H197" s="48">
        <v>6</v>
      </c>
      <c r="I197" s="49" t="s">
        <v>47</v>
      </c>
      <c r="J197" s="184">
        <v>140</v>
      </c>
      <c r="K197" s="75">
        <v>300</v>
      </c>
      <c r="L197" s="75">
        <v>2300</v>
      </c>
      <c r="M197" s="202">
        <v>28.871983671766301</v>
      </c>
      <c r="N197" s="87">
        <v>2083.6843559999998</v>
      </c>
      <c r="O197" s="123">
        <v>48906.747764037907</v>
      </c>
      <c r="P197" s="121">
        <v>60253.066256197846</v>
      </c>
      <c r="Q197" s="120">
        <v>27765.290788421746</v>
      </c>
      <c r="R197" s="314">
        <v>76672.03855245965</v>
      </c>
      <c r="S197" s="315">
        <v>88018.357044619595</v>
      </c>
      <c r="U197" s="7" t="s">
        <v>3102</v>
      </c>
    </row>
    <row r="198" spans="1:21" ht="16.5" thickBot="1">
      <c r="A198" s="50" t="s">
        <v>35</v>
      </c>
      <c r="B198" s="51">
        <f t="shared" si="9"/>
        <v>140</v>
      </c>
      <c r="C198" s="51" t="s">
        <v>3</v>
      </c>
      <c r="D198" s="51">
        <f t="shared" si="10"/>
        <v>300</v>
      </c>
      <c r="E198" s="51" t="s">
        <v>3</v>
      </c>
      <c r="F198" s="99">
        <f t="shared" si="11"/>
        <v>2350</v>
      </c>
      <c r="G198" s="51" t="s">
        <v>3</v>
      </c>
      <c r="H198" s="48">
        <v>6</v>
      </c>
      <c r="I198" s="49" t="s">
        <v>47</v>
      </c>
      <c r="J198" s="184">
        <v>140</v>
      </c>
      <c r="K198" s="75">
        <v>300</v>
      </c>
      <c r="L198" s="75">
        <v>2350</v>
      </c>
      <c r="M198" s="202">
        <v>29.47147911029062</v>
      </c>
      <c r="N198" s="87">
        <v>2137.1121599999997</v>
      </c>
      <c r="O198" s="123">
        <v>49821.24373341076</v>
      </c>
      <c r="P198" s="121">
        <v>61393.587536774037</v>
      </c>
      <c r="Q198" s="120">
        <v>28476.277734069005</v>
      </c>
      <c r="R198" s="314">
        <v>78297.521467479761</v>
      </c>
      <c r="S198" s="315">
        <v>89869.865270843045</v>
      </c>
      <c r="U198" s="7" t="s">
        <v>3103</v>
      </c>
    </row>
    <row r="199" spans="1:21" ht="16.5" thickBot="1">
      <c r="A199" s="50" t="s">
        <v>35</v>
      </c>
      <c r="B199" s="51">
        <f t="shared" si="9"/>
        <v>140</v>
      </c>
      <c r="C199" s="51" t="s">
        <v>3</v>
      </c>
      <c r="D199" s="51">
        <f t="shared" si="10"/>
        <v>300</v>
      </c>
      <c r="E199" s="51" t="s">
        <v>3</v>
      </c>
      <c r="F199" s="99">
        <f t="shared" si="11"/>
        <v>2400</v>
      </c>
      <c r="G199" s="51" t="s">
        <v>3</v>
      </c>
      <c r="H199" s="48">
        <v>6</v>
      </c>
      <c r="I199" s="49" t="s">
        <v>47</v>
      </c>
      <c r="J199" s="184">
        <v>140</v>
      </c>
      <c r="K199" s="75">
        <v>300</v>
      </c>
      <c r="L199" s="75">
        <v>2400</v>
      </c>
      <c r="M199" s="202">
        <v>30.070974548814938</v>
      </c>
      <c r="N199" s="87">
        <v>2190.5399639999996</v>
      </c>
      <c r="O199" s="123">
        <v>50735.763569655239</v>
      </c>
      <c r="P199" s="121">
        <v>62534.117100558615</v>
      </c>
      <c r="Q199" s="120">
        <v>28956.682901932996</v>
      </c>
      <c r="R199" s="314">
        <v>79692.446471588235</v>
      </c>
      <c r="S199" s="315">
        <v>91490.800002491611</v>
      </c>
      <c r="U199" s="7" t="s">
        <v>3104</v>
      </c>
    </row>
    <row r="200" spans="1:21" ht="16.5" thickBot="1">
      <c r="A200" s="50" t="s">
        <v>35</v>
      </c>
      <c r="B200" s="51">
        <f t="shared" si="9"/>
        <v>140</v>
      </c>
      <c r="C200" s="51" t="s">
        <v>3</v>
      </c>
      <c r="D200" s="51">
        <f t="shared" si="10"/>
        <v>300</v>
      </c>
      <c r="E200" s="51" t="s">
        <v>3</v>
      </c>
      <c r="F200" s="99">
        <f t="shared" si="11"/>
        <v>2450</v>
      </c>
      <c r="G200" s="51" t="s">
        <v>3</v>
      </c>
      <c r="H200" s="48">
        <v>6</v>
      </c>
      <c r="I200" s="49" t="s">
        <v>47</v>
      </c>
      <c r="J200" s="184">
        <v>140</v>
      </c>
      <c r="K200" s="75">
        <v>300</v>
      </c>
      <c r="L200" s="75">
        <v>2450</v>
      </c>
      <c r="M200" s="202">
        <v>30.835617306751665</v>
      </c>
      <c r="N200" s="87">
        <v>2243.967768</v>
      </c>
      <c r="O200" s="123">
        <v>52326.789320536889</v>
      </c>
      <c r="P200" s="121">
        <v>64336.96919914044</v>
      </c>
      <c r="Q200" s="120">
        <v>29667.669987973619</v>
      </c>
      <c r="R200" s="314">
        <v>81994.459308510501</v>
      </c>
      <c r="S200" s="315">
        <v>94004.639187114051</v>
      </c>
      <c r="U200" s="7" t="s">
        <v>3105</v>
      </c>
    </row>
    <row r="201" spans="1:21" ht="16.5" thickBot="1">
      <c r="A201" s="50" t="s">
        <v>35</v>
      </c>
      <c r="B201" s="51">
        <f t="shared" si="9"/>
        <v>140</v>
      </c>
      <c r="C201" s="51" t="s">
        <v>3</v>
      </c>
      <c r="D201" s="51">
        <f t="shared" si="10"/>
        <v>300</v>
      </c>
      <c r="E201" s="51" t="s">
        <v>3</v>
      </c>
      <c r="F201" s="99">
        <f t="shared" si="11"/>
        <v>2500</v>
      </c>
      <c r="G201" s="51" t="s">
        <v>3</v>
      </c>
      <c r="H201" s="48">
        <v>6</v>
      </c>
      <c r="I201" s="49" t="s">
        <v>47</v>
      </c>
      <c r="J201" s="184">
        <v>140</v>
      </c>
      <c r="K201" s="75">
        <v>300</v>
      </c>
      <c r="L201" s="75">
        <v>2500</v>
      </c>
      <c r="M201" s="202">
        <v>31.435112745275976</v>
      </c>
      <c r="N201" s="87">
        <v>2297.3955719999994</v>
      </c>
      <c r="O201" s="123">
        <v>53241.281078108863</v>
      </c>
      <c r="P201" s="121">
        <v>65477.555201056741</v>
      </c>
      <c r="Q201" s="120">
        <v>30148.075155837607</v>
      </c>
      <c r="R201" s="314">
        <v>83389.35623394647</v>
      </c>
      <c r="S201" s="315">
        <v>95625.63035689434</v>
      </c>
      <c r="U201" s="7" t="s">
        <v>3106</v>
      </c>
    </row>
    <row r="202" spans="1:21" ht="16.5" thickBot="1">
      <c r="A202" s="50" t="s">
        <v>35</v>
      </c>
      <c r="B202" s="51">
        <f t="shared" si="9"/>
        <v>140</v>
      </c>
      <c r="C202" s="51" t="s">
        <v>3</v>
      </c>
      <c r="D202" s="51">
        <f t="shared" si="10"/>
        <v>300</v>
      </c>
      <c r="E202" s="51" t="s">
        <v>3</v>
      </c>
      <c r="F202" s="99">
        <f t="shared" si="11"/>
        <v>2550</v>
      </c>
      <c r="G202" s="51" t="s">
        <v>3</v>
      </c>
      <c r="H202" s="48">
        <v>6</v>
      </c>
      <c r="I202" s="49" t="s">
        <v>47</v>
      </c>
      <c r="J202" s="184">
        <v>140</v>
      </c>
      <c r="K202" s="75">
        <v>300</v>
      </c>
      <c r="L202" s="75">
        <v>2550</v>
      </c>
      <c r="M202" s="202">
        <v>32.034608183800302</v>
      </c>
      <c r="N202" s="87">
        <v>2350.8233759999998</v>
      </c>
      <c r="O202" s="123">
        <v>54155.795439012196</v>
      </c>
      <c r="P202" s="121">
        <v>66618.14667831418</v>
      </c>
      <c r="Q202" s="120">
        <v>30859.06224187823</v>
      </c>
      <c r="R202" s="314">
        <v>85014.857680890418</v>
      </c>
      <c r="S202" s="315">
        <v>97477.20892019241</v>
      </c>
      <c r="U202" s="7" t="s">
        <v>3107</v>
      </c>
    </row>
    <row r="203" spans="1:21" ht="16.5" thickBot="1">
      <c r="A203" s="47" t="s">
        <v>35</v>
      </c>
      <c r="B203" s="48">
        <f t="shared" si="9"/>
        <v>140</v>
      </c>
      <c r="C203" s="48" t="s">
        <v>3</v>
      </c>
      <c r="D203" s="48">
        <f t="shared" si="10"/>
        <v>300</v>
      </c>
      <c r="E203" s="48" t="s">
        <v>3</v>
      </c>
      <c r="F203" s="99">
        <f t="shared" si="11"/>
        <v>2600</v>
      </c>
      <c r="G203" s="48" t="s">
        <v>3</v>
      </c>
      <c r="H203" s="48">
        <v>6</v>
      </c>
      <c r="I203" s="49" t="s">
        <v>47</v>
      </c>
      <c r="J203" s="184">
        <v>140</v>
      </c>
      <c r="K203" s="75">
        <v>300</v>
      </c>
      <c r="L203" s="75">
        <v>2600</v>
      </c>
      <c r="M203" s="202">
        <v>32.634103622324616</v>
      </c>
      <c r="N203" s="87">
        <v>2404.2511799999997</v>
      </c>
      <c r="O203" s="123">
        <v>54057.558412650164</v>
      </c>
      <c r="P203" s="121">
        <v>66486.272946624129</v>
      </c>
      <c r="Q203" s="120">
        <v>31339.467409742221</v>
      </c>
      <c r="R203" s="314">
        <v>85397.025822392388</v>
      </c>
      <c r="S203" s="315">
        <v>97825.740356366354</v>
      </c>
      <c r="U203" s="7" t="s">
        <v>3108</v>
      </c>
    </row>
    <row r="204" spans="1:21" ht="16.5" thickBot="1">
      <c r="A204" s="50" t="s">
        <v>35</v>
      </c>
      <c r="B204" s="51">
        <f t="shared" si="9"/>
        <v>140</v>
      </c>
      <c r="C204" s="51" t="s">
        <v>3</v>
      </c>
      <c r="D204" s="51">
        <f t="shared" si="10"/>
        <v>300</v>
      </c>
      <c r="E204" s="51" t="s">
        <v>3</v>
      </c>
      <c r="F204" s="99">
        <f t="shared" si="11"/>
        <v>2650</v>
      </c>
      <c r="G204" s="51" t="s">
        <v>3</v>
      </c>
      <c r="H204" s="48">
        <v>6</v>
      </c>
      <c r="I204" s="49" t="s">
        <v>47</v>
      </c>
      <c r="J204" s="184">
        <v>140</v>
      </c>
      <c r="K204" s="75">
        <v>300</v>
      </c>
      <c r="L204" s="75">
        <v>2650</v>
      </c>
      <c r="M204" s="202">
        <v>33.233599060848945</v>
      </c>
      <c r="N204" s="87">
        <v>2457.6789839999992</v>
      </c>
      <c r="O204" s="123">
        <v>55242.893956503169</v>
      </c>
      <c r="P204" s="121">
        <v>67966.834111236793</v>
      </c>
      <c r="Q204" s="120">
        <v>32050.45435538948</v>
      </c>
      <c r="R204" s="314">
        <v>87293.348311892652</v>
      </c>
      <c r="S204" s="315">
        <v>100017.28846662627</v>
      </c>
      <c r="U204" s="7" t="s">
        <v>3109</v>
      </c>
    </row>
    <row r="205" spans="1:21" ht="16.5" thickBot="1">
      <c r="A205" s="50" t="s">
        <v>35</v>
      </c>
      <c r="B205" s="51">
        <f t="shared" si="9"/>
        <v>140</v>
      </c>
      <c r="C205" s="51" t="s">
        <v>3</v>
      </c>
      <c r="D205" s="51">
        <f t="shared" si="10"/>
        <v>300</v>
      </c>
      <c r="E205" s="51" t="s">
        <v>3</v>
      </c>
      <c r="F205" s="99">
        <f t="shared" si="11"/>
        <v>2700</v>
      </c>
      <c r="G205" s="51" t="s">
        <v>3</v>
      </c>
      <c r="H205" s="48">
        <v>6</v>
      </c>
      <c r="I205" s="49" t="s">
        <v>47</v>
      </c>
      <c r="J205" s="184">
        <v>140</v>
      </c>
      <c r="K205" s="75">
        <v>300</v>
      </c>
      <c r="L205" s="75">
        <v>2700</v>
      </c>
      <c r="M205" s="202">
        <v>33.949431499373262</v>
      </c>
      <c r="N205" s="87">
        <v>2511.1067879999996</v>
      </c>
      <c r="O205" s="123">
        <v>56282.519581611647</v>
      </c>
      <c r="P205" s="121">
        <v>69235.413933877106</v>
      </c>
      <c r="Q205" s="120">
        <v>32530.859663646832</v>
      </c>
      <c r="R205" s="314">
        <v>88813.379245258475</v>
      </c>
      <c r="S205" s="315">
        <v>101766.27359752393</v>
      </c>
      <c r="U205" s="7" t="s">
        <v>3110</v>
      </c>
    </row>
    <row r="206" spans="1:21" ht="16.5" thickBot="1">
      <c r="A206" s="50" t="s">
        <v>35</v>
      </c>
      <c r="B206" s="51">
        <f t="shared" si="9"/>
        <v>140</v>
      </c>
      <c r="C206" s="51" t="s">
        <v>3</v>
      </c>
      <c r="D206" s="51">
        <f t="shared" si="10"/>
        <v>300</v>
      </c>
      <c r="E206" s="51" t="s">
        <v>3</v>
      </c>
      <c r="F206" s="99">
        <f t="shared" si="11"/>
        <v>2750</v>
      </c>
      <c r="G206" s="51" t="s">
        <v>3</v>
      </c>
      <c r="H206" s="48">
        <v>6</v>
      </c>
      <c r="I206" s="49" t="s">
        <v>47</v>
      </c>
      <c r="J206" s="184">
        <v>140</v>
      </c>
      <c r="K206" s="75">
        <v>300</v>
      </c>
      <c r="L206" s="75">
        <v>2750</v>
      </c>
      <c r="M206" s="202">
        <v>34.548926937897576</v>
      </c>
      <c r="N206" s="87">
        <v>2564.5345919999995</v>
      </c>
      <c r="O206" s="123">
        <v>57199.401676573551</v>
      </c>
      <c r="P206" s="121">
        <v>70378.664461420296</v>
      </c>
      <c r="Q206" s="120">
        <v>33011.264831510824</v>
      </c>
      <c r="R206" s="314">
        <v>90210.666508084367</v>
      </c>
      <c r="S206" s="315">
        <v>103389.92929293112</v>
      </c>
      <c r="U206" s="7" t="s">
        <v>3111</v>
      </c>
    </row>
    <row r="207" spans="1:21" ht="16.5" thickBot="1">
      <c r="A207" s="50" t="s">
        <v>35</v>
      </c>
      <c r="B207" s="51">
        <f t="shared" si="9"/>
        <v>140</v>
      </c>
      <c r="C207" s="51" t="s">
        <v>3</v>
      </c>
      <c r="D207" s="51">
        <f t="shared" si="10"/>
        <v>300</v>
      </c>
      <c r="E207" s="51" t="s">
        <v>3</v>
      </c>
      <c r="F207" s="99">
        <f t="shared" si="11"/>
        <v>2800</v>
      </c>
      <c r="G207" s="51" t="s">
        <v>3</v>
      </c>
      <c r="H207" s="48">
        <v>6</v>
      </c>
      <c r="I207" s="49" t="s">
        <v>47</v>
      </c>
      <c r="J207" s="184">
        <v>140</v>
      </c>
      <c r="K207" s="75">
        <v>300</v>
      </c>
      <c r="L207" s="75">
        <v>2800</v>
      </c>
      <c r="M207" s="202">
        <v>35.148422376421898</v>
      </c>
      <c r="N207" s="87">
        <v>2617.9623959999999</v>
      </c>
      <c r="O207" s="123">
        <v>58116.291493170385</v>
      </c>
      <c r="P207" s="121">
        <v>71521.916112110383</v>
      </c>
      <c r="Q207" s="120">
        <v>33722.251777158082</v>
      </c>
      <c r="R207" s="314">
        <v>91838.54327032846</v>
      </c>
      <c r="S207" s="315">
        <v>105244.16788926846</v>
      </c>
      <c r="U207" s="7" t="s">
        <v>3112</v>
      </c>
    </row>
    <row r="208" spans="1:21" ht="16.5" thickBot="1">
      <c r="A208" s="50" t="s">
        <v>35</v>
      </c>
      <c r="B208" s="51">
        <f t="shared" si="9"/>
        <v>140</v>
      </c>
      <c r="C208" s="51" t="s">
        <v>3</v>
      </c>
      <c r="D208" s="51">
        <f t="shared" si="10"/>
        <v>300</v>
      </c>
      <c r="E208" s="51" t="s">
        <v>3</v>
      </c>
      <c r="F208" s="99">
        <f t="shared" si="11"/>
        <v>2850</v>
      </c>
      <c r="G208" s="51" t="s">
        <v>3</v>
      </c>
      <c r="H208" s="48">
        <v>6</v>
      </c>
      <c r="I208" s="49" t="s">
        <v>47</v>
      </c>
      <c r="J208" s="184">
        <v>140</v>
      </c>
      <c r="K208" s="75">
        <v>300</v>
      </c>
      <c r="L208" s="75">
        <v>2850</v>
      </c>
      <c r="M208" s="202">
        <v>35.74791781494622</v>
      </c>
      <c r="N208" s="87">
        <v>2671.3901999999998</v>
      </c>
      <c r="O208" s="123">
        <v>59033.188891008802</v>
      </c>
      <c r="P208" s="121">
        <v>72665.169026340722</v>
      </c>
      <c r="Q208" s="120">
        <v>34202.657085415434</v>
      </c>
      <c r="R208" s="314">
        <v>93235.845976424229</v>
      </c>
      <c r="S208" s="315">
        <v>106867.82611175615</v>
      </c>
      <c r="U208" s="7" t="s">
        <v>3113</v>
      </c>
    </row>
    <row r="209" spans="1:21" ht="16.5" thickBot="1">
      <c r="A209" s="50" t="s">
        <v>35</v>
      </c>
      <c r="B209" s="51">
        <f t="shared" si="9"/>
        <v>140</v>
      </c>
      <c r="C209" s="51" t="s">
        <v>3</v>
      </c>
      <c r="D209" s="51">
        <f t="shared" si="10"/>
        <v>300</v>
      </c>
      <c r="E209" s="51" t="s">
        <v>3</v>
      </c>
      <c r="F209" s="99">
        <f t="shared" si="11"/>
        <v>2900</v>
      </c>
      <c r="G209" s="51" t="s">
        <v>3</v>
      </c>
      <c r="H209" s="48">
        <v>6</v>
      </c>
      <c r="I209" s="49" t="s">
        <v>47</v>
      </c>
      <c r="J209" s="184">
        <v>140</v>
      </c>
      <c r="K209" s="75">
        <v>300</v>
      </c>
      <c r="L209" s="75">
        <v>2900</v>
      </c>
      <c r="M209" s="202">
        <v>36.347413253470542</v>
      </c>
      <c r="N209" s="87">
        <v>2724.8180039999993</v>
      </c>
      <c r="O209" s="123">
        <v>59950.093168121974</v>
      </c>
      <c r="P209" s="121">
        <v>73808.423063717972</v>
      </c>
      <c r="Q209" s="120">
        <v>34913.644031062693</v>
      </c>
      <c r="R209" s="314">
        <v>94863.737199184659</v>
      </c>
      <c r="S209" s="315">
        <v>108722.06709478066</v>
      </c>
      <c r="U209" s="7" t="s">
        <v>3114</v>
      </c>
    </row>
    <row r="210" spans="1:21" ht="16.5" thickBot="1">
      <c r="A210" s="50" t="s">
        <v>35</v>
      </c>
      <c r="B210" s="51">
        <f t="shared" si="9"/>
        <v>140</v>
      </c>
      <c r="C210" s="51" t="s">
        <v>3</v>
      </c>
      <c r="D210" s="51">
        <f t="shared" si="10"/>
        <v>300</v>
      </c>
      <c r="E210" s="51" t="s">
        <v>3</v>
      </c>
      <c r="F210" s="99">
        <f t="shared" si="11"/>
        <v>2950</v>
      </c>
      <c r="G210" s="51" t="s">
        <v>3</v>
      </c>
      <c r="H210" s="48">
        <v>6</v>
      </c>
      <c r="I210" s="49" t="s">
        <v>47</v>
      </c>
      <c r="J210" s="184">
        <v>140</v>
      </c>
      <c r="K210" s="75">
        <v>300</v>
      </c>
      <c r="L210" s="75">
        <v>2950</v>
      </c>
      <c r="M210" s="202">
        <v>36.946908691994864</v>
      </c>
      <c r="N210" s="87">
        <v>2778.2458079999997</v>
      </c>
      <c r="O210" s="123">
        <v>60867.004324509915</v>
      </c>
      <c r="P210" s="121">
        <v>74951.678224242132</v>
      </c>
      <c r="Q210" s="120">
        <v>35394.049339320045</v>
      </c>
      <c r="R210" s="314">
        <v>96261.053663829953</v>
      </c>
      <c r="S210" s="315">
        <v>110345.72756356218</v>
      </c>
      <c r="U210" s="7" t="s">
        <v>3115</v>
      </c>
    </row>
    <row r="211" spans="1:21" ht="16.5" thickBot="1">
      <c r="A211" s="52" t="s">
        <v>35</v>
      </c>
      <c r="B211" s="53">
        <f t="shared" si="9"/>
        <v>140</v>
      </c>
      <c r="C211" s="53" t="s">
        <v>3</v>
      </c>
      <c r="D211" s="53">
        <f t="shared" si="10"/>
        <v>300</v>
      </c>
      <c r="E211" s="53" t="s">
        <v>3</v>
      </c>
      <c r="F211" s="100">
        <f t="shared" si="11"/>
        <v>3000</v>
      </c>
      <c r="G211" s="53" t="s">
        <v>3</v>
      </c>
      <c r="H211" s="48">
        <v>6</v>
      </c>
      <c r="I211" s="54" t="s">
        <v>47</v>
      </c>
      <c r="J211" s="184">
        <v>140</v>
      </c>
      <c r="K211" s="147">
        <v>300</v>
      </c>
      <c r="L211" s="147">
        <v>3000</v>
      </c>
      <c r="M211" s="209">
        <v>37.546404130519178</v>
      </c>
      <c r="N211" s="148">
        <v>2831.6736119999996</v>
      </c>
      <c r="O211" s="149">
        <v>62747.201934360237</v>
      </c>
      <c r="P211" s="158">
        <v>76094.934507913174</v>
      </c>
      <c r="Q211" s="159">
        <v>36105.036284967304</v>
      </c>
      <c r="R211" s="316">
        <v>98852.238219327541</v>
      </c>
      <c r="S211" s="317">
        <v>112199.97079288049</v>
      </c>
      <c r="U211" s="7" t="s">
        <v>3116</v>
      </c>
    </row>
    <row r="212" spans="1:21" ht="22.5" customHeight="1" thickBot="1">
      <c r="A212" s="2621" t="s">
        <v>48</v>
      </c>
      <c r="B212" s="2622"/>
      <c r="C212" s="2622"/>
      <c r="D212" s="2622"/>
      <c r="E212" s="2622"/>
      <c r="F212" s="2622"/>
      <c r="G212" s="2622"/>
      <c r="H212" s="2622"/>
      <c r="I212" s="2622"/>
      <c r="J212" s="2622"/>
      <c r="K212" s="2622"/>
      <c r="L212" s="2622"/>
      <c r="M212" s="2622"/>
      <c r="N212" s="2622"/>
      <c r="O212" s="2622"/>
      <c r="P212" s="2622"/>
      <c r="Q212" s="2622"/>
      <c r="R212" s="2622"/>
      <c r="S212" s="2623"/>
      <c r="U212" s="7"/>
    </row>
    <row r="213" spans="1:21" ht="16.5" customHeight="1" thickBot="1">
      <c r="A213" s="2583" t="s">
        <v>140</v>
      </c>
      <c r="B213" s="2584"/>
      <c r="C213" s="2584"/>
      <c r="D213" s="2584"/>
      <c r="E213" s="2584"/>
      <c r="F213" s="2584"/>
      <c r="G213" s="2584"/>
      <c r="H213" s="2584"/>
      <c r="I213" s="2584"/>
      <c r="J213" s="2584"/>
      <c r="K213" s="2584"/>
      <c r="L213" s="2584"/>
      <c r="M213" s="2584"/>
      <c r="N213" s="2584"/>
      <c r="O213" s="2584"/>
      <c r="P213" s="2584"/>
      <c r="Q213" s="2584"/>
      <c r="R213" s="2584"/>
      <c r="S213" s="2585"/>
      <c r="U213" s="7"/>
    </row>
    <row r="214" spans="1:21" ht="16.5" thickBot="1">
      <c r="A214" s="47" t="s">
        <v>35</v>
      </c>
      <c r="B214" s="48">
        <f>J214</f>
        <v>140</v>
      </c>
      <c r="C214" s="48" t="s">
        <v>3</v>
      </c>
      <c r="D214" s="48">
        <f>K214</f>
        <v>300</v>
      </c>
      <c r="E214" s="48" t="s">
        <v>3</v>
      </c>
      <c r="F214" s="99">
        <f>L214</f>
        <v>600</v>
      </c>
      <c r="G214" s="48" t="s">
        <v>3</v>
      </c>
      <c r="H214" s="48">
        <v>8</v>
      </c>
      <c r="I214" s="49" t="s">
        <v>47</v>
      </c>
      <c r="J214" s="181">
        <v>140</v>
      </c>
      <c r="K214" s="143">
        <v>300</v>
      </c>
      <c r="L214" s="143">
        <v>600</v>
      </c>
      <c r="M214" s="201">
        <v>8.589717784730162</v>
      </c>
      <c r="N214" s="144">
        <v>290.36849999999998</v>
      </c>
      <c r="O214" s="145">
        <v>18952.902051844729</v>
      </c>
      <c r="P214" s="183">
        <v>22191.391264152942</v>
      </c>
      <c r="Q214" s="169">
        <v>8203.3683669666007</v>
      </c>
      <c r="R214" s="312">
        <v>27156.270418811328</v>
      </c>
      <c r="S214" s="313">
        <v>30394.759631119545</v>
      </c>
      <c r="U214" s="7" t="s">
        <v>3117</v>
      </c>
    </row>
    <row r="215" spans="1:21" ht="16.5" thickBot="1">
      <c r="A215" s="50" t="s">
        <v>35</v>
      </c>
      <c r="B215" s="51">
        <f t="shared" ref="B215:B262" si="12">J215</f>
        <v>140</v>
      </c>
      <c r="C215" s="51" t="s">
        <v>3</v>
      </c>
      <c r="D215" s="51">
        <f t="shared" ref="D215:D262" si="13">K215</f>
        <v>300</v>
      </c>
      <c r="E215" s="51" t="s">
        <v>3</v>
      </c>
      <c r="F215" s="99">
        <f t="shared" ref="F215:F262" si="14">L215</f>
        <v>650</v>
      </c>
      <c r="G215" s="51" t="s">
        <v>3</v>
      </c>
      <c r="H215" s="48">
        <v>8</v>
      </c>
      <c r="I215" s="49" t="s">
        <v>47</v>
      </c>
      <c r="J215" s="184">
        <v>140</v>
      </c>
      <c r="K215" s="75">
        <v>300</v>
      </c>
      <c r="L215" s="75">
        <v>650</v>
      </c>
      <c r="M215" s="202">
        <v>9.2550361444559197</v>
      </c>
      <c r="N215" s="87">
        <v>348.44219999999996</v>
      </c>
      <c r="O215" s="123">
        <v>20084.540503982178</v>
      </c>
      <c r="P215" s="121">
        <v>23527.431501408115</v>
      </c>
      <c r="Q215" s="120">
        <v>8683.7735348305905</v>
      </c>
      <c r="R215" s="314">
        <v>28768.314038812769</v>
      </c>
      <c r="S215" s="315">
        <v>32211.205036238705</v>
      </c>
      <c r="U215" s="7" t="s">
        <v>3118</v>
      </c>
    </row>
    <row r="216" spans="1:21" ht="16.5" thickBot="1">
      <c r="A216" s="50" t="s">
        <v>35</v>
      </c>
      <c r="B216" s="51">
        <f t="shared" si="12"/>
        <v>140</v>
      </c>
      <c r="C216" s="51" t="s">
        <v>3</v>
      </c>
      <c r="D216" s="51">
        <f t="shared" si="13"/>
        <v>300</v>
      </c>
      <c r="E216" s="51" t="s">
        <v>3</v>
      </c>
      <c r="F216" s="99">
        <f t="shared" si="14"/>
        <v>700</v>
      </c>
      <c r="G216" s="51" t="s">
        <v>3</v>
      </c>
      <c r="H216" s="48">
        <v>8</v>
      </c>
      <c r="I216" s="49" t="s">
        <v>47</v>
      </c>
      <c r="J216" s="184">
        <v>140</v>
      </c>
      <c r="K216" s="75">
        <v>300</v>
      </c>
      <c r="L216" s="75">
        <v>700</v>
      </c>
      <c r="M216" s="202">
        <v>9.93719002418168</v>
      </c>
      <c r="N216" s="87">
        <v>406.51589999999993</v>
      </c>
      <c r="O216" s="123">
        <v>21216.178956119627</v>
      </c>
      <c r="P216" s="121">
        <v>24863.471598269931</v>
      </c>
      <c r="Q216" s="120">
        <v>9394.7606208712132</v>
      </c>
      <c r="R216" s="314">
        <v>30610.939576990841</v>
      </c>
      <c r="S216" s="315">
        <v>34258.232219141144</v>
      </c>
      <c r="U216" s="7" t="s">
        <v>3119</v>
      </c>
    </row>
    <row r="217" spans="1:21" ht="16.5" thickBot="1">
      <c r="A217" s="50" t="s">
        <v>35</v>
      </c>
      <c r="B217" s="51">
        <f t="shared" si="12"/>
        <v>140</v>
      </c>
      <c r="C217" s="51" t="s">
        <v>3</v>
      </c>
      <c r="D217" s="51">
        <f t="shared" si="13"/>
        <v>300</v>
      </c>
      <c r="E217" s="51" t="s">
        <v>3</v>
      </c>
      <c r="F217" s="99">
        <f t="shared" si="14"/>
        <v>750</v>
      </c>
      <c r="G217" s="51" t="s">
        <v>3</v>
      </c>
      <c r="H217" s="48">
        <v>8</v>
      </c>
      <c r="I217" s="49" t="s">
        <v>47</v>
      </c>
      <c r="J217" s="184">
        <v>140</v>
      </c>
      <c r="K217" s="75">
        <v>300</v>
      </c>
      <c r="L217" s="75">
        <v>750</v>
      </c>
      <c r="M217" s="202">
        <v>10.602508383907439</v>
      </c>
      <c r="N217" s="87">
        <v>464.58960000000002</v>
      </c>
      <c r="O217" s="123">
        <v>22347.817548650444</v>
      </c>
      <c r="P217" s="121">
        <v>26199.511695131747</v>
      </c>
      <c r="Q217" s="120">
        <v>9875.165788735203</v>
      </c>
      <c r="R217" s="314">
        <v>32222.983337385645</v>
      </c>
      <c r="S217" s="315">
        <v>36074.677483866952</v>
      </c>
      <c r="U217" s="7" t="s">
        <v>3120</v>
      </c>
    </row>
    <row r="218" spans="1:21" ht="16.5" thickBot="1">
      <c r="A218" s="50" t="s">
        <v>35</v>
      </c>
      <c r="B218" s="51">
        <f t="shared" si="12"/>
        <v>140</v>
      </c>
      <c r="C218" s="51" t="s">
        <v>3</v>
      </c>
      <c r="D218" s="51">
        <f t="shared" si="13"/>
        <v>300</v>
      </c>
      <c r="E218" s="51" t="s">
        <v>3</v>
      </c>
      <c r="F218" s="99">
        <f t="shared" si="14"/>
        <v>800</v>
      </c>
      <c r="G218" s="51" t="s">
        <v>3</v>
      </c>
      <c r="H218" s="48">
        <v>8</v>
      </c>
      <c r="I218" s="49" t="s">
        <v>47</v>
      </c>
      <c r="J218" s="184">
        <v>140</v>
      </c>
      <c r="K218" s="75">
        <v>300</v>
      </c>
      <c r="L218" s="75">
        <v>800</v>
      </c>
      <c r="M218" s="202">
        <v>11.267826743633199</v>
      </c>
      <c r="N218" s="87">
        <v>522.66329999999994</v>
      </c>
      <c r="O218" s="123">
        <v>23479.456000787894</v>
      </c>
      <c r="P218" s="121">
        <v>27535.551791993556</v>
      </c>
      <c r="Q218" s="120">
        <v>10355.570956599189</v>
      </c>
      <c r="R218" s="314">
        <v>33835.026957387083</v>
      </c>
      <c r="S218" s="315">
        <v>37891.122748592745</v>
      </c>
      <c r="U218" s="7" t="s">
        <v>3121</v>
      </c>
    </row>
    <row r="219" spans="1:21" ht="16.5" thickBot="1">
      <c r="A219" s="50" t="s">
        <v>35</v>
      </c>
      <c r="B219" s="51">
        <f t="shared" si="12"/>
        <v>140</v>
      </c>
      <c r="C219" s="51" t="s">
        <v>3</v>
      </c>
      <c r="D219" s="51">
        <f t="shared" si="13"/>
        <v>300</v>
      </c>
      <c r="E219" s="51" t="s">
        <v>3</v>
      </c>
      <c r="F219" s="99">
        <f t="shared" si="14"/>
        <v>850</v>
      </c>
      <c r="G219" s="51" t="s">
        <v>3</v>
      </c>
      <c r="H219" s="48">
        <v>8</v>
      </c>
      <c r="I219" s="49" t="s">
        <v>47</v>
      </c>
      <c r="J219" s="184">
        <v>140</v>
      </c>
      <c r="K219" s="75">
        <v>300</v>
      </c>
      <c r="L219" s="75">
        <v>850</v>
      </c>
      <c r="M219" s="202">
        <v>11.949980623358957</v>
      </c>
      <c r="N219" s="87">
        <v>580.73699999999997</v>
      </c>
      <c r="O219" s="123">
        <v>24611.094452925347</v>
      </c>
      <c r="P219" s="121">
        <v>28871.592029248728</v>
      </c>
      <c r="Q219" s="120">
        <v>11066.558042639816</v>
      </c>
      <c r="R219" s="314">
        <v>35677.652495565162</v>
      </c>
      <c r="S219" s="315">
        <v>39938.150071888544</v>
      </c>
      <c r="U219" s="7" t="s">
        <v>3122</v>
      </c>
    </row>
    <row r="220" spans="1:21" ht="16.5" thickBot="1">
      <c r="A220" s="50" t="s">
        <v>35</v>
      </c>
      <c r="B220" s="51">
        <f t="shared" si="12"/>
        <v>140</v>
      </c>
      <c r="C220" s="51" t="s">
        <v>3</v>
      </c>
      <c r="D220" s="51">
        <f t="shared" si="13"/>
        <v>300</v>
      </c>
      <c r="E220" s="51" t="s">
        <v>3</v>
      </c>
      <c r="F220" s="99">
        <f t="shared" si="14"/>
        <v>900</v>
      </c>
      <c r="G220" s="51" t="s">
        <v>3</v>
      </c>
      <c r="H220" s="48">
        <v>8</v>
      </c>
      <c r="I220" s="49" t="s">
        <v>47</v>
      </c>
      <c r="J220" s="184">
        <v>140</v>
      </c>
      <c r="K220" s="75">
        <v>300</v>
      </c>
      <c r="L220" s="75">
        <v>900</v>
      </c>
      <c r="M220" s="202">
        <v>12.61529898308472</v>
      </c>
      <c r="N220" s="87">
        <v>638.8107</v>
      </c>
      <c r="O220" s="123">
        <v>25742.732905062796</v>
      </c>
      <c r="P220" s="121">
        <v>30207.632126110544</v>
      </c>
      <c r="Q220" s="120">
        <v>11546.963210503804</v>
      </c>
      <c r="R220" s="314">
        <v>37289.696115566599</v>
      </c>
      <c r="S220" s="315">
        <v>41754.595336614351</v>
      </c>
      <c r="U220" s="7" t="s">
        <v>3123</v>
      </c>
    </row>
    <row r="221" spans="1:21" ht="16.5" thickBot="1">
      <c r="A221" s="50" t="s">
        <v>35</v>
      </c>
      <c r="B221" s="51">
        <f t="shared" si="12"/>
        <v>140</v>
      </c>
      <c r="C221" s="51" t="s">
        <v>3</v>
      </c>
      <c r="D221" s="51">
        <f t="shared" si="13"/>
        <v>300</v>
      </c>
      <c r="E221" s="51" t="s">
        <v>3</v>
      </c>
      <c r="F221" s="99">
        <f t="shared" si="14"/>
        <v>950</v>
      </c>
      <c r="G221" s="51" t="s">
        <v>3</v>
      </c>
      <c r="H221" s="48">
        <v>8</v>
      </c>
      <c r="I221" s="49" t="s">
        <v>47</v>
      </c>
      <c r="J221" s="184">
        <v>140</v>
      </c>
      <c r="K221" s="75">
        <v>300</v>
      </c>
      <c r="L221" s="75">
        <v>950</v>
      </c>
      <c r="M221" s="202">
        <v>13.297452862810479</v>
      </c>
      <c r="N221" s="87">
        <v>696.88439999999991</v>
      </c>
      <c r="O221" s="123">
        <v>26874.371497593602</v>
      </c>
      <c r="P221" s="121">
        <v>31543.672222972356</v>
      </c>
      <c r="Q221" s="120">
        <v>12257.950156151066</v>
      </c>
      <c r="R221" s="314">
        <v>39132.321653744671</v>
      </c>
      <c r="S221" s="315">
        <v>43801.622379123422</v>
      </c>
      <c r="U221" s="7" t="s">
        <v>3124</v>
      </c>
    </row>
    <row r="222" spans="1:21" ht="16.5" thickBot="1">
      <c r="A222" s="50" t="s">
        <v>35</v>
      </c>
      <c r="B222" s="51">
        <f t="shared" si="12"/>
        <v>140</v>
      </c>
      <c r="C222" s="51" t="s">
        <v>3</v>
      </c>
      <c r="D222" s="51">
        <f t="shared" si="13"/>
        <v>300</v>
      </c>
      <c r="E222" s="51" t="s">
        <v>3</v>
      </c>
      <c r="F222" s="99">
        <f t="shared" si="14"/>
        <v>1000</v>
      </c>
      <c r="G222" s="51" t="s">
        <v>3</v>
      </c>
      <c r="H222" s="48">
        <v>8</v>
      </c>
      <c r="I222" s="49" t="s">
        <v>47</v>
      </c>
      <c r="J222" s="184">
        <v>140</v>
      </c>
      <c r="K222" s="75">
        <v>300</v>
      </c>
      <c r="L222" s="75">
        <v>1000</v>
      </c>
      <c r="M222" s="202">
        <v>13.96277122253624</v>
      </c>
      <c r="N222" s="87">
        <v>754.95809999999994</v>
      </c>
      <c r="O222" s="123">
        <v>28006.009949731058</v>
      </c>
      <c r="P222" s="121">
        <v>32879.712319834165</v>
      </c>
      <c r="Q222" s="120">
        <v>12738.355464408416</v>
      </c>
      <c r="R222" s="314">
        <v>40744.365414139473</v>
      </c>
      <c r="S222" s="315">
        <v>45618.067784242579</v>
      </c>
      <c r="U222" s="7" t="s">
        <v>3125</v>
      </c>
    </row>
    <row r="223" spans="1:21" ht="16.5" thickBot="1">
      <c r="A223" s="50" t="s">
        <v>35</v>
      </c>
      <c r="B223" s="51">
        <f t="shared" si="12"/>
        <v>140</v>
      </c>
      <c r="C223" s="51" t="s">
        <v>3</v>
      </c>
      <c r="D223" s="51">
        <f t="shared" si="13"/>
        <v>300</v>
      </c>
      <c r="E223" s="51" t="s">
        <v>3</v>
      </c>
      <c r="F223" s="99">
        <f t="shared" si="14"/>
        <v>1050</v>
      </c>
      <c r="G223" s="51" t="s">
        <v>3</v>
      </c>
      <c r="H223" s="48">
        <v>8</v>
      </c>
      <c r="I223" s="49" t="s">
        <v>47</v>
      </c>
      <c r="J223" s="184">
        <v>140</v>
      </c>
      <c r="K223" s="75">
        <v>300</v>
      </c>
      <c r="L223" s="75">
        <v>1050</v>
      </c>
      <c r="M223" s="202">
        <v>14.644925102261999</v>
      </c>
      <c r="N223" s="87">
        <v>813.03179999999986</v>
      </c>
      <c r="O223" s="123">
        <v>29137.648401868508</v>
      </c>
      <c r="P223" s="121">
        <v>34215.752557089349</v>
      </c>
      <c r="Q223" s="120">
        <v>13449.342410055679</v>
      </c>
      <c r="R223" s="314">
        <v>42586.990811924188</v>
      </c>
      <c r="S223" s="315">
        <v>47665.094967145029</v>
      </c>
      <c r="U223" s="7" t="s">
        <v>3126</v>
      </c>
    </row>
    <row r="224" spans="1:21" ht="16.5" thickBot="1">
      <c r="A224" s="47" t="s">
        <v>35</v>
      </c>
      <c r="B224" s="48">
        <f t="shared" si="12"/>
        <v>140</v>
      </c>
      <c r="C224" s="48" t="s">
        <v>3</v>
      </c>
      <c r="D224" s="48">
        <f t="shared" si="13"/>
        <v>300</v>
      </c>
      <c r="E224" s="48" t="s">
        <v>3</v>
      </c>
      <c r="F224" s="99">
        <f t="shared" si="14"/>
        <v>1100</v>
      </c>
      <c r="G224" s="48" t="s">
        <v>3</v>
      </c>
      <c r="H224" s="48">
        <v>8</v>
      </c>
      <c r="I224" s="49" t="s">
        <v>47</v>
      </c>
      <c r="J224" s="184">
        <v>140</v>
      </c>
      <c r="K224" s="75">
        <v>300</v>
      </c>
      <c r="L224" s="75">
        <v>1100</v>
      </c>
      <c r="M224" s="202">
        <v>15.310243461987758</v>
      </c>
      <c r="N224" s="87">
        <v>871.10549999999989</v>
      </c>
      <c r="O224" s="123">
        <v>30269.286854005957</v>
      </c>
      <c r="P224" s="121">
        <v>35551.792653951154</v>
      </c>
      <c r="Q224" s="120">
        <v>13929.747718313029</v>
      </c>
      <c r="R224" s="314">
        <v>44199.034572318982</v>
      </c>
      <c r="S224" s="315">
        <v>49481.540372264179</v>
      </c>
      <c r="U224" s="7" t="s">
        <v>3127</v>
      </c>
    </row>
    <row r="225" spans="1:21" ht="16.5" thickBot="1">
      <c r="A225" s="50" t="s">
        <v>35</v>
      </c>
      <c r="B225" s="51">
        <f t="shared" si="12"/>
        <v>140</v>
      </c>
      <c r="C225" s="51" t="s">
        <v>3</v>
      </c>
      <c r="D225" s="51">
        <f t="shared" si="13"/>
        <v>300</v>
      </c>
      <c r="E225" s="51" t="s">
        <v>3</v>
      </c>
      <c r="F225" s="99">
        <f t="shared" si="14"/>
        <v>1150</v>
      </c>
      <c r="G225" s="51" t="s">
        <v>3</v>
      </c>
      <c r="H225" s="48">
        <v>8</v>
      </c>
      <c r="I225" s="49" t="s">
        <v>47</v>
      </c>
      <c r="J225" s="184">
        <v>140</v>
      </c>
      <c r="K225" s="75">
        <v>300</v>
      </c>
      <c r="L225" s="75">
        <v>1150</v>
      </c>
      <c r="M225" s="202">
        <v>15.975561821713519</v>
      </c>
      <c r="N225" s="87">
        <v>929.17920000000004</v>
      </c>
      <c r="O225" s="123">
        <v>31400.92544653677</v>
      </c>
      <c r="P225" s="121">
        <v>36887.832750812973</v>
      </c>
      <c r="Q225" s="120">
        <v>14410.152886177015</v>
      </c>
      <c r="R225" s="314">
        <v>45811.078332713783</v>
      </c>
      <c r="S225" s="315">
        <v>51297.985636989986</v>
      </c>
      <c r="U225" s="7" t="s">
        <v>3128</v>
      </c>
    </row>
    <row r="226" spans="1:21" ht="16.5" thickBot="1">
      <c r="A226" s="50" t="s">
        <v>35</v>
      </c>
      <c r="B226" s="51">
        <f t="shared" si="12"/>
        <v>140</v>
      </c>
      <c r="C226" s="51" t="s">
        <v>3</v>
      </c>
      <c r="D226" s="51">
        <f t="shared" si="13"/>
        <v>300</v>
      </c>
      <c r="E226" s="51" t="s">
        <v>3</v>
      </c>
      <c r="F226" s="99">
        <f t="shared" si="14"/>
        <v>1200</v>
      </c>
      <c r="G226" s="51" t="s">
        <v>3</v>
      </c>
      <c r="H226" s="48">
        <v>8</v>
      </c>
      <c r="I226" s="49" t="s">
        <v>47</v>
      </c>
      <c r="J226" s="184">
        <v>140</v>
      </c>
      <c r="K226" s="75">
        <v>300</v>
      </c>
      <c r="L226" s="75">
        <v>1200</v>
      </c>
      <c r="M226" s="202">
        <v>16.812831701439276</v>
      </c>
      <c r="N226" s="87">
        <v>987.25289999999995</v>
      </c>
      <c r="O226" s="123">
        <v>32686.87263008513</v>
      </c>
      <c r="P226" s="121">
        <v>38379.123758941438</v>
      </c>
      <c r="Q226" s="120">
        <v>15121.139831824277</v>
      </c>
      <c r="R226" s="314">
        <v>47808.012461909406</v>
      </c>
      <c r="S226" s="315">
        <v>53500.263590765717</v>
      </c>
      <c r="U226" s="7" t="s">
        <v>3129</v>
      </c>
    </row>
    <row r="227" spans="1:21" ht="16.5" thickBot="1">
      <c r="A227" s="50" t="s">
        <v>35</v>
      </c>
      <c r="B227" s="51">
        <f t="shared" si="12"/>
        <v>140</v>
      </c>
      <c r="C227" s="51" t="s">
        <v>3</v>
      </c>
      <c r="D227" s="51">
        <f t="shared" si="13"/>
        <v>300</v>
      </c>
      <c r="E227" s="51" t="s">
        <v>3</v>
      </c>
      <c r="F227" s="99">
        <f t="shared" si="14"/>
        <v>1250</v>
      </c>
      <c r="G227" s="51" t="s">
        <v>3</v>
      </c>
      <c r="H227" s="48">
        <v>8</v>
      </c>
      <c r="I227" s="49" t="s">
        <v>47</v>
      </c>
      <c r="J227" s="184">
        <v>140</v>
      </c>
      <c r="K227" s="75">
        <v>300</v>
      </c>
      <c r="L227" s="75">
        <v>1250</v>
      </c>
      <c r="M227" s="202">
        <v>17.478150061165039</v>
      </c>
      <c r="N227" s="87">
        <v>1045.3265999999999</v>
      </c>
      <c r="O227" s="123">
        <v>33818.51122261594</v>
      </c>
      <c r="P227" s="121">
        <v>39715.163855803243</v>
      </c>
      <c r="Q227" s="120">
        <v>15601.545140081627</v>
      </c>
      <c r="R227" s="314">
        <v>49420.056362697564</v>
      </c>
      <c r="S227" s="315">
        <v>55316.708995884866</v>
      </c>
      <c r="U227" s="7" t="s">
        <v>3130</v>
      </c>
    </row>
    <row r="228" spans="1:21" ht="16.5" thickBot="1">
      <c r="A228" s="50" t="s">
        <v>35</v>
      </c>
      <c r="B228" s="51">
        <f t="shared" si="12"/>
        <v>140</v>
      </c>
      <c r="C228" s="51" t="s">
        <v>3</v>
      </c>
      <c r="D228" s="51">
        <f t="shared" si="13"/>
        <v>300</v>
      </c>
      <c r="E228" s="51" t="s">
        <v>3</v>
      </c>
      <c r="F228" s="99">
        <f t="shared" si="14"/>
        <v>1300</v>
      </c>
      <c r="G228" s="51" t="s">
        <v>3</v>
      </c>
      <c r="H228" s="48">
        <v>8</v>
      </c>
      <c r="I228" s="49" t="s">
        <v>47</v>
      </c>
      <c r="J228" s="184">
        <v>140</v>
      </c>
      <c r="K228" s="75">
        <v>300</v>
      </c>
      <c r="L228" s="75">
        <v>1300</v>
      </c>
      <c r="M228" s="202">
        <v>18.160303940890799</v>
      </c>
      <c r="N228" s="87">
        <v>1103.4002999999998</v>
      </c>
      <c r="O228" s="123">
        <v>34950.149674753397</v>
      </c>
      <c r="P228" s="121">
        <v>41051.203952665062</v>
      </c>
      <c r="Q228" s="120">
        <v>16312.53208572889</v>
      </c>
      <c r="R228" s="314">
        <v>51262.681760482286</v>
      </c>
      <c r="S228" s="315">
        <v>57363.736038393952</v>
      </c>
      <c r="U228" s="7" t="s">
        <v>3131</v>
      </c>
    </row>
    <row r="229" spans="1:21" ht="16.5" thickBot="1">
      <c r="A229" s="50" t="s">
        <v>35</v>
      </c>
      <c r="B229" s="51">
        <f t="shared" si="12"/>
        <v>140</v>
      </c>
      <c r="C229" s="51" t="s">
        <v>3</v>
      </c>
      <c r="D229" s="51">
        <f t="shared" si="13"/>
        <v>300</v>
      </c>
      <c r="E229" s="51" t="s">
        <v>3</v>
      </c>
      <c r="F229" s="99">
        <f t="shared" si="14"/>
        <v>1350</v>
      </c>
      <c r="G229" s="51" t="s">
        <v>3</v>
      </c>
      <c r="H229" s="48">
        <v>8</v>
      </c>
      <c r="I229" s="49" t="s">
        <v>47</v>
      </c>
      <c r="J229" s="184">
        <v>140</v>
      </c>
      <c r="K229" s="75">
        <v>300</v>
      </c>
      <c r="L229" s="75">
        <v>1350</v>
      </c>
      <c r="M229" s="202">
        <v>18.825622300616558</v>
      </c>
      <c r="N229" s="87">
        <v>1161.4739999999999</v>
      </c>
      <c r="O229" s="123">
        <v>36081.788126890846</v>
      </c>
      <c r="P229" s="121">
        <v>42387.244189920231</v>
      </c>
      <c r="Q229" s="120">
        <v>16792.937253592878</v>
      </c>
      <c r="R229" s="314">
        <v>52874.725380483724</v>
      </c>
      <c r="S229" s="315">
        <v>59180.181443513109</v>
      </c>
      <c r="U229" s="7" t="s">
        <v>3132</v>
      </c>
    </row>
    <row r="230" spans="1:21" ht="16.5" thickBot="1">
      <c r="A230" s="50" t="s">
        <v>35</v>
      </c>
      <c r="B230" s="51">
        <f t="shared" si="12"/>
        <v>140</v>
      </c>
      <c r="C230" s="51" t="s">
        <v>3</v>
      </c>
      <c r="D230" s="51">
        <f t="shared" si="13"/>
        <v>300</v>
      </c>
      <c r="E230" s="51" t="s">
        <v>3</v>
      </c>
      <c r="F230" s="99">
        <f t="shared" si="14"/>
        <v>1400</v>
      </c>
      <c r="G230" s="51" t="s">
        <v>3</v>
      </c>
      <c r="H230" s="48">
        <v>8</v>
      </c>
      <c r="I230" s="49" t="s">
        <v>47</v>
      </c>
      <c r="J230" s="184">
        <v>140</v>
      </c>
      <c r="K230" s="75">
        <v>300</v>
      </c>
      <c r="L230" s="75">
        <v>1400</v>
      </c>
      <c r="M230" s="202">
        <v>19.507776180342319</v>
      </c>
      <c r="N230" s="87">
        <v>1219.5477000000001</v>
      </c>
      <c r="O230" s="123">
        <v>37213.426579028295</v>
      </c>
      <c r="P230" s="121">
        <v>43723.284286782051</v>
      </c>
      <c r="Q230" s="120">
        <v>17503.924339633504</v>
      </c>
      <c r="R230" s="314">
        <v>54717.350918661803</v>
      </c>
      <c r="S230" s="315">
        <v>61227.208626415551</v>
      </c>
      <c r="U230" s="7" t="s">
        <v>3133</v>
      </c>
    </row>
    <row r="231" spans="1:21" ht="16.5" thickBot="1">
      <c r="A231" s="50" t="s">
        <v>35</v>
      </c>
      <c r="B231" s="51">
        <f t="shared" si="12"/>
        <v>140</v>
      </c>
      <c r="C231" s="51" t="s">
        <v>3</v>
      </c>
      <c r="D231" s="51">
        <f t="shared" si="13"/>
        <v>300</v>
      </c>
      <c r="E231" s="51" t="s">
        <v>3</v>
      </c>
      <c r="F231" s="99">
        <f t="shared" si="14"/>
        <v>1450</v>
      </c>
      <c r="G231" s="51" t="s">
        <v>3</v>
      </c>
      <c r="H231" s="48">
        <v>8</v>
      </c>
      <c r="I231" s="49" t="s">
        <v>47</v>
      </c>
      <c r="J231" s="184">
        <v>140</v>
      </c>
      <c r="K231" s="75">
        <v>300</v>
      </c>
      <c r="L231" s="75">
        <v>1450</v>
      </c>
      <c r="M231" s="202">
        <v>20.173094540068078</v>
      </c>
      <c r="N231" s="87">
        <v>1277.6214</v>
      </c>
      <c r="O231" s="123">
        <v>38345.065171559108</v>
      </c>
      <c r="P231" s="121">
        <v>45059.324383643856</v>
      </c>
      <c r="Q231" s="120">
        <v>17984.32950749735</v>
      </c>
      <c r="R231" s="314">
        <v>56329.394679056459</v>
      </c>
      <c r="S231" s="315">
        <v>63043.653891141206</v>
      </c>
      <c r="U231" s="7" t="s">
        <v>3134</v>
      </c>
    </row>
    <row r="232" spans="1:21" ht="16.5" thickBot="1">
      <c r="A232" s="50" t="s">
        <v>35</v>
      </c>
      <c r="B232" s="51">
        <f t="shared" si="12"/>
        <v>140</v>
      </c>
      <c r="C232" s="51" t="s">
        <v>3</v>
      </c>
      <c r="D232" s="51">
        <f t="shared" si="13"/>
        <v>300</v>
      </c>
      <c r="E232" s="51" t="s">
        <v>3</v>
      </c>
      <c r="F232" s="99">
        <f t="shared" si="14"/>
        <v>1500</v>
      </c>
      <c r="G232" s="51" t="s">
        <v>3</v>
      </c>
      <c r="H232" s="48">
        <v>8</v>
      </c>
      <c r="I232" s="49" t="s">
        <v>47</v>
      </c>
      <c r="J232" s="184">
        <v>140</v>
      </c>
      <c r="K232" s="75">
        <v>300</v>
      </c>
      <c r="L232" s="75">
        <v>1500</v>
      </c>
      <c r="M232" s="202">
        <v>21.02039573920624</v>
      </c>
      <c r="N232" s="87">
        <v>1335.6950999999999</v>
      </c>
      <c r="O232" s="123">
        <v>40180.966710033608</v>
      </c>
      <c r="P232" s="121">
        <v>47057.414932966392</v>
      </c>
      <c r="Q232" s="120">
        <v>18695.316593538118</v>
      </c>
      <c r="R232" s="314">
        <v>58876.283303571727</v>
      </c>
      <c r="S232" s="315">
        <v>65752.731526504504</v>
      </c>
      <c r="U232" s="7" t="s">
        <v>3135</v>
      </c>
    </row>
    <row r="233" spans="1:21" ht="16.5" thickBot="1">
      <c r="A233" s="50" t="s">
        <v>35</v>
      </c>
      <c r="B233" s="51">
        <f t="shared" si="12"/>
        <v>140</v>
      </c>
      <c r="C233" s="51" t="s">
        <v>3</v>
      </c>
      <c r="D233" s="51">
        <f t="shared" si="13"/>
        <v>300</v>
      </c>
      <c r="E233" s="51" t="s">
        <v>3</v>
      </c>
      <c r="F233" s="99">
        <f t="shared" si="14"/>
        <v>1550</v>
      </c>
      <c r="G233" s="51" t="s">
        <v>3</v>
      </c>
      <c r="H233" s="48">
        <v>8</v>
      </c>
      <c r="I233" s="49" t="s">
        <v>47</v>
      </c>
      <c r="J233" s="184">
        <v>140</v>
      </c>
      <c r="K233" s="75">
        <v>300</v>
      </c>
      <c r="L233" s="75">
        <v>1550</v>
      </c>
      <c r="M233" s="202">
        <v>21.685714098931999</v>
      </c>
      <c r="N233" s="87">
        <v>1393.7687999999998</v>
      </c>
      <c r="O233" s="123">
        <v>41312.605162171058</v>
      </c>
      <c r="P233" s="121">
        <v>48393.455029828212</v>
      </c>
      <c r="Q233" s="120">
        <v>19175.721761402103</v>
      </c>
      <c r="R233" s="314">
        <v>60488.326923573157</v>
      </c>
      <c r="S233" s="315">
        <v>67569.176791230318</v>
      </c>
      <c r="U233" s="7" t="s">
        <v>3136</v>
      </c>
    </row>
    <row r="234" spans="1:21" ht="16.5" thickBot="1">
      <c r="A234" s="47" t="s">
        <v>35</v>
      </c>
      <c r="B234" s="48">
        <f t="shared" si="12"/>
        <v>140</v>
      </c>
      <c r="C234" s="48" t="s">
        <v>3</v>
      </c>
      <c r="D234" s="48">
        <f t="shared" si="13"/>
        <v>300</v>
      </c>
      <c r="E234" s="48" t="s">
        <v>3</v>
      </c>
      <c r="F234" s="99">
        <f t="shared" si="14"/>
        <v>1600</v>
      </c>
      <c r="G234" s="48" t="s">
        <v>3</v>
      </c>
      <c r="H234" s="48">
        <v>8</v>
      </c>
      <c r="I234" s="49" t="s">
        <v>47</v>
      </c>
      <c r="J234" s="184">
        <v>140</v>
      </c>
      <c r="K234" s="75">
        <v>300</v>
      </c>
      <c r="L234" s="75">
        <v>1600</v>
      </c>
      <c r="M234" s="202">
        <v>22.351032458657759</v>
      </c>
      <c r="N234" s="87">
        <v>1451.8425</v>
      </c>
      <c r="O234" s="123">
        <v>42444.243754701871</v>
      </c>
      <c r="P234" s="121">
        <v>49729.495267083381</v>
      </c>
      <c r="Q234" s="120">
        <v>19656.126929266091</v>
      </c>
      <c r="R234" s="314">
        <v>62100.370683967965</v>
      </c>
      <c r="S234" s="315">
        <v>69385.622196349475</v>
      </c>
      <c r="U234" s="7" t="s">
        <v>3137</v>
      </c>
    </row>
    <row r="235" spans="1:21" ht="16.5" thickBot="1">
      <c r="A235" s="50" t="s">
        <v>35</v>
      </c>
      <c r="B235" s="51">
        <f t="shared" si="12"/>
        <v>140</v>
      </c>
      <c r="C235" s="51" t="s">
        <v>3</v>
      </c>
      <c r="D235" s="51">
        <f t="shared" si="13"/>
        <v>300</v>
      </c>
      <c r="E235" s="51" t="s">
        <v>3</v>
      </c>
      <c r="F235" s="99">
        <f t="shared" si="14"/>
        <v>1650</v>
      </c>
      <c r="G235" s="51" t="s">
        <v>3</v>
      </c>
      <c r="H235" s="48">
        <v>8</v>
      </c>
      <c r="I235" s="49" t="s">
        <v>47</v>
      </c>
      <c r="J235" s="184">
        <v>140</v>
      </c>
      <c r="K235" s="75">
        <v>300</v>
      </c>
      <c r="L235" s="75">
        <v>1650</v>
      </c>
      <c r="M235" s="202">
        <v>23.033186338383523</v>
      </c>
      <c r="N235" s="87">
        <v>1509.9161999999999</v>
      </c>
      <c r="O235" s="123">
        <v>43575.88220683932</v>
      </c>
      <c r="P235" s="121">
        <v>51065.535363945201</v>
      </c>
      <c r="Q235" s="120">
        <v>20367.114015306717</v>
      </c>
      <c r="R235" s="314">
        <v>63942.996222146037</v>
      </c>
      <c r="S235" s="315">
        <v>71432.649379251918</v>
      </c>
      <c r="U235" s="7" t="s">
        <v>3138</v>
      </c>
    </row>
    <row r="236" spans="1:21" ht="16.5" thickBot="1">
      <c r="A236" s="50" t="s">
        <v>35</v>
      </c>
      <c r="B236" s="51">
        <f t="shared" si="12"/>
        <v>140</v>
      </c>
      <c r="C236" s="51" t="s">
        <v>3</v>
      </c>
      <c r="D236" s="51">
        <f t="shared" si="13"/>
        <v>300</v>
      </c>
      <c r="E236" s="51" t="s">
        <v>3</v>
      </c>
      <c r="F236" s="99">
        <f t="shared" si="14"/>
        <v>1700</v>
      </c>
      <c r="G236" s="51" t="s">
        <v>3</v>
      </c>
      <c r="H236" s="48">
        <v>8</v>
      </c>
      <c r="I236" s="49" t="s">
        <v>47</v>
      </c>
      <c r="J236" s="184">
        <v>140</v>
      </c>
      <c r="K236" s="75">
        <v>300</v>
      </c>
      <c r="L236" s="75">
        <v>1700</v>
      </c>
      <c r="M236" s="202">
        <v>23.698504698109282</v>
      </c>
      <c r="N236" s="87">
        <v>1567.9899</v>
      </c>
      <c r="O236" s="123">
        <v>44707.520658976769</v>
      </c>
      <c r="P236" s="121">
        <v>52401.575460807013</v>
      </c>
      <c r="Q236" s="120">
        <v>20847.519183170705</v>
      </c>
      <c r="R236" s="314">
        <v>65555.039842147467</v>
      </c>
      <c r="S236" s="315">
        <v>73249.094643977718</v>
      </c>
      <c r="U236" s="7" t="s">
        <v>3139</v>
      </c>
    </row>
    <row r="237" spans="1:21" ht="16.5" thickBot="1">
      <c r="A237" s="50" t="s">
        <v>35</v>
      </c>
      <c r="B237" s="51">
        <f t="shared" si="12"/>
        <v>140</v>
      </c>
      <c r="C237" s="51" t="s">
        <v>3</v>
      </c>
      <c r="D237" s="51">
        <f t="shared" si="13"/>
        <v>300</v>
      </c>
      <c r="E237" s="51" t="s">
        <v>3</v>
      </c>
      <c r="F237" s="99">
        <f t="shared" si="14"/>
        <v>1750</v>
      </c>
      <c r="G237" s="51" t="s">
        <v>3</v>
      </c>
      <c r="H237" s="48">
        <v>8</v>
      </c>
      <c r="I237" s="49" t="s">
        <v>47</v>
      </c>
      <c r="J237" s="184">
        <v>140</v>
      </c>
      <c r="K237" s="75">
        <v>300</v>
      </c>
      <c r="L237" s="75">
        <v>1750</v>
      </c>
      <c r="M237" s="202">
        <v>24.380658577835039</v>
      </c>
      <c r="N237" s="87">
        <v>1626.0635999999997</v>
      </c>
      <c r="O237" s="123">
        <v>45839.159111114219</v>
      </c>
      <c r="P237" s="121">
        <v>53737.615557668825</v>
      </c>
      <c r="Q237" s="120">
        <v>21558.506269211328</v>
      </c>
      <c r="R237" s="314">
        <v>67397.665380325547</v>
      </c>
      <c r="S237" s="315">
        <v>75296.121826880146</v>
      </c>
      <c r="U237" s="7" t="s">
        <v>3140</v>
      </c>
    </row>
    <row r="238" spans="1:21" ht="16.5" thickBot="1">
      <c r="A238" s="50" t="s">
        <v>35</v>
      </c>
      <c r="B238" s="51">
        <f t="shared" si="12"/>
        <v>140</v>
      </c>
      <c r="C238" s="51" t="s">
        <v>3</v>
      </c>
      <c r="D238" s="51">
        <f t="shared" si="13"/>
        <v>300</v>
      </c>
      <c r="E238" s="51" t="s">
        <v>3</v>
      </c>
      <c r="F238" s="99">
        <f t="shared" si="14"/>
        <v>1800</v>
      </c>
      <c r="G238" s="51" t="s">
        <v>3</v>
      </c>
      <c r="H238" s="48">
        <v>8</v>
      </c>
      <c r="I238" s="49" t="s">
        <v>47</v>
      </c>
      <c r="J238" s="184">
        <v>140</v>
      </c>
      <c r="K238" s="75">
        <v>300</v>
      </c>
      <c r="L238" s="75">
        <v>1800</v>
      </c>
      <c r="M238" s="202">
        <v>25.045976937560802</v>
      </c>
      <c r="N238" s="87">
        <v>1684.1372999999999</v>
      </c>
      <c r="O238" s="123">
        <v>46970.797703645032</v>
      </c>
      <c r="P238" s="121">
        <v>55073.655794924001</v>
      </c>
      <c r="Q238" s="120">
        <v>22038.911437075316</v>
      </c>
      <c r="R238" s="314">
        <v>69009.709140720341</v>
      </c>
      <c r="S238" s="315">
        <v>77112.567231999317</v>
      </c>
      <c r="U238" s="7" t="s">
        <v>3141</v>
      </c>
    </row>
    <row r="239" spans="1:21" ht="16.5" thickBot="1">
      <c r="A239" s="50" t="s">
        <v>35</v>
      </c>
      <c r="B239" s="51">
        <f t="shared" si="12"/>
        <v>140</v>
      </c>
      <c r="C239" s="51" t="s">
        <v>3</v>
      </c>
      <c r="D239" s="51">
        <f t="shared" si="13"/>
        <v>300</v>
      </c>
      <c r="E239" s="51" t="s">
        <v>3</v>
      </c>
      <c r="F239" s="99">
        <f t="shared" si="14"/>
        <v>1850</v>
      </c>
      <c r="G239" s="51" t="s">
        <v>3</v>
      </c>
      <c r="H239" s="48">
        <v>8</v>
      </c>
      <c r="I239" s="49" t="s">
        <v>47</v>
      </c>
      <c r="J239" s="184">
        <v>140</v>
      </c>
      <c r="K239" s="75">
        <v>300</v>
      </c>
      <c r="L239" s="75">
        <v>1850</v>
      </c>
      <c r="M239" s="202">
        <v>25.728130817286562</v>
      </c>
      <c r="N239" s="87">
        <v>1742.2109999999998</v>
      </c>
      <c r="O239" s="123">
        <v>48102.436155782489</v>
      </c>
      <c r="P239" s="121">
        <v>56409.695891785814</v>
      </c>
      <c r="Q239" s="120">
        <v>22749.898382722578</v>
      </c>
      <c r="R239" s="314">
        <v>70852.334538505063</v>
      </c>
      <c r="S239" s="315">
        <v>79159.594274508388</v>
      </c>
      <c r="U239" s="7" t="s">
        <v>3142</v>
      </c>
    </row>
    <row r="240" spans="1:21" ht="16.5" thickBot="1">
      <c r="A240" s="50" t="s">
        <v>35</v>
      </c>
      <c r="B240" s="51">
        <f t="shared" si="12"/>
        <v>140</v>
      </c>
      <c r="C240" s="51" t="s">
        <v>3</v>
      </c>
      <c r="D240" s="51">
        <f t="shared" si="13"/>
        <v>300</v>
      </c>
      <c r="E240" s="51" t="s">
        <v>3</v>
      </c>
      <c r="F240" s="99">
        <f t="shared" si="14"/>
        <v>1900</v>
      </c>
      <c r="G240" s="51" t="s">
        <v>3</v>
      </c>
      <c r="H240" s="48">
        <v>8</v>
      </c>
      <c r="I240" s="49" t="s">
        <v>47</v>
      </c>
      <c r="J240" s="184">
        <v>140</v>
      </c>
      <c r="K240" s="75">
        <v>300</v>
      </c>
      <c r="L240" s="75">
        <v>1900</v>
      </c>
      <c r="M240" s="202">
        <v>26.393449177012318</v>
      </c>
      <c r="N240" s="87">
        <v>1800.2846999999999</v>
      </c>
      <c r="O240" s="123">
        <v>49234.074607919938</v>
      </c>
      <c r="P240" s="121">
        <v>57745.735988647626</v>
      </c>
      <c r="Q240" s="120">
        <v>23230.30369097993</v>
      </c>
      <c r="R240" s="314">
        <v>72464.378298899872</v>
      </c>
      <c r="S240" s="315">
        <v>80976.03967962756</v>
      </c>
      <c r="U240" s="7" t="s">
        <v>3143</v>
      </c>
    </row>
    <row r="241" spans="1:21" ht="16.5" thickBot="1">
      <c r="A241" s="50" t="s">
        <v>35</v>
      </c>
      <c r="B241" s="51">
        <f t="shared" si="12"/>
        <v>140</v>
      </c>
      <c r="C241" s="51" t="s">
        <v>3</v>
      </c>
      <c r="D241" s="51">
        <f t="shared" si="13"/>
        <v>300</v>
      </c>
      <c r="E241" s="51" t="s">
        <v>3</v>
      </c>
      <c r="F241" s="99">
        <f t="shared" si="14"/>
        <v>1950</v>
      </c>
      <c r="G241" s="51" t="s">
        <v>3</v>
      </c>
      <c r="H241" s="48">
        <v>8</v>
      </c>
      <c r="I241" s="49" t="s">
        <v>47</v>
      </c>
      <c r="J241" s="184">
        <v>140</v>
      </c>
      <c r="K241" s="75">
        <v>300</v>
      </c>
      <c r="L241" s="75">
        <v>1950</v>
      </c>
      <c r="M241" s="202">
        <v>27.213883536738084</v>
      </c>
      <c r="N241" s="87">
        <v>1858.3584000000001</v>
      </c>
      <c r="O241" s="123">
        <v>50520.021931861658</v>
      </c>
      <c r="P241" s="121">
        <v>59237.026996776091</v>
      </c>
      <c r="Q241" s="120">
        <v>23710.708858843918</v>
      </c>
      <c r="R241" s="314">
        <v>74230.73079070558</v>
      </c>
      <c r="S241" s="315">
        <v>82947.735855620005</v>
      </c>
      <c r="U241" s="7" t="s">
        <v>3144</v>
      </c>
    </row>
    <row r="242" spans="1:21" ht="16.5" thickBot="1">
      <c r="A242" s="50" t="s">
        <v>35</v>
      </c>
      <c r="B242" s="51">
        <f t="shared" si="12"/>
        <v>140</v>
      </c>
      <c r="C242" s="51" t="s">
        <v>3</v>
      </c>
      <c r="D242" s="51">
        <f t="shared" si="13"/>
        <v>300</v>
      </c>
      <c r="E242" s="51" t="s">
        <v>3</v>
      </c>
      <c r="F242" s="99">
        <f t="shared" si="14"/>
        <v>2000</v>
      </c>
      <c r="G242" s="51" t="s">
        <v>3</v>
      </c>
      <c r="H242" s="48">
        <v>8</v>
      </c>
      <c r="I242" s="49" t="s">
        <v>47</v>
      </c>
      <c r="J242" s="184">
        <v>140</v>
      </c>
      <c r="K242" s="75">
        <v>300</v>
      </c>
      <c r="L242" s="75">
        <v>2000</v>
      </c>
      <c r="M242" s="202">
        <v>27.986501067663841</v>
      </c>
      <c r="N242" s="87">
        <v>1916.4320999999998</v>
      </c>
      <c r="O242" s="123">
        <v>51882.203413214331</v>
      </c>
      <c r="P242" s="121">
        <v>60885.747821157202</v>
      </c>
      <c r="Q242" s="120">
        <v>24421.695804491177</v>
      </c>
      <c r="R242" s="314">
        <v>76303.899217705504</v>
      </c>
      <c r="S242" s="315">
        <v>85307.443625648375</v>
      </c>
      <c r="U242" s="7" t="s">
        <v>3145</v>
      </c>
    </row>
    <row r="243" spans="1:21" ht="16.5" thickBot="1">
      <c r="A243" s="50" t="s">
        <v>35</v>
      </c>
      <c r="B243" s="51">
        <f t="shared" si="12"/>
        <v>140</v>
      </c>
      <c r="C243" s="51" t="s">
        <v>3</v>
      </c>
      <c r="D243" s="51">
        <f t="shared" si="13"/>
        <v>300</v>
      </c>
      <c r="E243" s="51" t="s">
        <v>3</v>
      </c>
      <c r="F243" s="99">
        <f t="shared" si="14"/>
        <v>2050</v>
      </c>
      <c r="G243" s="51" t="s">
        <v>3</v>
      </c>
      <c r="H243" s="48">
        <v>8</v>
      </c>
      <c r="I243" s="49" t="s">
        <v>47</v>
      </c>
      <c r="J243" s="184">
        <v>140</v>
      </c>
      <c r="K243" s="75">
        <v>300</v>
      </c>
      <c r="L243" s="75">
        <v>2050</v>
      </c>
      <c r="M243" s="202">
        <v>28.651819427389601</v>
      </c>
      <c r="N243" s="87">
        <v>1974.5057999999999</v>
      </c>
      <c r="O243" s="123">
        <v>53013.841865351787</v>
      </c>
      <c r="P243" s="121">
        <v>62221.78805841237</v>
      </c>
      <c r="Q243" s="120">
        <v>24902.101112748529</v>
      </c>
      <c r="R243" s="314">
        <v>77915.942978100313</v>
      </c>
      <c r="S243" s="315">
        <v>87123.889171160903</v>
      </c>
      <c r="U243" s="7" t="s">
        <v>3146</v>
      </c>
    </row>
    <row r="244" spans="1:21" ht="16.5" thickBot="1">
      <c r="A244" s="47" t="s">
        <v>35</v>
      </c>
      <c r="B244" s="48">
        <f t="shared" si="12"/>
        <v>140</v>
      </c>
      <c r="C244" s="48" t="s">
        <v>3</v>
      </c>
      <c r="D244" s="48">
        <f t="shared" si="13"/>
        <v>300</v>
      </c>
      <c r="E244" s="48" t="s">
        <v>3</v>
      </c>
      <c r="F244" s="99">
        <f t="shared" si="14"/>
        <v>2100</v>
      </c>
      <c r="G244" s="48" t="s">
        <v>3</v>
      </c>
      <c r="H244" s="48">
        <v>8</v>
      </c>
      <c r="I244" s="49" t="s">
        <v>47</v>
      </c>
      <c r="J244" s="184">
        <v>140</v>
      </c>
      <c r="K244" s="75">
        <v>300</v>
      </c>
      <c r="L244" s="75">
        <v>2100</v>
      </c>
      <c r="M244" s="202">
        <v>29.333973307115361</v>
      </c>
      <c r="N244" s="87">
        <v>2032.5794999999998</v>
      </c>
      <c r="O244" s="123">
        <v>54145.480317489237</v>
      </c>
      <c r="P244" s="121">
        <v>63557.82815527419</v>
      </c>
      <c r="Q244" s="120">
        <v>25613.088058395791</v>
      </c>
      <c r="R244" s="314">
        <v>79758.568375885021</v>
      </c>
      <c r="S244" s="315">
        <v>89170.916213669989</v>
      </c>
      <c r="U244" s="7" t="s">
        <v>3147</v>
      </c>
    </row>
    <row r="245" spans="1:21" ht="16.5" thickBot="1">
      <c r="A245" s="50" t="s">
        <v>35</v>
      </c>
      <c r="B245" s="51">
        <f t="shared" si="12"/>
        <v>140</v>
      </c>
      <c r="C245" s="51" t="s">
        <v>3</v>
      </c>
      <c r="D245" s="51">
        <f t="shared" si="13"/>
        <v>300</v>
      </c>
      <c r="E245" s="51" t="s">
        <v>3</v>
      </c>
      <c r="F245" s="99">
        <f t="shared" si="14"/>
        <v>2150</v>
      </c>
      <c r="G245" s="51" t="s">
        <v>3</v>
      </c>
      <c r="H245" s="48">
        <v>8</v>
      </c>
      <c r="I245" s="49" t="s">
        <v>47</v>
      </c>
      <c r="J245" s="184">
        <v>140</v>
      </c>
      <c r="K245" s="75">
        <v>300</v>
      </c>
      <c r="L245" s="75">
        <v>2150</v>
      </c>
      <c r="M245" s="202">
        <v>29.999291666841128</v>
      </c>
      <c r="N245" s="87">
        <v>2090.6531999999997</v>
      </c>
      <c r="O245" s="123">
        <v>55277.11891002005</v>
      </c>
      <c r="P245" s="121">
        <v>64893.868252136002</v>
      </c>
      <c r="Q245" s="120">
        <v>26093.493366653143</v>
      </c>
      <c r="R245" s="314">
        <v>81370.612276673201</v>
      </c>
      <c r="S245" s="315">
        <v>90987.361618789146</v>
      </c>
      <c r="U245" s="7" t="s">
        <v>3148</v>
      </c>
    </row>
    <row r="246" spans="1:21" ht="16.5" thickBot="1">
      <c r="A246" s="50" t="s">
        <v>35</v>
      </c>
      <c r="B246" s="51">
        <f t="shared" si="12"/>
        <v>140</v>
      </c>
      <c r="C246" s="51" t="s">
        <v>3</v>
      </c>
      <c r="D246" s="51">
        <f t="shared" si="13"/>
        <v>300</v>
      </c>
      <c r="E246" s="51" t="s">
        <v>3</v>
      </c>
      <c r="F246" s="99">
        <f t="shared" si="14"/>
        <v>2200</v>
      </c>
      <c r="G246" s="51" t="s">
        <v>3</v>
      </c>
      <c r="H246" s="48">
        <v>8</v>
      </c>
      <c r="I246" s="49" t="s">
        <v>47</v>
      </c>
      <c r="J246" s="184">
        <v>140</v>
      </c>
      <c r="K246" s="75">
        <v>300</v>
      </c>
      <c r="L246" s="75">
        <v>2200</v>
      </c>
      <c r="M246" s="202">
        <v>30.681445546566881</v>
      </c>
      <c r="N246" s="87">
        <v>2148.7269000000001</v>
      </c>
      <c r="O246" s="123">
        <v>56408.757362157499</v>
      </c>
      <c r="P246" s="121">
        <v>66229.908348997822</v>
      </c>
      <c r="Q246" s="120">
        <v>26804.480312300402</v>
      </c>
      <c r="R246" s="314">
        <v>83213.237674457894</v>
      </c>
      <c r="S246" s="315">
        <v>93034.388661298231</v>
      </c>
      <c r="U246" s="7" t="s">
        <v>3149</v>
      </c>
    </row>
    <row r="247" spans="1:21" ht="16.5" thickBot="1">
      <c r="A247" s="50" t="s">
        <v>35</v>
      </c>
      <c r="B247" s="51">
        <f t="shared" si="12"/>
        <v>140</v>
      </c>
      <c r="C247" s="51" t="s">
        <v>3</v>
      </c>
      <c r="D247" s="51">
        <f t="shared" si="13"/>
        <v>300</v>
      </c>
      <c r="E247" s="51" t="s">
        <v>3</v>
      </c>
      <c r="F247" s="99">
        <f t="shared" si="14"/>
        <v>2250</v>
      </c>
      <c r="G247" s="51" t="s">
        <v>3</v>
      </c>
      <c r="H247" s="48">
        <v>8</v>
      </c>
      <c r="I247" s="49" t="s">
        <v>47</v>
      </c>
      <c r="J247" s="184">
        <v>140</v>
      </c>
      <c r="K247" s="75">
        <v>300</v>
      </c>
      <c r="L247" s="75">
        <v>2250</v>
      </c>
      <c r="M247" s="202">
        <v>31.34676390629264</v>
      </c>
      <c r="N247" s="87">
        <v>2206.8005999999996</v>
      </c>
      <c r="O247" s="123">
        <v>57540.395814294956</v>
      </c>
      <c r="P247" s="121">
        <v>67565.948586252984</v>
      </c>
      <c r="Q247" s="120">
        <v>27284.885480164394</v>
      </c>
      <c r="R247" s="314">
        <v>84825.281294459346</v>
      </c>
      <c r="S247" s="315">
        <v>94850.834066417374</v>
      </c>
      <c r="U247" s="7" t="s">
        <v>3150</v>
      </c>
    </row>
    <row r="248" spans="1:21" ht="16.5" thickBot="1">
      <c r="A248" s="50" t="s">
        <v>35</v>
      </c>
      <c r="B248" s="51">
        <f t="shared" si="12"/>
        <v>140</v>
      </c>
      <c r="C248" s="51" t="s">
        <v>3</v>
      </c>
      <c r="D248" s="51">
        <f t="shared" si="13"/>
        <v>300</v>
      </c>
      <c r="E248" s="51" t="s">
        <v>3</v>
      </c>
      <c r="F248" s="99">
        <f t="shared" si="14"/>
        <v>2300</v>
      </c>
      <c r="G248" s="51" t="s">
        <v>3</v>
      </c>
      <c r="H248" s="48">
        <v>8</v>
      </c>
      <c r="I248" s="49" t="s">
        <v>47</v>
      </c>
      <c r="J248" s="184">
        <v>140</v>
      </c>
      <c r="K248" s="75">
        <v>300</v>
      </c>
      <c r="L248" s="75">
        <v>2300</v>
      </c>
      <c r="M248" s="202">
        <v>32.012082266018396</v>
      </c>
      <c r="N248" s="87">
        <v>2264.8742999999999</v>
      </c>
      <c r="O248" s="123">
        <v>58672.034266432405</v>
      </c>
      <c r="P248" s="121">
        <v>68901.988683114803</v>
      </c>
      <c r="Q248" s="120">
        <v>27765.290788421746</v>
      </c>
      <c r="R248" s="314">
        <v>86437.325054854155</v>
      </c>
      <c r="S248" s="315">
        <v>96667.279471536545</v>
      </c>
      <c r="U248" s="7" t="s">
        <v>3151</v>
      </c>
    </row>
    <row r="249" spans="1:21" ht="16.5" thickBot="1">
      <c r="A249" s="50" t="s">
        <v>35</v>
      </c>
      <c r="B249" s="51">
        <f t="shared" si="12"/>
        <v>140</v>
      </c>
      <c r="C249" s="51" t="s">
        <v>3</v>
      </c>
      <c r="D249" s="51">
        <f t="shared" si="13"/>
        <v>300</v>
      </c>
      <c r="E249" s="51" t="s">
        <v>3</v>
      </c>
      <c r="F249" s="99">
        <f t="shared" si="14"/>
        <v>2350</v>
      </c>
      <c r="G249" s="51" t="s">
        <v>3</v>
      </c>
      <c r="H249" s="48">
        <v>8</v>
      </c>
      <c r="I249" s="49" t="s">
        <v>47</v>
      </c>
      <c r="J249" s="184">
        <v>140</v>
      </c>
      <c r="K249" s="75">
        <v>300</v>
      </c>
      <c r="L249" s="75">
        <v>2350</v>
      </c>
      <c r="M249" s="202">
        <v>32.694236145744163</v>
      </c>
      <c r="N249" s="87">
        <v>2322.9479999999999</v>
      </c>
      <c r="O249" s="123">
        <v>59803.672858963211</v>
      </c>
      <c r="P249" s="121">
        <v>70238.028779976623</v>
      </c>
      <c r="Q249" s="120">
        <v>28476.277734069005</v>
      </c>
      <c r="R249" s="314">
        <v>88279.950593032219</v>
      </c>
      <c r="S249" s="315">
        <v>98714.306514045631</v>
      </c>
      <c r="U249" s="7" t="s">
        <v>3152</v>
      </c>
    </row>
    <row r="250" spans="1:21" ht="16.5" thickBot="1">
      <c r="A250" s="50" t="s">
        <v>35</v>
      </c>
      <c r="B250" s="51">
        <f t="shared" si="12"/>
        <v>140</v>
      </c>
      <c r="C250" s="51" t="s">
        <v>3</v>
      </c>
      <c r="D250" s="51">
        <f t="shared" si="13"/>
        <v>300</v>
      </c>
      <c r="E250" s="51" t="s">
        <v>3</v>
      </c>
      <c r="F250" s="99">
        <f t="shared" si="14"/>
        <v>2400</v>
      </c>
      <c r="G250" s="51" t="s">
        <v>3</v>
      </c>
      <c r="H250" s="48">
        <v>8</v>
      </c>
      <c r="I250" s="49" t="s">
        <v>47</v>
      </c>
      <c r="J250" s="184">
        <v>140</v>
      </c>
      <c r="K250" s="75">
        <v>300</v>
      </c>
      <c r="L250" s="75">
        <v>2400</v>
      </c>
      <c r="M250" s="202">
        <v>33.359554505469916</v>
      </c>
      <c r="N250" s="87">
        <v>2381.0216999999998</v>
      </c>
      <c r="O250" s="123">
        <v>60935.311311100661</v>
      </c>
      <c r="P250" s="121">
        <v>71574.068876838428</v>
      </c>
      <c r="Q250" s="120">
        <v>28956.682901932996</v>
      </c>
      <c r="R250" s="314">
        <v>89891.994213033657</v>
      </c>
      <c r="S250" s="315">
        <v>100530.75177877143</v>
      </c>
      <c r="U250" s="7" t="s">
        <v>3153</v>
      </c>
    </row>
    <row r="251" spans="1:21" ht="16.5" thickBot="1">
      <c r="A251" s="50" t="s">
        <v>35</v>
      </c>
      <c r="B251" s="51">
        <f t="shared" si="12"/>
        <v>140</v>
      </c>
      <c r="C251" s="51" t="s">
        <v>3</v>
      </c>
      <c r="D251" s="51">
        <f t="shared" si="13"/>
        <v>300</v>
      </c>
      <c r="E251" s="51" t="s">
        <v>3</v>
      </c>
      <c r="F251" s="99">
        <f t="shared" si="14"/>
        <v>2450</v>
      </c>
      <c r="G251" s="51" t="s">
        <v>3</v>
      </c>
      <c r="H251" s="48">
        <v>8</v>
      </c>
      <c r="I251" s="49" t="s">
        <v>47</v>
      </c>
      <c r="J251" s="184">
        <v>140</v>
      </c>
      <c r="K251" s="75">
        <v>300</v>
      </c>
      <c r="L251" s="75">
        <v>2450</v>
      </c>
      <c r="M251" s="202">
        <v>34.206855704608088</v>
      </c>
      <c r="N251" s="87">
        <v>2439.0954000000002</v>
      </c>
      <c r="O251" s="123">
        <v>62771.21284957516</v>
      </c>
      <c r="P251" s="121">
        <v>73572.159566554328</v>
      </c>
      <c r="Q251" s="120">
        <v>29667.669987973619</v>
      </c>
      <c r="R251" s="314">
        <v>92438.882837548779</v>
      </c>
      <c r="S251" s="315">
        <v>103239.82955452794</v>
      </c>
      <c r="U251" s="7" t="s">
        <v>3154</v>
      </c>
    </row>
    <row r="252" spans="1:21" ht="16.5" thickBot="1">
      <c r="A252" s="50" t="s">
        <v>35</v>
      </c>
      <c r="B252" s="51">
        <f t="shared" si="12"/>
        <v>140</v>
      </c>
      <c r="C252" s="51" t="s">
        <v>3</v>
      </c>
      <c r="D252" s="51">
        <f t="shared" si="13"/>
        <v>300</v>
      </c>
      <c r="E252" s="51" t="s">
        <v>3</v>
      </c>
      <c r="F252" s="99">
        <f t="shared" si="14"/>
        <v>2500</v>
      </c>
      <c r="G252" s="51" t="s">
        <v>3</v>
      </c>
      <c r="H252" s="48">
        <v>8</v>
      </c>
      <c r="I252" s="49" t="s">
        <v>47</v>
      </c>
      <c r="J252" s="184">
        <v>140</v>
      </c>
      <c r="K252" s="75">
        <v>300</v>
      </c>
      <c r="L252" s="75">
        <v>2500</v>
      </c>
      <c r="M252" s="202">
        <v>34.872174064333841</v>
      </c>
      <c r="N252" s="87">
        <v>2497.1690999999996</v>
      </c>
      <c r="O252" s="123">
        <v>63902.851442105974</v>
      </c>
      <c r="P252" s="121">
        <v>74908.199663416133</v>
      </c>
      <c r="Q252" s="120">
        <v>30148.075155837607</v>
      </c>
      <c r="R252" s="314">
        <v>94050.926597943588</v>
      </c>
      <c r="S252" s="315">
        <v>105056.27481925374</v>
      </c>
      <c r="U252" s="7" t="s">
        <v>3155</v>
      </c>
    </row>
    <row r="253" spans="1:21" ht="16.5" thickBot="1">
      <c r="A253" s="50" t="s">
        <v>35</v>
      </c>
      <c r="B253" s="51">
        <f t="shared" si="12"/>
        <v>140</v>
      </c>
      <c r="C253" s="51" t="s">
        <v>3</v>
      </c>
      <c r="D253" s="51">
        <f t="shared" si="13"/>
        <v>300</v>
      </c>
      <c r="E253" s="51" t="s">
        <v>3</v>
      </c>
      <c r="F253" s="99">
        <f t="shared" si="14"/>
        <v>2550</v>
      </c>
      <c r="G253" s="51" t="s">
        <v>3</v>
      </c>
      <c r="H253" s="48">
        <v>8</v>
      </c>
      <c r="I253" s="49" t="s">
        <v>47</v>
      </c>
      <c r="J253" s="184">
        <v>140</v>
      </c>
      <c r="K253" s="75">
        <v>300</v>
      </c>
      <c r="L253" s="75">
        <v>2550</v>
      </c>
      <c r="M253" s="202">
        <v>35.554327944059594</v>
      </c>
      <c r="N253" s="87">
        <v>2555.2428</v>
      </c>
      <c r="O253" s="123">
        <v>65034.48989424343</v>
      </c>
      <c r="P253" s="121">
        <v>76244.239760277953</v>
      </c>
      <c r="Q253" s="120">
        <v>30859.06224187823</v>
      </c>
      <c r="R253" s="314">
        <v>95893.552136121667</v>
      </c>
      <c r="S253" s="315">
        <v>107103.30200215618</v>
      </c>
      <c r="U253" s="7" t="s">
        <v>3156</v>
      </c>
    </row>
    <row r="254" spans="1:21" ht="16.5" thickBot="1">
      <c r="A254" s="47" t="s">
        <v>35</v>
      </c>
      <c r="B254" s="48">
        <f t="shared" si="12"/>
        <v>140</v>
      </c>
      <c r="C254" s="48" t="s">
        <v>3</v>
      </c>
      <c r="D254" s="48">
        <f t="shared" si="13"/>
        <v>300</v>
      </c>
      <c r="E254" s="48" t="s">
        <v>3</v>
      </c>
      <c r="F254" s="99">
        <f t="shared" si="14"/>
        <v>2600</v>
      </c>
      <c r="G254" s="48" t="s">
        <v>3</v>
      </c>
      <c r="H254" s="48">
        <v>8</v>
      </c>
      <c r="I254" s="49" t="s">
        <v>47</v>
      </c>
      <c r="J254" s="184">
        <v>140</v>
      </c>
      <c r="K254" s="75">
        <v>300</v>
      </c>
      <c r="L254" s="75">
        <v>2600</v>
      </c>
      <c r="M254" s="202">
        <v>36.21964630378536</v>
      </c>
      <c r="N254" s="87">
        <v>2613.3164999999999</v>
      </c>
      <c r="O254" s="123">
        <v>66166.12834638088</v>
      </c>
      <c r="P254" s="121">
        <v>77580.279857139773</v>
      </c>
      <c r="Q254" s="120">
        <v>31339.467409742221</v>
      </c>
      <c r="R254" s="314">
        <v>97505.595756123104</v>
      </c>
      <c r="S254" s="315">
        <v>108919.747266882</v>
      </c>
      <c r="U254" s="7" t="s">
        <v>3157</v>
      </c>
    </row>
    <row r="255" spans="1:21" ht="16.5" thickBot="1">
      <c r="A255" s="50" t="s">
        <v>35</v>
      </c>
      <c r="B255" s="51">
        <f t="shared" si="12"/>
        <v>140</v>
      </c>
      <c r="C255" s="51" t="s">
        <v>3</v>
      </c>
      <c r="D255" s="51">
        <f t="shared" si="13"/>
        <v>300</v>
      </c>
      <c r="E255" s="51" t="s">
        <v>3</v>
      </c>
      <c r="F255" s="99">
        <f t="shared" si="14"/>
        <v>2650</v>
      </c>
      <c r="G255" s="51" t="s">
        <v>3</v>
      </c>
      <c r="H255" s="48">
        <v>8</v>
      </c>
      <c r="I255" s="49" t="s">
        <v>47</v>
      </c>
      <c r="J255" s="184">
        <v>140</v>
      </c>
      <c r="K255" s="75">
        <v>300</v>
      </c>
      <c r="L255" s="75">
        <v>2650</v>
      </c>
      <c r="M255" s="202">
        <v>36.901800183511121</v>
      </c>
      <c r="N255" s="87">
        <v>2671.3901999999998</v>
      </c>
      <c r="O255" s="123">
        <v>67297.766938911693</v>
      </c>
      <c r="P255" s="121">
        <v>78916.320094394949</v>
      </c>
      <c r="Q255" s="120">
        <v>32050.45435538948</v>
      </c>
      <c r="R255" s="314">
        <v>99348.221294301169</v>
      </c>
      <c r="S255" s="315">
        <v>110966.77444978443</v>
      </c>
      <c r="U255" s="7" t="s">
        <v>3158</v>
      </c>
    </row>
    <row r="256" spans="1:21" ht="16.5" thickBot="1">
      <c r="A256" s="50" t="s">
        <v>35</v>
      </c>
      <c r="B256" s="51">
        <f t="shared" si="12"/>
        <v>140</v>
      </c>
      <c r="C256" s="51" t="s">
        <v>3</v>
      </c>
      <c r="D256" s="51">
        <f t="shared" si="13"/>
        <v>300</v>
      </c>
      <c r="E256" s="51" t="s">
        <v>3</v>
      </c>
      <c r="F256" s="99">
        <f t="shared" si="14"/>
        <v>2700</v>
      </c>
      <c r="G256" s="51" t="s">
        <v>3</v>
      </c>
      <c r="H256" s="48">
        <v>8</v>
      </c>
      <c r="I256" s="49" t="s">
        <v>47</v>
      </c>
      <c r="J256" s="184">
        <v>140</v>
      </c>
      <c r="K256" s="75">
        <v>300</v>
      </c>
      <c r="L256" s="75">
        <v>2700</v>
      </c>
      <c r="M256" s="202">
        <v>37.722234543236887</v>
      </c>
      <c r="N256" s="87">
        <v>2729.4638999999997</v>
      </c>
      <c r="O256" s="123">
        <v>68583.714122460049</v>
      </c>
      <c r="P256" s="121">
        <v>80407.610962130042</v>
      </c>
      <c r="Q256" s="120">
        <v>32530.859663646832</v>
      </c>
      <c r="R256" s="314">
        <v>101114.57378610688</v>
      </c>
      <c r="S256" s="315">
        <v>112938.47062577687</v>
      </c>
      <c r="U256" s="7" t="s">
        <v>3159</v>
      </c>
    </row>
    <row r="257" spans="1:21" ht="16.5" thickBot="1">
      <c r="A257" s="50" t="s">
        <v>35</v>
      </c>
      <c r="B257" s="51">
        <f t="shared" si="12"/>
        <v>140</v>
      </c>
      <c r="C257" s="51" t="s">
        <v>3</v>
      </c>
      <c r="D257" s="51">
        <f t="shared" si="13"/>
        <v>300</v>
      </c>
      <c r="E257" s="51" t="s">
        <v>3</v>
      </c>
      <c r="F257" s="99">
        <f t="shared" si="14"/>
        <v>2750</v>
      </c>
      <c r="G257" s="51" t="s">
        <v>3</v>
      </c>
      <c r="H257" s="48">
        <v>8</v>
      </c>
      <c r="I257" s="49" t="s">
        <v>47</v>
      </c>
      <c r="J257" s="184">
        <v>140</v>
      </c>
      <c r="K257" s="75">
        <v>300</v>
      </c>
      <c r="L257" s="75">
        <v>2750</v>
      </c>
      <c r="M257" s="202">
        <v>38.387552902962639</v>
      </c>
      <c r="N257" s="87">
        <v>2787.5375999999997</v>
      </c>
      <c r="O257" s="123">
        <v>69715.352574597491</v>
      </c>
      <c r="P257" s="121">
        <v>81743.651058991862</v>
      </c>
      <c r="Q257" s="120">
        <v>33011.264831510824</v>
      </c>
      <c r="R257" s="314">
        <v>102726.61740610831</v>
      </c>
      <c r="S257" s="315">
        <v>114754.91589050269</v>
      </c>
      <c r="U257" s="7" t="s">
        <v>3160</v>
      </c>
    </row>
    <row r="258" spans="1:21" ht="16.5" thickBot="1">
      <c r="A258" s="50" t="s">
        <v>35</v>
      </c>
      <c r="B258" s="51">
        <f t="shared" si="12"/>
        <v>140</v>
      </c>
      <c r="C258" s="51" t="s">
        <v>3</v>
      </c>
      <c r="D258" s="51">
        <f t="shared" si="13"/>
        <v>300</v>
      </c>
      <c r="E258" s="51" t="s">
        <v>3</v>
      </c>
      <c r="F258" s="99">
        <f t="shared" si="14"/>
        <v>2800</v>
      </c>
      <c r="G258" s="51" t="s">
        <v>3</v>
      </c>
      <c r="H258" s="48">
        <v>8</v>
      </c>
      <c r="I258" s="49" t="s">
        <v>47</v>
      </c>
      <c r="J258" s="184">
        <v>140</v>
      </c>
      <c r="K258" s="75">
        <v>300</v>
      </c>
      <c r="L258" s="75">
        <v>2800</v>
      </c>
      <c r="M258" s="202">
        <v>39.069706782688407</v>
      </c>
      <c r="N258" s="87">
        <v>2845.6113</v>
      </c>
      <c r="O258" s="123">
        <v>70846.991167128319</v>
      </c>
      <c r="P258" s="121">
        <v>83079.691296247038</v>
      </c>
      <c r="Q258" s="120">
        <v>33722.251777158082</v>
      </c>
      <c r="R258" s="314">
        <v>104569.24294428641</v>
      </c>
      <c r="S258" s="315">
        <v>116801.94307340513</v>
      </c>
      <c r="U258" s="7" t="s">
        <v>3161</v>
      </c>
    </row>
    <row r="259" spans="1:21" ht="16.5" thickBot="1">
      <c r="A259" s="50" t="s">
        <v>35</v>
      </c>
      <c r="B259" s="51">
        <f t="shared" si="12"/>
        <v>140</v>
      </c>
      <c r="C259" s="51" t="s">
        <v>3</v>
      </c>
      <c r="D259" s="51">
        <f t="shared" si="13"/>
        <v>300</v>
      </c>
      <c r="E259" s="51" t="s">
        <v>3</v>
      </c>
      <c r="F259" s="99">
        <f t="shared" si="14"/>
        <v>2850</v>
      </c>
      <c r="G259" s="51" t="s">
        <v>3</v>
      </c>
      <c r="H259" s="48">
        <v>8</v>
      </c>
      <c r="I259" s="49" t="s">
        <v>47</v>
      </c>
      <c r="J259" s="184">
        <v>140</v>
      </c>
      <c r="K259" s="75">
        <v>300</v>
      </c>
      <c r="L259" s="75">
        <v>2850</v>
      </c>
      <c r="M259" s="202">
        <v>39.735025142414159</v>
      </c>
      <c r="N259" s="87">
        <v>2903.6849999999999</v>
      </c>
      <c r="O259" s="123">
        <v>71978.629619265761</v>
      </c>
      <c r="P259" s="121">
        <v>84415.731393108843</v>
      </c>
      <c r="Q259" s="120">
        <v>34202.657085415434</v>
      </c>
      <c r="R259" s="314">
        <v>106181.2867046812</v>
      </c>
      <c r="S259" s="315">
        <v>118618.38847852428</v>
      </c>
      <c r="U259" s="7" t="s">
        <v>3162</v>
      </c>
    </row>
    <row r="260" spans="1:21" ht="16.5" thickBot="1">
      <c r="A260" s="50" t="s">
        <v>35</v>
      </c>
      <c r="B260" s="51">
        <f t="shared" si="12"/>
        <v>140</v>
      </c>
      <c r="C260" s="51" t="s">
        <v>3</v>
      </c>
      <c r="D260" s="51">
        <f t="shared" si="13"/>
        <v>300</v>
      </c>
      <c r="E260" s="51" t="s">
        <v>3</v>
      </c>
      <c r="F260" s="99">
        <f t="shared" si="14"/>
        <v>2900</v>
      </c>
      <c r="G260" s="51" t="s">
        <v>3</v>
      </c>
      <c r="H260" s="48">
        <v>8</v>
      </c>
      <c r="I260" s="49" t="s">
        <v>47</v>
      </c>
      <c r="J260" s="184">
        <v>140</v>
      </c>
      <c r="K260" s="75">
        <v>300</v>
      </c>
      <c r="L260" s="75">
        <v>2900</v>
      </c>
      <c r="M260" s="202">
        <v>40.417179022139919</v>
      </c>
      <c r="N260" s="87">
        <v>2961.7586999999994</v>
      </c>
      <c r="O260" s="123">
        <v>73110.268071403218</v>
      </c>
      <c r="P260" s="121">
        <v>85751.771489970663</v>
      </c>
      <c r="Q260" s="120">
        <v>34913.644031062693</v>
      </c>
      <c r="R260" s="314">
        <v>108023.91210246591</v>
      </c>
      <c r="S260" s="315">
        <v>120665.41552103336</v>
      </c>
      <c r="U260" s="7" t="s">
        <v>3163</v>
      </c>
    </row>
    <row r="261" spans="1:21" ht="16.5" thickBot="1">
      <c r="A261" s="50" t="s">
        <v>35</v>
      </c>
      <c r="B261" s="51">
        <f t="shared" si="12"/>
        <v>140</v>
      </c>
      <c r="C261" s="51" t="s">
        <v>3</v>
      </c>
      <c r="D261" s="51">
        <f t="shared" si="13"/>
        <v>300</v>
      </c>
      <c r="E261" s="51" t="s">
        <v>3</v>
      </c>
      <c r="F261" s="99">
        <f t="shared" si="14"/>
        <v>2950</v>
      </c>
      <c r="G261" s="51" t="s">
        <v>3</v>
      </c>
      <c r="H261" s="48">
        <v>8</v>
      </c>
      <c r="I261" s="49" t="s">
        <v>47</v>
      </c>
      <c r="J261" s="184">
        <v>140</v>
      </c>
      <c r="K261" s="75">
        <v>300</v>
      </c>
      <c r="L261" s="75">
        <v>2950</v>
      </c>
      <c r="M261" s="202">
        <v>41.082497381865679</v>
      </c>
      <c r="N261" s="87">
        <v>3019.8323999999998</v>
      </c>
      <c r="O261" s="123">
        <v>74241.90652354066</v>
      </c>
      <c r="P261" s="121">
        <v>87087.811586832468</v>
      </c>
      <c r="Q261" s="120">
        <v>35394.049339320045</v>
      </c>
      <c r="R261" s="314">
        <v>109635.9558628607</v>
      </c>
      <c r="S261" s="315">
        <v>122481.86092615251</v>
      </c>
      <c r="U261" s="7" t="s">
        <v>3164</v>
      </c>
    </row>
    <row r="262" spans="1:21" ht="16.5" thickBot="1">
      <c r="A262" s="52" t="s">
        <v>35</v>
      </c>
      <c r="B262" s="53">
        <f t="shared" si="12"/>
        <v>140</v>
      </c>
      <c r="C262" s="53" t="s">
        <v>3</v>
      </c>
      <c r="D262" s="53">
        <f t="shared" si="13"/>
        <v>300</v>
      </c>
      <c r="E262" s="53" t="s">
        <v>3</v>
      </c>
      <c r="F262" s="100">
        <f t="shared" si="14"/>
        <v>3000</v>
      </c>
      <c r="G262" s="53" t="s">
        <v>3</v>
      </c>
      <c r="H262" s="55">
        <v>8</v>
      </c>
      <c r="I262" s="54" t="s">
        <v>47</v>
      </c>
      <c r="J262" s="184">
        <v>140</v>
      </c>
      <c r="K262" s="147">
        <v>300</v>
      </c>
      <c r="L262" s="147">
        <v>3000</v>
      </c>
      <c r="M262" s="209">
        <v>41.764651261591439</v>
      </c>
      <c r="N262" s="148">
        <v>3077.9060999999997</v>
      </c>
      <c r="O262" s="149">
        <v>76548.702421929949</v>
      </c>
      <c r="P262" s="158">
        <v>88423.851824087644</v>
      </c>
      <c r="Q262" s="159">
        <v>36105.036284967304</v>
      </c>
      <c r="R262" s="316">
        <v>112653.73870689725</v>
      </c>
      <c r="S262" s="317">
        <v>124528.88810905494</v>
      </c>
      <c r="U262" s="7" t="s">
        <v>3165</v>
      </c>
    </row>
    <row r="263" spans="1:21" ht="22.5" customHeight="1" thickBot="1">
      <c r="A263" s="2621" t="s">
        <v>49</v>
      </c>
      <c r="B263" s="2622"/>
      <c r="C263" s="2622"/>
      <c r="D263" s="2622"/>
      <c r="E263" s="2622"/>
      <c r="F263" s="2622"/>
      <c r="G263" s="2622"/>
      <c r="H263" s="2622"/>
      <c r="I263" s="2622"/>
      <c r="J263" s="2622"/>
      <c r="K263" s="2622"/>
      <c r="L263" s="2622"/>
      <c r="M263" s="2622"/>
      <c r="N263" s="2622"/>
      <c r="O263" s="2622"/>
      <c r="P263" s="2622"/>
      <c r="Q263" s="2622"/>
      <c r="R263" s="2622"/>
      <c r="S263" s="2623"/>
      <c r="U263" s="7"/>
    </row>
    <row r="264" spans="1:21" ht="16.5" thickBot="1">
      <c r="A264" s="2583" t="s">
        <v>180</v>
      </c>
      <c r="B264" s="2584"/>
      <c r="C264" s="2584"/>
      <c r="D264" s="2584"/>
      <c r="E264" s="2584"/>
      <c r="F264" s="2584"/>
      <c r="G264" s="2584"/>
      <c r="H264" s="2584"/>
      <c r="I264" s="2584"/>
      <c r="J264" s="2584"/>
      <c r="K264" s="2584"/>
      <c r="L264" s="2584"/>
      <c r="M264" s="2584"/>
      <c r="N264" s="2584"/>
      <c r="O264" s="2584"/>
      <c r="P264" s="2584"/>
      <c r="Q264" s="2584"/>
      <c r="R264" s="2584"/>
      <c r="S264" s="2585"/>
      <c r="U264" s="7"/>
    </row>
    <row r="265" spans="1:21" ht="16.5" thickBot="1">
      <c r="A265" s="47" t="s">
        <v>35</v>
      </c>
      <c r="B265" s="48">
        <f>J265</f>
        <v>140</v>
      </c>
      <c r="C265" s="48" t="s">
        <v>3</v>
      </c>
      <c r="D265" s="48">
        <f>K265</f>
        <v>360</v>
      </c>
      <c r="E265" s="48" t="s">
        <v>3</v>
      </c>
      <c r="F265" s="99">
        <f>L265</f>
        <v>600</v>
      </c>
      <c r="G265" s="48" t="s">
        <v>3</v>
      </c>
      <c r="H265" s="48">
        <v>6</v>
      </c>
      <c r="I265" s="49" t="s">
        <v>47</v>
      </c>
      <c r="J265" s="181">
        <v>140</v>
      </c>
      <c r="K265" s="143">
        <v>360</v>
      </c>
      <c r="L265" s="143">
        <v>600</v>
      </c>
      <c r="M265" s="201">
        <v>8.8558008154790198</v>
      </c>
      <c r="N265" s="144">
        <v>278.42070062298762</v>
      </c>
      <c r="O265" s="145">
        <v>17243.919342117566</v>
      </c>
      <c r="P265" s="183">
        <v>21232.378665431781</v>
      </c>
      <c r="Q265" s="169">
        <v>9204.3678470371888</v>
      </c>
      <c r="R265" s="312">
        <v>26448.287189154755</v>
      </c>
      <c r="S265" s="313">
        <v>30436.74651246897</v>
      </c>
      <c r="U265" s="7" t="s">
        <v>3166</v>
      </c>
    </row>
    <row r="266" spans="1:21" ht="16.5" thickBot="1">
      <c r="A266" s="50" t="s">
        <v>35</v>
      </c>
      <c r="B266" s="51">
        <f t="shared" ref="B266:B313" si="15">J266</f>
        <v>140</v>
      </c>
      <c r="C266" s="51" t="s">
        <v>3</v>
      </c>
      <c r="D266" s="51">
        <f t="shared" ref="D266:D313" si="16">K266</f>
        <v>360</v>
      </c>
      <c r="E266" s="51" t="s">
        <v>3</v>
      </c>
      <c r="F266" s="99">
        <f t="shared" ref="F266:F313" si="17">L266</f>
        <v>650</v>
      </c>
      <c r="G266" s="51" t="s">
        <v>3</v>
      </c>
      <c r="H266" s="48">
        <v>6</v>
      </c>
      <c r="I266" s="49" t="s">
        <v>47</v>
      </c>
      <c r="J266" s="184">
        <v>140</v>
      </c>
      <c r="K266" s="75">
        <v>360</v>
      </c>
      <c r="L266" s="75">
        <v>650</v>
      </c>
      <c r="M266" s="202">
        <v>9.5025034491033402</v>
      </c>
      <c r="N266" s="87">
        <v>334.10484074758511</v>
      </c>
      <c r="O266" s="123">
        <v>18175.842058790819</v>
      </c>
      <c r="P266" s="121">
        <v>22412.077696567128</v>
      </c>
      <c r="Q266" s="120">
        <v>9757.9649885401141</v>
      </c>
      <c r="R266" s="314">
        <v>27933.807047330934</v>
      </c>
      <c r="S266" s="315">
        <v>32170.042685107241</v>
      </c>
      <c r="U266" s="7" t="s">
        <v>3167</v>
      </c>
    </row>
    <row r="267" spans="1:21" ht="16.5" thickBot="1">
      <c r="A267" s="50" t="s">
        <v>35</v>
      </c>
      <c r="B267" s="51">
        <f t="shared" si="15"/>
        <v>140</v>
      </c>
      <c r="C267" s="51" t="s">
        <v>3</v>
      </c>
      <c r="D267" s="51">
        <f t="shared" si="16"/>
        <v>360</v>
      </c>
      <c r="E267" s="51" t="s">
        <v>3</v>
      </c>
      <c r="F267" s="99">
        <f t="shared" si="17"/>
        <v>700</v>
      </c>
      <c r="G267" s="51" t="s">
        <v>3</v>
      </c>
      <c r="H267" s="48">
        <v>6</v>
      </c>
      <c r="I267" s="49" t="s">
        <v>47</v>
      </c>
      <c r="J267" s="184">
        <v>140</v>
      </c>
      <c r="K267" s="75">
        <v>360</v>
      </c>
      <c r="L267" s="75">
        <v>700</v>
      </c>
      <c r="M267" s="202">
        <v>10.149206082727661</v>
      </c>
      <c r="N267" s="87">
        <v>389.78898087218266</v>
      </c>
      <c r="O267" s="123">
        <v>19108.436136523542</v>
      </c>
      <c r="P267" s="121">
        <v>23592.117462393267</v>
      </c>
      <c r="Q267" s="120">
        <v>10542.143907826316</v>
      </c>
      <c r="R267" s="314">
        <v>29650.580044349859</v>
      </c>
      <c r="S267" s="315">
        <v>34134.261370219581</v>
      </c>
      <c r="U267" s="7" t="s">
        <v>3168</v>
      </c>
    </row>
    <row r="268" spans="1:21" ht="16.5" thickBot="1">
      <c r="A268" s="50" t="s">
        <v>35</v>
      </c>
      <c r="B268" s="51">
        <f t="shared" si="15"/>
        <v>140</v>
      </c>
      <c r="C268" s="51" t="s">
        <v>3</v>
      </c>
      <c r="D268" s="51">
        <f t="shared" si="16"/>
        <v>360</v>
      </c>
      <c r="E268" s="51" t="s">
        <v>3</v>
      </c>
      <c r="F268" s="99">
        <f t="shared" si="17"/>
        <v>750</v>
      </c>
      <c r="G268" s="51" t="s">
        <v>3</v>
      </c>
      <c r="H268" s="48">
        <v>6</v>
      </c>
      <c r="I268" s="49" t="s">
        <v>47</v>
      </c>
      <c r="J268" s="184">
        <v>140</v>
      </c>
      <c r="K268" s="75">
        <v>360</v>
      </c>
      <c r="L268" s="75">
        <v>750</v>
      </c>
      <c r="M268" s="202">
        <v>10.795908716351979</v>
      </c>
      <c r="N268" s="87">
        <v>445.47312099678021</v>
      </c>
      <c r="O268" s="123">
        <v>20041.594174393427</v>
      </c>
      <c r="P268" s="121">
        <v>24772.444613432443</v>
      </c>
      <c r="Q268" s="120">
        <v>11095.741049329239</v>
      </c>
      <c r="R268" s="314">
        <v>31137.335223722665</v>
      </c>
      <c r="S268" s="315">
        <v>35868.18566276168</v>
      </c>
      <c r="U268" s="7" t="s">
        <v>3169</v>
      </c>
    </row>
    <row r="269" spans="1:21" ht="16.5" thickBot="1">
      <c r="A269" s="50" t="s">
        <v>35</v>
      </c>
      <c r="B269" s="51">
        <f t="shared" si="15"/>
        <v>140</v>
      </c>
      <c r="C269" s="51" t="s">
        <v>3</v>
      </c>
      <c r="D269" s="51">
        <f t="shared" si="16"/>
        <v>360</v>
      </c>
      <c r="E269" s="51" t="s">
        <v>3</v>
      </c>
      <c r="F269" s="99">
        <f t="shared" si="17"/>
        <v>800</v>
      </c>
      <c r="G269" s="51" t="s">
        <v>3</v>
      </c>
      <c r="H269" s="48">
        <v>6</v>
      </c>
      <c r="I269" s="49" t="s">
        <v>47</v>
      </c>
      <c r="J269" s="184">
        <v>140</v>
      </c>
      <c r="K269" s="75">
        <v>360</v>
      </c>
      <c r="L269" s="75">
        <v>800</v>
      </c>
      <c r="M269" s="202">
        <v>11.4426113499763</v>
      </c>
      <c r="N269" s="87">
        <v>501.15726112137776</v>
      </c>
      <c r="O269" s="123">
        <v>20975.229970875902</v>
      </c>
      <c r="P269" s="121">
        <v>25953.016329709091</v>
      </c>
      <c r="Q269" s="120">
        <v>11649.338190832164</v>
      </c>
      <c r="R269" s="314">
        <v>32624.568161708066</v>
      </c>
      <c r="S269" s="315">
        <v>37602.354520541252</v>
      </c>
      <c r="U269" s="7" t="s">
        <v>3170</v>
      </c>
    </row>
    <row r="270" spans="1:21" ht="16.5" thickBot="1">
      <c r="A270" s="50" t="s">
        <v>35</v>
      </c>
      <c r="B270" s="51">
        <f t="shared" si="15"/>
        <v>140</v>
      </c>
      <c r="C270" s="51" t="s">
        <v>3</v>
      </c>
      <c r="D270" s="51">
        <f t="shared" si="16"/>
        <v>360</v>
      </c>
      <c r="E270" s="51" t="s">
        <v>3</v>
      </c>
      <c r="F270" s="99">
        <f t="shared" si="17"/>
        <v>850</v>
      </c>
      <c r="G270" s="51" t="s">
        <v>3</v>
      </c>
      <c r="H270" s="48">
        <v>6</v>
      </c>
      <c r="I270" s="49" t="s">
        <v>47</v>
      </c>
      <c r="J270" s="184">
        <v>140</v>
      </c>
      <c r="K270" s="75">
        <v>360</v>
      </c>
      <c r="L270" s="75">
        <v>850</v>
      </c>
      <c r="M270" s="202">
        <v>12.08931398360062</v>
      </c>
      <c r="N270" s="87">
        <v>556.84140124597525</v>
      </c>
      <c r="O270" s="123">
        <v>21909.274452436617</v>
      </c>
      <c r="P270" s="121">
        <v>27133.798074456045</v>
      </c>
      <c r="Q270" s="120">
        <v>12433.517110118366</v>
      </c>
      <c r="R270" s="314">
        <v>34342.791562554979</v>
      </c>
      <c r="S270" s="315">
        <v>39567.315184574414</v>
      </c>
      <c r="U270" s="7" t="s">
        <v>3171</v>
      </c>
    </row>
    <row r="271" spans="1:21" ht="16.5" thickBot="1">
      <c r="A271" s="50" t="s">
        <v>35</v>
      </c>
      <c r="B271" s="51">
        <f t="shared" si="15"/>
        <v>140</v>
      </c>
      <c r="C271" s="51" t="s">
        <v>3</v>
      </c>
      <c r="D271" s="51">
        <f t="shared" si="16"/>
        <v>360</v>
      </c>
      <c r="E271" s="51" t="s">
        <v>3</v>
      </c>
      <c r="F271" s="99">
        <f t="shared" si="17"/>
        <v>900</v>
      </c>
      <c r="G271" s="51" t="s">
        <v>3</v>
      </c>
      <c r="H271" s="48">
        <v>6</v>
      </c>
      <c r="I271" s="49" t="s">
        <v>47</v>
      </c>
      <c r="J271" s="184">
        <v>140</v>
      </c>
      <c r="K271" s="75">
        <v>360</v>
      </c>
      <c r="L271" s="75">
        <v>900</v>
      </c>
      <c r="M271" s="202">
        <v>12.736016617224941</v>
      </c>
      <c r="N271" s="87">
        <v>612.5255413705728</v>
      </c>
      <c r="O271" s="123">
        <v>22843.671040550478</v>
      </c>
      <c r="P271" s="121">
        <v>28314.761067033978</v>
      </c>
      <c r="Q271" s="120">
        <v>12987.114251621291</v>
      </c>
      <c r="R271" s="314">
        <v>35830.785292171771</v>
      </c>
      <c r="S271" s="315">
        <v>41301.875318655271</v>
      </c>
      <c r="U271" s="7" t="s">
        <v>3172</v>
      </c>
    </row>
    <row r="272" spans="1:21" ht="16.5" thickBot="1">
      <c r="A272" s="50" t="s">
        <v>35</v>
      </c>
      <c r="B272" s="51">
        <f t="shared" si="15"/>
        <v>140</v>
      </c>
      <c r="C272" s="51" t="s">
        <v>3</v>
      </c>
      <c r="D272" s="51">
        <f t="shared" si="16"/>
        <v>360</v>
      </c>
      <c r="E272" s="51" t="s">
        <v>3</v>
      </c>
      <c r="F272" s="99">
        <f t="shared" si="17"/>
        <v>950</v>
      </c>
      <c r="G272" s="51" t="s">
        <v>3</v>
      </c>
      <c r="H272" s="48">
        <v>6</v>
      </c>
      <c r="I272" s="49" t="s">
        <v>47</v>
      </c>
      <c r="J272" s="184">
        <v>140</v>
      </c>
      <c r="K272" s="75">
        <v>360</v>
      </c>
      <c r="L272" s="75">
        <v>950</v>
      </c>
      <c r="M272" s="202">
        <v>13.382719250849261</v>
      </c>
      <c r="N272" s="87">
        <v>668.20968149517023</v>
      </c>
      <c r="O272" s="123">
        <v>23778.373124621139</v>
      </c>
      <c r="P272" s="121">
        <v>29495.882142538096</v>
      </c>
      <c r="Q272" s="120">
        <v>13771.293170907491</v>
      </c>
      <c r="R272" s="314">
        <v>37549.66629552863</v>
      </c>
      <c r="S272" s="315">
        <v>43267.175313445587</v>
      </c>
      <c r="U272" s="7" t="s">
        <v>3173</v>
      </c>
    </row>
    <row r="273" spans="1:21" ht="16.5" thickBot="1">
      <c r="A273" s="50" t="s">
        <v>35</v>
      </c>
      <c r="B273" s="51">
        <f t="shared" si="15"/>
        <v>140</v>
      </c>
      <c r="C273" s="51" t="s">
        <v>3</v>
      </c>
      <c r="D273" s="51">
        <f t="shared" si="16"/>
        <v>360</v>
      </c>
      <c r="E273" s="51" t="s">
        <v>3</v>
      </c>
      <c r="F273" s="99">
        <f t="shared" si="17"/>
        <v>1000</v>
      </c>
      <c r="G273" s="51" t="s">
        <v>3</v>
      </c>
      <c r="H273" s="48">
        <v>6</v>
      </c>
      <c r="I273" s="49" t="s">
        <v>47</v>
      </c>
      <c r="J273" s="184">
        <v>140</v>
      </c>
      <c r="K273" s="75">
        <v>360</v>
      </c>
      <c r="L273" s="75">
        <v>1000</v>
      </c>
      <c r="M273" s="202">
        <v>14.029421884473582</v>
      </c>
      <c r="N273" s="87">
        <v>723.89382161976789</v>
      </c>
      <c r="O273" s="123">
        <v>24713.342236867284</v>
      </c>
      <c r="P273" s="121">
        <v>30677.141505504271</v>
      </c>
      <c r="Q273" s="120">
        <v>14324.890312410414</v>
      </c>
      <c r="R273" s="314">
        <v>39038.232549277702</v>
      </c>
      <c r="S273" s="315">
        <v>45002.031817914685</v>
      </c>
      <c r="U273" s="7" t="s">
        <v>3174</v>
      </c>
    </row>
    <row r="274" spans="1:21" ht="16.5" thickBot="1">
      <c r="A274" s="50" t="s">
        <v>35</v>
      </c>
      <c r="B274" s="51">
        <f t="shared" si="15"/>
        <v>140</v>
      </c>
      <c r="C274" s="51" t="s">
        <v>3</v>
      </c>
      <c r="D274" s="51">
        <f t="shared" si="16"/>
        <v>360</v>
      </c>
      <c r="E274" s="51" t="s">
        <v>3</v>
      </c>
      <c r="F274" s="99">
        <f t="shared" si="17"/>
        <v>1050</v>
      </c>
      <c r="G274" s="51" t="s">
        <v>3</v>
      </c>
      <c r="H274" s="48">
        <v>6</v>
      </c>
      <c r="I274" s="49" t="s">
        <v>47</v>
      </c>
      <c r="J274" s="184">
        <v>140</v>
      </c>
      <c r="K274" s="75">
        <v>360</v>
      </c>
      <c r="L274" s="75">
        <v>1050</v>
      </c>
      <c r="M274" s="202">
        <v>14.6761245180979</v>
      </c>
      <c r="N274" s="87">
        <v>779.57796174436533</v>
      </c>
      <c r="O274" s="123">
        <v>25657.965217899007</v>
      </c>
      <c r="P274" s="121">
        <v>31870.428227442459</v>
      </c>
      <c r="Q274" s="120">
        <v>15109.069231696616</v>
      </c>
      <c r="R274" s="314">
        <v>40767.034449595623</v>
      </c>
      <c r="S274" s="315">
        <v>46979.497459139078</v>
      </c>
      <c r="U274" s="7" t="s">
        <v>3175</v>
      </c>
    </row>
    <row r="275" spans="1:21" ht="16.5" thickBot="1">
      <c r="A275" s="47" t="s">
        <v>35</v>
      </c>
      <c r="B275" s="48">
        <f t="shared" si="15"/>
        <v>140</v>
      </c>
      <c r="C275" s="48" t="s">
        <v>3</v>
      </c>
      <c r="D275" s="48">
        <f t="shared" si="16"/>
        <v>360</v>
      </c>
      <c r="E275" s="48" t="s">
        <v>3</v>
      </c>
      <c r="F275" s="99">
        <f t="shared" si="17"/>
        <v>1100</v>
      </c>
      <c r="G275" s="48" t="s">
        <v>3</v>
      </c>
      <c r="H275" s="48">
        <v>6</v>
      </c>
      <c r="I275" s="49" t="s">
        <v>47</v>
      </c>
      <c r="J275" s="184">
        <v>140</v>
      </c>
      <c r="K275" s="75">
        <v>360</v>
      </c>
      <c r="L275" s="75">
        <v>1100</v>
      </c>
      <c r="M275" s="202">
        <v>15.322827151722221</v>
      </c>
      <c r="N275" s="87">
        <v>835.26210186896287</v>
      </c>
      <c r="O275" s="123">
        <v>26593.358739279978</v>
      </c>
      <c r="P275" s="121">
        <v>33051.905621300597</v>
      </c>
      <c r="Q275" s="120">
        <v>15662.66637319954</v>
      </c>
      <c r="R275" s="314">
        <v>42256.025112479518</v>
      </c>
      <c r="S275" s="315">
        <v>48714.571994500133</v>
      </c>
      <c r="U275" s="7" t="s">
        <v>3176</v>
      </c>
    </row>
    <row r="276" spans="1:21" ht="16.5" thickBot="1">
      <c r="A276" s="50" t="s">
        <v>35</v>
      </c>
      <c r="B276" s="51">
        <f t="shared" si="15"/>
        <v>140</v>
      </c>
      <c r="C276" s="51" t="s">
        <v>3</v>
      </c>
      <c r="D276" s="51">
        <f t="shared" si="16"/>
        <v>360</v>
      </c>
      <c r="E276" s="51" t="s">
        <v>3</v>
      </c>
      <c r="F276" s="99">
        <f t="shared" si="17"/>
        <v>1150</v>
      </c>
      <c r="G276" s="51" t="s">
        <v>3</v>
      </c>
      <c r="H276" s="48">
        <v>6</v>
      </c>
      <c r="I276" s="49" t="s">
        <v>47</v>
      </c>
      <c r="J276" s="184">
        <v>140</v>
      </c>
      <c r="K276" s="75">
        <v>360</v>
      </c>
      <c r="L276" s="75">
        <v>1150</v>
      </c>
      <c r="M276" s="202">
        <v>15.969529785346541</v>
      </c>
      <c r="N276" s="87">
        <v>890.94624199356042</v>
      </c>
      <c r="O276" s="123">
        <v>27528.937579899459</v>
      </c>
      <c r="P276" s="121">
        <v>34233.479886578854</v>
      </c>
      <c r="Q276" s="120">
        <v>16216.263514702467</v>
      </c>
      <c r="R276" s="314">
        <v>43745.201094601929</v>
      </c>
      <c r="S276" s="315">
        <v>50449.743401281317</v>
      </c>
      <c r="U276" s="7" t="s">
        <v>3177</v>
      </c>
    </row>
    <row r="277" spans="1:21" ht="16.5" thickBot="1">
      <c r="A277" s="50" t="s">
        <v>35</v>
      </c>
      <c r="B277" s="51">
        <f t="shared" si="15"/>
        <v>140</v>
      </c>
      <c r="C277" s="51" t="s">
        <v>3</v>
      </c>
      <c r="D277" s="51">
        <f t="shared" si="16"/>
        <v>360</v>
      </c>
      <c r="E277" s="51" t="s">
        <v>3</v>
      </c>
      <c r="F277" s="99">
        <f t="shared" si="17"/>
        <v>1200</v>
      </c>
      <c r="G277" s="51" t="s">
        <v>3</v>
      </c>
      <c r="H277" s="48">
        <v>6</v>
      </c>
      <c r="I277" s="49" t="s">
        <v>47</v>
      </c>
      <c r="J277" s="184">
        <v>140</v>
      </c>
      <c r="K277" s="75">
        <v>360</v>
      </c>
      <c r="L277" s="75">
        <v>1200</v>
      </c>
      <c r="M277" s="202">
        <v>16.732569418970858</v>
      </c>
      <c r="N277" s="87">
        <v>946.63038211815785</v>
      </c>
      <c r="O277" s="123">
        <v>28587.379004236922</v>
      </c>
      <c r="P277" s="121">
        <v>35540.657073617745</v>
      </c>
      <c r="Q277" s="120">
        <v>17000.442574382028</v>
      </c>
      <c r="R277" s="314">
        <v>45587.821578618954</v>
      </c>
      <c r="S277" s="315">
        <v>52541.09964799977</v>
      </c>
      <c r="U277" s="7" t="s">
        <v>3178</v>
      </c>
    </row>
    <row r="278" spans="1:21" s="7" customFormat="1" ht="16.5" thickBot="1">
      <c r="A278" s="50" t="s">
        <v>35</v>
      </c>
      <c r="B278" s="51">
        <f t="shared" si="15"/>
        <v>140</v>
      </c>
      <c r="C278" s="51" t="s">
        <v>3</v>
      </c>
      <c r="D278" s="51">
        <f t="shared" si="16"/>
        <v>360</v>
      </c>
      <c r="E278" s="51" t="s">
        <v>3</v>
      </c>
      <c r="F278" s="99">
        <f t="shared" si="17"/>
        <v>1250</v>
      </c>
      <c r="G278" s="51" t="s">
        <v>3</v>
      </c>
      <c r="H278" s="48">
        <v>6</v>
      </c>
      <c r="I278" s="49" t="s">
        <v>47</v>
      </c>
      <c r="J278" s="184">
        <v>140</v>
      </c>
      <c r="K278" s="75">
        <v>360</v>
      </c>
      <c r="L278" s="75">
        <v>1250</v>
      </c>
      <c r="M278" s="202">
        <v>17.37927205259518</v>
      </c>
      <c r="N278" s="87">
        <v>1002.3145222427555</v>
      </c>
      <c r="O278" s="123">
        <v>29523.27583582246</v>
      </c>
      <c r="P278" s="121">
        <v>36722.37636523947</v>
      </c>
      <c r="Q278" s="120">
        <v>17554.039715884952</v>
      </c>
      <c r="R278" s="314">
        <v>47077.315551707412</v>
      </c>
      <c r="S278" s="315">
        <v>54276.416081124422</v>
      </c>
      <c r="U278" s="7" t="s">
        <v>3179</v>
      </c>
    </row>
    <row r="279" spans="1:21" s="7" customFormat="1" ht="16.5" thickBot="1">
      <c r="A279" s="50" t="s">
        <v>35</v>
      </c>
      <c r="B279" s="51">
        <f t="shared" si="15"/>
        <v>140</v>
      </c>
      <c r="C279" s="51" t="s">
        <v>3</v>
      </c>
      <c r="D279" s="51">
        <f t="shared" si="16"/>
        <v>360</v>
      </c>
      <c r="E279" s="51" t="s">
        <v>3</v>
      </c>
      <c r="F279" s="99">
        <f t="shared" si="17"/>
        <v>1300</v>
      </c>
      <c r="G279" s="51" t="s">
        <v>3</v>
      </c>
      <c r="H279" s="48">
        <v>6</v>
      </c>
      <c r="I279" s="49" t="s">
        <v>47</v>
      </c>
      <c r="J279" s="184">
        <v>140</v>
      </c>
      <c r="K279" s="75">
        <v>360</v>
      </c>
      <c r="L279" s="75">
        <v>1300</v>
      </c>
      <c r="M279" s="202">
        <v>18.025974686219499</v>
      </c>
      <c r="N279" s="87">
        <v>1057.9986623673528</v>
      </c>
      <c r="O279" s="123">
        <v>30459.304777562105</v>
      </c>
      <c r="P279" s="121">
        <v>37904.166555509255</v>
      </c>
      <c r="Q279" s="120">
        <v>18338.218635171153</v>
      </c>
      <c r="R279" s="314">
        <v>48797.523412733259</v>
      </c>
      <c r="S279" s="315">
        <v>56242.385190680405</v>
      </c>
      <c r="U279" s="7" t="s">
        <v>3180</v>
      </c>
    </row>
    <row r="280" spans="1:21" s="7" customFormat="1" ht="16.5" thickBot="1">
      <c r="A280" s="50" t="s">
        <v>35</v>
      </c>
      <c r="B280" s="51">
        <f t="shared" si="15"/>
        <v>140</v>
      </c>
      <c r="C280" s="51" t="s">
        <v>3</v>
      </c>
      <c r="D280" s="51">
        <f t="shared" si="16"/>
        <v>360</v>
      </c>
      <c r="E280" s="51" t="s">
        <v>3</v>
      </c>
      <c r="F280" s="99">
        <f t="shared" si="17"/>
        <v>1350</v>
      </c>
      <c r="G280" s="51" t="s">
        <v>3</v>
      </c>
      <c r="H280" s="48">
        <v>6</v>
      </c>
      <c r="I280" s="49" t="s">
        <v>47</v>
      </c>
      <c r="J280" s="184">
        <v>140</v>
      </c>
      <c r="K280" s="75">
        <v>360</v>
      </c>
      <c r="L280" s="75">
        <v>1350</v>
      </c>
      <c r="M280" s="202">
        <v>18.672677319843821</v>
      </c>
      <c r="N280" s="87">
        <v>1113.6828024919505</v>
      </c>
      <c r="O280" s="123">
        <v>31395.452632479792</v>
      </c>
      <c r="P280" s="121">
        <v>39086.020765152345</v>
      </c>
      <c r="Q280" s="120">
        <v>18891.815776674081</v>
      </c>
      <c r="R280" s="314">
        <v>50287.268409153869</v>
      </c>
      <c r="S280" s="315">
        <v>57977.836541826429</v>
      </c>
      <c r="U280" s="7" t="s">
        <v>3181</v>
      </c>
    </row>
    <row r="281" spans="1:21" s="7" customFormat="1" ht="16.5" thickBot="1">
      <c r="A281" s="50" t="s">
        <v>35</v>
      </c>
      <c r="B281" s="51">
        <f t="shared" si="15"/>
        <v>140</v>
      </c>
      <c r="C281" s="51" t="s">
        <v>3</v>
      </c>
      <c r="D281" s="51">
        <f t="shared" si="16"/>
        <v>360</v>
      </c>
      <c r="E281" s="51" t="s">
        <v>3</v>
      </c>
      <c r="F281" s="99">
        <f t="shared" si="17"/>
        <v>1400</v>
      </c>
      <c r="G281" s="51" t="s">
        <v>3</v>
      </c>
      <c r="H281" s="48">
        <v>6</v>
      </c>
      <c r="I281" s="49" t="s">
        <v>47</v>
      </c>
      <c r="J281" s="184">
        <v>140</v>
      </c>
      <c r="K281" s="75">
        <v>360</v>
      </c>
      <c r="L281" s="75">
        <v>1400</v>
      </c>
      <c r="M281" s="202">
        <v>19.31937995346814</v>
      </c>
      <c r="N281" s="87">
        <v>1169.3669426165482</v>
      </c>
      <c r="O281" s="123">
        <v>32331.708449893245</v>
      </c>
      <c r="P281" s="121">
        <v>40267.93309764751</v>
      </c>
      <c r="Q281" s="120">
        <v>19675.994695960278</v>
      </c>
      <c r="R281" s="314">
        <v>52007.70314585352</v>
      </c>
      <c r="S281" s="315">
        <v>59943.927793607785</v>
      </c>
      <c r="U281" s="7" t="s">
        <v>3182</v>
      </c>
    </row>
    <row r="282" spans="1:21" s="7" customFormat="1" ht="16.5" thickBot="1">
      <c r="A282" s="50" t="s">
        <v>35</v>
      </c>
      <c r="B282" s="51">
        <f t="shared" si="15"/>
        <v>140</v>
      </c>
      <c r="C282" s="51" t="s">
        <v>3</v>
      </c>
      <c r="D282" s="51">
        <f t="shared" si="16"/>
        <v>360</v>
      </c>
      <c r="E282" s="51" t="s">
        <v>3</v>
      </c>
      <c r="F282" s="99">
        <f t="shared" si="17"/>
        <v>1450</v>
      </c>
      <c r="G282" s="51" t="s">
        <v>3</v>
      </c>
      <c r="H282" s="48">
        <v>6</v>
      </c>
      <c r="I282" s="49" t="s">
        <v>47</v>
      </c>
      <c r="J282" s="184">
        <v>140</v>
      </c>
      <c r="K282" s="75">
        <v>360</v>
      </c>
      <c r="L282" s="75">
        <v>1450</v>
      </c>
      <c r="M282" s="202">
        <v>19.966082587092458</v>
      </c>
      <c r="N282" s="87">
        <v>1225.0510827411456</v>
      </c>
      <c r="O282" s="123">
        <v>33268.062402267082</v>
      </c>
      <c r="P282" s="121">
        <v>41449.898358440332</v>
      </c>
      <c r="Q282" s="120">
        <v>20229.591837463206</v>
      </c>
      <c r="R282" s="314">
        <v>53497.654239730284</v>
      </c>
      <c r="S282" s="315">
        <v>61679.490195903534</v>
      </c>
      <c r="U282" s="7" t="s">
        <v>3183</v>
      </c>
    </row>
    <row r="283" spans="1:21" s="7" customFormat="1" ht="16.5" thickBot="1">
      <c r="A283" s="50" t="s">
        <v>35</v>
      </c>
      <c r="B283" s="51">
        <f t="shared" si="15"/>
        <v>140</v>
      </c>
      <c r="C283" s="51" t="s">
        <v>3</v>
      </c>
      <c r="D283" s="51">
        <f t="shared" si="16"/>
        <v>360</v>
      </c>
      <c r="E283" s="51" t="s">
        <v>3</v>
      </c>
      <c r="F283" s="99">
        <f t="shared" si="17"/>
        <v>1500</v>
      </c>
      <c r="G283" s="51" t="s">
        <v>3</v>
      </c>
      <c r="H283" s="48">
        <v>6</v>
      </c>
      <c r="I283" s="49" t="s">
        <v>47</v>
      </c>
      <c r="J283" s="184">
        <v>140</v>
      </c>
      <c r="K283" s="75">
        <v>360</v>
      </c>
      <c r="L283" s="75">
        <v>1500</v>
      </c>
      <c r="M283" s="202">
        <v>20.813575846477182</v>
      </c>
      <c r="N283" s="87">
        <v>1280.735222865743</v>
      </c>
      <c r="O283" s="123">
        <v>34925.788337705671</v>
      </c>
      <c r="P283" s="121">
        <v>43364.392101242331</v>
      </c>
      <c r="Q283" s="120">
        <v>21013.770756749404</v>
      </c>
      <c r="R283" s="314">
        <v>55939.559094455079</v>
      </c>
      <c r="S283" s="315">
        <v>64378.162857991731</v>
      </c>
      <c r="U283" s="7" t="s">
        <v>3184</v>
      </c>
    </row>
    <row r="284" spans="1:21" s="7" customFormat="1" ht="16.5" thickBot="1">
      <c r="A284" s="50" t="s">
        <v>35</v>
      </c>
      <c r="B284" s="51">
        <f t="shared" si="15"/>
        <v>140</v>
      </c>
      <c r="C284" s="51" t="s">
        <v>3</v>
      </c>
      <c r="D284" s="51">
        <f t="shared" si="16"/>
        <v>360</v>
      </c>
      <c r="E284" s="51" t="s">
        <v>3</v>
      </c>
      <c r="F284" s="99">
        <f t="shared" si="17"/>
        <v>1550</v>
      </c>
      <c r="G284" s="51" t="s">
        <v>3</v>
      </c>
      <c r="H284" s="48">
        <v>6</v>
      </c>
      <c r="I284" s="49" t="s">
        <v>47</v>
      </c>
      <c r="J284" s="184">
        <v>140</v>
      </c>
      <c r="K284" s="75">
        <v>360</v>
      </c>
      <c r="L284" s="75">
        <v>1550</v>
      </c>
      <c r="M284" s="202">
        <v>21.460278480101501</v>
      </c>
      <c r="N284" s="87">
        <v>1336.4193629903405</v>
      </c>
      <c r="O284" s="123">
        <v>35862.120248321597</v>
      </c>
      <c r="P284" s="121">
        <v>44546.49143769635</v>
      </c>
      <c r="Q284" s="120">
        <v>21567.367898252327</v>
      </c>
      <c r="R284" s="314">
        <v>57429.488146573924</v>
      </c>
      <c r="S284" s="315">
        <v>66113.859335948684</v>
      </c>
      <c r="U284" s="7" t="s">
        <v>3185</v>
      </c>
    </row>
    <row r="285" spans="1:21" s="7" customFormat="1" ht="16.5" thickBot="1">
      <c r="A285" s="47" t="s">
        <v>35</v>
      </c>
      <c r="B285" s="48">
        <f t="shared" si="15"/>
        <v>140</v>
      </c>
      <c r="C285" s="48" t="s">
        <v>3</v>
      </c>
      <c r="D285" s="48">
        <f t="shared" si="16"/>
        <v>360</v>
      </c>
      <c r="E285" s="48" t="s">
        <v>3</v>
      </c>
      <c r="F285" s="99">
        <f t="shared" si="17"/>
        <v>1600</v>
      </c>
      <c r="G285" s="48" t="s">
        <v>3</v>
      </c>
      <c r="H285" s="48">
        <v>6</v>
      </c>
      <c r="I285" s="49" t="s">
        <v>47</v>
      </c>
      <c r="J285" s="184">
        <v>140</v>
      </c>
      <c r="K285" s="75">
        <v>360</v>
      </c>
      <c r="L285" s="75">
        <v>1600</v>
      </c>
      <c r="M285" s="202">
        <v>22.106981113725819</v>
      </c>
      <c r="N285" s="87">
        <v>1392.1035031149381</v>
      </c>
      <c r="O285" s="123">
        <v>36798.536394955023</v>
      </c>
      <c r="P285" s="121">
        <v>45728.628399571513</v>
      </c>
      <c r="Q285" s="120">
        <v>22120.965039755254</v>
      </c>
      <c r="R285" s="314">
        <v>58919.501434710277</v>
      </c>
      <c r="S285" s="315">
        <v>67849.593439326767</v>
      </c>
      <c r="U285" s="7" t="s">
        <v>3186</v>
      </c>
    </row>
    <row r="286" spans="1:21" s="7" customFormat="1" ht="16.5" thickBot="1">
      <c r="A286" s="50" t="s">
        <v>35</v>
      </c>
      <c r="B286" s="51">
        <f t="shared" si="15"/>
        <v>140</v>
      </c>
      <c r="C286" s="51" t="s">
        <v>3</v>
      </c>
      <c r="D286" s="51">
        <f t="shared" si="16"/>
        <v>360</v>
      </c>
      <c r="E286" s="51" t="s">
        <v>3</v>
      </c>
      <c r="F286" s="99">
        <f t="shared" si="17"/>
        <v>1650</v>
      </c>
      <c r="G286" s="51" t="s">
        <v>3</v>
      </c>
      <c r="H286" s="48">
        <v>6</v>
      </c>
      <c r="I286" s="49" t="s">
        <v>47</v>
      </c>
      <c r="J286" s="184">
        <v>140</v>
      </c>
      <c r="K286" s="75">
        <v>360</v>
      </c>
      <c r="L286" s="75">
        <v>1650</v>
      </c>
      <c r="M286" s="202">
        <v>22.753683747350141</v>
      </c>
      <c r="N286" s="87">
        <v>1447.7876432395358</v>
      </c>
      <c r="O286" s="123">
        <v>37735.030038724544</v>
      </c>
      <c r="P286" s="121">
        <v>46910.799898213852</v>
      </c>
      <c r="Q286" s="120">
        <v>22905.143959041456</v>
      </c>
      <c r="R286" s="314">
        <v>60640.173997766004</v>
      </c>
      <c r="S286" s="315">
        <v>69815.943857255304</v>
      </c>
      <c r="U286" s="7" t="s">
        <v>3187</v>
      </c>
    </row>
    <row r="287" spans="1:21" s="7" customFormat="1" ht="16.5" thickBot="1">
      <c r="A287" s="50" t="s">
        <v>35</v>
      </c>
      <c r="B287" s="51">
        <f t="shared" si="15"/>
        <v>140</v>
      </c>
      <c r="C287" s="51" t="s">
        <v>3</v>
      </c>
      <c r="D287" s="51">
        <f t="shared" si="16"/>
        <v>360</v>
      </c>
      <c r="E287" s="51" t="s">
        <v>3</v>
      </c>
      <c r="F287" s="99">
        <f t="shared" si="17"/>
        <v>1700</v>
      </c>
      <c r="G287" s="51" t="s">
        <v>3</v>
      </c>
      <c r="H287" s="48">
        <v>6</v>
      </c>
      <c r="I287" s="49" t="s">
        <v>47</v>
      </c>
      <c r="J287" s="184">
        <v>140</v>
      </c>
      <c r="K287" s="75">
        <v>360</v>
      </c>
      <c r="L287" s="75">
        <v>1700</v>
      </c>
      <c r="M287" s="202">
        <v>23.40038638097446</v>
      </c>
      <c r="N287" s="87">
        <v>1503.4717833641332</v>
      </c>
      <c r="O287" s="123">
        <v>38671.595283108945</v>
      </c>
      <c r="P287" s="121">
        <v>48093.00326614947</v>
      </c>
      <c r="Q287" s="120">
        <v>23458.741100544379</v>
      </c>
      <c r="R287" s="314">
        <v>62130.336383653324</v>
      </c>
      <c r="S287" s="315">
        <v>71551.744366693849</v>
      </c>
      <c r="U287" s="7" t="s">
        <v>3188</v>
      </c>
    </row>
    <row r="288" spans="1:21" s="7" customFormat="1" ht="16.5" thickBot="1">
      <c r="A288" s="50" t="s">
        <v>35</v>
      </c>
      <c r="B288" s="51">
        <f t="shared" si="15"/>
        <v>140</v>
      </c>
      <c r="C288" s="51" t="s">
        <v>3</v>
      </c>
      <c r="D288" s="51">
        <f t="shared" si="16"/>
        <v>360</v>
      </c>
      <c r="E288" s="51" t="s">
        <v>3</v>
      </c>
      <c r="F288" s="99">
        <f t="shared" si="17"/>
        <v>1750</v>
      </c>
      <c r="G288" s="51" t="s">
        <v>3</v>
      </c>
      <c r="H288" s="48">
        <v>6</v>
      </c>
      <c r="I288" s="49" t="s">
        <v>47</v>
      </c>
      <c r="J288" s="184">
        <v>140</v>
      </c>
      <c r="K288" s="75">
        <v>360</v>
      </c>
      <c r="L288" s="75">
        <v>1750</v>
      </c>
      <c r="M288" s="202">
        <v>24.047089014598779</v>
      </c>
      <c r="N288" s="87">
        <v>1559.1559234887307</v>
      </c>
      <c r="O288" s="123">
        <v>39608.226512373723</v>
      </c>
      <c r="P288" s="121">
        <v>49275.23625708458</v>
      </c>
      <c r="Q288" s="120">
        <v>24242.920019830581</v>
      </c>
      <c r="R288" s="314">
        <v>63851.146532204308</v>
      </c>
      <c r="S288" s="315">
        <v>73518.156276915164</v>
      </c>
      <c r="U288" s="7" t="s">
        <v>3189</v>
      </c>
    </row>
    <row r="289" spans="1:21" s="7" customFormat="1" ht="16.5" thickBot="1">
      <c r="A289" s="50" t="s">
        <v>35</v>
      </c>
      <c r="B289" s="51">
        <f t="shared" si="15"/>
        <v>140</v>
      </c>
      <c r="C289" s="51" t="s">
        <v>3</v>
      </c>
      <c r="D289" s="51">
        <f t="shared" si="16"/>
        <v>360</v>
      </c>
      <c r="E289" s="51" t="s">
        <v>3</v>
      </c>
      <c r="F289" s="99">
        <f t="shared" si="17"/>
        <v>1800</v>
      </c>
      <c r="G289" s="51" t="s">
        <v>3</v>
      </c>
      <c r="H289" s="48">
        <v>6</v>
      </c>
      <c r="I289" s="49" t="s">
        <v>47</v>
      </c>
      <c r="J289" s="184">
        <v>140</v>
      </c>
      <c r="K289" s="75">
        <v>360</v>
      </c>
      <c r="L289" s="75">
        <v>1800</v>
      </c>
      <c r="M289" s="202">
        <v>24.693791648223097</v>
      </c>
      <c r="N289" s="87">
        <v>1614.8400636133281</v>
      </c>
      <c r="O289" s="123">
        <v>40544.918812751181</v>
      </c>
      <c r="P289" s="121">
        <v>50457.496484332027</v>
      </c>
      <c r="Q289" s="120">
        <v>24796.517161333504</v>
      </c>
      <c r="R289" s="314">
        <v>65341.435974084685</v>
      </c>
      <c r="S289" s="315">
        <v>75254.013645665531</v>
      </c>
      <c r="U289" s="7" t="s">
        <v>3190</v>
      </c>
    </row>
    <row r="290" spans="1:21" s="7" customFormat="1" ht="16.5" thickBot="1">
      <c r="A290" s="50" t="s">
        <v>35</v>
      </c>
      <c r="B290" s="51">
        <f t="shared" si="15"/>
        <v>140</v>
      </c>
      <c r="C290" s="51" t="s">
        <v>3</v>
      </c>
      <c r="D290" s="51">
        <f t="shared" si="16"/>
        <v>360</v>
      </c>
      <c r="E290" s="51" t="s">
        <v>3</v>
      </c>
      <c r="F290" s="99">
        <f t="shared" si="17"/>
        <v>1850</v>
      </c>
      <c r="G290" s="51" t="s">
        <v>3</v>
      </c>
      <c r="H290" s="48">
        <v>6</v>
      </c>
      <c r="I290" s="49" t="s">
        <v>47</v>
      </c>
      <c r="J290" s="184">
        <v>140</v>
      </c>
      <c r="K290" s="75">
        <v>360</v>
      </c>
      <c r="L290" s="75">
        <v>1850</v>
      </c>
      <c r="M290" s="202">
        <v>25.340494281847423</v>
      </c>
      <c r="N290" s="87">
        <v>1670.5242037379257</v>
      </c>
      <c r="O290" s="123">
        <v>41481.667832047096</v>
      </c>
      <c r="P290" s="121">
        <v>51639.782122778073</v>
      </c>
      <c r="Q290" s="120">
        <v>25580.69622101307</v>
      </c>
      <c r="R290" s="314">
        <v>67062.36405306017</v>
      </c>
      <c r="S290" s="315">
        <v>77220.478343791139</v>
      </c>
      <c r="U290" s="7" t="s">
        <v>3191</v>
      </c>
    </row>
    <row r="291" spans="1:21" s="7" customFormat="1" ht="16.5" thickBot="1">
      <c r="A291" s="50" t="s">
        <v>35</v>
      </c>
      <c r="B291" s="51">
        <f t="shared" si="15"/>
        <v>140</v>
      </c>
      <c r="C291" s="51" t="s">
        <v>3</v>
      </c>
      <c r="D291" s="51">
        <f t="shared" si="16"/>
        <v>360</v>
      </c>
      <c r="E291" s="51" t="s">
        <v>3</v>
      </c>
      <c r="F291" s="99">
        <f t="shared" si="17"/>
        <v>1900</v>
      </c>
      <c r="G291" s="51" t="s">
        <v>3</v>
      </c>
      <c r="H291" s="48">
        <v>6</v>
      </c>
      <c r="I291" s="49" t="s">
        <v>47</v>
      </c>
      <c r="J291" s="184">
        <v>140</v>
      </c>
      <c r="K291" s="75">
        <v>360</v>
      </c>
      <c r="L291" s="75">
        <v>1900</v>
      </c>
      <c r="M291" s="202">
        <v>25.987196915471738</v>
      </c>
      <c r="N291" s="87">
        <v>1726.2083438625234</v>
      </c>
      <c r="O291" s="123">
        <v>42418.469498853949</v>
      </c>
      <c r="P291" s="121">
        <v>52822.091206915662</v>
      </c>
      <c r="Q291" s="120">
        <v>26134.293362515993</v>
      </c>
      <c r="R291" s="314">
        <v>68552.762861369934</v>
      </c>
      <c r="S291" s="315">
        <v>78956.384569431655</v>
      </c>
      <c r="U291" s="7" t="s">
        <v>3192</v>
      </c>
    </row>
    <row r="292" spans="1:21" s="7" customFormat="1" ht="16.5" thickBot="1">
      <c r="A292" s="50" t="s">
        <v>35</v>
      </c>
      <c r="B292" s="51">
        <f t="shared" si="15"/>
        <v>140</v>
      </c>
      <c r="C292" s="51" t="s">
        <v>3</v>
      </c>
      <c r="D292" s="51">
        <f t="shared" si="16"/>
        <v>360</v>
      </c>
      <c r="E292" s="51" t="s">
        <v>3</v>
      </c>
      <c r="F292" s="99">
        <f t="shared" si="17"/>
        <v>1950</v>
      </c>
      <c r="G292" s="51" t="s">
        <v>3</v>
      </c>
      <c r="H292" s="48">
        <v>6</v>
      </c>
      <c r="I292" s="49" t="s">
        <v>47</v>
      </c>
      <c r="J292" s="184">
        <v>140</v>
      </c>
      <c r="K292" s="75">
        <v>360</v>
      </c>
      <c r="L292" s="75">
        <v>1950</v>
      </c>
      <c r="M292" s="202">
        <v>26.750236549096059</v>
      </c>
      <c r="N292" s="87">
        <v>1781.8924839871208</v>
      </c>
      <c r="O292" s="123">
        <v>43478.04024739936</v>
      </c>
      <c r="P292" s="121">
        <v>54129.780548940951</v>
      </c>
      <c r="Q292" s="120">
        <v>26687.890504018917</v>
      </c>
      <c r="R292" s="314">
        <v>70165.930751418273</v>
      </c>
      <c r="S292" s="315">
        <v>80817.671052959864</v>
      </c>
      <c r="U292" s="7" t="s">
        <v>3193</v>
      </c>
    </row>
    <row r="293" spans="1:21" s="7" customFormat="1" ht="16.5" thickBot="1">
      <c r="A293" s="50" t="s">
        <v>35</v>
      </c>
      <c r="B293" s="51">
        <f t="shared" si="15"/>
        <v>140</v>
      </c>
      <c r="C293" s="51" t="s">
        <v>3</v>
      </c>
      <c r="D293" s="51">
        <f t="shared" si="16"/>
        <v>360</v>
      </c>
      <c r="E293" s="51" t="s">
        <v>3</v>
      </c>
      <c r="F293" s="99">
        <f t="shared" si="17"/>
        <v>2000</v>
      </c>
      <c r="G293" s="51" t="s">
        <v>3</v>
      </c>
      <c r="H293" s="48">
        <v>6</v>
      </c>
      <c r="I293" s="49" t="s">
        <v>47</v>
      </c>
      <c r="J293" s="184">
        <v>140</v>
      </c>
      <c r="K293" s="75">
        <v>360</v>
      </c>
      <c r="L293" s="75">
        <v>2000</v>
      </c>
      <c r="M293" s="202">
        <v>27.487402833920381</v>
      </c>
      <c r="N293" s="87">
        <v>1837.5766241117183</v>
      </c>
      <c r="O293" s="123">
        <v>44658.038877970284</v>
      </c>
      <c r="P293" s="121">
        <v>55637.543629504806</v>
      </c>
      <c r="Q293" s="120">
        <v>27472.069423305118</v>
      </c>
      <c r="R293" s="314">
        <v>72130.10830127541</v>
      </c>
      <c r="S293" s="315">
        <v>83109.613052809931</v>
      </c>
      <c r="U293" s="7" t="s">
        <v>3194</v>
      </c>
    </row>
    <row r="294" spans="1:21" s="7" customFormat="1" ht="16.5" thickBot="1">
      <c r="A294" s="50" t="s">
        <v>35</v>
      </c>
      <c r="B294" s="51">
        <f t="shared" si="15"/>
        <v>140</v>
      </c>
      <c r="C294" s="51" t="s">
        <v>3</v>
      </c>
      <c r="D294" s="51">
        <f t="shared" si="16"/>
        <v>360</v>
      </c>
      <c r="E294" s="51" t="s">
        <v>3</v>
      </c>
      <c r="F294" s="99">
        <f t="shared" si="17"/>
        <v>2050</v>
      </c>
      <c r="G294" s="51" t="s">
        <v>3</v>
      </c>
      <c r="H294" s="48">
        <v>6</v>
      </c>
      <c r="I294" s="49" t="s">
        <v>47</v>
      </c>
      <c r="J294" s="184">
        <v>140</v>
      </c>
      <c r="K294" s="75">
        <v>360</v>
      </c>
      <c r="L294" s="75">
        <v>2050</v>
      </c>
      <c r="M294" s="202">
        <v>28.134105467544696</v>
      </c>
      <c r="N294" s="87">
        <v>1893.2607642363157</v>
      </c>
      <c r="O294" s="123">
        <v>45594.958334808274</v>
      </c>
      <c r="P294" s="121">
        <v>56819.893427717521</v>
      </c>
      <c r="Q294" s="120">
        <v>28025.666564808042</v>
      </c>
      <c r="R294" s="314">
        <v>73620.624899616319</v>
      </c>
      <c r="S294" s="315">
        <v>84845.559992525566</v>
      </c>
      <c r="U294" s="7" t="s">
        <v>3195</v>
      </c>
    </row>
    <row r="295" spans="1:21" s="7" customFormat="1" ht="16.5" thickBot="1">
      <c r="A295" s="47" t="s">
        <v>35</v>
      </c>
      <c r="B295" s="48">
        <f t="shared" si="15"/>
        <v>140</v>
      </c>
      <c r="C295" s="48" t="s">
        <v>3</v>
      </c>
      <c r="D295" s="48">
        <f t="shared" si="16"/>
        <v>360</v>
      </c>
      <c r="E295" s="48" t="s">
        <v>3</v>
      </c>
      <c r="F295" s="99">
        <f t="shared" si="17"/>
        <v>2100</v>
      </c>
      <c r="G295" s="48" t="s">
        <v>3</v>
      </c>
      <c r="H295" s="48">
        <v>6</v>
      </c>
      <c r="I295" s="49" t="s">
        <v>47</v>
      </c>
      <c r="J295" s="184">
        <v>140</v>
      </c>
      <c r="K295" s="75">
        <v>360</v>
      </c>
      <c r="L295" s="75">
        <v>2100</v>
      </c>
      <c r="M295" s="202">
        <v>28.780808101169022</v>
      </c>
      <c r="N295" s="87">
        <v>1948.9449043609134</v>
      </c>
      <c r="O295" s="123">
        <v>46531.91836532802</v>
      </c>
      <c r="P295" s="121">
        <v>58002.261898247445</v>
      </c>
      <c r="Q295" s="120">
        <v>28809.845484094247</v>
      </c>
      <c r="R295" s="314">
        <v>75341.763849422263</v>
      </c>
      <c r="S295" s="315">
        <v>86812.107382341695</v>
      </c>
      <c r="U295" s="7" t="s">
        <v>3196</v>
      </c>
    </row>
    <row r="296" spans="1:21" s="7" customFormat="1" ht="16.5" thickBot="1">
      <c r="A296" s="50" t="s">
        <v>35</v>
      </c>
      <c r="B296" s="51">
        <f t="shared" si="15"/>
        <v>140</v>
      </c>
      <c r="C296" s="51" t="s">
        <v>3</v>
      </c>
      <c r="D296" s="51">
        <f t="shared" si="16"/>
        <v>360</v>
      </c>
      <c r="E296" s="51" t="s">
        <v>3</v>
      </c>
      <c r="F296" s="99">
        <f t="shared" si="17"/>
        <v>2150</v>
      </c>
      <c r="G296" s="51" t="s">
        <v>3</v>
      </c>
      <c r="H296" s="48">
        <v>6</v>
      </c>
      <c r="I296" s="49" t="s">
        <v>47</v>
      </c>
      <c r="J296" s="184">
        <v>140</v>
      </c>
      <c r="K296" s="75">
        <v>360</v>
      </c>
      <c r="L296" s="75">
        <v>2150</v>
      </c>
      <c r="M296" s="202">
        <v>29.427510734793337</v>
      </c>
      <c r="N296" s="87">
        <v>2004.629044485511</v>
      </c>
      <c r="O296" s="123">
        <v>47468.916161662288</v>
      </c>
      <c r="P296" s="121">
        <v>59184.647917947688</v>
      </c>
      <c r="Q296" s="120">
        <v>29363.442625597167</v>
      </c>
      <c r="R296" s="314">
        <v>76832.358787259451</v>
      </c>
      <c r="S296" s="315">
        <v>88548.090543544851</v>
      </c>
      <c r="U296" s="7" t="s">
        <v>3197</v>
      </c>
    </row>
    <row r="297" spans="1:21" s="7" customFormat="1" ht="16.5" thickBot="1">
      <c r="A297" s="50" t="s">
        <v>35</v>
      </c>
      <c r="B297" s="51">
        <f t="shared" si="15"/>
        <v>140</v>
      </c>
      <c r="C297" s="51" t="s">
        <v>3</v>
      </c>
      <c r="D297" s="51">
        <f t="shared" si="16"/>
        <v>360</v>
      </c>
      <c r="E297" s="51" t="s">
        <v>3</v>
      </c>
      <c r="F297" s="99">
        <f t="shared" si="17"/>
        <v>2200</v>
      </c>
      <c r="G297" s="51" t="s">
        <v>3</v>
      </c>
      <c r="H297" s="48">
        <v>6</v>
      </c>
      <c r="I297" s="49" t="s">
        <v>47</v>
      </c>
      <c r="J297" s="184">
        <v>140</v>
      </c>
      <c r="K297" s="75">
        <v>360</v>
      </c>
      <c r="L297" s="75">
        <v>2200</v>
      </c>
      <c r="M297" s="202">
        <v>30.074213368417656</v>
      </c>
      <c r="N297" s="87">
        <v>2060.3131846101087</v>
      </c>
      <c r="O297" s="123">
        <v>48405.949758303985</v>
      </c>
      <c r="P297" s="121">
        <v>60367.05036367134</v>
      </c>
      <c r="Q297" s="120">
        <v>30147.621544883372</v>
      </c>
      <c r="R297" s="314">
        <v>78553.57130318736</v>
      </c>
      <c r="S297" s="315">
        <v>90514.671908554708</v>
      </c>
      <c r="U297" s="7" t="s">
        <v>3198</v>
      </c>
    </row>
    <row r="298" spans="1:21" s="7" customFormat="1" ht="16.5" thickBot="1">
      <c r="A298" s="50" t="s">
        <v>35</v>
      </c>
      <c r="B298" s="51">
        <f t="shared" si="15"/>
        <v>140</v>
      </c>
      <c r="C298" s="51" t="s">
        <v>3</v>
      </c>
      <c r="D298" s="51">
        <f t="shared" si="16"/>
        <v>360</v>
      </c>
      <c r="E298" s="51" t="s">
        <v>3</v>
      </c>
      <c r="F298" s="99">
        <f t="shared" si="17"/>
        <v>2250</v>
      </c>
      <c r="G298" s="51" t="s">
        <v>3</v>
      </c>
      <c r="H298" s="48">
        <v>6</v>
      </c>
      <c r="I298" s="49" t="s">
        <v>47</v>
      </c>
      <c r="J298" s="184">
        <v>140</v>
      </c>
      <c r="K298" s="75">
        <v>360</v>
      </c>
      <c r="L298" s="75">
        <v>2250</v>
      </c>
      <c r="M298" s="202">
        <v>30.720916002041978</v>
      </c>
      <c r="N298" s="87">
        <v>2115.9973247347057</v>
      </c>
      <c r="O298" s="123">
        <v>49343.016628172598</v>
      </c>
      <c r="P298" s="121">
        <v>61549.468393058225</v>
      </c>
      <c r="Q298" s="120">
        <v>30701.218686386295</v>
      </c>
      <c r="R298" s="314">
        <v>80044.2353145589</v>
      </c>
      <c r="S298" s="315">
        <v>92250.687079444528</v>
      </c>
      <c r="U298" s="7" t="s">
        <v>3199</v>
      </c>
    </row>
    <row r="299" spans="1:21" s="7" customFormat="1" ht="16.5" thickBot="1">
      <c r="A299" s="50" t="s">
        <v>35</v>
      </c>
      <c r="B299" s="51">
        <f t="shared" si="15"/>
        <v>140</v>
      </c>
      <c r="C299" s="51" t="s">
        <v>3</v>
      </c>
      <c r="D299" s="51">
        <f t="shared" si="16"/>
        <v>360</v>
      </c>
      <c r="E299" s="51" t="s">
        <v>3</v>
      </c>
      <c r="F299" s="99">
        <f t="shared" si="17"/>
        <v>2300</v>
      </c>
      <c r="G299" s="51" t="s">
        <v>3</v>
      </c>
      <c r="H299" s="48">
        <v>6</v>
      </c>
      <c r="I299" s="49" t="s">
        <v>47</v>
      </c>
      <c r="J299" s="184">
        <v>140</v>
      </c>
      <c r="K299" s="75">
        <v>360</v>
      </c>
      <c r="L299" s="75">
        <v>2300</v>
      </c>
      <c r="M299" s="202">
        <v>31.367618635666304</v>
      </c>
      <c r="N299" s="87">
        <v>2171.6814648593036</v>
      </c>
      <c r="O299" s="123">
        <v>50280.115086547768</v>
      </c>
      <c r="P299" s="121">
        <v>62731.900882961454</v>
      </c>
      <c r="Q299" s="120">
        <v>31254.815827889219</v>
      </c>
      <c r="R299" s="314">
        <v>81534.930914436991</v>
      </c>
      <c r="S299" s="315">
        <v>93986.716710850669</v>
      </c>
      <c r="U299" s="7" t="s">
        <v>3200</v>
      </c>
    </row>
    <row r="300" spans="1:21" s="7" customFormat="1" ht="16.5" thickBot="1">
      <c r="A300" s="50" t="s">
        <v>35</v>
      </c>
      <c r="B300" s="51">
        <f t="shared" si="15"/>
        <v>140</v>
      </c>
      <c r="C300" s="51" t="s">
        <v>3</v>
      </c>
      <c r="D300" s="51">
        <f t="shared" si="16"/>
        <v>360</v>
      </c>
      <c r="E300" s="51" t="s">
        <v>3</v>
      </c>
      <c r="F300" s="99">
        <f t="shared" si="17"/>
        <v>2350</v>
      </c>
      <c r="G300" s="51" t="s">
        <v>3</v>
      </c>
      <c r="H300" s="48">
        <v>6</v>
      </c>
      <c r="I300" s="49" t="s">
        <v>47</v>
      </c>
      <c r="J300" s="184">
        <v>140</v>
      </c>
      <c r="K300" s="75">
        <v>360</v>
      </c>
      <c r="L300" s="75">
        <v>2350</v>
      </c>
      <c r="M300" s="202">
        <v>32.014321269290619</v>
      </c>
      <c r="N300" s="87">
        <v>2227.365604983901</v>
      </c>
      <c r="O300" s="123">
        <v>51217.243167922301</v>
      </c>
      <c r="P300" s="121">
        <v>63914.347271807565</v>
      </c>
      <c r="Q300" s="120">
        <v>32038.99474717542</v>
      </c>
      <c r="R300" s="314">
        <v>83256.237915097721</v>
      </c>
      <c r="S300" s="315">
        <v>95953.342018982978</v>
      </c>
      <c r="U300" s="7" t="s">
        <v>3201</v>
      </c>
    </row>
    <row r="301" spans="1:21" s="7" customFormat="1" ht="16.5" thickBot="1">
      <c r="A301" s="50" t="s">
        <v>35</v>
      </c>
      <c r="B301" s="51">
        <f t="shared" si="15"/>
        <v>140</v>
      </c>
      <c r="C301" s="51" t="s">
        <v>3</v>
      </c>
      <c r="D301" s="51">
        <f t="shared" si="16"/>
        <v>360</v>
      </c>
      <c r="E301" s="51" t="s">
        <v>3</v>
      </c>
      <c r="F301" s="99">
        <f t="shared" si="17"/>
        <v>2400</v>
      </c>
      <c r="G301" s="51" t="s">
        <v>3</v>
      </c>
      <c r="H301" s="48">
        <v>6</v>
      </c>
      <c r="I301" s="49" t="s">
        <v>47</v>
      </c>
      <c r="J301" s="184">
        <v>140</v>
      </c>
      <c r="K301" s="75">
        <v>360</v>
      </c>
      <c r="L301" s="75">
        <v>2400</v>
      </c>
      <c r="M301" s="202">
        <v>32.661023902914934</v>
      </c>
      <c r="N301" s="87">
        <v>2283.0497451084984</v>
      </c>
      <c r="O301" s="123">
        <v>52154.399047182873</v>
      </c>
      <c r="P301" s="121">
        <v>65096.806576843024</v>
      </c>
      <c r="Q301" s="120">
        <v>32592.591888678344</v>
      </c>
      <c r="R301" s="314">
        <v>84746.99093586122</v>
      </c>
      <c r="S301" s="315">
        <v>97689.398465521372</v>
      </c>
      <c r="U301" s="7" t="s">
        <v>3202</v>
      </c>
    </row>
    <row r="302" spans="1:21" s="7" customFormat="1" ht="16.5" thickBot="1">
      <c r="A302" s="50" t="s">
        <v>35</v>
      </c>
      <c r="B302" s="51">
        <f t="shared" si="15"/>
        <v>140</v>
      </c>
      <c r="C302" s="51" t="s">
        <v>3</v>
      </c>
      <c r="D302" s="51">
        <f t="shared" si="16"/>
        <v>360</v>
      </c>
      <c r="E302" s="51" t="s">
        <v>3</v>
      </c>
      <c r="F302" s="99">
        <f t="shared" si="17"/>
        <v>2450</v>
      </c>
      <c r="G302" s="51" t="s">
        <v>3</v>
      </c>
      <c r="H302" s="48">
        <v>6</v>
      </c>
      <c r="I302" s="49" t="s">
        <v>47</v>
      </c>
      <c r="J302" s="184">
        <v>140</v>
      </c>
      <c r="K302" s="75">
        <v>360</v>
      </c>
      <c r="L302" s="75">
        <v>2450</v>
      </c>
      <c r="M302" s="202">
        <v>33.508517162299661</v>
      </c>
      <c r="N302" s="87">
        <v>2338.7338852330963</v>
      </c>
      <c r="O302" s="123">
        <v>53810.744915868083</v>
      </c>
      <c r="P302" s="121">
        <v>67011.9728038514</v>
      </c>
      <c r="Q302" s="120">
        <v>33376.770807964545</v>
      </c>
      <c r="R302" s="314">
        <v>87187.515723832621</v>
      </c>
      <c r="S302" s="315">
        <v>100388.74361181594</v>
      </c>
      <c r="U302" s="7" t="s">
        <v>3203</v>
      </c>
    </row>
    <row r="303" spans="1:21" s="7" customFormat="1" ht="16.5" thickBot="1">
      <c r="A303" s="50" t="s">
        <v>35</v>
      </c>
      <c r="B303" s="51">
        <f t="shared" si="15"/>
        <v>140</v>
      </c>
      <c r="C303" s="51" t="s">
        <v>3</v>
      </c>
      <c r="D303" s="51">
        <f t="shared" si="16"/>
        <v>360</v>
      </c>
      <c r="E303" s="51" t="s">
        <v>3</v>
      </c>
      <c r="F303" s="99">
        <f t="shared" si="17"/>
        <v>2500</v>
      </c>
      <c r="G303" s="51" t="s">
        <v>3</v>
      </c>
      <c r="H303" s="48">
        <v>6</v>
      </c>
      <c r="I303" s="49" t="s">
        <v>47</v>
      </c>
      <c r="J303" s="184">
        <v>140</v>
      </c>
      <c r="K303" s="75">
        <v>360</v>
      </c>
      <c r="L303" s="75">
        <v>2500</v>
      </c>
      <c r="M303" s="202">
        <v>34.155219795923976</v>
      </c>
      <c r="N303" s="87">
        <v>2394.4180253576933</v>
      </c>
      <c r="O303" s="123">
        <v>54747.860361840125</v>
      </c>
      <c r="P303" s="121">
        <v>68194.474367288974</v>
      </c>
      <c r="Q303" s="120">
        <v>33930.367949467472</v>
      </c>
      <c r="R303" s="314">
        <v>88678.228311307597</v>
      </c>
      <c r="S303" s="315">
        <v>102124.84231675645</v>
      </c>
      <c r="U303" s="7" t="s">
        <v>3204</v>
      </c>
    </row>
    <row r="304" spans="1:21" s="7" customFormat="1" ht="16.5" thickBot="1">
      <c r="A304" s="50" t="s">
        <v>35</v>
      </c>
      <c r="B304" s="51">
        <f t="shared" si="15"/>
        <v>140</v>
      </c>
      <c r="C304" s="51" t="s">
        <v>3</v>
      </c>
      <c r="D304" s="51">
        <f t="shared" si="16"/>
        <v>360</v>
      </c>
      <c r="E304" s="51" t="s">
        <v>3</v>
      </c>
      <c r="F304" s="99">
        <f t="shared" si="17"/>
        <v>2550</v>
      </c>
      <c r="G304" s="51" t="s">
        <v>3</v>
      </c>
      <c r="H304" s="48">
        <v>6</v>
      </c>
      <c r="I304" s="49" t="s">
        <v>47</v>
      </c>
      <c r="J304" s="184">
        <v>140</v>
      </c>
      <c r="K304" s="75">
        <v>360</v>
      </c>
      <c r="L304" s="75">
        <v>2550</v>
      </c>
      <c r="M304" s="202">
        <v>34.801922429548291</v>
      </c>
      <c r="N304" s="87">
        <v>2450.1021654822912</v>
      </c>
      <c r="O304" s="123">
        <v>55685.002622944397</v>
      </c>
      <c r="P304" s="121">
        <v>69376.986179442014</v>
      </c>
      <c r="Q304" s="120">
        <v>34714.547009147034</v>
      </c>
      <c r="R304" s="314">
        <v>90399.549632091424</v>
      </c>
      <c r="S304" s="315">
        <v>104091.53318858905</v>
      </c>
      <c r="U304" s="7" t="s">
        <v>3205</v>
      </c>
    </row>
    <row r="305" spans="1:21" s="7" customFormat="1" ht="16.5" thickBot="1">
      <c r="A305" s="47" t="s">
        <v>35</v>
      </c>
      <c r="B305" s="48">
        <f t="shared" si="15"/>
        <v>140</v>
      </c>
      <c r="C305" s="48" t="s">
        <v>3</v>
      </c>
      <c r="D305" s="48">
        <f t="shared" si="16"/>
        <v>360</v>
      </c>
      <c r="E305" s="48" t="s">
        <v>3</v>
      </c>
      <c r="F305" s="99">
        <f t="shared" si="17"/>
        <v>2600</v>
      </c>
      <c r="G305" s="48" t="s">
        <v>3</v>
      </c>
      <c r="H305" s="48">
        <v>6</v>
      </c>
      <c r="I305" s="49" t="s">
        <v>47</v>
      </c>
      <c r="J305" s="184">
        <v>140</v>
      </c>
      <c r="K305" s="75">
        <v>360</v>
      </c>
      <c r="L305" s="75">
        <v>2600</v>
      </c>
      <c r="M305" s="202">
        <v>35.448625063172621</v>
      </c>
      <c r="N305" s="87">
        <v>2505.7863056068886</v>
      </c>
      <c r="O305" s="123">
        <v>55580.858265068455</v>
      </c>
      <c r="P305" s="121">
        <v>69234.440446301523</v>
      </c>
      <c r="Q305" s="120">
        <v>35268.144150649961</v>
      </c>
      <c r="R305" s="314">
        <v>90849.002415718423</v>
      </c>
      <c r="S305" s="315">
        <v>104502.58459695149</v>
      </c>
      <c r="U305" s="7" t="s">
        <v>3206</v>
      </c>
    </row>
    <row r="306" spans="1:21" s="7" customFormat="1" ht="16.5" thickBot="1">
      <c r="A306" s="50" t="s">
        <v>35</v>
      </c>
      <c r="B306" s="51">
        <f t="shared" si="15"/>
        <v>140</v>
      </c>
      <c r="C306" s="51" t="s">
        <v>3</v>
      </c>
      <c r="D306" s="51">
        <f t="shared" si="16"/>
        <v>360</v>
      </c>
      <c r="E306" s="51" t="s">
        <v>3</v>
      </c>
      <c r="F306" s="99">
        <f t="shared" si="17"/>
        <v>2650</v>
      </c>
      <c r="G306" s="51" t="s">
        <v>3</v>
      </c>
      <c r="H306" s="48">
        <v>6</v>
      </c>
      <c r="I306" s="49" t="s">
        <v>47</v>
      </c>
      <c r="J306" s="184">
        <v>140</v>
      </c>
      <c r="K306" s="75">
        <v>360</v>
      </c>
      <c r="L306" s="75">
        <v>2650</v>
      </c>
      <c r="M306" s="202">
        <v>36.095327696796943</v>
      </c>
      <c r="N306" s="87">
        <v>2561.4704457314861</v>
      </c>
      <c r="O306" s="123">
        <v>56796.501085657779</v>
      </c>
      <c r="P306" s="121">
        <v>70771.053380105601</v>
      </c>
      <c r="Q306" s="120">
        <v>36052.323069936159</v>
      </c>
      <c r="R306" s="314">
        <v>92848.824155593931</v>
      </c>
      <c r="S306" s="315">
        <v>106823.37645004176</v>
      </c>
      <c r="U306" s="7" t="s">
        <v>3207</v>
      </c>
    </row>
    <row r="307" spans="1:21" s="7" customFormat="1" ht="16.5" thickBot="1">
      <c r="A307" s="50" t="s">
        <v>35</v>
      </c>
      <c r="B307" s="51">
        <f t="shared" si="15"/>
        <v>140</v>
      </c>
      <c r="C307" s="51" t="s">
        <v>3</v>
      </c>
      <c r="D307" s="51">
        <f t="shared" si="16"/>
        <v>360</v>
      </c>
      <c r="E307" s="51" t="s">
        <v>3</v>
      </c>
      <c r="F307" s="99">
        <f t="shared" si="17"/>
        <v>2700</v>
      </c>
      <c r="G307" s="51" t="s">
        <v>3</v>
      </c>
      <c r="H307" s="48">
        <v>6</v>
      </c>
      <c r="I307" s="49" t="s">
        <v>47</v>
      </c>
      <c r="J307" s="184">
        <v>140</v>
      </c>
      <c r="K307" s="75">
        <v>360</v>
      </c>
      <c r="L307" s="75">
        <v>2700</v>
      </c>
      <c r="M307" s="202">
        <v>36.85836733042126</v>
      </c>
      <c r="N307" s="87">
        <v>2617.1545858560839</v>
      </c>
      <c r="O307" s="123">
        <v>57858.76163063533</v>
      </c>
      <c r="P307" s="121">
        <v>72081.399526122841</v>
      </c>
      <c r="Q307" s="120">
        <v>36605.920211439086</v>
      </c>
      <c r="R307" s="314">
        <v>94464.681842074409</v>
      </c>
      <c r="S307" s="315">
        <v>108687.31973756192</v>
      </c>
      <c r="U307" s="7" t="s">
        <v>3208</v>
      </c>
    </row>
    <row r="308" spans="1:21" s="7" customFormat="1" ht="16.5" thickBot="1">
      <c r="A308" s="50" t="s">
        <v>35</v>
      </c>
      <c r="B308" s="51">
        <f t="shared" si="15"/>
        <v>140</v>
      </c>
      <c r="C308" s="51" t="s">
        <v>3</v>
      </c>
      <c r="D308" s="51">
        <f t="shared" si="16"/>
        <v>360</v>
      </c>
      <c r="E308" s="51" t="s">
        <v>3</v>
      </c>
      <c r="F308" s="99">
        <f t="shared" si="17"/>
        <v>2750</v>
      </c>
      <c r="G308" s="51" t="s">
        <v>3</v>
      </c>
      <c r="H308" s="48">
        <v>6</v>
      </c>
      <c r="I308" s="49" t="s">
        <v>47</v>
      </c>
      <c r="J308" s="184">
        <v>140</v>
      </c>
      <c r="K308" s="75">
        <v>360</v>
      </c>
      <c r="L308" s="75">
        <v>2750</v>
      </c>
      <c r="M308" s="202">
        <v>37.505069964045575</v>
      </c>
      <c r="N308" s="87">
        <v>2672.8387259806809</v>
      </c>
      <c r="O308" s="123">
        <v>58798.389696616025</v>
      </c>
      <c r="P308" s="121">
        <v>73266.762306288161</v>
      </c>
      <c r="Q308" s="120">
        <v>37159.517352942006</v>
      </c>
      <c r="R308" s="314">
        <v>95957.907049558038</v>
      </c>
      <c r="S308" s="315">
        <v>110426.27965923017</v>
      </c>
      <c r="U308" s="7" t="s">
        <v>3209</v>
      </c>
    </row>
    <row r="309" spans="1:21" s="7" customFormat="1" ht="16.5" thickBot="1">
      <c r="A309" s="50" t="s">
        <v>35</v>
      </c>
      <c r="B309" s="51">
        <f t="shared" si="15"/>
        <v>140</v>
      </c>
      <c r="C309" s="51" t="s">
        <v>3</v>
      </c>
      <c r="D309" s="51">
        <f t="shared" si="16"/>
        <v>360</v>
      </c>
      <c r="E309" s="51" t="s">
        <v>3</v>
      </c>
      <c r="F309" s="99">
        <f t="shared" si="17"/>
        <v>2800</v>
      </c>
      <c r="G309" s="51" t="s">
        <v>3</v>
      </c>
      <c r="H309" s="48">
        <v>6</v>
      </c>
      <c r="I309" s="49" t="s">
        <v>47</v>
      </c>
      <c r="J309" s="184">
        <v>140</v>
      </c>
      <c r="K309" s="75">
        <v>360</v>
      </c>
      <c r="L309" s="75">
        <v>2800</v>
      </c>
      <c r="M309" s="202">
        <v>38.151772597669897</v>
      </c>
      <c r="N309" s="87">
        <v>2728.5228661052788</v>
      </c>
      <c r="O309" s="123">
        <v>59738.027028558652</v>
      </c>
      <c r="P309" s="121">
        <v>74452.127473140645</v>
      </c>
      <c r="Q309" s="120">
        <v>37943.696272228204</v>
      </c>
      <c r="R309" s="314">
        <v>97681.723300786864</v>
      </c>
      <c r="S309" s="315">
        <v>112395.82374536885</v>
      </c>
      <c r="U309" s="7" t="s">
        <v>3210</v>
      </c>
    </row>
    <row r="310" spans="1:21" ht="16.5" thickBot="1">
      <c r="A310" s="50" t="s">
        <v>35</v>
      </c>
      <c r="B310" s="51">
        <f t="shared" si="15"/>
        <v>140</v>
      </c>
      <c r="C310" s="51" t="s">
        <v>3</v>
      </c>
      <c r="D310" s="51">
        <f t="shared" si="16"/>
        <v>360</v>
      </c>
      <c r="E310" s="51" t="s">
        <v>3</v>
      </c>
      <c r="F310" s="99">
        <f t="shared" si="17"/>
        <v>2850</v>
      </c>
      <c r="G310" s="51" t="s">
        <v>3</v>
      </c>
      <c r="H310" s="48">
        <v>6</v>
      </c>
      <c r="I310" s="49" t="s">
        <v>47</v>
      </c>
      <c r="J310" s="184">
        <v>140</v>
      </c>
      <c r="K310" s="75">
        <v>360</v>
      </c>
      <c r="L310" s="75">
        <v>2850</v>
      </c>
      <c r="M310" s="202">
        <v>38.798475231294219</v>
      </c>
      <c r="N310" s="87">
        <v>2784.2070062298762</v>
      </c>
      <c r="O310" s="123">
        <v>60677.673205283114</v>
      </c>
      <c r="P310" s="121">
        <v>75637.49488628695</v>
      </c>
      <c r="Q310" s="120">
        <v>38497.293413731131</v>
      </c>
      <c r="R310" s="314">
        <v>99174.966619014245</v>
      </c>
      <c r="S310" s="315">
        <v>114134.78830001809</v>
      </c>
      <c r="U310" s="7" t="s">
        <v>3211</v>
      </c>
    </row>
    <row r="311" spans="1:21" ht="16.5" thickBot="1">
      <c r="A311" s="50" t="s">
        <v>35</v>
      </c>
      <c r="B311" s="51">
        <f t="shared" si="15"/>
        <v>140</v>
      </c>
      <c r="C311" s="51" t="s">
        <v>3</v>
      </c>
      <c r="D311" s="51">
        <f t="shared" si="16"/>
        <v>360</v>
      </c>
      <c r="E311" s="51" t="s">
        <v>3</v>
      </c>
      <c r="F311" s="99">
        <f t="shared" si="17"/>
        <v>2900</v>
      </c>
      <c r="G311" s="51" t="s">
        <v>3</v>
      </c>
      <c r="H311" s="48">
        <v>6</v>
      </c>
      <c r="I311" s="49" t="s">
        <v>47</v>
      </c>
      <c r="J311" s="184">
        <v>140</v>
      </c>
      <c r="K311" s="75">
        <v>360</v>
      </c>
      <c r="L311" s="75">
        <v>2900</v>
      </c>
      <c r="M311" s="202">
        <v>39.445177864918534</v>
      </c>
      <c r="N311" s="87">
        <v>2839.8911463544737</v>
      </c>
      <c r="O311" s="123">
        <v>61617.327524822598</v>
      </c>
      <c r="P311" s="121">
        <v>76822.864264940159</v>
      </c>
      <c r="Q311" s="120">
        <v>39281.472333017329</v>
      </c>
      <c r="R311" s="314">
        <v>100898.79985783993</v>
      </c>
      <c r="S311" s="315">
        <v>116104.33659795749</v>
      </c>
      <c r="U311" s="7" t="s">
        <v>3212</v>
      </c>
    </row>
    <row r="312" spans="1:21" ht="16.5" thickBot="1">
      <c r="A312" s="50" t="s">
        <v>35</v>
      </c>
      <c r="B312" s="51">
        <f t="shared" si="15"/>
        <v>140</v>
      </c>
      <c r="C312" s="51" t="s">
        <v>3</v>
      </c>
      <c r="D312" s="51">
        <f t="shared" si="16"/>
        <v>360</v>
      </c>
      <c r="E312" s="51" t="s">
        <v>3</v>
      </c>
      <c r="F312" s="99">
        <f t="shared" si="17"/>
        <v>2950</v>
      </c>
      <c r="G312" s="51" t="s">
        <v>3</v>
      </c>
      <c r="H312" s="48">
        <v>6</v>
      </c>
      <c r="I312" s="49" t="s">
        <v>47</v>
      </c>
      <c r="J312" s="184">
        <v>140</v>
      </c>
      <c r="K312" s="75">
        <v>360</v>
      </c>
      <c r="L312" s="75">
        <v>2950</v>
      </c>
      <c r="M312" s="202">
        <v>40.091880498542857</v>
      </c>
      <c r="N312" s="87">
        <v>2895.5752864790716</v>
      </c>
      <c r="O312" s="123">
        <v>62556.989987177112</v>
      </c>
      <c r="P312" s="121">
        <v>78008.235609100739</v>
      </c>
      <c r="Q312" s="120">
        <v>39835.069474520256</v>
      </c>
      <c r="R312" s="314">
        <v>102392.05946169737</v>
      </c>
      <c r="S312" s="315">
        <v>117843.305083621</v>
      </c>
      <c r="U312" s="7" t="s">
        <v>3213</v>
      </c>
    </row>
    <row r="313" spans="1:21" ht="16.5" thickBot="1">
      <c r="A313" s="52" t="s">
        <v>35</v>
      </c>
      <c r="B313" s="53">
        <f t="shared" si="15"/>
        <v>140</v>
      </c>
      <c r="C313" s="53" t="s">
        <v>3</v>
      </c>
      <c r="D313" s="53">
        <f t="shared" si="16"/>
        <v>360</v>
      </c>
      <c r="E313" s="53" t="s">
        <v>3</v>
      </c>
      <c r="F313" s="100">
        <f t="shared" si="17"/>
        <v>3000</v>
      </c>
      <c r="G313" s="53" t="s">
        <v>3</v>
      </c>
      <c r="H313" s="48">
        <v>6</v>
      </c>
      <c r="I313" s="54" t="s">
        <v>47</v>
      </c>
      <c r="J313" s="184">
        <v>140</v>
      </c>
      <c r="K313" s="147">
        <v>360</v>
      </c>
      <c r="L313" s="147">
        <v>3000</v>
      </c>
      <c r="M313" s="209">
        <v>40.738583132167172</v>
      </c>
      <c r="N313" s="148">
        <v>2951.2594266036685</v>
      </c>
      <c r="O313" s="149">
        <v>64459.940026140772</v>
      </c>
      <c r="P313" s="158">
        <v>79193.608918768252</v>
      </c>
      <c r="Q313" s="159">
        <v>40619.248393806454</v>
      </c>
      <c r="R313" s="316">
        <v>105079.18841994723</v>
      </c>
      <c r="S313" s="317">
        <v>119812.85731257471</v>
      </c>
      <c r="U313" s="7" t="s">
        <v>3214</v>
      </c>
    </row>
    <row r="314" spans="1:21" ht="22.5" customHeight="1" thickBot="1">
      <c r="A314" s="2621" t="s">
        <v>49</v>
      </c>
      <c r="B314" s="2622"/>
      <c r="C314" s="2622"/>
      <c r="D314" s="2622"/>
      <c r="E314" s="2622"/>
      <c r="F314" s="2622"/>
      <c r="G314" s="2622"/>
      <c r="H314" s="2622"/>
      <c r="I314" s="2622"/>
      <c r="J314" s="2622"/>
      <c r="K314" s="2622"/>
      <c r="L314" s="2622"/>
      <c r="M314" s="2622"/>
      <c r="N314" s="2622"/>
      <c r="O314" s="2622"/>
      <c r="P314" s="2622"/>
      <c r="Q314" s="2622"/>
      <c r="R314" s="2622"/>
      <c r="S314" s="2623"/>
      <c r="U314" s="7"/>
    </row>
    <row r="315" spans="1:21" ht="16.5" thickBot="1">
      <c r="A315" s="2583" t="s">
        <v>140</v>
      </c>
      <c r="B315" s="2584"/>
      <c r="C315" s="2584"/>
      <c r="D315" s="2584"/>
      <c r="E315" s="2584"/>
      <c r="F315" s="2584"/>
      <c r="G315" s="2584"/>
      <c r="H315" s="2584"/>
      <c r="I315" s="2584"/>
      <c r="J315" s="2584"/>
      <c r="K315" s="2584"/>
      <c r="L315" s="2584"/>
      <c r="M315" s="2584"/>
      <c r="N315" s="2584"/>
      <c r="O315" s="2584"/>
      <c r="P315" s="2584"/>
      <c r="Q315" s="2584"/>
      <c r="R315" s="2584"/>
      <c r="S315" s="2585"/>
      <c r="U315" s="7"/>
    </row>
    <row r="316" spans="1:21" ht="16.5" thickBot="1">
      <c r="A316" s="47" t="s">
        <v>35</v>
      </c>
      <c r="B316" s="48">
        <f>J316</f>
        <v>140</v>
      </c>
      <c r="C316" s="48" t="s">
        <v>3</v>
      </c>
      <c r="D316" s="48">
        <f>K316</f>
        <v>360</v>
      </c>
      <c r="E316" s="48" t="s">
        <v>3</v>
      </c>
      <c r="F316" s="99">
        <f>L316</f>
        <v>600</v>
      </c>
      <c r="G316" s="48" t="s">
        <v>3</v>
      </c>
      <c r="H316" s="48">
        <v>8</v>
      </c>
      <c r="I316" s="49" t="s">
        <v>47</v>
      </c>
      <c r="J316" s="181">
        <v>140</v>
      </c>
      <c r="K316" s="143">
        <v>360</v>
      </c>
      <c r="L316" s="143">
        <v>600</v>
      </c>
      <c r="M316" s="201">
        <v>9.4419859768821617</v>
      </c>
      <c r="N316" s="144">
        <v>305.95681387141497</v>
      </c>
      <c r="O316" s="145">
        <v>19596.240315378003</v>
      </c>
      <c r="P316" s="183">
        <v>23275.000585405691</v>
      </c>
      <c r="Q316" s="169">
        <v>9204.3678470371888</v>
      </c>
      <c r="R316" s="312">
        <v>28800.608162415192</v>
      </c>
      <c r="S316" s="313">
        <v>32479.36843244288</v>
      </c>
      <c r="U316" s="7" t="s">
        <v>3215</v>
      </c>
    </row>
    <row r="317" spans="1:21" ht="16.5" thickBot="1">
      <c r="A317" s="50" t="s">
        <v>35</v>
      </c>
      <c r="B317" s="51">
        <f t="shared" ref="B317:B364" si="18">J317</f>
        <v>140</v>
      </c>
      <c r="C317" s="51" t="s">
        <v>3</v>
      </c>
      <c r="D317" s="51">
        <f t="shared" ref="D317:D364" si="19">K317</f>
        <v>360</v>
      </c>
      <c r="E317" s="51" t="s">
        <v>3</v>
      </c>
      <c r="F317" s="99">
        <f t="shared" ref="F317:F364" si="20">L317</f>
        <v>650</v>
      </c>
      <c r="G317" s="51" t="s">
        <v>3</v>
      </c>
      <c r="H317" s="48">
        <v>8</v>
      </c>
      <c r="I317" s="49" t="s">
        <v>47</v>
      </c>
      <c r="J317" s="184">
        <v>140</v>
      </c>
      <c r="K317" s="75">
        <v>360</v>
      </c>
      <c r="L317" s="75">
        <v>650</v>
      </c>
      <c r="M317" s="202">
        <v>10.15451153170792</v>
      </c>
      <c r="N317" s="87">
        <v>367.14817664569796</v>
      </c>
      <c r="O317" s="123">
        <v>20755.997732910491</v>
      </c>
      <c r="P317" s="121">
        <v>24660.289550685608</v>
      </c>
      <c r="Q317" s="120">
        <v>9757.9649885401141</v>
      </c>
      <c r="R317" s="314">
        <v>30513.962721450604</v>
      </c>
      <c r="S317" s="315">
        <v>34418.254539225723</v>
      </c>
      <c r="U317" s="7" t="s">
        <v>3216</v>
      </c>
    </row>
    <row r="318" spans="1:21" ht="16.5" thickBot="1">
      <c r="A318" s="50" t="s">
        <v>35</v>
      </c>
      <c r="B318" s="51">
        <f t="shared" si="18"/>
        <v>140</v>
      </c>
      <c r="C318" s="51" t="s">
        <v>3</v>
      </c>
      <c r="D318" s="51">
        <f t="shared" si="19"/>
        <v>360</v>
      </c>
      <c r="E318" s="51" t="s">
        <v>3</v>
      </c>
      <c r="F318" s="99">
        <f t="shared" si="20"/>
        <v>700</v>
      </c>
      <c r="G318" s="51" t="s">
        <v>3</v>
      </c>
      <c r="H318" s="48">
        <v>8</v>
      </c>
      <c r="I318" s="49" t="s">
        <v>47</v>
      </c>
      <c r="J318" s="184">
        <v>140</v>
      </c>
      <c r="K318" s="75">
        <v>360</v>
      </c>
      <c r="L318" s="75">
        <v>700</v>
      </c>
      <c r="M318" s="202">
        <v>10.883872606533679</v>
      </c>
      <c r="N318" s="87">
        <v>428.33953941998095</v>
      </c>
      <c r="O318" s="123">
        <v>21915.755290836343</v>
      </c>
      <c r="P318" s="121">
        <v>26045.578656358881</v>
      </c>
      <c r="Q318" s="120">
        <v>10542.143907826316</v>
      </c>
      <c r="R318" s="314">
        <v>32457.899198662657</v>
      </c>
      <c r="S318" s="315">
        <v>36587.722564185198</v>
      </c>
      <c r="U318" s="7" t="s">
        <v>3217</v>
      </c>
    </row>
    <row r="319" spans="1:21" ht="16.5" thickBot="1">
      <c r="A319" s="50" t="s">
        <v>35</v>
      </c>
      <c r="B319" s="51">
        <f t="shared" si="18"/>
        <v>140</v>
      </c>
      <c r="C319" s="51" t="s">
        <v>3</v>
      </c>
      <c r="D319" s="51">
        <f t="shared" si="19"/>
        <v>360</v>
      </c>
      <c r="E319" s="51" t="s">
        <v>3</v>
      </c>
      <c r="F319" s="99">
        <f t="shared" si="20"/>
        <v>750</v>
      </c>
      <c r="G319" s="51" t="s">
        <v>3</v>
      </c>
      <c r="H319" s="48">
        <v>8</v>
      </c>
      <c r="I319" s="49" t="s">
        <v>47</v>
      </c>
      <c r="J319" s="184">
        <v>140</v>
      </c>
      <c r="K319" s="75">
        <v>360</v>
      </c>
      <c r="L319" s="75">
        <v>750</v>
      </c>
      <c r="M319" s="202">
        <v>11.596398161359438</v>
      </c>
      <c r="N319" s="87">
        <v>489.53090219426394</v>
      </c>
      <c r="O319" s="123">
        <v>23075.512708368828</v>
      </c>
      <c r="P319" s="121">
        <v>27430.86762163879</v>
      </c>
      <c r="Q319" s="120">
        <v>11095.741049329239</v>
      </c>
      <c r="R319" s="314">
        <v>34171.253757698069</v>
      </c>
      <c r="S319" s="315">
        <v>38526.608670968031</v>
      </c>
      <c r="U319" s="7" t="s">
        <v>3218</v>
      </c>
    </row>
    <row r="320" spans="1:21" ht="16.5" thickBot="1">
      <c r="A320" s="50" t="s">
        <v>35</v>
      </c>
      <c r="B320" s="51">
        <f t="shared" si="18"/>
        <v>140</v>
      </c>
      <c r="C320" s="51" t="s">
        <v>3</v>
      </c>
      <c r="D320" s="51">
        <f t="shared" si="19"/>
        <v>360</v>
      </c>
      <c r="E320" s="51" t="s">
        <v>3</v>
      </c>
      <c r="F320" s="99">
        <f t="shared" si="20"/>
        <v>800</v>
      </c>
      <c r="G320" s="51" t="s">
        <v>3</v>
      </c>
      <c r="H320" s="48">
        <v>8</v>
      </c>
      <c r="I320" s="49" t="s">
        <v>47</v>
      </c>
      <c r="J320" s="184">
        <v>140</v>
      </c>
      <c r="K320" s="75">
        <v>360</v>
      </c>
      <c r="L320" s="75">
        <v>800</v>
      </c>
      <c r="M320" s="202">
        <v>12.3089237161852</v>
      </c>
      <c r="N320" s="87">
        <v>550.72226496854694</v>
      </c>
      <c r="O320" s="123">
        <v>24235.270125901319</v>
      </c>
      <c r="P320" s="121">
        <v>28816.156586918707</v>
      </c>
      <c r="Q320" s="120">
        <v>11649.338190832164</v>
      </c>
      <c r="R320" s="314">
        <v>35884.608316733487</v>
      </c>
      <c r="S320" s="315">
        <v>40465.494777750871</v>
      </c>
      <c r="U320" s="7" t="s">
        <v>3219</v>
      </c>
    </row>
    <row r="321" spans="1:21" ht="16.5" thickBot="1">
      <c r="A321" s="50" t="s">
        <v>35</v>
      </c>
      <c r="B321" s="51">
        <f t="shared" si="18"/>
        <v>140</v>
      </c>
      <c r="C321" s="51" t="s">
        <v>3</v>
      </c>
      <c r="D321" s="51">
        <f t="shared" si="19"/>
        <v>360</v>
      </c>
      <c r="E321" s="51" t="s">
        <v>3</v>
      </c>
      <c r="F321" s="99">
        <f t="shared" si="20"/>
        <v>850</v>
      </c>
      <c r="G321" s="51" t="s">
        <v>3</v>
      </c>
      <c r="H321" s="48">
        <v>8</v>
      </c>
      <c r="I321" s="49" t="s">
        <v>47</v>
      </c>
      <c r="J321" s="184">
        <v>140</v>
      </c>
      <c r="K321" s="75">
        <v>360</v>
      </c>
      <c r="L321" s="75">
        <v>850</v>
      </c>
      <c r="M321" s="202">
        <v>13.038284791010961</v>
      </c>
      <c r="N321" s="87">
        <v>611.91362774282993</v>
      </c>
      <c r="O321" s="123">
        <v>25395.027683827167</v>
      </c>
      <c r="P321" s="121">
        <v>30201.44569259198</v>
      </c>
      <c r="Q321" s="120">
        <v>12433.517110118366</v>
      </c>
      <c r="R321" s="314">
        <v>37828.544793945533</v>
      </c>
      <c r="S321" s="315">
        <v>42634.962802710346</v>
      </c>
      <c r="U321" s="7" t="s">
        <v>3220</v>
      </c>
    </row>
    <row r="322" spans="1:21" ht="16.5" thickBot="1">
      <c r="A322" s="50" t="s">
        <v>35</v>
      </c>
      <c r="B322" s="51">
        <f t="shared" si="18"/>
        <v>140</v>
      </c>
      <c r="C322" s="51" t="s">
        <v>3</v>
      </c>
      <c r="D322" s="51">
        <f t="shared" si="19"/>
        <v>360</v>
      </c>
      <c r="E322" s="51" t="s">
        <v>3</v>
      </c>
      <c r="F322" s="99">
        <f t="shared" si="20"/>
        <v>900</v>
      </c>
      <c r="G322" s="51" t="s">
        <v>3</v>
      </c>
      <c r="H322" s="48">
        <v>8</v>
      </c>
      <c r="I322" s="49" t="s">
        <v>47</v>
      </c>
      <c r="J322" s="184">
        <v>140</v>
      </c>
      <c r="K322" s="75">
        <v>360</v>
      </c>
      <c r="L322" s="75">
        <v>900</v>
      </c>
      <c r="M322" s="202">
        <v>13.750810345836721</v>
      </c>
      <c r="N322" s="87">
        <v>673.10499051711292</v>
      </c>
      <c r="O322" s="123">
        <v>26554.785101359517</v>
      </c>
      <c r="P322" s="121">
        <v>31586.734657871893</v>
      </c>
      <c r="Q322" s="120">
        <v>12987.114251621291</v>
      </c>
      <c r="R322" s="314">
        <v>39541.899352980807</v>
      </c>
      <c r="S322" s="315">
        <v>44573.848909493187</v>
      </c>
      <c r="U322" s="7" t="s">
        <v>3221</v>
      </c>
    </row>
    <row r="323" spans="1:21" ht="16.5" thickBot="1">
      <c r="A323" s="50" t="s">
        <v>35</v>
      </c>
      <c r="B323" s="51">
        <f t="shared" si="18"/>
        <v>140</v>
      </c>
      <c r="C323" s="51" t="s">
        <v>3</v>
      </c>
      <c r="D323" s="51">
        <f t="shared" si="19"/>
        <v>360</v>
      </c>
      <c r="E323" s="51" t="s">
        <v>3</v>
      </c>
      <c r="F323" s="99">
        <f t="shared" si="20"/>
        <v>950</v>
      </c>
      <c r="G323" s="51" t="s">
        <v>3</v>
      </c>
      <c r="H323" s="48">
        <v>8</v>
      </c>
      <c r="I323" s="49" t="s">
        <v>47</v>
      </c>
      <c r="J323" s="184">
        <v>140</v>
      </c>
      <c r="K323" s="75">
        <v>360</v>
      </c>
      <c r="L323" s="75">
        <v>950</v>
      </c>
      <c r="M323" s="202">
        <v>14.480171420662481</v>
      </c>
      <c r="N323" s="87">
        <v>734.29635329139592</v>
      </c>
      <c r="O323" s="123">
        <v>27714.542659285504</v>
      </c>
      <c r="P323" s="121">
        <v>32972.02376354517</v>
      </c>
      <c r="Q323" s="120">
        <v>13771.293170907491</v>
      </c>
      <c r="R323" s="314">
        <v>41485.835830192998</v>
      </c>
      <c r="S323" s="315">
        <v>46743.316934452661</v>
      </c>
      <c r="U323" s="7" t="s">
        <v>3222</v>
      </c>
    </row>
    <row r="324" spans="1:21" ht="16.5" thickBot="1">
      <c r="A324" s="50" t="s">
        <v>35</v>
      </c>
      <c r="B324" s="51">
        <f t="shared" si="18"/>
        <v>140</v>
      </c>
      <c r="C324" s="51" t="s">
        <v>3</v>
      </c>
      <c r="D324" s="51">
        <f t="shared" si="19"/>
        <v>360</v>
      </c>
      <c r="E324" s="51" t="s">
        <v>3</v>
      </c>
      <c r="F324" s="99">
        <f t="shared" si="20"/>
        <v>1000</v>
      </c>
      <c r="G324" s="51" t="s">
        <v>3</v>
      </c>
      <c r="H324" s="48">
        <v>8</v>
      </c>
      <c r="I324" s="49" t="s">
        <v>47</v>
      </c>
      <c r="J324" s="184">
        <v>140</v>
      </c>
      <c r="K324" s="75">
        <v>360</v>
      </c>
      <c r="L324" s="75">
        <v>1000</v>
      </c>
      <c r="M324" s="202">
        <v>15.192696975488241</v>
      </c>
      <c r="N324" s="87">
        <v>795.48771606567891</v>
      </c>
      <c r="O324" s="123">
        <v>28874.300076817995</v>
      </c>
      <c r="P324" s="121">
        <v>34357.312728825083</v>
      </c>
      <c r="Q324" s="120">
        <v>14324.890312410414</v>
      </c>
      <c r="R324" s="314">
        <v>43199.19038922841</v>
      </c>
      <c r="S324" s="315">
        <v>48682.203041235494</v>
      </c>
      <c r="U324" s="7" t="s">
        <v>3223</v>
      </c>
    </row>
    <row r="325" spans="1:21" ht="16.5" thickBot="1">
      <c r="A325" s="50" t="s">
        <v>35</v>
      </c>
      <c r="B325" s="51">
        <f t="shared" si="18"/>
        <v>140</v>
      </c>
      <c r="C325" s="51" t="s">
        <v>3</v>
      </c>
      <c r="D325" s="51">
        <f t="shared" si="19"/>
        <v>360</v>
      </c>
      <c r="E325" s="51" t="s">
        <v>3</v>
      </c>
      <c r="F325" s="99">
        <f t="shared" si="20"/>
        <v>1050</v>
      </c>
      <c r="G325" s="51" t="s">
        <v>3</v>
      </c>
      <c r="H325" s="48">
        <v>8</v>
      </c>
      <c r="I325" s="49" t="s">
        <v>47</v>
      </c>
      <c r="J325" s="184">
        <v>140</v>
      </c>
      <c r="K325" s="75">
        <v>360</v>
      </c>
      <c r="L325" s="75">
        <v>1050</v>
      </c>
      <c r="M325" s="202">
        <v>15.922058050314002</v>
      </c>
      <c r="N325" s="87">
        <v>856.6790788399619</v>
      </c>
      <c r="O325" s="123">
        <v>30034.05749435048</v>
      </c>
      <c r="P325" s="121">
        <v>35742.601834498353</v>
      </c>
      <c r="Q325" s="120">
        <v>15109.069231696616</v>
      </c>
      <c r="R325" s="314">
        <v>45143.126726047092</v>
      </c>
      <c r="S325" s="315">
        <v>50851.671066194969</v>
      </c>
      <c r="U325" s="7" t="s">
        <v>3224</v>
      </c>
    </row>
    <row r="326" spans="1:21" ht="16.5" thickBot="1">
      <c r="A326" s="47" t="s">
        <v>35</v>
      </c>
      <c r="B326" s="48">
        <f t="shared" si="18"/>
        <v>140</v>
      </c>
      <c r="C326" s="48" t="s">
        <v>3</v>
      </c>
      <c r="D326" s="48">
        <f t="shared" si="19"/>
        <v>360</v>
      </c>
      <c r="E326" s="48" t="s">
        <v>3</v>
      </c>
      <c r="F326" s="99">
        <f t="shared" si="20"/>
        <v>1100</v>
      </c>
      <c r="G326" s="48" t="s">
        <v>3</v>
      </c>
      <c r="H326" s="48">
        <v>8</v>
      </c>
      <c r="I326" s="49" t="s">
        <v>47</v>
      </c>
      <c r="J326" s="184">
        <v>140</v>
      </c>
      <c r="K326" s="75">
        <v>360</v>
      </c>
      <c r="L326" s="75">
        <v>1100</v>
      </c>
      <c r="M326" s="202">
        <v>16.63458360513976</v>
      </c>
      <c r="N326" s="87">
        <v>917.8704416142449</v>
      </c>
      <c r="O326" s="123">
        <v>31193.815052276332</v>
      </c>
      <c r="P326" s="121">
        <v>37127.890799778274</v>
      </c>
      <c r="Q326" s="120">
        <v>15662.66637319954</v>
      </c>
      <c r="R326" s="314">
        <v>46856.481425475868</v>
      </c>
      <c r="S326" s="315">
        <v>52790.557172977817</v>
      </c>
      <c r="U326" s="7" t="s">
        <v>3225</v>
      </c>
    </row>
    <row r="327" spans="1:21" ht="16.5" thickBot="1">
      <c r="A327" s="50" t="s">
        <v>35</v>
      </c>
      <c r="B327" s="51">
        <f t="shared" si="18"/>
        <v>140</v>
      </c>
      <c r="C327" s="51" t="s">
        <v>3</v>
      </c>
      <c r="D327" s="51">
        <f t="shared" si="19"/>
        <v>360</v>
      </c>
      <c r="E327" s="51" t="s">
        <v>3</v>
      </c>
      <c r="F327" s="99">
        <f t="shared" si="20"/>
        <v>1150</v>
      </c>
      <c r="G327" s="51" t="s">
        <v>3</v>
      </c>
      <c r="H327" s="48">
        <v>8</v>
      </c>
      <c r="I327" s="49" t="s">
        <v>47</v>
      </c>
      <c r="J327" s="184">
        <v>140</v>
      </c>
      <c r="K327" s="75">
        <v>360</v>
      </c>
      <c r="L327" s="75">
        <v>1150</v>
      </c>
      <c r="M327" s="202">
        <v>17.34710915996552</v>
      </c>
      <c r="N327" s="87">
        <v>979.06180438852789</v>
      </c>
      <c r="O327" s="123">
        <v>32353.57246980882</v>
      </c>
      <c r="P327" s="121">
        <v>38513.179765058179</v>
      </c>
      <c r="Q327" s="120">
        <v>16216.263514702467</v>
      </c>
      <c r="R327" s="314">
        <v>48569.835984511286</v>
      </c>
      <c r="S327" s="315">
        <v>54729.443279760642</v>
      </c>
      <c r="U327" s="7" t="s">
        <v>3226</v>
      </c>
    </row>
    <row r="328" spans="1:21" ht="16.5" thickBot="1">
      <c r="A328" s="50" t="s">
        <v>35</v>
      </c>
      <c r="B328" s="51">
        <f t="shared" si="18"/>
        <v>140</v>
      </c>
      <c r="C328" s="51" t="s">
        <v>3</v>
      </c>
      <c r="D328" s="51">
        <f t="shared" si="19"/>
        <v>360</v>
      </c>
      <c r="E328" s="51" t="s">
        <v>3</v>
      </c>
      <c r="F328" s="99">
        <f t="shared" si="20"/>
        <v>1200</v>
      </c>
      <c r="G328" s="51" t="s">
        <v>3</v>
      </c>
      <c r="H328" s="48">
        <v>8</v>
      </c>
      <c r="I328" s="49" t="s">
        <v>47</v>
      </c>
      <c r="J328" s="184">
        <v>140</v>
      </c>
      <c r="K328" s="75">
        <v>360</v>
      </c>
      <c r="L328" s="75">
        <v>1200</v>
      </c>
      <c r="M328" s="202">
        <v>18.23158623479128</v>
      </c>
      <c r="N328" s="87">
        <v>1040.2531671628108</v>
      </c>
      <c r="O328" s="123">
        <v>33667.638759145586</v>
      </c>
      <c r="P328" s="121">
        <v>40053.719641604745</v>
      </c>
      <c r="Q328" s="120">
        <v>17000.442574382028</v>
      </c>
      <c r="R328" s="314">
        <v>50668.081333527618</v>
      </c>
      <c r="S328" s="315">
        <v>57054.162215986769</v>
      </c>
      <c r="U328" s="7" t="s">
        <v>3227</v>
      </c>
    </row>
    <row r="329" spans="1:21" s="7" customFormat="1" ht="16.5" thickBot="1">
      <c r="A329" s="50" t="s">
        <v>35</v>
      </c>
      <c r="B329" s="51">
        <f t="shared" si="18"/>
        <v>140</v>
      </c>
      <c r="C329" s="51" t="s">
        <v>3</v>
      </c>
      <c r="D329" s="51">
        <f t="shared" si="19"/>
        <v>360</v>
      </c>
      <c r="E329" s="51" t="s">
        <v>3</v>
      </c>
      <c r="F329" s="99">
        <f t="shared" si="20"/>
        <v>1250</v>
      </c>
      <c r="G329" s="51" t="s">
        <v>3</v>
      </c>
      <c r="H329" s="48">
        <v>8</v>
      </c>
      <c r="I329" s="49" t="s">
        <v>47</v>
      </c>
      <c r="J329" s="184">
        <v>140</v>
      </c>
      <c r="K329" s="75">
        <v>360</v>
      </c>
      <c r="L329" s="75">
        <v>1250</v>
      </c>
      <c r="M329" s="202">
        <v>18.94411178961704</v>
      </c>
      <c r="N329" s="87">
        <v>1101.4445299370939</v>
      </c>
      <c r="O329" s="123">
        <v>34827.39617667807</v>
      </c>
      <c r="P329" s="121">
        <v>41439.008747278021</v>
      </c>
      <c r="Q329" s="120">
        <v>17554.039715884952</v>
      </c>
      <c r="R329" s="314">
        <v>52381.435892563022</v>
      </c>
      <c r="S329" s="315">
        <v>58993.048463162973</v>
      </c>
      <c r="U329" s="7" t="s">
        <v>3228</v>
      </c>
    </row>
    <row r="330" spans="1:21" s="7" customFormat="1" ht="16.5" thickBot="1">
      <c r="A330" s="50" t="s">
        <v>35</v>
      </c>
      <c r="B330" s="51">
        <f t="shared" si="18"/>
        <v>140</v>
      </c>
      <c r="C330" s="51" t="s">
        <v>3</v>
      </c>
      <c r="D330" s="51">
        <f t="shared" si="19"/>
        <v>360</v>
      </c>
      <c r="E330" s="51" t="s">
        <v>3</v>
      </c>
      <c r="F330" s="99">
        <f t="shared" si="20"/>
        <v>1300</v>
      </c>
      <c r="G330" s="51" t="s">
        <v>3</v>
      </c>
      <c r="H330" s="48">
        <v>8</v>
      </c>
      <c r="I330" s="49" t="s">
        <v>47</v>
      </c>
      <c r="J330" s="184">
        <v>140</v>
      </c>
      <c r="K330" s="75">
        <v>360</v>
      </c>
      <c r="L330" s="75">
        <v>1300</v>
      </c>
      <c r="M330" s="202">
        <v>19.6734728644428</v>
      </c>
      <c r="N330" s="87">
        <v>1162.6358927113768</v>
      </c>
      <c r="O330" s="123">
        <v>35987.153594210555</v>
      </c>
      <c r="P330" s="121">
        <v>42824.297712557935</v>
      </c>
      <c r="Q330" s="120">
        <v>18338.218635171153</v>
      </c>
      <c r="R330" s="314">
        <v>54325.372229381712</v>
      </c>
      <c r="S330" s="315">
        <v>61162.516347729092</v>
      </c>
      <c r="U330" s="7" t="s">
        <v>3229</v>
      </c>
    </row>
    <row r="331" spans="1:21" s="7" customFormat="1" ht="16.5" thickBot="1">
      <c r="A331" s="50" t="s">
        <v>35</v>
      </c>
      <c r="B331" s="51">
        <f t="shared" si="18"/>
        <v>140</v>
      </c>
      <c r="C331" s="51" t="s">
        <v>3</v>
      </c>
      <c r="D331" s="51">
        <f t="shared" si="19"/>
        <v>360</v>
      </c>
      <c r="E331" s="51" t="s">
        <v>3</v>
      </c>
      <c r="F331" s="99">
        <f t="shared" si="20"/>
        <v>1350</v>
      </c>
      <c r="G331" s="51" t="s">
        <v>3</v>
      </c>
      <c r="H331" s="48">
        <v>8</v>
      </c>
      <c r="I331" s="49" t="s">
        <v>47</v>
      </c>
      <c r="J331" s="184">
        <v>140</v>
      </c>
      <c r="K331" s="75">
        <v>360</v>
      </c>
      <c r="L331" s="75">
        <v>1350</v>
      </c>
      <c r="M331" s="202">
        <v>20.38599841926856</v>
      </c>
      <c r="N331" s="87">
        <v>1223.8272554856599</v>
      </c>
      <c r="O331" s="123">
        <v>37146.911152136403</v>
      </c>
      <c r="P331" s="121">
        <v>44209.586818231212</v>
      </c>
      <c r="Q331" s="120">
        <v>18891.815776674081</v>
      </c>
      <c r="R331" s="314">
        <v>56038.726928810487</v>
      </c>
      <c r="S331" s="315">
        <v>63101.402594905288</v>
      </c>
      <c r="U331" s="7" t="s">
        <v>3230</v>
      </c>
    </row>
    <row r="332" spans="1:21" s="7" customFormat="1" ht="16.5" thickBot="1">
      <c r="A332" s="50" t="s">
        <v>35</v>
      </c>
      <c r="B332" s="51">
        <f t="shared" si="18"/>
        <v>140</v>
      </c>
      <c r="C332" s="51" t="s">
        <v>3</v>
      </c>
      <c r="D332" s="51">
        <f t="shared" si="19"/>
        <v>360</v>
      </c>
      <c r="E332" s="51" t="s">
        <v>3</v>
      </c>
      <c r="F332" s="99">
        <f t="shared" si="20"/>
        <v>1400</v>
      </c>
      <c r="G332" s="51" t="s">
        <v>3</v>
      </c>
      <c r="H332" s="48">
        <v>8</v>
      </c>
      <c r="I332" s="49" t="s">
        <v>47</v>
      </c>
      <c r="J332" s="184">
        <v>140</v>
      </c>
      <c r="K332" s="75">
        <v>360</v>
      </c>
      <c r="L332" s="75">
        <v>1400</v>
      </c>
      <c r="M332" s="202">
        <v>21.115359494094321</v>
      </c>
      <c r="N332" s="87">
        <v>1285.018618259943</v>
      </c>
      <c r="O332" s="123">
        <v>38306.668569668895</v>
      </c>
      <c r="P332" s="121">
        <v>45594.875783511125</v>
      </c>
      <c r="Q332" s="120">
        <v>19675.994695960278</v>
      </c>
      <c r="R332" s="314">
        <v>57982.663265629177</v>
      </c>
      <c r="S332" s="315">
        <v>65270.870479471399</v>
      </c>
      <c r="U332" s="7" t="s">
        <v>3231</v>
      </c>
    </row>
    <row r="333" spans="1:21" s="7" customFormat="1" ht="16.5" thickBot="1">
      <c r="A333" s="50" t="s">
        <v>35</v>
      </c>
      <c r="B333" s="51">
        <f t="shared" si="18"/>
        <v>140</v>
      </c>
      <c r="C333" s="51" t="s">
        <v>3</v>
      </c>
      <c r="D333" s="51">
        <f t="shared" si="19"/>
        <v>360</v>
      </c>
      <c r="E333" s="51" t="s">
        <v>3</v>
      </c>
      <c r="F333" s="99">
        <f t="shared" si="20"/>
        <v>1450</v>
      </c>
      <c r="G333" s="51" t="s">
        <v>3</v>
      </c>
      <c r="H333" s="48">
        <v>8</v>
      </c>
      <c r="I333" s="49" t="s">
        <v>47</v>
      </c>
      <c r="J333" s="184">
        <v>140</v>
      </c>
      <c r="K333" s="75">
        <v>360</v>
      </c>
      <c r="L333" s="75">
        <v>1450</v>
      </c>
      <c r="M333" s="202">
        <v>21.827885048920084</v>
      </c>
      <c r="N333" s="87">
        <v>1346.2099810342258</v>
      </c>
      <c r="O333" s="123">
        <v>39466.425987201379</v>
      </c>
      <c r="P333" s="121">
        <v>46980.164889184394</v>
      </c>
      <c r="Q333" s="120">
        <v>20229.591837463206</v>
      </c>
      <c r="R333" s="314">
        <v>59696.017824664581</v>
      </c>
      <c r="S333" s="315">
        <v>67209.756726647596</v>
      </c>
      <c r="U333" s="7" t="s">
        <v>3232</v>
      </c>
    </row>
    <row r="334" spans="1:21" s="7" customFormat="1" ht="16.5" thickBot="1">
      <c r="A334" s="50" t="s">
        <v>35</v>
      </c>
      <c r="B334" s="51">
        <f t="shared" si="18"/>
        <v>140</v>
      </c>
      <c r="C334" s="51" t="s">
        <v>3</v>
      </c>
      <c r="D334" s="51">
        <f t="shared" si="19"/>
        <v>360</v>
      </c>
      <c r="E334" s="51" t="s">
        <v>3</v>
      </c>
      <c r="F334" s="99">
        <f t="shared" si="20"/>
        <v>1500</v>
      </c>
      <c r="G334" s="51" t="s">
        <v>3</v>
      </c>
      <c r="H334" s="48">
        <v>8</v>
      </c>
      <c r="I334" s="49" t="s">
        <v>47</v>
      </c>
      <c r="J334" s="184">
        <v>140</v>
      </c>
      <c r="K334" s="75">
        <v>360</v>
      </c>
      <c r="L334" s="75">
        <v>1500</v>
      </c>
      <c r="M334" s="202">
        <v>22.758036749506239</v>
      </c>
      <c r="N334" s="87">
        <v>1407.4013438085087</v>
      </c>
      <c r="O334" s="123">
        <v>41378.652798379095</v>
      </c>
      <c r="P334" s="121">
        <v>49104.08734184166</v>
      </c>
      <c r="Q334" s="120">
        <v>21013.770756749404</v>
      </c>
      <c r="R334" s="314">
        <v>62392.423555128495</v>
      </c>
      <c r="S334" s="315">
        <v>70117.858098591067</v>
      </c>
      <c r="U334" s="7" t="s">
        <v>3233</v>
      </c>
    </row>
    <row r="335" spans="1:21" s="7" customFormat="1" ht="16.5" thickBot="1">
      <c r="A335" s="50" t="s">
        <v>35</v>
      </c>
      <c r="B335" s="51">
        <f t="shared" si="18"/>
        <v>140</v>
      </c>
      <c r="C335" s="51" t="s">
        <v>3</v>
      </c>
      <c r="D335" s="51">
        <f t="shared" si="19"/>
        <v>360</v>
      </c>
      <c r="E335" s="51" t="s">
        <v>3</v>
      </c>
      <c r="F335" s="99">
        <f t="shared" si="20"/>
        <v>1550</v>
      </c>
      <c r="G335" s="51" t="s">
        <v>3</v>
      </c>
      <c r="H335" s="48">
        <v>8</v>
      </c>
      <c r="I335" s="49" t="s">
        <v>47</v>
      </c>
      <c r="J335" s="184">
        <v>140</v>
      </c>
      <c r="K335" s="75">
        <v>360</v>
      </c>
      <c r="L335" s="75">
        <v>1550</v>
      </c>
      <c r="M335" s="202">
        <v>23.470562304331999</v>
      </c>
      <c r="N335" s="87">
        <v>1468.5927065827918</v>
      </c>
      <c r="O335" s="123">
        <v>42538.41035630495</v>
      </c>
      <c r="P335" s="121">
        <v>50489.376447515075</v>
      </c>
      <c r="Q335" s="120">
        <v>21567.367898252327</v>
      </c>
      <c r="R335" s="314">
        <v>64105.778254557277</v>
      </c>
      <c r="S335" s="315">
        <v>72056.744345767394</v>
      </c>
      <c r="U335" s="7" t="s">
        <v>3234</v>
      </c>
    </row>
    <row r="336" spans="1:21" s="7" customFormat="1" ht="16.5" thickBot="1">
      <c r="A336" s="47" t="s">
        <v>35</v>
      </c>
      <c r="B336" s="48">
        <f t="shared" si="18"/>
        <v>140</v>
      </c>
      <c r="C336" s="48" t="s">
        <v>3</v>
      </c>
      <c r="D336" s="48">
        <f t="shared" si="19"/>
        <v>360</v>
      </c>
      <c r="E336" s="48" t="s">
        <v>3</v>
      </c>
      <c r="F336" s="99">
        <f t="shared" si="20"/>
        <v>1600</v>
      </c>
      <c r="G336" s="48" t="s">
        <v>3</v>
      </c>
      <c r="H336" s="48">
        <v>8</v>
      </c>
      <c r="I336" s="49" t="s">
        <v>47</v>
      </c>
      <c r="J336" s="184">
        <v>140</v>
      </c>
      <c r="K336" s="75">
        <v>360</v>
      </c>
      <c r="L336" s="75">
        <v>1600</v>
      </c>
      <c r="M336" s="202">
        <v>24.183087859157759</v>
      </c>
      <c r="N336" s="87">
        <v>1529.7840693570747</v>
      </c>
      <c r="O336" s="123">
        <v>43698.167773837435</v>
      </c>
      <c r="P336" s="121">
        <v>51874.665412794981</v>
      </c>
      <c r="Q336" s="120">
        <v>22120.965039755254</v>
      </c>
      <c r="R336" s="314">
        <v>65819.132813592689</v>
      </c>
      <c r="S336" s="315">
        <v>73995.630452550235</v>
      </c>
      <c r="U336" s="7" t="s">
        <v>3235</v>
      </c>
    </row>
    <row r="337" spans="1:21" s="7" customFormat="1" ht="16.5" thickBot="1">
      <c r="A337" s="50" t="s">
        <v>35</v>
      </c>
      <c r="B337" s="51">
        <f t="shared" si="18"/>
        <v>140</v>
      </c>
      <c r="C337" s="51" t="s">
        <v>3</v>
      </c>
      <c r="D337" s="51">
        <f t="shared" si="19"/>
        <v>360</v>
      </c>
      <c r="E337" s="51" t="s">
        <v>3</v>
      </c>
      <c r="F337" s="99">
        <f t="shared" si="20"/>
        <v>1650</v>
      </c>
      <c r="G337" s="51" t="s">
        <v>3</v>
      </c>
      <c r="H337" s="48">
        <v>8</v>
      </c>
      <c r="I337" s="49" t="s">
        <v>47</v>
      </c>
      <c r="J337" s="184">
        <v>140</v>
      </c>
      <c r="K337" s="75">
        <v>360</v>
      </c>
      <c r="L337" s="75">
        <v>1650</v>
      </c>
      <c r="M337" s="202">
        <v>24.912448933983519</v>
      </c>
      <c r="N337" s="87">
        <v>1590.9754321313578</v>
      </c>
      <c r="O337" s="123">
        <v>44857.925191369919</v>
      </c>
      <c r="P337" s="121">
        <v>53259.954518468257</v>
      </c>
      <c r="Q337" s="120">
        <v>22905.143959041456</v>
      </c>
      <c r="R337" s="314">
        <v>67763.069150411378</v>
      </c>
      <c r="S337" s="315">
        <v>76165.098477509717</v>
      </c>
      <c r="U337" s="7" t="s">
        <v>3236</v>
      </c>
    </row>
    <row r="338" spans="1:21" s="7" customFormat="1" ht="16.5" thickBot="1">
      <c r="A338" s="50" t="s">
        <v>35</v>
      </c>
      <c r="B338" s="51">
        <f t="shared" si="18"/>
        <v>140</v>
      </c>
      <c r="C338" s="51" t="s">
        <v>3</v>
      </c>
      <c r="D338" s="51">
        <f t="shared" si="19"/>
        <v>360</v>
      </c>
      <c r="E338" s="51" t="s">
        <v>3</v>
      </c>
      <c r="F338" s="99">
        <f t="shared" si="20"/>
        <v>1700</v>
      </c>
      <c r="G338" s="51" t="s">
        <v>3</v>
      </c>
      <c r="H338" s="48">
        <v>8</v>
      </c>
      <c r="I338" s="49" t="s">
        <v>47</v>
      </c>
      <c r="J338" s="184">
        <v>140</v>
      </c>
      <c r="K338" s="75">
        <v>360</v>
      </c>
      <c r="L338" s="75">
        <v>1700</v>
      </c>
      <c r="M338" s="202">
        <v>25.624974488809279</v>
      </c>
      <c r="N338" s="87">
        <v>1652.1667949056409</v>
      </c>
      <c r="O338" s="123">
        <v>46017.682749295767</v>
      </c>
      <c r="P338" s="121">
        <v>54645.243483748171</v>
      </c>
      <c r="Q338" s="120">
        <v>23458.741100544379</v>
      </c>
      <c r="R338" s="314">
        <v>69476.423849840154</v>
      </c>
      <c r="S338" s="315">
        <v>78103.984584292542</v>
      </c>
      <c r="U338" s="7" t="s">
        <v>3237</v>
      </c>
    </row>
    <row r="339" spans="1:21" s="7" customFormat="1" ht="16.5" thickBot="1">
      <c r="A339" s="50" t="s">
        <v>35</v>
      </c>
      <c r="B339" s="51">
        <f t="shared" si="18"/>
        <v>140</v>
      </c>
      <c r="C339" s="51" t="s">
        <v>3</v>
      </c>
      <c r="D339" s="51">
        <f t="shared" si="19"/>
        <v>360</v>
      </c>
      <c r="E339" s="51" t="s">
        <v>3</v>
      </c>
      <c r="F339" s="99">
        <f t="shared" si="20"/>
        <v>1750</v>
      </c>
      <c r="G339" s="51" t="s">
        <v>3</v>
      </c>
      <c r="H339" s="48">
        <v>8</v>
      </c>
      <c r="I339" s="49" t="s">
        <v>47</v>
      </c>
      <c r="J339" s="184">
        <v>140</v>
      </c>
      <c r="K339" s="75">
        <v>360</v>
      </c>
      <c r="L339" s="75">
        <v>1750</v>
      </c>
      <c r="M339" s="202">
        <v>26.354335563635036</v>
      </c>
      <c r="N339" s="87">
        <v>1713.3581576799238</v>
      </c>
      <c r="O339" s="123">
        <v>47177.440166828259</v>
      </c>
      <c r="P339" s="121">
        <v>56030.532449028084</v>
      </c>
      <c r="Q339" s="120">
        <v>24242.920019830581</v>
      </c>
      <c r="R339" s="314">
        <v>71420.360186658843</v>
      </c>
      <c r="S339" s="315">
        <v>80273.452468858668</v>
      </c>
      <c r="U339" s="7" t="s">
        <v>3238</v>
      </c>
    </row>
    <row r="340" spans="1:21" s="7" customFormat="1" ht="16.5" thickBot="1">
      <c r="A340" s="50" t="s">
        <v>35</v>
      </c>
      <c r="B340" s="51">
        <f t="shared" si="18"/>
        <v>140</v>
      </c>
      <c r="C340" s="51" t="s">
        <v>3</v>
      </c>
      <c r="D340" s="51">
        <f t="shared" si="19"/>
        <v>360</v>
      </c>
      <c r="E340" s="51" t="s">
        <v>3</v>
      </c>
      <c r="F340" s="99">
        <f t="shared" si="20"/>
        <v>1800</v>
      </c>
      <c r="G340" s="51" t="s">
        <v>3</v>
      </c>
      <c r="H340" s="48">
        <v>8</v>
      </c>
      <c r="I340" s="49" t="s">
        <v>47</v>
      </c>
      <c r="J340" s="184">
        <v>140</v>
      </c>
      <c r="K340" s="75">
        <v>360</v>
      </c>
      <c r="L340" s="75">
        <v>1800</v>
      </c>
      <c r="M340" s="202">
        <v>27.0668611184608</v>
      </c>
      <c r="N340" s="87">
        <v>1774.5495204542067</v>
      </c>
      <c r="O340" s="123">
        <v>48337.197584360751</v>
      </c>
      <c r="P340" s="121">
        <v>57415.821554701361</v>
      </c>
      <c r="Q340" s="120">
        <v>24796.517161333504</v>
      </c>
      <c r="R340" s="314">
        <v>73133.714745694248</v>
      </c>
      <c r="S340" s="315">
        <v>82212.338716034865</v>
      </c>
      <c r="U340" s="7" t="s">
        <v>3239</v>
      </c>
    </row>
    <row r="341" spans="1:21" s="7" customFormat="1" ht="16.5" thickBot="1">
      <c r="A341" s="50" t="s">
        <v>35</v>
      </c>
      <c r="B341" s="51">
        <f t="shared" si="18"/>
        <v>140</v>
      </c>
      <c r="C341" s="51" t="s">
        <v>3</v>
      </c>
      <c r="D341" s="51">
        <f t="shared" si="19"/>
        <v>360</v>
      </c>
      <c r="E341" s="51" t="s">
        <v>3</v>
      </c>
      <c r="F341" s="99">
        <f t="shared" si="20"/>
        <v>1850</v>
      </c>
      <c r="G341" s="51" t="s">
        <v>3</v>
      </c>
      <c r="H341" s="48">
        <v>8</v>
      </c>
      <c r="I341" s="49" t="s">
        <v>47</v>
      </c>
      <c r="J341" s="184">
        <v>140</v>
      </c>
      <c r="K341" s="75">
        <v>360</v>
      </c>
      <c r="L341" s="75">
        <v>1850</v>
      </c>
      <c r="M341" s="202">
        <v>27.796222193286567</v>
      </c>
      <c r="N341" s="87">
        <v>1835.7408832284898</v>
      </c>
      <c r="O341" s="123">
        <v>49496.955142286599</v>
      </c>
      <c r="P341" s="121">
        <v>58801.110519981274</v>
      </c>
      <c r="Q341" s="120">
        <v>25580.69622101307</v>
      </c>
      <c r="R341" s="314">
        <v>75077.651363299665</v>
      </c>
      <c r="S341" s="315">
        <v>84381.806740994347</v>
      </c>
      <c r="U341" s="7" t="s">
        <v>3240</v>
      </c>
    </row>
    <row r="342" spans="1:21" s="7" customFormat="1" ht="16.5" thickBot="1">
      <c r="A342" s="50" t="s">
        <v>35</v>
      </c>
      <c r="B342" s="51">
        <f t="shared" si="18"/>
        <v>140</v>
      </c>
      <c r="C342" s="51" t="s">
        <v>3</v>
      </c>
      <c r="D342" s="51">
        <f t="shared" si="19"/>
        <v>360</v>
      </c>
      <c r="E342" s="51" t="s">
        <v>3</v>
      </c>
      <c r="F342" s="99">
        <f t="shared" si="20"/>
        <v>1900</v>
      </c>
      <c r="G342" s="51" t="s">
        <v>3</v>
      </c>
      <c r="H342" s="48">
        <v>8</v>
      </c>
      <c r="I342" s="49" t="s">
        <v>47</v>
      </c>
      <c r="J342" s="184">
        <v>140</v>
      </c>
      <c r="K342" s="75">
        <v>360</v>
      </c>
      <c r="L342" s="75">
        <v>1900</v>
      </c>
      <c r="M342" s="202">
        <v>28.508747748112317</v>
      </c>
      <c r="N342" s="87">
        <v>1896.9322460027729</v>
      </c>
      <c r="O342" s="123">
        <v>50656.712559819083</v>
      </c>
      <c r="P342" s="121">
        <v>60186.399625654551</v>
      </c>
      <c r="Q342" s="120">
        <v>26134.293362515993</v>
      </c>
      <c r="R342" s="314">
        <v>76791.005922335084</v>
      </c>
      <c r="S342" s="315">
        <v>86320.692988170544</v>
      </c>
      <c r="U342" s="7" t="s">
        <v>3241</v>
      </c>
    </row>
    <row r="343" spans="1:21" s="7" customFormat="1" ht="16.5" thickBot="1">
      <c r="A343" s="50" t="s">
        <v>35</v>
      </c>
      <c r="B343" s="51">
        <f t="shared" si="18"/>
        <v>140</v>
      </c>
      <c r="C343" s="51" t="s">
        <v>3</v>
      </c>
      <c r="D343" s="51">
        <f t="shared" si="19"/>
        <v>360</v>
      </c>
      <c r="E343" s="51" t="s">
        <v>3</v>
      </c>
      <c r="F343" s="99">
        <f t="shared" si="20"/>
        <v>1950</v>
      </c>
      <c r="G343" s="51" t="s">
        <v>3</v>
      </c>
      <c r="H343" s="48">
        <v>8</v>
      </c>
      <c r="I343" s="49" t="s">
        <v>47</v>
      </c>
      <c r="J343" s="184">
        <v>140</v>
      </c>
      <c r="K343" s="75">
        <v>360</v>
      </c>
      <c r="L343" s="75">
        <v>1950</v>
      </c>
      <c r="M343" s="202">
        <v>29.376389302938076</v>
      </c>
      <c r="N343" s="87">
        <v>1958.1236087770558</v>
      </c>
      <c r="O343" s="123">
        <v>51970.778849155853</v>
      </c>
      <c r="P343" s="121">
        <v>61726.939502201109</v>
      </c>
      <c r="Q343" s="120">
        <v>26687.890504018917</v>
      </c>
      <c r="R343" s="314">
        <v>78658.669353174773</v>
      </c>
      <c r="S343" s="315">
        <v>88414.830006220029</v>
      </c>
      <c r="U343" s="7" t="s">
        <v>3242</v>
      </c>
    </row>
    <row r="344" spans="1:21" s="7" customFormat="1" ht="16.5" thickBot="1">
      <c r="A344" s="50" t="s">
        <v>35</v>
      </c>
      <c r="B344" s="51">
        <f t="shared" si="18"/>
        <v>140</v>
      </c>
      <c r="C344" s="51" t="s">
        <v>3</v>
      </c>
      <c r="D344" s="51">
        <f t="shared" si="19"/>
        <v>360</v>
      </c>
      <c r="E344" s="51" t="s">
        <v>3</v>
      </c>
      <c r="F344" s="99">
        <f t="shared" si="20"/>
        <v>2000</v>
      </c>
      <c r="G344" s="51" t="s">
        <v>3</v>
      </c>
      <c r="H344" s="48">
        <v>8</v>
      </c>
      <c r="I344" s="49" t="s">
        <v>47</v>
      </c>
      <c r="J344" s="184">
        <v>140</v>
      </c>
      <c r="K344" s="75">
        <v>360</v>
      </c>
      <c r="L344" s="75">
        <v>2000</v>
      </c>
      <c r="M344" s="202">
        <v>30.196214028963844</v>
      </c>
      <c r="N344" s="87">
        <v>2019.3149715513387</v>
      </c>
      <c r="O344" s="123">
        <v>53361.079295903561</v>
      </c>
      <c r="P344" s="121">
        <v>63424.909195000328</v>
      </c>
      <c r="Q344" s="120">
        <v>27472.069423305118</v>
      </c>
      <c r="R344" s="314">
        <v>80833.148719208679</v>
      </c>
      <c r="S344" s="315">
        <v>90896.978618305438</v>
      </c>
      <c r="U344" s="7" t="s">
        <v>3243</v>
      </c>
    </row>
    <row r="345" spans="1:21" s="7" customFormat="1" ht="16.5" thickBot="1">
      <c r="A345" s="50" t="s">
        <v>35</v>
      </c>
      <c r="B345" s="51">
        <f t="shared" si="18"/>
        <v>140</v>
      </c>
      <c r="C345" s="51" t="s">
        <v>3</v>
      </c>
      <c r="D345" s="51">
        <f t="shared" si="19"/>
        <v>360</v>
      </c>
      <c r="E345" s="51" t="s">
        <v>3</v>
      </c>
      <c r="F345" s="99">
        <f t="shared" si="20"/>
        <v>2050</v>
      </c>
      <c r="G345" s="51" t="s">
        <v>3</v>
      </c>
      <c r="H345" s="48">
        <v>8</v>
      </c>
      <c r="I345" s="49" t="s">
        <v>47</v>
      </c>
      <c r="J345" s="184">
        <v>140</v>
      </c>
      <c r="K345" s="75">
        <v>360</v>
      </c>
      <c r="L345" s="75">
        <v>2050</v>
      </c>
      <c r="M345" s="202">
        <v>30.908739583789593</v>
      </c>
      <c r="N345" s="87">
        <v>2080.5063343256215</v>
      </c>
      <c r="O345" s="123">
        <v>54520.836713436052</v>
      </c>
      <c r="P345" s="121">
        <v>64810.198300673605</v>
      </c>
      <c r="Q345" s="120">
        <v>28025.666564808042</v>
      </c>
      <c r="R345" s="314">
        <v>82546.503278244098</v>
      </c>
      <c r="S345" s="315">
        <v>92835.86486548165</v>
      </c>
      <c r="U345" s="7" t="s">
        <v>3244</v>
      </c>
    </row>
    <row r="346" spans="1:21" s="7" customFormat="1" ht="16.5" thickBot="1">
      <c r="A346" s="47" t="s">
        <v>35</v>
      </c>
      <c r="B346" s="48">
        <f t="shared" si="18"/>
        <v>140</v>
      </c>
      <c r="C346" s="48" t="s">
        <v>3</v>
      </c>
      <c r="D346" s="48">
        <f t="shared" si="19"/>
        <v>360</v>
      </c>
      <c r="E346" s="48" t="s">
        <v>3</v>
      </c>
      <c r="F346" s="99">
        <f t="shared" si="20"/>
        <v>2100</v>
      </c>
      <c r="G346" s="48" t="s">
        <v>3</v>
      </c>
      <c r="H346" s="48">
        <v>8</v>
      </c>
      <c r="I346" s="49" t="s">
        <v>47</v>
      </c>
      <c r="J346" s="184">
        <v>140</v>
      </c>
      <c r="K346" s="75">
        <v>360</v>
      </c>
      <c r="L346" s="75">
        <v>2100</v>
      </c>
      <c r="M346" s="202">
        <v>31.638100658615361</v>
      </c>
      <c r="N346" s="87">
        <v>2141.6976970999049</v>
      </c>
      <c r="O346" s="123">
        <v>55680.594271361901</v>
      </c>
      <c r="P346" s="121">
        <v>66195.487265953518</v>
      </c>
      <c r="Q346" s="120">
        <v>28809.845484094247</v>
      </c>
      <c r="R346" s="314">
        <v>84490.439755456144</v>
      </c>
      <c r="S346" s="315">
        <v>95005.332750047761</v>
      </c>
      <c r="U346" s="7" t="s">
        <v>3245</v>
      </c>
    </row>
    <row r="347" spans="1:21" s="7" customFormat="1" ht="16.5" thickBot="1">
      <c r="A347" s="50" t="s">
        <v>35</v>
      </c>
      <c r="B347" s="51">
        <f t="shared" si="18"/>
        <v>140</v>
      </c>
      <c r="C347" s="51" t="s">
        <v>3</v>
      </c>
      <c r="D347" s="51">
        <f t="shared" si="19"/>
        <v>360</v>
      </c>
      <c r="E347" s="51" t="s">
        <v>3</v>
      </c>
      <c r="F347" s="99">
        <f t="shared" si="20"/>
        <v>2150</v>
      </c>
      <c r="G347" s="51" t="s">
        <v>3</v>
      </c>
      <c r="H347" s="48">
        <v>8</v>
      </c>
      <c r="I347" s="49" t="s">
        <v>47</v>
      </c>
      <c r="J347" s="184">
        <v>140</v>
      </c>
      <c r="K347" s="75">
        <v>360</v>
      </c>
      <c r="L347" s="75">
        <v>2150</v>
      </c>
      <c r="M347" s="202">
        <v>32.350626213441124</v>
      </c>
      <c r="N347" s="87">
        <v>2202.8890598741878</v>
      </c>
      <c r="O347" s="123">
        <v>56840.351688894392</v>
      </c>
      <c r="P347" s="121">
        <v>67580.776371626795</v>
      </c>
      <c r="Q347" s="120">
        <v>29363.442625597167</v>
      </c>
      <c r="R347" s="314">
        <v>86203.794314491563</v>
      </c>
      <c r="S347" s="315">
        <v>96944.218997223958</v>
      </c>
      <c r="U347" s="7" t="s">
        <v>3246</v>
      </c>
    </row>
    <row r="348" spans="1:21" s="7" customFormat="1" ht="16.5" thickBot="1">
      <c r="A348" s="50" t="s">
        <v>35</v>
      </c>
      <c r="B348" s="51">
        <f t="shared" si="18"/>
        <v>140</v>
      </c>
      <c r="C348" s="51" t="s">
        <v>3</v>
      </c>
      <c r="D348" s="51">
        <f t="shared" si="19"/>
        <v>360</v>
      </c>
      <c r="E348" s="51" t="s">
        <v>3</v>
      </c>
      <c r="F348" s="99">
        <f t="shared" si="20"/>
        <v>2200</v>
      </c>
      <c r="G348" s="51" t="s">
        <v>3</v>
      </c>
      <c r="H348" s="48">
        <v>8</v>
      </c>
      <c r="I348" s="49" t="s">
        <v>47</v>
      </c>
      <c r="J348" s="184">
        <v>140</v>
      </c>
      <c r="K348" s="75">
        <v>360</v>
      </c>
      <c r="L348" s="75">
        <v>2200</v>
      </c>
      <c r="M348" s="202">
        <v>33.079987288266878</v>
      </c>
      <c r="N348" s="87">
        <v>2264.0804226484706</v>
      </c>
      <c r="O348" s="123">
        <v>58000.109106426869</v>
      </c>
      <c r="P348" s="121">
        <v>68966.0653369067</v>
      </c>
      <c r="Q348" s="120">
        <v>30147.621544883372</v>
      </c>
      <c r="R348" s="314">
        <v>88147.730651310238</v>
      </c>
      <c r="S348" s="315">
        <v>99113.686881790069</v>
      </c>
      <c r="U348" s="7" t="s">
        <v>3247</v>
      </c>
    </row>
    <row r="349" spans="1:21" s="7" customFormat="1" ht="16.5" thickBot="1">
      <c r="A349" s="50" t="s">
        <v>35</v>
      </c>
      <c r="B349" s="51">
        <f t="shared" si="18"/>
        <v>140</v>
      </c>
      <c r="C349" s="51" t="s">
        <v>3</v>
      </c>
      <c r="D349" s="51">
        <f t="shared" si="19"/>
        <v>360</v>
      </c>
      <c r="E349" s="51" t="s">
        <v>3</v>
      </c>
      <c r="F349" s="99">
        <f t="shared" si="20"/>
        <v>2250</v>
      </c>
      <c r="G349" s="51" t="s">
        <v>3</v>
      </c>
      <c r="H349" s="48">
        <v>8</v>
      </c>
      <c r="I349" s="49" t="s">
        <v>47</v>
      </c>
      <c r="J349" s="184">
        <v>140</v>
      </c>
      <c r="K349" s="75">
        <v>360</v>
      </c>
      <c r="L349" s="75">
        <v>2250</v>
      </c>
      <c r="M349" s="202">
        <v>33.792512843092645</v>
      </c>
      <c r="N349" s="87">
        <v>2325.2717854227535</v>
      </c>
      <c r="O349" s="123">
        <v>59159.866664352718</v>
      </c>
      <c r="P349" s="121">
        <v>70351.354442579977</v>
      </c>
      <c r="Q349" s="120">
        <v>30701.218686386295</v>
      </c>
      <c r="R349" s="314">
        <v>89861.085350739013</v>
      </c>
      <c r="S349" s="315">
        <v>101052.57312896627</v>
      </c>
      <c r="U349" s="7" t="s">
        <v>3248</v>
      </c>
    </row>
    <row r="350" spans="1:21" s="7" customFormat="1" ht="16.5" thickBot="1">
      <c r="A350" s="50" t="s">
        <v>35</v>
      </c>
      <c r="B350" s="51">
        <f t="shared" si="18"/>
        <v>140</v>
      </c>
      <c r="C350" s="51" t="s">
        <v>3</v>
      </c>
      <c r="D350" s="51">
        <f t="shared" si="19"/>
        <v>360</v>
      </c>
      <c r="E350" s="51" t="s">
        <v>3</v>
      </c>
      <c r="F350" s="99">
        <f t="shared" si="20"/>
        <v>2300</v>
      </c>
      <c r="G350" s="51" t="s">
        <v>3</v>
      </c>
      <c r="H350" s="48">
        <v>8</v>
      </c>
      <c r="I350" s="49" t="s">
        <v>47</v>
      </c>
      <c r="J350" s="184">
        <v>140</v>
      </c>
      <c r="K350" s="75">
        <v>360</v>
      </c>
      <c r="L350" s="75">
        <v>2300</v>
      </c>
      <c r="M350" s="202">
        <v>34.505038397918405</v>
      </c>
      <c r="N350" s="87">
        <v>2386.4631481970368</v>
      </c>
      <c r="O350" s="123">
        <v>60319.624081885209</v>
      </c>
      <c r="P350" s="121">
        <v>71736.643407859898</v>
      </c>
      <c r="Q350" s="120">
        <v>31254.815827889219</v>
      </c>
      <c r="R350" s="314">
        <v>91574.439909774432</v>
      </c>
      <c r="S350" s="315">
        <v>102991.45923574912</v>
      </c>
      <c r="U350" s="7" t="s">
        <v>3249</v>
      </c>
    </row>
    <row r="351" spans="1:21" s="7" customFormat="1" ht="16.5" thickBot="1">
      <c r="A351" s="50" t="s">
        <v>35</v>
      </c>
      <c r="B351" s="51">
        <f t="shared" si="18"/>
        <v>140</v>
      </c>
      <c r="C351" s="51" t="s">
        <v>3</v>
      </c>
      <c r="D351" s="51">
        <f t="shared" si="19"/>
        <v>360</v>
      </c>
      <c r="E351" s="51" t="s">
        <v>3</v>
      </c>
      <c r="F351" s="99">
        <f t="shared" si="20"/>
        <v>2350</v>
      </c>
      <c r="G351" s="51" t="s">
        <v>3</v>
      </c>
      <c r="H351" s="48">
        <v>8</v>
      </c>
      <c r="I351" s="49" t="s">
        <v>47</v>
      </c>
      <c r="J351" s="184">
        <v>140</v>
      </c>
      <c r="K351" s="75">
        <v>360</v>
      </c>
      <c r="L351" s="75">
        <v>2350</v>
      </c>
      <c r="M351" s="202">
        <v>35.234399472744158</v>
      </c>
      <c r="N351" s="87">
        <v>2447.6545109713197</v>
      </c>
      <c r="O351" s="123">
        <v>61479.381499417701</v>
      </c>
      <c r="P351" s="121">
        <v>73121.932373139804</v>
      </c>
      <c r="Q351" s="120">
        <v>32038.99474717542</v>
      </c>
      <c r="R351" s="314">
        <v>93518.376246593121</v>
      </c>
      <c r="S351" s="315">
        <v>105160.92712031523</v>
      </c>
      <c r="U351" s="7" t="s">
        <v>3250</v>
      </c>
    </row>
    <row r="352" spans="1:21" s="7" customFormat="1" ht="16.5" thickBot="1">
      <c r="A352" s="50" t="s">
        <v>35</v>
      </c>
      <c r="B352" s="51">
        <f t="shared" si="18"/>
        <v>140</v>
      </c>
      <c r="C352" s="51" t="s">
        <v>3</v>
      </c>
      <c r="D352" s="51">
        <f t="shared" si="19"/>
        <v>360</v>
      </c>
      <c r="E352" s="51" t="s">
        <v>3</v>
      </c>
      <c r="F352" s="99">
        <f t="shared" si="20"/>
        <v>2400</v>
      </c>
      <c r="G352" s="51" t="s">
        <v>3</v>
      </c>
      <c r="H352" s="48">
        <v>8</v>
      </c>
      <c r="I352" s="49" t="s">
        <v>47</v>
      </c>
      <c r="J352" s="184">
        <v>140</v>
      </c>
      <c r="K352" s="75">
        <v>360</v>
      </c>
      <c r="L352" s="75">
        <v>2400</v>
      </c>
      <c r="M352" s="202">
        <v>35.946925027569911</v>
      </c>
      <c r="N352" s="87">
        <v>2508.8458737456026</v>
      </c>
      <c r="O352" s="123">
        <v>62639.139057343549</v>
      </c>
      <c r="P352" s="121">
        <v>74507.221478813066</v>
      </c>
      <c r="Q352" s="120">
        <v>32592.591888678344</v>
      </c>
      <c r="R352" s="314">
        <v>95231.730946021897</v>
      </c>
      <c r="S352" s="315">
        <v>107099.81336749141</v>
      </c>
      <c r="U352" s="7" t="s">
        <v>3251</v>
      </c>
    </row>
    <row r="353" spans="1:21" s="7" customFormat="1" ht="16.5" thickBot="1">
      <c r="A353" s="50" t="s">
        <v>35</v>
      </c>
      <c r="B353" s="51">
        <f t="shared" si="18"/>
        <v>140</v>
      </c>
      <c r="C353" s="51" t="s">
        <v>3</v>
      </c>
      <c r="D353" s="51">
        <f t="shared" si="19"/>
        <v>360</v>
      </c>
      <c r="E353" s="51" t="s">
        <v>3</v>
      </c>
      <c r="F353" s="99">
        <f t="shared" si="20"/>
        <v>2450</v>
      </c>
      <c r="G353" s="51" t="s">
        <v>3</v>
      </c>
      <c r="H353" s="48">
        <v>8</v>
      </c>
      <c r="I353" s="49" t="s">
        <v>47</v>
      </c>
      <c r="J353" s="184">
        <v>140</v>
      </c>
      <c r="K353" s="75">
        <v>360</v>
      </c>
      <c r="L353" s="75">
        <v>2450</v>
      </c>
      <c r="M353" s="202">
        <v>36.877076728156077</v>
      </c>
      <c r="N353" s="87">
        <v>2570.0372365198859</v>
      </c>
      <c r="O353" s="123">
        <v>64551.365868521265</v>
      </c>
      <c r="P353" s="121">
        <v>76631.144071863833</v>
      </c>
      <c r="Q353" s="120">
        <v>33376.770807964545</v>
      </c>
      <c r="R353" s="314">
        <v>97928.13667648581</v>
      </c>
      <c r="S353" s="315">
        <v>110007.91487982837</v>
      </c>
      <c r="U353" s="7" t="s">
        <v>3252</v>
      </c>
    </row>
    <row r="354" spans="1:21" s="7" customFormat="1" ht="16.5" thickBot="1">
      <c r="A354" s="50" t="s">
        <v>35</v>
      </c>
      <c r="B354" s="51">
        <f t="shared" si="18"/>
        <v>140</v>
      </c>
      <c r="C354" s="51" t="s">
        <v>3</v>
      </c>
      <c r="D354" s="51">
        <f t="shared" si="19"/>
        <v>360</v>
      </c>
      <c r="E354" s="51" t="s">
        <v>3</v>
      </c>
      <c r="F354" s="99">
        <f t="shared" si="20"/>
        <v>2500</v>
      </c>
      <c r="G354" s="51" t="s">
        <v>3</v>
      </c>
      <c r="H354" s="48">
        <v>8</v>
      </c>
      <c r="I354" s="49" t="s">
        <v>47</v>
      </c>
      <c r="J354" s="184">
        <v>140</v>
      </c>
      <c r="K354" s="75">
        <v>360</v>
      </c>
      <c r="L354" s="75">
        <v>2500</v>
      </c>
      <c r="M354" s="202">
        <v>37.589602282981836</v>
      </c>
      <c r="N354" s="87">
        <v>2631.2285992941688</v>
      </c>
      <c r="O354" s="123">
        <v>65711.123286053757</v>
      </c>
      <c r="P354" s="121">
        <v>78016.433037143754</v>
      </c>
      <c r="Q354" s="120">
        <v>33930.367949467472</v>
      </c>
      <c r="R354" s="314">
        <v>99641.491235521229</v>
      </c>
      <c r="S354" s="315">
        <v>111946.80098661123</v>
      </c>
      <c r="U354" s="7" t="s">
        <v>3253</v>
      </c>
    </row>
    <row r="355" spans="1:21" s="7" customFormat="1" ht="16.5" thickBot="1">
      <c r="A355" s="50" t="s">
        <v>35</v>
      </c>
      <c r="B355" s="51">
        <f t="shared" si="18"/>
        <v>140</v>
      </c>
      <c r="C355" s="51" t="s">
        <v>3</v>
      </c>
      <c r="D355" s="51">
        <f t="shared" si="19"/>
        <v>360</v>
      </c>
      <c r="E355" s="51" t="s">
        <v>3</v>
      </c>
      <c r="F355" s="99">
        <f t="shared" si="20"/>
        <v>2550</v>
      </c>
      <c r="G355" s="51" t="s">
        <v>3</v>
      </c>
      <c r="H355" s="48">
        <v>8</v>
      </c>
      <c r="I355" s="49" t="s">
        <v>47</v>
      </c>
      <c r="J355" s="184">
        <v>140</v>
      </c>
      <c r="K355" s="75">
        <v>360</v>
      </c>
      <c r="L355" s="75">
        <v>2550</v>
      </c>
      <c r="M355" s="202">
        <v>38.318963357807597</v>
      </c>
      <c r="N355" s="87">
        <v>2692.4199620684517</v>
      </c>
      <c r="O355" s="123">
        <v>66870.880843979598</v>
      </c>
      <c r="P355" s="121">
        <v>79401.722142817031</v>
      </c>
      <c r="Q355" s="120">
        <v>34714.547009147034</v>
      </c>
      <c r="R355" s="314">
        <v>101585.42785312663</v>
      </c>
      <c r="S355" s="315">
        <v>114116.26915196406</v>
      </c>
      <c r="U355" s="7" t="s">
        <v>3254</v>
      </c>
    </row>
    <row r="356" spans="1:21" s="7" customFormat="1" ht="16.5" thickBot="1">
      <c r="A356" s="47" t="s">
        <v>35</v>
      </c>
      <c r="B356" s="48">
        <f t="shared" si="18"/>
        <v>140</v>
      </c>
      <c r="C356" s="48" t="s">
        <v>3</v>
      </c>
      <c r="D356" s="48">
        <f t="shared" si="19"/>
        <v>360</v>
      </c>
      <c r="E356" s="48" t="s">
        <v>3</v>
      </c>
      <c r="F356" s="99">
        <f t="shared" si="20"/>
        <v>2600</v>
      </c>
      <c r="G356" s="48" t="s">
        <v>3</v>
      </c>
      <c r="H356" s="48">
        <v>8</v>
      </c>
      <c r="I356" s="49" t="s">
        <v>47</v>
      </c>
      <c r="J356" s="184">
        <v>140</v>
      </c>
      <c r="K356" s="75">
        <v>360</v>
      </c>
      <c r="L356" s="75">
        <v>2600</v>
      </c>
      <c r="M356" s="202">
        <v>39.031488912633364</v>
      </c>
      <c r="N356" s="87">
        <v>2753.6113248427346</v>
      </c>
      <c r="O356" s="123">
        <v>68030.638261512082</v>
      </c>
      <c r="P356" s="121">
        <v>80787.011108096936</v>
      </c>
      <c r="Q356" s="120">
        <v>35268.144150649961</v>
      </c>
      <c r="R356" s="314">
        <v>103298.78241216205</v>
      </c>
      <c r="S356" s="315">
        <v>116055.15525874691</v>
      </c>
      <c r="U356" s="7" t="s">
        <v>3255</v>
      </c>
    </row>
    <row r="357" spans="1:21" s="7" customFormat="1" ht="16.5" thickBot="1">
      <c r="A357" s="50" t="s">
        <v>35</v>
      </c>
      <c r="B357" s="51">
        <f t="shared" si="18"/>
        <v>140</v>
      </c>
      <c r="C357" s="51" t="s">
        <v>3</v>
      </c>
      <c r="D357" s="51">
        <f t="shared" si="19"/>
        <v>360</v>
      </c>
      <c r="E357" s="51" t="s">
        <v>3</v>
      </c>
      <c r="F357" s="99">
        <f t="shared" si="20"/>
        <v>2650</v>
      </c>
      <c r="G357" s="51" t="s">
        <v>3</v>
      </c>
      <c r="H357" s="48">
        <v>8</v>
      </c>
      <c r="I357" s="49" t="s">
        <v>47</v>
      </c>
      <c r="J357" s="184">
        <v>140</v>
      </c>
      <c r="K357" s="75">
        <v>360</v>
      </c>
      <c r="L357" s="75">
        <v>2650</v>
      </c>
      <c r="M357" s="202">
        <v>39.760849987459117</v>
      </c>
      <c r="N357" s="87">
        <v>2814.8026876170175</v>
      </c>
      <c r="O357" s="123">
        <v>69190.395679044581</v>
      </c>
      <c r="P357" s="121">
        <v>82172.300073376857</v>
      </c>
      <c r="Q357" s="120">
        <v>36052.323069936159</v>
      </c>
      <c r="R357" s="314">
        <v>105242.71874898074</v>
      </c>
      <c r="S357" s="315">
        <v>118224.62314331302</v>
      </c>
      <c r="U357" s="7" t="s">
        <v>3256</v>
      </c>
    </row>
    <row r="358" spans="1:21" s="7" customFormat="1" ht="16.5" thickBot="1">
      <c r="A358" s="50" t="s">
        <v>35</v>
      </c>
      <c r="B358" s="51">
        <f t="shared" si="18"/>
        <v>140</v>
      </c>
      <c r="C358" s="51" t="s">
        <v>3</v>
      </c>
      <c r="D358" s="51">
        <f t="shared" si="19"/>
        <v>360</v>
      </c>
      <c r="E358" s="51" t="s">
        <v>3</v>
      </c>
      <c r="F358" s="99">
        <f t="shared" si="20"/>
        <v>2700</v>
      </c>
      <c r="G358" s="51" t="s">
        <v>3</v>
      </c>
      <c r="H358" s="48">
        <v>8</v>
      </c>
      <c r="I358" s="49" t="s">
        <v>47</v>
      </c>
      <c r="J358" s="184">
        <v>140</v>
      </c>
      <c r="K358" s="75">
        <v>360</v>
      </c>
      <c r="L358" s="75">
        <v>2700</v>
      </c>
      <c r="M358" s="202">
        <v>40.628491542284884</v>
      </c>
      <c r="N358" s="87">
        <v>2875.9940503913008</v>
      </c>
      <c r="O358" s="123">
        <v>70504.461968381351</v>
      </c>
      <c r="P358" s="121">
        <v>83712.839949923422</v>
      </c>
      <c r="Q358" s="120">
        <v>36605.920211439086</v>
      </c>
      <c r="R358" s="314">
        <v>107110.38217982044</v>
      </c>
      <c r="S358" s="315">
        <v>120318.7601613625</v>
      </c>
      <c r="U358" s="7" t="s">
        <v>3257</v>
      </c>
    </row>
    <row r="359" spans="1:21" s="7" customFormat="1" ht="16.5" thickBot="1">
      <c r="A359" s="50" t="s">
        <v>35</v>
      </c>
      <c r="B359" s="51">
        <f t="shared" si="18"/>
        <v>140</v>
      </c>
      <c r="C359" s="51" t="s">
        <v>3</v>
      </c>
      <c r="D359" s="51">
        <f t="shared" si="19"/>
        <v>360</v>
      </c>
      <c r="E359" s="51" t="s">
        <v>3</v>
      </c>
      <c r="F359" s="99">
        <f t="shared" si="20"/>
        <v>2750</v>
      </c>
      <c r="G359" s="51" t="s">
        <v>3</v>
      </c>
      <c r="H359" s="48">
        <v>8</v>
      </c>
      <c r="I359" s="49" t="s">
        <v>47</v>
      </c>
      <c r="J359" s="184">
        <v>140</v>
      </c>
      <c r="K359" s="75">
        <v>360</v>
      </c>
      <c r="L359" s="75">
        <v>2750</v>
      </c>
      <c r="M359" s="202">
        <v>41.341017097110637</v>
      </c>
      <c r="N359" s="87">
        <v>2937.1854131655837</v>
      </c>
      <c r="O359" s="123">
        <v>71664.219385913821</v>
      </c>
      <c r="P359" s="121">
        <v>85098.129055596684</v>
      </c>
      <c r="Q359" s="120">
        <v>37159.517352942006</v>
      </c>
      <c r="R359" s="314">
        <v>108823.73673885583</v>
      </c>
      <c r="S359" s="315">
        <v>122257.64640853868</v>
      </c>
      <c r="U359" s="7" t="s">
        <v>3258</v>
      </c>
    </row>
    <row r="360" spans="1:21" s="7" customFormat="1" ht="16.5" thickBot="1">
      <c r="A360" s="50" t="s">
        <v>35</v>
      </c>
      <c r="B360" s="51">
        <f t="shared" si="18"/>
        <v>140</v>
      </c>
      <c r="C360" s="51" t="s">
        <v>3</v>
      </c>
      <c r="D360" s="51">
        <f t="shared" si="19"/>
        <v>360</v>
      </c>
      <c r="E360" s="51" t="s">
        <v>3</v>
      </c>
      <c r="F360" s="99">
        <f t="shared" si="20"/>
        <v>2800</v>
      </c>
      <c r="G360" s="51" t="s">
        <v>3</v>
      </c>
      <c r="H360" s="48">
        <v>8</v>
      </c>
      <c r="I360" s="49" t="s">
        <v>47</v>
      </c>
      <c r="J360" s="184">
        <v>140</v>
      </c>
      <c r="K360" s="75">
        <v>360</v>
      </c>
      <c r="L360" s="75">
        <v>2800</v>
      </c>
      <c r="M360" s="202">
        <v>42.070378171936397</v>
      </c>
      <c r="N360" s="87">
        <v>2998.376775939867</v>
      </c>
      <c r="O360" s="123">
        <v>72823.976943839676</v>
      </c>
      <c r="P360" s="121">
        <v>86483.418020876605</v>
      </c>
      <c r="Q360" s="120">
        <v>37943.696272228204</v>
      </c>
      <c r="R360" s="314">
        <v>110767.67321606788</v>
      </c>
      <c r="S360" s="315">
        <v>124427.11429310481</v>
      </c>
      <c r="U360" s="7" t="s">
        <v>3259</v>
      </c>
    </row>
    <row r="361" spans="1:21" ht="16.5" thickBot="1">
      <c r="A361" s="50" t="s">
        <v>35</v>
      </c>
      <c r="B361" s="51">
        <f t="shared" si="18"/>
        <v>140</v>
      </c>
      <c r="C361" s="51" t="s">
        <v>3</v>
      </c>
      <c r="D361" s="51">
        <f t="shared" si="19"/>
        <v>360</v>
      </c>
      <c r="E361" s="51" t="s">
        <v>3</v>
      </c>
      <c r="F361" s="99">
        <f t="shared" si="20"/>
        <v>2850</v>
      </c>
      <c r="G361" s="51" t="s">
        <v>3</v>
      </c>
      <c r="H361" s="48">
        <v>8</v>
      </c>
      <c r="I361" s="49" t="s">
        <v>47</v>
      </c>
      <c r="J361" s="184">
        <v>140</v>
      </c>
      <c r="K361" s="75">
        <v>360</v>
      </c>
      <c r="L361" s="75">
        <v>2850</v>
      </c>
      <c r="M361" s="202">
        <v>42.782903726762157</v>
      </c>
      <c r="N361" s="87">
        <v>3059.5681387141494</v>
      </c>
      <c r="O361" s="123">
        <v>73983.73436137216</v>
      </c>
      <c r="P361" s="121">
        <v>87868.707126549882</v>
      </c>
      <c r="Q361" s="120">
        <v>38497.293413731131</v>
      </c>
      <c r="R361" s="314">
        <v>112481.02777510328</v>
      </c>
      <c r="S361" s="315">
        <v>126366.00054028101</v>
      </c>
      <c r="U361" s="7" t="s">
        <v>3260</v>
      </c>
    </row>
    <row r="362" spans="1:21" ht="16.5" thickBot="1">
      <c r="A362" s="50" t="s">
        <v>35</v>
      </c>
      <c r="B362" s="51">
        <f t="shared" si="18"/>
        <v>140</v>
      </c>
      <c r="C362" s="51" t="s">
        <v>3</v>
      </c>
      <c r="D362" s="51">
        <f t="shared" si="19"/>
        <v>360</v>
      </c>
      <c r="E362" s="51" t="s">
        <v>3</v>
      </c>
      <c r="F362" s="99">
        <f t="shared" si="20"/>
        <v>2900</v>
      </c>
      <c r="G362" s="51" t="s">
        <v>3</v>
      </c>
      <c r="H362" s="48">
        <v>8</v>
      </c>
      <c r="I362" s="49" t="s">
        <v>47</v>
      </c>
      <c r="J362" s="184">
        <v>140</v>
      </c>
      <c r="K362" s="75">
        <v>360</v>
      </c>
      <c r="L362" s="75">
        <v>2900</v>
      </c>
      <c r="M362" s="202">
        <v>43.512264801587911</v>
      </c>
      <c r="N362" s="87">
        <v>3120.7595014884323</v>
      </c>
      <c r="O362" s="123">
        <v>75143.491778904659</v>
      </c>
      <c r="P362" s="121">
        <v>89253.996091829787</v>
      </c>
      <c r="Q362" s="120">
        <v>39281.472333017329</v>
      </c>
      <c r="R362" s="314">
        <v>114424.96411192199</v>
      </c>
      <c r="S362" s="315">
        <v>128535.46842484712</v>
      </c>
      <c r="U362" s="7" t="s">
        <v>3261</v>
      </c>
    </row>
    <row r="363" spans="1:21" ht="16.5" thickBot="1">
      <c r="A363" s="50" t="s">
        <v>35</v>
      </c>
      <c r="B363" s="51">
        <f t="shared" si="18"/>
        <v>140</v>
      </c>
      <c r="C363" s="51" t="s">
        <v>3</v>
      </c>
      <c r="D363" s="51">
        <f t="shared" si="19"/>
        <v>360</v>
      </c>
      <c r="E363" s="51" t="s">
        <v>3</v>
      </c>
      <c r="F363" s="99">
        <f t="shared" si="20"/>
        <v>2950</v>
      </c>
      <c r="G363" s="51" t="s">
        <v>3</v>
      </c>
      <c r="H363" s="48">
        <v>8</v>
      </c>
      <c r="I363" s="49" t="s">
        <v>47</v>
      </c>
      <c r="J363" s="184">
        <v>140</v>
      </c>
      <c r="K363" s="75">
        <v>360</v>
      </c>
      <c r="L363" s="75">
        <v>2950</v>
      </c>
      <c r="M363" s="202">
        <v>44.224790356413671</v>
      </c>
      <c r="N363" s="87">
        <v>3181.9508642627156</v>
      </c>
      <c r="O363" s="123">
        <v>76303.2493368305</v>
      </c>
      <c r="P363" s="121">
        <v>90639.285057109708</v>
      </c>
      <c r="Q363" s="120">
        <v>39835.069474520256</v>
      </c>
      <c r="R363" s="314">
        <v>116138.31881135076</v>
      </c>
      <c r="S363" s="315">
        <v>130474.35453162997</v>
      </c>
      <c r="U363" s="7" t="s">
        <v>3262</v>
      </c>
    </row>
    <row r="364" spans="1:21" ht="16.5" thickBot="1">
      <c r="A364" s="52" t="s">
        <v>35</v>
      </c>
      <c r="B364" s="53">
        <f t="shared" si="18"/>
        <v>140</v>
      </c>
      <c r="C364" s="53" t="s">
        <v>3</v>
      </c>
      <c r="D364" s="53">
        <f t="shared" si="19"/>
        <v>360</v>
      </c>
      <c r="E364" s="53" t="s">
        <v>3</v>
      </c>
      <c r="F364" s="100">
        <f t="shared" si="20"/>
        <v>3000</v>
      </c>
      <c r="G364" s="53" t="s">
        <v>3</v>
      </c>
      <c r="H364" s="55">
        <v>8</v>
      </c>
      <c r="I364" s="54" t="s">
        <v>47</v>
      </c>
      <c r="J364" s="184">
        <v>140</v>
      </c>
      <c r="K364" s="147">
        <v>360</v>
      </c>
      <c r="L364" s="147">
        <v>3000</v>
      </c>
      <c r="M364" s="209">
        <v>44.954151431239431</v>
      </c>
      <c r="N364" s="148">
        <v>3243.1422270369985</v>
      </c>
      <c r="O364" s="149">
        <v>78638.164200614832</v>
      </c>
      <c r="P364" s="158">
        <v>92024.574162782985</v>
      </c>
      <c r="Q364" s="159">
        <v>40619.248393806454</v>
      </c>
      <c r="R364" s="316">
        <v>119257.41259442129</v>
      </c>
      <c r="S364" s="317">
        <v>132643.82255658944</v>
      </c>
      <c r="U364" s="7" t="s">
        <v>3263</v>
      </c>
    </row>
    <row r="365" spans="1:21" ht="22.5" customHeight="1" thickBot="1">
      <c r="A365" s="2621" t="s">
        <v>67</v>
      </c>
      <c r="B365" s="2622"/>
      <c r="C365" s="2622"/>
      <c r="D365" s="2622"/>
      <c r="E365" s="2622"/>
      <c r="F365" s="2622"/>
      <c r="G365" s="2622"/>
      <c r="H365" s="2622"/>
      <c r="I365" s="2622"/>
      <c r="J365" s="2622"/>
      <c r="K365" s="2622"/>
      <c r="L365" s="2622"/>
      <c r="M365" s="2622"/>
      <c r="N365" s="2622"/>
      <c r="O365" s="2622"/>
      <c r="P365" s="2622"/>
      <c r="Q365" s="2622"/>
      <c r="R365" s="2622"/>
      <c r="S365" s="2623"/>
      <c r="U365" s="7"/>
    </row>
    <row r="366" spans="1:21" ht="16.5" thickBot="1">
      <c r="A366" s="2583" t="s">
        <v>140</v>
      </c>
      <c r="B366" s="2584"/>
      <c r="C366" s="2584"/>
      <c r="D366" s="2584"/>
      <c r="E366" s="2584"/>
      <c r="F366" s="2584"/>
      <c r="G366" s="2584"/>
      <c r="H366" s="2584"/>
      <c r="I366" s="2584"/>
      <c r="J366" s="2584"/>
      <c r="K366" s="2584"/>
      <c r="L366" s="2584"/>
      <c r="M366" s="2584"/>
      <c r="N366" s="2584"/>
      <c r="O366" s="2584"/>
      <c r="P366" s="2584"/>
      <c r="Q366" s="2584"/>
      <c r="R366" s="2584"/>
      <c r="S366" s="2585"/>
      <c r="U366" s="7"/>
    </row>
    <row r="367" spans="1:21" ht="16.5" thickBot="1">
      <c r="A367" s="47" t="s">
        <v>35</v>
      </c>
      <c r="B367" s="48">
        <f>J367</f>
        <v>140</v>
      </c>
      <c r="C367" s="48" t="s">
        <v>3</v>
      </c>
      <c r="D367" s="48">
        <f>K367</f>
        <v>400</v>
      </c>
      <c r="E367" s="48" t="s">
        <v>3</v>
      </c>
      <c r="F367" s="99">
        <f>L367</f>
        <v>600</v>
      </c>
      <c r="G367" s="48" t="s">
        <v>3</v>
      </c>
      <c r="H367" s="48">
        <v>6</v>
      </c>
      <c r="I367" s="49" t="s">
        <v>47</v>
      </c>
      <c r="J367" s="181">
        <v>140</v>
      </c>
      <c r="K367" s="143">
        <v>400</v>
      </c>
      <c r="L367" s="143">
        <v>600</v>
      </c>
      <c r="M367" s="201">
        <v>9.4257654982470207</v>
      </c>
      <c r="N367" s="144">
        <v>296.5059</v>
      </c>
      <c r="O367" s="145">
        <v>17806.436656693655</v>
      </c>
      <c r="P367" s="183">
        <v>21944.570466916019</v>
      </c>
      <c r="Q367" s="169">
        <v>9871.7007401553401</v>
      </c>
      <c r="R367" s="312">
        <v>27678.137396848993</v>
      </c>
      <c r="S367" s="313">
        <v>31816.271207071361</v>
      </c>
      <c r="U367" s="7" t="s">
        <v>3264</v>
      </c>
    </row>
    <row r="368" spans="1:21" ht="16.5" thickBot="1">
      <c r="A368" s="50" t="s">
        <v>35</v>
      </c>
      <c r="B368" s="51">
        <f t="shared" ref="B368:B415" si="21">J368</f>
        <v>140</v>
      </c>
      <c r="C368" s="51" t="s">
        <v>3</v>
      </c>
      <c r="D368" s="51">
        <f t="shared" ref="D368:D415" si="22">K368</f>
        <v>400</v>
      </c>
      <c r="E368" s="51" t="s">
        <v>3</v>
      </c>
      <c r="F368" s="99">
        <f t="shared" ref="F368:F415" si="23">L368</f>
        <v>650</v>
      </c>
      <c r="G368" s="51" t="s">
        <v>3</v>
      </c>
      <c r="H368" s="48">
        <v>6</v>
      </c>
      <c r="I368" s="49" t="s">
        <v>47</v>
      </c>
      <c r="J368" s="184">
        <v>140</v>
      </c>
      <c r="K368" s="75">
        <v>400</v>
      </c>
      <c r="L368" s="75">
        <v>650</v>
      </c>
      <c r="M368" s="202">
        <v>10.10393959527134</v>
      </c>
      <c r="N368" s="87">
        <v>355.80707999999998</v>
      </c>
      <c r="O368" s="123">
        <v>18753.327271316477</v>
      </c>
      <c r="P368" s="121">
        <v>23147.975057702857</v>
      </c>
      <c r="Q368" s="120">
        <v>10474.092577548676</v>
      </c>
      <c r="R368" s="314">
        <v>29227.419848865153</v>
      </c>
      <c r="S368" s="315">
        <v>33622.067635251529</v>
      </c>
      <c r="U368" s="7" t="s">
        <v>3265</v>
      </c>
    </row>
    <row r="369" spans="1:21" ht="16.5" thickBot="1">
      <c r="A369" s="50" t="s">
        <v>35</v>
      </c>
      <c r="B369" s="51">
        <f t="shared" si="21"/>
        <v>140</v>
      </c>
      <c r="C369" s="51" t="s">
        <v>3</v>
      </c>
      <c r="D369" s="51">
        <f t="shared" si="22"/>
        <v>400</v>
      </c>
      <c r="E369" s="51" t="s">
        <v>3</v>
      </c>
      <c r="F369" s="99">
        <f t="shared" si="23"/>
        <v>700</v>
      </c>
      <c r="G369" s="51" t="s">
        <v>3</v>
      </c>
      <c r="H369" s="48">
        <v>6</v>
      </c>
      <c r="I369" s="49" t="s">
        <v>47</v>
      </c>
      <c r="J369" s="184">
        <v>140</v>
      </c>
      <c r="K369" s="75">
        <v>400</v>
      </c>
      <c r="L369" s="75">
        <v>700</v>
      </c>
      <c r="M369" s="202">
        <v>10.782113692295658</v>
      </c>
      <c r="N369" s="87">
        <v>415.10825999999997</v>
      </c>
      <c r="O369" s="123">
        <v>19701.01840889228</v>
      </c>
      <c r="P369" s="121">
        <v>24351.83761163817</v>
      </c>
      <c r="Q369" s="120">
        <v>11307.066052331927</v>
      </c>
      <c r="R369" s="314">
        <v>31008.084461224207</v>
      </c>
      <c r="S369" s="315">
        <v>35658.903663970093</v>
      </c>
      <c r="U369" s="7" t="s">
        <v>3266</v>
      </c>
    </row>
    <row r="370" spans="1:21" ht="16.5" thickBot="1">
      <c r="A370" s="50" t="s">
        <v>35</v>
      </c>
      <c r="B370" s="51">
        <f t="shared" si="21"/>
        <v>140</v>
      </c>
      <c r="C370" s="51" t="s">
        <v>3</v>
      </c>
      <c r="D370" s="51">
        <f t="shared" si="22"/>
        <v>400</v>
      </c>
      <c r="E370" s="51" t="s">
        <v>3</v>
      </c>
      <c r="F370" s="99">
        <f t="shared" si="23"/>
        <v>750</v>
      </c>
      <c r="G370" s="51" t="s">
        <v>3</v>
      </c>
      <c r="H370" s="48">
        <v>6</v>
      </c>
      <c r="I370" s="49" t="s">
        <v>47</v>
      </c>
      <c r="J370" s="184">
        <v>140</v>
      </c>
      <c r="K370" s="75">
        <v>400</v>
      </c>
      <c r="L370" s="75">
        <v>750</v>
      </c>
      <c r="M370" s="202">
        <v>11.460287789319979</v>
      </c>
      <c r="N370" s="87">
        <v>474.40944000000002</v>
      </c>
      <c r="O370" s="123">
        <v>20649.381890281093</v>
      </c>
      <c r="P370" s="121">
        <v>25556.086528107084</v>
      </c>
      <c r="Q370" s="120">
        <v>11909.457889725263</v>
      </c>
      <c r="R370" s="314">
        <v>32558.839780006354</v>
      </c>
      <c r="S370" s="315">
        <v>37465.544417832345</v>
      </c>
      <c r="U370" s="7" t="s">
        <v>3267</v>
      </c>
    </row>
    <row r="371" spans="1:21" ht="16.5" thickBot="1">
      <c r="A371" s="50" t="s">
        <v>35</v>
      </c>
      <c r="B371" s="51">
        <f t="shared" si="21"/>
        <v>140</v>
      </c>
      <c r="C371" s="51" t="s">
        <v>3</v>
      </c>
      <c r="D371" s="51">
        <f t="shared" si="22"/>
        <v>400</v>
      </c>
      <c r="E371" s="51" t="s">
        <v>3</v>
      </c>
      <c r="F371" s="99">
        <f t="shared" si="23"/>
        <v>800</v>
      </c>
      <c r="G371" s="51" t="s">
        <v>3</v>
      </c>
      <c r="H371" s="48">
        <v>6</v>
      </c>
      <c r="I371" s="49" t="s">
        <v>47</v>
      </c>
      <c r="J371" s="184">
        <v>140</v>
      </c>
      <c r="K371" s="75">
        <v>400</v>
      </c>
      <c r="L371" s="75">
        <v>800</v>
      </c>
      <c r="M371" s="202">
        <v>12.138461886344302</v>
      </c>
      <c r="N371" s="87">
        <v>533.71062000000006</v>
      </c>
      <c r="O371" s="123">
        <v>21598.314947541567</v>
      </c>
      <c r="P371" s="121">
        <v>26760.664105437605</v>
      </c>
      <c r="Q371" s="120">
        <v>12511.84958672524</v>
      </c>
      <c r="R371" s="314">
        <v>34110.164534266805</v>
      </c>
      <c r="S371" s="315">
        <v>39272.513692162844</v>
      </c>
      <c r="U371" s="7" t="s">
        <v>3268</v>
      </c>
    </row>
    <row r="372" spans="1:21" ht="16.5" thickBot="1">
      <c r="A372" s="50" t="s">
        <v>35</v>
      </c>
      <c r="B372" s="51">
        <f t="shared" si="21"/>
        <v>140</v>
      </c>
      <c r="C372" s="51" t="s">
        <v>3</v>
      </c>
      <c r="D372" s="51">
        <f t="shared" si="22"/>
        <v>400</v>
      </c>
      <c r="E372" s="51" t="s">
        <v>3</v>
      </c>
      <c r="F372" s="99">
        <f t="shared" si="23"/>
        <v>850</v>
      </c>
      <c r="G372" s="51" t="s">
        <v>3</v>
      </c>
      <c r="H372" s="48">
        <v>6</v>
      </c>
      <c r="I372" s="49" t="s">
        <v>47</v>
      </c>
      <c r="J372" s="184">
        <v>140</v>
      </c>
      <c r="K372" s="75">
        <v>400</v>
      </c>
      <c r="L372" s="75">
        <v>850</v>
      </c>
      <c r="M372" s="202">
        <v>12.81663598336862</v>
      </c>
      <c r="N372" s="87">
        <v>593.01179999999999</v>
      </c>
      <c r="O372" s="123">
        <v>22547.73531016328</v>
      </c>
      <c r="P372" s="121">
        <v>27965.523873426755</v>
      </c>
      <c r="Q372" s="120">
        <v>13344.823201901852</v>
      </c>
      <c r="R372" s="314">
        <v>35892.55851206513</v>
      </c>
      <c r="S372" s="315">
        <v>41310.347075328609</v>
      </c>
      <c r="U372" s="7" t="s">
        <v>3269</v>
      </c>
    </row>
    <row r="373" spans="1:21" ht="16.5" thickBot="1">
      <c r="A373" s="50" t="s">
        <v>35</v>
      </c>
      <c r="B373" s="51">
        <f t="shared" si="21"/>
        <v>140</v>
      </c>
      <c r="C373" s="51" t="s">
        <v>3</v>
      </c>
      <c r="D373" s="51">
        <f t="shared" si="22"/>
        <v>400</v>
      </c>
      <c r="E373" s="51" t="s">
        <v>3</v>
      </c>
      <c r="F373" s="99">
        <f t="shared" si="23"/>
        <v>900</v>
      </c>
      <c r="G373" s="51" t="s">
        <v>3</v>
      </c>
      <c r="H373" s="48">
        <v>6</v>
      </c>
      <c r="I373" s="49" t="s">
        <v>47</v>
      </c>
      <c r="J373" s="184">
        <v>140</v>
      </c>
      <c r="K373" s="75">
        <v>400</v>
      </c>
      <c r="L373" s="75">
        <v>900</v>
      </c>
      <c r="M373" s="202">
        <v>13.494810080392941</v>
      </c>
      <c r="N373" s="87">
        <v>652.31298000000004</v>
      </c>
      <c r="O373" s="123">
        <v>23497.575448938867</v>
      </c>
      <c r="P373" s="121">
        <v>29170.62750468657</v>
      </c>
      <c r="Q373" s="120">
        <v>13947.21489890183</v>
      </c>
      <c r="R373" s="314">
        <v>37444.790347840695</v>
      </c>
      <c r="S373" s="315">
        <v>43117.842403588402</v>
      </c>
      <c r="U373" s="7" t="s">
        <v>3270</v>
      </c>
    </row>
    <row r="374" spans="1:21" ht="16.5" thickBot="1">
      <c r="A374" s="50" t="s">
        <v>35</v>
      </c>
      <c r="B374" s="51">
        <f t="shared" si="21"/>
        <v>140</v>
      </c>
      <c r="C374" s="51" t="s">
        <v>3</v>
      </c>
      <c r="D374" s="51">
        <f t="shared" si="22"/>
        <v>400</v>
      </c>
      <c r="E374" s="51" t="s">
        <v>3</v>
      </c>
      <c r="F374" s="99">
        <f t="shared" si="23"/>
        <v>950</v>
      </c>
      <c r="G374" s="51" t="s">
        <v>3</v>
      </c>
      <c r="H374" s="48">
        <v>6</v>
      </c>
      <c r="I374" s="49" t="s">
        <v>47</v>
      </c>
      <c r="J374" s="184">
        <v>140</v>
      </c>
      <c r="K374" s="75">
        <v>400</v>
      </c>
      <c r="L374" s="75">
        <v>950</v>
      </c>
      <c r="M374" s="202">
        <v>14.172984177417261</v>
      </c>
      <c r="N374" s="87">
        <v>711.61415999999997</v>
      </c>
      <c r="O374" s="123">
        <v>24328.329725841078</v>
      </c>
      <c r="P374" s="121">
        <v>30246.783903897645</v>
      </c>
      <c r="Q374" s="120">
        <v>14780.188514078442</v>
      </c>
      <c r="R374" s="314">
        <v>39108.518239919518</v>
      </c>
      <c r="S374" s="315">
        <v>45026.972417976089</v>
      </c>
      <c r="U374" s="7" t="s">
        <v>3271</v>
      </c>
    </row>
    <row r="375" spans="1:21" ht="16.5" thickBot="1">
      <c r="A375" s="50" t="s">
        <v>35</v>
      </c>
      <c r="B375" s="51">
        <f t="shared" si="21"/>
        <v>140</v>
      </c>
      <c r="C375" s="51" t="s">
        <v>3</v>
      </c>
      <c r="D375" s="51">
        <f t="shared" si="22"/>
        <v>400</v>
      </c>
      <c r="E375" s="51" t="s">
        <v>3</v>
      </c>
      <c r="F375" s="99">
        <f t="shared" si="23"/>
        <v>1000</v>
      </c>
      <c r="G375" s="51" t="s">
        <v>3</v>
      </c>
      <c r="H375" s="48">
        <v>6</v>
      </c>
      <c r="I375" s="49" t="s">
        <v>47</v>
      </c>
      <c r="J375" s="184">
        <v>140</v>
      </c>
      <c r="K375" s="75">
        <v>400</v>
      </c>
      <c r="L375" s="75">
        <v>1000</v>
      </c>
      <c r="M375" s="202">
        <v>14.85115827444158</v>
      </c>
      <c r="N375" s="87">
        <v>770.91534000000001</v>
      </c>
      <c r="O375" s="123">
        <v>25457.911836397991</v>
      </c>
      <c r="P375" s="121">
        <v>31645.903300104157</v>
      </c>
      <c r="Q375" s="120">
        <v>15382.580351471779</v>
      </c>
      <c r="R375" s="314">
        <v>40840.492187869771</v>
      </c>
      <c r="S375" s="315">
        <v>47028.483651575938</v>
      </c>
      <c r="U375" s="7" t="s">
        <v>3272</v>
      </c>
    </row>
    <row r="376" spans="1:21" ht="16.5" thickBot="1">
      <c r="A376" s="50" t="s">
        <v>35</v>
      </c>
      <c r="B376" s="51">
        <f t="shared" si="21"/>
        <v>140</v>
      </c>
      <c r="C376" s="51" t="s">
        <v>3</v>
      </c>
      <c r="D376" s="51">
        <f t="shared" si="22"/>
        <v>400</v>
      </c>
      <c r="E376" s="51" t="s">
        <v>3</v>
      </c>
      <c r="F376" s="99">
        <f t="shared" si="23"/>
        <v>1050</v>
      </c>
      <c r="G376" s="51" t="s">
        <v>3</v>
      </c>
      <c r="H376" s="48">
        <v>6</v>
      </c>
      <c r="I376" s="49" t="s">
        <v>47</v>
      </c>
      <c r="J376" s="184">
        <v>140</v>
      </c>
      <c r="K376" s="75">
        <v>400</v>
      </c>
      <c r="L376" s="75">
        <v>1050</v>
      </c>
      <c r="M376" s="202">
        <v>15.529332371465902</v>
      </c>
      <c r="N376" s="87">
        <v>830.21651999999995</v>
      </c>
      <c r="O376" s="123">
        <v>26418.306186592883</v>
      </c>
      <c r="P376" s="121">
        <v>32863.733308887873</v>
      </c>
      <c r="Q376" s="120">
        <v>16215.553826255029</v>
      </c>
      <c r="R376" s="314">
        <v>42633.860012847916</v>
      </c>
      <c r="S376" s="315">
        <v>49079.287135142906</v>
      </c>
      <c r="U376" s="7" t="s">
        <v>3273</v>
      </c>
    </row>
    <row r="377" spans="1:21" s="7" customFormat="1" ht="16.5" thickBot="1">
      <c r="A377" s="47" t="s">
        <v>35</v>
      </c>
      <c r="B377" s="48">
        <f t="shared" si="21"/>
        <v>140</v>
      </c>
      <c r="C377" s="48" t="s">
        <v>3</v>
      </c>
      <c r="D377" s="48">
        <f t="shared" si="22"/>
        <v>400</v>
      </c>
      <c r="E377" s="48" t="s">
        <v>3</v>
      </c>
      <c r="F377" s="99">
        <f t="shared" si="23"/>
        <v>1100</v>
      </c>
      <c r="G377" s="48" t="s">
        <v>3</v>
      </c>
      <c r="H377" s="48">
        <v>6</v>
      </c>
      <c r="I377" s="49" t="s">
        <v>47</v>
      </c>
      <c r="J377" s="184">
        <v>140</v>
      </c>
      <c r="K377" s="75">
        <v>400</v>
      </c>
      <c r="L377" s="75">
        <v>1100</v>
      </c>
      <c r="M377" s="202">
        <v>16.207506468490219</v>
      </c>
      <c r="N377" s="87">
        <v>889.51769999999999</v>
      </c>
      <c r="O377" s="123">
        <v>27369.235216288016</v>
      </c>
      <c r="P377" s="121">
        <v>34069.423784402934</v>
      </c>
      <c r="Q377" s="120">
        <v>16817.945663648366</v>
      </c>
      <c r="R377" s="314">
        <v>44187.180879936379</v>
      </c>
      <c r="S377" s="315">
        <v>50887.3694480513</v>
      </c>
      <c r="U377" s="7" t="s">
        <v>3274</v>
      </c>
    </row>
    <row r="378" spans="1:21" s="7" customFormat="1" ht="16.5" thickBot="1">
      <c r="A378" s="50" t="s">
        <v>35</v>
      </c>
      <c r="B378" s="51">
        <f t="shared" si="21"/>
        <v>140</v>
      </c>
      <c r="C378" s="51" t="s">
        <v>3</v>
      </c>
      <c r="D378" s="51">
        <f t="shared" si="22"/>
        <v>400</v>
      </c>
      <c r="E378" s="51" t="s">
        <v>3</v>
      </c>
      <c r="F378" s="99">
        <f t="shared" si="23"/>
        <v>1150</v>
      </c>
      <c r="G378" s="51" t="s">
        <v>3</v>
      </c>
      <c r="H378" s="48">
        <v>6</v>
      </c>
      <c r="I378" s="49" t="s">
        <v>47</v>
      </c>
      <c r="J378" s="184">
        <v>140</v>
      </c>
      <c r="K378" s="75">
        <v>400</v>
      </c>
      <c r="L378" s="75">
        <v>1150</v>
      </c>
      <c r="M378" s="202">
        <v>16.885680565514541</v>
      </c>
      <c r="N378" s="87">
        <v>948.81888000000004</v>
      </c>
      <c r="O378" s="123">
        <v>28320.392525590581</v>
      </c>
      <c r="P378" s="121">
        <v>35275.251985806608</v>
      </c>
      <c r="Q378" s="120">
        <v>17420.33736064834</v>
      </c>
      <c r="R378" s="314">
        <v>45740.729886238922</v>
      </c>
      <c r="S378" s="315">
        <v>52695.589346454944</v>
      </c>
      <c r="U378" s="7" t="s">
        <v>3275</v>
      </c>
    </row>
    <row r="379" spans="1:21" s="7" customFormat="1" ht="16.5" thickBot="1">
      <c r="A379" s="50" t="s">
        <v>35</v>
      </c>
      <c r="B379" s="51">
        <f t="shared" si="21"/>
        <v>140</v>
      </c>
      <c r="C379" s="51" t="s">
        <v>3</v>
      </c>
      <c r="D379" s="51">
        <f t="shared" si="22"/>
        <v>400</v>
      </c>
      <c r="E379" s="51" t="s">
        <v>3</v>
      </c>
      <c r="F379" s="99">
        <f t="shared" si="23"/>
        <v>1200</v>
      </c>
      <c r="G379" s="51" t="s">
        <v>3</v>
      </c>
      <c r="H379" s="48">
        <v>6</v>
      </c>
      <c r="I379" s="49" t="s">
        <v>47</v>
      </c>
      <c r="J379" s="184">
        <v>140</v>
      </c>
      <c r="K379" s="75">
        <v>400</v>
      </c>
      <c r="L379" s="75">
        <v>1200</v>
      </c>
      <c r="M379" s="202">
        <v>17.68019166253886</v>
      </c>
      <c r="N379" s="87">
        <v>1008.12006</v>
      </c>
      <c r="O379" s="123">
        <v>29394.327340233456</v>
      </c>
      <c r="P379" s="121">
        <v>36605.980159404869</v>
      </c>
      <c r="Q379" s="120">
        <v>18253.310975824952</v>
      </c>
      <c r="R379" s="314">
        <v>47647.638316058408</v>
      </c>
      <c r="S379" s="315">
        <v>54859.291135229825</v>
      </c>
      <c r="U379" s="7" t="s">
        <v>3276</v>
      </c>
    </row>
    <row r="380" spans="1:21" s="7" customFormat="1" ht="16.5" thickBot="1">
      <c r="A380" s="50" t="s">
        <v>35</v>
      </c>
      <c r="B380" s="51">
        <f t="shared" si="21"/>
        <v>140</v>
      </c>
      <c r="C380" s="51" t="s">
        <v>3</v>
      </c>
      <c r="D380" s="51">
        <f t="shared" si="22"/>
        <v>400</v>
      </c>
      <c r="E380" s="51" t="s">
        <v>3</v>
      </c>
      <c r="F380" s="99">
        <f t="shared" si="23"/>
        <v>1250</v>
      </c>
      <c r="G380" s="51" t="s">
        <v>3</v>
      </c>
      <c r="H380" s="48">
        <v>6</v>
      </c>
      <c r="I380" s="49" t="s">
        <v>47</v>
      </c>
      <c r="J380" s="184">
        <v>140</v>
      </c>
      <c r="K380" s="75">
        <v>400</v>
      </c>
      <c r="L380" s="75">
        <v>1250</v>
      </c>
      <c r="M380" s="202">
        <v>18.358365759563181</v>
      </c>
      <c r="N380" s="87">
        <v>1067.4212400000001</v>
      </c>
      <c r="O380" s="123">
        <v>30345.881962751893</v>
      </c>
      <c r="P380" s="121">
        <v>37812.031867041645</v>
      </c>
      <c r="Q380" s="120">
        <v>18855.702672824929</v>
      </c>
      <c r="R380" s="314">
        <v>49201.584635576823</v>
      </c>
      <c r="S380" s="315">
        <v>56667.734539866578</v>
      </c>
      <c r="U380" s="7" t="s">
        <v>3277</v>
      </c>
    </row>
    <row r="381" spans="1:21" s="7" customFormat="1" ht="16.5" thickBot="1">
      <c r="A381" s="50" t="s">
        <v>35</v>
      </c>
      <c r="B381" s="51">
        <f t="shared" si="21"/>
        <v>140</v>
      </c>
      <c r="C381" s="51" t="s">
        <v>3</v>
      </c>
      <c r="D381" s="51">
        <f t="shared" si="22"/>
        <v>400</v>
      </c>
      <c r="E381" s="51" t="s">
        <v>3</v>
      </c>
      <c r="F381" s="99">
        <f t="shared" si="23"/>
        <v>1300</v>
      </c>
      <c r="G381" s="51" t="s">
        <v>3</v>
      </c>
      <c r="H381" s="48">
        <v>6</v>
      </c>
      <c r="I381" s="49" t="s">
        <v>47</v>
      </c>
      <c r="J381" s="184">
        <v>140</v>
      </c>
      <c r="K381" s="75">
        <v>400</v>
      </c>
      <c r="L381" s="75">
        <v>1300</v>
      </c>
      <c r="M381" s="202">
        <v>19.036539856587503</v>
      </c>
      <c r="N381" s="87">
        <v>1126.7224199999998</v>
      </c>
      <c r="O381" s="123">
        <v>31297.598739604018</v>
      </c>
      <c r="P381" s="121">
        <v>39018.183534752519</v>
      </c>
      <c r="Q381" s="120">
        <v>19688.676288001541</v>
      </c>
      <c r="R381" s="314">
        <v>50986.275027605559</v>
      </c>
      <c r="S381" s="315">
        <v>58706.859822754064</v>
      </c>
      <c r="U381" s="7" t="s">
        <v>3278</v>
      </c>
    </row>
    <row r="382" spans="1:21" s="7" customFormat="1" ht="16.5" thickBot="1">
      <c r="A382" s="50" t="s">
        <v>35</v>
      </c>
      <c r="B382" s="51">
        <f t="shared" si="21"/>
        <v>140</v>
      </c>
      <c r="C382" s="51" t="s">
        <v>3</v>
      </c>
      <c r="D382" s="51">
        <f t="shared" si="22"/>
        <v>400</v>
      </c>
      <c r="E382" s="51" t="s">
        <v>3</v>
      </c>
      <c r="F382" s="99">
        <f t="shared" si="23"/>
        <v>1350</v>
      </c>
      <c r="G382" s="51" t="s">
        <v>3</v>
      </c>
      <c r="H382" s="48">
        <v>6</v>
      </c>
      <c r="I382" s="49" t="s">
        <v>47</v>
      </c>
      <c r="J382" s="184">
        <v>140</v>
      </c>
      <c r="K382" s="75">
        <v>400</v>
      </c>
      <c r="L382" s="75">
        <v>1350</v>
      </c>
      <c r="M382" s="202">
        <v>19.71471395361182</v>
      </c>
      <c r="N382" s="87">
        <v>1186.0236</v>
      </c>
      <c r="O382" s="123">
        <v>32249.462227519958</v>
      </c>
      <c r="P382" s="121">
        <v>40224.425335002124</v>
      </c>
      <c r="Q382" s="120">
        <v>20291.067985001515</v>
      </c>
      <c r="R382" s="314">
        <v>52540.530212521473</v>
      </c>
      <c r="S382" s="315">
        <v>60515.493320003639</v>
      </c>
      <c r="U382" s="7" t="s">
        <v>3279</v>
      </c>
    </row>
    <row r="383" spans="1:21" s="7" customFormat="1" ht="16.5" thickBot="1">
      <c r="A383" s="50" t="s">
        <v>35</v>
      </c>
      <c r="B383" s="51">
        <f t="shared" si="21"/>
        <v>140</v>
      </c>
      <c r="C383" s="51" t="s">
        <v>3</v>
      </c>
      <c r="D383" s="51">
        <f t="shared" si="22"/>
        <v>400</v>
      </c>
      <c r="E383" s="51" t="s">
        <v>3</v>
      </c>
      <c r="F383" s="99">
        <f t="shared" si="23"/>
        <v>1400</v>
      </c>
      <c r="G383" s="51" t="s">
        <v>3</v>
      </c>
      <c r="H383" s="48">
        <v>6</v>
      </c>
      <c r="I383" s="49" t="s">
        <v>47</v>
      </c>
      <c r="J383" s="184">
        <v>140</v>
      </c>
      <c r="K383" s="75">
        <v>400</v>
      </c>
      <c r="L383" s="75">
        <v>1400</v>
      </c>
      <c r="M383" s="202">
        <v>20.392888050636142</v>
      </c>
      <c r="N383" s="87">
        <v>1245.3247800000001</v>
      </c>
      <c r="O383" s="123">
        <v>33201.458246770097</v>
      </c>
      <c r="P383" s="121">
        <v>41430.748844188696</v>
      </c>
      <c r="Q383" s="120">
        <v>21124.04160017813</v>
      </c>
      <c r="R383" s="314">
        <v>54325.499846948223</v>
      </c>
      <c r="S383" s="315">
        <v>62554.790444366823</v>
      </c>
      <c r="U383" s="7" t="s">
        <v>3280</v>
      </c>
    </row>
    <row r="384" spans="1:21" s="7" customFormat="1" ht="16.5" thickBot="1">
      <c r="A384" s="50" t="s">
        <v>35</v>
      </c>
      <c r="B384" s="51">
        <f t="shared" si="21"/>
        <v>140</v>
      </c>
      <c r="C384" s="51" t="s">
        <v>3</v>
      </c>
      <c r="D384" s="51">
        <f t="shared" si="22"/>
        <v>400</v>
      </c>
      <c r="E384" s="51" t="s">
        <v>3</v>
      </c>
      <c r="F384" s="99">
        <f t="shared" si="23"/>
        <v>1450</v>
      </c>
      <c r="G384" s="51" t="s">
        <v>3</v>
      </c>
      <c r="H384" s="48">
        <v>6</v>
      </c>
      <c r="I384" s="49" t="s">
        <v>47</v>
      </c>
      <c r="J384" s="184">
        <v>140</v>
      </c>
      <c r="K384" s="75">
        <v>400</v>
      </c>
      <c r="L384" s="75">
        <v>1450</v>
      </c>
      <c r="M384" s="202">
        <v>21.071062147660459</v>
      </c>
      <c r="N384" s="87">
        <v>1304.6259600000001</v>
      </c>
      <c r="O384" s="123">
        <v>34153.574723525257</v>
      </c>
      <c r="P384" s="121">
        <v>42637.146902250759</v>
      </c>
      <c r="Q384" s="120">
        <v>21726.433297178104</v>
      </c>
      <c r="R384" s="314">
        <v>55880.008020703361</v>
      </c>
      <c r="S384" s="315">
        <v>64363.580199428863</v>
      </c>
      <c r="U384" s="7" t="s">
        <v>3281</v>
      </c>
    </row>
    <row r="385" spans="1:21" s="7" customFormat="1" ht="16.5" thickBot="1">
      <c r="A385" s="50" t="s">
        <v>35</v>
      </c>
      <c r="B385" s="51">
        <f t="shared" si="21"/>
        <v>140</v>
      </c>
      <c r="C385" s="51" t="s">
        <v>3</v>
      </c>
      <c r="D385" s="51">
        <f t="shared" si="22"/>
        <v>400</v>
      </c>
      <c r="E385" s="51" t="s">
        <v>3</v>
      </c>
      <c r="F385" s="99">
        <f t="shared" si="23"/>
        <v>1500</v>
      </c>
      <c r="G385" s="51" t="s">
        <v>3</v>
      </c>
      <c r="H385" s="48">
        <v>6</v>
      </c>
      <c r="I385" s="49" t="s">
        <v>47</v>
      </c>
      <c r="J385" s="184">
        <v>140</v>
      </c>
      <c r="K385" s="75">
        <v>400</v>
      </c>
      <c r="L385" s="75">
        <v>1500</v>
      </c>
      <c r="M385" s="202">
        <v>21.973789074677182</v>
      </c>
      <c r="N385" s="87">
        <v>1363.9271399999998</v>
      </c>
      <c r="O385" s="123">
        <v>35907.528094735055</v>
      </c>
      <c r="P385" s="121">
        <v>44653.898958496888</v>
      </c>
      <c r="Q385" s="120">
        <v>22559.406912354716</v>
      </c>
      <c r="R385" s="314">
        <v>58466.935007089771</v>
      </c>
      <c r="S385" s="315">
        <v>67213.305870851604</v>
      </c>
      <c r="U385" s="7" t="s">
        <v>3282</v>
      </c>
    </row>
    <row r="386" spans="1:21" s="7" customFormat="1" ht="16.5" thickBot="1">
      <c r="A386" s="50" t="s">
        <v>35</v>
      </c>
      <c r="B386" s="51">
        <f t="shared" si="21"/>
        <v>140</v>
      </c>
      <c r="C386" s="51" t="s">
        <v>3</v>
      </c>
      <c r="D386" s="51">
        <f t="shared" si="22"/>
        <v>400</v>
      </c>
      <c r="E386" s="51" t="s">
        <v>3</v>
      </c>
      <c r="F386" s="99">
        <f t="shared" si="23"/>
        <v>1550</v>
      </c>
      <c r="G386" s="51" t="s">
        <v>3</v>
      </c>
      <c r="H386" s="48">
        <v>6</v>
      </c>
      <c r="I386" s="49" t="s">
        <v>47</v>
      </c>
      <c r="J386" s="184">
        <v>140</v>
      </c>
      <c r="K386" s="75">
        <v>400</v>
      </c>
      <c r="L386" s="75">
        <v>1550</v>
      </c>
      <c r="M386" s="202">
        <v>22.6519631717015</v>
      </c>
      <c r="N386" s="87">
        <v>1423.2283199999999</v>
      </c>
      <c r="O386" s="123">
        <v>36859.575357562506</v>
      </c>
      <c r="P386" s="121">
        <v>45860.400486467108</v>
      </c>
      <c r="Q386" s="120">
        <v>23161.79860935469</v>
      </c>
      <c r="R386" s="314">
        <v>60021.373966917192</v>
      </c>
      <c r="S386" s="315">
        <v>69022.199095821794</v>
      </c>
      <c r="U386" s="7" t="s">
        <v>3283</v>
      </c>
    </row>
    <row r="387" spans="1:21" s="7" customFormat="1" ht="16.5" thickBot="1">
      <c r="A387" s="47" t="s">
        <v>35</v>
      </c>
      <c r="B387" s="48">
        <f t="shared" si="21"/>
        <v>140</v>
      </c>
      <c r="C387" s="48" t="s">
        <v>3</v>
      </c>
      <c r="D387" s="48">
        <f t="shared" si="22"/>
        <v>400</v>
      </c>
      <c r="E387" s="48" t="s">
        <v>3</v>
      </c>
      <c r="F387" s="99">
        <f t="shared" si="23"/>
        <v>1600</v>
      </c>
      <c r="G387" s="48" t="s">
        <v>3</v>
      </c>
      <c r="H387" s="48">
        <v>6</v>
      </c>
      <c r="I387" s="49" t="s">
        <v>47</v>
      </c>
      <c r="J387" s="184">
        <v>140</v>
      </c>
      <c r="K387" s="75">
        <v>400</v>
      </c>
      <c r="L387" s="75">
        <v>1600</v>
      </c>
      <c r="M387" s="202">
        <v>23.330137268725821</v>
      </c>
      <c r="N387" s="87">
        <v>1482.5295000000001</v>
      </c>
      <c r="O387" s="123">
        <v>37811.728617378649</v>
      </c>
      <c r="P387" s="121">
        <v>47066.959435322591</v>
      </c>
      <c r="Q387" s="120">
        <v>23764.190446748027</v>
      </c>
      <c r="R387" s="314">
        <v>61575.919064126676</v>
      </c>
      <c r="S387" s="315">
        <v>70831.149882070618</v>
      </c>
      <c r="U387" s="7" t="s">
        <v>3284</v>
      </c>
    </row>
    <row r="388" spans="1:21" s="7" customFormat="1" ht="16.5" thickBot="1">
      <c r="A388" s="50" t="s">
        <v>35</v>
      </c>
      <c r="B388" s="51">
        <f t="shared" si="21"/>
        <v>140</v>
      </c>
      <c r="C388" s="51" t="s">
        <v>3</v>
      </c>
      <c r="D388" s="51">
        <f t="shared" si="22"/>
        <v>400</v>
      </c>
      <c r="E388" s="51" t="s">
        <v>3</v>
      </c>
      <c r="F388" s="99">
        <f t="shared" si="23"/>
        <v>1650</v>
      </c>
      <c r="G388" s="51" t="s">
        <v>3</v>
      </c>
      <c r="H388" s="48">
        <v>6</v>
      </c>
      <c r="I388" s="49" t="s">
        <v>47</v>
      </c>
      <c r="J388" s="184">
        <v>140</v>
      </c>
      <c r="K388" s="75">
        <v>400</v>
      </c>
      <c r="L388" s="75">
        <v>1650</v>
      </c>
      <c r="M388" s="202">
        <v>24.008311365750142</v>
      </c>
      <c r="N388" s="87">
        <v>1541.83068</v>
      </c>
      <c r="O388" s="123">
        <v>38763.979450581719</v>
      </c>
      <c r="P388" s="121">
        <v>48273.571312475753</v>
      </c>
      <c r="Q388" s="120">
        <v>24597.164061924639</v>
      </c>
      <c r="R388" s="314">
        <v>63361.143512506358</v>
      </c>
      <c r="S388" s="315">
        <v>72870.735374400392</v>
      </c>
      <c r="U388" s="7" t="s">
        <v>3285</v>
      </c>
    </row>
    <row r="389" spans="1:21" s="7" customFormat="1" ht="16.5" thickBot="1">
      <c r="A389" s="50" t="s">
        <v>35</v>
      </c>
      <c r="B389" s="51">
        <f t="shared" si="21"/>
        <v>140</v>
      </c>
      <c r="C389" s="51" t="s">
        <v>3</v>
      </c>
      <c r="D389" s="51">
        <f t="shared" si="22"/>
        <v>400</v>
      </c>
      <c r="E389" s="51" t="s">
        <v>3</v>
      </c>
      <c r="F389" s="99">
        <f t="shared" si="23"/>
        <v>1700</v>
      </c>
      <c r="G389" s="51" t="s">
        <v>3</v>
      </c>
      <c r="H389" s="48">
        <v>6</v>
      </c>
      <c r="I389" s="49" t="s">
        <v>47</v>
      </c>
      <c r="J389" s="184">
        <v>140</v>
      </c>
      <c r="K389" s="75">
        <v>400</v>
      </c>
      <c r="L389" s="75">
        <v>1700</v>
      </c>
      <c r="M389" s="202">
        <v>24.686485462774463</v>
      </c>
      <c r="N389" s="87">
        <v>1601.1318600000002</v>
      </c>
      <c r="O389" s="123">
        <v>39716.319995143436</v>
      </c>
      <c r="P389" s="121">
        <v>49480.23204651905</v>
      </c>
      <c r="Q389" s="120">
        <v>25199.55575892462</v>
      </c>
      <c r="R389" s="314">
        <v>64915.875754068053</v>
      </c>
      <c r="S389" s="315">
        <v>74679.787805443673</v>
      </c>
      <c r="U389" s="7" t="s">
        <v>3286</v>
      </c>
    </row>
    <row r="390" spans="1:21" s="7" customFormat="1" ht="16.5" thickBot="1">
      <c r="A390" s="50" t="s">
        <v>35</v>
      </c>
      <c r="B390" s="51">
        <f t="shared" si="21"/>
        <v>140</v>
      </c>
      <c r="C390" s="51" t="s">
        <v>3</v>
      </c>
      <c r="D390" s="51">
        <f t="shared" si="22"/>
        <v>400</v>
      </c>
      <c r="E390" s="51" t="s">
        <v>3</v>
      </c>
      <c r="F390" s="99">
        <f t="shared" si="23"/>
        <v>1750</v>
      </c>
      <c r="G390" s="51" t="s">
        <v>3</v>
      </c>
      <c r="H390" s="48">
        <v>6</v>
      </c>
      <c r="I390" s="49" t="s">
        <v>47</v>
      </c>
      <c r="J390" s="184">
        <v>140</v>
      </c>
      <c r="K390" s="75">
        <v>400</v>
      </c>
      <c r="L390" s="75">
        <v>1750</v>
      </c>
      <c r="M390" s="202">
        <v>25.364659559798781</v>
      </c>
      <c r="N390" s="87">
        <v>1660.4330399999999</v>
      </c>
      <c r="O390" s="123">
        <v>40668.743652575744</v>
      </c>
      <c r="P390" s="121">
        <v>50686.937987225072</v>
      </c>
      <c r="Q390" s="120">
        <v>26032.529374101232</v>
      </c>
      <c r="R390" s="314">
        <v>66701.273026676979</v>
      </c>
      <c r="S390" s="315">
        <v>76719.4673613263</v>
      </c>
      <c r="U390" s="7" t="s">
        <v>3287</v>
      </c>
    </row>
    <row r="391" spans="1:21" s="7" customFormat="1" ht="16.5" thickBot="1">
      <c r="A391" s="50" t="s">
        <v>35</v>
      </c>
      <c r="B391" s="51">
        <f t="shared" si="21"/>
        <v>140</v>
      </c>
      <c r="C391" s="51" t="s">
        <v>3</v>
      </c>
      <c r="D391" s="51">
        <f t="shared" si="22"/>
        <v>400</v>
      </c>
      <c r="E391" s="51" t="s">
        <v>3</v>
      </c>
      <c r="F391" s="99">
        <f t="shared" si="23"/>
        <v>1800</v>
      </c>
      <c r="G391" s="51" t="s">
        <v>3</v>
      </c>
      <c r="H391" s="48">
        <v>6</v>
      </c>
      <c r="I391" s="49" t="s">
        <v>47</v>
      </c>
      <c r="J391" s="184">
        <v>140</v>
      </c>
      <c r="K391" s="75">
        <v>400</v>
      </c>
      <c r="L391" s="75">
        <v>1800</v>
      </c>
      <c r="M391" s="202">
        <v>26.042833656823099</v>
      </c>
      <c r="N391" s="87">
        <v>1719.7342199999998</v>
      </c>
      <c r="O391" s="123">
        <v>41621.244105177349</v>
      </c>
      <c r="P391" s="121">
        <v>51893.685765153125</v>
      </c>
      <c r="Q391" s="120">
        <v>26634.921071101206</v>
      </c>
      <c r="R391" s="314">
        <v>68256.165176278562</v>
      </c>
      <c r="S391" s="315">
        <v>78528.60683625433</v>
      </c>
      <c r="U391" s="7" t="s">
        <v>3288</v>
      </c>
    </row>
    <row r="392" spans="1:21" s="7" customFormat="1" ht="16.5" thickBot="1">
      <c r="A392" s="50" t="s">
        <v>35</v>
      </c>
      <c r="B392" s="51">
        <f t="shared" si="21"/>
        <v>140</v>
      </c>
      <c r="C392" s="51" t="s">
        <v>3</v>
      </c>
      <c r="D392" s="51">
        <f t="shared" si="22"/>
        <v>400</v>
      </c>
      <c r="E392" s="51" t="s">
        <v>3</v>
      </c>
      <c r="F392" s="99">
        <f t="shared" si="23"/>
        <v>1850</v>
      </c>
      <c r="G392" s="51" t="s">
        <v>3</v>
      </c>
      <c r="H392" s="48">
        <v>6</v>
      </c>
      <c r="I392" s="49" t="s">
        <v>47</v>
      </c>
      <c r="J392" s="184">
        <v>140</v>
      </c>
      <c r="K392" s="75">
        <v>400</v>
      </c>
      <c r="L392" s="75">
        <v>1850</v>
      </c>
      <c r="M392" s="202">
        <v>26.721007753847424</v>
      </c>
      <c r="N392" s="87">
        <v>1779.0354</v>
      </c>
      <c r="O392" s="123">
        <v>42573.8158776071</v>
      </c>
      <c r="P392" s="121">
        <v>53100.472432042588</v>
      </c>
      <c r="Q392" s="120">
        <v>27467.894686277818</v>
      </c>
      <c r="R392" s="314">
        <v>70041.710563884917</v>
      </c>
      <c r="S392" s="315">
        <v>80568.367118320399</v>
      </c>
      <c r="U392" s="7" t="s">
        <v>3289</v>
      </c>
    </row>
    <row r="393" spans="1:21" s="7" customFormat="1" ht="16.5" thickBot="1">
      <c r="A393" s="50" t="s">
        <v>35</v>
      </c>
      <c r="B393" s="51">
        <f t="shared" si="21"/>
        <v>140</v>
      </c>
      <c r="C393" s="51" t="s">
        <v>3</v>
      </c>
      <c r="D393" s="51">
        <f t="shared" si="22"/>
        <v>400</v>
      </c>
      <c r="E393" s="51" t="s">
        <v>3</v>
      </c>
      <c r="F393" s="99">
        <f t="shared" si="23"/>
        <v>1900</v>
      </c>
      <c r="G393" s="51" t="s">
        <v>3</v>
      </c>
      <c r="H393" s="48">
        <v>6</v>
      </c>
      <c r="I393" s="49" t="s">
        <v>47</v>
      </c>
      <c r="J393" s="184">
        <v>140</v>
      </c>
      <c r="K393" s="75">
        <v>400</v>
      </c>
      <c r="L393" s="75">
        <v>1900</v>
      </c>
      <c r="M393" s="202">
        <v>27.399181850871742</v>
      </c>
      <c r="N393" s="87">
        <v>1838.3365800000001</v>
      </c>
      <c r="O393" s="123">
        <v>43526.453775310583</v>
      </c>
      <c r="P393" s="121">
        <v>54307.295180026216</v>
      </c>
      <c r="Q393" s="120">
        <v>28070.286383277791</v>
      </c>
      <c r="R393" s="314">
        <v>71596.740158588378</v>
      </c>
      <c r="S393" s="315">
        <v>82377.581563304004</v>
      </c>
      <c r="U393" s="7" t="s">
        <v>3290</v>
      </c>
    </row>
    <row r="394" spans="1:21" s="7" customFormat="1" ht="16.5" thickBot="1">
      <c r="A394" s="50" t="s">
        <v>35</v>
      </c>
      <c r="B394" s="51">
        <f t="shared" si="21"/>
        <v>140</v>
      </c>
      <c r="C394" s="51" t="s">
        <v>3</v>
      </c>
      <c r="D394" s="51">
        <f t="shared" si="22"/>
        <v>400</v>
      </c>
      <c r="E394" s="51" t="s">
        <v>3</v>
      </c>
      <c r="F394" s="99">
        <f t="shared" si="23"/>
        <v>1950</v>
      </c>
      <c r="G394" s="51" t="s">
        <v>3</v>
      </c>
      <c r="H394" s="48">
        <v>6</v>
      </c>
      <c r="I394" s="49" t="s">
        <v>47</v>
      </c>
      <c r="J394" s="184">
        <v>140</v>
      </c>
      <c r="K394" s="75">
        <v>400</v>
      </c>
      <c r="L394" s="75">
        <v>1950</v>
      </c>
      <c r="M394" s="202">
        <v>28.193692947896064</v>
      </c>
      <c r="N394" s="87">
        <v>1897.6377600000001</v>
      </c>
      <c r="O394" s="123">
        <v>44601.798279706323</v>
      </c>
      <c r="P394" s="121">
        <v>55638.8412853544</v>
      </c>
      <c r="Q394" s="120">
        <v>28672.678220671129</v>
      </c>
      <c r="R394" s="314">
        <v>73274.476500377452</v>
      </c>
      <c r="S394" s="315">
        <v>84311.519506025536</v>
      </c>
      <c r="U394" s="7" t="s">
        <v>3291</v>
      </c>
    </row>
    <row r="395" spans="1:21" s="7" customFormat="1" ht="16.5" thickBot="1">
      <c r="A395" s="50" t="s">
        <v>35</v>
      </c>
      <c r="B395" s="51">
        <f t="shared" si="21"/>
        <v>140</v>
      </c>
      <c r="C395" s="51" t="s">
        <v>3</v>
      </c>
      <c r="D395" s="51">
        <f t="shared" si="22"/>
        <v>400</v>
      </c>
      <c r="E395" s="51" t="s">
        <v>3</v>
      </c>
      <c r="F395" s="99">
        <f t="shared" si="23"/>
        <v>2000</v>
      </c>
      <c r="G395" s="51" t="s">
        <v>3</v>
      </c>
      <c r="H395" s="48">
        <v>6</v>
      </c>
      <c r="I395" s="49" t="s">
        <v>47</v>
      </c>
      <c r="J395" s="184">
        <v>140</v>
      </c>
      <c r="K395" s="75">
        <v>400</v>
      </c>
      <c r="L395" s="75">
        <v>2000</v>
      </c>
      <c r="M395" s="202">
        <v>28.962330696120386</v>
      </c>
      <c r="N395" s="87">
        <v>1956.9389399999998</v>
      </c>
      <c r="O395" s="123">
        <v>45798.108232312581</v>
      </c>
      <c r="P395" s="121">
        <v>57283.542226587051</v>
      </c>
      <c r="Q395" s="120">
        <v>29505.651695454384</v>
      </c>
      <c r="R395" s="314">
        <v>75303.759927766965</v>
      </c>
      <c r="S395" s="315">
        <v>86789.193922041435</v>
      </c>
      <c r="U395" s="7" t="s">
        <v>3292</v>
      </c>
    </row>
    <row r="396" spans="1:21" s="7" customFormat="1" ht="16.5" thickBot="1">
      <c r="A396" s="50" t="s">
        <v>35</v>
      </c>
      <c r="B396" s="51">
        <f t="shared" si="21"/>
        <v>140</v>
      </c>
      <c r="C396" s="51" t="s">
        <v>3</v>
      </c>
      <c r="D396" s="51">
        <f t="shared" si="22"/>
        <v>400</v>
      </c>
      <c r="E396" s="51" t="s">
        <v>3</v>
      </c>
      <c r="F396" s="99">
        <f t="shared" si="23"/>
        <v>2050</v>
      </c>
      <c r="G396" s="51" t="s">
        <v>3</v>
      </c>
      <c r="H396" s="48">
        <v>6</v>
      </c>
      <c r="I396" s="49" t="s">
        <v>47</v>
      </c>
      <c r="J396" s="184">
        <v>140</v>
      </c>
      <c r="K396" s="75">
        <v>400</v>
      </c>
      <c r="L396" s="75">
        <v>2050</v>
      </c>
      <c r="M396" s="202">
        <v>29.6405047931447</v>
      </c>
      <c r="N396" s="87">
        <v>2016.2401199999999</v>
      </c>
      <c r="O396" s="123">
        <v>46750.901405075005</v>
      </c>
      <c r="P396" s="121">
        <v>58490.374380925969</v>
      </c>
      <c r="Q396" s="120">
        <v>30108.043532847722</v>
      </c>
      <c r="R396" s="314">
        <v>76858.94493792273</v>
      </c>
      <c r="S396" s="315">
        <v>88598.417913773694</v>
      </c>
      <c r="U396" s="7" t="s">
        <v>3293</v>
      </c>
    </row>
    <row r="397" spans="1:21" s="7" customFormat="1" ht="16.5" thickBot="1">
      <c r="A397" s="47" t="s">
        <v>35</v>
      </c>
      <c r="B397" s="48">
        <f t="shared" si="21"/>
        <v>140</v>
      </c>
      <c r="C397" s="48" t="s">
        <v>3</v>
      </c>
      <c r="D397" s="48">
        <f t="shared" si="22"/>
        <v>400</v>
      </c>
      <c r="E397" s="48" t="s">
        <v>3</v>
      </c>
      <c r="F397" s="99">
        <f t="shared" si="23"/>
        <v>2100</v>
      </c>
      <c r="G397" s="48" t="s">
        <v>3</v>
      </c>
      <c r="H397" s="48">
        <v>6</v>
      </c>
      <c r="I397" s="49" t="s">
        <v>47</v>
      </c>
      <c r="J397" s="184">
        <v>140</v>
      </c>
      <c r="K397" s="75">
        <v>400</v>
      </c>
      <c r="L397" s="75">
        <v>2100</v>
      </c>
      <c r="M397" s="202">
        <v>30.318678890169021</v>
      </c>
      <c r="N397" s="87">
        <v>2075.5412999999999</v>
      </c>
      <c r="O397" s="123">
        <v>47703.745259841271</v>
      </c>
      <c r="P397" s="121">
        <v>59697.237421804624</v>
      </c>
      <c r="Q397" s="120">
        <v>30941.01700763097</v>
      </c>
      <c r="R397" s="314">
        <v>78644.762267472237</v>
      </c>
      <c r="S397" s="315">
        <v>90638.25442943559</v>
      </c>
      <c r="U397" s="7" t="s">
        <v>3294</v>
      </c>
    </row>
    <row r="398" spans="1:21" s="7" customFormat="1" ht="16.5" thickBot="1">
      <c r="A398" s="50" t="s">
        <v>35</v>
      </c>
      <c r="B398" s="51">
        <f t="shared" si="21"/>
        <v>140</v>
      </c>
      <c r="C398" s="51" t="s">
        <v>3</v>
      </c>
      <c r="D398" s="51">
        <f t="shared" si="22"/>
        <v>400</v>
      </c>
      <c r="E398" s="51" t="s">
        <v>3</v>
      </c>
      <c r="F398" s="99">
        <f t="shared" si="23"/>
        <v>2150</v>
      </c>
      <c r="G398" s="51" t="s">
        <v>3</v>
      </c>
      <c r="H398" s="48">
        <v>6</v>
      </c>
      <c r="I398" s="49" t="s">
        <v>47</v>
      </c>
      <c r="J398" s="184">
        <v>140</v>
      </c>
      <c r="K398" s="75">
        <v>400</v>
      </c>
      <c r="L398" s="75">
        <v>2150</v>
      </c>
      <c r="M398" s="202">
        <v>30.996852987193339</v>
      </c>
      <c r="N398" s="87">
        <v>2134.8424800000003</v>
      </c>
      <c r="O398" s="123">
        <v>48656.636427170706</v>
      </c>
      <c r="P398" s="121">
        <v>60904.129524109325</v>
      </c>
      <c r="Q398" s="120">
        <v>31543.408845024307</v>
      </c>
      <c r="R398" s="314">
        <v>80200.045272195013</v>
      </c>
      <c r="S398" s="315">
        <v>92447.538369133632</v>
      </c>
      <c r="U398" s="7" t="s">
        <v>3295</v>
      </c>
    </row>
    <row r="399" spans="1:21" s="7" customFormat="1" ht="16.5" thickBot="1">
      <c r="A399" s="50" t="s">
        <v>35</v>
      </c>
      <c r="B399" s="51">
        <f t="shared" si="21"/>
        <v>140</v>
      </c>
      <c r="C399" s="51" t="s">
        <v>3</v>
      </c>
      <c r="D399" s="51">
        <f t="shared" si="22"/>
        <v>400</v>
      </c>
      <c r="E399" s="51" t="s">
        <v>3</v>
      </c>
      <c r="F399" s="99">
        <f t="shared" si="23"/>
        <v>2200</v>
      </c>
      <c r="G399" s="51" t="s">
        <v>3</v>
      </c>
      <c r="H399" s="48">
        <v>6</v>
      </c>
      <c r="I399" s="49" t="s">
        <v>47</v>
      </c>
      <c r="J399" s="184">
        <v>140</v>
      </c>
      <c r="K399" s="75">
        <v>400</v>
      </c>
      <c r="L399" s="75">
        <v>2200</v>
      </c>
      <c r="M399" s="202">
        <v>31.67502708421766</v>
      </c>
      <c r="N399" s="87">
        <v>2194.1436600000002</v>
      </c>
      <c r="O399" s="123">
        <v>49609.572239589419</v>
      </c>
      <c r="P399" s="121">
        <v>62111.048722332984</v>
      </c>
      <c r="Q399" s="120">
        <v>32376.382319807555</v>
      </c>
      <c r="R399" s="314">
        <v>81985.954559396981</v>
      </c>
      <c r="S399" s="315">
        <v>94487.431042140539</v>
      </c>
      <c r="U399" s="7" t="s">
        <v>3296</v>
      </c>
    </row>
    <row r="400" spans="1:21" s="7" customFormat="1" ht="16.5" thickBot="1">
      <c r="A400" s="50" t="s">
        <v>35</v>
      </c>
      <c r="B400" s="51">
        <f t="shared" si="21"/>
        <v>140</v>
      </c>
      <c r="C400" s="51" t="s">
        <v>3</v>
      </c>
      <c r="D400" s="51">
        <f t="shared" si="22"/>
        <v>400</v>
      </c>
      <c r="E400" s="51" t="s">
        <v>3</v>
      </c>
      <c r="F400" s="99">
        <f t="shared" si="23"/>
        <v>2250</v>
      </c>
      <c r="G400" s="51" t="s">
        <v>3</v>
      </c>
      <c r="H400" s="48">
        <v>6</v>
      </c>
      <c r="I400" s="49" t="s">
        <v>47</v>
      </c>
      <c r="J400" s="184">
        <v>140</v>
      </c>
      <c r="K400" s="75">
        <v>400</v>
      </c>
      <c r="L400" s="75">
        <v>2250</v>
      </c>
      <c r="M400" s="202">
        <v>32.353201181241978</v>
      </c>
      <c r="N400" s="87">
        <v>2253.4448399999997</v>
      </c>
      <c r="O400" s="123">
        <v>50562.549608443427</v>
      </c>
      <c r="P400" s="121">
        <v>63317.993472148628</v>
      </c>
      <c r="Q400" s="120">
        <v>32978.774157200758</v>
      </c>
      <c r="R400" s="314">
        <v>83541.323765644192</v>
      </c>
      <c r="S400" s="315">
        <v>96296.767629349386</v>
      </c>
      <c r="U400" s="7" t="s">
        <v>3297</v>
      </c>
    </row>
    <row r="401" spans="1:21" s="7" customFormat="1" ht="16.5" thickBot="1">
      <c r="A401" s="50" t="s">
        <v>35</v>
      </c>
      <c r="B401" s="51">
        <f t="shared" si="21"/>
        <v>140</v>
      </c>
      <c r="C401" s="51" t="s">
        <v>3</v>
      </c>
      <c r="D401" s="51">
        <f t="shared" si="22"/>
        <v>400</v>
      </c>
      <c r="E401" s="51" t="s">
        <v>3</v>
      </c>
      <c r="F401" s="99">
        <f t="shared" si="23"/>
        <v>2300</v>
      </c>
      <c r="G401" s="51" t="s">
        <v>3</v>
      </c>
      <c r="H401" s="48">
        <v>6</v>
      </c>
      <c r="I401" s="49" t="s">
        <v>47</v>
      </c>
      <c r="J401" s="184">
        <v>140</v>
      </c>
      <c r="K401" s="75">
        <v>400</v>
      </c>
      <c r="L401" s="75">
        <v>2300</v>
      </c>
      <c r="M401" s="202">
        <v>33.031375278266303</v>
      </c>
      <c r="N401" s="87">
        <v>2312.74602</v>
      </c>
      <c r="O401" s="123">
        <v>51515.566427832309</v>
      </c>
      <c r="P401" s="121">
        <v>64524.962369622619</v>
      </c>
      <c r="Q401" s="120">
        <v>33581.165854200874</v>
      </c>
      <c r="R401" s="314">
        <v>85096.73228203319</v>
      </c>
      <c r="S401" s="315">
        <v>98106.1282238235</v>
      </c>
      <c r="U401" s="7" t="s">
        <v>3298</v>
      </c>
    </row>
    <row r="402" spans="1:21" s="7" customFormat="1" ht="16.5" thickBot="1">
      <c r="A402" s="50" t="s">
        <v>35</v>
      </c>
      <c r="B402" s="51">
        <f t="shared" si="21"/>
        <v>140</v>
      </c>
      <c r="C402" s="51" t="s">
        <v>3</v>
      </c>
      <c r="D402" s="51">
        <f t="shared" si="22"/>
        <v>400</v>
      </c>
      <c r="E402" s="51" t="s">
        <v>3</v>
      </c>
      <c r="F402" s="99">
        <f t="shared" si="23"/>
        <v>2350</v>
      </c>
      <c r="G402" s="51" t="s">
        <v>3</v>
      </c>
      <c r="H402" s="48">
        <v>6</v>
      </c>
      <c r="I402" s="49" t="s">
        <v>47</v>
      </c>
      <c r="J402" s="184">
        <v>140</v>
      </c>
      <c r="K402" s="75">
        <v>400</v>
      </c>
      <c r="L402" s="75">
        <v>2350</v>
      </c>
      <c r="M402" s="202">
        <v>33.709549375290621</v>
      </c>
      <c r="N402" s="87">
        <v>2372.0472</v>
      </c>
      <c r="O402" s="123">
        <v>52468.62031106888</v>
      </c>
      <c r="P402" s="121">
        <v>65731.954010821326</v>
      </c>
      <c r="Q402" s="120">
        <v>34414.139469377486</v>
      </c>
      <c r="R402" s="314">
        <v>86882.759780446358</v>
      </c>
      <c r="S402" s="315">
        <v>100146.09348019882</v>
      </c>
      <c r="U402" s="7" t="s">
        <v>3299</v>
      </c>
    </row>
    <row r="403" spans="1:21" s="7" customFormat="1" ht="16.5" thickBot="1">
      <c r="A403" s="50" t="s">
        <v>35</v>
      </c>
      <c r="B403" s="51">
        <f t="shared" si="21"/>
        <v>140</v>
      </c>
      <c r="C403" s="51" t="s">
        <v>3</v>
      </c>
      <c r="D403" s="51">
        <f t="shared" si="22"/>
        <v>400</v>
      </c>
      <c r="E403" s="51" t="s">
        <v>3</v>
      </c>
      <c r="F403" s="99">
        <f t="shared" si="23"/>
        <v>2400</v>
      </c>
      <c r="G403" s="51" t="s">
        <v>3</v>
      </c>
      <c r="H403" s="48">
        <v>6</v>
      </c>
      <c r="I403" s="49" t="s">
        <v>47</v>
      </c>
      <c r="J403" s="184">
        <v>140</v>
      </c>
      <c r="K403" s="75">
        <v>400</v>
      </c>
      <c r="L403" s="75">
        <v>2400</v>
      </c>
      <c r="M403" s="202">
        <v>34.387723472314939</v>
      </c>
      <c r="N403" s="87">
        <v>2431.3483799999999</v>
      </c>
      <c r="O403" s="123">
        <v>53421.709011859362</v>
      </c>
      <c r="P403" s="121">
        <v>66938.966991811132</v>
      </c>
      <c r="Q403" s="120">
        <v>35016.531306770819</v>
      </c>
      <c r="R403" s="314">
        <v>88438.240318630182</v>
      </c>
      <c r="S403" s="315">
        <v>101955.49829858195</v>
      </c>
      <c r="U403" s="7" t="s">
        <v>3300</v>
      </c>
    </row>
    <row r="404" spans="1:21" s="7" customFormat="1" ht="16.5" thickBot="1">
      <c r="A404" s="50" t="s">
        <v>35</v>
      </c>
      <c r="B404" s="51">
        <f t="shared" si="21"/>
        <v>140</v>
      </c>
      <c r="C404" s="51" t="s">
        <v>3</v>
      </c>
      <c r="D404" s="51">
        <f t="shared" si="22"/>
        <v>400</v>
      </c>
      <c r="E404" s="51" t="s">
        <v>3</v>
      </c>
      <c r="F404" s="99">
        <f t="shared" si="23"/>
        <v>2450</v>
      </c>
      <c r="G404" s="51" t="s">
        <v>3</v>
      </c>
      <c r="H404" s="48">
        <v>6</v>
      </c>
      <c r="I404" s="49" t="s">
        <v>47</v>
      </c>
      <c r="J404" s="184">
        <v>140</v>
      </c>
      <c r="K404" s="75">
        <v>400</v>
      </c>
      <c r="L404" s="75">
        <v>2450</v>
      </c>
      <c r="M404" s="202">
        <v>35.290450399331661</v>
      </c>
      <c r="N404" s="87">
        <v>2490.6495600000003</v>
      </c>
      <c r="O404" s="123">
        <v>55173.560413645813</v>
      </c>
      <c r="P404" s="121">
        <v>68955.927111020486</v>
      </c>
      <c r="Q404" s="120">
        <v>35849.504781554067</v>
      </c>
      <c r="R404" s="314">
        <v>91023.065195199888</v>
      </c>
      <c r="S404" s="315">
        <v>104805.43189257456</v>
      </c>
      <c r="U404" s="7" t="s">
        <v>3301</v>
      </c>
    </row>
    <row r="405" spans="1:21" s="7" customFormat="1" ht="16.5" thickBot="1">
      <c r="A405" s="50" t="s">
        <v>35</v>
      </c>
      <c r="B405" s="51">
        <f t="shared" si="21"/>
        <v>140</v>
      </c>
      <c r="C405" s="51" t="s">
        <v>3</v>
      </c>
      <c r="D405" s="51">
        <f t="shared" si="22"/>
        <v>400</v>
      </c>
      <c r="E405" s="51" t="s">
        <v>3</v>
      </c>
      <c r="F405" s="99">
        <f t="shared" si="23"/>
        <v>2500</v>
      </c>
      <c r="G405" s="51" t="s">
        <v>3</v>
      </c>
      <c r="H405" s="48">
        <v>6</v>
      </c>
      <c r="I405" s="49" t="s">
        <v>47</v>
      </c>
      <c r="J405" s="184">
        <v>140</v>
      </c>
      <c r="K405" s="75">
        <v>400</v>
      </c>
      <c r="L405" s="75">
        <v>2500</v>
      </c>
      <c r="M405" s="202">
        <v>35.968624496355979</v>
      </c>
      <c r="N405" s="87">
        <v>2549.9507399999998</v>
      </c>
      <c r="O405" s="123">
        <v>56126.580602475384</v>
      </c>
      <c r="P405" s="121">
        <v>70162.963116521743</v>
      </c>
      <c r="Q405" s="120">
        <v>36451.896618947409</v>
      </c>
      <c r="R405" s="314">
        <v>92578.4772214228</v>
      </c>
      <c r="S405" s="315">
        <v>106614.85973546916</v>
      </c>
      <c r="U405" s="7" t="s">
        <v>3302</v>
      </c>
    </row>
    <row r="406" spans="1:21" s="7" customFormat="1" ht="16.5" thickBot="1">
      <c r="A406" s="50" t="s">
        <v>35</v>
      </c>
      <c r="B406" s="51">
        <f t="shared" si="21"/>
        <v>140</v>
      </c>
      <c r="C406" s="51" t="s">
        <v>3</v>
      </c>
      <c r="D406" s="51">
        <f t="shared" si="22"/>
        <v>400</v>
      </c>
      <c r="E406" s="51" t="s">
        <v>3</v>
      </c>
      <c r="F406" s="99">
        <f t="shared" si="23"/>
        <v>2550</v>
      </c>
      <c r="G406" s="51" t="s">
        <v>3</v>
      </c>
      <c r="H406" s="48">
        <v>6</v>
      </c>
      <c r="I406" s="49" t="s">
        <v>47</v>
      </c>
      <c r="J406" s="184">
        <v>140</v>
      </c>
      <c r="K406" s="75">
        <v>400</v>
      </c>
      <c r="L406" s="75">
        <v>2550</v>
      </c>
      <c r="M406" s="202">
        <v>36.646798593380296</v>
      </c>
      <c r="N406" s="87">
        <v>2609.2519200000002</v>
      </c>
      <c r="O406" s="123">
        <v>57079.63476649869</v>
      </c>
      <c r="P406" s="121">
        <v>71370.017653946867</v>
      </c>
      <c r="Q406" s="120">
        <v>37284.870093730657</v>
      </c>
      <c r="R406" s="314">
        <v>94364.504860229354</v>
      </c>
      <c r="S406" s="315">
        <v>108654.88774767752</v>
      </c>
      <c r="U406" s="7" t="s">
        <v>3303</v>
      </c>
    </row>
    <row r="407" spans="1:21" s="7" customFormat="1" ht="16.5" thickBot="1">
      <c r="A407" s="47" t="s">
        <v>35</v>
      </c>
      <c r="B407" s="48">
        <f t="shared" si="21"/>
        <v>140</v>
      </c>
      <c r="C407" s="48" t="s">
        <v>3</v>
      </c>
      <c r="D407" s="48">
        <f t="shared" si="22"/>
        <v>400</v>
      </c>
      <c r="E407" s="48" t="s">
        <v>3</v>
      </c>
      <c r="F407" s="99">
        <f t="shared" si="23"/>
        <v>2600</v>
      </c>
      <c r="G407" s="48" t="s">
        <v>3</v>
      </c>
      <c r="H407" s="48">
        <v>6</v>
      </c>
      <c r="I407" s="49" t="s">
        <v>47</v>
      </c>
      <c r="J407" s="184">
        <v>140</v>
      </c>
      <c r="K407" s="75">
        <v>400</v>
      </c>
      <c r="L407" s="75">
        <v>2600</v>
      </c>
      <c r="M407" s="202">
        <v>37.324972690404621</v>
      </c>
      <c r="N407" s="87">
        <v>2668.5531000000001</v>
      </c>
      <c r="O407" s="123">
        <v>56965.468428440676</v>
      </c>
      <c r="P407" s="121">
        <v>71214.133568615347</v>
      </c>
      <c r="Q407" s="120">
        <v>37887.261931123991</v>
      </c>
      <c r="R407" s="314">
        <v>94852.730359564666</v>
      </c>
      <c r="S407" s="315">
        <v>109101.39549973933</v>
      </c>
      <c r="U407" s="7" t="s">
        <v>3304</v>
      </c>
    </row>
    <row r="408" spans="1:21" s="7" customFormat="1" ht="16.5" thickBot="1">
      <c r="A408" s="50" t="s">
        <v>35</v>
      </c>
      <c r="B408" s="51">
        <f t="shared" si="21"/>
        <v>140</v>
      </c>
      <c r="C408" s="51" t="s">
        <v>3</v>
      </c>
      <c r="D408" s="51">
        <f t="shared" si="22"/>
        <v>400</v>
      </c>
      <c r="E408" s="51" t="s">
        <v>3</v>
      </c>
      <c r="F408" s="99">
        <f t="shared" si="23"/>
        <v>2650</v>
      </c>
      <c r="G408" s="51" t="s">
        <v>3</v>
      </c>
      <c r="H408" s="48">
        <v>6</v>
      </c>
      <c r="I408" s="49" t="s">
        <v>47</v>
      </c>
      <c r="J408" s="184">
        <v>140</v>
      </c>
      <c r="K408" s="75">
        <v>400</v>
      </c>
      <c r="L408" s="75">
        <v>2650</v>
      </c>
      <c r="M408" s="202">
        <v>38.003146787428946</v>
      </c>
      <c r="N408" s="87">
        <v>2727.8542799999996</v>
      </c>
      <c r="O408" s="123">
        <v>58204.071741106694</v>
      </c>
      <c r="P408" s="121">
        <v>72785.554509570764</v>
      </c>
      <c r="Q408" s="120">
        <v>38720.235405907246</v>
      </c>
      <c r="R408" s="314">
        <v>96924.30714701394</v>
      </c>
      <c r="S408" s="315">
        <v>111505.789915478</v>
      </c>
      <c r="U408" s="7" t="s">
        <v>3305</v>
      </c>
    </row>
    <row r="409" spans="1:21" ht="16.5" thickBot="1">
      <c r="A409" s="50" t="s">
        <v>35</v>
      </c>
      <c r="B409" s="51">
        <f t="shared" si="21"/>
        <v>140</v>
      </c>
      <c r="C409" s="51" t="s">
        <v>3</v>
      </c>
      <c r="D409" s="51">
        <f t="shared" si="22"/>
        <v>400</v>
      </c>
      <c r="E409" s="51" t="s">
        <v>3</v>
      </c>
      <c r="F409" s="99">
        <f t="shared" si="23"/>
        <v>2700</v>
      </c>
      <c r="G409" s="51" t="s">
        <v>3</v>
      </c>
      <c r="H409" s="48">
        <v>6</v>
      </c>
      <c r="I409" s="49" t="s">
        <v>47</v>
      </c>
      <c r="J409" s="184">
        <v>140</v>
      </c>
      <c r="K409" s="75">
        <v>400</v>
      </c>
      <c r="L409" s="75">
        <v>2700</v>
      </c>
      <c r="M409" s="202">
        <v>38.797657884453258</v>
      </c>
      <c r="N409" s="87">
        <v>2787.1554599999999</v>
      </c>
      <c r="O409" s="123">
        <v>59282.4005872091</v>
      </c>
      <c r="P409" s="121">
        <v>74120.060106980454</v>
      </c>
      <c r="Q409" s="120">
        <v>39322.627243300587</v>
      </c>
      <c r="R409" s="314">
        <v>98605.027830509687</v>
      </c>
      <c r="S409" s="315">
        <v>113442.68735028105</v>
      </c>
      <c r="U409" s="7" t="s">
        <v>3306</v>
      </c>
    </row>
    <row r="410" spans="1:21" ht="16.5" thickBot="1">
      <c r="A410" s="50" t="s">
        <v>35</v>
      </c>
      <c r="B410" s="51">
        <f t="shared" si="21"/>
        <v>140</v>
      </c>
      <c r="C410" s="51" t="s">
        <v>3</v>
      </c>
      <c r="D410" s="51">
        <f t="shared" si="22"/>
        <v>400</v>
      </c>
      <c r="E410" s="51" t="s">
        <v>3</v>
      </c>
      <c r="F410" s="99">
        <f t="shared" si="23"/>
        <v>2750</v>
      </c>
      <c r="G410" s="51" t="s">
        <v>3</v>
      </c>
      <c r="H410" s="48">
        <v>6</v>
      </c>
      <c r="I410" s="49" t="s">
        <v>47</v>
      </c>
      <c r="J410" s="184">
        <v>140</v>
      </c>
      <c r="K410" s="75">
        <v>400</v>
      </c>
      <c r="L410" s="75">
        <v>2750</v>
      </c>
      <c r="M410" s="202">
        <v>39.475831981477583</v>
      </c>
      <c r="N410" s="87">
        <v>2846.4566399999999</v>
      </c>
      <c r="O410" s="123">
        <v>60238.117170958845</v>
      </c>
      <c r="P410" s="121">
        <v>75330.192628485005</v>
      </c>
      <c r="Q410" s="120">
        <v>39925.018940300557</v>
      </c>
      <c r="R410" s="314">
        <v>100163.1361112594</v>
      </c>
      <c r="S410" s="315">
        <v>115255.21156878557</v>
      </c>
      <c r="U410" s="7" t="s">
        <v>3307</v>
      </c>
    </row>
    <row r="411" spans="1:21" ht="16.5" thickBot="1">
      <c r="A411" s="50" t="s">
        <v>35</v>
      </c>
      <c r="B411" s="51">
        <f t="shared" si="21"/>
        <v>140</v>
      </c>
      <c r="C411" s="51" t="s">
        <v>3</v>
      </c>
      <c r="D411" s="51">
        <f t="shared" si="22"/>
        <v>400</v>
      </c>
      <c r="E411" s="51" t="s">
        <v>3</v>
      </c>
      <c r="F411" s="99">
        <f t="shared" si="23"/>
        <v>2800</v>
      </c>
      <c r="G411" s="51" t="s">
        <v>3</v>
      </c>
      <c r="H411" s="48">
        <v>6</v>
      </c>
      <c r="I411" s="49" t="s">
        <v>47</v>
      </c>
      <c r="J411" s="184">
        <v>140</v>
      </c>
      <c r="K411" s="75">
        <v>400</v>
      </c>
      <c r="L411" s="75">
        <v>2800</v>
      </c>
      <c r="M411" s="202">
        <v>40.154006078501908</v>
      </c>
      <c r="N411" s="87">
        <v>2905.7578200000003</v>
      </c>
      <c r="O411" s="123">
        <v>61193.844845784239</v>
      </c>
      <c r="P411" s="121">
        <v>76540.329081003729</v>
      </c>
      <c r="Q411" s="120">
        <v>40757.992555477169</v>
      </c>
      <c r="R411" s="314">
        <v>101951.83740126141</v>
      </c>
      <c r="S411" s="315">
        <v>117298.32163648089</v>
      </c>
      <c r="U411" s="7" t="s">
        <v>3308</v>
      </c>
    </row>
    <row r="412" spans="1:21" ht="16.5" thickBot="1">
      <c r="A412" s="50" t="s">
        <v>35</v>
      </c>
      <c r="B412" s="51">
        <f t="shared" si="21"/>
        <v>140</v>
      </c>
      <c r="C412" s="51" t="s">
        <v>3</v>
      </c>
      <c r="D412" s="51">
        <f t="shared" si="22"/>
        <v>400</v>
      </c>
      <c r="E412" s="51" t="s">
        <v>3</v>
      </c>
      <c r="F412" s="99">
        <f t="shared" si="23"/>
        <v>2850</v>
      </c>
      <c r="G412" s="51" t="s">
        <v>3</v>
      </c>
      <c r="H412" s="48">
        <v>6</v>
      </c>
      <c r="I412" s="49" t="s">
        <v>47</v>
      </c>
      <c r="J412" s="184">
        <v>140</v>
      </c>
      <c r="K412" s="75">
        <v>400</v>
      </c>
      <c r="L412" s="75">
        <v>2850</v>
      </c>
      <c r="M412" s="202">
        <v>40.832180175526219</v>
      </c>
      <c r="N412" s="87">
        <v>2965.0590000000002</v>
      </c>
      <c r="O412" s="123">
        <v>62149.582909718447</v>
      </c>
      <c r="P412" s="121">
        <v>77750.469604929953</v>
      </c>
      <c r="Q412" s="120">
        <v>41360.384252477146</v>
      </c>
      <c r="R412" s="314">
        <v>103509.96716219559</v>
      </c>
      <c r="S412" s="315">
        <v>119110.8538574071</v>
      </c>
      <c r="U412" s="7" t="s">
        <v>3309</v>
      </c>
    </row>
    <row r="413" spans="1:21" ht="16.5" thickBot="1">
      <c r="A413" s="50" t="s">
        <v>35</v>
      </c>
      <c r="B413" s="51">
        <f t="shared" si="21"/>
        <v>140</v>
      </c>
      <c r="C413" s="51" t="s">
        <v>3</v>
      </c>
      <c r="D413" s="51">
        <f t="shared" si="22"/>
        <v>400</v>
      </c>
      <c r="E413" s="51" t="s">
        <v>3</v>
      </c>
      <c r="F413" s="99">
        <f t="shared" si="23"/>
        <v>2900</v>
      </c>
      <c r="G413" s="51" t="s">
        <v>3</v>
      </c>
      <c r="H413" s="48">
        <v>6</v>
      </c>
      <c r="I413" s="49" t="s">
        <v>47</v>
      </c>
      <c r="J413" s="184">
        <v>140</v>
      </c>
      <c r="K413" s="75">
        <v>400</v>
      </c>
      <c r="L413" s="75">
        <v>2900</v>
      </c>
      <c r="M413" s="202">
        <v>41.510354272550536</v>
      </c>
      <c r="N413" s="87">
        <v>3024.3601799999997</v>
      </c>
      <c r="O413" s="123">
        <v>63105.331081974764</v>
      </c>
      <c r="P413" s="121">
        <v>78960.613638690236</v>
      </c>
      <c r="Q413" s="120">
        <v>42193.357867653758</v>
      </c>
      <c r="R413" s="314">
        <v>105298.68894962853</v>
      </c>
      <c r="S413" s="315">
        <v>121153.97150634399</v>
      </c>
      <c r="U413" s="7" t="s">
        <v>3310</v>
      </c>
    </row>
    <row r="414" spans="1:21" ht="16.5" thickBot="1">
      <c r="A414" s="50" t="s">
        <v>35</v>
      </c>
      <c r="B414" s="51">
        <f t="shared" si="21"/>
        <v>140</v>
      </c>
      <c r="C414" s="51" t="s">
        <v>3</v>
      </c>
      <c r="D414" s="51">
        <f t="shared" si="22"/>
        <v>400</v>
      </c>
      <c r="E414" s="51" t="s">
        <v>3</v>
      </c>
      <c r="F414" s="252">
        <f t="shared" si="23"/>
        <v>2950</v>
      </c>
      <c r="G414" s="51" t="s">
        <v>3</v>
      </c>
      <c r="H414" s="48">
        <v>6</v>
      </c>
      <c r="I414" s="253" t="s">
        <v>47</v>
      </c>
      <c r="J414" s="184">
        <v>140</v>
      </c>
      <c r="K414" s="75">
        <v>400</v>
      </c>
      <c r="L414" s="75">
        <v>2950</v>
      </c>
      <c r="M414" s="202">
        <v>42.188528369574868</v>
      </c>
      <c r="N414" s="87">
        <v>3083.6613600000001</v>
      </c>
      <c r="O414" s="123">
        <v>64061.088800979727</v>
      </c>
      <c r="P414" s="121">
        <v>80170.761322677965</v>
      </c>
      <c r="Q414" s="120">
        <v>42795.749564653735</v>
      </c>
      <c r="R414" s="314">
        <v>106856.83836563346</v>
      </c>
      <c r="S414" s="315">
        <v>122966.51088733171</v>
      </c>
      <c r="U414" s="7" t="s">
        <v>3311</v>
      </c>
    </row>
    <row r="415" spans="1:21" ht="16.5" thickBot="1">
      <c r="A415" s="47" t="s">
        <v>35</v>
      </c>
      <c r="B415" s="48">
        <f t="shared" si="21"/>
        <v>140</v>
      </c>
      <c r="C415" s="48" t="s">
        <v>3</v>
      </c>
      <c r="D415" s="48">
        <f t="shared" si="22"/>
        <v>400</v>
      </c>
      <c r="E415" s="48" t="s">
        <v>3</v>
      </c>
      <c r="F415" s="99">
        <f t="shared" si="23"/>
        <v>3000</v>
      </c>
      <c r="G415" s="48" t="s">
        <v>3</v>
      </c>
      <c r="H415" s="48">
        <v>6</v>
      </c>
      <c r="I415" s="49" t="s">
        <v>47</v>
      </c>
      <c r="J415" s="184">
        <v>140</v>
      </c>
      <c r="K415" s="147">
        <v>400</v>
      </c>
      <c r="L415" s="147">
        <v>3000</v>
      </c>
      <c r="M415" s="209">
        <v>42.866702466599179</v>
      </c>
      <c r="N415" s="148">
        <v>3142.96254</v>
      </c>
      <c r="O415" s="149">
        <v>66003.197918185469</v>
      </c>
      <c r="P415" s="158">
        <v>81380.912376106367</v>
      </c>
      <c r="Q415" s="159">
        <v>43628.723179830347</v>
      </c>
      <c r="R415" s="316">
        <v>109631.92109801582</v>
      </c>
      <c r="S415" s="317">
        <v>125009.63555593672</v>
      </c>
      <c r="U415" s="7" t="s">
        <v>3312</v>
      </c>
    </row>
    <row r="416" spans="1:21" ht="22.5" customHeight="1" thickBot="1">
      <c r="A416" s="2661" t="s">
        <v>67</v>
      </c>
      <c r="B416" s="2659"/>
      <c r="C416" s="2659"/>
      <c r="D416" s="2659"/>
      <c r="E416" s="2659"/>
      <c r="F416" s="2659"/>
      <c r="G416" s="2659"/>
      <c r="H416" s="2659"/>
      <c r="I416" s="2659"/>
      <c r="J416" s="2659"/>
      <c r="K416" s="2659"/>
      <c r="L416" s="2659"/>
      <c r="M416" s="2659"/>
      <c r="N416" s="2659"/>
      <c r="O416" s="2659"/>
      <c r="P416" s="2659"/>
      <c r="Q416" s="2659"/>
      <c r="R416" s="2659"/>
      <c r="S416" s="2660"/>
      <c r="U416" s="7"/>
    </row>
    <row r="417" spans="1:21" ht="16.5" thickBot="1">
      <c r="A417" s="2583" t="s">
        <v>140</v>
      </c>
      <c r="B417" s="2584"/>
      <c r="C417" s="2584"/>
      <c r="D417" s="2584"/>
      <c r="E417" s="2584"/>
      <c r="F417" s="2584"/>
      <c r="G417" s="2584"/>
      <c r="H417" s="2584"/>
      <c r="I417" s="2584"/>
      <c r="J417" s="2584"/>
      <c r="K417" s="2584"/>
      <c r="L417" s="2584"/>
      <c r="M417" s="2584"/>
      <c r="N417" s="2584"/>
      <c r="O417" s="2584"/>
      <c r="P417" s="2584"/>
      <c r="Q417" s="2584"/>
      <c r="R417" s="2584"/>
      <c r="S417" s="2585"/>
      <c r="U417" s="7"/>
    </row>
    <row r="418" spans="1:21" ht="16.5" thickBot="1">
      <c r="A418" s="47" t="s">
        <v>35</v>
      </c>
      <c r="B418" s="48">
        <f>J418</f>
        <v>140</v>
      </c>
      <c r="C418" s="48" t="s">
        <v>3</v>
      </c>
      <c r="D418" s="48">
        <f>K418</f>
        <v>400</v>
      </c>
      <c r="E418" s="48" t="s">
        <v>3</v>
      </c>
      <c r="F418" s="99">
        <f>L418</f>
        <v>600</v>
      </c>
      <c r="G418" s="48" t="s">
        <v>3</v>
      </c>
      <c r="H418" s="48">
        <v>8</v>
      </c>
      <c r="I418" s="49" t="s">
        <v>47</v>
      </c>
      <c r="J418" s="181">
        <v>140</v>
      </c>
      <c r="K418" s="143">
        <v>400</v>
      </c>
      <c r="L418" s="143">
        <v>600</v>
      </c>
      <c r="M418" s="201">
        <v>10.010164771650162</v>
      </c>
      <c r="N418" s="144">
        <v>329.45099999999996</v>
      </c>
      <c r="O418" s="145">
        <v>20235.493272455893</v>
      </c>
      <c r="P418" s="183">
        <v>24055.707436443903</v>
      </c>
      <c r="Q418" s="169">
        <v>9871.7007401553401</v>
      </c>
      <c r="R418" s="312">
        <v>30107.194012611231</v>
      </c>
      <c r="S418" s="313">
        <v>33927.408176599245</v>
      </c>
      <c r="U418" s="7" t="s">
        <v>3313</v>
      </c>
    </row>
    <row r="419" spans="1:21" ht="16.5" thickBot="1">
      <c r="A419" s="50" t="s">
        <v>35</v>
      </c>
      <c r="B419" s="51">
        <f t="shared" ref="B419:B466" si="24">J419</f>
        <v>140</v>
      </c>
      <c r="C419" s="51" t="s">
        <v>3</v>
      </c>
      <c r="D419" s="51">
        <f t="shared" ref="D419:D466" si="25">K419</f>
        <v>400</v>
      </c>
      <c r="E419" s="51" t="s">
        <v>3</v>
      </c>
      <c r="F419" s="99">
        <f t="shared" ref="F419:F466" si="26">L419</f>
        <v>650</v>
      </c>
      <c r="G419" s="51" t="s">
        <v>3</v>
      </c>
      <c r="H419" s="48">
        <v>8</v>
      </c>
      <c r="I419" s="49" t="s">
        <v>47</v>
      </c>
      <c r="J419" s="184">
        <v>140</v>
      </c>
      <c r="K419" s="75">
        <v>400</v>
      </c>
      <c r="L419" s="75">
        <v>650</v>
      </c>
      <c r="M419" s="202">
        <v>10.754161789875921</v>
      </c>
      <c r="N419" s="87">
        <v>395.34119999999996</v>
      </c>
      <c r="O419" s="123">
        <v>21415.460033733529</v>
      </c>
      <c r="P419" s="121">
        <v>25470.006584184004</v>
      </c>
      <c r="Q419" s="120">
        <v>10474.092577548676</v>
      </c>
      <c r="R419" s="314">
        <v>31889.552611282204</v>
      </c>
      <c r="S419" s="315">
        <v>35944.09916173268</v>
      </c>
      <c r="U419" s="7" t="s">
        <v>3314</v>
      </c>
    </row>
    <row r="420" spans="1:21" ht="16.5" thickBot="1">
      <c r="A420" s="50" t="s">
        <v>35</v>
      </c>
      <c r="B420" s="51">
        <f t="shared" si="24"/>
        <v>140</v>
      </c>
      <c r="C420" s="51" t="s">
        <v>3</v>
      </c>
      <c r="D420" s="51">
        <f t="shared" si="25"/>
        <v>400</v>
      </c>
      <c r="E420" s="51" t="s">
        <v>3</v>
      </c>
      <c r="F420" s="99">
        <f t="shared" si="26"/>
        <v>700</v>
      </c>
      <c r="G420" s="51" t="s">
        <v>3</v>
      </c>
      <c r="H420" s="48">
        <v>8</v>
      </c>
      <c r="I420" s="49" t="s">
        <v>47</v>
      </c>
      <c r="J420" s="184">
        <v>140</v>
      </c>
      <c r="K420" s="75">
        <v>400</v>
      </c>
      <c r="L420" s="75">
        <v>700</v>
      </c>
      <c r="M420" s="202">
        <v>11.514994328101679</v>
      </c>
      <c r="N420" s="87">
        <v>461.23139999999989</v>
      </c>
      <c r="O420" s="123">
        <v>22595.396891224955</v>
      </c>
      <c r="P420" s="121">
        <v>26884.305872317469</v>
      </c>
      <c r="Q420" s="120">
        <v>11307.066052331927</v>
      </c>
      <c r="R420" s="314">
        <v>33902.462943556879</v>
      </c>
      <c r="S420" s="315">
        <v>38191.3719246494</v>
      </c>
      <c r="U420" s="7" t="s">
        <v>3315</v>
      </c>
    </row>
    <row r="421" spans="1:21" ht="16.5" thickBot="1">
      <c r="A421" s="50" t="s">
        <v>35</v>
      </c>
      <c r="B421" s="51">
        <f t="shared" si="24"/>
        <v>140</v>
      </c>
      <c r="C421" s="51" t="s">
        <v>3</v>
      </c>
      <c r="D421" s="51">
        <f t="shared" si="25"/>
        <v>400</v>
      </c>
      <c r="E421" s="51" t="s">
        <v>3</v>
      </c>
      <c r="F421" s="99">
        <f t="shared" si="26"/>
        <v>750</v>
      </c>
      <c r="G421" s="51" t="s">
        <v>3</v>
      </c>
      <c r="H421" s="48">
        <v>8</v>
      </c>
      <c r="I421" s="49" t="s">
        <v>47</v>
      </c>
      <c r="J421" s="184">
        <v>140</v>
      </c>
      <c r="K421" s="75">
        <v>400</v>
      </c>
      <c r="L421" s="75">
        <v>750</v>
      </c>
      <c r="M421" s="202">
        <v>12.258991346327441</v>
      </c>
      <c r="N421" s="87">
        <v>527.12159999999994</v>
      </c>
      <c r="O421" s="123">
        <v>23775.307916337679</v>
      </c>
      <c r="P421" s="121">
        <v>28298.60502005757</v>
      </c>
      <c r="Q421" s="120">
        <v>11909.457889725263</v>
      </c>
      <c r="R421" s="314">
        <v>35684.76580606294</v>
      </c>
      <c r="S421" s="315">
        <v>40208.062909782835</v>
      </c>
      <c r="U421" s="7" t="s">
        <v>3316</v>
      </c>
    </row>
    <row r="422" spans="1:21" ht="16.5" thickBot="1">
      <c r="A422" s="50" t="s">
        <v>35</v>
      </c>
      <c r="B422" s="51">
        <f t="shared" si="24"/>
        <v>140</v>
      </c>
      <c r="C422" s="51" t="s">
        <v>3</v>
      </c>
      <c r="D422" s="51">
        <f t="shared" si="25"/>
        <v>400</v>
      </c>
      <c r="E422" s="51" t="s">
        <v>3</v>
      </c>
      <c r="F422" s="99">
        <f t="shared" si="26"/>
        <v>800</v>
      </c>
      <c r="G422" s="51" t="s">
        <v>3</v>
      </c>
      <c r="H422" s="48">
        <v>8</v>
      </c>
      <c r="I422" s="49" t="s">
        <v>47</v>
      </c>
      <c r="J422" s="184">
        <v>140</v>
      </c>
      <c r="K422" s="75">
        <v>400</v>
      </c>
      <c r="L422" s="75">
        <v>800</v>
      </c>
      <c r="M422" s="202">
        <v>13.002988364553202</v>
      </c>
      <c r="N422" s="87">
        <v>593.01179999999999</v>
      </c>
      <c r="O422" s="123">
        <v>24955.197180479219</v>
      </c>
      <c r="P422" s="121">
        <v>29712.904167797671</v>
      </c>
      <c r="Q422" s="120">
        <v>12511.84958672524</v>
      </c>
      <c r="R422" s="314">
        <v>37467.046767204462</v>
      </c>
      <c r="S422" s="315">
        <v>42224.753754522913</v>
      </c>
      <c r="U422" s="7" t="s">
        <v>3317</v>
      </c>
    </row>
    <row r="423" spans="1:21" ht="16.5" thickBot="1">
      <c r="A423" s="50" t="s">
        <v>35</v>
      </c>
      <c r="B423" s="51">
        <f t="shared" si="24"/>
        <v>140</v>
      </c>
      <c r="C423" s="51" t="s">
        <v>3</v>
      </c>
      <c r="D423" s="51">
        <f t="shared" si="25"/>
        <v>400</v>
      </c>
      <c r="E423" s="51" t="s">
        <v>3</v>
      </c>
      <c r="F423" s="99">
        <f t="shared" si="26"/>
        <v>850</v>
      </c>
      <c r="G423" s="51" t="s">
        <v>3</v>
      </c>
      <c r="H423" s="48">
        <v>8</v>
      </c>
      <c r="I423" s="49" t="s">
        <v>47</v>
      </c>
      <c r="J423" s="184">
        <v>140</v>
      </c>
      <c r="K423" s="75">
        <v>400</v>
      </c>
      <c r="L423" s="75">
        <v>850</v>
      </c>
      <c r="M423" s="202">
        <v>13.76382090277896</v>
      </c>
      <c r="N423" s="87">
        <v>658.90199999999993</v>
      </c>
      <c r="O423" s="123">
        <v>26135.067351123456</v>
      </c>
      <c r="P423" s="121">
        <v>31127.203455931129</v>
      </c>
      <c r="Q423" s="120">
        <v>13344.823201901852</v>
      </c>
      <c r="R423" s="314">
        <v>39479.890553025311</v>
      </c>
      <c r="S423" s="315">
        <v>44472.026657832983</v>
      </c>
      <c r="U423" s="7" t="s">
        <v>3318</v>
      </c>
    </row>
    <row r="424" spans="1:21" ht="16.5" thickBot="1">
      <c r="A424" s="50" t="s">
        <v>35</v>
      </c>
      <c r="B424" s="51">
        <f t="shared" si="24"/>
        <v>140</v>
      </c>
      <c r="C424" s="51" t="s">
        <v>3</v>
      </c>
      <c r="D424" s="51">
        <f t="shared" si="25"/>
        <v>400</v>
      </c>
      <c r="E424" s="51" t="s">
        <v>3</v>
      </c>
      <c r="F424" s="99">
        <f t="shared" si="26"/>
        <v>900</v>
      </c>
      <c r="G424" s="51" t="s">
        <v>3</v>
      </c>
      <c r="H424" s="48">
        <v>8</v>
      </c>
      <c r="I424" s="49" t="s">
        <v>47</v>
      </c>
      <c r="J424" s="184">
        <v>140</v>
      </c>
      <c r="K424" s="75">
        <v>400</v>
      </c>
      <c r="L424" s="75">
        <v>900</v>
      </c>
      <c r="M424" s="202">
        <v>14.507817921004722</v>
      </c>
      <c r="N424" s="87">
        <v>724.79219999999998</v>
      </c>
      <c r="O424" s="123">
        <v>27314.920955350917</v>
      </c>
      <c r="P424" s="121">
        <v>32541.50260367123</v>
      </c>
      <c r="Q424" s="120">
        <v>13947.21489890183</v>
      </c>
      <c r="R424" s="314">
        <v>41262.135854252745</v>
      </c>
      <c r="S424" s="315">
        <v>46488.717502573061</v>
      </c>
      <c r="U424" s="7" t="s">
        <v>3319</v>
      </c>
    </row>
    <row r="425" spans="1:21" ht="16.5" thickBot="1">
      <c r="A425" s="50" t="s">
        <v>35</v>
      </c>
      <c r="B425" s="51">
        <f t="shared" si="24"/>
        <v>140</v>
      </c>
      <c r="C425" s="51" t="s">
        <v>3</v>
      </c>
      <c r="D425" s="51">
        <f t="shared" si="25"/>
        <v>400</v>
      </c>
      <c r="E425" s="51" t="s">
        <v>3</v>
      </c>
      <c r="F425" s="99">
        <f t="shared" si="26"/>
        <v>950</v>
      </c>
      <c r="G425" s="51" t="s">
        <v>3</v>
      </c>
      <c r="H425" s="48">
        <v>8</v>
      </c>
      <c r="I425" s="49" t="s">
        <v>47</v>
      </c>
      <c r="J425" s="184">
        <v>140</v>
      </c>
      <c r="K425" s="75">
        <v>400</v>
      </c>
      <c r="L425" s="75">
        <v>950</v>
      </c>
      <c r="M425" s="202">
        <v>15.268650459230479</v>
      </c>
      <c r="N425" s="87">
        <v>790.68239999999992</v>
      </c>
      <c r="O425" s="123">
        <v>28355.536634451753</v>
      </c>
      <c r="P425" s="121">
        <v>33811.420515449521</v>
      </c>
      <c r="Q425" s="120">
        <v>14780.188514078442</v>
      </c>
      <c r="R425" s="314">
        <v>43135.725148530197</v>
      </c>
      <c r="S425" s="315">
        <v>48591.609029527965</v>
      </c>
      <c r="U425" s="7" t="s">
        <v>3320</v>
      </c>
    </row>
    <row r="426" spans="1:21" ht="16.5" thickBot="1">
      <c r="A426" s="50" t="s">
        <v>35</v>
      </c>
      <c r="B426" s="51">
        <f t="shared" si="24"/>
        <v>140</v>
      </c>
      <c r="C426" s="51" t="s">
        <v>3</v>
      </c>
      <c r="D426" s="51">
        <f t="shared" si="25"/>
        <v>400</v>
      </c>
      <c r="E426" s="51" t="s">
        <v>3</v>
      </c>
      <c r="F426" s="99">
        <f t="shared" si="26"/>
        <v>1000</v>
      </c>
      <c r="G426" s="51" t="s">
        <v>3</v>
      </c>
      <c r="H426" s="48">
        <v>8</v>
      </c>
      <c r="I426" s="49" t="s">
        <v>47</v>
      </c>
      <c r="J426" s="184">
        <v>140</v>
      </c>
      <c r="K426" s="75">
        <v>400</v>
      </c>
      <c r="L426" s="75">
        <v>1000</v>
      </c>
      <c r="M426" s="202">
        <v>16.012647477456241</v>
      </c>
      <c r="N426" s="87">
        <v>856.57259999999997</v>
      </c>
      <c r="O426" s="123">
        <v>29744.23210427937</v>
      </c>
      <c r="P426" s="121">
        <v>35442.291587329019</v>
      </c>
      <c r="Q426" s="120">
        <v>15382.580351471779</v>
      </c>
      <c r="R426" s="314">
        <v>45126.812455751147</v>
      </c>
      <c r="S426" s="315">
        <v>50824.871938800796</v>
      </c>
      <c r="U426" s="7" t="s">
        <v>3321</v>
      </c>
    </row>
    <row r="427" spans="1:21" ht="16.5" thickBot="1">
      <c r="A427" s="50" t="s">
        <v>35</v>
      </c>
      <c r="B427" s="51">
        <f t="shared" si="24"/>
        <v>140</v>
      </c>
      <c r="C427" s="51" t="s">
        <v>3</v>
      </c>
      <c r="D427" s="51">
        <f t="shared" si="25"/>
        <v>400</v>
      </c>
      <c r="E427" s="51" t="s">
        <v>3</v>
      </c>
      <c r="F427" s="99">
        <f t="shared" si="26"/>
        <v>1050</v>
      </c>
      <c r="G427" s="51" t="s">
        <v>3</v>
      </c>
      <c r="H427" s="48">
        <v>8</v>
      </c>
      <c r="I427" s="49" t="s">
        <v>47</v>
      </c>
      <c r="J427" s="184">
        <v>140</v>
      </c>
      <c r="K427" s="75">
        <v>400</v>
      </c>
      <c r="L427" s="75">
        <v>1050</v>
      </c>
      <c r="M427" s="202">
        <v>16.773480015681997</v>
      </c>
      <c r="N427" s="87">
        <v>922.46279999999979</v>
      </c>
      <c r="O427" s="123">
        <v>30924.078408051981</v>
      </c>
      <c r="P427" s="121">
        <v>36856.59073506912</v>
      </c>
      <c r="Q427" s="120">
        <v>16215.553826255029</v>
      </c>
      <c r="R427" s="314">
        <v>47139.632234307006</v>
      </c>
      <c r="S427" s="315">
        <v>53072.144561324152</v>
      </c>
      <c r="U427" s="7" t="s">
        <v>3322</v>
      </c>
    </row>
    <row r="428" spans="1:21" s="7" customFormat="1" ht="16.5" thickBot="1">
      <c r="A428" s="47" t="s">
        <v>35</v>
      </c>
      <c r="B428" s="48">
        <f t="shared" si="24"/>
        <v>140</v>
      </c>
      <c r="C428" s="48" t="s">
        <v>3</v>
      </c>
      <c r="D428" s="48">
        <f t="shared" si="25"/>
        <v>400</v>
      </c>
      <c r="E428" s="48" t="s">
        <v>3</v>
      </c>
      <c r="F428" s="99">
        <f t="shared" si="26"/>
        <v>1100</v>
      </c>
      <c r="G428" s="48" t="s">
        <v>3</v>
      </c>
      <c r="H428" s="48">
        <v>8</v>
      </c>
      <c r="I428" s="49" t="s">
        <v>47</v>
      </c>
      <c r="J428" s="184">
        <v>140</v>
      </c>
      <c r="K428" s="75">
        <v>400</v>
      </c>
      <c r="L428" s="75">
        <v>1100</v>
      </c>
      <c r="M428" s="202">
        <v>17.51747703390776</v>
      </c>
      <c r="N428" s="87">
        <v>988.35299999999984</v>
      </c>
      <c r="O428" s="123">
        <v>32103.912357208694</v>
      </c>
      <c r="P428" s="121">
        <v>38270.890023202584</v>
      </c>
      <c r="Q428" s="120">
        <v>16817.945663648366</v>
      </c>
      <c r="R428" s="314">
        <v>48921.858020857064</v>
      </c>
      <c r="S428" s="315">
        <v>55088.835686850951</v>
      </c>
      <c r="U428" s="7" t="s">
        <v>3323</v>
      </c>
    </row>
    <row r="429" spans="1:21" s="7" customFormat="1" ht="16.5" thickBot="1">
      <c r="A429" s="50" t="s">
        <v>35</v>
      </c>
      <c r="B429" s="51">
        <f t="shared" si="24"/>
        <v>140</v>
      </c>
      <c r="C429" s="51" t="s">
        <v>3</v>
      </c>
      <c r="D429" s="51">
        <f t="shared" si="25"/>
        <v>400</v>
      </c>
      <c r="E429" s="51" t="s">
        <v>3</v>
      </c>
      <c r="F429" s="99">
        <f t="shared" si="26"/>
        <v>1150</v>
      </c>
      <c r="G429" s="51" t="s">
        <v>3</v>
      </c>
      <c r="H429" s="48">
        <v>8</v>
      </c>
      <c r="I429" s="49" t="s">
        <v>47</v>
      </c>
      <c r="J429" s="184">
        <v>140</v>
      </c>
      <c r="K429" s="75">
        <v>400</v>
      </c>
      <c r="L429" s="75">
        <v>1150</v>
      </c>
      <c r="M429" s="202">
        <v>18.261474052133522</v>
      </c>
      <c r="N429" s="87">
        <v>1054.2431999999999</v>
      </c>
      <c r="O429" s="123">
        <v>33283.735355683129</v>
      </c>
      <c r="P429" s="121">
        <v>39685.189170942678</v>
      </c>
      <c r="Q429" s="120">
        <v>17420.33736064834</v>
      </c>
      <c r="R429" s="314">
        <v>50704.072716331473</v>
      </c>
      <c r="S429" s="315">
        <v>57105.526531591022</v>
      </c>
      <c r="U429" s="7" t="s">
        <v>3324</v>
      </c>
    </row>
    <row r="430" spans="1:21" s="7" customFormat="1" ht="16.5" thickBot="1">
      <c r="A430" s="50" t="s">
        <v>35</v>
      </c>
      <c r="B430" s="51">
        <f t="shared" si="24"/>
        <v>140</v>
      </c>
      <c r="C430" s="51" t="s">
        <v>3</v>
      </c>
      <c r="D430" s="51">
        <f t="shared" si="25"/>
        <v>400</v>
      </c>
      <c r="E430" s="51" t="s">
        <v>3</v>
      </c>
      <c r="F430" s="99">
        <f t="shared" si="26"/>
        <v>1200</v>
      </c>
      <c r="G430" s="51" t="s">
        <v>3</v>
      </c>
      <c r="H430" s="48">
        <v>8</v>
      </c>
      <c r="I430" s="49" t="s">
        <v>47</v>
      </c>
      <c r="J430" s="184">
        <v>140</v>
      </c>
      <c r="K430" s="75">
        <v>400</v>
      </c>
      <c r="L430" s="75">
        <v>1200</v>
      </c>
      <c r="M430" s="202">
        <v>19.177422590359281</v>
      </c>
      <c r="N430" s="87">
        <v>1120.1333999999999</v>
      </c>
      <c r="O430" s="123">
        <v>34617.989648973948</v>
      </c>
      <c r="P430" s="121">
        <v>41254.320717335817</v>
      </c>
      <c r="Q430" s="120">
        <v>18253.310975824952</v>
      </c>
      <c r="R430" s="314">
        <v>52871.300624798896</v>
      </c>
      <c r="S430" s="315">
        <v>59507.631693160773</v>
      </c>
      <c r="U430" s="7" t="s">
        <v>3325</v>
      </c>
    </row>
    <row r="431" spans="1:21" s="7" customFormat="1" ht="16.5" thickBot="1">
      <c r="A431" s="50" t="s">
        <v>35</v>
      </c>
      <c r="B431" s="51">
        <f t="shared" si="24"/>
        <v>140</v>
      </c>
      <c r="C431" s="51" t="s">
        <v>3</v>
      </c>
      <c r="D431" s="51">
        <f t="shared" si="25"/>
        <v>400</v>
      </c>
      <c r="E431" s="51" t="s">
        <v>3</v>
      </c>
      <c r="F431" s="99">
        <f t="shared" si="26"/>
        <v>1250</v>
      </c>
      <c r="G431" s="51" t="s">
        <v>3</v>
      </c>
      <c r="H431" s="48">
        <v>8</v>
      </c>
      <c r="I431" s="49" t="s">
        <v>47</v>
      </c>
      <c r="J431" s="184">
        <v>140</v>
      </c>
      <c r="K431" s="75">
        <v>400</v>
      </c>
      <c r="L431" s="75">
        <v>1250</v>
      </c>
      <c r="M431" s="202">
        <v>19.92141960858504</v>
      </c>
      <c r="N431" s="87">
        <v>1186.0236</v>
      </c>
      <c r="O431" s="123">
        <v>35797.790746083832</v>
      </c>
      <c r="P431" s="121">
        <v>42668.619865075918</v>
      </c>
      <c r="Q431" s="120">
        <v>18855.702672824929</v>
      </c>
      <c r="R431" s="314">
        <v>54653.493418908765</v>
      </c>
      <c r="S431" s="315">
        <v>61524.322537900851</v>
      </c>
      <c r="U431" s="7" t="s">
        <v>3326</v>
      </c>
    </row>
    <row r="432" spans="1:21" s="7" customFormat="1" ht="16.5" thickBot="1">
      <c r="A432" s="50" t="s">
        <v>35</v>
      </c>
      <c r="B432" s="51">
        <f t="shared" si="24"/>
        <v>140</v>
      </c>
      <c r="C432" s="51" t="s">
        <v>3</v>
      </c>
      <c r="D432" s="51">
        <f t="shared" si="25"/>
        <v>400</v>
      </c>
      <c r="E432" s="51" t="s">
        <v>3</v>
      </c>
      <c r="F432" s="99">
        <f t="shared" si="26"/>
        <v>1300</v>
      </c>
      <c r="G432" s="51" t="s">
        <v>3</v>
      </c>
      <c r="H432" s="48">
        <v>8</v>
      </c>
      <c r="I432" s="49" t="s">
        <v>47</v>
      </c>
      <c r="J432" s="184">
        <v>140</v>
      </c>
      <c r="K432" s="75">
        <v>400</v>
      </c>
      <c r="L432" s="75">
        <v>1300</v>
      </c>
      <c r="M432" s="202">
        <v>20.682252146810804</v>
      </c>
      <c r="N432" s="87">
        <v>1251.9137999999998</v>
      </c>
      <c r="O432" s="123">
        <v>36977.583981165422</v>
      </c>
      <c r="P432" s="121">
        <v>44082.919153209383</v>
      </c>
      <c r="Q432" s="120">
        <v>19688.676288001541</v>
      </c>
      <c r="R432" s="314">
        <v>56666.26026916696</v>
      </c>
      <c r="S432" s="315">
        <v>63771.595441210928</v>
      </c>
      <c r="U432" s="7" t="s">
        <v>3327</v>
      </c>
    </row>
    <row r="433" spans="1:21" s="7" customFormat="1" ht="16.5" thickBot="1">
      <c r="A433" s="50" t="s">
        <v>35</v>
      </c>
      <c r="B433" s="51">
        <f t="shared" si="24"/>
        <v>140</v>
      </c>
      <c r="C433" s="51" t="s">
        <v>3</v>
      </c>
      <c r="D433" s="51">
        <f t="shared" si="25"/>
        <v>400</v>
      </c>
      <c r="E433" s="51" t="s">
        <v>3</v>
      </c>
      <c r="F433" s="99">
        <f t="shared" si="26"/>
        <v>1350</v>
      </c>
      <c r="G433" s="51" t="s">
        <v>3</v>
      </c>
      <c r="H433" s="48">
        <v>8</v>
      </c>
      <c r="I433" s="49" t="s">
        <v>47</v>
      </c>
      <c r="J433" s="184">
        <v>140</v>
      </c>
      <c r="K433" s="75">
        <v>400</v>
      </c>
      <c r="L433" s="75">
        <v>1350</v>
      </c>
      <c r="M433" s="202">
        <v>21.426249165036563</v>
      </c>
      <c r="N433" s="87">
        <v>1317.8039999999999</v>
      </c>
      <c r="O433" s="123">
        <v>38157.370056185522</v>
      </c>
      <c r="P433" s="121">
        <v>45497.218300949484</v>
      </c>
      <c r="Q433" s="120">
        <v>20291.067985001515</v>
      </c>
      <c r="R433" s="314">
        <v>58448.438041187037</v>
      </c>
      <c r="S433" s="315">
        <v>65788.286285951006</v>
      </c>
      <c r="U433" s="7" t="s">
        <v>3328</v>
      </c>
    </row>
    <row r="434" spans="1:21" s="7" customFormat="1" ht="16.5" thickBot="1">
      <c r="A434" s="50" t="s">
        <v>35</v>
      </c>
      <c r="B434" s="51">
        <f t="shared" si="24"/>
        <v>140</v>
      </c>
      <c r="C434" s="51" t="s">
        <v>3</v>
      </c>
      <c r="D434" s="51">
        <f t="shared" si="25"/>
        <v>400</v>
      </c>
      <c r="E434" s="51" t="s">
        <v>3</v>
      </c>
      <c r="F434" s="99">
        <f t="shared" si="26"/>
        <v>1400</v>
      </c>
      <c r="G434" s="51" t="s">
        <v>3</v>
      </c>
      <c r="H434" s="48">
        <v>8</v>
      </c>
      <c r="I434" s="49" t="s">
        <v>47</v>
      </c>
      <c r="J434" s="184">
        <v>140</v>
      </c>
      <c r="K434" s="75">
        <v>400</v>
      </c>
      <c r="L434" s="75">
        <v>1400</v>
      </c>
      <c r="M434" s="202">
        <v>22.187081703262319</v>
      </c>
      <c r="N434" s="87">
        <v>1383.6941999999999</v>
      </c>
      <c r="O434" s="123">
        <v>39337.149673110944</v>
      </c>
      <c r="P434" s="121">
        <v>46911.517448689585</v>
      </c>
      <c r="Q434" s="120">
        <v>21124.04160017813</v>
      </c>
      <c r="R434" s="314">
        <v>60461.191273289078</v>
      </c>
      <c r="S434" s="315">
        <v>68035.559048867712</v>
      </c>
      <c r="U434" s="7" t="s">
        <v>3329</v>
      </c>
    </row>
    <row r="435" spans="1:21" s="7" customFormat="1" ht="16.5" thickBot="1">
      <c r="A435" s="50" t="s">
        <v>35</v>
      </c>
      <c r="B435" s="51">
        <f t="shared" si="24"/>
        <v>140</v>
      </c>
      <c r="C435" s="51" t="s">
        <v>3</v>
      </c>
      <c r="D435" s="51">
        <f t="shared" si="25"/>
        <v>400</v>
      </c>
      <c r="E435" s="51" t="s">
        <v>3</v>
      </c>
      <c r="F435" s="99">
        <f t="shared" si="26"/>
        <v>1450</v>
      </c>
      <c r="G435" s="51" t="s">
        <v>3</v>
      </c>
      <c r="H435" s="48">
        <v>8</v>
      </c>
      <c r="I435" s="49" t="s">
        <v>47</v>
      </c>
      <c r="J435" s="184">
        <v>140</v>
      </c>
      <c r="K435" s="75">
        <v>400</v>
      </c>
      <c r="L435" s="75">
        <v>1450</v>
      </c>
      <c r="M435" s="202">
        <v>22.931078721488081</v>
      </c>
      <c r="N435" s="87">
        <v>1449.5844</v>
      </c>
      <c r="O435" s="123">
        <v>40516.923393515142</v>
      </c>
      <c r="P435" s="121">
        <v>48325.816736823042</v>
      </c>
      <c r="Q435" s="120">
        <v>21726.433297178104</v>
      </c>
      <c r="R435" s="314">
        <v>62243.356690693246</v>
      </c>
      <c r="S435" s="315">
        <v>70052.250034001147</v>
      </c>
      <c r="U435" s="7" t="s">
        <v>3330</v>
      </c>
    </row>
    <row r="436" spans="1:21" s="7" customFormat="1" ht="16.5" thickBot="1">
      <c r="A436" s="50" t="s">
        <v>35</v>
      </c>
      <c r="B436" s="51">
        <f t="shared" si="24"/>
        <v>140</v>
      </c>
      <c r="C436" s="51" t="s">
        <v>3</v>
      </c>
      <c r="D436" s="51">
        <f t="shared" si="25"/>
        <v>400</v>
      </c>
      <c r="E436" s="51" t="s">
        <v>3</v>
      </c>
      <c r="F436" s="99">
        <f t="shared" si="26"/>
        <v>1500</v>
      </c>
      <c r="G436" s="51" t="s">
        <v>3</v>
      </c>
      <c r="H436" s="48">
        <v>8</v>
      </c>
      <c r="I436" s="49" t="s">
        <v>47</v>
      </c>
      <c r="J436" s="184">
        <v>140</v>
      </c>
      <c r="K436" s="75">
        <v>400</v>
      </c>
      <c r="L436" s="75">
        <v>1500</v>
      </c>
      <c r="M436" s="202">
        <v>23.916464089706242</v>
      </c>
      <c r="N436" s="87">
        <v>1515.4745999999998</v>
      </c>
      <c r="O436" s="123">
        <v>42541.778112284599</v>
      </c>
      <c r="P436" s="121">
        <v>50564.272936968118</v>
      </c>
      <c r="Q436" s="120">
        <v>22559.406912354716</v>
      </c>
      <c r="R436" s="314">
        <v>65101.185024639315</v>
      </c>
      <c r="S436" s="315">
        <v>73123.679849322827</v>
      </c>
      <c r="U436" s="7" t="s">
        <v>3331</v>
      </c>
    </row>
    <row r="437" spans="1:21" s="7" customFormat="1" ht="16.5" thickBot="1">
      <c r="A437" s="50" t="s">
        <v>35</v>
      </c>
      <c r="B437" s="51">
        <f t="shared" si="24"/>
        <v>140</v>
      </c>
      <c r="C437" s="51" t="s">
        <v>3</v>
      </c>
      <c r="D437" s="51">
        <f t="shared" si="25"/>
        <v>400</v>
      </c>
      <c r="E437" s="51" t="s">
        <v>3</v>
      </c>
      <c r="F437" s="99">
        <f t="shared" si="26"/>
        <v>1550</v>
      </c>
      <c r="G437" s="51" t="s">
        <v>3</v>
      </c>
      <c r="H437" s="48">
        <v>8</v>
      </c>
      <c r="I437" s="49" t="s">
        <v>47</v>
      </c>
      <c r="J437" s="184">
        <v>140</v>
      </c>
      <c r="K437" s="75">
        <v>400</v>
      </c>
      <c r="L437" s="75">
        <v>1550</v>
      </c>
      <c r="M437" s="202">
        <v>24.660461107932001</v>
      </c>
      <c r="N437" s="87">
        <v>1581.3647999999998</v>
      </c>
      <c r="O437" s="123">
        <v>43721.557308029936</v>
      </c>
      <c r="P437" s="121">
        <v>51978.572225101583</v>
      </c>
      <c r="Q437" s="120">
        <v>23161.79860935469</v>
      </c>
      <c r="R437" s="314">
        <v>66883.35591738463</v>
      </c>
      <c r="S437" s="315">
        <v>75140.370834456276</v>
      </c>
      <c r="U437" s="7" t="s">
        <v>3332</v>
      </c>
    </row>
    <row r="438" spans="1:21" s="7" customFormat="1" ht="16.5" thickBot="1">
      <c r="A438" s="47" t="s">
        <v>35</v>
      </c>
      <c r="B438" s="48">
        <f t="shared" si="24"/>
        <v>140</v>
      </c>
      <c r="C438" s="48" t="s">
        <v>3</v>
      </c>
      <c r="D438" s="48">
        <f t="shared" si="25"/>
        <v>400</v>
      </c>
      <c r="E438" s="48" t="s">
        <v>3</v>
      </c>
      <c r="F438" s="99">
        <f t="shared" si="26"/>
        <v>1600</v>
      </c>
      <c r="G438" s="48" t="s">
        <v>3</v>
      </c>
      <c r="H438" s="48">
        <v>8</v>
      </c>
      <c r="I438" s="49" t="s">
        <v>47</v>
      </c>
      <c r="J438" s="184">
        <v>140</v>
      </c>
      <c r="K438" s="75">
        <v>400</v>
      </c>
      <c r="L438" s="75">
        <v>1600</v>
      </c>
      <c r="M438" s="202">
        <v>25.40445812615776</v>
      </c>
      <c r="N438" s="87">
        <v>1647.2549999999999</v>
      </c>
      <c r="O438" s="123">
        <v>44901.331028434135</v>
      </c>
      <c r="P438" s="121">
        <v>53392.871372841691</v>
      </c>
      <c r="Q438" s="120">
        <v>23764.190446748027</v>
      </c>
      <c r="R438" s="314">
        <v>68665.521475182162</v>
      </c>
      <c r="S438" s="315">
        <v>77157.061819589726</v>
      </c>
      <c r="U438" s="7" t="s">
        <v>3333</v>
      </c>
    </row>
    <row r="439" spans="1:21" s="7" customFormat="1" ht="16.5" thickBot="1">
      <c r="A439" s="50" t="s">
        <v>35</v>
      </c>
      <c r="B439" s="51">
        <f t="shared" si="24"/>
        <v>140</v>
      </c>
      <c r="C439" s="51" t="s">
        <v>3</v>
      </c>
      <c r="D439" s="51">
        <f t="shared" si="25"/>
        <v>400</v>
      </c>
      <c r="E439" s="51" t="s">
        <v>3</v>
      </c>
      <c r="F439" s="99">
        <f t="shared" si="26"/>
        <v>1650</v>
      </c>
      <c r="G439" s="51" t="s">
        <v>3</v>
      </c>
      <c r="H439" s="48">
        <v>8</v>
      </c>
      <c r="I439" s="49" t="s">
        <v>47</v>
      </c>
      <c r="J439" s="184">
        <v>140</v>
      </c>
      <c r="K439" s="75">
        <v>400</v>
      </c>
      <c r="L439" s="75">
        <v>1650</v>
      </c>
      <c r="M439" s="202">
        <v>26.165290664383523</v>
      </c>
      <c r="N439" s="87">
        <v>1713.1451999999999</v>
      </c>
      <c r="O439" s="123">
        <v>46081.09983507065</v>
      </c>
      <c r="P439" s="121">
        <v>54807.170520581785</v>
      </c>
      <c r="Q439" s="120">
        <v>24597.164061924639</v>
      </c>
      <c r="R439" s="314">
        <v>70678.263896995282</v>
      </c>
      <c r="S439" s="315">
        <v>79404.334582506417</v>
      </c>
      <c r="U439" s="7" t="s">
        <v>3334</v>
      </c>
    </row>
    <row r="440" spans="1:21" s="7" customFormat="1" ht="16.5" thickBot="1">
      <c r="A440" s="50" t="s">
        <v>35</v>
      </c>
      <c r="B440" s="51">
        <f t="shared" si="24"/>
        <v>140</v>
      </c>
      <c r="C440" s="51" t="s">
        <v>3</v>
      </c>
      <c r="D440" s="51">
        <f t="shared" si="25"/>
        <v>400</v>
      </c>
      <c r="E440" s="51" t="s">
        <v>3</v>
      </c>
      <c r="F440" s="99">
        <f t="shared" si="26"/>
        <v>1700</v>
      </c>
      <c r="G440" s="51" t="s">
        <v>3</v>
      </c>
      <c r="H440" s="48">
        <v>8</v>
      </c>
      <c r="I440" s="49" t="s">
        <v>47</v>
      </c>
      <c r="J440" s="184">
        <v>140</v>
      </c>
      <c r="K440" s="75">
        <v>400</v>
      </c>
      <c r="L440" s="75">
        <v>1700</v>
      </c>
      <c r="M440" s="202">
        <v>26.909287682609282</v>
      </c>
      <c r="N440" s="87">
        <v>1779.0354</v>
      </c>
      <c r="O440" s="123">
        <v>47260.864289512923</v>
      </c>
      <c r="P440" s="121">
        <v>56221.469668321894</v>
      </c>
      <c r="Q440" s="120">
        <v>25199.55575892462</v>
      </c>
      <c r="R440" s="314">
        <v>72460.420048437547</v>
      </c>
      <c r="S440" s="315">
        <v>81421.02542724651</v>
      </c>
      <c r="U440" s="7" t="s">
        <v>3335</v>
      </c>
    </row>
    <row r="441" spans="1:21" s="7" customFormat="1" ht="16.5" thickBot="1">
      <c r="A441" s="50" t="s">
        <v>35</v>
      </c>
      <c r="B441" s="51">
        <f t="shared" si="24"/>
        <v>140</v>
      </c>
      <c r="C441" s="51" t="s">
        <v>3</v>
      </c>
      <c r="D441" s="51">
        <f t="shared" si="25"/>
        <v>400</v>
      </c>
      <c r="E441" s="51" t="s">
        <v>3</v>
      </c>
      <c r="F441" s="99">
        <f t="shared" si="26"/>
        <v>1750</v>
      </c>
      <c r="G441" s="51" t="s">
        <v>3</v>
      </c>
      <c r="H441" s="48">
        <v>8</v>
      </c>
      <c r="I441" s="49" t="s">
        <v>47</v>
      </c>
      <c r="J441" s="184">
        <v>140</v>
      </c>
      <c r="K441" s="75">
        <v>400</v>
      </c>
      <c r="L441" s="75">
        <v>1750</v>
      </c>
      <c r="M441" s="202">
        <v>27.670120220835042</v>
      </c>
      <c r="N441" s="87">
        <v>1844.9255999999996</v>
      </c>
      <c r="O441" s="123">
        <v>48440.624391760954</v>
      </c>
      <c r="P441" s="121">
        <v>57635.768956455344</v>
      </c>
      <c r="Q441" s="120">
        <v>26032.529374101232</v>
      </c>
      <c r="R441" s="314">
        <v>74473.153765862182</v>
      </c>
      <c r="S441" s="315">
        <v>83668.298330556572</v>
      </c>
      <c r="U441" s="7" t="s">
        <v>3336</v>
      </c>
    </row>
    <row r="442" spans="1:21" s="7" customFormat="1" ht="16.5" thickBot="1">
      <c r="A442" s="50" t="s">
        <v>35</v>
      </c>
      <c r="B442" s="51">
        <f t="shared" si="24"/>
        <v>140</v>
      </c>
      <c r="C442" s="51" t="s">
        <v>3</v>
      </c>
      <c r="D442" s="51">
        <f t="shared" si="25"/>
        <v>400</v>
      </c>
      <c r="E442" s="51" t="s">
        <v>3</v>
      </c>
      <c r="F442" s="99">
        <f t="shared" si="26"/>
        <v>1800</v>
      </c>
      <c r="G442" s="51" t="s">
        <v>3</v>
      </c>
      <c r="H442" s="48">
        <v>8</v>
      </c>
      <c r="I442" s="49" t="s">
        <v>47</v>
      </c>
      <c r="J442" s="184">
        <v>140</v>
      </c>
      <c r="K442" s="75">
        <v>400</v>
      </c>
      <c r="L442" s="75">
        <v>1800</v>
      </c>
      <c r="M442" s="202">
        <v>28.414117239060797</v>
      </c>
      <c r="N442" s="87">
        <v>1910.8157999999996</v>
      </c>
      <c r="O442" s="123">
        <v>49620.380562994847</v>
      </c>
      <c r="P442" s="121">
        <v>59050.068104195452</v>
      </c>
      <c r="Q442" s="120">
        <v>26634.921071101206</v>
      </c>
      <c r="R442" s="314">
        <v>76255.301634096046</v>
      </c>
      <c r="S442" s="315">
        <v>85684.989175296651</v>
      </c>
      <c r="U442" s="7" t="s">
        <v>3337</v>
      </c>
    </row>
    <row r="443" spans="1:21" s="7" customFormat="1" ht="16.5" thickBot="1">
      <c r="A443" s="50" t="s">
        <v>35</v>
      </c>
      <c r="B443" s="51">
        <f t="shared" si="24"/>
        <v>140</v>
      </c>
      <c r="C443" s="51" t="s">
        <v>3</v>
      </c>
      <c r="D443" s="51">
        <f t="shared" si="25"/>
        <v>400</v>
      </c>
      <c r="E443" s="51" t="s">
        <v>3</v>
      </c>
      <c r="F443" s="99">
        <f t="shared" si="26"/>
        <v>1850</v>
      </c>
      <c r="G443" s="51" t="s">
        <v>3</v>
      </c>
      <c r="H443" s="48">
        <v>8</v>
      </c>
      <c r="I443" s="49" t="s">
        <v>47</v>
      </c>
      <c r="J443" s="184">
        <v>140</v>
      </c>
      <c r="K443" s="75">
        <v>400</v>
      </c>
      <c r="L443" s="75">
        <v>1850</v>
      </c>
      <c r="M443" s="202">
        <v>29.174949777286564</v>
      </c>
      <c r="N443" s="87">
        <v>1976.7059999999997</v>
      </c>
      <c r="O443" s="123">
        <v>50800.133224394674</v>
      </c>
      <c r="P443" s="121">
        <v>60464.367251935415</v>
      </c>
      <c r="Q443" s="120">
        <v>27467.894686277818</v>
      </c>
      <c r="R443" s="314">
        <v>78268.027910672492</v>
      </c>
      <c r="S443" s="315">
        <v>87932.261938213225</v>
      </c>
      <c r="U443" s="7" t="s">
        <v>3338</v>
      </c>
    </row>
    <row r="444" spans="1:21" s="7" customFormat="1" ht="16.5" thickBot="1">
      <c r="A444" s="50" t="s">
        <v>35</v>
      </c>
      <c r="B444" s="51">
        <f t="shared" si="24"/>
        <v>140</v>
      </c>
      <c r="C444" s="51" t="s">
        <v>3</v>
      </c>
      <c r="D444" s="51">
        <f t="shared" si="25"/>
        <v>400</v>
      </c>
      <c r="E444" s="51" t="s">
        <v>3</v>
      </c>
      <c r="F444" s="99">
        <f t="shared" si="26"/>
        <v>1900</v>
      </c>
      <c r="G444" s="51" t="s">
        <v>3</v>
      </c>
      <c r="H444" s="48">
        <v>8</v>
      </c>
      <c r="I444" s="49" t="s">
        <v>47</v>
      </c>
      <c r="J444" s="184">
        <v>140</v>
      </c>
      <c r="K444" s="75">
        <v>400</v>
      </c>
      <c r="L444" s="75">
        <v>1900</v>
      </c>
      <c r="M444" s="202">
        <v>29.918946795512319</v>
      </c>
      <c r="N444" s="87">
        <v>2042.5962</v>
      </c>
      <c r="O444" s="123">
        <v>51979.882516353806</v>
      </c>
      <c r="P444" s="121">
        <v>61878.666540069011</v>
      </c>
      <c r="Q444" s="120">
        <v>28070.286383277791</v>
      </c>
      <c r="R444" s="314">
        <v>80050.168899631593</v>
      </c>
      <c r="S444" s="315">
        <v>89948.952923346806</v>
      </c>
      <c r="U444" s="7" t="s">
        <v>3339</v>
      </c>
    </row>
    <row r="445" spans="1:21" s="7" customFormat="1" ht="16.5" thickBot="1">
      <c r="A445" s="50" t="s">
        <v>35</v>
      </c>
      <c r="B445" s="51">
        <f t="shared" si="24"/>
        <v>140</v>
      </c>
      <c r="C445" s="51" t="s">
        <v>3</v>
      </c>
      <c r="D445" s="51">
        <f t="shared" si="25"/>
        <v>400</v>
      </c>
      <c r="E445" s="51" t="s">
        <v>3</v>
      </c>
      <c r="F445" s="99">
        <f t="shared" si="26"/>
        <v>1950</v>
      </c>
      <c r="G445" s="51" t="s">
        <v>3</v>
      </c>
      <c r="H445" s="48">
        <v>8</v>
      </c>
      <c r="I445" s="49" t="s">
        <v>47</v>
      </c>
      <c r="J445" s="184">
        <v>140</v>
      </c>
      <c r="K445" s="75">
        <v>400</v>
      </c>
      <c r="L445" s="75">
        <v>1950</v>
      </c>
      <c r="M445" s="202">
        <v>30.818059813738085</v>
      </c>
      <c r="N445" s="87">
        <v>2108.4863999999998</v>
      </c>
      <c r="O445" s="123">
        <v>53314.044992385534</v>
      </c>
      <c r="P445" s="121">
        <v>63447.79808646215</v>
      </c>
      <c r="Q445" s="120">
        <v>28672.678220671129</v>
      </c>
      <c r="R445" s="314">
        <v>81986.723213056655</v>
      </c>
      <c r="S445" s="315">
        <v>92120.476307133271</v>
      </c>
      <c r="U445" s="7" t="s">
        <v>3340</v>
      </c>
    </row>
    <row r="446" spans="1:21" s="7" customFormat="1" ht="16.5" thickBot="1">
      <c r="A446" s="50" t="s">
        <v>35</v>
      </c>
      <c r="B446" s="51">
        <f t="shared" si="24"/>
        <v>140</v>
      </c>
      <c r="C446" s="51" t="s">
        <v>3</v>
      </c>
      <c r="D446" s="51">
        <f t="shared" si="25"/>
        <v>400</v>
      </c>
      <c r="E446" s="51" t="s">
        <v>3</v>
      </c>
      <c r="F446" s="99">
        <f t="shared" si="26"/>
        <v>2000</v>
      </c>
      <c r="G446" s="51" t="s">
        <v>3</v>
      </c>
      <c r="H446" s="48">
        <v>8</v>
      </c>
      <c r="I446" s="49" t="s">
        <v>47</v>
      </c>
      <c r="J446" s="184">
        <v>140</v>
      </c>
      <c r="K446" s="75">
        <v>400</v>
      </c>
      <c r="L446" s="75">
        <v>2000</v>
      </c>
      <c r="M446" s="202">
        <v>31.669356003163848</v>
      </c>
      <c r="N446" s="87">
        <v>2174.3765999999996</v>
      </c>
      <c r="O446" s="123">
        <v>54723.327464103422</v>
      </c>
      <c r="P446" s="121">
        <v>65301.291615224713</v>
      </c>
      <c r="Q446" s="120">
        <v>29505.651695454384</v>
      </c>
      <c r="R446" s="314">
        <v>84228.979159557814</v>
      </c>
      <c r="S446" s="315">
        <v>94806.943310679097</v>
      </c>
      <c r="U446" s="7" t="s">
        <v>3341</v>
      </c>
    </row>
    <row r="447" spans="1:21" s="7" customFormat="1" ht="16.5" thickBot="1">
      <c r="A447" s="50" t="s">
        <v>35</v>
      </c>
      <c r="B447" s="51">
        <f t="shared" si="24"/>
        <v>140</v>
      </c>
      <c r="C447" s="51" t="s">
        <v>3</v>
      </c>
      <c r="D447" s="51">
        <f t="shared" si="25"/>
        <v>400</v>
      </c>
      <c r="E447" s="51" t="s">
        <v>3</v>
      </c>
      <c r="F447" s="99">
        <f t="shared" si="26"/>
        <v>2050</v>
      </c>
      <c r="G447" s="51" t="s">
        <v>3</v>
      </c>
      <c r="H447" s="48">
        <v>8</v>
      </c>
      <c r="I447" s="49" t="s">
        <v>47</v>
      </c>
      <c r="J447" s="184">
        <v>140</v>
      </c>
      <c r="K447" s="75">
        <v>400</v>
      </c>
      <c r="L447" s="75">
        <v>2050</v>
      </c>
      <c r="M447" s="202">
        <v>32.413353021389604</v>
      </c>
      <c r="N447" s="87">
        <v>2240.2667999999999</v>
      </c>
      <c r="O447" s="123">
        <v>55903.072544261675</v>
      </c>
      <c r="P447" s="121">
        <v>66715.590762964814</v>
      </c>
      <c r="Q447" s="120">
        <v>30108.043532847722</v>
      </c>
      <c r="R447" s="314">
        <v>86011.1160771094</v>
      </c>
      <c r="S447" s="315">
        <v>96823.634295812531</v>
      </c>
      <c r="U447" s="7" t="s">
        <v>3342</v>
      </c>
    </row>
    <row r="448" spans="1:21" s="7" customFormat="1" ht="16.5" thickBot="1">
      <c r="A448" s="47" t="s">
        <v>35</v>
      </c>
      <c r="B448" s="48">
        <f t="shared" si="24"/>
        <v>140</v>
      </c>
      <c r="C448" s="48" t="s">
        <v>3</v>
      </c>
      <c r="D448" s="48">
        <f t="shared" si="25"/>
        <v>400</v>
      </c>
      <c r="E448" s="48" t="s">
        <v>3</v>
      </c>
      <c r="F448" s="99">
        <f t="shared" si="26"/>
        <v>2100</v>
      </c>
      <c r="G448" s="48" t="s">
        <v>3</v>
      </c>
      <c r="H448" s="48">
        <v>8</v>
      </c>
      <c r="I448" s="49" t="s">
        <v>47</v>
      </c>
      <c r="J448" s="184">
        <v>140</v>
      </c>
      <c r="K448" s="75">
        <v>400</v>
      </c>
      <c r="L448" s="75">
        <v>2100</v>
      </c>
      <c r="M448" s="202">
        <v>33.17418555961536</v>
      </c>
      <c r="N448" s="87">
        <v>2306.1569999999997</v>
      </c>
      <c r="O448" s="123">
        <v>57082.814956946037</v>
      </c>
      <c r="P448" s="121">
        <v>68129.890051098278</v>
      </c>
      <c r="Q448" s="120">
        <v>30941.01700763097</v>
      </c>
      <c r="R448" s="314">
        <v>88023.83196457701</v>
      </c>
      <c r="S448" s="315">
        <v>99070.907058729252</v>
      </c>
      <c r="U448" s="7" t="s">
        <v>3343</v>
      </c>
    </row>
    <row r="449" spans="1:21" s="7" customFormat="1" ht="16.5" thickBot="1">
      <c r="A449" s="50" t="s">
        <v>35</v>
      </c>
      <c r="B449" s="51">
        <f t="shared" si="24"/>
        <v>140</v>
      </c>
      <c r="C449" s="51" t="s">
        <v>3</v>
      </c>
      <c r="D449" s="51">
        <f t="shared" si="25"/>
        <v>400</v>
      </c>
      <c r="E449" s="51" t="s">
        <v>3</v>
      </c>
      <c r="F449" s="99">
        <f t="shared" si="26"/>
        <v>2150</v>
      </c>
      <c r="G449" s="51" t="s">
        <v>3</v>
      </c>
      <c r="H449" s="48">
        <v>8</v>
      </c>
      <c r="I449" s="49" t="s">
        <v>47</v>
      </c>
      <c r="J449" s="184">
        <v>140</v>
      </c>
      <c r="K449" s="75">
        <v>400</v>
      </c>
      <c r="L449" s="75">
        <v>2150</v>
      </c>
      <c r="M449" s="202">
        <v>33.918182577841122</v>
      </c>
      <c r="N449" s="87">
        <v>2372.0472</v>
      </c>
      <c r="O449" s="123">
        <v>58262.554702156514</v>
      </c>
      <c r="P449" s="121">
        <v>69544.189198838387</v>
      </c>
      <c r="Q449" s="120">
        <v>31543.408845024307</v>
      </c>
      <c r="R449" s="314">
        <v>89805.963547180814</v>
      </c>
      <c r="S449" s="315">
        <v>101087.5980438627</v>
      </c>
      <c r="U449" s="7" t="s">
        <v>3344</v>
      </c>
    </row>
    <row r="450" spans="1:21" s="7" customFormat="1" ht="16.5" thickBot="1">
      <c r="A450" s="50" t="s">
        <v>35</v>
      </c>
      <c r="B450" s="51">
        <f t="shared" si="24"/>
        <v>140</v>
      </c>
      <c r="C450" s="51" t="s">
        <v>3</v>
      </c>
      <c r="D450" s="51">
        <f t="shared" si="25"/>
        <v>400</v>
      </c>
      <c r="E450" s="51" t="s">
        <v>3</v>
      </c>
      <c r="F450" s="99">
        <f t="shared" si="26"/>
        <v>2200</v>
      </c>
      <c r="G450" s="51" t="s">
        <v>3</v>
      </c>
      <c r="H450" s="48">
        <v>8</v>
      </c>
      <c r="I450" s="49" t="s">
        <v>47</v>
      </c>
      <c r="J450" s="184">
        <v>140</v>
      </c>
      <c r="K450" s="75">
        <v>400</v>
      </c>
      <c r="L450" s="75">
        <v>2200</v>
      </c>
      <c r="M450" s="202">
        <v>34.679015116066878</v>
      </c>
      <c r="N450" s="87">
        <v>2437.9373999999998</v>
      </c>
      <c r="O450" s="123">
        <v>59442.292060679829</v>
      </c>
      <c r="P450" s="121">
        <v>70958.488346578481</v>
      </c>
      <c r="Q450" s="120">
        <v>32376.382319807555</v>
      </c>
      <c r="R450" s="314">
        <v>91818.674380487384</v>
      </c>
      <c r="S450" s="315">
        <v>103334.87066638604</v>
      </c>
      <c r="U450" s="7" t="s">
        <v>3345</v>
      </c>
    </row>
    <row r="451" spans="1:21" s="7" customFormat="1" ht="16.5" thickBot="1">
      <c r="A451" s="50" t="s">
        <v>35</v>
      </c>
      <c r="B451" s="51">
        <f t="shared" si="24"/>
        <v>140</v>
      </c>
      <c r="C451" s="51" t="s">
        <v>3</v>
      </c>
      <c r="D451" s="51">
        <f t="shared" si="25"/>
        <v>400</v>
      </c>
      <c r="E451" s="51" t="s">
        <v>3</v>
      </c>
      <c r="F451" s="99">
        <f t="shared" si="26"/>
        <v>2250</v>
      </c>
      <c r="G451" s="51" t="s">
        <v>3</v>
      </c>
      <c r="H451" s="48">
        <v>8</v>
      </c>
      <c r="I451" s="49" t="s">
        <v>47</v>
      </c>
      <c r="J451" s="184">
        <v>140</v>
      </c>
      <c r="K451" s="75">
        <v>400</v>
      </c>
      <c r="L451" s="75">
        <v>2250</v>
      </c>
      <c r="M451" s="202">
        <v>35.423012134292634</v>
      </c>
      <c r="N451" s="87">
        <v>2503.8275999999996</v>
      </c>
      <c r="O451" s="123">
        <v>60622.027172909337</v>
      </c>
      <c r="P451" s="121">
        <v>72372.787634711945</v>
      </c>
      <c r="Q451" s="120">
        <v>32978.774157200758</v>
      </c>
      <c r="R451" s="314">
        <v>93600.801330110087</v>
      </c>
      <c r="S451" s="315">
        <v>105351.56179191271</v>
      </c>
      <c r="U451" s="7" t="s">
        <v>3346</v>
      </c>
    </row>
    <row r="452" spans="1:21" s="7" customFormat="1" ht="16.5" thickBot="1">
      <c r="A452" s="50" t="s">
        <v>35</v>
      </c>
      <c r="B452" s="51">
        <f t="shared" si="24"/>
        <v>140</v>
      </c>
      <c r="C452" s="51" t="s">
        <v>3</v>
      </c>
      <c r="D452" s="51">
        <f t="shared" si="25"/>
        <v>400</v>
      </c>
      <c r="E452" s="51" t="s">
        <v>3</v>
      </c>
      <c r="F452" s="99">
        <f t="shared" si="26"/>
        <v>2300</v>
      </c>
      <c r="G452" s="51" t="s">
        <v>3</v>
      </c>
      <c r="H452" s="48">
        <v>8</v>
      </c>
      <c r="I452" s="49" t="s">
        <v>47</v>
      </c>
      <c r="J452" s="184">
        <v>140</v>
      </c>
      <c r="K452" s="75">
        <v>400</v>
      </c>
      <c r="L452" s="75">
        <v>2300</v>
      </c>
      <c r="M452" s="202">
        <v>36.167009152518403</v>
      </c>
      <c r="N452" s="87">
        <v>2569.7177999999994</v>
      </c>
      <c r="O452" s="123">
        <v>61801.760038845045</v>
      </c>
      <c r="P452" s="121">
        <v>73787.086782452039</v>
      </c>
      <c r="Q452" s="120">
        <v>33581.165854200874</v>
      </c>
      <c r="R452" s="314">
        <v>95382.925893045918</v>
      </c>
      <c r="S452" s="315">
        <v>107368.25263665291</v>
      </c>
      <c r="U452" s="7" t="s">
        <v>3347</v>
      </c>
    </row>
    <row r="453" spans="1:21" s="7" customFormat="1" ht="16.5" thickBot="1">
      <c r="A453" s="50" t="s">
        <v>35</v>
      </c>
      <c r="B453" s="51">
        <f t="shared" si="24"/>
        <v>140</v>
      </c>
      <c r="C453" s="51" t="s">
        <v>3</v>
      </c>
      <c r="D453" s="51">
        <f t="shared" si="25"/>
        <v>400</v>
      </c>
      <c r="E453" s="51" t="s">
        <v>3</v>
      </c>
      <c r="F453" s="99">
        <f t="shared" si="26"/>
        <v>2350</v>
      </c>
      <c r="G453" s="51" t="s">
        <v>3</v>
      </c>
      <c r="H453" s="48">
        <v>8</v>
      </c>
      <c r="I453" s="49" t="s">
        <v>47</v>
      </c>
      <c r="J453" s="184">
        <v>140</v>
      </c>
      <c r="K453" s="75">
        <v>400</v>
      </c>
      <c r="L453" s="75">
        <v>2350</v>
      </c>
      <c r="M453" s="202">
        <v>36.92784169074416</v>
      </c>
      <c r="N453" s="87">
        <v>2635.6079999999997</v>
      </c>
      <c r="O453" s="123">
        <v>62981.490798880324</v>
      </c>
      <c r="P453" s="121">
        <v>75201.385930192147</v>
      </c>
      <c r="Q453" s="120">
        <v>34414.139469377486</v>
      </c>
      <c r="R453" s="314">
        <v>97395.63026825781</v>
      </c>
      <c r="S453" s="315">
        <v>109615.52539956963</v>
      </c>
      <c r="U453" s="7" t="s">
        <v>3348</v>
      </c>
    </row>
    <row r="454" spans="1:21" s="7" customFormat="1" ht="16.5" thickBot="1">
      <c r="A454" s="50" t="s">
        <v>35</v>
      </c>
      <c r="B454" s="51">
        <f t="shared" si="24"/>
        <v>140</v>
      </c>
      <c r="C454" s="51" t="s">
        <v>3</v>
      </c>
      <c r="D454" s="51">
        <f t="shared" si="25"/>
        <v>400</v>
      </c>
      <c r="E454" s="51" t="s">
        <v>3</v>
      </c>
      <c r="F454" s="99">
        <f t="shared" si="26"/>
        <v>2400</v>
      </c>
      <c r="G454" s="51" t="s">
        <v>3</v>
      </c>
      <c r="H454" s="48">
        <v>8</v>
      </c>
      <c r="I454" s="49" t="s">
        <v>47</v>
      </c>
      <c r="J454" s="184">
        <v>140</v>
      </c>
      <c r="K454" s="75">
        <v>400</v>
      </c>
      <c r="L454" s="75">
        <v>2400</v>
      </c>
      <c r="M454" s="202">
        <v>37.671838708969915</v>
      </c>
      <c r="N454" s="87">
        <v>2701.4981999999995</v>
      </c>
      <c r="O454" s="123">
        <v>64161.219733801896</v>
      </c>
      <c r="P454" s="121">
        <v>76615.685218325612</v>
      </c>
      <c r="Q454" s="120">
        <v>35016.531306770819</v>
      </c>
      <c r="R454" s="314">
        <v>99177.751040572708</v>
      </c>
      <c r="S454" s="315">
        <v>111632.21652509643</v>
      </c>
      <c r="U454" s="7" t="s">
        <v>3349</v>
      </c>
    </row>
    <row r="455" spans="1:21" s="7" customFormat="1" ht="16.5" thickBot="1">
      <c r="A455" s="50" t="s">
        <v>35</v>
      </c>
      <c r="B455" s="51">
        <f t="shared" si="24"/>
        <v>140</v>
      </c>
      <c r="C455" s="51" t="s">
        <v>3</v>
      </c>
      <c r="D455" s="51">
        <f t="shared" si="25"/>
        <v>400</v>
      </c>
      <c r="E455" s="51" t="s">
        <v>3</v>
      </c>
      <c r="F455" s="99">
        <f t="shared" si="26"/>
        <v>2450</v>
      </c>
      <c r="G455" s="51" t="s">
        <v>3</v>
      </c>
      <c r="H455" s="48">
        <v>8</v>
      </c>
      <c r="I455" s="49" t="s">
        <v>47</v>
      </c>
      <c r="J455" s="184">
        <v>140</v>
      </c>
      <c r="K455" s="75">
        <v>400</v>
      </c>
      <c r="L455" s="75">
        <v>2450</v>
      </c>
      <c r="M455" s="202">
        <v>38.657224077188083</v>
      </c>
      <c r="N455" s="87">
        <v>2767.3883999999998</v>
      </c>
      <c r="O455" s="123">
        <v>66186.199262270602</v>
      </c>
      <c r="P455" s="121">
        <v>78854.141418470681</v>
      </c>
      <c r="Q455" s="120">
        <v>35849.504781554067</v>
      </c>
      <c r="R455" s="314">
        <v>102035.70404382466</v>
      </c>
      <c r="S455" s="315">
        <v>114703.64620002476</v>
      </c>
      <c r="U455" s="7" t="s">
        <v>3350</v>
      </c>
    </row>
    <row r="456" spans="1:21" s="7" customFormat="1" ht="16.5" thickBot="1">
      <c r="A456" s="50" t="s">
        <v>35</v>
      </c>
      <c r="B456" s="51">
        <f t="shared" si="24"/>
        <v>140</v>
      </c>
      <c r="C456" s="51" t="s">
        <v>3</v>
      </c>
      <c r="D456" s="51">
        <f t="shared" si="25"/>
        <v>400</v>
      </c>
      <c r="E456" s="51" t="s">
        <v>3</v>
      </c>
      <c r="F456" s="99">
        <f t="shared" si="26"/>
        <v>2500</v>
      </c>
      <c r="G456" s="51" t="s">
        <v>3</v>
      </c>
      <c r="H456" s="48">
        <v>8</v>
      </c>
      <c r="I456" s="49" t="s">
        <v>47</v>
      </c>
      <c r="J456" s="184">
        <v>140</v>
      </c>
      <c r="K456" s="75">
        <v>400</v>
      </c>
      <c r="L456" s="75">
        <v>2500</v>
      </c>
      <c r="M456" s="202">
        <v>39.401221095413838</v>
      </c>
      <c r="N456" s="87">
        <v>2833.2785999999996</v>
      </c>
      <c r="O456" s="123">
        <v>67365.932268599674</v>
      </c>
      <c r="P456" s="121">
        <v>80268.440566210775</v>
      </c>
      <c r="Q456" s="120">
        <v>36451.896618947409</v>
      </c>
      <c r="R456" s="314">
        <v>103817.82888754708</v>
      </c>
      <c r="S456" s="315">
        <v>116720.33718515819</v>
      </c>
      <c r="U456" s="7" t="s">
        <v>3351</v>
      </c>
    </row>
    <row r="457" spans="1:21" s="7" customFormat="1" ht="16.5" thickBot="1">
      <c r="A457" s="50" t="s">
        <v>35</v>
      </c>
      <c r="B457" s="51">
        <f t="shared" si="24"/>
        <v>140</v>
      </c>
      <c r="C457" s="51" t="s">
        <v>3</v>
      </c>
      <c r="D457" s="51">
        <f t="shared" si="25"/>
        <v>400</v>
      </c>
      <c r="E457" s="51" t="s">
        <v>3</v>
      </c>
      <c r="F457" s="99">
        <f t="shared" si="26"/>
        <v>2550</v>
      </c>
      <c r="G457" s="51" t="s">
        <v>3</v>
      </c>
      <c r="H457" s="48">
        <v>8</v>
      </c>
      <c r="I457" s="49" t="s">
        <v>47</v>
      </c>
      <c r="J457" s="184">
        <v>140</v>
      </c>
      <c r="K457" s="75">
        <v>400</v>
      </c>
      <c r="L457" s="75">
        <v>2550</v>
      </c>
      <c r="M457" s="202">
        <v>40.162053633639601</v>
      </c>
      <c r="N457" s="87">
        <v>2899.1687999999999</v>
      </c>
      <c r="O457" s="123">
        <v>68545.663449815038</v>
      </c>
      <c r="P457" s="121">
        <v>81682.73985434424</v>
      </c>
      <c r="Q457" s="120">
        <v>37284.870093730657</v>
      </c>
      <c r="R457" s="314">
        <v>105830.53354354569</v>
      </c>
      <c r="S457" s="315">
        <v>118967.6099480749</v>
      </c>
      <c r="U457" s="7" t="s">
        <v>3352</v>
      </c>
    </row>
    <row r="458" spans="1:21" s="7" customFormat="1" ht="16.5" thickBot="1">
      <c r="A458" s="47" t="s">
        <v>35</v>
      </c>
      <c r="B458" s="48">
        <f t="shared" si="24"/>
        <v>140</v>
      </c>
      <c r="C458" s="48" t="s">
        <v>3</v>
      </c>
      <c r="D458" s="48">
        <f t="shared" si="25"/>
        <v>400</v>
      </c>
      <c r="E458" s="48" t="s">
        <v>3</v>
      </c>
      <c r="F458" s="99">
        <f t="shared" si="26"/>
        <v>2600</v>
      </c>
      <c r="G458" s="48" t="s">
        <v>3</v>
      </c>
      <c r="H458" s="48">
        <v>8</v>
      </c>
      <c r="I458" s="49" t="s">
        <v>47</v>
      </c>
      <c r="J458" s="184">
        <v>140</v>
      </c>
      <c r="K458" s="75">
        <v>400</v>
      </c>
      <c r="L458" s="75">
        <v>2600</v>
      </c>
      <c r="M458" s="202">
        <v>40.906050651865371</v>
      </c>
      <c r="N458" s="87">
        <v>2965.0589999999997</v>
      </c>
      <c r="O458" s="123">
        <v>69725.392805916679</v>
      </c>
      <c r="P458" s="121">
        <v>83097.039002084348</v>
      </c>
      <c r="Q458" s="120">
        <v>37887.261931123991</v>
      </c>
      <c r="R458" s="314">
        <v>107612.65473704066</v>
      </c>
      <c r="S458" s="315">
        <v>120984.30093320835</v>
      </c>
      <c r="U458" s="7" t="s">
        <v>3353</v>
      </c>
    </row>
    <row r="459" spans="1:21" s="7" customFormat="1" ht="16.5" thickBot="1">
      <c r="A459" s="50" t="s">
        <v>35</v>
      </c>
      <c r="B459" s="51">
        <f t="shared" si="24"/>
        <v>140</v>
      </c>
      <c r="C459" s="51" t="s">
        <v>3</v>
      </c>
      <c r="D459" s="51">
        <f t="shared" si="25"/>
        <v>400</v>
      </c>
      <c r="E459" s="51" t="s">
        <v>3</v>
      </c>
      <c r="F459" s="99">
        <f t="shared" si="26"/>
        <v>2650</v>
      </c>
      <c r="G459" s="51" t="s">
        <v>3</v>
      </c>
      <c r="H459" s="48">
        <v>8</v>
      </c>
      <c r="I459" s="49" t="s">
        <v>47</v>
      </c>
      <c r="J459" s="184">
        <v>140</v>
      </c>
      <c r="K459" s="75">
        <v>400</v>
      </c>
      <c r="L459" s="75">
        <v>2650</v>
      </c>
      <c r="M459" s="202">
        <v>41.666883190091127</v>
      </c>
      <c r="N459" s="87">
        <v>3030.9491999999996</v>
      </c>
      <c r="O459" s="123">
        <v>70905.120477297998</v>
      </c>
      <c r="P459" s="121">
        <v>84511.338149824442</v>
      </c>
      <c r="Q459" s="120">
        <v>38720.235405907246</v>
      </c>
      <c r="R459" s="314">
        <v>109625.35588320525</v>
      </c>
      <c r="S459" s="315">
        <v>123231.57355573168</v>
      </c>
      <c r="U459" s="7" t="s">
        <v>3354</v>
      </c>
    </row>
    <row r="460" spans="1:21" ht="16.5" thickBot="1">
      <c r="A460" s="50" t="s">
        <v>35</v>
      </c>
      <c r="B460" s="51">
        <f t="shared" si="24"/>
        <v>140</v>
      </c>
      <c r="C460" s="51" t="s">
        <v>3</v>
      </c>
      <c r="D460" s="51">
        <f t="shared" si="25"/>
        <v>400</v>
      </c>
      <c r="E460" s="51" t="s">
        <v>3</v>
      </c>
      <c r="F460" s="99">
        <f t="shared" si="26"/>
        <v>2700</v>
      </c>
      <c r="G460" s="51" t="s">
        <v>3</v>
      </c>
      <c r="H460" s="48">
        <v>8</v>
      </c>
      <c r="I460" s="49" t="s">
        <v>47</v>
      </c>
      <c r="J460" s="184">
        <v>140</v>
      </c>
      <c r="K460" s="75">
        <v>400</v>
      </c>
      <c r="L460" s="75">
        <v>2700</v>
      </c>
      <c r="M460" s="202">
        <v>42.565996208316882</v>
      </c>
      <c r="N460" s="87">
        <v>3096.8393999999998</v>
      </c>
      <c r="O460" s="123">
        <v>72239.253611116961</v>
      </c>
      <c r="P460" s="121">
        <v>86080.469836610937</v>
      </c>
      <c r="Q460" s="120">
        <v>39322.627243300587</v>
      </c>
      <c r="R460" s="314">
        <v>111561.88085441754</v>
      </c>
      <c r="S460" s="315">
        <v>125403.09707991153</v>
      </c>
      <c r="U460" s="7" t="s">
        <v>3355</v>
      </c>
    </row>
    <row r="461" spans="1:21" ht="16.5" thickBot="1">
      <c r="A461" s="50" t="s">
        <v>35</v>
      </c>
      <c r="B461" s="51">
        <f t="shared" si="24"/>
        <v>140</v>
      </c>
      <c r="C461" s="51" t="s">
        <v>3</v>
      </c>
      <c r="D461" s="51">
        <f t="shared" si="25"/>
        <v>400</v>
      </c>
      <c r="E461" s="51" t="s">
        <v>3</v>
      </c>
      <c r="F461" s="99">
        <f t="shared" si="26"/>
        <v>2750</v>
      </c>
      <c r="G461" s="51" t="s">
        <v>3</v>
      </c>
      <c r="H461" s="48">
        <v>8</v>
      </c>
      <c r="I461" s="49" t="s">
        <v>47</v>
      </c>
      <c r="J461" s="184">
        <v>140</v>
      </c>
      <c r="K461" s="75">
        <v>400</v>
      </c>
      <c r="L461" s="75">
        <v>2750</v>
      </c>
      <c r="M461" s="202">
        <v>43.309993226542645</v>
      </c>
      <c r="N461" s="87">
        <v>3162.7295999999997</v>
      </c>
      <c r="O461" s="123">
        <v>73418.977351484122</v>
      </c>
      <c r="P461" s="121">
        <v>87494.768984351045</v>
      </c>
      <c r="Q461" s="120">
        <v>39925.018940300557</v>
      </c>
      <c r="R461" s="314">
        <v>113343.99629178469</v>
      </c>
      <c r="S461" s="315">
        <v>127419.78792465161</v>
      </c>
      <c r="U461" s="7" t="s">
        <v>3356</v>
      </c>
    </row>
    <row r="462" spans="1:21" ht="16.5" thickBot="1">
      <c r="A462" s="50" t="s">
        <v>35</v>
      </c>
      <c r="B462" s="51">
        <f t="shared" si="24"/>
        <v>140</v>
      </c>
      <c r="C462" s="51" t="s">
        <v>3</v>
      </c>
      <c r="D462" s="51">
        <f t="shared" si="25"/>
        <v>400</v>
      </c>
      <c r="E462" s="51" t="s">
        <v>3</v>
      </c>
      <c r="F462" s="99">
        <f t="shared" si="26"/>
        <v>2800</v>
      </c>
      <c r="G462" s="51" t="s">
        <v>3</v>
      </c>
      <c r="H462" s="48">
        <v>8</v>
      </c>
      <c r="I462" s="49" t="s">
        <v>47</v>
      </c>
      <c r="J462" s="184">
        <v>140</v>
      </c>
      <c r="K462" s="75">
        <v>400</v>
      </c>
      <c r="L462" s="75">
        <v>2800</v>
      </c>
      <c r="M462" s="202">
        <v>44.070825764768408</v>
      </c>
      <c r="N462" s="87">
        <v>3228.6197999999999</v>
      </c>
      <c r="O462" s="123">
        <v>74598.699687917644</v>
      </c>
      <c r="P462" s="121">
        <v>88909.068132091139</v>
      </c>
      <c r="Q462" s="120">
        <v>40757.992555477169</v>
      </c>
      <c r="R462" s="314">
        <v>115356.69224339482</v>
      </c>
      <c r="S462" s="315">
        <v>129667.0606875683</v>
      </c>
      <c r="U462" s="7" t="s">
        <v>3357</v>
      </c>
    </row>
    <row r="463" spans="1:21" ht="16.5" thickBot="1">
      <c r="A463" s="50" t="s">
        <v>35</v>
      </c>
      <c r="B463" s="51">
        <f t="shared" si="24"/>
        <v>140</v>
      </c>
      <c r="C463" s="51" t="s">
        <v>3</v>
      </c>
      <c r="D463" s="51">
        <f t="shared" si="25"/>
        <v>400</v>
      </c>
      <c r="E463" s="51" t="s">
        <v>3</v>
      </c>
      <c r="F463" s="99">
        <f t="shared" si="26"/>
        <v>2850</v>
      </c>
      <c r="G463" s="51" t="s">
        <v>3</v>
      </c>
      <c r="H463" s="48">
        <v>8</v>
      </c>
      <c r="I463" s="49" t="s">
        <v>47</v>
      </c>
      <c r="J463" s="184">
        <v>140</v>
      </c>
      <c r="K463" s="75">
        <v>400</v>
      </c>
      <c r="L463" s="75">
        <v>2850</v>
      </c>
      <c r="M463" s="202">
        <v>44.814822782994163</v>
      </c>
      <c r="N463" s="87">
        <v>3294.5099999999998</v>
      </c>
      <c r="O463" s="123">
        <v>75778.420620417543</v>
      </c>
      <c r="P463" s="121">
        <v>90323.367420224604</v>
      </c>
      <c r="Q463" s="120">
        <v>41360.384252477146</v>
      </c>
      <c r="R463" s="314">
        <v>117138.80487289469</v>
      </c>
      <c r="S463" s="315">
        <v>131683.75167270174</v>
      </c>
      <c r="U463" s="7" t="s">
        <v>3358</v>
      </c>
    </row>
    <row r="464" spans="1:21" ht="16.5" thickBot="1">
      <c r="A464" s="50" t="s">
        <v>35</v>
      </c>
      <c r="B464" s="51">
        <f t="shared" si="24"/>
        <v>140</v>
      </c>
      <c r="C464" s="51" t="s">
        <v>3</v>
      </c>
      <c r="D464" s="51">
        <f t="shared" si="25"/>
        <v>400</v>
      </c>
      <c r="E464" s="51" t="s">
        <v>3</v>
      </c>
      <c r="F464" s="99">
        <f t="shared" si="26"/>
        <v>2900</v>
      </c>
      <c r="G464" s="51" t="s">
        <v>3</v>
      </c>
      <c r="H464" s="48">
        <v>8</v>
      </c>
      <c r="I464" s="49" t="s">
        <v>47</v>
      </c>
      <c r="J464" s="184">
        <v>140</v>
      </c>
      <c r="K464" s="75">
        <v>400</v>
      </c>
      <c r="L464" s="75">
        <v>2900</v>
      </c>
      <c r="M464" s="202">
        <v>45.575655321219919</v>
      </c>
      <c r="N464" s="87">
        <v>3360.4001999999996</v>
      </c>
      <c r="O464" s="123">
        <v>76958.140148983817</v>
      </c>
      <c r="P464" s="121">
        <v>91737.666567964712</v>
      </c>
      <c r="Q464" s="120">
        <v>42193.357867653758</v>
      </c>
      <c r="R464" s="314">
        <v>119151.49801663758</v>
      </c>
      <c r="S464" s="315">
        <v>133931.02443561848</v>
      </c>
      <c r="U464" s="7" t="s">
        <v>3359</v>
      </c>
    </row>
    <row r="465" spans="1:21" ht="16.5" thickBot="1">
      <c r="A465" s="50" t="s">
        <v>35</v>
      </c>
      <c r="B465" s="51">
        <f t="shared" si="24"/>
        <v>140</v>
      </c>
      <c r="C465" s="51" t="s">
        <v>3</v>
      </c>
      <c r="D465" s="51">
        <f t="shared" si="25"/>
        <v>400</v>
      </c>
      <c r="E465" s="51" t="s">
        <v>3</v>
      </c>
      <c r="F465" s="252">
        <f t="shared" si="26"/>
        <v>2950</v>
      </c>
      <c r="G465" s="51" t="s">
        <v>3</v>
      </c>
      <c r="H465" s="51">
        <v>8</v>
      </c>
      <c r="I465" s="253" t="s">
        <v>47</v>
      </c>
      <c r="J465" s="184">
        <v>140</v>
      </c>
      <c r="K465" s="75">
        <v>400</v>
      </c>
      <c r="L465" s="75">
        <v>2950</v>
      </c>
      <c r="M465" s="202">
        <v>46.319652339445682</v>
      </c>
      <c r="N465" s="87">
        <v>3426.2903999999999</v>
      </c>
      <c r="O465" s="123">
        <v>78137.858554403196</v>
      </c>
      <c r="P465" s="121">
        <v>93151.96571570482</v>
      </c>
      <c r="Q465" s="120">
        <v>42795.749564653735</v>
      </c>
      <c r="R465" s="314">
        <v>120933.60811905694</v>
      </c>
      <c r="S465" s="315">
        <v>135947.71528035856</v>
      </c>
      <c r="U465" s="7" t="s">
        <v>3360</v>
      </c>
    </row>
    <row r="466" spans="1:21" ht="16.5" thickBot="1">
      <c r="A466" s="47" t="s">
        <v>35</v>
      </c>
      <c r="B466" s="48">
        <f t="shared" si="24"/>
        <v>140</v>
      </c>
      <c r="C466" s="48" t="s">
        <v>3</v>
      </c>
      <c r="D466" s="48">
        <f t="shared" si="25"/>
        <v>400</v>
      </c>
      <c r="E466" s="48" t="s">
        <v>3</v>
      </c>
      <c r="F466" s="99">
        <f t="shared" si="26"/>
        <v>3000</v>
      </c>
      <c r="G466" s="48" t="s">
        <v>3</v>
      </c>
      <c r="H466" s="48">
        <v>8</v>
      </c>
      <c r="I466" s="49" t="s">
        <v>47</v>
      </c>
      <c r="J466" s="184">
        <v>140</v>
      </c>
      <c r="K466" s="147">
        <v>400</v>
      </c>
      <c r="L466" s="147">
        <v>3000</v>
      </c>
      <c r="M466" s="209">
        <v>47.080484877671445</v>
      </c>
      <c r="N466" s="148">
        <v>3492.1805999999997</v>
      </c>
      <c r="O466" s="149">
        <v>80520.867972379143</v>
      </c>
      <c r="P466" s="158">
        <v>94566.264863444914</v>
      </c>
      <c r="Q466" s="159">
        <v>43628.723179830347</v>
      </c>
      <c r="R466" s="316">
        <v>124149.5911522095</v>
      </c>
      <c r="S466" s="317">
        <v>138194.98804327525</v>
      </c>
      <c r="U466" s="7" t="s">
        <v>3361</v>
      </c>
    </row>
    <row r="467" spans="1:21">
      <c r="M467" s="93"/>
      <c r="P467" s="93"/>
      <c r="R467" s="93"/>
      <c r="S467" s="93"/>
    </row>
    <row r="468" spans="1:21">
      <c r="M468" s="93"/>
      <c r="P468" s="93"/>
      <c r="R468" s="93"/>
      <c r="S468" s="93"/>
    </row>
    <row r="469" spans="1:21">
      <c r="M469" s="93"/>
      <c r="P469" s="93"/>
      <c r="R469" s="93"/>
      <c r="S469" s="93"/>
    </row>
    <row r="470" spans="1:21">
      <c r="M470" s="93"/>
      <c r="P470" s="93"/>
      <c r="R470" s="93"/>
      <c r="S470" s="93"/>
    </row>
    <row r="471" spans="1:21">
      <c r="M471" s="93"/>
      <c r="P471" s="93"/>
      <c r="R471" s="93"/>
      <c r="S471" s="93"/>
    </row>
    <row r="472" spans="1:21">
      <c r="M472" s="93"/>
      <c r="P472" s="93"/>
      <c r="R472" s="93"/>
      <c r="S472" s="93"/>
    </row>
    <row r="473" spans="1:21">
      <c r="M473" s="93"/>
      <c r="P473" s="93"/>
      <c r="R473" s="93"/>
      <c r="S473" s="93"/>
    </row>
    <row r="474" spans="1:21">
      <c r="M474" s="93"/>
      <c r="P474" s="93"/>
      <c r="R474" s="93"/>
      <c r="S474" s="93"/>
    </row>
    <row r="475" spans="1:21">
      <c r="M475" s="93"/>
      <c r="P475" s="93"/>
      <c r="R475" s="93"/>
      <c r="S475" s="93"/>
    </row>
    <row r="476" spans="1:21">
      <c r="M476" s="93"/>
      <c r="P476" s="93"/>
      <c r="R476" s="93"/>
      <c r="S476" s="93"/>
    </row>
    <row r="477" spans="1:21">
      <c r="M477" s="93"/>
      <c r="P477" s="93"/>
      <c r="R477" s="93"/>
      <c r="S477" s="93"/>
    </row>
    <row r="478" spans="1:21">
      <c r="M478" s="93"/>
      <c r="P478" s="93"/>
      <c r="R478" s="93"/>
      <c r="S478" s="93"/>
    </row>
    <row r="479" spans="1:21">
      <c r="M479" s="93"/>
      <c r="P479" s="93"/>
      <c r="R479" s="93"/>
      <c r="S479" s="93"/>
    </row>
    <row r="480" spans="1:21">
      <c r="M480" s="93"/>
      <c r="P480" s="93"/>
      <c r="R480" s="93"/>
      <c r="S480" s="93"/>
    </row>
    <row r="481" spans="13:19">
      <c r="M481" s="93"/>
      <c r="P481" s="93"/>
      <c r="R481" s="93"/>
      <c r="S481" s="93"/>
    </row>
    <row r="482" spans="13:19">
      <c r="M482" s="93"/>
      <c r="P482" s="93"/>
      <c r="R482" s="93"/>
      <c r="S482" s="93"/>
    </row>
    <row r="483" spans="13:19">
      <c r="M483" s="93"/>
      <c r="P483" s="93"/>
      <c r="R483" s="93"/>
      <c r="S483" s="93"/>
    </row>
    <row r="484" spans="13:19">
      <c r="M484" s="93"/>
      <c r="P484" s="93"/>
      <c r="R484" s="93"/>
      <c r="S484" s="93"/>
    </row>
    <row r="485" spans="13:19">
      <c r="M485" s="93"/>
      <c r="P485" s="93"/>
      <c r="R485" s="93"/>
      <c r="S485" s="93"/>
    </row>
    <row r="486" spans="13:19">
      <c r="M486" s="93"/>
      <c r="P486" s="93"/>
      <c r="R486" s="93"/>
      <c r="S486" s="93"/>
    </row>
    <row r="487" spans="13:19">
      <c r="M487" s="93"/>
      <c r="P487" s="93"/>
      <c r="R487" s="93"/>
      <c r="S487" s="93"/>
    </row>
    <row r="488" spans="13:19">
      <c r="M488" s="93"/>
      <c r="P488" s="93"/>
      <c r="R488" s="93"/>
      <c r="S488" s="93"/>
    </row>
    <row r="489" spans="13:19">
      <c r="M489" s="93"/>
      <c r="P489" s="93"/>
      <c r="R489" s="93"/>
      <c r="S489" s="93"/>
    </row>
    <row r="490" spans="13:19">
      <c r="M490" s="93"/>
      <c r="P490" s="93"/>
      <c r="R490" s="93"/>
      <c r="S490" s="93"/>
    </row>
    <row r="491" spans="13:19">
      <c r="M491" s="93"/>
      <c r="P491" s="93"/>
      <c r="R491" s="93"/>
      <c r="S491" s="93"/>
    </row>
    <row r="492" spans="13:19">
      <c r="M492" s="93"/>
      <c r="P492" s="93"/>
      <c r="R492" s="93"/>
      <c r="S492" s="93"/>
    </row>
    <row r="493" spans="13:19">
      <c r="M493" s="93"/>
      <c r="P493" s="93"/>
      <c r="R493" s="93"/>
      <c r="S493" s="93"/>
    </row>
    <row r="494" spans="13:19">
      <c r="M494" s="93"/>
      <c r="P494" s="93"/>
      <c r="R494" s="93"/>
      <c r="S494" s="93"/>
    </row>
    <row r="495" spans="13:19">
      <c r="M495" s="93"/>
      <c r="P495" s="93"/>
      <c r="R495" s="93"/>
      <c r="S495" s="93"/>
    </row>
    <row r="496" spans="13:19">
      <c r="M496" s="93"/>
      <c r="P496" s="93"/>
      <c r="R496" s="93"/>
      <c r="S496" s="93"/>
    </row>
    <row r="497" spans="13:19">
      <c r="M497" s="93"/>
      <c r="P497" s="93"/>
      <c r="R497" s="93"/>
      <c r="S497" s="93"/>
    </row>
    <row r="498" spans="13:19">
      <c r="M498" s="93"/>
      <c r="P498" s="93"/>
      <c r="R498" s="93"/>
      <c r="S498" s="93"/>
    </row>
    <row r="499" spans="13:19">
      <c r="M499" s="93"/>
      <c r="P499" s="93"/>
      <c r="R499" s="93"/>
      <c r="S499" s="93"/>
    </row>
    <row r="500" spans="13:19">
      <c r="M500" s="93"/>
      <c r="P500" s="93"/>
      <c r="R500" s="93"/>
      <c r="S500" s="93"/>
    </row>
    <row r="501" spans="13:19">
      <c r="M501" s="93"/>
      <c r="P501" s="93"/>
      <c r="R501" s="93"/>
      <c r="S501" s="93"/>
    </row>
    <row r="502" spans="13:19">
      <c r="M502" s="93"/>
      <c r="P502" s="93"/>
      <c r="R502" s="93"/>
      <c r="S502" s="93"/>
    </row>
    <row r="503" spans="13:19">
      <c r="M503" s="93"/>
      <c r="P503" s="93"/>
      <c r="R503" s="93"/>
      <c r="S503" s="93"/>
    </row>
    <row r="504" spans="13:19">
      <c r="M504" s="93"/>
      <c r="P504" s="93"/>
      <c r="R504" s="93"/>
      <c r="S504" s="93"/>
    </row>
    <row r="505" spans="13:19">
      <c r="M505" s="93"/>
      <c r="P505" s="93"/>
      <c r="R505" s="93"/>
      <c r="S505" s="93"/>
    </row>
    <row r="506" spans="13:19">
      <c r="M506" s="93"/>
      <c r="P506" s="93"/>
      <c r="R506" s="93"/>
      <c r="S506" s="93"/>
    </row>
    <row r="507" spans="13:19">
      <c r="M507" s="93"/>
      <c r="P507" s="93"/>
      <c r="R507" s="93"/>
      <c r="S507" s="93"/>
    </row>
    <row r="508" spans="13:19">
      <c r="M508" s="93"/>
      <c r="P508" s="93"/>
      <c r="R508" s="93"/>
      <c r="S508" s="93"/>
    </row>
    <row r="509" spans="13:19">
      <c r="M509" s="93"/>
      <c r="P509" s="93"/>
      <c r="R509" s="93"/>
      <c r="S509" s="93"/>
    </row>
    <row r="510" spans="13:19">
      <c r="M510" s="93"/>
      <c r="P510" s="93"/>
      <c r="R510" s="93"/>
      <c r="S510" s="93"/>
    </row>
    <row r="511" spans="13:19">
      <c r="M511" s="93"/>
      <c r="P511" s="93"/>
      <c r="R511" s="93"/>
      <c r="S511" s="93"/>
    </row>
    <row r="512" spans="13:19">
      <c r="M512" s="93"/>
      <c r="P512" s="93"/>
      <c r="R512" s="93"/>
      <c r="S512" s="93"/>
    </row>
    <row r="513" spans="13:19">
      <c r="M513" s="93"/>
      <c r="P513" s="93"/>
      <c r="R513" s="93"/>
      <c r="S513" s="93"/>
    </row>
    <row r="514" spans="13:19">
      <c r="M514" s="93"/>
      <c r="P514" s="93"/>
      <c r="R514" s="93"/>
      <c r="S514" s="93"/>
    </row>
    <row r="515" spans="13:19">
      <c r="M515" s="93"/>
      <c r="P515" s="93"/>
      <c r="R515" s="93"/>
      <c r="S515" s="93"/>
    </row>
    <row r="516" spans="13:19">
      <c r="M516" s="93"/>
      <c r="P516" s="93"/>
      <c r="R516" s="93"/>
      <c r="S516" s="93"/>
    </row>
    <row r="517" spans="13:19">
      <c r="M517" s="93"/>
      <c r="P517" s="93"/>
      <c r="R517" s="93"/>
      <c r="S517" s="93"/>
    </row>
    <row r="518" spans="13:19">
      <c r="M518" s="93"/>
      <c r="P518" s="93"/>
      <c r="R518" s="93"/>
      <c r="S518" s="93"/>
    </row>
    <row r="519" spans="13:19">
      <c r="M519" s="93"/>
      <c r="P519" s="93"/>
      <c r="R519" s="93"/>
      <c r="S519" s="93"/>
    </row>
    <row r="520" spans="13:19">
      <c r="M520" s="93"/>
      <c r="P520" s="93"/>
      <c r="R520" s="93"/>
      <c r="S520" s="93"/>
    </row>
    <row r="521" spans="13:19">
      <c r="M521" s="93"/>
      <c r="P521" s="93"/>
      <c r="R521" s="93"/>
      <c r="S521" s="93"/>
    </row>
    <row r="522" spans="13:19">
      <c r="M522" s="93"/>
      <c r="P522" s="93"/>
      <c r="R522" s="93"/>
      <c r="S522" s="93"/>
    </row>
    <row r="523" spans="13:19">
      <c r="M523" s="93"/>
      <c r="P523" s="93"/>
      <c r="R523" s="93"/>
      <c r="S523" s="93"/>
    </row>
    <row r="524" spans="13:19">
      <c r="M524" s="93"/>
      <c r="P524" s="93"/>
      <c r="R524" s="93"/>
      <c r="S524" s="93"/>
    </row>
    <row r="525" spans="13:19">
      <c r="M525" s="93"/>
      <c r="P525" s="93"/>
      <c r="R525" s="93"/>
      <c r="S525" s="93"/>
    </row>
    <row r="526" spans="13:19">
      <c r="M526" s="93"/>
      <c r="P526" s="93"/>
      <c r="R526" s="93"/>
      <c r="S526" s="93"/>
    </row>
    <row r="527" spans="13:19">
      <c r="M527" s="93"/>
      <c r="P527" s="93"/>
      <c r="R527" s="93"/>
      <c r="S527" s="93"/>
    </row>
    <row r="528" spans="13:19">
      <c r="M528" s="93"/>
      <c r="P528" s="93"/>
      <c r="R528" s="93"/>
      <c r="S528" s="93"/>
    </row>
    <row r="529" spans="13:19">
      <c r="M529" s="93"/>
      <c r="P529" s="93"/>
      <c r="R529" s="93"/>
      <c r="S529" s="93"/>
    </row>
    <row r="530" spans="13:19">
      <c r="M530" s="93"/>
      <c r="P530" s="93"/>
      <c r="R530" s="93"/>
      <c r="S530" s="93"/>
    </row>
    <row r="531" spans="13:19">
      <c r="M531" s="93"/>
      <c r="P531" s="93"/>
      <c r="R531" s="93"/>
      <c r="S531" s="93"/>
    </row>
    <row r="532" spans="13:19">
      <c r="M532" s="93"/>
      <c r="P532" s="93"/>
      <c r="R532" s="93"/>
      <c r="S532" s="93"/>
    </row>
    <row r="533" spans="13:19">
      <c r="M533" s="93"/>
      <c r="P533" s="93"/>
      <c r="R533" s="93"/>
      <c r="S533" s="93"/>
    </row>
    <row r="534" spans="13:19">
      <c r="M534" s="93"/>
      <c r="P534" s="93"/>
      <c r="R534" s="93"/>
      <c r="S534" s="93"/>
    </row>
    <row r="535" spans="13:19">
      <c r="M535" s="93"/>
      <c r="P535" s="93"/>
      <c r="R535" s="93"/>
      <c r="S535" s="93"/>
    </row>
    <row r="536" spans="13:19">
      <c r="M536" s="93"/>
      <c r="P536" s="93"/>
      <c r="R536" s="93"/>
      <c r="S536" s="93"/>
    </row>
    <row r="537" spans="13:19">
      <c r="M537" s="93"/>
      <c r="P537" s="93"/>
      <c r="R537" s="93"/>
      <c r="S537" s="93"/>
    </row>
    <row r="538" spans="13:19">
      <c r="M538" s="93"/>
      <c r="P538" s="93"/>
      <c r="R538" s="93"/>
      <c r="S538" s="93"/>
    </row>
    <row r="539" spans="13:19">
      <c r="M539" s="93"/>
      <c r="P539" s="93"/>
      <c r="R539" s="93"/>
      <c r="S539" s="93"/>
    </row>
    <row r="540" spans="13:19">
      <c r="M540" s="93"/>
      <c r="P540" s="93"/>
      <c r="R540" s="93"/>
      <c r="S540" s="93"/>
    </row>
    <row r="541" spans="13:19">
      <c r="M541" s="93"/>
      <c r="P541" s="93"/>
      <c r="R541" s="93"/>
      <c r="S541" s="93"/>
    </row>
    <row r="542" spans="13:19">
      <c r="M542" s="93"/>
      <c r="P542" s="93"/>
      <c r="R542" s="93"/>
      <c r="S542" s="93"/>
    </row>
    <row r="543" spans="13:19">
      <c r="M543" s="93"/>
      <c r="P543" s="93"/>
      <c r="R543" s="93"/>
      <c r="S543" s="93"/>
    </row>
    <row r="544" spans="13:19">
      <c r="M544" s="93"/>
      <c r="P544" s="93"/>
      <c r="R544" s="93"/>
      <c r="S544" s="93"/>
    </row>
    <row r="545" spans="13:19">
      <c r="M545" s="93"/>
      <c r="P545" s="93"/>
      <c r="R545" s="93"/>
      <c r="S545" s="93"/>
    </row>
    <row r="546" spans="13:19">
      <c r="M546" s="93"/>
      <c r="P546" s="93"/>
      <c r="R546" s="93"/>
      <c r="S546" s="93"/>
    </row>
    <row r="547" spans="13:19">
      <c r="M547" s="93"/>
      <c r="P547" s="93"/>
      <c r="R547" s="93"/>
      <c r="S547" s="93"/>
    </row>
    <row r="548" spans="13:19">
      <c r="M548" s="93"/>
      <c r="P548" s="93"/>
      <c r="R548" s="93"/>
      <c r="S548" s="93"/>
    </row>
    <row r="549" spans="13:19">
      <c r="M549" s="93"/>
      <c r="P549" s="93"/>
      <c r="R549" s="93"/>
      <c r="S549" s="93"/>
    </row>
    <row r="550" spans="13:19">
      <c r="M550" s="93"/>
      <c r="P550" s="93"/>
      <c r="R550" s="93"/>
      <c r="S550" s="93"/>
    </row>
    <row r="551" spans="13:19">
      <c r="M551" s="93"/>
      <c r="P551" s="93"/>
      <c r="R551" s="93"/>
      <c r="S551" s="93"/>
    </row>
    <row r="552" spans="13:19">
      <c r="M552" s="93"/>
      <c r="P552" s="93"/>
      <c r="R552" s="93"/>
      <c r="S552" s="93"/>
    </row>
    <row r="553" spans="13:19">
      <c r="M553" s="93"/>
      <c r="P553" s="93"/>
      <c r="R553" s="93"/>
      <c r="S553" s="93"/>
    </row>
    <row r="554" spans="13:19">
      <c r="M554" s="93"/>
      <c r="P554" s="93"/>
      <c r="R554" s="93"/>
      <c r="S554" s="93"/>
    </row>
    <row r="555" spans="13:19">
      <c r="M555" s="93"/>
      <c r="P555" s="93"/>
      <c r="R555" s="93"/>
      <c r="S555" s="93"/>
    </row>
    <row r="556" spans="13:19">
      <c r="M556" s="93"/>
      <c r="P556" s="93"/>
      <c r="R556" s="93"/>
      <c r="S556" s="93"/>
    </row>
    <row r="557" spans="13:19">
      <c r="M557" s="93"/>
      <c r="P557" s="93"/>
      <c r="R557" s="93"/>
      <c r="S557" s="93"/>
    </row>
    <row r="558" spans="13:19">
      <c r="M558" s="93"/>
      <c r="P558" s="93"/>
      <c r="R558" s="93"/>
      <c r="S558" s="93"/>
    </row>
    <row r="559" spans="13:19">
      <c r="M559" s="93"/>
      <c r="P559" s="93"/>
      <c r="R559" s="93"/>
      <c r="S559" s="93"/>
    </row>
    <row r="560" spans="13:19">
      <c r="M560" s="93"/>
      <c r="P560" s="93"/>
      <c r="R560" s="93"/>
      <c r="S560" s="93"/>
    </row>
    <row r="561" spans="13:19">
      <c r="M561" s="93"/>
      <c r="P561" s="93"/>
      <c r="R561" s="93"/>
      <c r="S561" s="93"/>
    </row>
    <row r="562" spans="13:19">
      <c r="M562" s="93"/>
      <c r="P562" s="93"/>
      <c r="R562" s="93"/>
      <c r="S562" s="93"/>
    </row>
    <row r="563" spans="13:19">
      <c r="M563" s="93"/>
      <c r="P563" s="93"/>
      <c r="R563" s="93"/>
      <c r="S563" s="93"/>
    </row>
    <row r="564" spans="13:19">
      <c r="M564" s="93"/>
      <c r="P564" s="93"/>
      <c r="R564" s="93"/>
      <c r="S564" s="93"/>
    </row>
    <row r="565" spans="13:19">
      <c r="M565" s="93"/>
      <c r="P565" s="93"/>
      <c r="R565" s="93"/>
      <c r="S565" s="93"/>
    </row>
    <row r="566" spans="13:19">
      <c r="M566" s="93"/>
      <c r="P566" s="93"/>
      <c r="R566" s="93"/>
      <c r="S566" s="93"/>
    </row>
    <row r="567" spans="13:19">
      <c r="M567" s="93"/>
      <c r="P567" s="93"/>
      <c r="R567" s="93"/>
      <c r="S567" s="93"/>
    </row>
    <row r="568" spans="13:19">
      <c r="M568" s="93"/>
      <c r="P568" s="93"/>
      <c r="R568" s="93"/>
      <c r="S568" s="93"/>
    </row>
  </sheetData>
  <mergeCells count="28">
    <mergeCell ref="A59:S59"/>
    <mergeCell ref="A60:S60"/>
    <mergeCell ref="O4:O5"/>
    <mergeCell ref="P4:P5"/>
    <mergeCell ref="Q4:Q5"/>
    <mergeCell ref="A9:S9"/>
    <mergeCell ref="O6:S6"/>
    <mergeCell ref="A7:S7"/>
    <mergeCell ref="A8:S8"/>
    <mergeCell ref="R4:R5"/>
    <mergeCell ref="S4:S5"/>
    <mergeCell ref="A4:I6"/>
    <mergeCell ref="J4:M5"/>
    <mergeCell ref="N4:N6"/>
    <mergeCell ref="A110:S110"/>
    <mergeCell ref="A111:S111"/>
    <mergeCell ref="A161:S161"/>
    <mergeCell ref="A365:S365"/>
    <mergeCell ref="A366:S366"/>
    <mergeCell ref="A162:S162"/>
    <mergeCell ref="A416:S416"/>
    <mergeCell ref="A417:S417"/>
    <mergeCell ref="A212:S212"/>
    <mergeCell ref="A213:S213"/>
    <mergeCell ref="A263:S263"/>
    <mergeCell ref="A264:S264"/>
    <mergeCell ref="A314:S314"/>
    <mergeCell ref="A315:S315"/>
  </mergeCells>
  <hyperlinks>
    <hyperlink ref="A1:I1" location="Главная!A1" display="Вернуться на главную страницу" xr:uid="{00000000-0004-0000-1600-000000000000}"/>
    <hyperlink ref="A2" location="'Калькулятор теплоотдач ВК'!R1C1" display="Вернуться Калькулятор теплоотдач ВК" xr:uid="{00000000-0004-0000-1600-000001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25">
    <tabColor rgb="FFFFC000"/>
  </sheetPr>
  <dimension ref="A1:U568"/>
  <sheetViews>
    <sheetView zoomScale="70" zoomScaleNormal="70" workbookViewId="0">
      <pane ySplit="6" topLeftCell="A7" activePane="bottomLeft" state="frozen"/>
      <selection pane="bottomLeft" activeCell="A466" sqref="A466:XFD466"/>
    </sheetView>
  </sheetViews>
  <sheetFormatPr defaultRowHeight="15.75"/>
  <cols>
    <col min="1" max="1" width="3.7109375" style="7" customWidth="1"/>
    <col min="2" max="2" width="6" style="7" customWidth="1"/>
    <col min="3" max="3" width="3" style="7" customWidth="1"/>
    <col min="4" max="4" width="6" style="7" customWidth="1"/>
    <col min="5" max="5" width="3" style="7" customWidth="1"/>
    <col min="6" max="6" width="7.7109375" style="96" customWidth="1"/>
    <col min="7" max="7" width="3" style="7" customWidth="1"/>
    <col min="8" max="8" width="6" style="7" customWidth="1"/>
    <col min="9" max="9" width="4.5703125" style="7" customWidth="1"/>
    <col min="10" max="10" width="11.28515625" style="7" customWidth="1"/>
    <col min="11" max="12" width="11.28515625" style="96" customWidth="1"/>
    <col min="13" max="13" width="15.5703125" style="1" customWidth="1"/>
    <col min="14" max="14" width="19.140625" style="7" customWidth="1"/>
    <col min="15" max="15" width="27.7109375" style="122" customWidth="1"/>
    <col min="16" max="16" width="27.7109375" style="116" customWidth="1"/>
    <col min="17" max="17" width="26.28515625" style="117" customWidth="1"/>
    <col min="18" max="18" width="27.7109375" style="122" customWidth="1"/>
    <col min="19" max="19" width="27.7109375" style="117" customWidth="1"/>
    <col min="21" max="21" width="22.42578125" customWidth="1"/>
  </cols>
  <sheetData>
    <row r="1" spans="1:21" ht="16.5" customHeight="1">
      <c r="A1" s="1217" t="s">
        <v>9</v>
      </c>
      <c r="B1" s="1217"/>
      <c r="C1" s="1217"/>
      <c r="D1" s="1217"/>
      <c r="E1" s="1217"/>
      <c r="F1" s="97"/>
      <c r="G1" s="1217"/>
      <c r="H1" s="1217"/>
      <c r="I1" s="1217"/>
      <c r="M1" s="175"/>
      <c r="O1" s="117"/>
      <c r="P1" s="117"/>
      <c r="R1" s="117"/>
    </row>
    <row r="2" spans="1:21" s="74" customFormat="1" ht="16.5" customHeight="1">
      <c r="A2" s="956" t="s">
        <v>378</v>
      </c>
      <c r="B2" s="1217"/>
      <c r="C2" s="1217"/>
      <c r="D2" s="1217"/>
      <c r="E2" s="1217"/>
      <c r="F2" s="97"/>
      <c r="G2" s="1217"/>
      <c r="H2" s="1217"/>
      <c r="I2" s="1217"/>
      <c r="J2" s="7"/>
      <c r="K2" s="96"/>
      <c r="L2" s="96"/>
      <c r="M2" s="175"/>
      <c r="N2" s="7"/>
      <c r="O2" s="117"/>
      <c r="P2" s="117"/>
      <c r="Q2" s="117"/>
      <c r="R2" s="117"/>
      <c r="S2" s="117"/>
    </row>
    <row r="3" spans="1:21" s="74" customFormat="1" ht="13.5" customHeight="1" thickBot="1">
      <c r="A3" s="16"/>
      <c r="B3" s="16"/>
      <c r="C3" s="16"/>
      <c r="D3" s="16"/>
      <c r="E3" s="16"/>
      <c r="F3" s="109"/>
      <c r="G3" s="16"/>
      <c r="H3" s="16"/>
      <c r="I3" s="16"/>
      <c r="J3" s="16"/>
      <c r="K3" s="108"/>
      <c r="L3" s="108"/>
      <c r="M3" s="175"/>
      <c r="N3" s="7"/>
      <c r="O3" s="116"/>
      <c r="P3" s="116"/>
      <c r="Q3" s="117"/>
      <c r="R3" s="117"/>
      <c r="S3" s="117"/>
    </row>
    <row r="4" spans="1:21" s="74" customFormat="1" ht="69" customHeight="1">
      <c r="A4" s="2643" t="s">
        <v>8</v>
      </c>
      <c r="B4" s="2644"/>
      <c r="C4" s="2644"/>
      <c r="D4" s="2644"/>
      <c r="E4" s="2644"/>
      <c r="F4" s="2644"/>
      <c r="G4" s="2644"/>
      <c r="H4" s="2644"/>
      <c r="I4" s="2645"/>
      <c r="J4" s="2637" t="s">
        <v>97</v>
      </c>
      <c r="K4" s="2638"/>
      <c r="L4" s="2638"/>
      <c r="M4" s="2639"/>
      <c r="N4" s="2652" t="s">
        <v>96</v>
      </c>
      <c r="O4" s="2655" t="s">
        <v>170</v>
      </c>
      <c r="P4" s="2617" t="s">
        <v>166</v>
      </c>
      <c r="Q4" s="2655" t="s">
        <v>171</v>
      </c>
      <c r="R4" s="2630" t="s">
        <v>460</v>
      </c>
      <c r="S4" s="2590" t="s">
        <v>461</v>
      </c>
    </row>
    <row r="5" spans="1:21" s="74" customFormat="1" ht="72.75" customHeight="1" thickBot="1">
      <c r="A5" s="2646"/>
      <c r="B5" s="2647"/>
      <c r="C5" s="2647"/>
      <c r="D5" s="2647"/>
      <c r="E5" s="2647"/>
      <c r="F5" s="2647"/>
      <c r="G5" s="2647"/>
      <c r="H5" s="2647"/>
      <c r="I5" s="2648"/>
      <c r="J5" s="2640"/>
      <c r="K5" s="2641"/>
      <c r="L5" s="2641"/>
      <c r="M5" s="2642"/>
      <c r="N5" s="2653"/>
      <c r="O5" s="2656"/>
      <c r="P5" s="2618"/>
      <c r="Q5" s="2656"/>
      <c r="R5" s="2631"/>
      <c r="S5" s="2591"/>
    </row>
    <row r="6" spans="1:21" s="74" customFormat="1" ht="61.5" customHeight="1" thickBot="1">
      <c r="A6" s="2649"/>
      <c r="B6" s="2650"/>
      <c r="C6" s="2650"/>
      <c r="D6" s="2650"/>
      <c r="E6" s="2650"/>
      <c r="F6" s="2650"/>
      <c r="G6" s="2650"/>
      <c r="H6" s="2650"/>
      <c r="I6" s="2651"/>
      <c r="J6" s="1223" t="s">
        <v>0</v>
      </c>
      <c r="K6" s="115" t="s">
        <v>1</v>
      </c>
      <c r="L6" s="115" t="s">
        <v>2</v>
      </c>
      <c r="M6" s="180" t="s">
        <v>94</v>
      </c>
      <c r="N6" s="2654"/>
      <c r="O6" s="2634" t="s">
        <v>169</v>
      </c>
      <c r="P6" s="2635"/>
      <c r="Q6" s="2635"/>
      <c r="R6" s="2635"/>
      <c r="S6" s="2636"/>
    </row>
    <row r="7" spans="1:21" s="74" customFormat="1" ht="22.5" customHeight="1" thickBot="1">
      <c r="A7" s="2580" t="s">
        <v>519</v>
      </c>
      <c r="B7" s="2581"/>
      <c r="C7" s="2581"/>
      <c r="D7" s="2581"/>
      <c r="E7" s="2581"/>
      <c r="F7" s="2581"/>
      <c r="G7" s="2581"/>
      <c r="H7" s="2581"/>
      <c r="I7" s="2581"/>
      <c r="J7" s="2581"/>
      <c r="K7" s="2581"/>
      <c r="L7" s="2581"/>
      <c r="M7" s="2581"/>
      <c r="N7" s="2581"/>
      <c r="O7" s="2581"/>
      <c r="P7" s="2581"/>
      <c r="Q7" s="2581"/>
      <c r="R7" s="2581"/>
      <c r="S7" s="2582"/>
    </row>
    <row r="8" spans="1:21" s="74" customFormat="1" ht="22.5" customHeight="1" thickBot="1">
      <c r="A8" s="2624" t="s">
        <v>69</v>
      </c>
      <c r="B8" s="2625"/>
      <c r="C8" s="2625"/>
      <c r="D8" s="2625"/>
      <c r="E8" s="2625"/>
      <c r="F8" s="2625"/>
      <c r="G8" s="2625"/>
      <c r="H8" s="2625"/>
      <c r="I8" s="2625"/>
      <c r="J8" s="2625"/>
      <c r="K8" s="2625"/>
      <c r="L8" s="2625"/>
      <c r="M8" s="2625"/>
      <c r="N8" s="2625"/>
      <c r="O8" s="2625"/>
      <c r="P8" s="2625"/>
      <c r="Q8" s="2625"/>
      <c r="R8" s="2625"/>
      <c r="S8" s="2626"/>
    </row>
    <row r="9" spans="1:21" s="74" customFormat="1" ht="16.5" customHeight="1" thickBot="1">
      <c r="A9" s="2583" t="s">
        <v>139</v>
      </c>
      <c r="B9" s="2584"/>
      <c r="C9" s="2584"/>
      <c r="D9" s="2584"/>
      <c r="E9" s="2584"/>
      <c r="F9" s="2584"/>
      <c r="G9" s="2584"/>
      <c r="H9" s="2584"/>
      <c r="I9" s="2584"/>
      <c r="J9" s="2584"/>
      <c r="K9" s="2584"/>
      <c r="L9" s="2584"/>
      <c r="M9" s="2584"/>
      <c r="N9" s="2584"/>
      <c r="O9" s="2584"/>
      <c r="P9" s="2584"/>
      <c r="Q9" s="2584"/>
      <c r="R9" s="2632"/>
      <c r="S9" s="2633"/>
    </row>
    <row r="10" spans="1:21" s="74" customFormat="1" ht="16.5" customHeight="1" thickBot="1">
      <c r="A10" s="47" t="s">
        <v>35</v>
      </c>
      <c r="B10" s="48">
        <f>J10</f>
        <v>150</v>
      </c>
      <c r="C10" s="48" t="s">
        <v>3</v>
      </c>
      <c r="D10" s="48">
        <f>K10</f>
        <v>160</v>
      </c>
      <c r="E10" s="48" t="s">
        <v>3</v>
      </c>
      <c r="F10" s="110">
        <f>L10</f>
        <v>600</v>
      </c>
      <c r="G10" s="48" t="s">
        <v>3</v>
      </c>
      <c r="H10" s="48">
        <v>4</v>
      </c>
      <c r="I10" s="49" t="s">
        <v>46</v>
      </c>
      <c r="J10" s="181">
        <v>150</v>
      </c>
      <c r="K10" s="168">
        <v>160</v>
      </c>
      <c r="L10" s="168">
        <v>600</v>
      </c>
      <c r="M10" s="201">
        <v>6.1993394580763157</v>
      </c>
      <c r="N10" s="144">
        <v>168.86699999999999</v>
      </c>
      <c r="O10" s="183">
        <v>12691.857182748416</v>
      </c>
      <c r="P10" s="183">
        <v>14982.532272895278</v>
      </c>
      <c r="Q10" s="309">
        <v>5867.7029602663515</v>
      </c>
      <c r="R10" s="312">
        <v>18559.560143014765</v>
      </c>
      <c r="S10" s="313">
        <v>20850.235233161628</v>
      </c>
      <c r="U10" s="7" t="s">
        <v>3362</v>
      </c>
    </row>
    <row r="11" spans="1:21" s="74" customFormat="1" ht="16.5" customHeight="1" thickBot="1">
      <c r="A11" s="50" t="s">
        <v>35</v>
      </c>
      <c r="B11" s="51">
        <f t="shared" ref="B11:B58" si="0">J11</f>
        <v>150</v>
      </c>
      <c r="C11" s="51" t="s">
        <v>3</v>
      </c>
      <c r="D11" s="51">
        <f t="shared" ref="D11:D58" si="1">K11</f>
        <v>160</v>
      </c>
      <c r="E11" s="51" t="s">
        <v>3</v>
      </c>
      <c r="F11" s="110">
        <f t="shared" ref="F11:F58" si="2">L11</f>
        <v>650</v>
      </c>
      <c r="G11" s="51" t="s">
        <v>3</v>
      </c>
      <c r="H11" s="48">
        <v>4</v>
      </c>
      <c r="I11" s="49" t="s">
        <v>46</v>
      </c>
      <c r="J11" s="184">
        <v>150</v>
      </c>
      <c r="K11" s="113">
        <v>160</v>
      </c>
      <c r="L11" s="113">
        <v>650</v>
      </c>
      <c r="M11" s="202">
        <v>6.657194001099473</v>
      </c>
      <c r="N11" s="87">
        <v>202.64039999999997</v>
      </c>
      <c r="O11" s="121">
        <v>13323.43385194489</v>
      </c>
      <c r="P11" s="121">
        <v>15781.534625361041</v>
      </c>
      <c r="Q11" s="310">
        <v>6177.3270434973019</v>
      </c>
      <c r="R11" s="314">
        <v>19500.760895442192</v>
      </c>
      <c r="S11" s="315">
        <v>21958.861668858342</v>
      </c>
      <c r="U11" s="7" t="s">
        <v>3363</v>
      </c>
    </row>
    <row r="12" spans="1:21" s="74" customFormat="1" ht="16.5" customHeight="1" thickBot="1">
      <c r="A12" s="50" t="s">
        <v>35</v>
      </c>
      <c r="B12" s="51">
        <f t="shared" si="0"/>
        <v>150</v>
      </c>
      <c r="C12" s="51" t="s">
        <v>3</v>
      </c>
      <c r="D12" s="51">
        <f t="shared" si="1"/>
        <v>160</v>
      </c>
      <c r="E12" s="51" t="s">
        <v>3</v>
      </c>
      <c r="F12" s="110">
        <f t="shared" si="2"/>
        <v>700</v>
      </c>
      <c r="G12" s="51" t="s">
        <v>3</v>
      </c>
      <c r="H12" s="48">
        <v>4</v>
      </c>
      <c r="I12" s="49" t="s">
        <v>46</v>
      </c>
      <c r="J12" s="184">
        <v>150</v>
      </c>
      <c r="K12" s="113">
        <v>160</v>
      </c>
      <c r="L12" s="113">
        <v>700</v>
      </c>
      <c r="M12" s="202">
        <v>7.1320885441226309</v>
      </c>
      <c r="N12" s="87">
        <v>236.41380000000001</v>
      </c>
      <c r="O12" s="121">
        <v>13955.010661534729</v>
      </c>
      <c r="P12" s="121">
        <v>16580.536837433443</v>
      </c>
      <c r="Q12" s="310">
        <v>6717.5327641181639</v>
      </c>
      <c r="R12" s="314">
        <v>20672.543425652893</v>
      </c>
      <c r="S12" s="315">
        <v>23298.069601551608</v>
      </c>
      <c r="U12" s="7" t="s">
        <v>3364</v>
      </c>
    </row>
    <row r="13" spans="1:21" s="74" customFormat="1" ht="16.5" customHeight="1" thickBot="1">
      <c r="A13" s="50" t="s">
        <v>35</v>
      </c>
      <c r="B13" s="51">
        <f t="shared" si="0"/>
        <v>150</v>
      </c>
      <c r="C13" s="51" t="s">
        <v>3</v>
      </c>
      <c r="D13" s="51">
        <f t="shared" si="1"/>
        <v>160</v>
      </c>
      <c r="E13" s="51" t="s">
        <v>3</v>
      </c>
      <c r="F13" s="110">
        <f t="shared" si="2"/>
        <v>750</v>
      </c>
      <c r="G13" s="51" t="s">
        <v>3</v>
      </c>
      <c r="H13" s="48">
        <v>4</v>
      </c>
      <c r="I13" s="49" t="s">
        <v>46</v>
      </c>
      <c r="J13" s="184">
        <v>150</v>
      </c>
      <c r="K13" s="113">
        <v>160</v>
      </c>
      <c r="L13" s="113">
        <v>750</v>
      </c>
      <c r="M13" s="202">
        <v>7.5899430871457891</v>
      </c>
      <c r="N13" s="87">
        <v>270.18720000000002</v>
      </c>
      <c r="O13" s="121">
        <v>14586.587330731203</v>
      </c>
      <c r="P13" s="121">
        <v>17379.539049505842</v>
      </c>
      <c r="Q13" s="310">
        <v>7027.1568473491143</v>
      </c>
      <c r="R13" s="314">
        <v>21613.744178080316</v>
      </c>
      <c r="S13" s="315">
        <v>24406.695896854955</v>
      </c>
      <c r="U13" s="7" t="s">
        <v>3365</v>
      </c>
    </row>
    <row r="14" spans="1:21" s="74" customFormat="1" ht="16.5" customHeight="1" thickBot="1">
      <c r="A14" s="50" t="s">
        <v>35</v>
      </c>
      <c r="B14" s="51">
        <f t="shared" si="0"/>
        <v>150</v>
      </c>
      <c r="C14" s="51" t="s">
        <v>3</v>
      </c>
      <c r="D14" s="51">
        <f t="shared" si="1"/>
        <v>160</v>
      </c>
      <c r="E14" s="51" t="s">
        <v>3</v>
      </c>
      <c r="F14" s="110">
        <f t="shared" si="2"/>
        <v>800</v>
      </c>
      <c r="G14" s="51" t="s">
        <v>3</v>
      </c>
      <c r="H14" s="48">
        <v>4</v>
      </c>
      <c r="I14" s="49" t="s">
        <v>46</v>
      </c>
      <c r="J14" s="184">
        <v>150</v>
      </c>
      <c r="K14" s="113">
        <v>160</v>
      </c>
      <c r="L14" s="113">
        <v>800</v>
      </c>
      <c r="M14" s="202">
        <v>8.0477976301689473</v>
      </c>
      <c r="N14" s="87">
        <v>303.9606</v>
      </c>
      <c r="O14" s="121">
        <v>15218.164140321041</v>
      </c>
      <c r="P14" s="121">
        <v>18178.541401971605</v>
      </c>
      <c r="Q14" s="310">
        <v>7336.7809305800638</v>
      </c>
      <c r="R14" s="314">
        <v>22554.945070901107</v>
      </c>
      <c r="S14" s="315">
        <v>25515.322332551666</v>
      </c>
      <c r="U14" s="7" t="s">
        <v>3366</v>
      </c>
    </row>
    <row r="15" spans="1:21" s="74" customFormat="1" ht="16.5" customHeight="1" thickBot="1">
      <c r="A15" s="50" t="s">
        <v>35</v>
      </c>
      <c r="B15" s="51">
        <f t="shared" si="0"/>
        <v>150</v>
      </c>
      <c r="C15" s="51" t="s">
        <v>3</v>
      </c>
      <c r="D15" s="51">
        <f t="shared" si="1"/>
        <v>160</v>
      </c>
      <c r="E15" s="51" t="s">
        <v>3</v>
      </c>
      <c r="F15" s="110">
        <f t="shared" si="2"/>
        <v>850</v>
      </c>
      <c r="G15" s="51" t="s">
        <v>3</v>
      </c>
      <c r="H15" s="48">
        <v>4</v>
      </c>
      <c r="I15" s="49" t="s">
        <v>46</v>
      </c>
      <c r="J15" s="184">
        <v>150</v>
      </c>
      <c r="K15" s="113">
        <v>160</v>
      </c>
      <c r="L15" s="113">
        <v>850</v>
      </c>
      <c r="M15" s="202">
        <v>8.5226921731921053</v>
      </c>
      <c r="N15" s="87">
        <v>337.73399999999998</v>
      </c>
      <c r="O15" s="121">
        <v>15849.740949910878</v>
      </c>
      <c r="P15" s="121">
        <v>18977.543614044003</v>
      </c>
      <c r="Q15" s="310">
        <v>7876.9867915942896</v>
      </c>
      <c r="R15" s="314">
        <v>23726.727741505169</v>
      </c>
      <c r="S15" s="315">
        <v>26854.530405638292</v>
      </c>
      <c r="U15" s="7" t="s">
        <v>3367</v>
      </c>
    </row>
    <row r="16" spans="1:21" s="74" customFormat="1" ht="16.5" customHeight="1" thickBot="1">
      <c r="A16" s="50" t="s">
        <v>35</v>
      </c>
      <c r="B16" s="51">
        <f t="shared" si="0"/>
        <v>150</v>
      </c>
      <c r="C16" s="51" t="s">
        <v>3</v>
      </c>
      <c r="D16" s="51">
        <f t="shared" si="1"/>
        <v>160</v>
      </c>
      <c r="E16" s="51" t="s">
        <v>3</v>
      </c>
      <c r="F16" s="110">
        <f t="shared" si="2"/>
        <v>900</v>
      </c>
      <c r="G16" s="51" t="s">
        <v>3</v>
      </c>
      <c r="H16" s="48">
        <v>4</v>
      </c>
      <c r="I16" s="49" t="s">
        <v>46</v>
      </c>
      <c r="J16" s="184">
        <v>150</v>
      </c>
      <c r="K16" s="113">
        <v>160</v>
      </c>
      <c r="L16" s="113">
        <v>900</v>
      </c>
      <c r="M16" s="202">
        <v>8.9805467162152635</v>
      </c>
      <c r="N16" s="87">
        <v>371.50739999999996</v>
      </c>
      <c r="O16" s="121">
        <v>16481.317619107354</v>
      </c>
      <c r="P16" s="121">
        <v>19776.545966509766</v>
      </c>
      <c r="Q16" s="310">
        <v>8186.6107344318762</v>
      </c>
      <c r="R16" s="314">
        <v>24667.928353539231</v>
      </c>
      <c r="S16" s="315">
        <v>27963.156700941643</v>
      </c>
      <c r="U16" s="7" t="s">
        <v>3368</v>
      </c>
    </row>
    <row r="17" spans="1:21" s="74" customFormat="1" ht="16.5" customHeight="1" thickBot="1">
      <c r="A17" s="50" t="s">
        <v>35</v>
      </c>
      <c r="B17" s="51">
        <f t="shared" si="0"/>
        <v>150</v>
      </c>
      <c r="C17" s="51" t="s">
        <v>3</v>
      </c>
      <c r="D17" s="51">
        <f t="shared" si="1"/>
        <v>160</v>
      </c>
      <c r="E17" s="51" t="s">
        <v>3</v>
      </c>
      <c r="F17" s="110">
        <f t="shared" si="2"/>
        <v>950</v>
      </c>
      <c r="G17" s="51" t="s">
        <v>3</v>
      </c>
      <c r="H17" s="48">
        <v>4</v>
      </c>
      <c r="I17" s="49" t="s">
        <v>46</v>
      </c>
      <c r="J17" s="184">
        <v>150</v>
      </c>
      <c r="K17" s="113">
        <v>160</v>
      </c>
      <c r="L17" s="113">
        <v>950</v>
      </c>
      <c r="M17" s="202">
        <v>9.4554412592384196</v>
      </c>
      <c r="N17" s="87">
        <v>405.28079999999994</v>
      </c>
      <c r="O17" s="121">
        <v>17112.894428697189</v>
      </c>
      <c r="P17" s="121">
        <v>20575.548178582168</v>
      </c>
      <c r="Q17" s="310">
        <v>8726.8165954461019</v>
      </c>
      <c r="R17" s="314">
        <v>25839.711024143289</v>
      </c>
      <c r="S17" s="315">
        <v>29302.364774028269</v>
      </c>
      <c r="U17" s="7" t="s">
        <v>3369</v>
      </c>
    </row>
    <row r="18" spans="1:21" s="74" customFormat="1" ht="16.5" customHeight="1" thickBot="1">
      <c r="A18" s="50" t="s">
        <v>35</v>
      </c>
      <c r="B18" s="51">
        <f t="shared" si="0"/>
        <v>150</v>
      </c>
      <c r="C18" s="51" t="s">
        <v>3</v>
      </c>
      <c r="D18" s="51">
        <f t="shared" si="1"/>
        <v>160</v>
      </c>
      <c r="E18" s="51" t="s">
        <v>3</v>
      </c>
      <c r="F18" s="110">
        <f t="shared" si="2"/>
        <v>1000</v>
      </c>
      <c r="G18" s="51" t="s">
        <v>3</v>
      </c>
      <c r="H18" s="48">
        <v>4</v>
      </c>
      <c r="I18" s="49" t="s">
        <v>46</v>
      </c>
      <c r="J18" s="184">
        <v>150</v>
      </c>
      <c r="K18" s="113">
        <v>160</v>
      </c>
      <c r="L18" s="113">
        <v>1000</v>
      </c>
      <c r="M18" s="202">
        <v>9.9132958022615796</v>
      </c>
      <c r="N18" s="87">
        <v>439.05419999999998</v>
      </c>
      <c r="O18" s="121">
        <v>17744.471097893667</v>
      </c>
      <c r="P18" s="121">
        <v>21374.550531047928</v>
      </c>
      <c r="Q18" s="310">
        <v>9036.4406786770523</v>
      </c>
      <c r="R18" s="314">
        <v>26780.91177657072</v>
      </c>
      <c r="S18" s="315">
        <v>30410.99120972498</v>
      </c>
      <c r="U18" s="7" t="s">
        <v>3370</v>
      </c>
    </row>
    <row r="19" spans="1:21" s="74" customFormat="1" ht="16.5" customHeight="1" thickBot="1">
      <c r="A19" s="50" t="s">
        <v>35</v>
      </c>
      <c r="B19" s="51">
        <f t="shared" si="0"/>
        <v>150</v>
      </c>
      <c r="C19" s="51" t="s">
        <v>3</v>
      </c>
      <c r="D19" s="51">
        <f t="shared" si="1"/>
        <v>160</v>
      </c>
      <c r="E19" s="51" t="s">
        <v>3</v>
      </c>
      <c r="F19" s="110">
        <f t="shared" si="2"/>
        <v>1050</v>
      </c>
      <c r="G19" s="51" t="s">
        <v>3</v>
      </c>
      <c r="H19" s="48">
        <v>4</v>
      </c>
      <c r="I19" s="49" t="s">
        <v>46</v>
      </c>
      <c r="J19" s="184">
        <v>150</v>
      </c>
      <c r="K19" s="113">
        <v>160</v>
      </c>
      <c r="L19" s="113">
        <v>1050</v>
      </c>
      <c r="M19" s="202">
        <v>10.388190345284738</v>
      </c>
      <c r="N19" s="87">
        <v>472.82760000000002</v>
      </c>
      <c r="O19" s="121">
        <v>18376.047907483502</v>
      </c>
      <c r="P19" s="121">
        <v>22173.55274312033</v>
      </c>
      <c r="Q19" s="310">
        <v>9576.6465396912772</v>
      </c>
      <c r="R19" s="314">
        <v>27952.694447174777</v>
      </c>
      <c r="S19" s="315">
        <v>31750.199282811605</v>
      </c>
      <c r="U19" s="7" t="s">
        <v>3371</v>
      </c>
    </row>
    <row r="20" spans="1:21" s="74" customFormat="1" ht="16.5" customHeight="1" thickBot="1">
      <c r="A20" s="47" t="s">
        <v>35</v>
      </c>
      <c r="B20" s="48">
        <f t="shared" si="0"/>
        <v>150</v>
      </c>
      <c r="C20" s="48" t="s">
        <v>3</v>
      </c>
      <c r="D20" s="48">
        <f t="shared" si="1"/>
        <v>160</v>
      </c>
      <c r="E20" s="48" t="s">
        <v>3</v>
      </c>
      <c r="F20" s="110">
        <f t="shared" si="2"/>
        <v>1100</v>
      </c>
      <c r="G20" s="48" t="s">
        <v>3</v>
      </c>
      <c r="H20" s="48">
        <v>4</v>
      </c>
      <c r="I20" s="49" t="s">
        <v>46</v>
      </c>
      <c r="J20" s="184">
        <v>150</v>
      </c>
      <c r="K20" s="113">
        <v>160</v>
      </c>
      <c r="L20" s="113">
        <v>1100</v>
      </c>
      <c r="M20" s="202">
        <v>10.846044888307894</v>
      </c>
      <c r="N20" s="87">
        <v>506.601</v>
      </c>
      <c r="O20" s="121">
        <v>19007.62471707334</v>
      </c>
      <c r="P20" s="121">
        <v>22972.555095586093</v>
      </c>
      <c r="Q20" s="310">
        <v>9886.2704825288656</v>
      </c>
      <c r="R20" s="314">
        <v>28893.895199602208</v>
      </c>
      <c r="S20" s="315">
        <v>32858.825578114956</v>
      </c>
      <c r="U20" s="7" t="s">
        <v>3372</v>
      </c>
    </row>
    <row r="21" spans="1:21" s="74" customFormat="1" ht="16.5" customHeight="1" thickBot="1">
      <c r="A21" s="50" t="s">
        <v>35</v>
      </c>
      <c r="B21" s="51">
        <f t="shared" si="0"/>
        <v>150</v>
      </c>
      <c r="C21" s="51" t="s">
        <v>3</v>
      </c>
      <c r="D21" s="51">
        <f t="shared" si="1"/>
        <v>160</v>
      </c>
      <c r="E21" s="51" t="s">
        <v>3</v>
      </c>
      <c r="F21" s="110">
        <f t="shared" si="2"/>
        <v>1150</v>
      </c>
      <c r="G21" s="51" t="s">
        <v>3</v>
      </c>
      <c r="H21" s="48">
        <v>4</v>
      </c>
      <c r="I21" s="49" t="s">
        <v>46</v>
      </c>
      <c r="J21" s="184">
        <v>150</v>
      </c>
      <c r="K21" s="113">
        <v>160</v>
      </c>
      <c r="L21" s="113">
        <v>1150</v>
      </c>
      <c r="M21" s="202">
        <v>11.303899431331054</v>
      </c>
      <c r="N21" s="87">
        <v>540.37440000000004</v>
      </c>
      <c r="O21" s="121">
        <v>19639.201386269815</v>
      </c>
      <c r="P21" s="121">
        <v>23771.557307658495</v>
      </c>
      <c r="Q21" s="310">
        <v>10195.894565759814</v>
      </c>
      <c r="R21" s="314">
        <v>29835.095952029631</v>
      </c>
      <c r="S21" s="315">
        <v>33967.451873418308</v>
      </c>
      <c r="U21" s="7" t="s">
        <v>3373</v>
      </c>
    </row>
    <row r="22" spans="1:21" s="74" customFormat="1" ht="16.5" customHeight="1" thickBot="1">
      <c r="A22" s="50" t="s">
        <v>35</v>
      </c>
      <c r="B22" s="51">
        <f t="shared" si="0"/>
        <v>150</v>
      </c>
      <c r="C22" s="51" t="s">
        <v>3</v>
      </c>
      <c r="D22" s="51">
        <f t="shared" si="1"/>
        <v>160</v>
      </c>
      <c r="E22" s="51" t="s">
        <v>3</v>
      </c>
      <c r="F22" s="110">
        <f t="shared" si="2"/>
        <v>1200</v>
      </c>
      <c r="G22" s="51" t="s">
        <v>3</v>
      </c>
      <c r="H22" s="48">
        <v>4</v>
      </c>
      <c r="I22" s="49" t="s">
        <v>46</v>
      </c>
      <c r="J22" s="184">
        <v>150</v>
      </c>
      <c r="K22" s="113">
        <v>160</v>
      </c>
      <c r="L22" s="113">
        <v>1200</v>
      </c>
      <c r="M22" s="202">
        <v>11.85729397435421</v>
      </c>
      <c r="N22" s="87">
        <v>574.14779999999996</v>
      </c>
      <c r="O22" s="121">
        <v>20343.871753751479</v>
      </c>
      <c r="P22" s="121">
        <v>24648.184975364216</v>
      </c>
      <c r="Q22" s="310">
        <v>10736.100426774039</v>
      </c>
      <c r="R22" s="314">
        <v>31079.972180525518</v>
      </c>
      <c r="S22" s="315">
        <v>35384.285402138252</v>
      </c>
      <c r="U22" s="7" t="s">
        <v>3374</v>
      </c>
    </row>
    <row r="23" spans="1:21" s="74" customFormat="1" ht="16.5" customHeight="1" thickBot="1">
      <c r="A23" s="50" t="s">
        <v>35</v>
      </c>
      <c r="B23" s="51">
        <f t="shared" si="0"/>
        <v>150</v>
      </c>
      <c r="C23" s="51" t="s">
        <v>3</v>
      </c>
      <c r="D23" s="51">
        <f t="shared" si="1"/>
        <v>160</v>
      </c>
      <c r="E23" s="51" t="s">
        <v>3</v>
      </c>
      <c r="F23" s="110">
        <f t="shared" si="2"/>
        <v>1250</v>
      </c>
      <c r="G23" s="51" t="s">
        <v>3</v>
      </c>
      <c r="H23" s="48">
        <v>4</v>
      </c>
      <c r="I23" s="49" t="s">
        <v>46</v>
      </c>
      <c r="J23" s="184">
        <v>150</v>
      </c>
      <c r="K23" s="113">
        <v>160</v>
      </c>
      <c r="L23" s="113">
        <v>1250</v>
      </c>
      <c r="M23" s="202">
        <v>12.315148517377366</v>
      </c>
      <c r="N23" s="87">
        <v>607.9212</v>
      </c>
      <c r="O23" s="121">
        <v>20975.448563341317</v>
      </c>
      <c r="P23" s="121">
        <v>25447.187327829983</v>
      </c>
      <c r="Q23" s="310">
        <v>11045.724510004989</v>
      </c>
      <c r="R23" s="314">
        <v>32021.173073346305</v>
      </c>
      <c r="S23" s="315">
        <v>36492.911837834974</v>
      </c>
      <c r="U23" s="7" t="s">
        <v>3375</v>
      </c>
    </row>
    <row r="24" spans="1:21" s="74" customFormat="1" ht="16.5" customHeight="1" thickBot="1">
      <c r="A24" s="50" t="s">
        <v>35</v>
      </c>
      <c r="B24" s="51">
        <f t="shared" si="0"/>
        <v>150</v>
      </c>
      <c r="C24" s="51" t="s">
        <v>3</v>
      </c>
      <c r="D24" s="51">
        <f t="shared" si="1"/>
        <v>160</v>
      </c>
      <c r="E24" s="51" t="s">
        <v>3</v>
      </c>
      <c r="F24" s="110">
        <f t="shared" si="2"/>
        <v>1300</v>
      </c>
      <c r="G24" s="51" t="s">
        <v>3</v>
      </c>
      <c r="H24" s="48">
        <v>4</v>
      </c>
      <c r="I24" s="49" t="s">
        <v>46</v>
      </c>
      <c r="J24" s="184">
        <v>150</v>
      </c>
      <c r="K24" s="113">
        <v>160</v>
      </c>
      <c r="L24" s="113">
        <v>1300</v>
      </c>
      <c r="M24" s="202">
        <v>12.790043060400524</v>
      </c>
      <c r="N24" s="87">
        <v>641.69459999999992</v>
      </c>
      <c r="O24" s="121">
        <v>21607.025372931155</v>
      </c>
      <c r="P24" s="121">
        <v>26246.189539902382</v>
      </c>
      <c r="Q24" s="310">
        <v>11585.930230625852</v>
      </c>
      <c r="R24" s="314">
        <v>33192.955603557006</v>
      </c>
      <c r="S24" s="315">
        <v>37832.119770528232</v>
      </c>
      <c r="U24" s="7" t="s">
        <v>3376</v>
      </c>
    </row>
    <row r="25" spans="1:21" s="74" customFormat="1" ht="16.5" customHeight="1" thickBot="1">
      <c r="A25" s="50" t="s">
        <v>35</v>
      </c>
      <c r="B25" s="51">
        <f t="shared" si="0"/>
        <v>150</v>
      </c>
      <c r="C25" s="51" t="s">
        <v>3</v>
      </c>
      <c r="D25" s="51">
        <f t="shared" si="1"/>
        <v>160</v>
      </c>
      <c r="E25" s="51" t="s">
        <v>3</v>
      </c>
      <c r="F25" s="110">
        <f t="shared" si="2"/>
        <v>1350</v>
      </c>
      <c r="G25" s="51" t="s">
        <v>3</v>
      </c>
      <c r="H25" s="48">
        <v>4</v>
      </c>
      <c r="I25" s="49" t="s">
        <v>46</v>
      </c>
      <c r="J25" s="184">
        <v>150</v>
      </c>
      <c r="K25" s="113">
        <v>160</v>
      </c>
      <c r="L25" s="113">
        <v>1350</v>
      </c>
      <c r="M25" s="202">
        <v>13.247897603423683</v>
      </c>
      <c r="N25" s="87">
        <v>675.46799999999996</v>
      </c>
      <c r="O25" s="121">
        <v>22238.60204212763</v>
      </c>
      <c r="P25" s="121">
        <v>27045.19175197478</v>
      </c>
      <c r="Q25" s="310">
        <v>11895.554313856801</v>
      </c>
      <c r="R25" s="314">
        <v>34134.156355984429</v>
      </c>
      <c r="S25" s="315">
        <v>38940.746065831583</v>
      </c>
      <c r="U25" s="7" t="s">
        <v>3377</v>
      </c>
    </row>
    <row r="26" spans="1:21" s="74" customFormat="1" ht="16.5" customHeight="1" thickBot="1">
      <c r="A26" s="50" t="s">
        <v>35</v>
      </c>
      <c r="B26" s="51">
        <f t="shared" si="0"/>
        <v>150</v>
      </c>
      <c r="C26" s="51" t="s">
        <v>3</v>
      </c>
      <c r="D26" s="51">
        <f t="shared" si="1"/>
        <v>160</v>
      </c>
      <c r="E26" s="51" t="s">
        <v>3</v>
      </c>
      <c r="F26" s="110">
        <f t="shared" si="2"/>
        <v>1400</v>
      </c>
      <c r="G26" s="51" t="s">
        <v>3</v>
      </c>
      <c r="H26" s="48">
        <v>4</v>
      </c>
      <c r="I26" s="49" t="s">
        <v>46</v>
      </c>
      <c r="J26" s="184">
        <v>150</v>
      </c>
      <c r="K26" s="113">
        <v>160</v>
      </c>
      <c r="L26" s="113">
        <v>1400</v>
      </c>
      <c r="M26" s="202">
        <v>13.722792146446842</v>
      </c>
      <c r="N26" s="87">
        <v>709.2414</v>
      </c>
      <c r="O26" s="121">
        <v>22870.178851717468</v>
      </c>
      <c r="P26" s="121">
        <v>27844.194104440543</v>
      </c>
      <c r="Q26" s="310">
        <v>12435.760174871028</v>
      </c>
      <c r="R26" s="314">
        <v>35305.939026588494</v>
      </c>
      <c r="S26" s="315">
        <v>40279.954279311569</v>
      </c>
      <c r="U26" s="7" t="s">
        <v>3378</v>
      </c>
    </row>
    <row r="27" spans="1:21" s="74" customFormat="1" ht="16.5" customHeight="1" thickBot="1">
      <c r="A27" s="50" t="s">
        <v>35</v>
      </c>
      <c r="B27" s="51">
        <f t="shared" si="0"/>
        <v>150</v>
      </c>
      <c r="C27" s="51" t="s">
        <v>3</v>
      </c>
      <c r="D27" s="51">
        <f t="shared" si="1"/>
        <v>160</v>
      </c>
      <c r="E27" s="51" t="s">
        <v>3</v>
      </c>
      <c r="F27" s="110">
        <f t="shared" si="2"/>
        <v>1450</v>
      </c>
      <c r="G27" s="51" t="s">
        <v>3</v>
      </c>
      <c r="H27" s="48">
        <v>4</v>
      </c>
      <c r="I27" s="49" t="s">
        <v>46</v>
      </c>
      <c r="J27" s="184">
        <v>150</v>
      </c>
      <c r="K27" s="113">
        <v>160</v>
      </c>
      <c r="L27" s="113">
        <v>1450</v>
      </c>
      <c r="M27" s="202">
        <v>14.180646689470001</v>
      </c>
      <c r="N27" s="87">
        <v>743.01479999999992</v>
      </c>
      <c r="O27" s="121">
        <v>23501.755520913943</v>
      </c>
      <c r="P27" s="121">
        <v>28643.196316512945</v>
      </c>
      <c r="Q27" s="310">
        <v>12745.384258101978</v>
      </c>
      <c r="R27" s="314">
        <v>36247.139779015924</v>
      </c>
      <c r="S27" s="315">
        <v>41388.580574614927</v>
      </c>
      <c r="U27" s="7" t="s">
        <v>3379</v>
      </c>
    </row>
    <row r="28" spans="1:21" s="74" customFormat="1" ht="16.5" customHeight="1" thickBot="1">
      <c r="A28" s="50" t="s">
        <v>35</v>
      </c>
      <c r="B28" s="51">
        <f t="shared" si="0"/>
        <v>150</v>
      </c>
      <c r="C28" s="51" t="s">
        <v>3</v>
      </c>
      <c r="D28" s="51">
        <f t="shared" si="1"/>
        <v>160</v>
      </c>
      <c r="E28" s="51" t="s">
        <v>3</v>
      </c>
      <c r="F28" s="110">
        <f t="shared" si="2"/>
        <v>1500</v>
      </c>
      <c r="G28" s="51" t="s">
        <v>3</v>
      </c>
      <c r="H28" s="48">
        <v>4</v>
      </c>
      <c r="I28" s="49" t="s">
        <v>46</v>
      </c>
      <c r="J28" s="184">
        <v>150</v>
      </c>
      <c r="K28" s="113">
        <v>160</v>
      </c>
      <c r="L28" s="113">
        <v>1500</v>
      </c>
      <c r="M28" s="202">
        <v>14.761013783253157</v>
      </c>
      <c r="N28" s="87">
        <v>776.78819999999996</v>
      </c>
      <c r="O28" s="121">
        <v>24634.874280665594</v>
      </c>
      <c r="P28" s="121">
        <v>29882.988339779258</v>
      </c>
      <c r="Q28" s="310">
        <v>13285.589978722841</v>
      </c>
      <c r="R28" s="314">
        <v>37920.464259388435</v>
      </c>
      <c r="S28" s="315">
        <v>43168.578318502099</v>
      </c>
      <c r="U28" s="7" t="s">
        <v>3380</v>
      </c>
    </row>
    <row r="29" spans="1:21" s="74" customFormat="1" ht="16.5" customHeight="1" thickBot="1">
      <c r="A29" s="50" t="s">
        <v>35</v>
      </c>
      <c r="B29" s="51">
        <f t="shared" si="0"/>
        <v>150</v>
      </c>
      <c r="C29" s="51" t="s">
        <v>3</v>
      </c>
      <c r="D29" s="51">
        <f t="shared" si="1"/>
        <v>160</v>
      </c>
      <c r="E29" s="51" t="s">
        <v>3</v>
      </c>
      <c r="F29" s="110">
        <f t="shared" si="2"/>
        <v>1550</v>
      </c>
      <c r="G29" s="51" t="s">
        <v>3</v>
      </c>
      <c r="H29" s="48">
        <v>4</v>
      </c>
      <c r="I29" s="49" t="s">
        <v>46</v>
      </c>
      <c r="J29" s="184">
        <v>150</v>
      </c>
      <c r="K29" s="113">
        <v>160</v>
      </c>
      <c r="L29" s="113">
        <v>1550</v>
      </c>
      <c r="M29" s="202">
        <v>15.218868326276315</v>
      </c>
      <c r="N29" s="87">
        <v>810.56159999999988</v>
      </c>
      <c r="O29" s="121">
        <v>25266.451090255432</v>
      </c>
      <c r="P29" s="121">
        <v>30681.990551851657</v>
      </c>
      <c r="Q29" s="310">
        <v>13595.214061953789</v>
      </c>
      <c r="R29" s="314">
        <v>38861.665152209222</v>
      </c>
      <c r="S29" s="315">
        <v>44277.204613805443</v>
      </c>
      <c r="U29" s="7" t="s">
        <v>3381</v>
      </c>
    </row>
    <row r="30" spans="1:21" s="74" customFormat="1" ht="16.5" customHeight="1" thickBot="1">
      <c r="A30" s="47" t="s">
        <v>35</v>
      </c>
      <c r="B30" s="48">
        <f t="shared" si="0"/>
        <v>150</v>
      </c>
      <c r="C30" s="48" t="s">
        <v>3</v>
      </c>
      <c r="D30" s="48">
        <f t="shared" si="1"/>
        <v>160</v>
      </c>
      <c r="E30" s="48" t="s">
        <v>3</v>
      </c>
      <c r="F30" s="110">
        <f t="shared" si="2"/>
        <v>1600</v>
      </c>
      <c r="G30" s="48" t="s">
        <v>3</v>
      </c>
      <c r="H30" s="48">
        <v>4</v>
      </c>
      <c r="I30" s="49" t="s">
        <v>46</v>
      </c>
      <c r="J30" s="184">
        <v>150</v>
      </c>
      <c r="K30" s="113">
        <v>160</v>
      </c>
      <c r="L30" s="113">
        <v>1600</v>
      </c>
      <c r="M30" s="202">
        <v>15.67672286929947</v>
      </c>
      <c r="N30" s="87">
        <v>844.33499999999992</v>
      </c>
      <c r="O30" s="121">
        <v>25898.027759451907</v>
      </c>
      <c r="P30" s="121">
        <v>31480.992904317416</v>
      </c>
      <c r="Q30" s="310">
        <v>13904.83814518474</v>
      </c>
      <c r="R30" s="314">
        <v>39802.865904636645</v>
      </c>
      <c r="S30" s="315">
        <v>45385.831049502158</v>
      </c>
      <c r="U30" s="7" t="s">
        <v>3382</v>
      </c>
    </row>
    <row r="31" spans="1:21" s="74" customFormat="1" ht="16.5" customHeight="1" thickBot="1">
      <c r="A31" s="50" t="s">
        <v>35</v>
      </c>
      <c r="B31" s="51">
        <f t="shared" si="0"/>
        <v>150</v>
      </c>
      <c r="C31" s="51" t="s">
        <v>3</v>
      </c>
      <c r="D31" s="51">
        <f t="shared" si="1"/>
        <v>160</v>
      </c>
      <c r="E31" s="51" t="s">
        <v>3</v>
      </c>
      <c r="F31" s="110">
        <f t="shared" si="2"/>
        <v>1650</v>
      </c>
      <c r="G31" s="51" t="s">
        <v>3</v>
      </c>
      <c r="H31" s="48">
        <v>4</v>
      </c>
      <c r="I31" s="49" t="s">
        <v>46</v>
      </c>
      <c r="J31" s="184">
        <v>150</v>
      </c>
      <c r="K31" s="113">
        <v>160</v>
      </c>
      <c r="L31" s="113">
        <v>1650</v>
      </c>
      <c r="M31" s="202">
        <v>16.151617412322633</v>
      </c>
      <c r="N31" s="87">
        <v>878.10839999999996</v>
      </c>
      <c r="O31" s="121">
        <v>26529.604569041745</v>
      </c>
      <c r="P31" s="121">
        <v>32279.995116389819</v>
      </c>
      <c r="Q31" s="310">
        <v>14445.044006198967</v>
      </c>
      <c r="R31" s="314">
        <v>40974.64857524071</v>
      </c>
      <c r="S31" s="315">
        <v>46725.039122588787</v>
      </c>
      <c r="U31" s="7" t="s">
        <v>3383</v>
      </c>
    </row>
    <row r="32" spans="1:21" s="74" customFormat="1" ht="16.5" customHeight="1" thickBot="1">
      <c r="A32" s="50" t="s">
        <v>35</v>
      </c>
      <c r="B32" s="51">
        <f t="shared" si="0"/>
        <v>150</v>
      </c>
      <c r="C32" s="51" t="s">
        <v>3</v>
      </c>
      <c r="D32" s="51">
        <f t="shared" si="1"/>
        <v>160</v>
      </c>
      <c r="E32" s="51" t="s">
        <v>3</v>
      </c>
      <c r="F32" s="110">
        <f t="shared" si="2"/>
        <v>1700</v>
      </c>
      <c r="G32" s="51" t="s">
        <v>3</v>
      </c>
      <c r="H32" s="48">
        <v>4</v>
      </c>
      <c r="I32" s="49" t="s">
        <v>46</v>
      </c>
      <c r="J32" s="184">
        <v>150</v>
      </c>
      <c r="K32" s="113">
        <v>160</v>
      </c>
      <c r="L32" s="113">
        <v>1700</v>
      </c>
      <c r="M32" s="202">
        <v>16.609471955345789</v>
      </c>
      <c r="N32" s="87">
        <v>911.8818</v>
      </c>
      <c r="O32" s="121">
        <v>27161.181378631583</v>
      </c>
      <c r="P32" s="121">
        <v>33078.997468855581</v>
      </c>
      <c r="Q32" s="310">
        <v>14754.667949036411</v>
      </c>
      <c r="R32" s="314">
        <v>41915.849327667995</v>
      </c>
      <c r="S32" s="315">
        <v>47833.665417891993</v>
      </c>
      <c r="U32" s="7" t="s">
        <v>3384</v>
      </c>
    </row>
    <row r="33" spans="1:21" s="74" customFormat="1" ht="16.5" customHeight="1" thickBot="1">
      <c r="A33" s="50" t="s">
        <v>35</v>
      </c>
      <c r="B33" s="51">
        <f t="shared" si="0"/>
        <v>150</v>
      </c>
      <c r="C33" s="51" t="s">
        <v>3</v>
      </c>
      <c r="D33" s="51">
        <f t="shared" si="1"/>
        <v>160</v>
      </c>
      <c r="E33" s="51" t="s">
        <v>3</v>
      </c>
      <c r="F33" s="110">
        <f t="shared" si="2"/>
        <v>1750</v>
      </c>
      <c r="G33" s="51" t="s">
        <v>3</v>
      </c>
      <c r="H33" s="48">
        <v>4</v>
      </c>
      <c r="I33" s="49" t="s">
        <v>46</v>
      </c>
      <c r="J33" s="184">
        <v>150</v>
      </c>
      <c r="K33" s="113">
        <v>160</v>
      </c>
      <c r="L33" s="113">
        <v>1750</v>
      </c>
      <c r="M33" s="202">
        <v>17.084366498368947</v>
      </c>
      <c r="N33" s="87">
        <v>945.65520000000004</v>
      </c>
      <c r="O33" s="121">
        <v>27792.758047828058</v>
      </c>
      <c r="P33" s="121">
        <v>33877.999680927984</v>
      </c>
      <c r="Q33" s="310">
        <v>15294.87381005078</v>
      </c>
      <c r="R33" s="314">
        <v>43087.631857878834</v>
      </c>
      <c r="S33" s="315">
        <v>49172.87349097876</v>
      </c>
      <c r="U33" s="7" t="s">
        <v>3385</v>
      </c>
    </row>
    <row r="34" spans="1:21" s="74" customFormat="1" ht="16.5" customHeight="1" thickBot="1">
      <c r="A34" s="50" t="s">
        <v>35</v>
      </c>
      <c r="B34" s="51">
        <f t="shared" si="0"/>
        <v>150</v>
      </c>
      <c r="C34" s="51" t="s">
        <v>3</v>
      </c>
      <c r="D34" s="51">
        <f t="shared" si="1"/>
        <v>160</v>
      </c>
      <c r="E34" s="51" t="s">
        <v>3</v>
      </c>
      <c r="F34" s="110">
        <f t="shared" si="2"/>
        <v>1800</v>
      </c>
      <c r="G34" s="51" t="s">
        <v>3</v>
      </c>
      <c r="H34" s="48">
        <v>4</v>
      </c>
      <c r="I34" s="49" t="s">
        <v>46</v>
      </c>
      <c r="J34" s="184">
        <v>150</v>
      </c>
      <c r="K34" s="113">
        <v>160</v>
      </c>
      <c r="L34" s="113">
        <v>1800</v>
      </c>
      <c r="M34" s="202">
        <v>17.542221041392104</v>
      </c>
      <c r="N34" s="87">
        <v>979.42859999999996</v>
      </c>
      <c r="O34" s="121">
        <v>28424.334857417896</v>
      </c>
      <c r="P34" s="121">
        <v>34677.001893000379</v>
      </c>
      <c r="Q34" s="310">
        <v>15604.497893281728</v>
      </c>
      <c r="R34" s="314">
        <v>44028.832750699628</v>
      </c>
      <c r="S34" s="315">
        <v>50281.499786282104</v>
      </c>
      <c r="U34" s="7" t="s">
        <v>3386</v>
      </c>
    </row>
    <row r="35" spans="1:21" s="74" customFormat="1" ht="16.5" customHeight="1" thickBot="1">
      <c r="A35" s="50" t="s">
        <v>35</v>
      </c>
      <c r="B35" s="51">
        <f t="shared" si="0"/>
        <v>150</v>
      </c>
      <c r="C35" s="51" t="s">
        <v>3</v>
      </c>
      <c r="D35" s="51">
        <f t="shared" si="1"/>
        <v>160</v>
      </c>
      <c r="E35" s="51" t="s">
        <v>3</v>
      </c>
      <c r="F35" s="110">
        <f t="shared" si="2"/>
        <v>1850</v>
      </c>
      <c r="G35" s="51" t="s">
        <v>3</v>
      </c>
      <c r="H35" s="48">
        <v>4</v>
      </c>
      <c r="I35" s="49" t="s">
        <v>46</v>
      </c>
      <c r="J35" s="184">
        <v>150</v>
      </c>
      <c r="K35" s="113">
        <v>160</v>
      </c>
      <c r="L35" s="113">
        <v>1850</v>
      </c>
      <c r="M35" s="202">
        <v>18.017115584415262</v>
      </c>
      <c r="N35" s="87">
        <v>1013.202</v>
      </c>
      <c r="O35" s="121">
        <v>29055.911526614371</v>
      </c>
      <c r="P35" s="121">
        <v>35476.004245466145</v>
      </c>
      <c r="Q35" s="310">
        <v>16144.703754295953</v>
      </c>
      <c r="R35" s="314">
        <v>45200.615280910322</v>
      </c>
      <c r="S35" s="315">
        <v>51620.707999762097</v>
      </c>
      <c r="U35" s="7" t="s">
        <v>3387</v>
      </c>
    </row>
    <row r="36" spans="1:21" s="74" customFormat="1" ht="16.5" customHeight="1" thickBot="1">
      <c r="A36" s="50" t="s">
        <v>35</v>
      </c>
      <c r="B36" s="51">
        <f t="shared" si="0"/>
        <v>150</v>
      </c>
      <c r="C36" s="51" t="s">
        <v>3</v>
      </c>
      <c r="D36" s="51">
        <f t="shared" si="1"/>
        <v>160</v>
      </c>
      <c r="E36" s="51" t="s">
        <v>3</v>
      </c>
      <c r="F36" s="110">
        <f t="shared" si="2"/>
        <v>1900</v>
      </c>
      <c r="G36" s="51" t="s">
        <v>3</v>
      </c>
      <c r="H36" s="48">
        <v>4</v>
      </c>
      <c r="I36" s="49" t="s">
        <v>46</v>
      </c>
      <c r="J36" s="184">
        <v>150</v>
      </c>
      <c r="K36" s="113">
        <v>160</v>
      </c>
      <c r="L36" s="113">
        <v>1900</v>
      </c>
      <c r="M36" s="202">
        <v>18.474970127438418</v>
      </c>
      <c r="N36" s="87">
        <v>1046.9754</v>
      </c>
      <c r="O36" s="121">
        <v>29687.488336204206</v>
      </c>
      <c r="P36" s="121">
        <v>36275.006457538548</v>
      </c>
      <c r="Q36" s="310">
        <v>16454.32769713354</v>
      </c>
      <c r="R36" s="314">
        <v>46141.816033337745</v>
      </c>
      <c r="S36" s="315">
        <v>52729.334154672091</v>
      </c>
      <c r="U36" s="7" t="s">
        <v>3388</v>
      </c>
    </row>
    <row r="37" spans="1:21" s="74" customFormat="1" ht="16.5" customHeight="1" thickBot="1">
      <c r="A37" s="50" t="s">
        <v>35</v>
      </c>
      <c r="B37" s="51">
        <f t="shared" si="0"/>
        <v>150</v>
      </c>
      <c r="C37" s="51" t="s">
        <v>3</v>
      </c>
      <c r="D37" s="51">
        <f t="shared" si="1"/>
        <v>160</v>
      </c>
      <c r="E37" s="51" t="s">
        <v>3</v>
      </c>
      <c r="F37" s="110">
        <f t="shared" si="2"/>
        <v>1950</v>
      </c>
      <c r="G37" s="51" t="s">
        <v>3</v>
      </c>
      <c r="H37" s="48">
        <v>4</v>
      </c>
      <c r="I37" s="49" t="s">
        <v>46</v>
      </c>
      <c r="J37" s="184">
        <v>150</v>
      </c>
      <c r="K37" s="113">
        <v>160</v>
      </c>
      <c r="L37" s="113">
        <v>1950</v>
      </c>
      <c r="M37" s="202">
        <v>19.01132467046158</v>
      </c>
      <c r="N37" s="87">
        <v>1080.7488000000001</v>
      </c>
      <c r="O37" s="121">
        <v>30392.158703685873</v>
      </c>
      <c r="P37" s="121">
        <v>37151.634265637629</v>
      </c>
      <c r="Q37" s="310">
        <v>16763.951780364492</v>
      </c>
      <c r="R37" s="314">
        <v>47156.110484050369</v>
      </c>
      <c r="S37" s="315">
        <v>53915.586046002121</v>
      </c>
      <c r="U37" s="7" t="s">
        <v>3389</v>
      </c>
    </row>
    <row r="38" spans="1:21" s="74" customFormat="1" ht="16.5" customHeight="1" thickBot="1">
      <c r="A38" s="50" t="s">
        <v>35</v>
      </c>
      <c r="B38" s="51">
        <f t="shared" si="0"/>
        <v>150</v>
      </c>
      <c r="C38" s="51" t="s">
        <v>3</v>
      </c>
      <c r="D38" s="51">
        <f t="shared" si="1"/>
        <v>160</v>
      </c>
      <c r="E38" s="51" t="s">
        <v>3</v>
      </c>
      <c r="F38" s="110">
        <f t="shared" si="2"/>
        <v>2000</v>
      </c>
      <c r="G38" s="51" t="s">
        <v>3</v>
      </c>
      <c r="H38" s="48">
        <v>4</v>
      </c>
      <c r="I38" s="49" t="s">
        <v>46</v>
      </c>
      <c r="J38" s="184">
        <v>150</v>
      </c>
      <c r="K38" s="113">
        <v>160</v>
      </c>
      <c r="L38" s="113">
        <v>2000</v>
      </c>
      <c r="M38" s="202">
        <v>19.577781613484738</v>
      </c>
      <c r="N38" s="87">
        <v>1114.5221999999999</v>
      </c>
      <c r="O38" s="121">
        <v>31242.144624956782</v>
      </c>
      <c r="P38" s="121">
        <v>38263.31720522933</v>
      </c>
      <c r="Q38" s="310">
        <v>17304.157641378715</v>
      </c>
      <c r="R38" s="314">
        <v>48546.302266335493</v>
      </c>
      <c r="S38" s="315">
        <v>55567.474846608049</v>
      </c>
      <c r="U38" s="7" t="s">
        <v>3390</v>
      </c>
    </row>
    <row r="39" spans="1:21" s="74" customFormat="1" ht="16.5" customHeight="1" thickBot="1">
      <c r="A39" s="50" t="s">
        <v>35</v>
      </c>
      <c r="B39" s="51">
        <f t="shared" si="0"/>
        <v>150</v>
      </c>
      <c r="C39" s="51" t="s">
        <v>3</v>
      </c>
      <c r="D39" s="51">
        <f t="shared" si="1"/>
        <v>160</v>
      </c>
      <c r="E39" s="51" t="s">
        <v>3</v>
      </c>
      <c r="F39" s="110">
        <f t="shared" si="2"/>
        <v>2050</v>
      </c>
      <c r="G39" s="51" t="s">
        <v>3</v>
      </c>
      <c r="H39" s="48">
        <v>4</v>
      </c>
      <c r="I39" s="49" t="s">
        <v>46</v>
      </c>
      <c r="J39" s="184">
        <v>150</v>
      </c>
      <c r="K39" s="113">
        <v>160</v>
      </c>
      <c r="L39" s="113">
        <v>2050</v>
      </c>
      <c r="M39" s="202">
        <v>20.035636156507891</v>
      </c>
      <c r="N39" s="87">
        <v>1148.2955999999999</v>
      </c>
      <c r="O39" s="121">
        <v>31873.72143454662</v>
      </c>
      <c r="P39" s="121">
        <v>39062.319557695097</v>
      </c>
      <c r="Q39" s="310">
        <v>17613.781724609664</v>
      </c>
      <c r="R39" s="314">
        <v>49487.503159156287</v>
      </c>
      <c r="S39" s="315">
        <v>56676.101282304764</v>
      </c>
      <c r="U39" s="7" t="s">
        <v>3391</v>
      </c>
    </row>
    <row r="40" spans="1:21" s="74" customFormat="1" ht="16.5" customHeight="1" thickBot="1">
      <c r="A40" s="47" t="s">
        <v>35</v>
      </c>
      <c r="B40" s="48">
        <f t="shared" si="0"/>
        <v>150</v>
      </c>
      <c r="C40" s="48" t="s">
        <v>3</v>
      </c>
      <c r="D40" s="48">
        <f t="shared" si="1"/>
        <v>160</v>
      </c>
      <c r="E40" s="48" t="s">
        <v>3</v>
      </c>
      <c r="F40" s="110">
        <f t="shared" si="2"/>
        <v>2100</v>
      </c>
      <c r="G40" s="48" t="s">
        <v>3</v>
      </c>
      <c r="H40" s="48">
        <v>4</v>
      </c>
      <c r="I40" s="49" t="s">
        <v>46</v>
      </c>
      <c r="J40" s="184">
        <v>150</v>
      </c>
      <c r="K40" s="113">
        <v>160</v>
      </c>
      <c r="L40" s="113">
        <v>2100</v>
      </c>
      <c r="M40" s="202">
        <v>20.510530699531053</v>
      </c>
      <c r="N40" s="87">
        <v>1182.069</v>
      </c>
      <c r="O40" s="121">
        <v>32505.298103743095</v>
      </c>
      <c r="P40" s="121">
        <v>39861.321769767492</v>
      </c>
      <c r="Q40" s="310">
        <v>18153.98758562389</v>
      </c>
      <c r="R40" s="314">
        <v>50659.285689366981</v>
      </c>
      <c r="S40" s="315">
        <v>58015.309355391379</v>
      </c>
      <c r="U40" s="7" t="s">
        <v>3392</v>
      </c>
    </row>
    <row r="41" spans="1:21" s="74" customFormat="1" ht="16.5" customHeight="1" thickBot="1">
      <c r="A41" s="50" t="s">
        <v>35</v>
      </c>
      <c r="B41" s="51">
        <f t="shared" si="0"/>
        <v>150</v>
      </c>
      <c r="C41" s="51" t="s">
        <v>3</v>
      </c>
      <c r="D41" s="51">
        <f t="shared" si="1"/>
        <v>160</v>
      </c>
      <c r="E41" s="51" t="s">
        <v>3</v>
      </c>
      <c r="F41" s="110">
        <f t="shared" si="2"/>
        <v>2150</v>
      </c>
      <c r="G41" s="51" t="s">
        <v>3</v>
      </c>
      <c r="H41" s="48">
        <v>4</v>
      </c>
      <c r="I41" s="49" t="s">
        <v>46</v>
      </c>
      <c r="J41" s="184">
        <v>150</v>
      </c>
      <c r="K41" s="113">
        <v>160</v>
      </c>
      <c r="L41" s="113">
        <v>2150</v>
      </c>
      <c r="M41" s="202">
        <v>20.968385242554213</v>
      </c>
      <c r="N41" s="87">
        <v>1215.8424</v>
      </c>
      <c r="O41" s="121">
        <v>33136.874913332933</v>
      </c>
      <c r="P41" s="121">
        <v>40660.323981839894</v>
      </c>
      <c r="Q41" s="310">
        <v>18463.611528461479</v>
      </c>
      <c r="R41" s="314">
        <v>51600.486441794412</v>
      </c>
      <c r="S41" s="315">
        <v>59123.935510301373</v>
      </c>
      <c r="U41" s="7" t="s">
        <v>3393</v>
      </c>
    </row>
    <row r="42" spans="1:21" s="74" customFormat="1" ht="16.5" customHeight="1" thickBot="1">
      <c r="A42" s="50" t="s">
        <v>35</v>
      </c>
      <c r="B42" s="51">
        <f t="shared" si="0"/>
        <v>150</v>
      </c>
      <c r="C42" s="51" t="s">
        <v>3</v>
      </c>
      <c r="D42" s="51">
        <f t="shared" si="1"/>
        <v>160</v>
      </c>
      <c r="E42" s="51" t="s">
        <v>3</v>
      </c>
      <c r="F42" s="110">
        <f t="shared" si="2"/>
        <v>2200</v>
      </c>
      <c r="G42" s="51" t="s">
        <v>3</v>
      </c>
      <c r="H42" s="48">
        <v>4</v>
      </c>
      <c r="I42" s="49" t="s">
        <v>46</v>
      </c>
      <c r="J42" s="184">
        <v>150</v>
      </c>
      <c r="K42" s="113">
        <v>160</v>
      </c>
      <c r="L42" s="113">
        <v>2200</v>
      </c>
      <c r="M42" s="202">
        <v>21.443279785577374</v>
      </c>
      <c r="N42" s="87">
        <v>1249.6158</v>
      </c>
      <c r="O42" s="121">
        <v>33768.451722922771</v>
      </c>
      <c r="P42" s="121">
        <v>41459.326334305661</v>
      </c>
      <c r="Q42" s="310">
        <v>19003.817389475706</v>
      </c>
      <c r="R42" s="314">
        <v>52772.269112398477</v>
      </c>
      <c r="S42" s="315">
        <v>60463.143723781366</v>
      </c>
      <c r="U42" s="7" t="s">
        <v>3394</v>
      </c>
    </row>
    <row r="43" spans="1:21" s="74" customFormat="1" ht="16.5" customHeight="1" thickBot="1">
      <c r="A43" s="50" t="s">
        <v>35</v>
      </c>
      <c r="B43" s="51">
        <f t="shared" si="0"/>
        <v>150</v>
      </c>
      <c r="C43" s="51" t="s">
        <v>3</v>
      </c>
      <c r="D43" s="51">
        <f t="shared" si="1"/>
        <v>160</v>
      </c>
      <c r="E43" s="51" t="s">
        <v>3</v>
      </c>
      <c r="F43" s="110">
        <f t="shared" si="2"/>
        <v>2250</v>
      </c>
      <c r="G43" s="51" t="s">
        <v>3</v>
      </c>
      <c r="H43" s="48">
        <v>4</v>
      </c>
      <c r="I43" s="49" t="s">
        <v>46</v>
      </c>
      <c r="J43" s="184">
        <v>150</v>
      </c>
      <c r="K43" s="113">
        <v>160</v>
      </c>
      <c r="L43" s="113">
        <v>2250</v>
      </c>
      <c r="M43" s="202">
        <v>21.901134328600524</v>
      </c>
      <c r="N43" s="87">
        <v>1283.3891999999998</v>
      </c>
      <c r="O43" s="121">
        <v>34400.028392119246</v>
      </c>
      <c r="P43" s="121">
        <v>42258.328546378056</v>
      </c>
      <c r="Q43" s="310">
        <v>19313.441472706654</v>
      </c>
      <c r="R43" s="314">
        <v>53713.4698648259</v>
      </c>
      <c r="S43" s="315">
        <v>61571.77001908471</v>
      </c>
      <c r="U43" s="7" t="s">
        <v>3395</v>
      </c>
    </row>
    <row r="44" spans="1:21" s="74" customFormat="1" ht="16.5" customHeight="1" thickBot="1">
      <c r="A44" s="50" t="s">
        <v>35</v>
      </c>
      <c r="B44" s="51">
        <f t="shared" si="0"/>
        <v>150</v>
      </c>
      <c r="C44" s="51" t="s">
        <v>3</v>
      </c>
      <c r="D44" s="51">
        <f t="shared" si="1"/>
        <v>160</v>
      </c>
      <c r="E44" s="51" t="s">
        <v>3</v>
      </c>
      <c r="F44" s="110">
        <f t="shared" si="2"/>
        <v>2300</v>
      </c>
      <c r="G44" s="51" t="s">
        <v>3</v>
      </c>
      <c r="H44" s="48">
        <v>4</v>
      </c>
      <c r="I44" s="49" t="s">
        <v>46</v>
      </c>
      <c r="J44" s="184">
        <v>150</v>
      </c>
      <c r="K44" s="113">
        <v>160</v>
      </c>
      <c r="L44" s="113">
        <v>2300</v>
      </c>
      <c r="M44" s="202">
        <v>22.358988871623687</v>
      </c>
      <c r="N44" s="87">
        <v>1317.1626000000001</v>
      </c>
      <c r="O44" s="121">
        <v>35031.605201709084</v>
      </c>
      <c r="P44" s="121">
        <v>43057.330898843822</v>
      </c>
      <c r="Q44" s="310">
        <v>19623.065415544243</v>
      </c>
      <c r="R44" s="314">
        <v>54654.67061725333</v>
      </c>
      <c r="S44" s="315">
        <v>62680.396314388068</v>
      </c>
      <c r="U44" s="7" t="s">
        <v>3396</v>
      </c>
    </row>
    <row r="45" spans="1:21" s="74" customFormat="1" ht="16.5" customHeight="1" thickBot="1">
      <c r="A45" s="50" t="s">
        <v>35</v>
      </c>
      <c r="B45" s="51">
        <f t="shared" si="0"/>
        <v>150</v>
      </c>
      <c r="C45" s="51" t="s">
        <v>3</v>
      </c>
      <c r="D45" s="51">
        <f t="shared" si="1"/>
        <v>160</v>
      </c>
      <c r="E45" s="51" t="s">
        <v>3</v>
      </c>
      <c r="F45" s="110">
        <f t="shared" si="2"/>
        <v>2350</v>
      </c>
      <c r="G45" s="51" t="s">
        <v>3</v>
      </c>
      <c r="H45" s="48">
        <v>4</v>
      </c>
      <c r="I45" s="49" t="s">
        <v>46</v>
      </c>
      <c r="J45" s="184">
        <v>150</v>
      </c>
      <c r="K45" s="113">
        <v>160</v>
      </c>
      <c r="L45" s="113">
        <v>2350</v>
      </c>
      <c r="M45" s="202">
        <v>22.833883414646849</v>
      </c>
      <c r="N45" s="87">
        <v>1350.9359999999999</v>
      </c>
      <c r="O45" s="121">
        <v>35663.181870905559</v>
      </c>
      <c r="P45" s="121">
        <v>43856.333110916225</v>
      </c>
      <c r="Q45" s="310">
        <v>20163.271276558466</v>
      </c>
      <c r="R45" s="314">
        <v>55826.453147464024</v>
      </c>
      <c r="S45" s="315">
        <v>64019.60438747469</v>
      </c>
      <c r="U45" s="7" t="s">
        <v>3397</v>
      </c>
    </row>
    <row r="46" spans="1:21" s="74" customFormat="1" ht="16.5" customHeight="1" thickBot="1">
      <c r="A46" s="50" t="s">
        <v>35</v>
      </c>
      <c r="B46" s="51">
        <f t="shared" si="0"/>
        <v>150</v>
      </c>
      <c r="C46" s="51" t="s">
        <v>3</v>
      </c>
      <c r="D46" s="51">
        <f t="shared" si="1"/>
        <v>160</v>
      </c>
      <c r="E46" s="51" t="s">
        <v>3</v>
      </c>
      <c r="F46" s="110">
        <f t="shared" si="2"/>
        <v>2400</v>
      </c>
      <c r="G46" s="51" t="s">
        <v>3</v>
      </c>
      <c r="H46" s="48">
        <v>4</v>
      </c>
      <c r="I46" s="49" t="s">
        <v>46</v>
      </c>
      <c r="J46" s="184">
        <v>150</v>
      </c>
      <c r="K46" s="113">
        <v>160</v>
      </c>
      <c r="L46" s="113">
        <v>2400</v>
      </c>
      <c r="M46" s="202">
        <v>23.291737957669994</v>
      </c>
      <c r="N46" s="87">
        <v>1384.7094</v>
      </c>
      <c r="O46" s="121">
        <v>36294.758680495397</v>
      </c>
      <c r="P46" s="121">
        <v>44655.335463381984</v>
      </c>
      <c r="Q46" s="310">
        <v>20472.895359789418</v>
      </c>
      <c r="R46" s="314">
        <v>56767.654040284819</v>
      </c>
      <c r="S46" s="315">
        <v>65128.230823171398</v>
      </c>
      <c r="U46" s="7" t="s">
        <v>3398</v>
      </c>
    </row>
    <row r="47" spans="1:21" s="74" customFormat="1" ht="16.5" customHeight="1" thickBot="1">
      <c r="A47" s="50" t="s">
        <v>35</v>
      </c>
      <c r="B47" s="51">
        <f t="shared" si="0"/>
        <v>150</v>
      </c>
      <c r="C47" s="51" t="s">
        <v>3</v>
      </c>
      <c r="D47" s="51">
        <f t="shared" si="1"/>
        <v>160</v>
      </c>
      <c r="E47" s="51" t="s">
        <v>3</v>
      </c>
      <c r="F47" s="110">
        <f t="shared" si="2"/>
        <v>2450</v>
      </c>
      <c r="G47" s="51" t="s">
        <v>3</v>
      </c>
      <c r="H47" s="48">
        <v>4</v>
      </c>
      <c r="I47" s="49" t="s">
        <v>46</v>
      </c>
      <c r="J47" s="184">
        <v>150</v>
      </c>
      <c r="K47" s="113">
        <v>160</v>
      </c>
      <c r="L47" s="113">
        <v>2450</v>
      </c>
      <c r="M47" s="202">
        <v>23.872105051453158</v>
      </c>
      <c r="N47" s="87">
        <v>1418.4828</v>
      </c>
      <c r="O47" s="121">
        <v>37427.877440247044</v>
      </c>
      <c r="P47" s="121">
        <v>45895.127346254936</v>
      </c>
      <c r="Q47" s="310">
        <v>21013.101220803645</v>
      </c>
      <c r="R47" s="314">
        <v>58440.978661050685</v>
      </c>
      <c r="S47" s="315">
        <v>66908.228567058584</v>
      </c>
      <c r="U47" s="7" t="s">
        <v>3399</v>
      </c>
    </row>
    <row r="48" spans="1:21" s="74" customFormat="1" ht="16.5" customHeight="1" thickBot="1">
      <c r="A48" s="50" t="s">
        <v>35</v>
      </c>
      <c r="B48" s="51">
        <f t="shared" si="0"/>
        <v>150</v>
      </c>
      <c r="C48" s="51" t="s">
        <v>3</v>
      </c>
      <c r="D48" s="51">
        <f t="shared" si="1"/>
        <v>160</v>
      </c>
      <c r="E48" s="51" t="s">
        <v>3</v>
      </c>
      <c r="F48" s="110">
        <f t="shared" si="2"/>
        <v>2500</v>
      </c>
      <c r="G48" s="51" t="s">
        <v>3</v>
      </c>
      <c r="H48" s="48">
        <v>4</v>
      </c>
      <c r="I48" s="49" t="s">
        <v>46</v>
      </c>
      <c r="J48" s="184">
        <v>150</v>
      </c>
      <c r="K48" s="113">
        <v>160</v>
      </c>
      <c r="L48" s="113">
        <v>2500</v>
      </c>
      <c r="M48" s="202">
        <v>24.329959594476314</v>
      </c>
      <c r="N48" s="87">
        <v>1452.2562</v>
      </c>
      <c r="O48" s="121">
        <v>38059.454109443519</v>
      </c>
      <c r="P48" s="121">
        <v>46694.129698720695</v>
      </c>
      <c r="Q48" s="310">
        <v>21322.725304034593</v>
      </c>
      <c r="R48" s="314">
        <v>59382.179413478108</v>
      </c>
      <c r="S48" s="315">
        <v>68016.855002755285</v>
      </c>
      <c r="U48" s="7" t="s">
        <v>3400</v>
      </c>
    </row>
    <row r="49" spans="1:21" s="74" customFormat="1" ht="16.5" customHeight="1" thickBot="1">
      <c r="A49" s="50" t="s">
        <v>35</v>
      </c>
      <c r="B49" s="51">
        <f t="shared" si="0"/>
        <v>150</v>
      </c>
      <c r="C49" s="51" t="s">
        <v>3</v>
      </c>
      <c r="D49" s="51">
        <f t="shared" si="1"/>
        <v>160</v>
      </c>
      <c r="E49" s="51" t="s">
        <v>3</v>
      </c>
      <c r="F49" s="110">
        <f t="shared" si="2"/>
        <v>2550</v>
      </c>
      <c r="G49" s="51" t="s">
        <v>3</v>
      </c>
      <c r="H49" s="48">
        <v>4</v>
      </c>
      <c r="I49" s="49" t="s">
        <v>46</v>
      </c>
      <c r="J49" s="184">
        <v>150</v>
      </c>
      <c r="K49" s="113">
        <v>160</v>
      </c>
      <c r="L49" s="113">
        <v>2550</v>
      </c>
      <c r="M49" s="202">
        <v>24.804854137499472</v>
      </c>
      <c r="N49" s="87">
        <v>1486.0295999999998</v>
      </c>
      <c r="O49" s="121">
        <v>38691.030919033357</v>
      </c>
      <c r="P49" s="121">
        <v>47493.131910793098</v>
      </c>
      <c r="Q49" s="310">
        <v>21862.931024655456</v>
      </c>
      <c r="R49" s="314">
        <v>60553.961943688817</v>
      </c>
      <c r="S49" s="315">
        <v>69356.062935448557</v>
      </c>
      <c r="U49" s="7" t="s">
        <v>3401</v>
      </c>
    </row>
    <row r="50" spans="1:21" s="74" customFormat="1" ht="16.5" customHeight="1" thickBot="1">
      <c r="A50" s="47" t="s">
        <v>35</v>
      </c>
      <c r="B50" s="48">
        <f t="shared" si="0"/>
        <v>150</v>
      </c>
      <c r="C50" s="48" t="s">
        <v>3</v>
      </c>
      <c r="D50" s="48">
        <f t="shared" si="1"/>
        <v>160</v>
      </c>
      <c r="E50" s="48" t="s">
        <v>3</v>
      </c>
      <c r="F50" s="110">
        <f t="shared" si="2"/>
        <v>2600</v>
      </c>
      <c r="G50" s="48" t="s">
        <v>3</v>
      </c>
      <c r="H50" s="48">
        <v>4</v>
      </c>
      <c r="I50" s="49" t="s">
        <v>46</v>
      </c>
      <c r="J50" s="184">
        <v>150</v>
      </c>
      <c r="K50" s="113">
        <v>160</v>
      </c>
      <c r="L50" s="113">
        <v>2600</v>
      </c>
      <c r="M50" s="202">
        <v>25.262708680522636</v>
      </c>
      <c r="N50" s="87">
        <v>1519.8030000000001</v>
      </c>
      <c r="O50" s="121">
        <v>39322.607728623196</v>
      </c>
      <c r="P50" s="121">
        <v>48292.134122865493</v>
      </c>
      <c r="Q50" s="310">
        <v>22172.555107886405</v>
      </c>
      <c r="R50" s="314">
        <v>61495.162836509597</v>
      </c>
      <c r="S50" s="315">
        <v>70464.689230751901</v>
      </c>
      <c r="U50" s="7" t="s">
        <v>3402</v>
      </c>
    </row>
    <row r="51" spans="1:21" s="74" customFormat="1" ht="16.5" customHeight="1" thickBot="1">
      <c r="A51" s="50" t="s">
        <v>35</v>
      </c>
      <c r="B51" s="51">
        <f t="shared" si="0"/>
        <v>150</v>
      </c>
      <c r="C51" s="51" t="s">
        <v>3</v>
      </c>
      <c r="D51" s="51">
        <f t="shared" si="1"/>
        <v>160</v>
      </c>
      <c r="E51" s="51" t="s">
        <v>3</v>
      </c>
      <c r="F51" s="110">
        <f t="shared" si="2"/>
        <v>2650</v>
      </c>
      <c r="G51" s="51" t="s">
        <v>3</v>
      </c>
      <c r="H51" s="48">
        <v>4</v>
      </c>
      <c r="I51" s="49" t="s">
        <v>46</v>
      </c>
      <c r="J51" s="184">
        <v>150</v>
      </c>
      <c r="K51" s="113">
        <v>160</v>
      </c>
      <c r="L51" s="113">
        <v>2650</v>
      </c>
      <c r="M51" s="202">
        <v>25.737603223545793</v>
      </c>
      <c r="N51" s="87">
        <v>1553.5763999999999</v>
      </c>
      <c r="O51" s="121">
        <v>39954.18439781967</v>
      </c>
      <c r="P51" s="121">
        <v>49091.136475331259</v>
      </c>
      <c r="Q51" s="310">
        <v>22712.760968900628</v>
      </c>
      <c r="R51" s="314">
        <v>62666.945366720298</v>
      </c>
      <c r="S51" s="315">
        <v>71803.897444231887</v>
      </c>
      <c r="U51" s="7" t="s">
        <v>3403</v>
      </c>
    </row>
    <row r="52" spans="1:21" s="74" customFormat="1" ht="16.5" customHeight="1" thickBot="1">
      <c r="A52" s="50" t="s">
        <v>35</v>
      </c>
      <c r="B52" s="51">
        <f t="shared" si="0"/>
        <v>150</v>
      </c>
      <c r="C52" s="51" t="s">
        <v>3</v>
      </c>
      <c r="D52" s="51">
        <f t="shared" si="1"/>
        <v>160</v>
      </c>
      <c r="E52" s="51" t="s">
        <v>3</v>
      </c>
      <c r="F52" s="110">
        <f t="shared" si="2"/>
        <v>2700</v>
      </c>
      <c r="G52" s="51" t="s">
        <v>3</v>
      </c>
      <c r="H52" s="48">
        <v>4</v>
      </c>
      <c r="I52" s="49" t="s">
        <v>46</v>
      </c>
      <c r="J52" s="184">
        <v>150</v>
      </c>
      <c r="K52" s="113">
        <v>160</v>
      </c>
      <c r="L52" s="113">
        <v>2700</v>
      </c>
      <c r="M52" s="202">
        <v>26.273957766568955</v>
      </c>
      <c r="N52" s="87">
        <v>1587.3498</v>
      </c>
      <c r="O52" s="121">
        <v>40658.85476530133</v>
      </c>
      <c r="P52" s="121">
        <v>49967.764143036984</v>
      </c>
      <c r="Q52" s="310">
        <v>23022.385052131584</v>
      </c>
      <c r="R52" s="314">
        <v>63681.239817432914</v>
      </c>
      <c r="S52" s="315">
        <v>72990.149195168575</v>
      </c>
      <c r="U52" s="7" t="s">
        <v>3404</v>
      </c>
    </row>
    <row r="53" spans="1:21" s="74" customFormat="1" ht="16.5" customHeight="1" thickBot="1">
      <c r="A53" s="50" t="s">
        <v>35</v>
      </c>
      <c r="B53" s="51">
        <f t="shared" si="0"/>
        <v>150</v>
      </c>
      <c r="C53" s="51" t="s">
        <v>3</v>
      </c>
      <c r="D53" s="51">
        <f t="shared" si="1"/>
        <v>160</v>
      </c>
      <c r="E53" s="51" t="s">
        <v>3</v>
      </c>
      <c r="F53" s="110">
        <f t="shared" si="2"/>
        <v>2750</v>
      </c>
      <c r="G53" s="51" t="s">
        <v>3</v>
      </c>
      <c r="H53" s="48">
        <v>4</v>
      </c>
      <c r="I53" s="49" t="s">
        <v>46</v>
      </c>
      <c r="J53" s="184">
        <v>150</v>
      </c>
      <c r="K53" s="113">
        <v>160</v>
      </c>
      <c r="L53" s="113">
        <v>2750</v>
      </c>
      <c r="M53" s="202">
        <v>26.731812309592108</v>
      </c>
      <c r="N53" s="87">
        <v>1621.1231999999998</v>
      </c>
      <c r="O53" s="121">
        <v>41290.431574891169</v>
      </c>
      <c r="P53" s="121">
        <v>50766.766495502743</v>
      </c>
      <c r="Q53" s="310">
        <v>23332.008994969165</v>
      </c>
      <c r="R53" s="314">
        <v>64622.440569860337</v>
      </c>
      <c r="S53" s="315">
        <v>74098.775490471904</v>
      </c>
      <c r="U53" s="7" t="s">
        <v>3405</v>
      </c>
    </row>
    <row r="54" spans="1:21" s="74" customFormat="1" ht="16.5" customHeight="1" thickBot="1">
      <c r="A54" s="50" t="s">
        <v>35</v>
      </c>
      <c r="B54" s="51">
        <f t="shared" si="0"/>
        <v>150</v>
      </c>
      <c r="C54" s="51" t="s">
        <v>3</v>
      </c>
      <c r="D54" s="51">
        <f t="shared" si="1"/>
        <v>160</v>
      </c>
      <c r="E54" s="51" t="s">
        <v>3</v>
      </c>
      <c r="F54" s="110">
        <f t="shared" si="2"/>
        <v>2800</v>
      </c>
      <c r="G54" s="51" t="s">
        <v>3</v>
      </c>
      <c r="H54" s="48">
        <v>4</v>
      </c>
      <c r="I54" s="49" t="s">
        <v>46</v>
      </c>
      <c r="J54" s="184">
        <v>150</v>
      </c>
      <c r="K54" s="113">
        <v>160</v>
      </c>
      <c r="L54" s="113">
        <v>2800</v>
      </c>
      <c r="M54" s="202">
        <v>27.206706852615262</v>
      </c>
      <c r="N54" s="87">
        <v>1654.8966</v>
      </c>
      <c r="O54" s="121">
        <v>41922.008384481007</v>
      </c>
      <c r="P54" s="121">
        <v>51565.768707575153</v>
      </c>
      <c r="Q54" s="310">
        <v>23872.214855983391</v>
      </c>
      <c r="R54" s="314">
        <v>65794.223240464402</v>
      </c>
      <c r="S54" s="315">
        <v>75437.983563558548</v>
      </c>
      <c r="U54" s="7" t="s">
        <v>3406</v>
      </c>
    </row>
    <row r="55" spans="1:21" s="74" customFormat="1" ht="16.5" customHeight="1" thickBot="1">
      <c r="A55" s="50" t="s">
        <v>35</v>
      </c>
      <c r="B55" s="51">
        <f t="shared" si="0"/>
        <v>150</v>
      </c>
      <c r="C55" s="51" t="s">
        <v>3</v>
      </c>
      <c r="D55" s="51">
        <f t="shared" si="1"/>
        <v>160</v>
      </c>
      <c r="E55" s="51" t="s">
        <v>3</v>
      </c>
      <c r="F55" s="110">
        <f t="shared" si="2"/>
        <v>2850</v>
      </c>
      <c r="G55" s="51" t="s">
        <v>3</v>
      </c>
      <c r="H55" s="48">
        <v>4</v>
      </c>
      <c r="I55" s="49" t="s">
        <v>46</v>
      </c>
      <c r="J55" s="184">
        <v>150</v>
      </c>
      <c r="K55" s="113">
        <v>160</v>
      </c>
      <c r="L55" s="113">
        <v>2850</v>
      </c>
      <c r="M55" s="202">
        <v>27.664561395638422</v>
      </c>
      <c r="N55" s="87">
        <v>1688.6699999999998</v>
      </c>
      <c r="O55" s="121">
        <v>42553.585053677481</v>
      </c>
      <c r="P55" s="121">
        <v>52364.770919647548</v>
      </c>
      <c r="Q55" s="310">
        <v>24181.838939214344</v>
      </c>
      <c r="R55" s="314">
        <v>66735.423992891825</v>
      </c>
      <c r="S55" s="315">
        <v>76546.609858861892</v>
      </c>
      <c r="U55" s="7" t="s">
        <v>3407</v>
      </c>
    </row>
    <row r="56" spans="1:21" s="74" customFormat="1" ht="16.5" customHeight="1" thickBot="1">
      <c r="A56" s="50" t="s">
        <v>35</v>
      </c>
      <c r="B56" s="51">
        <f t="shared" si="0"/>
        <v>150</v>
      </c>
      <c r="C56" s="51" t="s">
        <v>3</v>
      </c>
      <c r="D56" s="51">
        <f t="shared" si="1"/>
        <v>160</v>
      </c>
      <c r="E56" s="51" t="s">
        <v>3</v>
      </c>
      <c r="F56" s="110">
        <f t="shared" si="2"/>
        <v>2900</v>
      </c>
      <c r="G56" s="51" t="s">
        <v>3</v>
      </c>
      <c r="H56" s="48">
        <v>4</v>
      </c>
      <c r="I56" s="49" t="s">
        <v>46</v>
      </c>
      <c r="J56" s="184">
        <v>150</v>
      </c>
      <c r="K56" s="113">
        <v>160</v>
      </c>
      <c r="L56" s="113">
        <v>2900</v>
      </c>
      <c r="M56" s="202">
        <v>28.139455938661577</v>
      </c>
      <c r="N56" s="87">
        <v>1722.4433999999999</v>
      </c>
      <c r="O56" s="121">
        <v>43185.16186326732</v>
      </c>
      <c r="P56" s="121">
        <v>53163.773272113307</v>
      </c>
      <c r="Q56" s="310">
        <v>24722.044800228567</v>
      </c>
      <c r="R56" s="314">
        <v>67907.20666349589</v>
      </c>
      <c r="S56" s="315">
        <v>77885.818072341877</v>
      </c>
      <c r="U56" s="7" t="s">
        <v>3408</v>
      </c>
    </row>
    <row r="57" spans="1:21" s="74" customFormat="1" ht="16.5" customHeight="1" thickBot="1">
      <c r="A57" s="50" t="s">
        <v>35</v>
      </c>
      <c r="B57" s="51">
        <f t="shared" si="0"/>
        <v>150</v>
      </c>
      <c r="C57" s="51" t="s">
        <v>3</v>
      </c>
      <c r="D57" s="51">
        <f t="shared" si="1"/>
        <v>160</v>
      </c>
      <c r="E57" s="51" t="s">
        <v>3</v>
      </c>
      <c r="F57" s="110">
        <f t="shared" si="2"/>
        <v>2950</v>
      </c>
      <c r="G57" s="51" t="s">
        <v>3</v>
      </c>
      <c r="H57" s="48">
        <v>4</v>
      </c>
      <c r="I57" s="49" t="s">
        <v>46</v>
      </c>
      <c r="J57" s="184">
        <v>150</v>
      </c>
      <c r="K57" s="113">
        <v>160</v>
      </c>
      <c r="L57" s="113">
        <v>2950</v>
      </c>
      <c r="M57" s="202">
        <v>28.597310481684737</v>
      </c>
      <c r="N57" s="87">
        <v>1756.2167999999999</v>
      </c>
      <c r="O57" s="121">
        <v>43816.738532463794</v>
      </c>
      <c r="P57" s="121">
        <v>53962.775484185717</v>
      </c>
      <c r="Q57" s="310">
        <v>25031.668743066155</v>
      </c>
      <c r="R57" s="314">
        <v>68848.407275529957</v>
      </c>
      <c r="S57" s="315">
        <v>78994.444227251865</v>
      </c>
      <c r="U57" s="7" t="s">
        <v>3409</v>
      </c>
    </row>
    <row r="58" spans="1:21" s="74" customFormat="1" ht="16.5" customHeight="1" thickBot="1">
      <c r="A58" s="52" t="s">
        <v>35</v>
      </c>
      <c r="B58" s="53">
        <f t="shared" si="0"/>
        <v>150</v>
      </c>
      <c r="C58" s="53" t="s">
        <v>3</v>
      </c>
      <c r="D58" s="53">
        <f t="shared" si="1"/>
        <v>160</v>
      </c>
      <c r="E58" s="53" t="s">
        <v>3</v>
      </c>
      <c r="F58" s="111">
        <f t="shared" si="2"/>
        <v>3000</v>
      </c>
      <c r="G58" s="53" t="s">
        <v>3</v>
      </c>
      <c r="H58" s="55">
        <v>4</v>
      </c>
      <c r="I58" s="54" t="s">
        <v>46</v>
      </c>
      <c r="J58" s="186">
        <v>150</v>
      </c>
      <c r="K58" s="157">
        <v>160</v>
      </c>
      <c r="L58" s="157">
        <v>3000</v>
      </c>
      <c r="M58" s="209">
        <v>29.072205024707895</v>
      </c>
      <c r="N58" s="148">
        <v>1789.9902</v>
      </c>
      <c r="O58" s="158">
        <v>45425.302643369039</v>
      </c>
      <c r="P58" s="158">
        <v>55799.338135004225</v>
      </c>
      <c r="Q58" s="311">
        <v>25571.874604080382</v>
      </c>
      <c r="R58" s="316">
        <v>70997.177247449421</v>
      </c>
      <c r="S58" s="317">
        <v>81371.212739084614</v>
      </c>
      <c r="U58" s="7" t="s">
        <v>3410</v>
      </c>
    </row>
    <row r="59" spans="1:21" ht="22.5" customHeight="1" thickBot="1">
      <c r="A59" s="2580" t="s">
        <v>520</v>
      </c>
      <c r="B59" s="2581"/>
      <c r="C59" s="2581"/>
      <c r="D59" s="2581"/>
      <c r="E59" s="2581"/>
      <c r="F59" s="2581"/>
      <c r="G59" s="2581"/>
      <c r="H59" s="2581"/>
      <c r="I59" s="2581"/>
      <c r="J59" s="2581"/>
      <c r="K59" s="2581"/>
      <c r="L59" s="2581"/>
      <c r="M59" s="2581"/>
      <c r="N59" s="2581"/>
      <c r="O59" s="2581"/>
      <c r="P59" s="2581"/>
      <c r="Q59" s="2581"/>
      <c r="R59" s="2657"/>
      <c r="S59" s="2658"/>
      <c r="U59" s="7"/>
    </row>
    <row r="60" spans="1:21" ht="16.5" customHeight="1" thickBot="1">
      <c r="A60" s="2583" t="s">
        <v>139</v>
      </c>
      <c r="B60" s="2584"/>
      <c r="C60" s="2584"/>
      <c r="D60" s="2584"/>
      <c r="E60" s="2584"/>
      <c r="F60" s="2584"/>
      <c r="G60" s="2584"/>
      <c r="H60" s="2584"/>
      <c r="I60" s="2584"/>
      <c r="J60" s="2584"/>
      <c r="K60" s="2584"/>
      <c r="L60" s="2584"/>
      <c r="M60" s="2584"/>
      <c r="N60" s="2584"/>
      <c r="O60" s="2584"/>
      <c r="P60" s="2584"/>
      <c r="Q60" s="2584"/>
      <c r="R60" s="2584"/>
      <c r="S60" s="2585"/>
      <c r="U60" s="7"/>
    </row>
    <row r="61" spans="1:21" ht="16.5" customHeight="1" thickBot="1">
      <c r="A61" s="47" t="s">
        <v>35</v>
      </c>
      <c r="B61" s="48">
        <f>J61</f>
        <v>150</v>
      </c>
      <c r="C61" s="48" t="s">
        <v>3</v>
      </c>
      <c r="D61" s="48">
        <f>K61</f>
        <v>200</v>
      </c>
      <c r="E61" s="48" t="s">
        <v>3</v>
      </c>
      <c r="F61" s="99">
        <f>L61</f>
        <v>600</v>
      </c>
      <c r="G61" s="48" t="s">
        <v>3</v>
      </c>
      <c r="H61" s="48">
        <v>4</v>
      </c>
      <c r="I61" s="49" t="s">
        <v>46</v>
      </c>
      <c r="J61" s="181">
        <v>150</v>
      </c>
      <c r="K61" s="143">
        <v>200</v>
      </c>
      <c r="L61" s="143">
        <v>600</v>
      </c>
      <c r="M61" s="201">
        <v>6.2413193860363165</v>
      </c>
      <c r="N61" s="144">
        <v>194.1</v>
      </c>
      <c r="O61" s="145">
        <v>13151.997832275791</v>
      </c>
      <c r="P61" s="188">
        <v>15639.891902328154</v>
      </c>
      <c r="Q61" s="169">
        <v>6535.0358533845019</v>
      </c>
      <c r="R61" s="312">
        <v>19687.033685660292</v>
      </c>
      <c r="S61" s="313">
        <v>22174.927755712655</v>
      </c>
      <c r="U61" s="7" t="s">
        <v>3411</v>
      </c>
    </row>
    <row r="62" spans="1:21" ht="16.5" customHeight="1" thickBot="1">
      <c r="A62" s="50" t="s">
        <v>35</v>
      </c>
      <c r="B62" s="51">
        <f t="shared" ref="B62:B109" si="3">J62</f>
        <v>150</v>
      </c>
      <c r="C62" s="51" t="s">
        <v>3</v>
      </c>
      <c r="D62" s="51">
        <f t="shared" ref="D62:D109" si="4">K62</f>
        <v>200</v>
      </c>
      <c r="E62" s="51" t="s">
        <v>3</v>
      </c>
      <c r="F62" s="99">
        <f t="shared" ref="F62:F109" si="5">L62</f>
        <v>650</v>
      </c>
      <c r="G62" s="51" t="s">
        <v>3</v>
      </c>
      <c r="H62" s="48">
        <v>4</v>
      </c>
      <c r="I62" s="49" t="s">
        <v>46</v>
      </c>
      <c r="J62" s="184">
        <v>150</v>
      </c>
      <c r="K62" s="75">
        <v>200</v>
      </c>
      <c r="L62" s="75">
        <v>650</v>
      </c>
      <c r="M62" s="202">
        <v>6.7018394860594732</v>
      </c>
      <c r="N62" s="87">
        <v>232.92</v>
      </c>
      <c r="O62" s="123">
        <v>13820.992421232491</v>
      </c>
      <c r="P62" s="119">
        <v>16471.726646548166</v>
      </c>
      <c r="Q62" s="120">
        <v>6893.4546325058636</v>
      </c>
      <c r="R62" s="314">
        <v>20714.447053738353</v>
      </c>
      <c r="S62" s="315">
        <v>23365.181279054028</v>
      </c>
      <c r="U62" s="7" t="s">
        <v>3412</v>
      </c>
    </row>
    <row r="63" spans="1:21" ht="16.5" customHeight="1" thickBot="1">
      <c r="A63" s="50" t="s">
        <v>35</v>
      </c>
      <c r="B63" s="51">
        <f t="shared" si="3"/>
        <v>150</v>
      </c>
      <c r="C63" s="51" t="s">
        <v>3</v>
      </c>
      <c r="D63" s="51">
        <f t="shared" si="4"/>
        <v>200</v>
      </c>
      <c r="E63" s="51" t="s">
        <v>3</v>
      </c>
      <c r="F63" s="99">
        <f t="shared" si="5"/>
        <v>700</v>
      </c>
      <c r="G63" s="51" t="s">
        <v>3</v>
      </c>
      <c r="H63" s="48">
        <v>4</v>
      </c>
      <c r="I63" s="49" t="s">
        <v>46</v>
      </c>
      <c r="J63" s="184">
        <v>150</v>
      </c>
      <c r="K63" s="75">
        <v>200</v>
      </c>
      <c r="L63" s="75">
        <v>700</v>
      </c>
      <c r="M63" s="202">
        <v>7.1793995860826314</v>
      </c>
      <c r="N63" s="87">
        <v>271.73999999999995</v>
      </c>
      <c r="O63" s="123">
        <v>14489.98686979583</v>
      </c>
      <c r="P63" s="119">
        <v>17303.56153116154</v>
      </c>
      <c r="Q63" s="120">
        <v>7482.4550490171396</v>
      </c>
      <c r="R63" s="314">
        <v>21972.441918812969</v>
      </c>
      <c r="S63" s="315">
        <v>24786.016580178679</v>
      </c>
      <c r="U63" s="7" t="s">
        <v>3413</v>
      </c>
    </row>
    <row r="64" spans="1:21" ht="16.5" customHeight="1" thickBot="1">
      <c r="A64" s="50" t="s">
        <v>35</v>
      </c>
      <c r="B64" s="51">
        <f t="shared" si="3"/>
        <v>150</v>
      </c>
      <c r="C64" s="51" t="s">
        <v>3</v>
      </c>
      <c r="D64" s="51">
        <f t="shared" si="4"/>
        <v>200</v>
      </c>
      <c r="E64" s="51" t="s">
        <v>3</v>
      </c>
      <c r="F64" s="99">
        <f t="shared" si="5"/>
        <v>750</v>
      </c>
      <c r="G64" s="51" t="s">
        <v>3</v>
      </c>
      <c r="H64" s="48">
        <v>4</v>
      </c>
      <c r="I64" s="49" t="s">
        <v>46</v>
      </c>
      <c r="J64" s="184">
        <v>150</v>
      </c>
      <c r="K64" s="75">
        <v>200</v>
      </c>
      <c r="L64" s="75">
        <v>750</v>
      </c>
      <c r="M64" s="202">
        <v>7.6399196861057899</v>
      </c>
      <c r="N64" s="87">
        <v>310.56</v>
      </c>
      <c r="O64" s="123">
        <v>15158.981318359165</v>
      </c>
      <c r="P64" s="119">
        <v>18135.396415774918</v>
      </c>
      <c r="Q64" s="120">
        <v>7840.8736877451383</v>
      </c>
      <c r="R64" s="314">
        <v>22999.855006104302</v>
      </c>
      <c r="S64" s="315">
        <v>25976.270103520055</v>
      </c>
      <c r="U64" s="7" t="s">
        <v>3414</v>
      </c>
    </row>
    <row r="65" spans="1:21" ht="16.5" customHeight="1" thickBot="1">
      <c r="A65" s="50" t="s">
        <v>35</v>
      </c>
      <c r="B65" s="51">
        <f t="shared" si="3"/>
        <v>150</v>
      </c>
      <c r="C65" s="51" t="s">
        <v>3</v>
      </c>
      <c r="D65" s="51">
        <f t="shared" si="4"/>
        <v>200</v>
      </c>
      <c r="E65" s="51" t="s">
        <v>3</v>
      </c>
      <c r="F65" s="99">
        <f t="shared" si="5"/>
        <v>800</v>
      </c>
      <c r="G65" s="51" t="s">
        <v>3</v>
      </c>
      <c r="H65" s="48">
        <v>4</v>
      </c>
      <c r="I65" s="49" t="s">
        <v>46</v>
      </c>
      <c r="J65" s="184">
        <v>150</v>
      </c>
      <c r="K65" s="75">
        <v>200</v>
      </c>
      <c r="L65" s="75">
        <v>800</v>
      </c>
      <c r="M65" s="202">
        <v>8.1004397861289483</v>
      </c>
      <c r="N65" s="87">
        <v>349.37999999999994</v>
      </c>
      <c r="O65" s="123">
        <v>15827.975766922504</v>
      </c>
      <c r="P65" s="119">
        <v>18967.231300388292</v>
      </c>
      <c r="Q65" s="120">
        <v>8199.2923264731398</v>
      </c>
      <c r="R65" s="314">
        <v>24027.268093395644</v>
      </c>
      <c r="S65" s="315">
        <v>27166.523626861432</v>
      </c>
      <c r="U65" s="7" t="s">
        <v>3415</v>
      </c>
    </row>
    <row r="66" spans="1:21" ht="16.5" customHeight="1" thickBot="1">
      <c r="A66" s="50" t="s">
        <v>35</v>
      </c>
      <c r="B66" s="51">
        <f t="shared" si="3"/>
        <v>150</v>
      </c>
      <c r="C66" s="51" t="s">
        <v>3</v>
      </c>
      <c r="D66" s="51">
        <f t="shared" si="4"/>
        <v>200</v>
      </c>
      <c r="E66" s="51" t="s">
        <v>3</v>
      </c>
      <c r="F66" s="99">
        <f t="shared" si="5"/>
        <v>850</v>
      </c>
      <c r="G66" s="51" t="s">
        <v>3</v>
      </c>
      <c r="H66" s="48">
        <v>4</v>
      </c>
      <c r="I66" s="49" t="s">
        <v>46</v>
      </c>
      <c r="J66" s="184">
        <v>150</v>
      </c>
      <c r="K66" s="75">
        <v>200</v>
      </c>
      <c r="L66" s="75">
        <v>850</v>
      </c>
      <c r="M66" s="202">
        <v>8.5779998861521047</v>
      </c>
      <c r="N66" s="87">
        <v>388.2</v>
      </c>
      <c r="O66" s="123">
        <v>16496.970215485839</v>
      </c>
      <c r="P66" s="119">
        <v>19799.066185001666</v>
      </c>
      <c r="Q66" s="120">
        <v>8788.2927429844149</v>
      </c>
      <c r="R66" s="314">
        <v>25285.262958470252</v>
      </c>
      <c r="S66" s="315">
        <v>28587.358927986083</v>
      </c>
      <c r="U66" s="7" t="s">
        <v>3416</v>
      </c>
    </row>
    <row r="67" spans="1:21" ht="16.5" customHeight="1" thickBot="1">
      <c r="A67" s="50" t="s">
        <v>35</v>
      </c>
      <c r="B67" s="51">
        <f t="shared" si="3"/>
        <v>150</v>
      </c>
      <c r="C67" s="51" t="s">
        <v>3</v>
      </c>
      <c r="D67" s="51">
        <f t="shared" si="4"/>
        <v>200</v>
      </c>
      <c r="E67" s="51" t="s">
        <v>3</v>
      </c>
      <c r="F67" s="99">
        <f t="shared" si="5"/>
        <v>900</v>
      </c>
      <c r="G67" s="51" t="s">
        <v>3</v>
      </c>
      <c r="H67" s="48">
        <v>4</v>
      </c>
      <c r="I67" s="49" t="s">
        <v>46</v>
      </c>
      <c r="J67" s="184">
        <v>150</v>
      </c>
      <c r="K67" s="75">
        <v>200</v>
      </c>
      <c r="L67" s="75">
        <v>900</v>
      </c>
      <c r="M67" s="202">
        <v>9.0385199861752632</v>
      </c>
      <c r="N67" s="87">
        <v>427.02000000000004</v>
      </c>
      <c r="O67" s="123">
        <v>17165.964664049177</v>
      </c>
      <c r="P67" s="119">
        <v>20630.90106961504</v>
      </c>
      <c r="Q67" s="120">
        <v>9146.7115221057775</v>
      </c>
      <c r="R67" s="314">
        <v>26312.676186154953</v>
      </c>
      <c r="S67" s="315">
        <v>29777.612591720819</v>
      </c>
      <c r="U67" s="7" t="s">
        <v>3417</v>
      </c>
    </row>
    <row r="68" spans="1:21" ht="16.5" customHeight="1" thickBot="1">
      <c r="A68" s="50" t="s">
        <v>35</v>
      </c>
      <c r="B68" s="51">
        <f t="shared" si="3"/>
        <v>150</v>
      </c>
      <c r="C68" s="51" t="s">
        <v>3</v>
      </c>
      <c r="D68" s="51">
        <f t="shared" si="4"/>
        <v>200</v>
      </c>
      <c r="E68" s="51" t="s">
        <v>3</v>
      </c>
      <c r="F68" s="99">
        <f t="shared" si="5"/>
        <v>950</v>
      </c>
      <c r="G68" s="51" t="s">
        <v>3</v>
      </c>
      <c r="H68" s="48">
        <v>4</v>
      </c>
      <c r="I68" s="49" t="s">
        <v>46</v>
      </c>
      <c r="J68" s="184">
        <v>150</v>
      </c>
      <c r="K68" s="75">
        <v>200</v>
      </c>
      <c r="L68" s="75">
        <v>950</v>
      </c>
      <c r="M68" s="202">
        <v>9.5160800861984214</v>
      </c>
      <c r="N68" s="87">
        <v>465.84</v>
      </c>
      <c r="O68" s="123">
        <v>17834.959112612516</v>
      </c>
      <c r="P68" s="119">
        <v>21462.735954228418</v>
      </c>
      <c r="Q68" s="120">
        <v>9735.7119386170507</v>
      </c>
      <c r="R68" s="314">
        <v>27570.671051229569</v>
      </c>
      <c r="S68" s="315">
        <v>31198.44789284547</v>
      </c>
      <c r="U68" s="7" t="s">
        <v>3418</v>
      </c>
    </row>
    <row r="69" spans="1:21" ht="16.5" customHeight="1" thickBot="1">
      <c r="A69" s="50" t="s">
        <v>35</v>
      </c>
      <c r="B69" s="51">
        <f t="shared" si="3"/>
        <v>150</v>
      </c>
      <c r="C69" s="51" t="s">
        <v>3</v>
      </c>
      <c r="D69" s="51">
        <f t="shared" si="4"/>
        <v>200</v>
      </c>
      <c r="E69" s="51" t="s">
        <v>3</v>
      </c>
      <c r="F69" s="99">
        <f t="shared" si="5"/>
        <v>1000</v>
      </c>
      <c r="G69" s="51" t="s">
        <v>3</v>
      </c>
      <c r="H69" s="48">
        <v>4</v>
      </c>
      <c r="I69" s="49" t="s">
        <v>46</v>
      </c>
      <c r="J69" s="184">
        <v>150</v>
      </c>
      <c r="K69" s="75">
        <v>200</v>
      </c>
      <c r="L69" s="75">
        <v>1000</v>
      </c>
      <c r="M69" s="202">
        <v>9.9766001862215798</v>
      </c>
      <c r="N69" s="87">
        <v>504.65999999999997</v>
      </c>
      <c r="O69" s="123">
        <v>18503.953561175855</v>
      </c>
      <c r="P69" s="119">
        <v>22294.570838841792</v>
      </c>
      <c r="Q69" s="120">
        <v>10094.130577345051</v>
      </c>
      <c r="R69" s="314">
        <v>28598.084138520906</v>
      </c>
      <c r="S69" s="315">
        <v>32388.701416186843</v>
      </c>
      <c r="U69" s="7" t="s">
        <v>3419</v>
      </c>
    </row>
    <row r="70" spans="1:21" ht="16.5" customHeight="1" thickBot="1">
      <c r="A70" s="50" t="s">
        <v>35</v>
      </c>
      <c r="B70" s="51">
        <f t="shared" si="3"/>
        <v>150</v>
      </c>
      <c r="C70" s="51" t="s">
        <v>3</v>
      </c>
      <c r="D70" s="51">
        <f t="shared" si="4"/>
        <v>200</v>
      </c>
      <c r="E70" s="51" t="s">
        <v>3</v>
      </c>
      <c r="F70" s="99">
        <f t="shared" si="5"/>
        <v>1050</v>
      </c>
      <c r="G70" s="51" t="s">
        <v>3</v>
      </c>
      <c r="H70" s="48">
        <v>4</v>
      </c>
      <c r="I70" s="49" t="s">
        <v>46</v>
      </c>
      <c r="J70" s="184">
        <v>150</v>
      </c>
      <c r="K70" s="75">
        <v>200</v>
      </c>
      <c r="L70" s="75">
        <v>1050</v>
      </c>
      <c r="M70" s="202">
        <v>10.454160286244736</v>
      </c>
      <c r="N70" s="87">
        <v>543.4799999999999</v>
      </c>
      <c r="O70" s="123">
        <v>19172.948009739193</v>
      </c>
      <c r="P70" s="119">
        <v>23126.405723455169</v>
      </c>
      <c r="Q70" s="120">
        <v>10683.130993856326</v>
      </c>
      <c r="R70" s="314">
        <v>29856.079003595521</v>
      </c>
      <c r="S70" s="315">
        <v>33809.536717311494</v>
      </c>
      <c r="U70" s="7" t="s">
        <v>3420</v>
      </c>
    </row>
    <row r="71" spans="1:21" ht="16.5" customHeight="1" thickBot="1">
      <c r="A71" s="47" t="s">
        <v>35</v>
      </c>
      <c r="B71" s="48">
        <f t="shared" si="3"/>
        <v>150</v>
      </c>
      <c r="C71" s="48" t="s">
        <v>3</v>
      </c>
      <c r="D71" s="48">
        <f t="shared" si="4"/>
        <v>200</v>
      </c>
      <c r="E71" s="48" t="s">
        <v>3</v>
      </c>
      <c r="F71" s="99">
        <f t="shared" si="5"/>
        <v>1100</v>
      </c>
      <c r="G71" s="48" t="s">
        <v>3</v>
      </c>
      <c r="H71" s="48">
        <v>4</v>
      </c>
      <c r="I71" s="49" t="s">
        <v>46</v>
      </c>
      <c r="J71" s="184">
        <v>150</v>
      </c>
      <c r="K71" s="75">
        <v>200</v>
      </c>
      <c r="L71" s="75">
        <v>1100</v>
      </c>
      <c r="M71" s="202">
        <v>10.914680386267893</v>
      </c>
      <c r="N71" s="87">
        <v>582.29999999999995</v>
      </c>
      <c r="O71" s="123">
        <v>19841.942458302528</v>
      </c>
      <c r="P71" s="119">
        <v>23958.240467675183</v>
      </c>
      <c r="Q71" s="120">
        <v>11041.549772977691</v>
      </c>
      <c r="R71" s="314">
        <v>30883.492231280219</v>
      </c>
      <c r="S71" s="315">
        <v>34999.790240652874</v>
      </c>
      <c r="U71" s="7" t="s">
        <v>3421</v>
      </c>
    </row>
    <row r="72" spans="1:21" ht="16.5" customHeight="1" thickBot="1">
      <c r="A72" s="50" t="s">
        <v>35</v>
      </c>
      <c r="B72" s="51">
        <f t="shared" si="3"/>
        <v>150</v>
      </c>
      <c r="C72" s="51" t="s">
        <v>3</v>
      </c>
      <c r="D72" s="51">
        <f t="shared" si="4"/>
        <v>200</v>
      </c>
      <c r="E72" s="51" t="s">
        <v>3</v>
      </c>
      <c r="F72" s="99">
        <f t="shared" si="5"/>
        <v>1150</v>
      </c>
      <c r="G72" s="51" t="s">
        <v>3</v>
      </c>
      <c r="H72" s="48">
        <v>4</v>
      </c>
      <c r="I72" s="49" t="s">
        <v>46</v>
      </c>
      <c r="J72" s="184">
        <v>150</v>
      </c>
      <c r="K72" s="75">
        <v>200</v>
      </c>
      <c r="L72" s="75">
        <v>1150</v>
      </c>
      <c r="M72" s="202">
        <v>11.375200486291053</v>
      </c>
      <c r="N72" s="87">
        <v>621.12</v>
      </c>
      <c r="O72" s="123">
        <v>20510.936906865867</v>
      </c>
      <c r="P72" s="119">
        <v>24790.075352288557</v>
      </c>
      <c r="Q72" s="120">
        <v>11399.96841170569</v>
      </c>
      <c r="R72" s="314">
        <v>31910.905318571557</v>
      </c>
      <c r="S72" s="315">
        <v>36190.043763994247</v>
      </c>
      <c r="U72" s="7" t="s">
        <v>3422</v>
      </c>
    </row>
    <row r="73" spans="1:21" ht="16.5" customHeight="1" thickBot="1">
      <c r="A73" s="50" t="s">
        <v>35</v>
      </c>
      <c r="B73" s="51">
        <f t="shared" si="3"/>
        <v>150</v>
      </c>
      <c r="C73" s="51" t="s">
        <v>3</v>
      </c>
      <c r="D73" s="51">
        <f t="shared" si="4"/>
        <v>200</v>
      </c>
      <c r="E73" s="51" t="s">
        <v>3</v>
      </c>
      <c r="F73" s="99">
        <f t="shared" si="5"/>
        <v>1200</v>
      </c>
      <c r="G73" s="51" t="s">
        <v>3</v>
      </c>
      <c r="H73" s="48">
        <v>4</v>
      </c>
      <c r="I73" s="49" t="s">
        <v>46</v>
      </c>
      <c r="J73" s="184">
        <v>150</v>
      </c>
      <c r="K73" s="75">
        <v>200</v>
      </c>
      <c r="L73" s="75">
        <v>1200</v>
      </c>
      <c r="M73" s="202">
        <v>11.93126058631421</v>
      </c>
      <c r="N73" s="87">
        <v>659.94</v>
      </c>
      <c r="O73" s="123">
        <v>21257.085650937981</v>
      </c>
      <c r="P73" s="119">
        <v>25699.535692535257</v>
      </c>
      <c r="Q73" s="120">
        <v>11988.968828216965</v>
      </c>
      <c r="R73" s="314">
        <v>33246.054479154947</v>
      </c>
      <c r="S73" s="315">
        <v>37688.50452075222</v>
      </c>
      <c r="U73" s="7" t="s">
        <v>3423</v>
      </c>
    </row>
    <row r="74" spans="1:21" ht="16.5" customHeight="1" thickBot="1">
      <c r="A74" s="50" t="s">
        <v>35</v>
      </c>
      <c r="B74" s="51">
        <f t="shared" si="3"/>
        <v>150</v>
      </c>
      <c r="C74" s="51" t="s">
        <v>3</v>
      </c>
      <c r="D74" s="51">
        <f t="shared" si="4"/>
        <v>200</v>
      </c>
      <c r="E74" s="51" t="s">
        <v>3</v>
      </c>
      <c r="F74" s="99">
        <f t="shared" si="5"/>
        <v>1250</v>
      </c>
      <c r="G74" s="51" t="s">
        <v>3</v>
      </c>
      <c r="H74" s="48">
        <v>4</v>
      </c>
      <c r="I74" s="49" t="s">
        <v>46</v>
      </c>
      <c r="J74" s="184">
        <v>150</v>
      </c>
      <c r="K74" s="75">
        <v>200</v>
      </c>
      <c r="L74" s="75">
        <v>1250</v>
      </c>
      <c r="M74" s="202">
        <v>12.391780686337366</v>
      </c>
      <c r="N74" s="87">
        <v>698.75999999999988</v>
      </c>
      <c r="O74" s="123">
        <v>21926.080099501316</v>
      </c>
      <c r="P74" s="119">
        <v>26531.370577148631</v>
      </c>
      <c r="Q74" s="120">
        <v>12347.387466944965</v>
      </c>
      <c r="R74" s="314">
        <v>34273.467566446285</v>
      </c>
      <c r="S74" s="315">
        <v>38878.7580440936</v>
      </c>
      <c r="U74" s="7" t="s">
        <v>3424</v>
      </c>
    </row>
    <row r="75" spans="1:21" ht="16.5" customHeight="1" thickBot="1">
      <c r="A75" s="50" t="s">
        <v>35</v>
      </c>
      <c r="B75" s="51">
        <f t="shared" si="3"/>
        <v>150</v>
      </c>
      <c r="C75" s="51" t="s">
        <v>3</v>
      </c>
      <c r="D75" s="51">
        <f t="shared" si="4"/>
        <v>200</v>
      </c>
      <c r="E75" s="51" t="s">
        <v>3</v>
      </c>
      <c r="F75" s="99">
        <f t="shared" si="5"/>
        <v>1300</v>
      </c>
      <c r="G75" s="51" t="s">
        <v>3</v>
      </c>
      <c r="H75" s="48">
        <v>4</v>
      </c>
      <c r="I75" s="49" t="s">
        <v>46</v>
      </c>
      <c r="J75" s="184">
        <v>150</v>
      </c>
      <c r="K75" s="75">
        <v>200</v>
      </c>
      <c r="L75" s="75">
        <v>1300</v>
      </c>
      <c r="M75" s="202">
        <v>12.869340786360526</v>
      </c>
      <c r="N75" s="87">
        <v>737.57999999999993</v>
      </c>
      <c r="O75" s="123">
        <v>22595.074548064655</v>
      </c>
      <c r="P75" s="119">
        <v>27363.205461762002</v>
      </c>
      <c r="Q75" s="120">
        <v>12936.38788345624</v>
      </c>
      <c r="R75" s="314">
        <v>35531.462431520893</v>
      </c>
      <c r="S75" s="315">
        <v>40299.593345218243</v>
      </c>
      <c r="U75" s="7" t="s">
        <v>3425</v>
      </c>
    </row>
    <row r="76" spans="1:21" ht="16.5" customHeight="1" thickBot="1">
      <c r="A76" s="50" t="s">
        <v>35</v>
      </c>
      <c r="B76" s="51">
        <f t="shared" si="3"/>
        <v>150</v>
      </c>
      <c r="C76" s="51" t="s">
        <v>3</v>
      </c>
      <c r="D76" s="51">
        <f t="shared" si="4"/>
        <v>200</v>
      </c>
      <c r="E76" s="51" t="s">
        <v>3</v>
      </c>
      <c r="F76" s="99">
        <f t="shared" si="5"/>
        <v>1350</v>
      </c>
      <c r="G76" s="51" t="s">
        <v>3</v>
      </c>
      <c r="H76" s="48">
        <v>4</v>
      </c>
      <c r="I76" s="49" t="s">
        <v>46</v>
      </c>
      <c r="J76" s="184">
        <v>150</v>
      </c>
      <c r="K76" s="75">
        <v>200</v>
      </c>
      <c r="L76" s="75">
        <v>1350</v>
      </c>
      <c r="M76" s="202">
        <v>13.329860886383685</v>
      </c>
      <c r="N76" s="87">
        <v>776.4</v>
      </c>
      <c r="O76" s="123">
        <v>23264.06899662799</v>
      </c>
      <c r="P76" s="119">
        <v>28195.040346375379</v>
      </c>
      <c r="Q76" s="120">
        <v>13294.806662577603</v>
      </c>
      <c r="R76" s="314">
        <v>36558.875659205594</v>
      </c>
      <c r="S76" s="315">
        <v>41489.84700895298</v>
      </c>
      <c r="U76" s="7" t="s">
        <v>3426</v>
      </c>
    </row>
    <row r="77" spans="1:21" ht="16.5" customHeight="1" thickBot="1">
      <c r="A77" s="50" t="s">
        <v>35</v>
      </c>
      <c r="B77" s="51">
        <f t="shared" si="3"/>
        <v>150</v>
      </c>
      <c r="C77" s="51" t="s">
        <v>3</v>
      </c>
      <c r="D77" s="51">
        <f t="shared" si="4"/>
        <v>200</v>
      </c>
      <c r="E77" s="51" t="s">
        <v>3</v>
      </c>
      <c r="F77" s="99">
        <f t="shared" si="5"/>
        <v>1400</v>
      </c>
      <c r="G77" s="51" t="s">
        <v>3</v>
      </c>
      <c r="H77" s="48">
        <v>4</v>
      </c>
      <c r="I77" s="49" t="s">
        <v>46</v>
      </c>
      <c r="J77" s="184">
        <v>150</v>
      </c>
      <c r="K77" s="75">
        <v>200</v>
      </c>
      <c r="L77" s="75">
        <v>1400</v>
      </c>
      <c r="M77" s="202">
        <v>13.807420986406843</v>
      </c>
      <c r="N77" s="87">
        <v>815.22</v>
      </c>
      <c r="O77" s="123">
        <v>23933.063445191332</v>
      </c>
      <c r="P77" s="119">
        <v>29026.875230988757</v>
      </c>
      <c r="Q77" s="120">
        <v>13883.807079088876</v>
      </c>
      <c r="R77" s="314">
        <v>37816.87052428021</v>
      </c>
      <c r="S77" s="315">
        <v>42910.682310077631</v>
      </c>
      <c r="U77" s="7" t="s">
        <v>3427</v>
      </c>
    </row>
    <row r="78" spans="1:21" ht="16.5" customHeight="1" thickBot="1">
      <c r="A78" s="50" t="s">
        <v>35</v>
      </c>
      <c r="B78" s="51">
        <f t="shared" si="3"/>
        <v>150</v>
      </c>
      <c r="C78" s="51" t="s">
        <v>3</v>
      </c>
      <c r="D78" s="51">
        <f t="shared" si="4"/>
        <v>200</v>
      </c>
      <c r="E78" s="51" t="s">
        <v>3</v>
      </c>
      <c r="F78" s="99">
        <f t="shared" si="5"/>
        <v>1450</v>
      </c>
      <c r="G78" s="51" t="s">
        <v>3</v>
      </c>
      <c r="H78" s="48">
        <v>4</v>
      </c>
      <c r="I78" s="49" t="s">
        <v>46</v>
      </c>
      <c r="J78" s="184">
        <v>150</v>
      </c>
      <c r="K78" s="75">
        <v>200</v>
      </c>
      <c r="L78" s="75">
        <v>1450</v>
      </c>
      <c r="M78" s="202">
        <v>14.267941086430003</v>
      </c>
      <c r="N78" s="87">
        <v>854.04000000000008</v>
      </c>
      <c r="O78" s="123">
        <v>24602.057893754667</v>
      </c>
      <c r="P78" s="119">
        <v>29858.709975208767</v>
      </c>
      <c r="Q78" s="120">
        <v>14242.225717816877</v>
      </c>
      <c r="R78" s="314">
        <v>38844.283611571547</v>
      </c>
      <c r="S78" s="315">
        <v>44100.935693025647</v>
      </c>
      <c r="U78" s="7" t="s">
        <v>3428</v>
      </c>
    </row>
    <row r="79" spans="1:21" ht="16.5" customHeight="1" thickBot="1">
      <c r="A79" s="50" t="s">
        <v>35</v>
      </c>
      <c r="B79" s="51">
        <f t="shared" si="3"/>
        <v>150</v>
      </c>
      <c r="C79" s="51" t="s">
        <v>3</v>
      </c>
      <c r="D79" s="51">
        <f t="shared" si="4"/>
        <v>200</v>
      </c>
      <c r="E79" s="51" t="s">
        <v>3</v>
      </c>
      <c r="F79" s="99">
        <f t="shared" si="5"/>
        <v>1500</v>
      </c>
      <c r="G79" s="51" t="s">
        <v>3</v>
      </c>
      <c r="H79" s="48">
        <v>4</v>
      </c>
      <c r="I79" s="49" t="s">
        <v>46</v>
      </c>
      <c r="J79" s="184">
        <v>150</v>
      </c>
      <c r="K79" s="75">
        <v>200</v>
      </c>
      <c r="L79" s="75">
        <v>1500</v>
      </c>
      <c r="M79" s="202">
        <v>14.852527308753157</v>
      </c>
      <c r="N79" s="87">
        <v>892.8599999999999</v>
      </c>
      <c r="O79" s="123">
        <v>25826.889038739533</v>
      </c>
      <c r="P79" s="119">
        <v>31183.857793434385</v>
      </c>
      <c r="Q79" s="120">
        <v>14831.226134328155</v>
      </c>
      <c r="R79" s="314">
        <v>40658.115173067687</v>
      </c>
      <c r="S79" s="315">
        <v>46015.083927762542</v>
      </c>
      <c r="U79" s="7" t="s">
        <v>3429</v>
      </c>
    </row>
    <row r="80" spans="1:21" ht="16.5" customHeight="1" thickBot="1">
      <c r="A80" s="50" t="s">
        <v>35</v>
      </c>
      <c r="B80" s="51">
        <f t="shared" si="3"/>
        <v>150</v>
      </c>
      <c r="C80" s="51" t="s">
        <v>3</v>
      </c>
      <c r="D80" s="51">
        <f t="shared" si="4"/>
        <v>200</v>
      </c>
      <c r="E80" s="51" t="s">
        <v>3</v>
      </c>
      <c r="F80" s="99">
        <f t="shared" si="5"/>
        <v>1550</v>
      </c>
      <c r="G80" s="51" t="s">
        <v>3</v>
      </c>
      <c r="H80" s="48">
        <v>4</v>
      </c>
      <c r="I80" s="49" t="s">
        <v>46</v>
      </c>
      <c r="J80" s="184">
        <v>150</v>
      </c>
      <c r="K80" s="75">
        <v>200</v>
      </c>
      <c r="L80" s="75">
        <v>1550</v>
      </c>
      <c r="M80" s="202">
        <v>15.313047408776313</v>
      </c>
      <c r="N80" s="87">
        <v>931.68</v>
      </c>
      <c r="O80" s="123">
        <v>26495.883487302868</v>
      </c>
      <c r="P80" s="119">
        <v>32015.692678047755</v>
      </c>
      <c r="Q80" s="120">
        <v>15189.644913449516</v>
      </c>
      <c r="R80" s="314">
        <v>41685.528400752388</v>
      </c>
      <c r="S80" s="315">
        <v>47205.337591497271</v>
      </c>
      <c r="U80" s="7" t="s">
        <v>3430</v>
      </c>
    </row>
    <row r="81" spans="1:21" ht="16.5" customHeight="1" thickBot="1">
      <c r="A81" s="47" t="s">
        <v>35</v>
      </c>
      <c r="B81" s="48">
        <f t="shared" si="3"/>
        <v>150</v>
      </c>
      <c r="C81" s="48" t="s">
        <v>3</v>
      </c>
      <c r="D81" s="48">
        <f t="shared" si="4"/>
        <v>200</v>
      </c>
      <c r="E81" s="48" t="s">
        <v>3</v>
      </c>
      <c r="F81" s="99">
        <f t="shared" si="5"/>
        <v>1600</v>
      </c>
      <c r="G81" s="48" t="s">
        <v>3</v>
      </c>
      <c r="H81" s="48">
        <v>4</v>
      </c>
      <c r="I81" s="49" t="s">
        <v>46</v>
      </c>
      <c r="J81" s="184">
        <v>150</v>
      </c>
      <c r="K81" s="75">
        <v>200</v>
      </c>
      <c r="L81" s="75">
        <v>1600</v>
      </c>
      <c r="M81" s="202">
        <v>15.773567508799472</v>
      </c>
      <c r="N81" s="87">
        <v>970.5</v>
      </c>
      <c r="O81" s="123">
        <v>27164.877935866203</v>
      </c>
      <c r="P81" s="119">
        <v>32847.527562661133</v>
      </c>
      <c r="Q81" s="120">
        <v>15548.063552177517</v>
      </c>
      <c r="R81" s="314">
        <v>42712.941488043718</v>
      </c>
      <c r="S81" s="315">
        <v>48395.591114838651</v>
      </c>
      <c r="U81" s="7" t="s">
        <v>3431</v>
      </c>
    </row>
    <row r="82" spans="1:21" ht="16.5" customHeight="1" thickBot="1">
      <c r="A82" s="50" t="s">
        <v>35</v>
      </c>
      <c r="B82" s="51">
        <f t="shared" si="3"/>
        <v>150</v>
      </c>
      <c r="C82" s="51" t="s">
        <v>3</v>
      </c>
      <c r="D82" s="51">
        <f t="shared" si="4"/>
        <v>200</v>
      </c>
      <c r="E82" s="51" t="s">
        <v>3</v>
      </c>
      <c r="F82" s="99">
        <f t="shared" si="5"/>
        <v>1650</v>
      </c>
      <c r="G82" s="51" t="s">
        <v>3</v>
      </c>
      <c r="H82" s="48">
        <v>4</v>
      </c>
      <c r="I82" s="49" t="s">
        <v>46</v>
      </c>
      <c r="J82" s="184">
        <v>150</v>
      </c>
      <c r="K82" s="75">
        <v>200</v>
      </c>
      <c r="L82" s="75">
        <v>1650</v>
      </c>
      <c r="M82" s="202">
        <v>16.251127608822632</v>
      </c>
      <c r="N82" s="87">
        <v>1009.3199999999999</v>
      </c>
      <c r="O82" s="123">
        <v>27833.872384429542</v>
      </c>
      <c r="P82" s="119">
        <v>33679.362447274507</v>
      </c>
      <c r="Q82" s="120">
        <v>16137.063968688792</v>
      </c>
      <c r="R82" s="314">
        <v>43970.936353118333</v>
      </c>
      <c r="S82" s="315">
        <v>49816.426415963302</v>
      </c>
      <c r="U82" s="7" t="s">
        <v>3432</v>
      </c>
    </row>
    <row r="83" spans="1:21" ht="16.5" customHeight="1" thickBot="1">
      <c r="A83" s="50" t="s">
        <v>35</v>
      </c>
      <c r="B83" s="51">
        <f t="shared" si="3"/>
        <v>150</v>
      </c>
      <c r="C83" s="51" t="s">
        <v>3</v>
      </c>
      <c r="D83" s="51">
        <f t="shared" si="4"/>
        <v>200</v>
      </c>
      <c r="E83" s="51" t="s">
        <v>3</v>
      </c>
      <c r="F83" s="99">
        <f t="shared" si="5"/>
        <v>1700</v>
      </c>
      <c r="G83" s="51" t="s">
        <v>3</v>
      </c>
      <c r="H83" s="48">
        <v>4</v>
      </c>
      <c r="I83" s="49" t="s">
        <v>46</v>
      </c>
      <c r="J83" s="184">
        <v>150</v>
      </c>
      <c r="K83" s="75">
        <v>200</v>
      </c>
      <c r="L83" s="75">
        <v>1700</v>
      </c>
      <c r="M83" s="202">
        <v>16.711647708845788</v>
      </c>
      <c r="N83" s="87">
        <v>1048.1400000000001</v>
      </c>
      <c r="O83" s="123">
        <v>28502.866832992881</v>
      </c>
      <c r="P83" s="119">
        <v>34511.197331887881</v>
      </c>
      <c r="Q83" s="120">
        <v>16495.48260741679</v>
      </c>
      <c r="R83" s="314">
        <v>44998.349440409671</v>
      </c>
      <c r="S83" s="315">
        <v>51006.679939304668</v>
      </c>
      <c r="U83" s="7" t="s">
        <v>3433</v>
      </c>
    </row>
    <row r="84" spans="1:21" ht="16.5" customHeight="1" thickBot="1">
      <c r="A84" s="50" t="s">
        <v>35</v>
      </c>
      <c r="B84" s="51">
        <f t="shared" si="3"/>
        <v>150</v>
      </c>
      <c r="C84" s="51" t="s">
        <v>3</v>
      </c>
      <c r="D84" s="51">
        <f t="shared" si="4"/>
        <v>200</v>
      </c>
      <c r="E84" s="51" t="s">
        <v>3</v>
      </c>
      <c r="F84" s="99">
        <f t="shared" si="5"/>
        <v>1750</v>
      </c>
      <c r="G84" s="51" t="s">
        <v>3</v>
      </c>
      <c r="H84" s="48">
        <v>4</v>
      </c>
      <c r="I84" s="49" t="s">
        <v>46</v>
      </c>
      <c r="J84" s="184">
        <v>150</v>
      </c>
      <c r="K84" s="75">
        <v>200</v>
      </c>
      <c r="L84" s="75">
        <v>1750</v>
      </c>
      <c r="M84" s="202">
        <v>17.189207808868947</v>
      </c>
      <c r="N84" s="87">
        <v>1086.9599999999998</v>
      </c>
      <c r="O84" s="123">
        <v>29171.861281556219</v>
      </c>
      <c r="P84" s="119">
        <v>35343.032216501262</v>
      </c>
      <c r="Q84" s="120">
        <v>17084.483023928067</v>
      </c>
      <c r="R84" s="314">
        <v>46256.344305484286</v>
      </c>
      <c r="S84" s="315">
        <v>52427.515240429333</v>
      </c>
      <c r="U84" s="7" t="s">
        <v>3434</v>
      </c>
    </row>
    <row r="85" spans="1:21" ht="16.5" customHeight="1" thickBot="1">
      <c r="A85" s="50" t="s">
        <v>35</v>
      </c>
      <c r="B85" s="51">
        <f t="shared" si="3"/>
        <v>150</v>
      </c>
      <c r="C85" s="51" t="s">
        <v>3</v>
      </c>
      <c r="D85" s="51">
        <f t="shared" si="4"/>
        <v>200</v>
      </c>
      <c r="E85" s="51" t="s">
        <v>3</v>
      </c>
      <c r="F85" s="99">
        <f t="shared" si="5"/>
        <v>1800</v>
      </c>
      <c r="G85" s="51" t="s">
        <v>3</v>
      </c>
      <c r="H85" s="48">
        <v>4</v>
      </c>
      <c r="I85" s="49" t="s">
        <v>46</v>
      </c>
      <c r="J85" s="184">
        <v>150</v>
      </c>
      <c r="K85" s="75">
        <v>200</v>
      </c>
      <c r="L85" s="75">
        <v>1800</v>
      </c>
      <c r="M85" s="202">
        <v>17.649727908892103</v>
      </c>
      <c r="N85" s="87">
        <v>1125.78</v>
      </c>
      <c r="O85" s="123">
        <v>29840.855730119554</v>
      </c>
      <c r="P85" s="119">
        <v>36174.866960721272</v>
      </c>
      <c r="Q85" s="120">
        <v>17442.90180304943</v>
      </c>
      <c r="R85" s="314">
        <v>47283.757533168988</v>
      </c>
      <c r="S85" s="315">
        <v>53617.768763770699</v>
      </c>
      <c r="U85" s="7" t="s">
        <v>3435</v>
      </c>
    </row>
    <row r="86" spans="1:21" ht="16.5" customHeight="1" thickBot="1">
      <c r="A86" s="50" t="s">
        <v>35</v>
      </c>
      <c r="B86" s="51">
        <f t="shared" si="3"/>
        <v>150</v>
      </c>
      <c r="C86" s="51" t="s">
        <v>3</v>
      </c>
      <c r="D86" s="51">
        <f t="shared" si="4"/>
        <v>200</v>
      </c>
      <c r="E86" s="51" t="s">
        <v>3</v>
      </c>
      <c r="F86" s="99">
        <f t="shared" si="5"/>
        <v>1850</v>
      </c>
      <c r="G86" s="51" t="s">
        <v>3</v>
      </c>
      <c r="H86" s="48">
        <v>4</v>
      </c>
      <c r="I86" s="49" t="s">
        <v>46</v>
      </c>
      <c r="J86" s="184">
        <v>150</v>
      </c>
      <c r="K86" s="75">
        <v>200</v>
      </c>
      <c r="L86" s="75">
        <v>1850</v>
      </c>
      <c r="M86" s="202">
        <v>18.127288008915265</v>
      </c>
      <c r="N86" s="87">
        <v>1164.5999999999999</v>
      </c>
      <c r="O86" s="123">
        <v>30509.850178682897</v>
      </c>
      <c r="P86" s="119">
        <v>37006.701845334646</v>
      </c>
      <c r="Q86" s="120">
        <v>18031.902219560703</v>
      </c>
      <c r="R86" s="314">
        <v>48541.752398243596</v>
      </c>
      <c r="S86" s="315">
        <v>55038.604064895349</v>
      </c>
      <c r="U86" s="7" t="s">
        <v>3436</v>
      </c>
    </row>
    <row r="87" spans="1:21" ht="16.5" customHeight="1" thickBot="1">
      <c r="A87" s="50" t="s">
        <v>35</v>
      </c>
      <c r="B87" s="51">
        <f t="shared" si="3"/>
        <v>150</v>
      </c>
      <c r="C87" s="51" t="s">
        <v>3</v>
      </c>
      <c r="D87" s="51">
        <f t="shared" si="4"/>
        <v>200</v>
      </c>
      <c r="E87" s="51" t="s">
        <v>3</v>
      </c>
      <c r="F87" s="99">
        <f t="shared" si="5"/>
        <v>1900</v>
      </c>
      <c r="G87" s="51" t="s">
        <v>3</v>
      </c>
      <c r="H87" s="48">
        <v>4</v>
      </c>
      <c r="I87" s="49" t="s">
        <v>46</v>
      </c>
      <c r="J87" s="184">
        <v>150</v>
      </c>
      <c r="K87" s="75">
        <v>200</v>
      </c>
      <c r="L87" s="75">
        <v>1900</v>
      </c>
      <c r="M87" s="202">
        <v>18.587808108938418</v>
      </c>
      <c r="N87" s="87">
        <v>1203.42</v>
      </c>
      <c r="O87" s="123">
        <v>31178.844627246232</v>
      </c>
      <c r="P87" s="119">
        <v>37838.53672994802</v>
      </c>
      <c r="Q87" s="120">
        <v>18390.320858288702</v>
      </c>
      <c r="R87" s="314">
        <v>49569.165485534933</v>
      </c>
      <c r="S87" s="315">
        <v>56228.857588236722</v>
      </c>
      <c r="U87" s="7" t="s">
        <v>3437</v>
      </c>
    </row>
    <row r="88" spans="1:21" ht="16.5" customHeight="1" thickBot="1">
      <c r="A88" s="50" t="s">
        <v>35</v>
      </c>
      <c r="B88" s="51">
        <f t="shared" si="3"/>
        <v>150</v>
      </c>
      <c r="C88" s="51" t="s">
        <v>3</v>
      </c>
      <c r="D88" s="51">
        <f t="shared" si="4"/>
        <v>200</v>
      </c>
      <c r="E88" s="51" t="s">
        <v>3</v>
      </c>
      <c r="F88" s="99">
        <f t="shared" si="5"/>
        <v>1950</v>
      </c>
      <c r="G88" s="51" t="s">
        <v>3</v>
      </c>
      <c r="H88" s="48">
        <v>4</v>
      </c>
      <c r="I88" s="49" t="s">
        <v>46</v>
      </c>
      <c r="J88" s="184">
        <v>150</v>
      </c>
      <c r="K88" s="75">
        <v>200</v>
      </c>
      <c r="L88" s="75">
        <v>1950</v>
      </c>
      <c r="M88" s="202">
        <v>19.126828208961577</v>
      </c>
      <c r="N88" s="87">
        <v>1242.24</v>
      </c>
      <c r="O88" s="123">
        <v>31924.993511711706</v>
      </c>
      <c r="P88" s="119">
        <v>38747.997070194724</v>
      </c>
      <c r="Q88" s="120">
        <v>18748.739497016704</v>
      </c>
      <c r="R88" s="314">
        <v>50673.733008728406</v>
      </c>
      <c r="S88" s="315">
        <v>57496.736567211425</v>
      </c>
      <c r="U88" s="7" t="s">
        <v>3438</v>
      </c>
    </row>
    <row r="89" spans="1:21" ht="16.5" customHeight="1" thickBot="1">
      <c r="A89" s="50" t="s">
        <v>35</v>
      </c>
      <c r="B89" s="51">
        <f t="shared" si="3"/>
        <v>150</v>
      </c>
      <c r="C89" s="51" t="s">
        <v>3</v>
      </c>
      <c r="D89" s="51">
        <f t="shared" si="4"/>
        <v>200</v>
      </c>
      <c r="E89" s="51" t="s">
        <v>3</v>
      </c>
      <c r="F89" s="99">
        <f t="shared" si="5"/>
        <v>2000</v>
      </c>
      <c r="G89" s="51" t="s">
        <v>3</v>
      </c>
      <c r="H89" s="48">
        <v>4</v>
      </c>
      <c r="I89" s="49" t="s">
        <v>46</v>
      </c>
      <c r="J89" s="184">
        <v>150</v>
      </c>
      <c r="K89" s="75">
        <v>200</v>
      </c>
      <c r="L89" s="75">
        <v>2000</v>
      </c>
      <c r="M89" s="202">
        <v>19.695950708984736</v>
      </c>
      <c r="N89" s="87">
        <v>1281.06</v>
      </c>
      <c r="O89" s="123">
        <v>32824.530849096904</v>
      </c>
      <c r="P89" s="119">
        <v>39892.512682327397</v>
      </c>
      <c r="Q89" s="120">
        <v>19337.740053921341</v>
      </c>
      <c r="R89" s="314">
        <v>52162.270903018245</v>
      </c>
      <c r="S89" s="315">
        <v>59230.252736248738</v>
      </c>
      <c r="U89" s="7" t="s">
        <v>3439</v>
      </c>
    </row>
    <row r="90" spans="1:21" ht="16.5" customHeight="1" thickBot="1">
      <c r="A90" s="50" t="s">
        <v>35</v>
      </c>
      <c r="B90" s="51">
        <f t="shared" si="3"/>
        <v>150</v>
      </c>
      <c r="C90" s="51" t="s">
        <v>3</v>
      </c>
      <c r="D90" s="51">
        <f t="shared" si="4"/>
        <v>200</v>
      </c>
      <c r="E90" s="51" t="s">
        <v>3</v>
      </c>
      <c r="F90" s="99">
        <f t="shared" si="5"/>
        <v>2050</v>
      </c>
      <c r="G90" s="51" t="s">
        <v>3</v>
      </c>
      <c r="H90" s="48">
        <v>4</v>
      </c>
      <c r="I90" s="49" t="s">
        <v>46</v>
      </c>
      <c r="J90" s="184">
        <v>150</v>
      </c>
      <c r="K90" s="75">
        <v>200</v>
      </c>
      <c r="L90" s="75">
        <v>2050</v>
      </c>
      <c r="M90" s="202">
        <v>20.156470809007892</v>
      </c>
      <c r="N90" s="87">
        <v>1319.88</v>
      </c>
      <c r="O90" s="123">
        <v>33493.525438053606</v>
      </c>
      <c r="P90" s="119">
        <v>40724.347566940771</v>
      </c>
      <c r="Q90" s="120">
        <v>19696.15869264934</v>
      </c>
      <c r="R90" s="314">
        <v>53189.684130702946</v>
      </c>
      <c r="S90" s="315">
        <v>60420.506259590111</v>
      </c>
      <c r="U90" s="7" t="s">
        <v>3440</v>
      </c>
    </row>
    <row r="91" spans="1:21" ht="16.5" customHeight="1" thickBot="1">
      <c r="A91" s="47" t="s">
        <v>35</v>
      </c>
      <c r="B91" s="48">
        <f t="shared" si="3"/>
        <v>150</v>
      </c>
      <c r="C91" s="48" t="s">
        <v>3</v>
      </c>
      <c r="D91" s="48">
        <f t="shared" si="4"/>
        <v>200</v>
      </c>
      <c r="E91" s="48" t="s">
        <v>3</v>
      </c>
      <c r="F91" s="99">
        <f t="shared" si="5"/>
        <v>2100</v>
      </c>
      <c r="G91" s="48" t="s">
        <v>3</v>
      </c>
      <c r="H91" s="48">
        <v>4</v>
      </c>
      <c r="I91" s="49" t="s">
        <v>46</v>
      </c>
      <c r="J91" s="184">
        <v>150</v>
      </c>
      <c r="K91" s="75">
        <v>200</v>
      </c>
      <c r="L91" s="75">
        <v>2100</v>
      </c>
      <c r="M91" s="202">
        <v>20.634030909031051</v>
      </c>
      <c r="N91" s="87">
        <v>1358.7</v>
      </c>
      <c r="O91" s="123">
        <v>34162.519886616945</v>
      </c>
      <c r="P91" s="119">
        <v>41556.182451554145</v>
      </c>
      <c r="Q91" s="120">
        <v>20285.159109160617</v>
      </c>
      <c r="R91" s="314">
        <v>54447.678995777562</v>
      </c>
      <c r="S91" s="315">
        <v>61841.341560714762</v>
      </c>
      <c r="U91" s="7" t="s">
        <v>3441</v>
      </c>
    </row>
    <row r="92" spans="1:21" ht="16.5" customHeight="1" thickBot="1">
      <c r="A92" s="50" t="s">
        <v>35</v>
      </c>
      <c r="B92" s="51">
        <f t="shared" si="3"/>
        <v>150</v>
      </c>
      <c r="C92" s="51" t="s">
        <v>3</v>
      </c>
      <c r="D92" s="51">
        <f t="shared" si="4"/>
        <v>200</v>
      </c>
      <c r="E92" s="51" t="s">
        <v>3</v>
      </c>
      <c r="F92" s="99">
        <f t="shared" si="5"/>
        <v>2150</v>
      </c>
      <c r="G92" s="51" t="s">
        <v>3</v>
      </c>
      <c r="H92" s="48">
        <v>4</v>
      </c>
      <c r="I92" s="49" t="s">
        <v>46</v>
      </c>
      <c r="J92" s="184">
        <v>150</v>
      </c>
      <c r="K92" s="75">
        <v>200</v>
      </c>
      <c r="L92" s="75">
        <v>2150</v>
      </c>
      <c r="M92" s="202">
        <v>21.094551009054211</v>
      </c>
      <c r="N92" s="87">
        <v>1397.5199999999998</v>
      </c>
      <c r="O92" s="123">
        <v>34831.514335180284</v>
      </c>
      <c r="P92" s="119">
        <v>42388.017336167519</v>
      </c>
      <c r="Q92" s="120">
        <v>20643.577747888616</v>
      </c>
      <c r="R92" s="314">
        <v>55475.092083068899</v>
      </c>
      <c r="S92" s="315">
        <v>63031.595084056135</v>
      </c>
      <c r="U92" s="7" t="s">
        <v>3442</v>
      </c>
    </row>
    <row r="93" spans="1:21" ht="16.5" customHeight="1" thickBot="1">
      <c r="A93" s="50" t="s">
        <v>35</v>
      </c>
      <c r="B93" s="51">
        <f t="shared" si="3"/>
        <v>150</v>
      </c>
      <c r="C93" s="51" t="s">
        <v>3</v>
      </c>
      <c r="D93" s="51">
        <f t="shared" si="4"/>
        <v>200</v>
      </c>
      <c r="E93" s="51" t="s">
        <v>3</v>
      </c>
      <c r="F93" s="99">
        <f t="shared" si="5"/>
        <v>2200</v>
      </c>
      <c r="G93" s="51" t="s">
        <v>3</v>
      </c>
      <c r="H93" s="48">
        <v>4</v>
      </c>
      <c r="I93" s="49" t="s">
        <v>46</v>
      </c>
      <c r="J93" s="184">
        <v>150</v>
      </c>
      <c r="K93" s="75">
        <v>200</v>
      </c>
      <c r="L93" s="75">
        <v>2200</v>
      </c>
      <c r="M93" s="202">
        <v>21.572111109077369</v>
      </c>
      <c r="N93" s="87">
        <v>1436.34</v>
      </c>
      <c r="O93" s="123">
        <v>35500.508783743622</v>
      </c>
      <c r="P93" s="119">
        <v>43219.852220780893</v>
      </c>
      <c r="Q93" s="120">
        <v>21232.578164399893</v>
      </c>
      <c r="R93" s="314">
        <v>56733.086948143515</v>
      </c>
      <c r="S93" s="315">
        <v>64452.430385180785</v>
      </c>
      <c r="U93" s="7" t="s">
        <v>3443</v>
      </c>
    </row>
    <row r="94" spans="1:21" ht="16.5" customHeight="1" thickBot="1">
      <c r="A94" s="50" t="s">
        <v>35</v>
      </c>
      <c r="B94" s="51">
        <f t="shared" si="3"/>
        <v>150</v>
      </c>
      <c r="C94" s="51" t="s">
        <v>3</v>
      </c>
      <c r="D94" s="51">
        <f t="shared" si="4"/>
        <v>200</v>
      </c>
      <c r="E94" s="51" t="s">
        <v>3</v>
      </c>
      <c r="F94" s="99">
        <f t="shared" si="5"/>
        <v>2250</v>
      </c>
      <c r="G94" s="51" t="s">
        <v>3</v>
      </c>
      <c r="H94" s="48">
        <v>4</v>
      </c>
      <c r="I94" s="49" t="s">
        <v>46</v>
      </c>
      <c r="J94" s="184">
        <v>150</v>
      </c>
      <c r="K94" s="75">
        <v>200</v>
      </c>
      <c r="L94" s="75">
        <v>2250</v>
      </c>
      <c r="M94" s="202">
        <v>22.032631209100522</v>
      </c>
      <c r="N94" s="87">
        <v>1475.1599999999999</v>
      </c>
      <c r="O94" s="123">
        <v>36169.503232306954</v>
      </c>
      <c r="P94" s="119">
        <v>44051.687105394274</v>
      </c>
      <c r="Q94" s="120">
        <v>21590.996943521255</v>
      </c>
      <c r="R94" s="314">
        <v>57760.500175828209</v>
      </c>
      <c r="S94" s="315">
        <v>65642.684048915529</v>
      </c>
      <c r="U94" s="7" t="s">
        <v>3444</v>
      </c>
    </row>
    <row r="95" spans="1:21" ht="16.5" customHeight="1" thickBot="1">
      <c r="A95" s="50" t="s">
        <v>35</v>
      </c>
      <c r="B95" s="51">
        <f t="shared" si="3"/>
        <v>150</v>
      </c>
      <c r="C95" s="51" t="s">
        <v>3</v>
      </c>
      <c r="D95" s="51">
        <f t="shared" si="4"/>
        <v>200</v>
      </c>
      <c r="E95" s="51" t="s">
        <v>3</v>
      </c>
      <c r="F95" s="99">
        <f t="shared" si="5"/>
        <v>2300</v>
      </c>
      <c r="G95" s="51" t="s">
        <v>3</v>
      </c>
      <c r="H95" s="48">
        <v>4</v>
      </c>
      <c r="I95" s="49" t="s">
        <v>46</v>
      </c>
      <c r="J95" s="184">
        <v>150</v>
      </c>
      <c r="K95" s="75">
        <v>200</v>
      </c>
      <c r="L95" s="75">
        <v>2300</v>
      </c>
      <c r="M95" s="202">
        <v>22.493151309123682</v>
      </c>
      <c r="N95" s="87">
        <v>1513.98</v>
      </c>
      <c r="O95" s="123">
        <v>36838.4976808703</v>
      </c>
      <c r="P95" s="119">
        <v>44883.521849614284</v>
      </c>
      <c r="Q95" s="120">
        <v>21949.415582249254</v>
      </c>
      <c r="R95" s="314">
        <v>58787.913263119553</v>
      </c>
      <c r="S95" s="315">
        <v>66832.937431863538</v>
      </c>
      <c r="U95" s="7" t="s">
        <v>3445</v>
      </c>
    </row>
    <row r="96" spans="1:21" ht="16.5" customHeight="1" thickBot="1">
      <c r="A96" s="50" t="s">
        <v>35</v>
      </c>
      <c r="B96" s="51">
        <f t="shared" si="3"/>
        <v>150</v>
      </c>
      <c r="C96" s="51" t="s">
        <v>3</v>
      </c>
      <c r="D96" s="51">
        <f t="shared" si="4"/>
        <v>200</v>
      </c>
      <c r="E96" s="51" t="s">
        <v>3</v>
      </c>
      <c r="F96" s="99">
        <f t="shared" si="5"/>
        <v>2350</v>
      </c>
      <c r="G96" s="51" t="s">
        <v>3</v>
      </c>
      <c r="H96" s="48">
        <v>4</v>
      </c>
      <c r="I96" s="49" t="s">
        <v>46</v>
      </c>
      <c r="J96" s="184">
        <v>150</v>
      </c>
      <c r="K96" s="75">
        <v>200</v>
      </c>
      <c r="L96" s="75">
        <v>2350</v>
      </c>
      <c r="M96" s="202">
        <v>22.970711409146844</v>
      </c>
      <c r="N96" s="87">
        <v>1552.8</v>
      </c>
      <c r="O96" s="123">
        <v>37507.492129433631</v>
      </c>
      <c r="P96" s="119">
        <v>45715.356734227658</v>
      </c>
      <c r="Q96" s="120">
        <v>22538.415998760531</v>
      </c>
      <c r="R96" s="314">
        <v>60045.908128194162</v>
      </c>
      <c r="S96" s="315">
        <v>68253.772732988189</v>
      </c>
      <c r="U96" s="7" t="s">
        <v>3446</v>
      </c>
    </row>
    <row r="97" spans="1:21" ht="16.5" customHeight="1" thickBot="1">
      <c r="A97" s="50" t="s">
        <v>35</v>
      </c>
      <c r="B97" s="51">
        <f t="shared" si="3"/>
        <v>150</v>
      </c>
      <c r="C97" s="51" t="s">
        <v>3</v>
      </c>
      <c r="D97" s="51">
        <f t="shared" si="4"/>
        <v>200</v>
      </c>
      <c r="E97" s="51" t="s">
        <v>3</v>
      </c>
      <c r="F97" s="99">
        <f t="shared" si="5"/>
        <v>2400</v>
      </c>
      <c r="G97" s="51" t="s">
        <v>3</v>
      </c>
      <c r="H97" s="48">
        <v>4</v>
      </c>
      <c r="I97" s="49" t="s">
        <v>46</v>
      </c>
      <c r="J97" s="184">
        <v>150</v>
      </c>
      <c r="K97" s="75">
        <v>200</v>
      </c>
      <c r="L97" s="75">
        <v>2400</v>
      </c>
      <c r="M97" s="202">
        <v>23.431231509169997</v>
      </c>
      <c r="N97" s="87">
        <v>1591.62</v>
      </c>
      <c r="O97" s="123">
        <v>38176.48657799697</v>
      </c>
      <c r="P97" s="119">
        <v>46547.19161884104</v>
      </c>
      <c r="Q97" s="120">
        <v>22896.83463748853</v>
      </c>
      <c r="R97" s="314">
        <v>61073.321215485499</v>
      </c>
      <c r="S97" s="315">
        <v>69444.026256329569</v>
      </c>
      <c r="U97" s="7" t="s">
        <v>3447</v>
      </c>
    </row>
    <row r="98" spans="1:21" ht="16.5" customHeight="1" thickBot="1">
      <c r="A98" s="50" t="s">
        <v>35</v>
      </c>
      <c r="B98" s="51">
        <f t="shared" si="3"/>
        <v>150</v>
      </c>
      <c r="C98" s="51" t="s">
        <v>3</v>
      </c>
      <c r="D98" s="51">
        <f t="shared" si="4"/>
        <v>200</v>
      </c>
      <c r="E98" s="51" t="s">
        <v>3</v>
      </c>
      <c r="F98" s="99">
        <f t="shared" si="5"/>
        <v>2450</v>
      </c>
      <c r="G98" s="51" t="s">
        <v>3</v>
      </c>
      <c r="H98" s="48">
        <v>4</v>
      </c>
      <c r="I98" s="49" t="s">
        <v>46</v>
      </c>
      <c r="J98" s="184">
        <v>150</v>
      </c>
      <c r="K98" s="75">
        <v>200</v>
      </c>
      <c r="L98" s="75">
        <v>2450</v>
      </c>
      <c r="M98" s="202">
        <v>24.015817731493158</v>
      </c>
      <c r="N98" s="87">
        <v>1630.44</v>
      </c>
      <c r="O98" s="123">
        <v>39401.317582588468</v>
      </c>
      <c r="P98" s="119">
        <v>47872.339437066643</v>
      </c>
      <c r="Q98" s="120">
        <v>23485.83519439317</v>
      </c>
      <c r="R98" s="314">
        <v>62887.152776981638</v>
      </c>
      <c r="S98" s="315">
        <v>71358.174631459813</v>
      </c>
      <c r="U98" s="7" t="s">
        <v>3448</v>
      </c>
    </row>
    <row r="99" spans="1:21" ht="16.5" customHeight="1" thickBot="1">
      <c r="A99" s="50" t="s">
        <v>35</v>
      </c>
      <c r="B99" s="51">
        <f t="shared" si="3"/>
        <v>150</v>
      </c>
      <c r="C99" s="51" t="s">
        <v>3</v>
      </c>
      <c r="D99" s="51">
        <f t="shared" si="4"/>
        <v>200</v>
      </c>
      <c r="E99" s="51" t="s">
        <v>3</v>
      </c>
      <c r="F99" s="99">
        <f t="shared" si="5"/>
        <v>2500</v>
      </c>
      <c r="G99" s="51" t="s">
        <v>3</v>
      </c>
      <c r="H99" s="48">
        <v>4</v>
      </c>
      <c r="I99" s="49" t="s">
        <v>46</v>
      </c>
      <c r="J99" s="184">
        <v>150</v>
      </c>
      <c r="K99" s="75">
        <v>200</v>
      </c>
      <c r="L99" s="75">
        <v>2500</v>
      </c>
      <c r="M99" s="202">
        <v>24.476337831516318</v>
      </c>
      <c r="N99" s="87">
        <v>1669.26</v>
      </c>
      <c r="O99" s="123">
        <v>40070.312031151814</v>
      </c>
      <c r="P99" s="119">
        <v>48704.174321680024</v>
      </c>
      <c r="Q99" s="120">
        <v>23844.253833121165</v>
      </c>
      <c r="R99" s="314">
        <v>63914.565864272983</v>
      </c>
      <c r="S99" s="315">
        <v>72548.428154801193</v>
      </c>
      <c r="U99" s="7" t="s">
        <v>3449</v>
      </c>
    </row>
    <row r="100" spans="1:21" ht="16.5" customHeight="1" thickBot="1">
      <c r="A100" s="50" t="s">
        <v>35</v>
      </c>
      <c r="B100" s="51">
        <f t="shared" si="3"/>
        <v>150</v>
      </c>
      <c r="C100" s="51" t="s">
        <v>3</v>
      </c>
      <c r="D100" s="51">
        <f t="shared" si="4"/>
        <v>200</v>
      </c>
      <c r="E100" s="51" t="s">
        <v>3</v>
      </c>
      <c r="F100" s="99">
        <f t="shared" si="5"/>
        <v>2550</v>
      </c>
      <c r="G100" s="51" t="s">
        <v>3</v>
      </c>
      <c r="H100" s="48">
        <v>4</v>
      </c>
      <c r="I100" s="49" t="s">
        <v>46</v>
      </c>
      <c r="J100" s="184">
        <v>150</v>
      </c>
      <c r="K100" s="75">
        <v>200</v>
      </c>
      <c r="L100" s="75">
        <v>2550</v>
      </c>
      <c r="M100" s="202">
        <v>24.953897931539473</v>
      </c>
      <c r="N100" s="87">
        <v>1708.0800000000002</v>
      </c>
      <c r="O100" s="123">
        <v>40739.306479715146</v>
      </c>
      <c r="P100" s="119">
        <v>49536.009206293398</v>
      </c>
      <c r="Q100" s="120">
        <v>24433.254249632446</v>
      </c>
      <c r="R100" s="314">
        <v>65172.560729347591</v>
      </c>
      <c r="S100" s="315">
        <v>73969.263455925844</v>
      </c>
      <c r="U100" s="7" t="s">
        <v>3450</v>
      </c>
    </row>
    <row r="101" spans="1:21" ht="16.5" customHeight="1" thickBot="1">
      <c r="A101" s="47" t="s">
        <v>35</v>
      </c>
      <c r="B101" s="48">
        <f t="shared" si="3"/>
        <v>150</v>
      </c>
      <c r="C101" s="48" t="s">
        <v>3</v>
      </c>
      <c r="D101" s="48">
        <f t="shared" si="4"/>
        <v>200</v>
      </c>
      <c r="E101" s="48" t="s">
        <v>3</v>
      </c>
      <c r="F101" s="99">
        <f t="shared" si="5"/>
        <v>2600</v>
      </c>
      <c r="G101" s="48" t="s">
        <v>3</v>
      </c>
      <c r="H101" s="48">
        <v>4</v>
      </c>
      <c r="I101" s="49" t="s">
        <v>46</v>
      </c>
      <c r="J101" s="184">
        <v>150</v>
      </c>
      <c r="K101" s="75">
        <v>200</v>
      </c>
      <c r="L101" s="75">
        <v>2600</v>
      </c>
      <c r="M101" s="202">
        <v>25.414418031562636</v>
      </c>
      <c r="N101" s="87">
        <v>1746.8999999999999</v>
      </c>
      <c r="O101" s="123">
        <v>41408.300928278484</v>
      </c>
      <c r="P101" s="119">
        <v>50367.844090906772</v>
      </c>
      <c r="Q101" s="120">
        <v>24791.672888360441</v>
      </c>
      <c r="R101" s="314">
        <v>66199.973816638929</v>
      </c>
      <c r="S101" s="315">
        <v>75159.51697926721</v>
      </c>
      <c r="U101" s="7" t="s">
        <v>3451</v>
      </c>
    </row>
    <row r="102" spans="1:21" ht="16.5" customHeight="1" thickBot="1">
      <c r="A102" s="50" t="s">
        <v>35</v>
      </c>
      <c r="B102" s="51">
        <f t="shared" si="3"/>
        <v>150</v>
      </c>
      <c r="C102" s="51" t="s">
        <v>3</v>
      </c>
      <c r="D102" s="51">
        <f t="shared" si="4"/>
        <v>200</v>
      </c>
      <c r="E102" s="51" t="s">
        <v>3</v>
      </c>
      <c r="F102" s="99">
        <f t="shared" si="5"/>
        <v>2650</v>
      </c>
      <c r="G102" s="51" t="s">
        <v>3</v>
      </c>
      <c r="H102" s="48">
        <v>4</v>
      </c>
      <c r="I102" s="49" t="s">
        <v>46</v>
      </c>
      <c r="J102" s="184">
        <v>150</v>
      </c>
      <c r="K102" s="75">
        <v>200</v>
      </c>
      <c r="L102" s="75">
        <v>2650</v>
      </c>
      <c r="M102" s="202">
        <v>25.891978131585795</v>
      </c>
      <c r="N102" s="87">
        <v>1785.7199999999998</v>
      </c>
      <c r="O102" s="123">
        <v>42077.295376841816</v>
      </c>
      <c r="P102" s="119">
        <v>51199.67883512679</v>
      </c>
      <c r="Q102" s="120">
        <v>25380.673304871718</v>
      </c>
      <c r="R102" s="314">
        <v>67457.968681713537</v>
      </c>
      <c r="S102" s="315">
        <v>76580.352139998504</v>
      </c>
      <c r="U102" s="7" t="s">
        <v>3452</v>
      </c>
    </row>
    <row r="103" spans="1:21" ht="16.5" customHeight="1" thickBot="1">
      <c r="A103" s="50" t="s">
        <v>35</v>
      </c>
      <c r="B103" s="51">
        <f t="shared" si="3"/>
        <v>150</v>
      </c>
      <c r="C103" s="51" t="s">
        <v>3</v>
      </c>
      <c r="D103" s="51">
        <f t="shared" si="4"/>
        <v>200</v>
      </c>
      <c r="E103" s="51" t="s">
        <v>3</v>
      </c>
      <c r="F103" s="99">
        <f t="shared" si="5"/>
        <v>2700</v>
      </c>
      <c r="G103" s="51" t="s">
        <v>3</v>
      </c>
      <c r="H103" s="48">
        <v>4</v>
      </c>
      <c r="I103" s="49" t="s">
        <v>46</v>
      </c>
      <c r="J103" s="184">
        <v>150</v>
      </c>
      <c r="K103" s="75">
        <v>200</v>
      </c>
      <c r="L103" s="75">
        <v>2700</v>
      </c>
      <c r="M103" s="202">
        <v>26.430998231608953</v>
      </c>
      <c r="N103" s="87">
        <v>1824.54</v>
      </c>
      <c r="O103" s="123">
        <v>42823.444261307297</v>
      </c>
      <c r="P103" s="119">
        <v>52109.139175373486</v>
      </c>
      <c r="Q103" s="120">
        <v>25739.09208399308</v>
      </c>
      <c r="R103" s="314">
        <v>68562.536345300381</v>
      </c>
      <c r="S103" s="315">
        <v>77848.23125936657</v>
      </c>
      <c r="U103" s="7" t="s">
        <v>3453</v>
      </c>
    </row>
    <row r="104" spans="1:21" ht="16.5" customHeight="1" thickBot="1">
      <c r="A104" s="50" t="s">
        <v>35</v>
      </c>
      <c r="B104" s="51">
        <f t="shared" si="3"/>
        <v>150</v>
      </c>
      <c r="C104" s="51" t="s">
        <v>3</v>
      </c>
      <c r="D104" s="51">
        <f t="shared" si="4"/>
        <v>200</v>
      </c>
      <c r="E104" s="51" t="s">
        <v>3</v>
      </c>
      <c r="F104" s="99">
        <f t="shared" si="5"/>
        <v>2750</v>
      </c>
      <c r="G104" s="51" t="s">
        <v>3</v>
      </c>
      <c r="H104" s="48">
        <v>4</v>
      </c>
      <c r="I104" s="49" t="s">
        <v>46</v>
      </c>
      <c r="J104" s="184">
        <v>150</v>
      </c>
      <c r="K104" s="75">
        <v>200</v>
      </c>
      <c r="L104" s="75">
        <v>2750</v>
      </c>
      <c r="M104" s="202">
        <v>26.891518331632106</v>
      </c>
      <c r="N104" s="87">
        <v>1863.36</v>
      </c>
      <c r="O104" s="123">
        <v>43492.438709870636</v>
      </c>
      <c r="P104" s="119">
        <v>52940.97405998686</v>
      </c>
      <c r="Q104" s="120">
        <v>26097.510722721079</v>
      </c>
      <c r="R104" s="314">
        <v>69589.949432591719</v>
      </c>
      <c r="S104" s="315">
        <v>79038.484782707936</v>
      </c>
      <c r="U104" s="7" t="s">
        <v>3454</v>
      </c>
    </row>
    <row r="105" spans="1:21" ht="16.5" customHeight="1" thickBot="1">
      <c r="A105" s="50" t="s">
        <v>35</v>
      </c>
      <c r="B105" s="51">
        <f t="shared" si="3"/>
        <v>150</v>
      </c>
      <c r="C105" s="51" t="s">
        <v>3</v>
      </c>
      <c r="D105" s="51">
        <f t="shared" si="4"/>
        <v>200</v>
      </c>
      <c r="E105" s="51" t="s">
        <v>3</v>
      </c>
      <c r="F105" s="99">
        <f t="shared" si="5"/>
        <v>2800</v>
      </c>
      <c r="G105" s="51" t="s">
        <v>3</v>
      </c>
      <c r="H105" s="48">
        <v>4</v>
      </c>
      <c r="I105" s="49" t="s">
        <v>46</v>
      </c>
      <c r="J105" s="184">
        <v>150</v>
      </c>
      <c r="K105" s="75">
        <v>200</v>
      </c>
      <c r="L105" s="75">
        <v>2800</v>
      </c>
      <c r="M105" s="202">
        <v>27.369078431655268</v>
      </c>
      <c r="N105" s="87">
        <v>1902.18</v>
      </c>
      <c r="O105" s="123">
        <v>44161.433158433974</v>
      </c>
      <c r="P105" s="119">
        <v>53772.808944600241</v>
      </c>
      <c r="Q105" s="120">
        <v>26686.511139232356</v>
      </c>
      <c r="R105" s="314">
        <v>70847.944297666327</v>
      </c>
      <c r="S105" s="315">
        <v>80459.320083832601</v>
      </c>
      <c r="U105" s="7" t="s">
        <v>3455</v>
      </c>
    </row>
    <row r="106" spans="1:21" ht="16.5" customHeight="1" thickBot="1">
      <c r="A106" s="50" t="s">
        <v>35</v>
      </c>
      <c r="B106" s="51">
        <f t="shared" si="3"/>
        <v>150</v>
      </c>
      <c r="C106" s="51" t="s">
        <v>3</v>
      </c>
      <c r="D106" s="51">
        <f t="shared" si="4"/>
        <v>200</v>
      </c>
      <c r="E106" s="51" t="s">
        <v>3</v>
      </c>
      <c r="F106" s="99">
        <f t="shared" si="5"/>
        <v>2850</v>
      </c>
      <c r="G106" s="51" t="s">
        <v>3</v>
      </c>
      <c r="H106" s="48">
        <v>4</v>
      </c>
      <c r="I106" s="49" t="s">
        <v>46</v>
      </c>
      <c r="J106" s="184">
        <v>150</v>
      </c>
      <c r="K106" s="75">
        <v>200</v>
      </c>
      <c r="L106" s="75">
        <v>2850</v>
      </c>
      <c r="M106" s="202">
        <v>27.829598531678421</v>
      </c>
      <c r="N106" s="87">
        <v>1941</v>
      </c>
      <c r="O106" s="123">
        <v>44830.427606997306</v>
      </c>
      <c r="P106" s="119">
        <v>54604.643829213608</v>
      </c>
      <c r="Q106" s="120">
        <v>27044.929777960355</v>
      </c>
      <c r="R106" s="314">
        <v>71875.357384957664</v>
      </c>
      <c r="S106" s="315">
        <v>81649.573607173967</v>
      </c>
      <c r="U106" s="7" t="s">
        <v>3456</v>
      </c>
    </row>
    <row r="107" spans="1:21" ht="16.5" customHeight="1" thickBot="1">
      <c r="A107" s="50" t="s">
        <v>35</v>
      </c>
      <c r="B107" s="51">
        <f t="shared" si="3"/>
        <v>150</v>
      </c>
      <c r="C107" s="51" t="s">
        <v>3</v>
      </c>
      <c r="D107" s="51">
        <f t="shared" si="4"/>
        <v>200</v>
      </c>
      <c r="E107" s="51" t="s">
        <v>3</v>
      </c>
      <c r="F107" s="99">
        <f t="shared" si="5"/>
        <v>2900</v>
      </c>
      <c r="G107" s="51" t="s">
        <v>3</v>
      </c>
      <c r="H107" s="48">
        <v>4</v>
      </c>
      <c r="I107" s="49" t="s">
        <v>46</v>
      </c>
      <c r="J107" s="184">
        <v>150</v>
      </c>
      <c r="K107" s="75">
        <v>200</v>
      </c>
      <c r="L107" s="75">
        <v>2900</v>
      </c>
      <c r="M107" s="202">
        <v>28.307158631701583</v>
      </c>
      <c r="N107" s="87">
        <v>1979.8199999999997</v>
      </c>
      <c r="O107" s="123">
        <v>45499.422055560652</v>
      </c>
      <c r="P107" s="119">
        <v>55436.478713826989</v>
      </c>
      <c r="Q107" s="120">
        <v>27633.930194471632</v>
      </c>
      <c r="R107" s="314">
        <v>73133.352250032287</v>
      </c>
      <c r="S107" s="315">
        <v>83070.408908298617</v>
      </c>
      <c r="U107" s="7" t="s">
        <v>3457</v>
      </c>
    </row>
    <row r="108" spans="1:21" ht="16.5" customHeight="1" thickBot="1">
      <c r="A108" s="50" t="s">
        <v>35</v>
      </c>
      <c r="B108" s="51">
        <f t="shared" si="3"/>
        <v>150</v>
      </c>
      <c r="C108" s="51" t="s">
        <v>3</v>
      </c>
      <c r="D108" s="51">
        <f t="shared" si="4"/>
        <v>200</v>
      </c>
      <c r="E108" s="51" t="s">
        <v>3</v>
      </c>
      <c r="F108" s="99">
        <f t="shared" si="5"/>
        <v>2950</v>
      </c>
      <c r="G108" s="51" t="s">
        <v>3</v>
      </c>
      <c r="H108" s="48">
        <v>4</v>
      </c>
      <c r="I108" s="49" t="s">
        <v>46</v>
      </c>
      <c r="J108" s="184">
        <v>150</v>
      </c>
      <c r="K108" s="75">
        <v>200</v>
      </c>
      <c r="L108" s="75">
        <v>2950</v>
      </c>
      <c r="M108" s="202">
        <v>28.76767873172474</v>
      </c>
      <c r="N108" s="87">
        <v>2018.6399999999999</v>
      </c>
      <c r="O108" s="123">
        <v>46168.41650412399</v>
      </c>
      <c r="P108" s="119">
        <v>56268.313598440363</v>
      </c>
      <c r="Q108" s="120">
        <v>27992.348973592994</v>
      </c>
      <c r="R108" s="314">
        <v>74160.765477716981</v>
      </c>
      <c r="S108" s="315">
        <v>84260.662572033354</v>
      </c>
      <c r="U108" s="7" t="s">
        <v>3458</v>
      </c>
    </row>
    <row r="109" spans="1:21" ht="16.5" customHeight="1" thickBot="1">
      <c r="A109" s="52" t="s">
        <v>35</v>
      </c>
      <c r="B109" s="53">
        <f t="shared" si="3"/>
        <v>150</v>
      </c>
      <c r="C109" s="53" t="s">
        <v>3</v>
      </c>
      <c r="D109" s="53">
        <f t="shared" si="4"/>
        <v>200</v>
      </c>
      <c r="E109" s="53" t="s">
        <v>3</v>
      </c>
      <c r="F109" s="100">
        <f t="shared" si="5"/>
        <v>3000</v>
      </c>
      <c r="G109" s="53" t="s">
        <v>3</v>
      </c>
      <c r="H109" s="55">
        <v>4</v>
      </c>
      <c r="I109" s="54" t="s">
        <v>46</v>
      </c>
      <c r="J109" s="186">
        <v>150</v>
      </c>
      <c r="K109" s="147">
        <v>200</v>
      </c>
      <c r="L109" s="147">
        <v>3000</v>
      </c>
      <c r="M109" s="209">
        <v>29.245238831747898</v>
      </c>
      <c r="N109" s="148">
        <v>2057.46</v>
      </c>
      <c r="O109" s="149">
        <v>48012.568398939162</v>
      </c>
      <c r="P109" s="189">
        <v>57100.148342660374</v>
      </c>
      <c r="Q109" s="159">
        <v>28581.349390104271</v>
      </c>
      <c r="R109" s="316">
        <v>76593.917789043437</v>
      </c>
      <c r="S109" s="317">
        <v>85681.497732764648</v>
      </c>
      <c r="U109" s="7" t="s">
        <v>3459</v>
      </c>
    </row>
    <row r="110" spans="1:21" ht="22.5" customHeight="1" thickBot="1">
      <c r="A110" s="2621" t="s">
        <v>50</v>
      </c>
      <c r="B110" s="2622"/>
      <c r="C110" s="2622"/>
      <c r="D110" s="2622"/>
      <c r="E110" s="2622"/>
      <c r="F110" s="2622"/>
      <c r="G110" s="2622"/>
      <c r="H110" s="2622"/>
      <c r="I110" s="2622"/>
      <c r="J110" s="2622"/>
      <c r="K110" s="2622"/>
      <c r="L110" s="2622"/>
      <c r="M110" s="2622"/>
      <c r="N110" s="2622"/>
      <c r="O110" s="2622"/>
      <c r="P110" s="2622"/>
      <c r="Q110" s="2622"/>
      <c r="R110" s="2622"/>
      <c r="S110" s="2623"/>
      <c r="U110" s="7"/>
    </row>
    <row r="111" spans="1:21" ht="16.5" customHeight="1" thickBot="1">
      <c r="A111" s="2583" t="s">
        <v>139</v>
      </c>
      <c r="B111" s="2584"/>
      <c r="C111" s="2584"/>
      <c r="D111" s="2584"/>
      <c r="E111" s="2584"/>
      <c r="F111" s="2584"/>
      <c r="G111" s="2584"/>
      <c r="H111" s="2584"/>
      <c r="I111" s="2584"/>
      <c r="J111" s="2584"/>
      <c r="K111" s="2584"/>
      <c r="L111" s="2584"/>
      <c r="M111" s="2584"/>
      <c r="N111" s="2584"/>
      <c r="O111" s="2584"/>
      <c r="P111" s="2584"/>
      <c r="Q111" s="2584"/>
      <c r="R111" s="2584"/>
      <c r="S111" s="2585"/>
      <c r="U111" s="7"/>
    </row>
    <row r="112" spans="1:21" ht="16.5" thickBot="1">
      <c r="A112" s="47" t="s">
        <v>35</v>
      </c>
      <c r="B112" s="48">
        <f>J112</f>
        <v>150</v>
      </c>
      <c r="C112" s="48" t="s">
        <v>3</v>
      </c>
      <c r="D112" s="48">
        <f>K112</f>
        <v>260</v>
      </c>
      <c r="E112" s="48" t="s">
        <v>3</v>
      </c>
      <c r="F112" s="99">
        <f>L112</f>
        <v>600</v>
      </c>
      <c r="G112" s="48" t="s">
        <v>3</v>
      </c>
      <c r="H112" s="48">
        <v>4</v>
      </c>
      <c r="I112" s="49" t="s">
        <v>46</v>
      </c>
      <c r="J112" s="181">
        <v>150</v>
      </c>
      <c r="K112" s="143">
        <v>260</v>
      </c>
      <c r="L112" s="143">
        <v>600</v>
      </c>
      <c r="M112" s="201">
        <v>7.1039390137205265</v>
      </c>
      <c r="N112" s="144">
        <v>251.65882160999996</v>
      </c>
      <c r="O112" s="145">
        <v>13809.925352859977</v>
      </c>
      <c r="P112" s="188">
        <v>16732.307958817168</v>
      </c>
      <c r="Q112" s="169">
        <v>7536.0353334550891</v>
      </c>
      <c r="R112" s="312">
        <v>21345.960686315066</v>
      </c>
      <c r="S112" s="313">
        <v>24268.343292272257</v>
      </c>
      <c r="U112" s="7" t="s">
        <v>3460</v>
      </c>
    </row>
    <row r="113" spans="1:21" ht="16.5" thickBot="1">
      <c r="A113" s="50" t="s">
        <v>35</v>
      </c>
      <c r="B113" s="51">
        <f t="shared" ref="B113:B160" si="6">J113</f>
        <v>150</v>
      </c>
      <c r="C113" s="51" t="s">
        <v>3</v>
      </c>
      <c r="D113" s="51">
        <f t="shared" ref="D113:D160" si="7">K113</f>
        <v>260</v>
      </c>
      <c r="E113" s="51" t="s">
        <v>3</v>
      </c>
      <c r="F113" s="99">
        <f t="shared" ref="F113:F160" si="8">L113</f>
        <v>650</v>
      </c>
      <c r="G113" s="51" t="s">
        <v>3</v>
      </c>
      <c r="H113" s="48">
        <v>4</v>
      </c>
      <c r="I113" s="49" t="s">
        <v>46</v>
      </c>
      <c r="J113" s="184">
        <v>150</v>
      </c>
      <c r="K113" s="75">
        <v>260</v>
      </c>
      <c r="L113" s="75">
        <v>650</v>
      </c>
      <c r="M113" s="202">
        <v>7.6122396755857888</v>
      </c>
      <c r="N113" s="87">
        <v>301.99058593199999</v>
      </c>
      <c r="O113" s="123">
        <v>14507.038766818352</v>
      </c>
      <c r="P113" s="119">
        <v>17613.391711848639</v>
      </c>
      <c r="Q113" s="120">
        <v>7967.645945822027</v>
      </c>
      <c r="R113" s="314">
        <v>22474.684712640381</v>
      </c>
      <c r="S113" s="315">
        <v>25581.037657670666</v>
      </c>
      <c r="U113" s="7" t="s">
        <v>3461</v>
      </c>
    </row>
    <row r="114" spans="1:21" ht="16.5" thickBot="1">
      <c r="A114" s="50" t="s">
        <v>35</v>
      </c>
      <c r="B114" s="51">
        <f t="shared" si="6"/>
        <v>150</v>
      </c>
      <c r="C114" s="51" t="s">
        <v>3</v>
      </c>
      <c r="D114" s="51">
        <f t="shared" si="7"/>
        <v>260</v>
      </c>
      <c r="E114" s="51" t="s">
        <v>3</v>
      </c>
      <c r="F114" s="99">
        <f t="shared" si="8"/>
        <v>700</v>
      </c>
      <c r="G114" s="51" t="s">
        <v>3</v>
      </c>
      <c r="H114" s="48">
        <v>4</v>
      </c>
      <c r="I114" s="49" t="s">
        <v>46</v>
      </c>
      <c r="J114" s="184">
        <v>150</v>
      </c>
      <c r="K114" s="75">
        <v>260</v>
      </c>
      <c r="L114" s="75">
        <v>700</v>
      </c>
      <c r="M114" s="202">
        <v>8.1375803374510518</v>
      </c>
      <c r="N114" s="87">
        <v>352.3223502539999</v>
      </c>
      <c r="O114" s="123">
        <v>15204.152180776729</v>
      </c>
      <c r="P114" s="119">
        <v>18494.475464880117</v>
      </c>
      <c r="Q114" s="120">
        <v>8629.8383359722393</v>
      </c>
      <c r="R114" s="314">
        <v>23833.990516748971</v>
      </c>
      <c r="S114" s="315">
        <v>27124.313800852357</v>
      </c>
      <c r="U114" s="7" t="s">
        <v>3462</v>
      </c>
    </row>
    <row r="115" spans="1:21" ht="16.5" thickBot="1">
      <c r="A115" s="50" t="s">
        <v>35</v>
      </c>
      <c r="B115" s="51">
        <f t="shared" si="6"/>
        <v>150</v>
      </c>
      <c r="C115" s="51" t="s">
        <v>3</v>
      </c>
      <c r="D115" s="51">
        <f t="shared" si="7"/>
        <v>260</v>
      </c>
      <c r="E115" s="51" t="s">
        <v>3</v>
      </c>
      <c r="F115" s="99">
        <f t="shared" si="8"/>
        <v>750</v>
      </c>
      <c r="G115" s="51" t="s">
        <v>3</v>
      </c>
      <c r="H115" s="48">
        <v>4</v>
      </c>
      <c r="I115" s="49" t="s">
        <v>46</v>
      </c>
      <c r="J115" s="184">
        <v>150</v>
      </c>
      <c r="K115" s="75">
        <v>260</v>
      </c>
      <c r="L115" s="75">
        <v>750</v>
      </c>
      <c r="M115" s="202">
        <v>8.6458809993163168</v>
      </c>
      <c r="N115" s="87">
        <v>402.65411457599998</v>
      </c>
      <c r="O115" s="123">
        <v>15901.265735128465</v>
      </c>
      <c r="P115" s="119">
        <v>19375.559358304956</v>
      </c>
      <c r="Q115" s="120">
        <v>9061.4489483391772</v>
      </c>
      <c r="R115" s="314">
        <v>24962.714683467642</v>
      </c>
      <c r="S115" s="315">
        <v>28437.008306644133</v>
      </c>
      <c r="U115" s="7" t="s">
        <v>3463</v>
      </c>
    </row>
    <row r="116" spans="1:21" ht="16.5" thickBot="1">
      <c r="A116" s="50" t="s">
        <v>35</v>
      </c>
      <c r="B116" s="51">
        <f t="shared" si="6"/>
        <v>150</v>
      </c>
      <c r="C116" s="51" t="s">
        <v>3</v>
      </c>
      <c r="D116" s="51">
        <f t="shared" si="7"/>
        <v>260</v>
      </c>
      <c r="E116" s="51" t="s">
        <v>3</v>
      </c>
      <c r="F116" s="99">
        <f t="shared" si="8"/>
        <v>800</v>
      </c>
      <c r="G116" s="51" t="s">
        <v>3</v>
      </c>
      <c r="H116" s="48">
        <v>4</v>
      </c>
      <c r="I116" s="49" t="s">
        <v>46</v>
      </c>
      <c r="J116" s="184">
        <v>150</v>
      </c>
      <c r="K116" s="75">
        <v>260</v>
      </c>
      <c r="L116" s="75">
        <v>800</v>
      </c>
      <c r="M116" s="202">
        <v>9.1541816611815783</v>
      </c>
      <c r="N116" s="87">
        <v>452.98587889799995</v>
      </c>
      <c r="O116" s="123">
        <v>16598.379149086839</v>
      </c>
      <c r="P116" s="119">
        <v>20256.643111336427</v>
      </c>
      <c r="Q116" s="120">
        <v>9493.059560706115</v>
      </c>
      <c r="R116" s="314">
        <v>26091.438709792954</v>
      </c>
      <c r="S116" s="315">
        <v>29749.702672042542</v>
      </c>
      <c r="U116" s="7" t="s">
        <v>3464</v>
      </c>
    </row>
    <row r="117" spans="1:21" ht="16.5" thickBot="1">
      <c r="A117" s="50" t="s">
        <v>35</v>
      </c>
      <c r="B117" s="51">
        <f t="shared" si="6"/>
        <v>150</v>
      </c>
      <c r="C117" s="51" t="s">
        <v>3</v>
      </c>
      <c r="D117" s="51">
        <f t="shared" si="7"/>
        <v>260</v>
      </c>
      <c r="E117" s="51" t="s">
        <v>3</v>
      </c>
      <c r="F117" s="99">
        <f t="shared" si="8"/>
        <v>850</v>
      </c>
      <c r="G117" s="51" t="s">
        <v>3</v>
      </c>
      <c r="H117" s="48">
        <v>4</v>
      </c>
      <c r="I117" s="49" t="s">
        <v>46</v>
      </c>
      <c r="J117" s="184">
        <v>150</v>
      </c>
      <c r="K117" s="75">
        <v>260</v>
      </c>
      <c r="L117" s="75">
        <v>850</v>
      </c>
      <c r="M117" s="202">
        <v>9.679522323046843</v>
      </c>
      <c r="N117" s="87">
        <v>503.31764321999992</v>
      </c>
      <c r="O117" s="123">
        <v>17295.492563045216</v>
      </c>
      <c r="P117" s="119">
        <v>21137.726864367905</v>
      </c>
      <c r="Q117" s="120">
        <v>10155.251950856327</v>
      </c>
      <c r="R117" s="314">
        <v>27450.744513901544</v>
      </c>
      <c r="S117" s="315">
        <v>31292.978815224233</v>
      </c>
      <c r="U117" s="7" t="s">
        <v>3465</v>
      </c>
    </row>
    <row r="118" spans="1:21" ht="16.5" thickBot="1">
      <c r="A118" s="50" t="s">
        <v>35</v>
      </c>
      <c r="B118" s="51">
        <f t="shared" si="6"/>
        <v>150</v>
      </c>
      <c r="C118" s="51" t="s">
        <v>3</v>
      </c>
      <c r="D118" s="51">
        <f t="shared" si="7"/>
        <v>260</v>
      </c>
      <c r="E118" s="51" t="s">
        <v>3</v>
      </c>
      <c r="F118" s="99">
        <f t="shared" si="8"/>
        <v>900</v>
      </c>
      <c r="G118" s="51" t="s">
        <v>3</v>
      </c>
      <c r="H118" s="48">
        <v>4</v>
      </c>
      <c r="I118" s="49" t="s">
        <v>46</v>
      </c>
      <c r="J118" s="184">
        <v>150</v>
      </c>
      <c r="K118" s="75">
        <v>260</v>
      </c>
      <c r="L118" s="75">
        <v>900</v>
      </c>
      <c r="M118" s="202">
        <v>10.187822984912106</v>
      </c>
      <c r="N118" s="87">
        <v>553.64940754199995</v>
      </c>
      <c r="O118" s="123">
        <v>17992.605977003594</v>
      </c>
      <c r="P118" s="119">
        <v>22018.81061739938</v>
      </c>
      <c r="Q118" s="120">
        <v>10586.862563223265</v>
      </c>
      <c r="R118" s="314">
        <v>28579.468540226859</v>
      </c>
      <c r="S118" s="315">
        <v>32605.673180622645</v>
      </c>
      <c r="U118" s="7" t="s">
        <v>3466</v>
      </c>
    </row>
    <row r="119" spans="1:21" ht="16.5" thickBot="1">
      <c r="A119" s="50" t="s">
        <v>35</v>
      </c>
      <c r="B119" s="51">
        <f t="shared" si="6"/>
        <v>150</v>
      </c>
      <c r="C119" s="51" t="s">
        <v>3</v>
      </c>
      <c r="D119" s="51">
        <f t="shared" si="7"/>
        <v>260</v>
      </c>
      <c r="E119" s="51" t="s">
        <v>3</v>
      </c>
      <c r="F119" s="99">
        <f t="shared" si="8"/>
        <v>950</v>
      </c>
      <c r="G119" s="51" t="s">
        <v>3</v>
      </c>
      <c r="H119" s="48">
        <v>4</v>
      </c>
      <c r="I119" s="49" t="s">
        <v>46</v>
      </c>
      <c r="J119" s="184">
        <v>150</v>
      </c>
      <c r="K119" s="75">
        <v>260</v>
      </c>
      <c r="L119" s="75">
        <v>950</v>
      </c>
      <c r="M119" s="202">
        <v>10.713163646777367</v>
      </c>
      <c r="N119" s="87">
        <v>603.98117186399998</v>
      </c>
      <c r="O119" s="123">
        <v>18689.719390961967</v>
      </c>
      <c r="P119" s="119">
        <v>22899.894370430855</v>
      </c>
      <c r="Q119" s="120">
        <v>11249.054953373477</v>
      </c>
      <c r="R119" s="314">
        <v>29938.774344335445</v>
      </c>
      <c r="S119" s="315">
        <v>34148.949323804336</v>
      </c>
      <c r="U119" s="7" t="s">
        <v>3467</v>
      </c>
    </row>
    <row r="120" spans="1:21" ht="16.5" thickBot="1">
      <c r="A120" s="50" t="s">
        <v>35</v>
      </c>
      <c r="B120" s="51">
        <f t="shared" si="6"/>
        <v>150</v>
      </c>
      <c r="C120" s="51" t="s">
        <v>3</v>
      </c>
      <c r="D120" s="51">
        <f t="shared" si="7"/>
        <v>260</v>
      </c>
      <c r="E120" s="51" t="s">
        <v>3</v>
      </c>
      <c r="F120" s="99">
        <f t="shared" si="8"/>
        <v>1000</v>
      </c>
      <c r="G120" s="51" t="s">
        <v>3</v>
      </c>
      <c r="H120" s="48">
        <v>4</v>
      </c>
      <c r="I120" s="49" t="s">
        <v>46</v>
      </c>
      <c r="J120" s="184">
        <v>150</v>
      </c>
      <c r="K120" s="75">
        <v>260</v>
      </c>
      <c r="L120" s="75">
        <v>1000</v>
      </c>
      <c r="M120" s="202">
        <v>11.221464308642632</v>
      </c>
      <c r="N120" s="87">
        <v>654.31293618599989</v>
      </c>
      <c r="O120" s="123">
        <v>19386.832804920341</v>
      </c>
      <c r="P120" s="119">
        <v>23780.97812346233</v>
      </c>
      <c r="Q120" s="120">
        <v>11680.665565740415</v>
      </c>
      <c r="R120" s="314">
        <v>31067.498370660756</v>
      </c>
      <c r="S120" s="315">
        <v>35461.643689202741</v>
      </c>
      <c r="U120" s="7" t="s">
        <v>3468</v>
      </c>
    </row>
    <row r="121" spans="1:21" ht="16.5" thickBot="1">
      <c r="A121" s="50" t="s">
        <v>35</v>
      </c>
      <c r="B121" s="51">
        <f t="shared" si="6"/>
        <v>150</v>
      </c>
      <c r="C121" s="51" t="s">
        <v>3</v>
      </c>
      <c r="D121" s="51">
        <f t="shared" si="7"/>
        <v>260</v>
      </c>
      <c r="E121" s="51" t="s">
        <v>3</v>
      </c>
      <c r="F121" s="99">
        <f t="shared" si="8"/>
        <v>1050</v>
      </c>
      <c r="G121" s="51" t="s">
        <v>3</v>
      </c>
      <c r="H121" s="48">
        <v>4</v>
      </c>
      <c r="I121" s="49" t="s">
        <v>46</v>
      </c>
      <c r="J121" s="184">
        <v>150</v>
      </c>
      <c r="K121" s="75">
        <v>260</v>
      </c>
      <c r="L121" s="75">
        <v>1050</v>
      </c>
      <c r="M121" s="202">
        <v>11.746804970507895</v>
      </c>
      <c r="N121" s="87">
        <v>704.6447005079998</v>
      </c>
      <c r="O121" s="123">
        <v>20083.946218878715</v>
      </c>
      <c r="P121" s="119">
        <v>24662.061876493808</v>
      </c>
      <c r="Q121" s="120">
        <v>12342.857815497266</v>
      </c>
      <c r="R121" s="314">
        <v>32426.804034375979</v>
      </c>
      <c r="S121" s="315">
        <v>37004.919691991076</v>
      </c>
      <c r="U121" s="7" t="s">
        <v>3469</v>
      </c>
    </row>
    <row r="122" spans="1:21" ht="16.5" thickBot="1">
      <c r="A122" s="47" t="s">
        <v>35</v>
      </c>
      <c r="B122" s="48">
        <f t="shared" si="6"/>
        <v>150</v>
      </c>
      <c r="C122" s="48" t="s">
        <v>3</v>
      </c>
      <c r="D122" s="48">
        <f t="shared" si="7"/>
        <v>260</v>
      </c>
      <c r="E122" s="48" t="s">
        <v>3</v>
      </c>
      <c r="F122" s="99">
        <f t="shared" si="8"/>
        <v>1100</v>
      </c>
      <c r="G122" s="48" t="s">
        <v>3</v>
      </c>
      <c r="H122" s="48">
        <v>4</v>
      </c>
      <c r="I122" s="49" t="s">
        <v>46</v>
      </c>
      <c r="J122" s="184">
        <v>150</v>
      </c>
      <c r="K122" s="75">
        <v>260</v>
      </c>
      <c r="L122" s="75">
        <v>1100</v>
      </c>
      <c r="M122" s="202">
        <v>12.255105632373159</v>
      </c>
      <c r="N122" s="87">
        <v>754.97646482999994</v>
      </c>
      <c r="O122" s="123">
        <v>20781.059632837092</v>
      </c>
      <c r="P122" s="119">
        <v>25543.145629525283</v>
      </c>
      <c r="Q122" s="120">
        <v>12774.468427864203</v>
      </c>
      <c r="R122" s="314">
        <v>33555.528060701297</v>
      </c>
      <c r="S122" s="315">
        <v>38317.614057389488</v>
      </c>
      <c r="U122" s="7" t="s">
        <v>3470</v>
      </c>
    </row>
    <row r="123" spans="1:21" ht="16.5" thickBot="1">
      <c r="A123" s="50" t="s">
        <v>35</v>
      </c>
      <c r="B123" s="51">
        <f t="shared" si="6"/>
        <v>150</v>
      </c>
      <c r="C123" s="51" t="s">
        <v>3</v>
      </c>
      <c r="D123" s="51">
        <f t="shared" si="7"/>
        <v>260</v>
      </c>
      <c r="E123" s="51" t="s">
        <v>3</v>
      </c>
      <c r="F123" s="99">
        <f t="shared" si="8"/>
        <v>1150</v>
      </c>
      <c r="G123" s="51" t="s">
        <v>3</v>
      </c>
      <c r="H123" s="48">
        <v>4</v>
      </c>
      <c r="I123" s="49" t="s">
        <v>46</v>
      </c>
      <c r="J123" s="184">
        <v>150</v>
      </c>
      <c r="K123" s="75">
        <v>260</v>
      </c>
      <c r="L123" s="75">
        <v>1150</v>
      </c>
      <c r="M123" s="202">
        <v>12.76340629423842</v>
      </c>
      <c r="N123" s="87">
        <v>805.30822915199997</v>
      </c>
      <c r="O123" s="123">
        <v>21478.173046795469</v>
      </c>
      <c r="P123" s="119">
        <v>26424.229382556754</v>
      </c>
      <c r="Q123" s="120">
        <v>13206.07904023114</v>
      </c>
      <c r="R123" s="314">
        <v>34684.252087026609</v>
      </c>
      <c r="S123" s="315">
        <v>39630.308422787894</v>
      </c>
      <c r="U123" s="7" t="s">
        <v>3471</v>
      </c>
    </row>
    <row r="124" spans="1:21" ht="16.5" thickBot="1">
      <c r="A124" s="50" t="s">
        <v>35</v>
      </c>
      <c r="B124" s="51">
        <f t="shared" si="6"/>
        <v>150</v>
      </c>
      <c r="C124" s="51" t="s">
        <v>3</v>
      </c>
      <c r="D124" s="51">
        <f t="shared" si="7"/>
        <v>260</v>
      </c>
      <c r="E124" s="51" t="s">
        <v>3</v>
      </c>
      <c r="F124" s="99">
        <f t="shared" si="8"/>
        <v>1200</v>
      </c>
      <c r="G124" s="51" t="s">
        <v>3</v>
      </c>
      <c r="H124" s="48">
        <v>4</v>
      </c>
      <c r="I124" s="49" t="s">
        <v>46</v>
      </c>
      <c r="J124" s="184">
        <v>150</v>
      </c>
      <c r="K124" s="75">
        <v>260</v>
      </c>
      <c r="L124" s="75">
        <v>1200</v>
      </c>
      <c r="M124" s="202">
        <v>13.367246956103683</v>
      </c>
      <c r="N124" s="87">
        <v>855.63999347399977</v>
      </c>
      <c r="O124" s="123">
        <v>22252.440896655979</v>
      </c>
      <c r="P124" s="119">
        <v>27382.938591221558</v>
      </c>
      <c r="Q124" s="120">
        <v>13868.271430381354</v>
      </c>
      <c r="R124" s="314">
        <v>36120.712327037334</v>
      </c>
      <c r="S124" s="315">
        <v>41251.210021602914</v>
      </c>
      <c r="U124" s="7" t="s">
        <v>3472</v>
      </c>
    </row>
    <row r="125" spans="1:21" ht="16.5" thickBot="1">
      <c r="A125" s="50" t="s">
        <v>35</v>
      </c>
      <c r="B125" s="51">
        <f t="shared" si="6"/>
        <v>150</v>
      </c>
      <c r="C125" s="51" t="s">
        <v>3</v>
      </c>
      <c r="D125" s="51">
        <f t="shared" si="7"/>
        <v>260</v>
      </c>
      <c r="E125" s="51" t="s">
        <v>3</v>
      </c>
      <c r="F125" s="99">
        <f t="shared" si="8"/>
        <v>1250</v>
      </c>
      <c r="G125" s="51" t="s">
        <v>3</v>
      </c>
      <c r="H125" s="48">
        <v>4</v>
      </c>
      <c r="I125" s="49" t="s">
        <v>46</v>
      </c>
      <c r="J125" s="184">
        <v>150</v>
      </c>
      <c r="K125" s="75">
        <v>260</v>
      </c>
      <c r="L125" s="75">
        <v>1250</v>
      </c>
      <c r="M125" s="202">
        <v>13.875547617968946</v>
      </c>
      <c r="N125" s="87">
        <v>905.97175779599991</v>
      </c>
      <c r="O125" s="123">
        <v>22949.554310614356</v>
      </c>
      <c r="P125" s="119">
        <v>28264.02234425303</v>
      </c>
      <c r="Q125" s="120">
        <v>14299.882042748291</v>
      </c>
      <c r="R125" s="314">
        <v>37249.436353362646</v>
      </c>
      <c r="S125" s="315">
        <v>42563.904387001319</v>
      </c>
      <c r="U125" s="7" t="s">
        <v>3473</v>
      </c>
    </row>
    <row r="126" spans="1:21" ht="16.5" thickBot="1">
      <c r="A126" s="50" t="s">
        <v>35</v>
      </c>
      <c r="B126" s="51">
        <f t="shared" si="6"/>
        <v>150</v>
      </c>
      <c r="C126" s="51" t="s">
        <v>3</v>
      </c>
      <c r="D126" s="51">
        <f t="shared" si="7"/>
        <v>260</v>
      </c>
      <c r="E126" s="51" t="s">
        <v>3</v>
      </c>
      <c r="F126" s="99">
        <f t="shared" si="8"/>
        <v>1300</v>
      </c>
      <c r="G126" s="51" t="s">
        <v>3</v>
      </c>
      <c r="H126" s="48">
        <v>4</v>
      </c>
      <c r="I126" s="49" t="s">
        <v>46</v>
      </c>
      <c r="J126" s="184">
        <v>150</v>
      </c>
      <c r="K126" s="75">
        <v>260</v>
      </c>
      <c r="L126" s="75">
        <v>1300</v>
      </c>
      <c r="M126" s="202">
        <v>14.400888279834211</v>
      </c>
      <c r="N126" s="87">
        <v>956.30352211799982</v>
      </c>
      <c r="O126" s="123">
        <v>23646.66772457273</v>
      </c>
      <c r="P126" s="119">
        <v>29145.106097284504</v>
      </c>
      <c r="Q126" s="120">
        <v>14962.074432898504</v>
      </c>
      <c r="R126" s="314">
        <v>38608.742157471235</v>
      </c>
      <c r="S126" s="315">
        <v>44107.18053018301</v>
      </c>
      <c r="U126" s="7" t="s">
        <v>3474</v>
      </c>
    </row>
    <row r="127" spans="1:21" ht="16.5" thickBot="1">
      <c r="A127" s="50" t="s">
        <v>35</v>
      </c>
      <c r="B127" s="51">
        <f t="shared" si="6"/>
        <v>150</v>
      </c>
      <c r="C127" s="51" t="s">
        <v>3</v>
      </c>
      <c r="D127" s="51">
        <f t="shared" si="7"/>
        <v>260</v>
      </c>
      <c r="E127" s="51" t="s">
        <v>3</v>
      </c>
      <c r="F127" s="99">
        <f t="shared" si="8"/>
        <v>1350</v>
      </c>
      <c r="G127" s="51" t="s">
        <v>3</v>
      </c>
      <c r="H127" s="48">
        <v>4</v>
      </c>
      <c r="I127" s="49" t="s">
        <v>46</v>
      </c>
      <c r="J127" s="184">
        <v>150</v>
      </c>
      <c r="K127" s="75">
        <v>260</v>
      </c>
      <c r="L127" s="75">
        <v>1350</v>
      </c>
      <c r="M127" s="202">
        <v>14.909188941699474</v>
      </c>
      <c r="N127" s="87">
        <v>1006.6352864399998</v>
      </c>
      <c r="O127" s="123">
        <v>24343.781138531103</v>
      </c>
      <c r="P127" s="119">
        <v>30026.189850315983</v>
      </c>
      <c r="Q127" s="120">
        <v>15393.685045265442</v>
      </c>
      <c r="R127" s="314">
        <v>39737.466183796547</v>
      </c>
      <c r="S127" s="315">
        <v>45419.874895581423</v>
      </c>
      <c r="U127" s="7" t="s">
        <v>3475</v>
      </c>
    </row>
    <row r="128" spans="1:21" ht="16.5" thickBot="1">
      <c r="A128" s="50" t="s">
        <v>35</v>
      </c>
      <c r="B128" s="51">
        <f t="shared" si="6"/>
        <v>150</v>
      </c>
      <c r="C128" s="51" t="s">
        <v>3</v>
      </c>
      <c r="D128" s="51">
        <f t="shared" si="7"/>
        <v>260</v>
      </c>
      <c r="E128" s="51" t="s">
        <v>3</v>
      </c>
      <c r="F128" s="99">
        <f t="shared" si="8"/>
        <v>1400</v>
      </c>
      <c r="G128" s="51" t="s">
        <v>3</v>
      </c>
      <c r="H128" s="48">
        <v>4</v>
      </c>
      <c r="I128" s="49" t="s">
        <v>46</v>
      </c>
      <c r="J128" s="184">
        <v>150</v>
      </c>
      <c r="K128" s="75">
        <v>260</v>
      </c>
      <c r="L128" s="75">
        <v>1400</v>
      </c>
      <c r="M128" s="202">
        <v>15.434529603564737</v>
      </c>
      <c r="N128" s="87">
        <v>1056.9670507619999</v>
      </c>
      <c r="O128" s="123">
        <v>25040.894552489481</v>
      </c>
      <c r="P128" s="119">
        <v>30907.273603347458</v>
      </c>
      <c r="Q128" s="120">
        <v>16055.877435415654</v>
      </c>
      <c r="R128" s="314">
        <v>41096.771987905136</v>
      </c>
      <c r="S128" s="315">
        <v>46963.151038763113</v>
      </c>
      <c r="U128" s="7" t="s">
        <v>3476</v>
      </c>
    </row>
    <row r="129" spans="1:21" ht="16.5" thickBot="1">
      <c r="A129" s="50" t="s">
        <v>35</v>
      </c>
      <c r="B129" s="51">
        <f t="shared" si="6"/>
        <v>150</v>
      </c>
      <c r="C129" s="51" t="s">
        <v>3</v>
      </c>
      <c r="D129" s="51">
        <f t="shared" si="7"/>
        <v>260</v>
      </c>
      <c r="E129" s="51" t="s">
        <v>3</v>
      </c>
      <c r="F129" s="99">
        <f t="shared" si="8"/>
        <v>1450</v>
      </c>
      <c r="G129" s="51" t="s">
        <v>3</v>
      </c>
      <c r="H129" s="48">
        <v>4</v>
      </c>
      <c r="I129" s="49" t="s">
        <v>46</v>
      </c>
      <c r="J129" s="184">
        <v>150</v>
      </c>
      <c r="K129" s="75">
        <v>260</v>
      </c>
      <c r="L129" s="75">
        <v>1450</v>
      </c>
      <c r="M129" s="202">
        <v>15.94283026543</v>
      </c>
      <c r="N129" s="87">
        <v>1107.2988150839999</v>
      </c>
      <c r="O129" s="123">
        <v>25738.008106841215</v>
      </c>
      <c r="P129" s="119">
        <v>31788.357356378932</v>
      </c>
      <c r="Q129" s="120">
        <v>16487.48804778259</v>
      </c>
      <c r="R129" s="314">
        <v>42225.496154623805</v>
      </c>
      <c r="S129" s="315">
        <v>48275.845404161519</v>
      </c>
      <c r="U129" s="7" t="s">
        <v>3477</v>
      </c>
    </row>
    <row r="130" spans="1:21" ht="16.5" thickBot="1">
      <c r="A130" s="50" t="s">
        <v>35</v>
      </c>
      <c r="B130" s="51">
        <f t="shared" si="6"/>
        <v>150</v>
      </c>
      <c r="C130" s="51" t="s">
        <v>3</v>
      </c>
      <c r="D130" s="51">
        <f t="shared" si="7"/>
        <v>260</v>
      </c>
      <c r="E130" s="51" t="s">
        <v>3</v>
      </c>
      <c r="F130" s="99">
        <f t="shared" si="8"/>
        <v>1500</v>
      </c>
      <c r="G130" s="51" t="s">
        <v>3</v>
      </c>
      <c r="H130" s="48">
        <v>4</v>
      </c>
      <c r="I130" s="49" t="s">
        <v>46</v>
      </c>
      <c r="J130" s="184">
        <v>150</v>
      </c>
      <c r="K130" s="75">
        <v>260</v>
      </c>
      <c r="L130" s="75">
        <v>1500</v>
      </c>
      <c r="M130" s="202">
        <v>16.611273270595262</v>
      </c>
      <c r="N130" s="87">
        <v>1157.6305794059997</v>
      </c>
      <c r="O130" s="123">
        <v>27046.458942464709</v>
      </c>
      <c r="P130" s="119">
        <v>33243.74065614758</v>
      </c>
      <c r="Q130" s="120">
        <v>17149.680437932802</v>
      </c>
      <c r="R130" s="314">
        <v>44196.139380397508</v>
      </c>
      <c r="S130" s="315">
        <v>50393.421094080382</v>
      </c>
      <c r="U130" s="7" t="s">
        <v>3478</v>
      </c>
    </row>
    <row r="131" spans="1:21" ht="16.5" thickBot="1">
      <c r="A131" s="50" t="s">
        <v>35</v>
      </c>
      <c r="B131" s="51">
        <f t="shared" si="6"/>
        <v>150</v>
      </c>
      <c r="C131" s="51" t="s">
        <v>3</v>
      </c>
      <c r="D131" s="51">
        <f t="shared" si="7"/>
        <v>260</v>
      </c>
      <c r="E131" s="51" t="s">
        <v>3</v>
      </c>
      <c r="F131" s="99">
        <f t="shared" si="8"/>
        <v>1550</v>
      </c>
      <c r="G131" s="51" t="s">
        <v>3</v>
      </c>
      <c r="H131" s="48">
        <v>4</v>
      </c>
      <c r="I131" s="49" t="s">
        <v>46</v>
      </c>
      <c r="J131" s="184">
        <v>150</v>
      </c>
      <c r="K131" s="75">
        <v>260</v>
      </c>
      <c r="L131" s="75">
        <v>1550</v>
      </c>
      <c r="M131" s="202">
        <v>17.119573932460526</v>
      </c>
      <c r="N131" s="87">
        <v>1207.962343728</v>
      </c>
      <c r="O131" s="123">
        <v>27743.572356423079</v>
      </c>
      <c r="P131" s="119">
        <v>34124.824409179062</v>
      </c>
      <c r="Q131" s="120">
        <v>17581.29105029974</v>
      </c>
      <c r="R131" s="314">
        <v>45324.863406722819</v>
      </c>
      <c r="S131" s="315">
        <v>51706.115459478802</v>
      </c>
      <c r="U131" s="7" t="s">
        <v>3479</v>
      </c>
    </row>
    <row r="132" spans="1:21" ht="16.5" thickBot="1">
      <c r="A132" s="47" t="s">
        <v>35</v>
      </c>
      <c r="B132" s="48">
        <f t="shared" si="6"/>
        <v>150</v>
      </c>
      <c r="C132" s="48" t="s">
        <v>3</v>
      </c>
      <c r="D132" s="48">
        <f t="shared" si="7"/>
        <v>260</v>
      </c>
      <c r="E132" s="48" t="s">
        <v>3</v>
      </c>
      <c r="F132" s="99">
        <f t="shared" si="8"/>
        <v>1600</v>
      </c>
      <c r="G132" s="48" t="s">
        <v>3</v>
      </c>
      <c r="H132" s="48">
        <v>4</v>
      </c>
      <c r="I132" s="49" t="s">
        <v>46</v>
      </c>
      <c r="J132" s="184">
        <v>150</v>
      </c>
      <c r="K132" s="75">
        <v>260</v>
      </c>
      <c r="L132" s="75">
        <v>1600</v>
      </c>
      <c r="M132" s="202">
        <v>17.627874594325789</v>
      </c>
      <c r="N132" s="87">
        <v>1258.2941080499997</v>
      </c>
      <c r="O132" s="123">
        <v>28440.685770381457</v>
      </c>
      <c r="P132" s="119">
        <v>35005.908162210537</v>
      </c>
      <c r="Q132" s="120">
        <v>18012.901662666678</v>
      </c>
      <c r="R132" s="314">
        <v>46453.587433048131</v>
      </c>
      <c r="S132" s="315">
        <v>53018.809824877215</v>
      </c>
      <c r="U132" s="7" t="s">
        <v>3480</v>
      </c>
    </row>
    <row r="133" spans="1:21" ht="16.5" thickBot="1">
      <c r="A133" s="50" t="s">
        <v>35</v>
      </c>
      <c r="B133" s="51">
        <f t="shared" si="6"/>
        <v>150</v>
      </c>
      <c r="C133" s="51" t="s">
        <v>3</v>
      </c>
      <c r="D133" s="51">
        <f t="shared" si="7"/>
        <v>260</v>
      </c>
      <c r="E133" s="51" t="s">
        <v>3</v>
      </c>
      <c r="F133" s="99">
        <f t="shared" si="8"/>
        <v>1650</v>
      </c>
      <c r="G133" s="51" t="s">
        <v>3</v>
      </c>
      <c r="H133" s="48">
        <v>4</v>
      </c>
      <c r="I133" s="49" t="s">
        <v>46</v>
      </c>
      <c r="J133" s="184">
        <v>150</v>
      </c>
      <c r="K133" s="75">
        <v>260</v>
      </c>
      <c r="L133" s="75">
        <v>1650</v>
      </c>
      <c r="M133" s="202">
        <v>18.153215256191054</v>
      </c>
      <c r="N133" s="87">
        <v>1308.6258723719998</v>
      </c>
      <c r="O133" s="123">
        <v>29137.79918433983</v>
      </c>
      <c r="P133" s="119">
        <v>35886.991915242004</v>
      </c>
      <c r="Q133" s="120">
        <v>18675.09391242353</v>
      </c>
      <c r="R133" s="314">
        <v>47812.893096763364</v>
      </c>
      <c r="S133" s="315">
        <v>54562.085827665534</v>
      </c>
      <c r="U133" s="7" t="s">
        <v>3481</v>
      </c>
    </row>
    <row r="134" spans="1:21" ht="16.5" thickBot="1">
      <c r="A134" s="50" t="s">
        <v>35</v>
      </c>
      <c r="B134" s="51">
        <f t="shared" si="6"/>
        <v>150</v>
      </c>
      <c r="C134" s="51" t="s">
        <v>3</v>
      </c>
      <c r="D134" s="51">
        <f t="shared" si="7"/>
        <v>260</v>
      </c>
      <c r="E134" s="51" t="s">
        <v>3</v>
      </c>
      <c r="F134" s="99">
        <f t="shared" si="8"/>
        <v>1700</v>
      </c>
      <c r="G134" s="51" t="s">
        <v>3</v>
      </c>
      <c r="H134" s="48">
        <v>4</v>
      </c>
      <c r="I134" s="49" t="s">
        <v>46</v>
      </c>
      <c r="J134" s="184">
        <v>150</v>
      </c>
      <c r="K134" s="75">
        <v>260</v>
      </c>
      <c r="L134" s="75">
        <v>1700</v>
      </c>
      <c r="M134" s="202">
        <v>18.661515918056317</v>
      </c>
      <c r="N134" s="87">
        <v>1358.957636694</v>
      </c>
      <c r="O134" s="123">
        <v>29834.912598298208</v>
      </c>
      <c r="P134" s="119">
        <v>36768.075668273479</v>
      </c>
      <c r="Q134" s="120">
        <v>19106.704524790468</v>
      </c>
      <c r="R134" s="314">
        <v>48941.617123088676</v>
      </c>
      <c r="S134" s="315">
        <v>55874.780193063947</v>
      </c>
      <c r="U134" s="7" t="s">
        <v>3482</v>
      </c>
    </row>
    <row r="135" spans="1:21" ht="16.5" thickBot="1">
      <c r="A135" s="50" t="s">
        <v>35</v>
      </c>
      <c r="B135" s="51">
        <f t="shared" si="6"/>
        <v>150</v>
      </c>
      <c r="C135" s="51" t="s">
        <v>3</v>
      </c>
      <c r="D135" s="51">
        <f t="shared" si="7"/>
        <v>260</v>
      </c>
      <c r="E135" s="51" t="s">
        <v>3</v>
      </c>
      <c r="F135" s="99">
        <f t="shared" si="8"/>
        <v>1750</v>
      </c>
      <c r="G135" s="51" t="s">
        <v>3</v>
      </c>
      <c r="H135" s="48">
        <v>4</v>
      </c>
      <c r="I135" s="49" t="s">
        <v>46</v>
      </c>
      <c r="J135" s="184">
        <v>150</v>
      </c>
      <c r="K135" s="75">
        <v>260</v>
      </c>
      <c r="L135" s="75">
        <v>1750</v>
      </c>
      <c r="M135" s="202">
        <v>19.186856579921574</v>
      </c>
      <c r="N135" s="87">
        <v>1409.2894010159996</v>
      </c>
      <c r="O135" s="123">
        <v>30532.026012256585</v>
      </c>
      <c r="P135" s="119">
        <v>37649.159421304961</v>
      </c>
      <c r="Q135" s="120">
        <v>19768.89691494068</v>
      </c>
      <c r="R135" s="314">
        <v>50300.922927197265</v>
      </c>
      <c r="S135" s="315">
        <v>57418.056336245645</v>
      </c>
      <c r="U135" s="7" t="s">
        <v>3483</v>
      </c>
    </row>
    <row r="136" spans="1:21" ht="16.5" thickBot="1">
      <c r="A136" s="50" t="s">
        <v>35</v>
      </c>
      <c r="B136" s="51">
        <f t="shared" si="6"/>
        <v>150</v>
      </c>
      <c r="C136" s="51" t="s">
        <v>3</v>
      </c>
      <c r="D136" s="51">
        <f t="shared" si="7"/>
        <v>260</v>
      </c>
      <c r="E136" s="51" t="s">
        <v>3</v>
      </c>
      <c r="F136" s="99">
        <f t="shared" si="8"/>
        <v>1800</v>
      </c>
      <c r="G136" s="51" t="s">
        <v>3</v>
      </c>
      <c r="H136" s="48">
        <v>4</v>
      </c>
      <c r="I136" s="49" t="s">
        <v>46</v>
      </c>
      <c r="J136" s="184">
        <v>150</v>
      </c>
      <c r="K136" s="75">
        <v>260</v>
      </c>
      <c r="L136" s="75">
        <v>1800</v>
      </c>
      <c r="M136" s="202">
        <v>19.695157241786841</v>
      </c>
      <c r="N136" s="87">
        <v>1459.6211653379996</v>
      </c>
      <c r="O136" s="123">
        <v>31229.139426214955</v>
      </c>
      <c r="P136" s="119">
        <v>38530.243174336436</v>
      </c>
      <c r="Q136" s="120">
        <v>20200.507527307618</v>
      </c>
      <c r="R136" s="314">
        <v>51429.646953522577</v>
      </c>
      <c r="S136" s="315">
        <v>58730.75070164405</v>
      </c>
      <c r="U136" s="7" t="s">
        <v>3484</v>
      </c>
    </row>
    <row r="137" spans="1:21" ht="16.5" thickBot="1">
      <c r="A137" s="50" t="s">
        <v>35</v>
      </c>
      <c r="B137" s="51">
        <f t="shared" si="6"/>
        <v>150</v>
      </c>
      <c r="C137" s="51" t="s">
        <v>3</v>
      </c>
      <c r="D137" s="51">
        <f t="shared" si="7"/>
        <v>260</v>
      </c>
      <c r="E137" s="51" t="s">
        <v>3</v>
      </c>
      <c r="F137" s="99">
        <f t="shared" si="8"/>
        <v>1850</v>
      </c>
      <c r="G137" s="51" t="s">
        <v>3</v>
      </c>
      <c r="H137" s="48">
        <v>4</v>
      </c>
      <c r="I137" s="49" t="s">
        <v>46</v>
      </c>
      <c r="J137" s="184">
        <v>150</v>
      </c>
      <c r="K137" s="75">
        <v>260</v>
      </c>
      <c r="L137" s="75">
        <v>1850</v>
      </c>
      <c r="M137" s="202">
        <v>20.220497903652106</v>
      </c>
      <c r="N137" s="87">
        <v>1509.9529296599999</v>
      </c>
      <c r="O137" s="123">
        <v>31926.252840173333</v>
      </c>
      <c r="P137" s="119">
        <v>39411.327067761267</v>
      </c>
      <c r="Q137" s="120">
        <v>20862.69991745783</v>
      </c>
      <c r="R137" s="314">
        <v>52788.952757631167</v>
      </c>
      <c r="S137" s="315">
        <v>60274.026985219098</v>
      </c>
      <c r="U137" s="7" t="s">
        <v>3485</v>
      </c>
    </row>
    <row r="138" spans="1:21" ht="16.5" thickBot="1">
      <c r="A138" s="50" t="s">
        <v>35</v>
      </c>
      <c r="B138" s="51">
        <f t="shared" si="6"/>
        <v>150</v>
      </c>
      <c r="C138" s="51" t="s">
        <v>3</v>
      </c>
      <c r="D138" s="51">
        <f t="shared" si="7"/>
        <v>260</v>
      </c>
      <c r="E138" s="51" t="s">
        <v>3</v>
      </c>
      <c r="F138" s="99">
        <f t="shared" si="8"/>
        <v>1900</v>
      </c>
      <c r="G138" s="51" t="s">
        <v>3</v>
      </c>
      <c r="H138" s="48">
        <v>4</v>
      </c>
      <c r="I138" s="49" t="s">
        <v>46</v>
      </c>
      <c r="J138" s="184">
        <v>150</v>
      </c>
      <c r="K138" s="75">
        <v>260</v>
      </c>
      <c r="L138" s="75">
        <v>1900</v>
      </c>
      <c r="M138" s="202">
        <v>20.728798565517366</v>
      </c>
      <c r="N138" s="87">
        <v>1560.2846939819997</v>
      </c>
      <c r="O138" s="123">
        <v>32623.366254131706</v>
      </c>
      <c r="P138" s="119">
        <v>40292.410820792749</v>
      </c>
      <c r="Q138" s="120">
        <v>21294.310529824768</v>
      </c>
      <c r="R138" s="314">
        <v>53917.676783956471</v>
      </c>
      <c r="S138" s="315">
        <v>61586.721350617518</v>
      </c>
      <c r="U138" s="7" t="s">
        <v>3486</v>
      </c>
    </row>
    <row r="139" spans="1:21" ht="16.5" thickBot="1">
      <c r="A139" s="50" t="s">
        <v>35</v>
      </c>
      <c r="B139" s="51">
        <f t="shared" si="6"/>
        <v>150</v>
      </c>
      <c r="C139" s="51" t="s">
        <v>3</v>
      </c>
      <c r="D139" s="51">
        <f t="shared" si="7"/>
        <v>260</v>
      </c>
      <c r="E139" s="51" t="s">
        <v>3</v>
      </c>
      <c r="F139" s="99">
        <f t="shared" si="8"/>
        <v>1950</v>
      </c>
      <c r="G139" s="51" t="s">
        <v>3</v>
      </c>
      <c r="H139" s="48">
        <v>4</v>
      </c>
      <c r="I139" s="49" t="s">
        <v>46</v>
      </c>
      <c r="J139" s="184">
        <v>150</v>
      </c>
      <c r="K139" s="75">
        <v>260</v>
      </c>
      <c r="L139" s="75">
        <v>1950</v>
      </c>
      <c r="M139" s="202">
        <v>21.315599227382631</v>
      </c>
      <c r="N139" s="87">
        <v>1610.6164583039999</v>
      </c>
      <c r="O139" s="123">
        <v>33397.634103992219</v>
      </c>
      <c r="P139" s="119">
        <v>41251.119889064183</v>
      </c>
      <c r="Q139" s="120">
        <v>21725.921142191706</v>
      </c>
      <c r="R139" s="314">
        <v>55123.555246183925</v>
      </c>
      <c r="S139" s="315">
        <v>62977.041031255889</v>
      </c>
      <c r="U139" s="7" t="s">
        <v>3487</v>
      </c>
    </row>
    <row r="140" spans="1:21" ht="16.5" thickBot="1">
      <c r="A140" s="50" t="s">
        <v>35</v>
      </c>
      <c r="B140" s="51">
        <f t="shared" si="6"/>
        <v>150</v>
      </c>
      <c r="C140" s="51" t="s">
        <v>3</v>
      </c>
      <c r="D140" s="51">
        <f t="shared" si="7"/>
        <v>260</v>
      </c>
      <c r="E140" s="51" t="s">
        <v>3</v>
      </c>
      <c r="F140" s="99">
        <f t="shared" si="8"/>
        <v>2000</v>
      </c>
      <c r="G140" s="51" t="s">
        <v>3</v>
      </c>
      <c r="H140" s="48">
        <v>4</v>
      </c>
      <c r="I140" s="49" t="s">
        <v>46</v>
      </c>
      <c r="J140" s="184">
        <v>150</v>
      </c>
      <c r="K140" s="75">
        <v>260</v>
      </c>
      <c r="L140" s="75">
        <v>2000</v>
      </c>
      <c r="M140" s="202">
        <v>21.932502289247896</v>
      </c>
      <c r="N140" s="87">
        <v>1660.948222626</v>
      </c>
      <c r="O140" s="123">
        <v>34325.290547165823</v>
      </c>
      <c r="P140" s="119">
        <v>42444.88451000832</v>
      </c>
      <c r="Q140" s="120">
        <v>22388.113532341918</v>
      </c>
      <c r="R140" s="314">
        <v>56713.404079507745</v>
      </c>
      <c r="S140" s="315">
        <v>64832.998042350242</v>
      </c>
      <c r="U140" s="7" t="s">
        <v>3488</v>
      </c>
    </row>
    <row r="141" spans="1:21" ht="16.5" thickBot="1">
      <c r="A141" s="50" t="s">
        <v>35</v>
      </c>
      <c r="B141" s="51">
        <f t="shared" si="6"/>
        <v>150</v>
      </c>
      <c r="C141" s="51" t="s">
        <v>3</v>
      </c>
      <c r="D141" s="51">
        <f t="shared" si="7"/>
        <v>260</v>
      </c>
      <c r="E141" s="51" t="s">
        <v>3</v>
      </c>
      <c r="F141" s="99">
        <f t="shared" si="8"/>
        <v>2050</v>
      </c>
      <c r="G141" s="51" t="s">
        <v>3</v>
      </c>
      <c r="H141" s="48">
        <v>4</v>
      </c>
      <c r="I141" s="49" t="s">
        <v>46</v>
      </c>
      <c r="J141" s="184">
        <v>150</v>
      </c>
      <c r="K141" s="75">
        <v>260</v>
      </c>
      <c r="L141" s="75">
        <v>2050</v>
      </c>
      <c r="M141" s="202">
        <v>22.440802951113156</v>
      </c>
      <c r="N141" s="87">
        <v>1711.2799869479995</v>
      </c>
      <c r="O141" s="123">
        <v>35022.40396112419</v>
      </c>
      <c r="P141" s="119">
        <v>43325.968263039795</v>
      </c>
      <c r="Q141" s="120">
        <v>22819.724144708856</v>
      </c>
      <c r="R141" s="314">
        <v>57842.12810583305</v>
      </c>
      <c r="S141" s="315">
        <v>66145.692407748647</v>
      </c>
      <c r="U141" s="7" t="s">
        <v>3489</v>
      </c>
    </row>
    <row r="142" spans="1:21" ht="16.5" thickBot="1">
      <c r="A142" s="47" t="s">
        <v>35</v>
      </c>
      <c r="B142" s="48">
        <f t="shared" si="6"/>
        <v>150</v>
      </c>
      <c r="C142" s="48" t="s">
        <v>3</v>
      </c>
      <c r="D142" s="48">
        <f t="shared" si="7"/>
        <v>260</v>
      </c>
      <c r="E142" s="48" t="s">
        <v>3</v>
      </c>
      <c r="F142" s="99">
        <f t="shared" si="8"/>
        <v>2100</v>
      </c>
      <c r="G142" s="48" t="s">
        <v>3</v>
      </c>
      <c r="H142" s="48">
        <v>4</v>
      </c>
      <c r="I142" s="49" t="s">
        <v>46</v>
      </c>
      <c r="J142" s="184">
        <v>150</v>
      </c>
      <c r="K142" s="75">
        <v>260</v>
      </c>
      <c r="L142" s="75">
        <v>2100</v>
      </c>
      <c r="M142" s="202">
        <v>22.966143612978421</v>
      </c>
      <c r="N142" s="87">
        <v>1761.6117512699998</v>
      </c>
      <c r="O142" s="123">
        <v>35719.517375082571</v>
      </c>
      <c r="P142" s="119">
        <v>44207.052016071277</v>
      </c>
      <c r="Q142" s="120">
        <v>23481.916534859069</v>
      </c>
      <c r="R142" s="314">
        <v>59201.433909941639</v>
      </c>
      <c r="S142" s="315">
        <v>67688.968550930353</v>
      </c>
      <c r="U142" s="7" t="s">
        <v>3490</v>
      </c>
    </row>
    <row r="143" spans="1:21" ht="16.5" thickBot="1">
      <c r="A143" s="50" t="s">
        <v>35</v>
      </c>
      <c r="B143" s="51">
        <f t="shared" si="6"/>
        <v>150</v>
      </c>
      <c r="C143" s="51" t="s">
        <v>3</v>
      </c>
      <c r="D143" s="51">
        <f t="shared" si="7"/>
        <v>260</v>
      </c>
      <c r="E143" s="51" t="s">
        <v>3</v>
      </c>
      <c r="F143" s="99">
        <f t="shared" si="8"/>
        <v>2150</v>
      </c>
      <c r="G143" s="51" t="s">
        <v>3</v>
      </c>
      <c r="H143" s="48">
        <v>4</v>
      </c>
      <c r="I143" s="49" t="s">
        <v>46</v>
      </c>
      <c r="J143" s="184">
        <v>150</v>
      </c>
      <c r="K143" s="75">
        <v>260</v>
      </c>
      <c r="L143" s="75">
        <v>2150</v>
      </c>
      <c r="M143" s="202">
        <v>23.474444274843684</v>
      </c>
      <c r="N143" s="87">
        <v>1811.9435155919998</v>
      </c>
      <c r="O143" s="123">
        <v>36416.630789040944</v>
      </c>
      <c r="P143" s="119">
        <v>45088.135769102744</v>
      </c>
      <c r="Q143" s="120">
        <v>23913.527147226006</v>
      </c>
      <c r="R143" s="314">
        <v>60330.157936266951</v>
      </c>
      <c r="S143" s="315">
        <v>69001.662916328758</v>
      </c>
      <c r="U143" s="7" t="s">
        <v>3491</v>
      </c>
    </row>
    <row r="144" spans="1:21" ht="16.5" thickBot="1">
      <c r="A144" s="50" t="s">
        <v>35</v>
      </c>
      <c r="B144" s="51">
        <f t="shared" si="6"/>
        <v>150</v>
      </c>
      <c r="C144" s="51" t="s">
        <v>3</v>
      </c>
      <c r="D144" s="51">
        <f t="shared" si="7"/>
        <v>260</v>
      </c>
      <c r="E144" s="51" t="s">
        <v>3</v>
      </c>
      <c r="F144" s="99">
        <f t="shared" si="8"/>
        <v>2200</v>
      </c>
      <c r="G144" s="51" t="s">
        <v>3</v>
      </c>
      <c r="H144" s="48">
        <v>4</v>
      </c>
      <c r="I144" s="49" t="s">
        <v>46</v>
      </c>
      <c r="J144" s="184">
        <v>150</v>
      </c>
      <c r="K144" s="75">
        <v>260</v>
      </c>
      <c r="L144" s="75">
        <v>2200</v>
      </c>
      <c r="M144" s="202">
        <v>23.999784936708949</v>
      </c>
      <c r="N144" s="87">
        <v>1862.2752799139994</v>
      </c>
      <c r="O144" s="123">
        <v>37113.744343392682</v>
      </c>
      <c r="P144" s="119">
        <v>45969.219522134219</v>
      </c>
      <c r="Q144" s="120">
        <v>24575.719537376219</v>
      </c>
      <c r="R144" s="314">
        <v>61689.463880768904</v>
      </c>
      <c r="S144" s="315">
        <v>70544.939059510434</v>
      </c>
      <c r="U144" s="7" t="s">
        <v>3492</v>
      </c>
    </row>
    <row r="145" spans="1:21" ht="16.5" thickBot="1">
      <c r="A145" s="50" t="s">
        <v>35</v>
      </c>
      <c r="B145" s="51">
        <f t="shared" si="6"/>
        <v>150</v>
      </c>
      <c r="C145" s="51" t="s">
        <v>3</v>
      </c>
      <c r="D145" s="51">
        <f t="shared" si="7"/>
        <v>260</v>
      </c>
      <c r="E145" s="51" t="s">
        <v>3</v>
      </c>
      <c r="F145" s="99">
        <f t="shared" si="8"/>
        <v>2250</v>
      </c>
      <c r="G145" s="51" t="s">
        <v>3</v>
      </c>
      <c r="H145" s="48">
        <v>4</v>
      </c>
      <c r="I145" s="49" t="s">
        <v>46</v>
      </c>
      <c r="J145" s="184">
        <v>150</v>
      </c>
      <c r="K145" s="75">
        <v>260</v>
      </c>
      <c r="L145" s="75">
        <v>2250</v>
      </c>
      <c r="M145" s="202">
        <v>24.508085598574205</v>
      </c>
      <c r="N145" s="87">
        <v>1912.6070442359996</v>
      </c>
      <c r="O145" s="123">
        <v>37810.857757351063</v>
      </c>
      <c r="P145" s="119">
        <v>46850.303275165701</v>
      </c>
      <c r="Q145" s="120">
        <v>25007.330009349789</v>
      </c>
      <c r="R145" s="314">
        <v>62818.187766700852</v>
      </c>
      <c r="S145" s="315">
        <v>71857.633284515498</v>
      </c>
      <c r="U145" s="7" t="s">
        <v>3493</v>
      </c>
    </row>
    <row r="146" spans="1:21" ht="16.5" thickBot="1">
      <c r="A146" s="50" t="s">
        <v>35</v>
      </c>
      <c r="B146" s="51">
        <f t="shared" si="6"/>
        <v>150</v>
      </c>
      <c r="C146" s="51" t="s">
        <v>3</v>
      </c>
      <c r="D146" s="51">
        <f t="shared" si="7"/>
        <v>260</v>
      </c>
      <c r="E146" s="51" t="s">
        <v>3</v>
      </c>
      <c r="F146" s="99">
        <f t="shared" si="8"/>
        <v>2300</v>
      </c>
      <c r="G146" s="51" t="s">
        <v>3</v>
      </c>
      <c r="H146" s="48">
        <v>4</v>
      </c>
      <c r="I146" s="49" t="s">
        <v>46</v>
      </c>
      <c r="J146" s="184">
        <v>150</v>
      </c>
      <c r="K146" s="75">
        <v>260</v>
      </c>
      <c r="L146" s="75">
        <v>2300</v>
      </c>
      <c r="M146" s="202">
        <v>25.016386260439475</v>
      </c>
      <c r="N146" s="87">
        <v>1962.9388085579997</v>
      </c>
      <c r="O146" s="123">
        <v>38507.971171309429</v>
      </c>
      <c r="P146" s="119">
        <v>47731.387028197176</v>
      </c>
      <c r="Q146" s="120">
        <v>25438.940621716731</v>
      </c>
      <c r="R146" s="314">
        <v>63946.911793026156</v>
      </c>
      <c r="S146" s="315">
        <v>73170.327649913903</v>
      </c>
      <c r="U146" s="7" t="s">
        <v>3494</v>
      </c>
    </row>
    <row r="147" spans="1:21" ht="16.5" thickBot="1">
      <c r="A147" s="50" t="s">
        <v>35</v>
      </c>
      <c r="B147" s="51">
        <f t="shared" si="6"/>
        <v>150</v>
      </c>
      <c r="C147" s="51" t="s">
        <v>3</v>
      </c>
      <c r="D147" s="51">
        <f t="shared" si="7"/>
        <v>260</v>
      </c>
      <c r="E147" s="51" t="s">
        <v>3</v>
      </c>
      <c r="F147" s="99">
        <f t="shared" si="8"/>
        <v>2350</v>
      </c>
      <c r="G147" s="51" t="s">
        <v>3</v>
      </c>
      <c r="H147" s="48">
        <v>4</v>
      </c>
      <c r="I147" s="49" t="s">
        <v>46</v>
      </c>
      <c r="J147" s="184">
        <v>150</v>
      </c>
      <c r="K147" s="75">
        <v>260</v>
      </c>
      <c r="L147" s="75">
        <v>2350</v>
      </c>
      <c r="M147" s="202">
        <v>25.54172692230474</v>
      </c>
      <c r="N147" s="87">
        <v>2013.2705728799997</v>
      </c>
      <c r="O147" s="123">
        <v>39205.08458526781</v>
      </c>
      <c r="P147" s="119">
        <v>48612.470781228643</v>
      </c>
      <c r="Q147" s="120">
        <v>26101.133011866939</v>
      </c>
      <c r="R147" s="314">
        <v>65306.217597134746</v>
      </c>
      <c r="S147" s="315">
        <v>74713.603793095579</v>
      </c>
      <c r="U147" s="7" t="s">
        <v>3495</v>
      </c>
    </row>
    <row r="148" spans="1:21" ht="16.5" thickBot="1">
      <c r="A148" s="50" t="s">
        <v>35</v>
      </c>
      <c r="B148" s="51">
        <f t="shared" si="6"/>
        <v>150</v>
      </c>
      <c r="C148" s="51" t="s">
        <v>3</v>
      </c>
      <c r="D148" s="51">
        <f t="shared" si="7"/>
        <v>260</v>
      </c>
      <c r="E148" s="51" t="s">
        <v>3</v>
      </c>
      <c r="F148" s="99">
        <f t="shared" si="8"/>
        <v>2400</v>
      </c>
      <c r="G148" s="51" t="s">
        <v>3</v>
      </c>
      <c r="H148" s="48">
        <v>4</v>
      </c>
      <c r="I148" s="49" t="s">
        <v>46</v>
      </c>
      <c r="J148" s="184">
        <v>150</v>
      </c>
      <c r="K148" s="75">
        <v>260</v>
      </c>
      <c r="L148" s="75">
        <v>2400</v>
      </c>
      <c r="M148" s="202">
        <v>26.050027584169996</v>
      </c>
      <c r="N148" s="87">
        <v>2063.6023372019995</v>
      </c>
      <c r="O148" s="123">
        <v>39902.197999226184</v>
      </c>
      <c r="P148" s="119">
        <v>49493.554534260125</v>
      </c>
      <c r="Q148" s="120">
        <v>26532.743624233881</v>
      </c>
      <c r="R148" s="314">
        <v>66434.941623460065</v>
      </c>
      <c r="S148" s="315">
        <v>76026.298158493999</v>
      </c>
      <c r="U148" s="7" t="s">
        <v>3496</v>
      </c>
    </row>
    <row r="149" spans="1:21" ht="16.5" thickBot="1">
      <c r="A149" s="50" t="s">
        <v>35</v>
      </c>
      <c r="B149" s="51">
        <f t="shared" si="6"/>
        <v>150</v>
      </c>
      <c r="C149" s="51" t="s">
        <v>3</v>
      </c>
      <c r="D149" s="51">
        <f t="shared" si="7"/>
        <v>260</v>
      </c>
      <c r="E149" s="51" t="s">
        <v>3</v>
      </c>
      <c r="F149" s="99">
        <f t="shared" si="8"/>
        <v>2450</v>
      </c>
      <c r="G149" s="51" t="s">
        <v>3</v>
      </c>
      <c r="H149" s="48">
        <v>4</v>
      </c>
      <c r="I149" s="49" t="s">
        <v>46</v>
      </c>
      <c r="J149" s="184">
        <v>150</v>
      </c>
      <c r="K149" s="75">
        <v>260</v>
      </c>
      <c r="L149" s="75">
        <v>2450</v>
      </c>
      <c r="M149" s="202">
        <v>26.718470589335261</v>
      </c>
      <c r="N149" s="87">
        <v>2113.9341015239997</v>
      </c>
      <c r="O149" s="123">
        <v>41210.648834849671</v>
      </c>
      <c r="P149" s="119">
        <v>50948.937834028766</v>
      </c>
      <c r="Q149" s="120">
        <v>27194.936014384097</v>
      </c>
      <c r="R149" s="314">
        <v>68405.584849233768</v>
      </c>
      <c r="S149" s="315">
        <v>78143.873848412855</v>
      </c>
      <c r="U149" s="7" t="s">
        <v>3497</v>
      </c>
    </row>
    <row r="150" spans="1:21" ht="16.5" thickBot="1">
      <c r="A150" s="50" t="s">
        <v>35</v>
      </c>
      <c r="B150" s="51">
        <f t="shared" si="6"/>
        <v>150</v>
      </c>
      <c r="C150" s="51" t="s">
        <v>3</v>
      </c>
      <c r="D150" s="51">
        <f t="shared" si="7"/>
        <v>260</v>
      </c>
      <c r="E150" s="51" t="s">
        <v>3</v>
      </c>
      <c r="F150" s="99">
        <f t="shared" si="8"/>
        <v>2500</v>
      </c>
      <c r="G150" s="51" t="s">
        <v>3</v>
      </c>
      <c r="H150" s="48">
        <v>4</v>
      </c>
      <c r="I150" s="49" t="s">
        <v>46</v>
      </c>
      <c r="J150" s="184">
        <v>150</v>
      </c>
      <c r="K150" s="75">
        <v>260</v>
      </c>
      <c r="L150" s="75">
        <v>2500</v>
      </c>
      <c r="M150" s="202">
        <v>27.226771251200525</v>
      </c>
      <c r="N150" s="87">
        <v>2164.2658658459995</v>
      </c>
      <c r="O150" s="123">
        <v>41907.762248808045</v>
      </c>
      <c r="P150" s="119">
        <v>51830.021587060248</v>
      </c>
      <c r="Q150" s="120">
        <v>27626.546626751031</v>
      </c>
      <c r="R150" s="314">
        <v>69534.308875559072</v>
      </c>
      <c r="S150" s="315">
        <v>79456.568213811275</v>
      </c>
      <c r="U150" s="7" t="s">
        <v>3498</v>
      </c>
    </row>
    <row r="151" spans="1:21" ht="16.5" thickBot="1">
      <c r="A151" s="50" t="s">
        <v>35</v>
      </c>
      <c r="B151" s="51">
        <f t="shared" si="6"/>
        <v>150</v>
      </c>
      <c r="C151" s="51" t="s">
        <v>3</v>
      </c>
      <c r="D151" s="51">
        <f t="shared" si="7"/>
        <v>260</v>
      </c>
      <c r="E151" s="51" t="s">
        <v>3</v>
      </c>
      <c r="F151" s="99">
        <f t="shared" si="8"/>
        <v>2550</v>
      </c>
      <c r="G151" s="51" t="s">
        <v>3</v>
      </c>
      <c r="H151" s="48">
        <v>4</v>
      </c>
      <c r="I151" s="49" t="s">
        <v>46</v>
      </c>
      <c r="J151" s="184">
        <v>150</v>
      </c>
      <c r="K151" s="75">
        <v>260</v>
      </c>
      <c r="L151" s="75">
        <v>2550</v>
      </c>
      <c r="M151" s="202">
        <v>27.752111913065789</v>
      </c>
      <c r="N151" s="87">
        <v>2214.5976301679998</v>
      </c>
      <c r="O151" s="123">
        <v>42604.875662766426</v>
      </c>
      <c r="P151" s="119">
        <v>52711.105340091723</v>
      </c>
      <c r="Q151" s="120">
        <v>28288.739016901247</v>
      </c>
      <c r="R151" s="314">
        <v>70893.614679667677</v>
      </c>
      <c r="S151" s="315">
        <v>80999.844356992966</v>
      </c>
      <c r="U151" s="7" t="s">
        <v>3499</v>
      </c>
    </row>
    <row r="152" spans="1:21" ht="16.5" thickBot="1">
      <c r="A152" s="47" t="s">
        <v>35</v>
      </c>
      <c r="B152" s="48">
        <f t="shared" si="6"/>
        <v>150</v>
      </c>
      <c r="C152" s="48" t="s">
        <v>3</v>
      </c>
      <c r="D152" s="48">
        <f t="shared" si="7"/>
        <v>260</v>
      </c>
      <c r="E152" s="48" t="s">
        <v>3</v>
      </c>
      <c r="F152" s="99">
        <f t="shared" si="8"/>
        <v>2600</v>
      </c>
      <c r="G152" s="48" t="s">
        <v>3</v>
      </c>
      <c r="H152" s="48">
        <v>4</v>
      </c>
      <c r="I152" s="49" t="s">
        <v>46</v>
      </c>
      <c r="J152" s="184">
        <v>150</v>
      </c>
      <c r="K152" s="75">
        <v>260</v>
      </c>
      <c r="L152" s="75">
        <v>2600</v>
      </c>
      <c r="M152" s="202">
        <v>28.260412574931056</v>
      </c>
      <c r="N152" s="87">
        <v>2264.92939449</v>
      </c>
      <c r="O152" s="123">
        <v>43301.989076724793</v>
      </c>
      <c r="P152" s="119">
        <v>53592.189093123205</v>
      </c>
      <c r="Q152" s="120">
        <v>28720.349629268181</v>
      </c>
      <c r="R152" s="314">
        <v>72022.338705992966</v>
      </c>
      <c r="S152" s="315">
        <v>82312.538722391386</v>
      </c>
      <c r="U152" s="7" t="s">
        <v>3500</v>
      </c>
    </row>
    <row r="153" spans="1:21" ht="16.5" thickBot="1">
      <c r="A153" s="50" t="s">
        <v>35</v>
      </c>
      <c r="B153" s="51">
        <f t="shared" si="6"/>
        <v>150</v>
      </c>
      <c r="C153" s="51" t="s">
        <v>3</v>
      </c>
      <c r="D153" s="51">
        <f t="shared" si="7"/>
        <v>260</v>
      </c>
      <c r="E153" s="51" t="s">
        <v>3</v>
      </c>
      <c r="F153" s="99">
        <f t="shared" si="8"/>
        <v>2650</v>
      </c>
      <c r="G153" s="51" t="s">
        <v>3</v>
      </c>
      <c r="H153" s="48">
        <v>4</v>
      </c>
      <c r="I153" s="49" t="s">
        <v>46</v>
      </c>
      <c r="J153" s="184">
        <v>150</v>
      </c>
      <c r="K153" s="75">
        <v>260</v>
      </c>
      <c r="L153" s="75">
        <v>2650</v>
      </c>
      <c r="M153" s="202">
        <v>28.785753236796317</v>
      </c>
      <c r="N153" s="87">
        <v>2315.2611588119994</v>
      </c>
      <c r="O153" s="123">
        <v>43999.102631076537</v>
      </c>
      <c r="P153" s="119">
        <v>54473.272846154672</v>
      </c>
      <c r="Q153" s="120">
        <v>29382.542019418397</v>
      </c>
      <c r="R153" s="314">
        <v>73381.644650494942</v>
      </c>
      <c r="S153" s="315">
        <v>83855.814865573077</v>
      </c>
      <c r="U153" s="7" t="s">
        <v>3501</v>
      </c>
    </row>
    <row r="154" spans="1:21" ht="16.5" thickBot="1">
      <c r="A154" s="50" t="s">
        <v>35</v>
      </c>
      <c r="B154" s="51">
        <f t="shared" si="6"/>
        <v>150</v>
      </c>
      <c r="C154" s="51" t="s">
        <v>3</v>
      </c>
      <c r="D154" s="51">
        <f t="shared" si="7"/>
        <v>260</v>
      </c>
      <c r="E154" s="51" t="s">
        <v>3</v>
      </c>
      <c r="F154" s="99">
        <f t="shared" si="8"/>
        <v>2700</v>
      </c>
      <c r="G154" s="51" t="s">
        <v>3</v>
      </c>
      <c r="H154" s="48">
        <v>4</v>
      </c>
      <c r="I154" s="49" t="s">
        <v>46</v>
      </c>
      <c r="J154" s="184">
        <v>150</v>
      </c>
      <c r="K154" s="75">
        <v>260</v>
      </c>
      <c r="L154" s="75">
        <v>2700</v>
      </c>
      <c r="M154" s="202">
        <v>29.372553898661582</v>
      </c>
      <c r="N154" s="87">
        <v>2365.5929231339996</v>
      </c>
      <c r="O154" s="123">
        <v>44773.370340543683</v>
      </c>
      <c r="P154" s="119">
        <v>55431.982054819469</v>
      </c>
      <c r="Q154" s="120">
        <v>29814.152631785331</v>
      </c>
      <c r="R154" s="314">
        <v>74587.52297232901</v>
      </c>
      <c r="S154" s="315">
        <v>85246.134686604797</v>
      </c>
      <c r="U154" s="7" t="s">
        <v>3502</v>
      </c>
    </row>
    <row r="155" spans="1:21" ht="16.5" thickBot="1">
      <c r="A155" s="50" t="s">
        <v>35</v>
      </c>
      <c r="B155" s="51">
        <f t="shared" si="6"/>
        <v>150</v>
      </c>
      <c r="C155" s="51" t="s">
        <v>3</v>
      </c>
      <c r="D155" s="51">
        <f t="shared" si="7"/>
        <v>260</v>
      </c>
      <c r="E155" s="51" t="s">
        <v>3</v>
      </c>
      <c r="F155" s="99">
        <f t="shared" si="8"/>
        <v>2750</v>
      </c>
      <c r="G155" s="51" t="s">
        <v>3</v>
      </c>
      <c r="H155" s="48">
        <v>4</v>
      </c>
      <c r="I155" s="49" t="s">
        <v>46</v>
      </c>
      <c r="J155" s="184">
        <v>150</v>
      </c>
      <c r="K155" s="75">
        <v>260</v>
      </c>
      <c r="L155" s="75">
        <v>2750</v>
      </c>
      <c r="M155" s="202">
        <v>29.880854560526842</v>
      </c>
      <c r="N155" s="87">
        <v>2415.9246874559999</v>
      </c>
      <c r="O155" s="123">
        <v>45470.483754502056</v>
      </c>
      <c r="P155" s="119">
        <v>56313.065807850951</v>
      </c>
      <c r="Q155" s="120">
        <v>30245.763244152273</v>
      </c>
      <c r="R155" s="314">
        <v>75716.246998654329</v>
      </c>
      <c r="S155" s="315">
        <v>86558.829052003217</v>
      </c>
      <c r="U155" s="7" t="s">
        <v>3503</v>
      </c>
    </row>
    <row r="156" spans="1:21" ht="16.5" thickBot="1">
      <c r="A156" s="50" t="s">
        <v>35</v>
      </c>
      <c r="B156" s="51">
        <f t="shared" si="6"/>
        <v>150</v>
      </c>
      <c r="C156" s="51" t="s">
        <v>3</v>
      </c>
      <c r="D156" s="51">
        <f t="shared" si="7"/>
        <v>260</v>
      </c>
      <c r="E156" s="51" t="s">
        <v>3</v>
      </c>
      <c r="F156" s="99">
        <f t="shared" si="8"/>
        <v>2800</v>
      </c>
      <c r="G156" s="51" t="s">
        <v>3</v>
      </c>
      <c r="H156" s="48">
        <v>4</v>
      </c>
      <c r="I156" s="49" t="s">
        <v>46</v>
      </c>
      <c r="J156" s="184">
        <v>150</v>
      </c>
      <c r="K156" s="75">
        <v>260</v>
      </c>
      <c r="L156" s="75">
        <v>2800</v>
      </c>
      <c r="M156" s="202">
        <v>30.406195222392107</v>
      </c>
      <c r="N156" s="87">
        <v>2466.2564517779997</v>
      </c>
      <c r="O156" s="123">
        <v>46167.59716846043</v>
      </c>
      <c r="P156" s="119">
        <v>57194.149560882426</v>
      </c>
      <c r="Q156" s="120">
        <v>30907.955493909118</v>
      </c>
      <c r="R156" s="314">
        <v>77075.552662369548</v>
      </c>
      <c r="S156" s="315">
        <v>88102.105054791551</v>
      </c>
      <c r="U156" s="7" t="s">
        <v>3504</v>
      </c>
    </row>
    <row r="157" spans="1:21" ht="16.5" thickBot="1">
      <c r="A157" s="50" t="s">
        <v>35</v>
      </c>
      <c r="B157" s="51">
        <f t="shared" si="6"/>
        <v>150</v>
      </c>
      <c r="C157" s="51" t="s">
        <v>3</v>
      </c>
      <c r="D157" s="51">
        <f t="shared" si="7"/>
        <v>260</v>
      </c>
      <c r="E157" s="51" t="s">
        <v>3</v>
      </c>
      <c r="F157" s="99">
        <f t="shared" si="8"/>
        <v>2850</v>
      </c>
      <c r="G157" s="51" t="s">
        <v>3</v>
      </c>
      <c r="H157" s="48">
        <v>4</v>
      </c>
      <c r="I157" s="49" t="s">
        <v>46</v>
      </c>
      <c r="J157" s="184">
        <v>150</v>
      </c>
      <c r="K157" s="75">
        <v>260</v>
      </c>
      <c r="L157" s="75">
        <v>2850</v>
      </c>
      <c r="M157" s="202">
        <v>30.91449588425737</v>
      </c>
      <c r="N157" s="87">
        <v>2516.5882160999995</v>
      </c>
      <c r="O157" s="123">
        <v>46864.710722812175</v>
      </c>
      <c r="P157" s="119">
        <v>58075.233313913894</v>
      </c>
      <c r="Q157" s="120">
        <v>31339.566106276056</v>
      </c>
      <c r="R157" s="314">
        <v>78204.276829088223</v>
      </c>
      <c r="S157" s="315">
        <v>89414.799420189956</v>
      </c>
      <c r="U157" s="7" t="s">
        <v>3505</v>
      </c>
    </row>
    <row r="158" spans="1:21" ht="16.5" thickBot="1">
      <c r="A158" s="50" t="s">
        <v>35</v>
      </c>
      <c r="B158" s="51">
        <f t="shared" si="6"/>
        <v>150</v>
      </c>
      <c r="C158" s="51" t="s">
        <v>3</v>
      </c>
      <c r="D158" s="51">
        <f t="shared" si="7"/>
        <v>260</v>
      </c>
      <c r="E158" s="51" t="s">
        <v>3</v>
      </c>
      <c r="F158" s="99">
        <f t="shared" si="8"/>
        <v>2900</v>
      </c>
      <c r="G158" s="51" t="s">
        <v>3</v>
      </c>
      <c r="H158" s="48">
        <v>4</v>
      </c>
      <c r="I158" s="49" t="s">
        <v>46</v>
      </c>
      <c r="J158" s="184">
        <v>150</v>
      </c>
      <c r="K158" s="75">
        <v>260</v>
      </c>
      <c r="L158" s="75">
        <v>2900</v>
      </c>
      <c r="M158" s="202">
        <v>31.439836546122628</v>
      </c>
      <c r="N158" s="87">
        <v>2566.9199804219993</v>
      </c>
      <c r="O158" s="123">
        <v>47561.824136770549</v>
      </c>
      <c r="P158" s="119">
        <v>58956.317066945376</v>
      </c>
      <c r="Q158" s="120">
        <v>32001.758496426271</v>
      </c>
      <c r="R158" s="314">
        <v>79563.582633196813</v>
      </c>
      <c r="S158" s="315">
        <v>90958.075563371647</v>
      </c>
      <c r="U158" s="7" t="s">
        <v>3506</v>
      </c>
    </row>
    <row r="159" spans="1:21" ht="16.5" thickBot="1">
      <c r="A159" s="50" t="s">
        <v>35</v>
      </c>
      <c r="B159" s="51">
        <f t="shared" si="6"/>
        <v>150</v>
      </c>
      <c r="C159" s="51" t="s">
        <v>3</v>
      </c>
      <c r="D159" s="51">
        <f t="shared" si="7"/>
        <v>260</v>
      </c>
      <c r="E159" s="51" t="s">
        <v>3</v>
      </c>
      <c r="F159" s="99">
        <f t="shared" si="8"/>
        <v>2950</v>
      </c>
      <c r="G159" s="51" t="s">
        <v>3</v>
      </c>
      <c r="H159" s="48">
        <v>4</v>
      </c>
      <c r="I159" s="49" t="s">
        <v>46</v>
      </c>
      <c r="J159" s="184">
        <v>150</v>
      </c>
      <c r="K159" s="75">
        <v>260</v>
      </c>
      <c r="L159" s="75">
        <v>2950</v>
      </c>
      <c r="M159" s="202">
        <v>31.948137207987898</v>
      </c>
      <c r="N159" s="87">
        <v>2617.2517447439996</v>
      </c>
      <c r="O159" s="123">
        <v>48258.937550728915</v>
      </c>
      <c r="P159" s="119">
        <v>59837.400819976705</v>
      </c>
      <c r="Q159" s="120">
        <v>32433.369108793206</v>
      </c>
      <c r="R159" s="314">
        <v>80692.306659522117</v>
      </c>
      <c r="S159" s="315">
        <v>92270.769928769907</v>
      </c>
      <c r="U159" s="7" t="s">
        <v>3507</v>
      </c>
    </row>
    <row r="160" spans="1:21" ht="16.5" thickBot="1">
      <c r="A160" s="52" t="s">
        <v>35</v>
      </c>
      <c r="B160" s="53">
        <f t="shared" si="6"/>
        <v>150</v>
      </c>
      <c r="C160" s="53" t="s">
        <v>3</v>
      </c>
      <c r="D160" s="53">
        <f t="shared" si="7"/>
        <v>260</v>
      </c>
      <c r="E160" s="53" t="s">
        <v>3</v>
      </c>
      <c r="F160" s="100">
        <f t="shared" si="8"/>
        <v>3000</v>
      </c>
      <c r="G160" s="53" t="s">
        <v>3</v>
      </c>
      <c r="H160" s="55">
        <v>4</v>
      </c>
      <c r="I160" s="54" t="s">
        <v>46</v>
      </c>
      <c r="J160" s="186">
        <v>150</v>
      </c>
      <c r="K160" s="147">
        <v>260</v>
      </c>
      <c r="L160" s="147">
        <v>3000</v>
      </c>
      <c r="M160" s="209">
        <v>32.473477869853156</v>
      </c>
      <c r="N160" s="148">
        <v>2667.5835090659994</v>
      </c>
      <c r="O160" s="149">
        <v>50131.208410939144</v>
      </c>
      <c r="P160" s="189">
        <v>60718.484713401689</v>
      </c>
      <c r="Q160" s="159">
        <v>33095.561498943418</v>
      </c>
      <c r="R160" s="316">
        <v>83226.769909882569</v>
      </c>
      <c r="S160" s="317">
        <v>93814.0462123451</v>
      </c>
      <c r="U160" s="7" t="s">
        <v>3508</v>
      </c>
    </row>
    <row r="161" spans="1:21" s="74" customFormat="1" ht="22.5" customHeight="1" thickBot="1">
      <c r="A161" s="2621" t="s">
        <v>48</v>
      </c>
      <c r="B161" s="2622"/>
      <c r="C161" s="2622"/>
      <c r="D161" s="2622"/>
      <c r="E161" s="2622"/>
      <c r="F161" s="2622"/>
      <c r="G161" s="2622"/>
      <c r="H161" s="2622"/>
      <c r="I161" s="2622"/>
      <c r="J161" s="2622"/>
      <c r="K161" s="2622"/>
      <c r="L161" s="2622"/>
      <c r="M161" s="2622"/>
      <c r="N161" s="2622"/>
      <c r="O161" s="2622"/>
      <c r="P161" s="2622"/>
      <c r="Q161" s="2622"/>
      <c r="R161" s="2622"/>
      <c r="S161" s="2623"/>
      <c r="U161" s="7"/>
    </row>
    <row r="162" spans="1:21" s="74" customFormat="1" ht="16.5" customHeight="1" thickBot="1">
      <c r="A162" s="2583" t="s">
        <v>180</v>
      </c>
      <c r="B162" s="2584"/>
      <c r="C162" s="2584"/>
      <c r="D162" s="2584"/>
      <c r="E162" s="2584"/>
      <c r="F162" s="2584"/>
      <c r="G162" s="2584"/>
      <c r="H162" s="2584"/>
      <c r="I162" s="2584"/>
      <c r="J162" s="2584"/>
      <c r="K162" s="2584"/>
      <c r="L162" s="2584"/>
      <c r="M162" s="2584"/>
      <c r="N162" s="2584"/>
      <c r="O162" s="2584"/>
      <c r="P162" s="2584"/>
      <c r="Q162" s="2584"/>
      <c r="R162" s="2584"/>
      <c r="S162" s="2585"/>
      <c r="U162" s="7"/>
    </row>
    <row r="163" spans="1:21" s="74" customFormat="1" ht="16.5" thickBot="1">
      <c r="A163" s="47" t="s">
        <v>35</v>
      </c>
      <c r="B163" s="48">
        <f>J163</f>
        <v>150</v>
      </c>
      <c r="C163" s="48" t="s">
        <v>3</v>
      </c>
      <c r="D163" s="48">
        <f>K163</f>
        <v>300</v>
      </c>
      <c r="E163" s="48" t="s">
        <v>3</v>
      </c>
      <c r="F163" s="99">
        <f>L163</f>
        <v>600</v>
      </c>
      <c r="G163" s="48" t="s">
        <v>3</v>
      </c>
      <c r="H163" s="48">
        <v>6</v>
      </c>
      <c r="I163" s="49" t="s">
        <v>47</v>
      </c>
      <c r="J163" s="181">
        <v>150</v>
      </c>
      <c r="K163" s="143">
        <v>300</v>
      </c>
      <c r="L163" s="143">
        <v>600</v>
      </c>
      <c r="M163" s="201">
        <v>8.0980301531650021</v>
      </c>
      <c r="N163" s="144">
        <v>276.82799999999997</v>
      </c>
      <c r="O163" s="145">
        <v>16677.806974707943</v>
      </c>
      <c r="P163" s="183">
        <v>20243.867455742293</v>
      </c>
      <c r="Q163" s="169">
        <v>8203.3683669666007</v>
      </c>
      <c r="R163" s="312">
        <v>24881.175341674541</v>
      </c>
      <c r="S163" s="313">
        <v>28447.235822708892</v>
      </c>
      <c r="U163" s="7" t="s">
        <v>3509</v>
      </c>
    </row>
    <row r="164" spans="1:21" s="74" customFormat="1" ht="16.5" thickBot="1">
      <c r="A164" s="50" t="s">
        <v>35</v>
      </c>
      <c r="B164" s="51">
        <f t="shared" ref="B164:B211" si="9">J164</f>
        <v>150</v>
      </c>
      <c r="C164" s="51" t="s">
        <v>3</v>
      </c>
      <c r="D164" s="51">
        <f t="shared" ref="D164:D211" si="10">K164</f>
        <v>300</v>
      </c>
      <c r="E164" s="51" t="s">
        <v>3</v>
      </c>
      <c r="F164" s="99">
        <f t="shared" ref="F164:F211" si="11">L164</f>
        <v>650</v>
      </c>
      <c r="G164" s="51" t="s">
        <v>3</v>
      </c>
      <c r="H164" s="48">
        <v>6</v>
      </c>
      <c r="I164" s="49" t="s">
        <v>47</v>
      </c>
      <c r="J164" s="184">
        <v>150</v>
      </c>
      <c r="K164" s="75">
        <v>300</v>
      </c>
      <c r="L164" s="75">
        <v>650</v>
      </c>
      <c r="M164" s="202">
        <v>8.704806912805001</v>
      </c>
      <c r="N164" s="87">
        <v>332.19359999999995</v>
      </c>
      <c r="O164" s="123">
        <v>17587.852895669628</v>
      </c>
      <c r="P164" s="121">
        <v>21382.49918205259</v>
      </c>
      <c r="Q164" s="120">
        <v>8683.7735348305905</v>
      </c>
      <c r="R164" s="314">
        <v>26271.626430500219</v>
      </c>
      <c r="S164" s="315">
        <v>30066.272716883181</v>
      </c>
      <c r="U164" s="7" t="s">
        <v>3510</v>
      </c>
    </row>
    <row r="165" spans="1:21" s="74" customFormat="1" ht="16.5" thickBot="1">
      <c r="A165" s="50" t="s">
        <v>35</v>
      </c>
      <c r="B165" s="51">
        <f t="shared" si="9"/>
        <v>150</v>
      </c>
      <c r="C165" s="51" t="s">
        <v>3</v>
      </c>
      <c r="D165" s="51">
        <f t="shared" si="10"/>
        <v>300</v>
      </c>
      <c r="E165" s="51" t="s">
        <v>3</v>
      </c>
      <c r="F165" s="99">
        <f t="shared" si="11"/>
        <v>700</v>
      </c>
      <c r="G165" s="51" t="s">
        <v>3</v>
      </c>
      <c r="H165" s="48">
        <v>6</v>
      </c>
      <c r="I165" s="49" t="s">
        <v>47</v>
      </c>
      <c r="J165" s="184">
        <v>150</v>
      </c>
      <c r="K165" s="75">
        <v>300</v>
      </c>
      <c r="L165" s="75">
        <v>700</v>
      </c>
      <c r="M165" s="202">
        <v>9.3115836724449998</v>
      </c>
      <c r="N165" s="87">
        <v>387.55919999999992</v>
      </c>
      <c r="O165" s="123">
        <v>18498.472744697217</v>
      </c>
      <c r="P165" s="121">
        <v>22521.363540164555</v>
      </c>
      <c r="Q165" s="120">
        <v>9394.7606208712132</v>
      </c>
      <c r="R165" s="314">
        <v>27893.233365568431</v>
      </c>
      <c r="S165" s="315">
        <v>31916.124161035768</v>
      </c>
      <c r="U165" s="7" t="s">
        <v>3511</v>
      </c>
    </row>
    <row r="166" spans="1:21" s="74" customFormat="1" ht="16.5" thickBot="1">
      <c r="A166" s="50" t="s">
        <v>35</v>
      </c>
      <c r="B166" s="51">
        <f t="shared" si="9"/>
        <v>150</v>
      </c>
      <c r="C166" s="51" t="s">
        <v>3</v>
      </c>
      <c r="D166" s="51">
        <f t="shared" si="10"/>
        <v>300</v>
      </c>
      <c r="E166" s="51" t="s">
        <v>3</v>
      </c>
      <c r="F166" s="99">
        <f t="shared" si="11"/>
        <v>750</v>
      </c>
      <c r="G166" s="51" t="s">
        <v>3</v>
      </c>
      <c r="H166" s="48">
        <v>6</v>
      </c>
      <c r="I166" s="49" t="s">
        <v>47</v>
      </c>
      <c r="J166" s="184">
        <v>150</v>
      </c>
      <c r="K166" s="75">
        <v>300</v>
      </c>
      <c r="L166" s="75">
        <v>750</v>
      </c>
      <c r="M166" s="202">
        <v>9.9183604320849987</v>
      </c>
      <c r="N166" s="87">
        <v>442.9248</v>
      </c>
      <c r="O166" s="123">
        <v>19409.574704531631</v>
      </c>
      <c r="P166" s="121">
        <v>23660.423747017208</v>
      </c>
      <c r="Q166" s="120">
        <v>9875.165788735203</v>
      </c>
      <c r="R166" s="314">
        <v>29284.740493266836</v>
      </c>
      <c r="S166" s="315">
        <v>33535.589535752413</v>
      </c>
      <c r="U166" s="7" t="s">
        <v>3512</v>
      </c>
    </row>
    <row r="167" spans="1:21" s="74" customFormat="1" ht="16.5" thickBot="1">
      <c r="A167" s="50" t="s">
        <v>35</v>
      </c>
      <c r="B167" s="51">
        <f t="shared" si="9"/>
        <v>150</v>
      </c>
      <c r="C167" s="51" t="s">
        <v>3</v>
      </c>
      <c r="D167" s="51">
        <f t="shared" si="10"/>
        <v>300</v>
      </c>
      <c r="E167" s="51" t="s">
        <v>3</v>
      </c>
      <c r="F167" s="99">
        <f t="shared" si="11"/>
        <v>800</v>
      </c>
      <c r="G167" s="51" t="s">
        <v>3</v>
      </c>
      <c r="H167" s="48">
        <v>6</v>
      </c>
      <c r="I167" s="49" t="s">
        <v>47</v>
      </c>
      <c r="J167" s="184">
        <v>150</v>
      </c>
      <c r="K167" s="75">
        <v>300</v>
      </c>
      <c r="L167" s="75">
        <v>800</v>
      </c>
      <c r="M167" s="202">
        <v>10.525137191724999</v>
      </c>
      <c r="N167" s="87">
        <v>498.29039999999998</v>
      </c>
      <c r="O167" s="123">
        <v>20321.085068657554</v>
      </c>
      <c r="P167" s="121">
        <v>24799.651021971233</v>
      </c>
      <c r="Q167" s="120">
        <v>10355.570956599189</v>
      </c>
      <c r="R167" s="314">
        <v>30676.656025256743</v>
      </c>
      <c r="S167" s="315">
        <v>35155.221978570422</v>
      </c>
      <c r="U167" s="7" t="s">
        <v>3513</v>
      </c>
    </row>
    <row r="168" spans="1:21" s="74" customFormat="1" ht="16.5" thickBot="1">
      <c r="A168" s="50" t="s">
        <v>35</v>
      </c>
      <c r="B168" s="51">
        <f t="shared" si="9"/>
        <v>150</v>
      </c>
      <c r="C168" s="51" t="s">
        <v>3</v>
      </c>
      <c r="D168" s="51">
        <f t="shared" si="10"/>
        <v>300</v>
      </c>
      <c r="E168" s="51" t="s">
        <v>3</v>
      </c>
      <c r="F168" s="99">
        <f t="shared" si="11"/>
        <v>850</v>
      </c>
      <c r="G168" s="51" t="s">
        <v>3</v>
      </c>
      <c r="H168" s="48">
        <v>6</v>
      </c>
      <c r="I168" s="49" t="s">
        <v>47</v>
      </c>
      <c r="J168" s="184">
        <v>150</v>
      </c>
      <c r="K168" s="75">
        <v>300</v>
      </c>
      <c r="L168" s="75">
        <v>850</v>
      </c>
      <c r="M168" s="202">
        <v>11.131913951364998</v>
      </c>
      <c r="N168" s="87">
        <v>553.65599999999995</v>
      </c>
      <c r="O168" s="123">
        <v>21232.944871862743</v>
      </c>
      <c r="P168" s="121">
        <v>25939.021357761645</v>
      </c>
      <c r="Q168" s="120">
        <v>11066.558042639816</v>
      </c>
      <c r="R168" s="314">
        <v>32299.502914502558</v>
      </c>
      <c r="S168" s="315">
        <v>37005.579400401461</v>
      </c>
      <c r="U168" s="7" t="s">
        <v>3514</v>
      </c>
    </row>
    <row r="169" spans="1:21" s="74" customFormat="1" ht="16.5" thickBot="1">
      <c r="A169" s="50" t="s">
        <v>35</v>
      </c>
      <c r="B169" s="51">
        <f t="shared" si="9"/>
        <v>150</v>
      </c>
      <c r="C169" s="51" t="s">
        <v>3</v>
      </c>
      <c r="D169" s="51">
        <f t="shared" si="10"/>
        <v>300</v>
      </c>
      <c r="E169" s="51" t="s">
        <v>3</v>
      </c>
      <c r="F169" s="99">
        <f t="shared" si="11"/>
        <v>900</v>
      </c>
      <c r="G169" s="51" t="s">
        <v>3</v>
      </c>
      <c r="H169" s="48">
        <v>6</v>
      </c>
      <c r="I169" s="49" t="s">
        <v>47</v>
      </c>
      <c r="J169" s="184">
        <v>150</v>
      </c>
      <c r="K169" s="75">
        <v>300</v>
      </c>
      <c r="L169" s="75">
        <v>900</v>
      </c>
      <c r="M169" s="202">
        <v>11.738690711004999</v>
      </c>
      <c r="N169" s="87">
        <v>609.02160000000003</v>
      </c>
      <c r="O169" s="123">
        <v>22145.105678437129</v>
      </c>
      <c r="P169" s="121">
        <v>27078.515520497782</v>
      </c>
      <c r="Q169" s="120">
        <v>11546.963210503804</v>
      </c>
      <c r="R169" s="314">
        <v>33692.068888940936</v>
      </c>
      <c r="S169" s="315">
        <v>38625.478731001582</v>
      </c>
      <c r="U169" s="7" t="s">
        <v>3515</v>
      </c>
    </row>
    <row r="170" spans="1:21" s="74" customFormat="1" ht="16.5" thickBot="1">
      <c r="A170" s="50" t="s">
        <v>35</v>
      </c>
      <c r="B170" s="51">
        <f t="shared" si="9"/>
        <v>150</v>
      </c>
      <c r="C170" s="51" t="s">
        <v>3</v>
      </c>
      <c r="D170" s="51">
        <f t="shared" si="10"/>
        <v>300</v>
      </c>
      <c r="E170" s="51" t="s">
        <v>3</v>
      </c>
      <c r="F170" s="99">
        <f t="shared" si="11"/>
        <v>950</v>
      </c>
      <c r="G170" s="51" t="s">
        <v>3</v>
      </c>
      <c r="H170" s="48">
        <v>6</v>
      </c>
      <c r="I170" s="49" t="s">
        <v>47</v>
      </c>
      <c r="J170" s="184">
        <v>150</v>
      </c>
      <c r="K170" s="75">
        <v>300</v>
      </c>
      <c r="L170" s="75">
        <v>950</v>
      </c>
      <c r="M170" s="202">
        <v>12.345467470644998</v>
      </c>
      <c r="N170" s="87">
        <v>664.38719999999989</v>
      </c>
      <c r="O170" s="123">
        <v>23057.527616665764</v>
      </c>
      <c r="P170" s="121">
        <v>28218.117505336319</v>
      </c>
      <c r="Q170" s="120">
        <v>12257.950156151066</v>
      </c>
      <c r="R170" s="314">
        <v>35315.477772816826</v>
      </c>
      <c r="S170" s="315">
        <v>40476.067661487381</v>
      </c>
      <c r="U170" s="7" t="s">
        <v>3516</v>
      </c>
    </row>
    <row r="171" spans="1:21" s="74" customFormat="1" ht="16.5" thickBot="1">
      <c r="A171" s="50" t="s">
        <v>35</v>
      </c>
      <c r="B171" s="51">
        <f t="shared" si="9"/>
        <v>150</v>
      </c>
      <c r="C171" s="51" t="s">
        <v>3</v>
      </c>
      <c r="D171" s="51">
        <f t="shared" si="10"/>
        <v>300</v>
      </c>
      <c r="E171" s="51" t="s">
        <v>3</v>
      </c>
      <c r="F171" s="99">
        <f t="shared" si="11"/>
        <v>1000</v>
      </c>
      <c r="G171" s="51" t="s">
        <v>3</v>
      </c>
      <c r="H171" s="48">
        <v>6</v>
      </c>
      <c r="I171" s="49" t="s">
        <v>47</v>
      </c>
      <c r="J171" s="184">
        <v>150</v>
      </c>
      <c r="K171" s="75">
        <v>300</v>
      </c>
      <c r="L171" s="75">
        <v>1000</v>
      </c>
      <c r="M171" s="202">
        <v>12.952244230284998</v>
      </c>
      <c r="N171" s="87">
        <v>719.75279999999998</v>
      </c>
      <c r="O171" s="123">
        <v>23970.177834501828</v>
      </c>
      <c r="P171" s="121">
        <v>29357.813694121094</v>
      </c>
      <c r="Q171" s="120">
        <v>12738.355464408416</v>
      </c>
      <c r="R171" s="314">
        <v>36708.533298910246</v>
      </c>
      <c r="S171" s="315">
        <v>42096.169158529512</v>
      </c>
      <c r="U171" s="7" t="s">
        <v>3517</v>
      </c>
    </row>
    <row r="172" spans="1:21" s="74" customFormat="1" ht="16.5" thickBot="1">
      <c r="A172" s="50" t="s">
        <v>35</v>
      </c>
      <c r="B172" s="51">
        <f t="shared" si="9"/>
        <v>150</v>
      </c>
      <c r="C172" s="51" t="s">
        <v>3</v>
      </c>
      <c r="D172" s="51">
        <f t="shared" si="10"/>
        <v>300</v>
      </c>
      <c r="E172" s="51" t="s">
        <v>3</v>
      </c>
      <c r="F172" s="99">
        <f t="shared" si="11"/>
        <v>1050</v>
      </c>
      <c r="G172" s="51" t="s">
        <v>3</v>
      </c>
      <c r="H172" s="48">
        <v>6</v>
      </c>
      <c r="I172" s="49" t="s">
        <v>47</v>
      </c>
      <c r="J172" s="184">
        <v>150</v>
      </c>
      <c r="K172" s="75">
        <v>300</v>
      </c>
      <c r="L172" s="75">
        <v>1050</v>
      </c>
      <c r="M172" s="202">
        <v>13.559020989924999</v>
      </c>
      <c r="N172" s="87">
        <v>775.11839999999984</v>
      </c>
      <c r="O172" s="123">
        <v>24892.166738024669</v>
      </c>
      <c r="P172" s="121">
        <v>30508.99012894422</v>
      </c>
      <c r="Q172" s="120">
        <v>13449.342410055679</v>
      </c>
      <c r="R172" s="314">
        <v>38341.509148080346</v>
      </c>
      <c r="S172" s="315">
        <v>43958.332538999901</v>
      </c>
      <c r="U172" s="7" t="s">
        <v>3518</v>
      </c>
    </row>
    <row r="173" spans="1:21" s="74" customFormat="1" ht="16.5" thickBot="1">
      <c r="A173" s="47" t="s">
        <v>35</v>
      </c>
      <c r="B173" s="48">
        <f t="shared" si="9"/>
        <v>150</v>
      </c>
      <c r="C173" s="48" t="s">
        <v>3</v>
      </c>
      <c r="D173" s="48">
        <f t="shared" si="10"/>
        <v>300</v>
      </c>
      <c r="E173" s="48" t="s">
        <v>3</v>
      </c>
      <c r="F173" s="99">
        <f t="shared" si="11"/>
        <v>1100</v>
      </c>
      <c r="G173" s="48" t="s">
        <v>3</v>
      </c>
      <c r="H173" s="48">
        <v>6</v>
      </c>
      <c r="I173" s="49" t="s">
        <v>47</v>
      </c>
      <c r="J173" s="184">
        <v>150</v>
      </c>
      <c r="K173" s="75">
        <v>300</v>
      </c>
      <c r="L173" s="75">
        <v>1100</v>
      </c>
      <c r="M173" s="202">
        <v>14.165797749564996</v>
      </c>
      <c r="N173" s="87">
        <v>830.48399999999992</v>
      </c>
      <c r="O173" s="123">
        <v>25805.179872702793</v>
      </c>
      <c r="P173" s="121">
        <v>31648.835134693243</v>
      </c>
      <c r="Q173" s="120">
        <v>13929.747718313029</v>
      </c>
      <c r="R173" s="314">
        <v>39734.927591015818</v>
      </c>
      <c r="S173" s="315">
        <v>45578.582853006272</v>
      </c>
      <c r="U173" s="7" t="s">
        <v>3519</v>
      </c>
    </row>
    <row r="174" spans="1:21" s="74" customFormat="1" ht="16.5" thickBot="1">
      <c r="A174" s="50" t="s">
        <v>35</v>
      </c>
      <c r="B174" s="51">
        <f t="shared" si="9"/>
        <v>150</v>
      </c>
      <c r="C174" s="51" t="s">
        <v>3</v>
      </c>
      <c r="D174" s="51">
        <f t="shared" si="10"/>
        <v>300</v>
      </c>
      <c r="E174" s="51" t="s">
        <v>3</v>
      </c>
      <c r="F174" s="99">
        <f t="shared" si="11"/>
        <v>1150</v>
      </c>
      <c r="G174" s="51" t="s">
        <v>3</v>
      </c>
      <c r="H174" s="48">
        <v>6</v>
      </c>
      <c r="I174" s="49" t="s">
        <v>47</v>
      </c>
      <c r="J174" s="184">
        <v>150</v>
      </c>
      <c r="K174" s="75">
        <v>300</v>
      </c>
      <c r="L174" s="75">
        <v>1150</v>
      </c>
      <c r="M174" s="202">
        <v>14.772574509204999</v>
      </c>
      <c r="N174" s="87">
        <v>885.84960000000001</v>
      </c>
      <c r="O174" s="123">
        <v>26718.351230700453</v>
      </c>
      <c r="P174" s="121">
        <v>32788.746265716007</v>
      </c>
      <c r="Q174" s="120">
        <v>14410.152886177015</v>
      </c>
      <c r="R174" s="314">
        <v>41128.50411687747</v>
      </c>
      <c r="S174" s="315">
        <v>47198.89915189302</v>
      </c>
      <c r="U174" s="7" t="s">
        <v>3520</v>
      </c>
    </row>
    <row r="175" spans="1:21" s="74" customFormat="1" ht="16.5" thickBot="1">
      <c r="A175" s="50" t="s">
        <v>35</v>
      </c>
      <c r="B175" s="51">
        <f t="shared" si="9"/>
        <v>150</v>
      </c>
      <c r="C175" s="51" t="s">
        <v>3</v>
      </c>
      <c r="D175" s="51">
        <f t="shared" si="10"/>
        <v>300</v>
      </c>
      <c r="E175" s="51" t="s">
        <v>3</v>
      </c>
      <c r="F175" s="99">
        <f t="shared" si="11"/>
        <v>1200</v>
      </c>
      <c r="G175" s="51" t="s">
        <v>3</v>
      </c>
      <c r="H175" s="48">
        <v>6</v>
      </c>
      <c r="I175" s="49" t="s">
        <v>47</v>
      </c>
      <c r="J175" s="184">
        <v>150</v>
      </c>
      <c r="K175" s="75">
        <v>300</v>
      </c>
      <c r="L175" s="75">
        <v>1200</v>
      </c>
      <c r="M175" s="202">
        <v>15.497101268844999</v>
      </c>
      <c r="N175" s="87">
        <v>941.21519999999987</v>
      </c>
      <c r="O175" s="123">
        <v>27754.605168815146</v>
      </c>
      <c r="P175" s="121">
        <v>34054.746641107093</v>
      </c>
      <c r="Q175" s="120">
        <v>15121.139831824277</v>
      </c>
      <c r="R175" s="314">
        <v>42875.745000639421</v>
      </c>
      <c r="S175" s="315">
        <v>49175.886472931372</v>
      </c>
      <c r="U175" s="7" t="s">
        <v>3521</v>
      </c>
    </row>
    <row r="176" spans="1:21" s="74" customFormat="1" ht="16.5" thickBot="1">
      <c r="A176" s="50" t="s">
        <v>35</v>
      </c>
      <c r="B176" s="51">
        <f t="shared" si="9"/>
        <v>150</v>
      </c>
      <c r="C176" s="51" t="s">
        <v>3</v>
      </c>
      <c r="D176" s="51">
        <f t="shared" si="10"/>
        <v>300</v>
      </c>
      <c r="E176" s="51" t="s">
        <v>3</v>
      </c>
      <c r="F176" s="99">
        <f t="shared" si="11"/>
        <v>1250</v>
      </c>
      <c r="G176" s="51" t="s">
        <v>3</v>
      </c>
      <c r="H176" s="48">
        <v>6</v>
      </c>
      <c r="I176" s="49" t="s">
        <v>47</v>
      </c>
      <c r="J176" s="184">
        <v>150</v>
      </c>
      <c r="K176" s="75">
        <v>300</v>
      </c>
      <c r="L176" s="75">
        <v>1250</v>
      </c>
      <c r="M176" s="202">
        <v>16.103878028484999</v>
      </c>
      <c r="N176" s="87">
        <v>996.58079999999995</v>
      </c>
      <c r="O176" s="123">
        <v>28668.041449087843</v>
      </c>
      <c r="P176" s="121">
        <v>35194.741446573906</v>
      </c>
      <c r="Q176" s="120">
        <v>15601.545140081627</v>
      </c>
      <c r="R176" s="314">
        <v>44269.58658916947</v>
      </c>
      <c r="S176" s="315">
        <v>50796.286586655537</v>
      </c>
      <c r="U176" s="7" t="s">
        <v>3522</v>
      </c>
    </row>
    <row r="177" spans="1:21" s="74" customFormat="1" ht="16.5" thickBot="1">
      <c r="A177" s="50" t="s">
        <v>35</v>
      </c>
      <c r="B177" s="51">
        <f t="shared" si="9"/>
        <v>150</v>
      </c>
      <c r="C177" s="51" t="s">
        <v>3</v>
      </c>
      <c r="D177" s="51">
        <f t="shared" si="10"/>
        <v>300</v>
      </c>
      <c r="E177" s="51" t="s">
        <v>3</v>
      </c>
      <c r="F177" s="99">
        <f t="shared" si="11"/>
        <v>1300</v>
      </c>
      <c r="G177" s="51" t="s">
        <v>3</v>
      </c>
      <c r="H177" s="48">
        <v>6</v>
      </c>
      <c r="I177" s="49" t="s">
        <v>47</v>
      </c>
      <c r="J177" s="184">
        <v>150</v>
      </c>
      <c r="K177" s="75">
        <v>300</v>
      </c>
      <c r="L177" s="75">
        <v>1300</v>
      </c>
      <c r="M177" s="202">
        <v>16.710654788124998</v>
      </c>
      <c r="N177" s="87">
        <v>1051.9463999999998</v>
      </c>
      <c r="O177" s="123">
        <v>29581.590886410719</v>
      </c>
      <c r="P177" s="121">
        <v>36334.785530110959</v>
      </c>
      <c r="Q177" s="120">
        <v>16312.53208572889</v>
      </c>
      <c r="R177" s="314">
        <v>45894.122972139608</v>
      </c>
      <c r="S177" s="315">
        <v>52647.317615839849</v>
      </c>
      <c r="U177" s="7" t="s">
        <v>3523</v>
      </c>
    </row>
    <row r="178" spans="1:21" s="74" customFormat="1" ht="16.5" thickBot="1">
      <c r="A178" s="50" t="s">
        <v>35</v>
      </c>
      <c r="B178" s="51">
        <f t="shared" si="9"/>
        <v>150</v>
      </c>
      <c r="C178" s="51" t="s">
        <v>3</v>
      </c>
      <c r="D178" s="51">
        <f t="shared" si="10"/>
        <v>300</v>
      </c>
      <c r="E178" s="51" t="s">
        <v>3</v>
      </c>
      <c r="F178" s="99">
        <f t="shared" si="11"/>
        <v>1350</v>
      </c>
      <c r="G178" s="51" t="s">
        <v>3</v>
      </c>
      <c r="H178" s="48">
        <v>6</v>
      </c>
      <c r="I178" s="49" t="s">
        <v>47</v>
      </c>
      <c r="J178" s="184">
        <v>150</v>
      </c>
      <c r="K178" s="75">
        <v>300</v>
      </c>
      <c r="L178" s="75">
        <v>1350</v>
      </c>
      <c r="M178" s="202">
        <v>17.317431547765</v>
      </c>
      <c r="N178" s="87">
        <v>1107.3119999999999</v>
      </c>
      <c r="O178" s="123">
        <v>30495.24281088822</v>
      </c>
      <c r="P178" s="121">
        <v>37474.874258737284</v>
      </c>
      <c r="Q178" s="120">
        <v>16792.937253592878</v>
      </c>
      <c r="R178" s="314">
        <v>47288.180064481101</v>
      </c>
      <c r="S178" s="315">
        <v>54267.811512330161</v>
      </c>
      <c r="U178" s="7" t="s">
        <v>3524</v>
      </c>
    </row>
    <row r="179" spans="1:21" s="74" customFormat="1" ht="16.5" thickBot="1">
      <c r="A179" s="50" t="s">
        <v>35</v>
      </c>
      <c r="B179" s="51">
        <f t="shared" si="9"/>
        <v>150</v>
      </c>
      <c r="C179" s="51" t="s">
        <v>3</v>
      </c>
      <c r="D179" s="51">
        <f t="shared" si="10"/>
        <v>300</v>
      </c>
      <c r="E179" s="51" t="s">
        <v>3</v>
      </c>
      <c r="F179" s="99">
        <f t="shared" si="11"/>
        <v>1400</v>
      </c>
      <c r="G179" s="51" t="s">
        <v>3</v>
      </c>
      <c r="H179" s="48">
        <v>6</v>
      </c>
      <c r="I179" s="49" t="s">
        <v>47</v>
      </c>
      <c r="J179" s="184">
        <v>150</v>
      </c>
      <c r="K179" s="75">
        <v>300</v>
      </c>
      <c r="L179" s="75">
        <v>1400</v>
      </c>
      <c r="M179" s="202">
        <v>17.924208307404999</v>
      </c>
      <c r="N179" s="87">
        <v>1162.6776</v>
      </c>
      <c r="O179" s="123">
        <v>31408.987254591608</v>
      </c>
      <c r="P179" s="121">
        <v>38615.003420652007</v>
      </c>
      <c r="Q179" s="120">
        <v>17503.924339633504</v>
      </c>
      <c r="R179" s="314">
        <v>48912.911594225108</v>
      </c>
      <c r="S179" s="315">
        <v>56118.927760285515</v>
      </c>
      <c r="U179" s="7" t="s">
        <v>3525</v>
      </c>
    </row>
    <row r="180" spans="1:21" s="74" customFormat="1" ht="16.5" thickBot="1">
      <c r="A180" s="50" t="s">
        <v>35</v>
      </c>
      <c r="B180" s="51">
        <f t="shared" si="9"/>
        <v>150</v>
      </c>
      <c r="C180" s="51" t="s">
        <v>3</v>
      </c>
      <c r="D180" s="51">
        <f t="shared" si="10"/>
        <v>300</v>
      </c>
      <c r="E180" s="51" t="s">
        <v>3</v>
      </c>
      <c r="F180" s="99">
        <f t="shared" si="11"/>
        <v>1450</v>
      </c>
      <c r="G180" s="51" t="s">
        <v>3</v>
      </c>
      <c r="H180" s="48">
        <v>6</v>
      </c>
      <c r="I180" s="49" t="s">
        <v>47</v>
      </c>
      <c r="J180" s="184">
        <v>150</v>
      </c>
      <c r="K180" s="75">
        <v>300</v>
      </c>
      <c r="L180" s="75">
        <v>1450</v>
      </c>
      <c r="M180" s="202">
        <v>18.530985067045002</v>
      </c>
      <c r="N180" s="87">
        <v>1218.0432000000001</v>
      </c>
      <c r="O180" s="123">
        <v>32322.815793919133</v>
      </c>
      <c r="P180" s="121">
        <v>39755.16950602107</v>
      </c>
      <c r="Q180" s="120">
        <v>17984.32950749735</v>
      </c>
      <c r="R180" s="314">
        <v>50307.145301416487</v>
      </c>
      <c r="S180" s="315">
        <v>57739.49901351842</v>
      </c>
      <c r="U180" s="7" t="s">
        <v>3526</v>
      </c>
    </row>
    <row r="181" spans="1:21" s="74" customFormat="1" ht="16.5" thickBot="1">
      <c r="A181" s="50" t="s">
        <v>35</v>
      </c>
      <c r="B181" s="51">
        <f t="shared" si="9"/>
        <v>150</v>
      </c>
      <c r="C181" s="51" t="s">
        <v>3</v>
      </c>
      <c r="D181" s="51">
        <f t="shared" si="10"/>
        <v>300</v>
      </c>
      <c r="E181" s="51" t="s">
        <v>3</v>
      </c>
      <c r="F181" s="99">
        <f t="shared" si="11"/>
        <v>1500</v>
      </c>
      <c r="G181" s="51" t="s">
        <v>3</v>
      </c>
      <c r="H181" s="48">
        <v>6</v>
      </c>
      <c r="I181" s="49" t="s">
        <v>47</v>
      </c>
      <c r="J181" s="184">
        <v>150</v>
      </c>
      <c r="K181" s="75">
        <v>300</v>
      </c>
      <c r="L181" s="75">
        <v>1500</v>
      </c>
      <c r="M181" s="202">
        <v>19.304914983985</v>
      </c>
      <c r="N181" s="87">
        <v>1273.4087999999997</v>
      </c>
      <c r="O181" s="123">
        <v>33914.877367029309</v>
      </c>
      <c r="P181" s="121">
        <v>41556.951807180645</v>
      </c>
      <c r="Q181" s="120">
        <v>18695.316593538118</v>
      </c>
      <c r="R181" s="314">
        <v>52610.193960567427</v>
      </c>
      <c r="S181" s="315">
        <v>60252.268400718764</v>
      </c>
      <c r="U181" s="7" t="s">
        <v>3527</v>
      </c>
    </row>
    <row r="182" spans="1:21" s="74" customFormat="1" ht="16.5" thickBot="1">
      <c r="A182" s="50" t="s">
        <v>35</v>
      </c>
      <c r="B182" s="51">
        <f t="shared" si="9"/>
        <v>150</v>
      </c>
      <c r="C182" s="51" t="s">
        <v>3</v>
      </c>
      <c r="D182" s="51">
        <f t="shared" si="10"/>
        <v>300</v>
      </c>
      <c r="E182" s="51" t="s">
        <v>3</v>
      </c>
      <c r="F182" s="99">
        <f t="shared" si="11"/>
        <v>1550</v>
      </c>
      <c r="G182" s="51" t="s">
        <v>3</v>
      </c>
      <c r="H182" s="48">
        <v>6</v>
      </c>
      <c r="I182" s="49" t="s">
        <v>47</v>
      </c>
      <c r="J182" s="184">
        <v>150</v>
      </c>
      <c r="K182" s="75">
        <v>300</v>
      </c>
      <c r="L182" s="75">
        <v>1550</v>
      </c>
      <c r="M182" s="202">
        <v>19.911691743624999</v>
      </c>
      <c r="N182" s="87">
        <v>1328.7743999999998</v>
      </c>
      <c r="O182" s="123">
        <v>34828.701975342687</v>
      </c>
      <c r="P182" s="121">
        <v>42697.271904068373</v>
      </c>
      <c r="Q182" s="120">
        <v>19175.721761402103</v>
      </c>
      <c r="R182" s="314">
        <v>54004.423736744793</v>
      </c>
      <c r="S182" s="315">
        <v>61872.99366547048</v>
      </c>
      <c r="U182" s="7" t="s">
        <v>3528</v>
      </c>
    </row>
    <row r="183" spans="1:21" s="74" customFormat="1" ht="16.5" thickBot="1">
      <c r="A183" s="47" t="s">
        <v>35</v>
      </c>
      <c r="B183" s="48">
        <f t="shared" si="9"/>
        <v>150</v>
      </c>
      <c r="C183" s="48" t="s">
        <v>3</v>
      </c>
      <c r="D183" s="48">
        <f t="shared" si="10"/>
        <v>300</v>
      </c>
      <c r="E183" s="48" t="s">
        <v>3</v>
      </c>
      <c r="F183" s="99">
        <f t="shared" si="11"/>
        <v>1600</v>
      </c>
      <c r="G183" s="48" t="s">
        <v>3</v>
      </c>
      <c r="H183" s="48">
        <v>6</v>
      </c>
      <c r="I183" s="49" t="s">
        <v>47</v>
      </c>
      <c r="J183" s="184">
        <v>150</v>
      </c>
      <c r="K183" s="75">
        <v>300</v>
      </c>
      <c r="L183" s="75">
        <v>1600</v>
      </c>
      <c r="M183" s="202">
        <v>20.518468503264998</v>
      </c>
      <c r="N183" s="87">
        <v>1384.1399999999999</v>
      </c>
      <c r="O183" s="123">
        <v>35742.598043877566</v>
      </c>
      <c r="P183" s="121">
        <v>43837.614885074188</v>
      </c>
      <c r="Q183" s="120">
        <v>19656.126929266091</v>
      </c>
      <c r="R183" s="314">
        <v>55398.72497314366</v>
      </c>
      <c r="S183" s="315">
        <v>63493.741814340276</v>
      </c>
      <c r="U183" s="7" t="s">
        <v>3529</v>
      </c>
    </row>
    <row r="184" spans="1:21" s="74" customFormat="1" ht="16.5" thickBot="1">
      <c r="A184" s="50" t="s">
        <v>35</v>
      </c>
      <c r="B184" s="51">
        <f t="shared" si="9"/>
        <v>150</v>
      </c>
      <c r="C184" s="51" t="s">
        <v>3</v>
      </c>
      <c r="D184" s="51">
        <f t="shared" si="10"/>
        <v>300</v>
      </c>
      <c r="E184" s="51" t="s">
        <v>3</v>
      </c>
      <c r="F184" s="99">
        <f t="shared" si="11"/>
        <v>1650</v>
      </c>
      <c r="G184" s="51" t="s">
        <v>3</v>
      </c>
      <c r="H184" s="48">
        <v>6</v>
      </c>
      <c r="I184" s="49" t="s">
        <v>47</v>
      </c>
      <c r="J184" s="184">
        <v>150</v>
      </c>
      <c r="K184" s="75">
        <v>300</v>
      </c>
      <c r="L184" s="75">
        <v>1650</v>
      </c>
      <c r="M184" s="202">
        <v>21.125245262905</v>
      </c>
      <c r="N184" s="87">
        <v>1439.5056</v>
      </c>
      <c r="O184" s="123">
        <v>36656.559956899473</v>
      </c>
      <c r="P184" s="121">
        <v>44977.978925084368</v>
      </c>
      <c r="Q184" s="120">
        <v>20367.114015306717</v>
      </c>
      <c r="R184" s="314">
        <v>57023.67397220619</v>
      </c>
      <c r="S184" s="315">
        <v>65345.092940391085</v>
      </c>
      <c r="U184" s="7" t="s">
        <v>3530</v>
      </c>
    </row>
    <row r="185" spans="1:21" s="74" customFormat="1" ht="16.5" thickBot="1">
      <c r="A185" s="50" t="s">
        <v>35</v>
      </c>
      <c r="B185" s="51">
        <f t="shared" si="9"/>
        <v>150</v>
      </c>
      <c r="C185" s="51" t="s">
        <v>3</v>
      </c>
      <c r="D185" s="51">
        <f t="shared" si="10"/>
        <v>300</v>
      </c>
      <c r="E185" s="51" t="s">
        <v>3</v>
      </c>
      <c r="F185" s="99">
        <f t="shared" si="11"/>
        <v>1700</v>
      </c>
      <c r="G185" s="51" t="s">
        <v>3</v>
      </c>
      <c r="H185" s="48">
        <v>6</v>
      </c>
      <c r="I185" s="49" t="s">
        <v>47</v>
      </c>
      <c r="J185" s="184">
        <v>150</v>
      </c>
      <c r="K185" s="75">
        <v>300</v>
      </c>
      <c r="L185" s="75">
        <v>1700</v>
      </c>
      <c r="M185" s="202">
        <v>19.719565657530001</v>
      </c>
      <c r="N185" s="87">
        <v>1494.8712</v>
      </c>
      <c r="O185" s="123">
        <v>37570.582519853968</v>
      </c>
      <c r="P185" s="121">
        <v>46118.362339378582</v>
      </c>
      <c r="Q185" s="120">
        <v>20847.519183170705</v>
      </c>
      <c r="R185" s="314">
        <v>58418.101703024673</v>
      </c>
      <c r="S185" s="315">
        <v>66965.881522549287</v>
      </c>
      <c r="U185" s="7" t="s">
        <v>3531</v>
      </c>
    </row>
    <row r="186" spans="1:21" s="74" customFormat="1" ht="16.5" thickBot="1">
      <c r="A186" s="50" t="s">
        <v>35</v>
      </c>
      <c r="B186" s="51">
        <f t="shared" si="9"/>
        <v>150</v>
      </c>
      <c r="C186" s="51" t="s">
        <v>3</v>
      </c>
      <c r="D186" s="51">
        <f t="shared" si="10"/>
        <v>300</v>
      </c>
      <c r="E186" s="51" t="s">
        <v>3</v>
      </c>
      <c r="F186" s="99">
        <f t="shared" si="11"/>
        <v>1750</v>
      </c>
      <c r="G186" s="51" t="s">
        <v>3</v>
      </c>
      <c r="H186" s="48">
        <v>6</v>
      </c>
      <c r="I186" s="49" t="s">
        <v>47</v>
      </c>
      <c r="J186" s="184">
        <v>150</v>
      </c>
      <c r="K186" s="75">
        <v>300</v>
      </c>
      <c r="L186" s="75">
        <v>1750</v>
      </c>
      <c r="M186" s="202">
        <v>22.338798782185002</v>
      </c>
      <c r="N186" s="87">
        <v>1550.2367999999997</v>
      </c>
      <c r="O186" s="123">
        <v>38484.661099760109</v>
      </c>
      <c r="P186" s="121">
        <v>47258.763864416564</v>
      </c>
      <c r="Q186" s="120">
        <v>21558.506269211328</v>
      </c>
      <c r="R186" s="314">
        <v>60043.167368971437</v>
      </c>
      <c r="S186" s="315">
        <v>68817.270133627899</v>
      </c>
      <c r="U186" s="7" t="s">
        <v>3532</v>
      </c>
    </row>
    <row r="187" spans="1:21" s="74" customFormat="1" ht="16.5" thickBot="1">
      <c r="A187" s="50" t="s">
        <v>35</v>
      </c>
      <c r="B187" s="51">
        <f t="shared" si="9"/>
        <v>150</v>
      </c>
      <c r="C187" s="51" t="s">
        <v>3</v>
      </c>
      <c r="D187" s="51">
        <f t="shared" si="10"/>
        <v>300</v>
      </c>
      <c r="E187" s="51" t="s">
        <v>3</v>
      </c>
      <c r="F187" s="99">
        <f t="shared" si="11"/>
        <v>1800</v>
      </c>
      <c r="G187" s="51" t="s">
        <v>3</v>
      </c>
      <c r="H187" s="48">
        <v>6</v>
      </c>
      <c r="I187" s="49" t="s">
        <v>47</v>
      </c>
      <c r="J187" s="184">
        <v>150</v>
      </c>
      <c r="K187" s="75">
        <v>300</v>
      </c>
      <c r="L187" s="75">
        <v>1800</v>
      </c>
      <c r="M187" s="202">
        <v>22.945575541825001</v>
      </c>
      <c r="N187" s="87">
        <v>1605.6023999999998</v>
      </c>
      <c r="O187" s="123">
        <v>39398.791625210375</v>
      </c>
      <c r="P187" s="121">
        <v>48399.181815477947</v>
      </c>
      <c r="Q187" s="120">
        <v>22038.911437075316</v>
      </c>
      <c r="R187" s="314">
        <v>61437.703062285691</v>
      </c>
      <c r="S187" s="315">
        <v>70438.093252553255</v>
      </c>
      <c r="U187" s="7" t="s">
        <v>3533</v>
      </c>
    </row>
    <row r="188" spans="1:21" s="74" customFormat="1" ht="16.5" thickBot="1">
      <c r="A188" s="50" t="s">
        <v>35</v>
      </c>
      <c r="B188" s="51">
        <f t="shared" si="9"/>
        <v>150</v>
      </c>
      <c r="C188" s="51" t="s">
        <v>3</v>
      </c>
      <c r="D188" s="51">
        <f t="shared" si="10"/>
        <v>300</v>
      </c>
      <c r="E188" s="51" t="s">
        <v>3</v>
      </c>
      <c r="F188" s="99">
        <f t="shared" si="11"/>
        <v>1850</v>
      </c>
      <c r="G188" s="51" t="s">
        <v>3</v>
      </c>
      <c r="H188" s="48">
        <v>6</v>
      </c>
      <c r="I188" s="49" t="s">
        <v>47</v>
      </c>
      <c r="J188" s="184">
        <v>150</v>
      </c>
      <c r="K188" s="75">
        <v>300</v>
      </c>
      <c r="L188" s="75">
        <v>1850</v>
      </c>
      <c r="M188" s="202">
        <v>23.552352301465007</v>
      </c>
      <c r="N188" s="87">
        <v>1660.9679999999998</v>
      </c>
      <c r="O188" s="123">
        <v>40312.970165190607</v>
      </c>
      <c r="P188" s="121">
        <v>49539.615350202577</v>
      </c>
      <c r="Q188" s="120">
        <v>22749.898382722578</v>
      </c>
      <c r="R188" s="314">
        <v>63062.868547913182</v>
      </c>
      <c r="S188" s="315">
        <v>72289.513732925159</v>
      </c>
      <c r="U188" s="7" t="s">
        <v>3534</v>
      </c>
    </row>
    <row r="189" spans="1:21" s="74" customFormat="1" ht="16.5" thickBot="1">
      <c r="A189" s="50" t="s">
        <v>35</v>
      </c>
      <c r="B189" s="51">
        <f t="shared" si="9"/>
        <v>150</v>
      </c>
      <c r="C189" s="51" t="s">
        <v>3</v>
      </c>
      <c r="D189" s="51">
        <f t="shared" si="10"/>
        <v>300</v>
      </c>
      <c r="E189" s="51" t="s">
        <v>3</v>
      </c>
      <c r="F189" s="99">
        <f t="shared" si="11"/>
        <v>1900</v>
      </c>
      <c r="G189" s="51" t="s">
        <v>3</v>
      </c>
      <c r="H189" s="48">
        <v>6</v>
      </c>
      <c r="I189" s="49" t="s">
        <v>47</v>
      </c>
      <c r="J189" s="184">
        <v>150</v>
      </c>
      <c r="K189" s="75">
        <v>300</v>
      </c>
      <c r="L189" s="75">
        <v>1900</v>
      </c>
      <c r="M189" s="202">
        <v>24.159129061104998</v>
      </c>
      <c r="N189" s="87">
        <v>1716.3335999999999</v>
      </c>
      <c r="O189" s="123">
        <v>41227.193490653481</v>
      </c>
      <c r="P189" s="121">
        <v>50680.063205050174</v>
      </c>
      <c r="Q189" s="120">
        <v>23230.30369097993</v>
      </c>
      <c r="R189" s="314">
        <v>64457.497181633415</v>
      </c>
      <c r="S189" s="315">
        <v>73910.3668960301</v>
      </c>
      <c r="U189" s="7" t="s">
        <v>3535</v>
      </c>
    </row>
    <row r="190" spans="1:21" s="74" customFormat="1" ht="16.5" thickBot="1">
      <c r="A190" s="50" t="s">
        <v>35</v>
      </c>
      <c r="B190" s="51">
        <f t="shared" si="9"/>
        <v>150</v>
      </c>
      <c r="C190" s="51" t="s">
        <v>3</v>
      </c>
      <c r="D190" s="51">
        <f t="shared" si="10"/>
        <v>300</v>
      </c>
      <c r="E190" s="51" t="s">
        <v>3</v>
      </c>
      <c r="F190" s="99">
        <f t="shared" si="11"/>
        <v>1950</v>
      </c>
      <c r="G190" s="51" t="s">
        <v>3</v>
      </c>
      <c r="H190" s="48">
        <v>6</v>
      </c>
      <c r="I190" s="49" t="s">
        <v>47</v>
      </c>
      <c r="J190" s="184">
        <v>150</v>
      </c>
      <c r="K190" s="75">
        <v>300</v>
      </c>
      <c r="L190" s="75">
        <v>1950</v>
      </c>
      <c r="M190" s="202">
        <v>24.883655820745005</v>
      </c>
      <c r="N190" s="87">
        <v>1771.6992</v>
      </c>
      <c r="O190" s="123">
        <v>42264.356896970443</v>
      </c>
      <c r="P190" s="121">
        <v>51946.31881557429</v>
      </c>
      <c r="Q190" s="120">
        <v>23710.708858843918</v>
      </c>
      <c r="R190" s="314">
        <v>65975.065755814358</v>
      </c>
      <c r="S190" s="315">
        <v>75657.027674418205</v>
      </c>
      <c r="U190" s="7" t="s">
        <v>3536</v>
      </c>
    </row>
    <row r="191" spans="1:21" s="74" customFormat="1" ht="16.5" thickBot="1">
      <c r="A191" s="50" t="s">
        <v>35</v>
      </c>
      <c r="B191" s="51">
        <f t="shared" si="9"/>
        <v>150</v>
      </c>
      <c r="C191" s="51" t="s">
        <v>3</v>
      </c>
      <c r="D191" s="51">
        <f t="shared" si="10"/>
        <v>300</v>
      </c>
      <c r="E191" s="51" t="s">
        <v>3</v>
      </c>
      <c r="F191" s="99">
        <f t="shared" si="11"/>
        <v>2000</v>
      </c>
      <c r="G191" s="51" t="s">
        <v>3</v>
      </c>
      <c r="H191" s="48">
        <v>6</v>
      </c>
      <c r="I191" s="49" t="s">
        <v>47</v>
      </c>
      <c r="J191" s="184">
        <v>150</v>
      </c>
      <c r="K191" s="75">
        <v>300</v>
      </c>
      <c r="L191" s="75">
        <v>2000</v>
      </c>
      <c r="M191" s="202">
        <v>25.581994980385005</v>
      </c>
      <c r="N191" s="87">
        <v>1827.0647999999997</v>
      </c>
      <c r="O191" s="123">
        <v>43420.363425037023</v>
      </c>
      <c r="P191" s="121">
        <v>53410.142704689802</v>
      </c>
      <c r="Q191" s="120">
        <v>24421.695804491177</v>
      </c>
      <c r="R191" s="314">
        <v>67842.059229528197</v>
      </c>
      <c r="S191" s="315">
        <v>77831.838509180976</v>
      </c>
      <c r="U191" s="7" t="s">
        <v>3537</v>
      </c>
    </row>
    <row r="192" spans="1:21" s="74" customFormat="1" ht="16.5" thickBot="1">
      <c r="A192" s="50" t="s">
        <v>35</v>
      </c>
      <c r="B192" s="51">
        <f t="shared" si="9"/>
        <v>150</v>
      </c>
      <c r="C192" s="51" t="s">
        <v>3</v>
      </c>
      <c r="D192" s="51">
        <f t="shared" si="10"/>
        <v>300</v>
      </c>
      <c r="E192" s="51" t="s">
        <v>3</v>
      </c>
      <c r="F192" s="99">
        <f t="shared" si="11"/>
        <v>2050</v>
      </c>
      <c r="G192" s="51" t="s">
        <v>3</v>
      </c>
      <c r="H192" s="48">
        <v>6</v>
      </c>
      <c r="I192" s="49" t="s">
        <v>47</v>
      </c>
      <c r="J192" s="184">
        <v>150</v>
      </c>
      <c r="K192" s="75">
        <v>300</v>
      </c>
      <c r="L192" s="75">
        <v>2050</v>
      </c>
      <c r="M192" s="202">
        <v>26.188771740025004</v>
      </c>
      <c r="N192" s="87">
        <v>1882.4303999999997</v>
      </c>
      <c r="O192" s="123">
        <v>44334.681094839492</v>
      </c>
      <c r="P192" s="121">
        <v>54550.602492973208</v>
      </c>
      <c r="Q192" s="120">
        <v>24902.101112748529</v>
      </c>
      <c r="R192" s="314">
        <v>69236.782207588025</v>
      </c>
      <c r="S192" s="315">
        <v>79452.703605721734</v>
      </c>
      <c r="U192" s="7" t="s">
        <v>3538</v>
      </c>
    </row>
    <row r="193" spans="1:21" s="74" customFormat="1" ht="16.5" thickBot="1">
      <c r="A193" s="47" t="s">
        <v>35</v>
      </c>
      <c r="B193" s="48">
        <f t="shared" si="9"/>
        <v>150</v>
      </c>
      <c r="C193" s="48" t="s">
        <v>3</v>
      </c>
      <c r="D193" s="48">
        <f t="shared" si="10"/>
        <v>300</v>
      </c>
      <c r="E193" s="48" t="s">
        <v>3</v>
      </c>
      <c r="F193" s="99">
        <f t="shared" si="11"/>
        <v>2100</v>
      </c>
      <c r="G193" s="48" t="s">
        <v>3</v>
      </c>
      <c r="H193" s="48">
        <v>6</v>
      </c>
      <c r="I193" s="49" t="s">
        <v>47</v>
      </c>
      <c r="J193" s="184">
        <v>150</v>
      </c>
      <c r="K193" s="75">
        <v>300</v>
      </c>
      <c r="L193" s="75">
        <v>2100</v>
      </c>
      <c r="M193" s="202">
        <v>26.795548499664999</v>
      </c>
      <c r="N193" s="87">
        <v>1937.7959999999998</v>
      </c>
      <c r="O193" s="123">
        <v>45249.033441802509</v>
      </c>
      <c r="P193" s="121">
        <v>55691.074214692431</v>
      </c>
      <c r="Q193" s="120">
        <v>25613.088058395791</v>
      </c>
      <c r="R193" s="314">
        <v>70862.121500198293</v>
      </c>
      <c r="S193" s="315">
        <v>81304.162273088223</v>
      </c>
      <c r="U193" s="7" t="s">
        <v>3539</v>
      </c>
    </row>
    <row r="194" spans="1:21" s="74" customFormat="1" ht="16.5" thickBot="1">
      <c r="A194" s="50" t="s">
        <v>35</v>
      </c>
      <c r="B194" s="51">
        <f t="shared" si="9"/>
        <v>150</v>
      </c>
      <c r="C194" s="51" t="s">
        <v>3</v>
      </c>
      <c r="D194" s="51">
        <f t="shared" si="10"/>
        <v>300</v>
      </c>
      <c r="E194" s="51" t="s">
        <v>3</v>
      </c>
      <c r="F194" s="99">
        <f t="shared" si="11"/>
        <v>2150</v>
      </c>
      <c r="G194" s="51" t="s">
        <v>3</v>
      </c>
      <c r="H194" s="48">
        <v>6</v>
      </c>
      <c r="I194" s="49" t="s">
        <v>47</v>
      </c>
      <c r="J194" s="184">
        <v>150</v>
      </c>
      <c r="K194" s="75">
        <v>300</v>
      </c>
      <c r="L194" s="75">
        <v>2150</v>
      </c>
      <c r="M194" s="202">
        <v>27.402325259305009</v>
      </c>
      <c r="N194" s="87">
        <v>1993.1615999999999</v>
      </c>
      <c r="O194" s="123">
        <v>46163.418219632265</v>
      </c>
      <c r="P194" s="121">
        <v>56831.557027487303</v>
      </c>
      <c r="Q194" s="120">
        <v>26093.493366653143</v>
      </c>
      <c r="R194" s="314">
        <v>72256.911586285409</v>
      </c>
      <c r="S194" s="315">
        <v>82925.050394140446</v>
      </c>
      <c r="U194" s="7" t="s">
        <v>3540</v>
      </c>
    </row>
    <row r="195" spans="1:21" s="74" customFormat="1" ht="16.5" thickBot="1">
      <c r="A195" s="50" t="s">
        <v>35</v>
      </c>
      <c r="B195" s="51">
        <f t="shared" si="9"/>
        <v>150</v>
      </c>
      <c r="C195" s="51" t="s">
        <v>3</v>
      </c>
      <c r="D195" s="51">
        <f t="shared" si="10"/>
        <v>300</v>
      </c>
      <c r="E195" s="51" t="s">
        <v>3</v>
      </c>
      <c r="F195" s="99">
        <f t="shared" si="11"/>
        <v>2200</v>
      </c>
      <c r="G195" s="51" t="s">
        <v>3</v>
      </c>
      <c r="H195" s="48">
        <v>6</v>
      </c>
      <c r="I195" s="49" t="s">
        <v>47</v>
      </c>
      <c r="J195" s="184">
        <v>150</v>
      </c>
      <c r="K195" s="75">
        <v>300</v>
      </c>
      <c r="L195" s="75">
        <v>2200</v>
      </c>
      <c r="M195" s="202">
        <v>28.009102018945001</v>
      </c>
      <c r="N195" s="87">
        <v>2048.5272</v>
      </c>
      <c r="O195" s="123">
        <v>47077.833322428312</v>
      </c>
      <c r="P195" s="121">
        <v>57972.050369784352</v>
      </c>
      <c r="Q195" s="120">
        <v>26804.480312300402</v>
      </c>
      <c r="R195" s="314">
        <v>73882.313634728722</v>
      </c>
      <c r="S195" s="315">
        <v>84776.530682084762</v>
      </c>
      <c r="U195" s="7" t="s">
        <v>3541</v>
      </c>
    </row>
    <row r="196" spans="1:21" s="74" customFormat="1" ht="16.5" thickBot="1">
      <c r="A196" s="50" t="s">
        <v>35</v>
      </c>
      <c r="B196" s="51">
        <f t="shared" si="9"/>
        <v>150</v>
      </c>
      <c r="C196" s="51" t="s">
        <v>3</v>
      </c>
      <c r="D196" s="51">
        <f t="shared" si="10"/>
        <v>300</v>
      </c>
      <c r="E196" s="51" t="s">
        <v>3</v>
      </c>
      <c r="F196" s="99">
        <f t="shared" si="11"/>
        <v>2250</v>
      </c>
      <c r="G196" s="51" t="s">
        <v>3</v>
      </c>
      <c r="H196" s="48">
        <v>6</v>
      </c>
      <c r="I196" s="49" t="s">
        <v>47</v>
      </c>
      <c r="J196" s="184">
        <v>150</v>
      </c>
      <c r="K196" s="75">
        <v>300</v>
      </c>
      <c r="L196" s="75">
        <v>2250</v>
      </c>
      <c r="M196" s="202">
        <v>28.615878778585003</v>
      </c>
      <c r="N196" s="87">
        <v>2103.8927999999996</v>
      </c>
      <c r="O196" s="123">
        <v>47992.277065470305</v>
      </c>
      <c r="P196" s="121">
        <v>59112.55368001014</v>
      </c>
      <c r="Q196" s="120">
        <v>27284.885480164394</v>
      </c>
      <c r="R196" s="314">
        <v>75277.162545634696</v>
      </c>
      <c r="S196" s="315">
        <v>86397.43916017453</v>
      </c>
      <c r="U196" s="7" t="s">
        <v>3542</v>
      </c>
    </row>
    <row r="197" spans="1:21" s="74" customFormat="1" ht="16.5" thickBot="1">
      <c r="A197" s="50" t="s">
        <v>35</v>
      </c>
      <c r="B197" s="51">
        <f t="shared" si="9"/>
        <v>150</v>
      </c>
      <c r="C197" s="51" t="s">
        <v>3</v>
      </c>
      <c r="D197" s="51">
        <f t="shared" si="10"/>
        <v>300</v>
      </c>
      <c r="E197" s="51" t="s">
        <v>3</v>
      </c>
      <c r="F197" s="99">
        <f t="shared" si="11"/>
        <v>2300</v>
      </c>
      <c r="G197" s="51" t="s">
        <v>3</v>
      </c>
      <c r="H197" s="48">
        <v>6</v>
      </c>
      <c r="I197" s="49" t="s">
        <v>47</v>
      </c>
      <c r="J197" s="184">
        <v>150</v>
      </c>
      <c r="K197" s="75">
        <v>300</v>
      </c>
      <c r="L197" s="75">
        <v>2300</v>
      </c>
      <c r="M197" s="202">
        <v>29.222655538225002</v>
      </c>
      <c r="N197" s="87">
        <v>2159.2583999999997</v>
      </c>
      <c r="O197" s="123">
        <v>48906.747764037907</v>
      </c>
      <c r="P197" s="121">
        <v>60253.066256197846</v>
      </c>
      <c r="Q197" s="120">
        <v>27765.290788421746</v>
      </c>
      <c r="R197" s="314">
        <v>76672.03855245965</v>
      </c>
      <c r="S197" s="315">
        <v>88018.357044619595</v>
      </c>
      <c r="U197" s="7" t="s">
        <v>3543</v>
      </c>
    </row>
    <row r="198" spans="1:21" s="74" customFormat="1" ht="16.5" thickBot="1">
      <c r="A198" s="50" t="s">
        <v>35</v>
      </c>
      <c r="B198" s="51">
        <f t="shared" si="9"/>
        <v>150</v>
      </c>
      <c r="C198" s="51" t="s">
        <v>3</v>
      </c>
      <c r="D198" s="51">
        <f t="shared" si="10"/>
        <v>300</v>
      </c>
      <c r="E198" s="51" t="s">
        <v>3</v>
      </c>
      <c r="F198" s="99">
        <f t="shared" si="11"/>
        <v>2350</v>
      </c>
      <c r="G198" s="51" t="s">
        <v>3</v>
      </c>
      <c r="H198" s="48">
        <v>6</v>
      </c>
      <c r="I198" s="49" t="s">
        <v>47</v>
      </c>
      <c r="J198" s="184">
        <v>150</v>
      </c>
      <c r="K198" s="75">
        <v>300</v>
      </c>
      <c r="L198" s="75">
        <v>2350</v>
      </c>
      <c r="M198" s="202">
        <v>29.829432297865001</v>
      </c>
      <c r="N198" s="87">
        <v>2214.6239999999998</v>
      </c>
      <c r="O198" s="123">
        <v>49821.24373341076</v>
      </c>
      <c r="P198" s="121">
        <v>61393.587536774037</v>
      </c>
      <c r="Q198" s="120">
        <v>28476.277734069005</v>
      </c>
      <c r="R198" s="314">
        <v>78297.521467479761</v>
      </c>
      <c r="S198" s="315">
        <v>89869.865270843045</v>
      </c>
      <c r="U198" s="7" t="s">
        <v>3544</v>
      </c>
    </row>
    <row r="199" spans="1:21" s="74" customFormat="1" ht="16.5" thickBot="1">
      <c r="A199" s="50" t="s">
        <v>35</v>
      </c>
      <c r="B199" s="51">
        <f t="shared" si="9"/>
        <v>150</v>
      </c>
      <c r="C199" s="51" t="s">
        <v>3</v>
      </c>
      <c r="D199" s="51">
        <f t="shared" si="10"/>
        <v>300</v>
      </c>
      <c r="E199" s="51" t="s">
        <v>3</v>
      </c>
      <c r="F199" s="99">
        <f t="shared" si="11"/>
        <v>2400</v>
      </c>
      <c r="G199" s="51" t="s">
        <v>3</v>
      </c>
      <c r="H199" s="48">
        <v>6</v>
      </c>
      <c r="I199" s="49" t="s">
        <v>47</v>
      </c>
      <c r="J199" s="184">
        <v>150</v>
      </c>
      <c r="K199" s="75">
        <v>300</v>
      </c>
      <c r="L199" s="75">
        <v>2400</v>
      </c>
      <c r="M199" s="202">
        <v>30.436209057505</v>
      </c>
      <c r="N199" s="87">
        <v>2269.9895999999994</v>
      </c>
      <c r="O199" s="123">
        <v>50735.763569655239</v>
      </c>
      <c r="P199" s="121">
        <v>62534.117100558615</v>
      </c>
      <c r="Q199" s="120">
        <v>28956.682901932996</v>
      </c>
      <c r="R199" s="314">
        <v>79692.446471588235</v>
      </c>
      <c r="S199" s="315">
        <v>91490.800002491611</v>
      </c>
      <c r="U199" s="7" t="s">
        <v>3545</v>
      </c>
    </row>
    <row r="200" spans="1:21" s="74" customFormat="1" ht="16.5" thickBot="1">
      <c r="A200" s="50" t="s">
        <v>35</v>
      </c>
      <c r="B200" s="51">
        <f t="shared" si="9"/>
        <v>150</v>
      </c>
      <c r="C200" s="51" t="s">
        <v>3</v>
      </c>
      <c r="D200" s="51">
        <f t="shared" si="10"/>
        <v>300</v>
      </c>
      <c r="E200" s="51" t="s">
        <v>3</v>
      </c>
      <c r="F200" s="99">
        <f t="shared" si="11"/>
        <v>2450</v>
      </c>
      <c r="G200" s="51" t="s">
        <v>3</v>
      </c>
      <c r="H200" s="48">
        <v>6</v>
      </c>
      <c r="I200" s="49" t="s">
        <v>47</v>
      </c>
      <c r="J200" s="184">
        <v>150</v>
      </c>
      <c r="K200" s="75">
        <v>300</v>
      </c>
      <c r="L200" s="75">
        <v>2450</v>
      </c>
      <c r="M200" s="202">
        <v>31.210138974445005</v>
      </c>
      <c r="N200" s="87">
        <v>2325.3552</v>
      </c>
      <c r="O200" s="123">
        <v>52326.789320536889</v>
      </c>
      <c r="P200" s="121">
        <v>64336.96919914044</v>
      </c>
      <c r="Q200" s="120">
        <v>29667.669987973619</v>
      </c>
      <c r="R200" s="314">
        <v>81994.459308510501</v>
      </c>
      <c r="S200" s="315">
        <v>94004.639187114051</v>
      </c>
      <c r="U200" s="7" t="s">
        <v>3546</v>
      </c>
    </row>
    <row r="201" spans="1:21" s="74" customFormat="1" ht="16.5" thickBot="1">
      <c r="A201" s="50" t="s">
        <v>35</v>
      </c>
      <c r="B201" s="51">
        <f t="shared" si="9"/>
        <v>150</v>
      </c>
      <c r="C201" s="51" t="s">
        <v>3</v>
      </c>
      <c r="D201" s="51">
        <f t="shared" si="10"/>
        <v>300</v>
      </c>
      <c r="E201" s="51" t="s">
        <v>3</v>
      </c>
      <c r="F201" s="99">
        <f t="shared" si="11"/>
        <v>2500</v>
      </c>
      <c r="G201" s="51" t="s">
        <v>3</v>
      </c>
      <c r="H201" s="48">
        <v>6</v>
      </c>
      <c r="I201" s="49" t="s">
        <v>47</v>
      </c>
      <c r="J201" s="184">
        <v>150</v>
      </c>
      <c r="K201" s="75">
        <v>300</v>
      </c>
      <c r="L201" s="75">
        <v>2500</v>
      </c>
      <c r="M201" s="202">
        <v>31.816915734084997</v>
      </c>
      <c r="N201" s="87">
        <v>2380.7207999999996</v>
      </c>
      <c r="O201" s="123">
        <v>53241.281078108863</v>
      </c>
      <c r="P201" s="121">
        <v>65477.555201056741</v>
      </c>
      <c r="Q201" s="120">
        <v>30148.075155837607</v>
      </c>
      <c r="R201" s="314">
        <v>83389.35623394647</v>
      </c>
      <c r="S201" s="315">
        <v>95625.63035689434</v>
      </c>
      <c r="U201" s="7" t="s">
        <v>3547</v>
      </c>
    </row>
    <row r="202" spans="1:21" s="74" customFormat="1" ht="16.5" thickBot="1">
      <c r="A202" s="50" t="s">
        <v>35</v>
      </c>
      <c r="B202" s="51">
        <f t="shared" si="9"/>
        <v>150</v>
      </c>
      <c r="C202" s="51" t="s">
        <v>3</v>
      </c>
      <c r="D202" s="51">
        <f t="shared" si="10"/>
        <v>300</v>
      </c>
      <c r="E202" s="51" t="s">
        <v>3</v>
      </c>
      <c r="F202" s="99">
        <f t="shared" si="11"/>
        <v>2550</v>
      </c>
      <c r="G202" s="51" t="s">
        <v>3</v>
      </c>
      <c r="H202" s="48">
        <v>6</v>
      </c>
      <c r="I202" s="49" t="s">
        <v>47</v>
      </c>
      <c r="J202" s="184">
        <v>150</v>
      </c>
      <c r="K202" s="75">
        <v>300</v>
      </c>
      <c r="L202" s="75">
        <v>2550</v>
      </c>
      <c r="M202" s="202">
        <v>32.423692493725</v>
      </c>
      <c r="N202" s="87">
        <v>2436.0864000000001</v>
      </c>
      <c r="O202" s="123">
        <v>54155.795439012196</v>
      </c>
      <c r="P202" s="121">
        <v>66618.14667831418</v>
      </c>
      <c r="Q202" s="120">
        <v>30859.06224187823</v>
      </c>
      <c r="R202" s="314">
        <v>85014.857680890418</v>
      </c>
      <c r="S202" s="315">
        <v>97477.20892019241</v>
      </c>
      <c r="U202" s="7" t="s">
        <v>3548</v>
      </c>
    </row>
    <row r="203" spans="1:21" s="74" customFormat="1" ht="16.5" thickBot="1">
      <c r="A203" s="47" t="s">
        <v>35</v>
      </c>
      <c r="B203" s="48">
        <f t="shared" si="9"/>
        <v>150</v>
      </c>
      <c r="C203" s="48" t="s">
        <v>3</v>
      </c>
      <c r="D203" s="48">
        <f t="shared" si="10"/>
        <v>300</v>
      </c>
      <c r="E203" s="48" t="s">
        <v>3</v>
      </c>
      <c r="F203" s="99">
        <f t="shared" si="11"/>
        <v>2600</v>
      </c>
      <c r="G203" s="48" t="s">
        <v>3</v>
      </c>
      <c r="H203" s="48">
        <v>6</v>
      </c>
      <c r="I203" s="49" t="s">
        <v>47</v>
      </c>
      <c r="J203" s="184">
        <v>150</v>
      </c>
      <c r="K203" s="75">
        <v>300</v>
      </c>
      <c r="L203" s="75">
        <v>2600</v>
      </c>
      <c r="M203" s="202">
        <v>33.030469253364998</v>
      </c>
      <c r="N203" s="87">
        <v>2491.4519999999998</v>
      </c>
      <c r="O203" s="123">
        <v>54057.558412650164</v>
      </c>
      <c r="P203" s="121">
        <v>66486.272946624129</v>
      </c>
      <c r="Q203" s="120">
        <v>31339.467409742221</v>
      </c>
      <c r="R203" s="314">
        <v>85397.025822392388</v>
      </c>
      <c r="S203" s="315">
        <v>97825.740356366354</v>
      </c>
      <c r="U203" s="7" t="s">
        <v>3549</v>
      </c>
    </row>
    <row r="204" spans="1:21" s="74" customFormat="1" ht="16.5" thickBot="1">
      <c r="A204" s="50" t="s">
        <v>35</v>
      </c>
      <c r="B204" s="51">
        <f t="shared" si="9"/>
        <v>150</v>
      </c>
      <c r="C204" s="51" t="s">
        <v>3</v>
      </c>
      <c r="D204" s="51">
        <f t="shared" si="10"/>
        <v>300</v>
      </c>
      <c r="E204" s="51" t="s">
        <v>3</v>
      </c>
      <c r="F204" s="99">
        <f t="shared" si="11"/>
        <v>2650</v>
      </c>
      <c r="G204" s="51" t="s">
        <v>3</v>
      </c>
      <c r="H204" s="48">
        <v>6</v>
      </c>
      <c r="I204" s="49" t="s">
        <v>47</v>
      </c>
      <c r="J204" s="184">
        <v>150</v>
      </c>
      <c r="K204" s="75">
        <v>300</v>
      </c>
      <c r="L204" s="75">
        <v>2650</v>
      </c>
      <c r="M204" s="202">
        <v>33.637246013005004</v>
      </c>
      <c r="N204" s="87">
        <v>2546.8175999999994</v>
      </c>
      <c r="O204" s="123">
        <v>55242.893956503169</v>
      </c>
      <c r="P204" s="121">
        <v>67966.834111236793</v>
      </c>
      <c r="Q204" s="120">
        <v>32050.45435538948</v>
      </c>
      <c r="R204" s="314">
        <v>87293.348311892652</v>
      </c>
      <c r="S204" s="315">
        <v>100017.28846662627</v>
      </c>
      <c r="U204" s="7" t="s">
        <v>3550</v>
      </c>
    </row>
    <row r="205" spans="1:21" s="74" customFormat="1" ht="16.5" thickBot="1">
      <c r="A205" s="50" t="s">
        <v>35</v>
      </c>
      <c r="B205" s="51">
        <f t="shared" si="9"/>
        <v>150</v>
      </c>
      <c r="C205" s="51" t="s">
        <v>3</v>
      </c>
      <c r="D205" s="51">
        <f t="shared" si="10"/>
        <v>300</v>
      </c>
      <c r="E205" s="51" t="s">
        <v>3</v>
      </c>
      <c r="F205" s="99">
        <f t="shared" si="11"/>
        <v>2700</v>
      </c>
      <c r="G205" s="51" t="s">
        <v>3</v>
      </c>
      <c r="H205" s="48">
        <v>6</v>
      </c>
      <c r="I205" s="49" t="s">
        <v>47</v>
      </c>
      <c r="J205" s="184">
        <v>150</v>
      </c>
      <c r="K205" s="75">
        <v>300</v>
      </c>
      <c r="L205" s="75">
        <v>2700</v>
      </c>
      <c r="M205" s="202">
        <v>34.361772772645004</v>
      </c>
      <c r="N205" s="87">
        <v>2602.1831999999999</v>
      </c>
      <c r="O205" s="123">
        <v>56282.519581611647</v>
      </c>
      <c r="P205" s="121">
        <v>69235.413933877106</v>
      </c>
      <c r="Q205" s="120">
        <v>32530.859663646832</v>
      </c>
      <c r="R205" s="314">
        <v>88813.379245258475</v>
      </c>
      <c r="S205" s="315">
        <v>101766.27359752393</v>
      </c>
      <c r="U205" s="7" t="s">
        <v>3551</v>
      </c>
    </row>
    <row r="206" spans="1:21" s="74" customFormat="1" ht="16.5" thickBot="1">
      <c r="A206" s="50" t="s">
        <v>35</v>
      </c>
      <c r="B206" s="51">
        <f t="shared" si="9"/>
        <v>150</v>
      </c>
      <c r="C206" s="51" t="s">
        <v>3</v>
      </c>
      <c r="D206" s="51">
        <f t="shared" si="10"/>
        <v>300</v>
      </c>
      <c r="E206" s="51" t="s">
        <v>3</v>
      </c>
      <c r="F206" s="99">
        <f t="shared" si="11"/>
        <v>2750</v>
      </c>
      <c r="G206" s="51" t="s">
        <v>3</v>
      </c>
      <c r="H206" s="48">
        <v>6</v>
      </c>
      <c r="I206" s="49" t="s">
        <v>47</v>
      </c>
      <c r="J206" s="184">
        <v>150</v>
      </c>
      <c r="K206" s="75">
        <v>300</v>
      </c>
      <c r="L206" s="75">
        <v>2750</v>
      </c>
      <c r="M206" s="202">
        <v>34.968549532284996</v>
      </c>
      <c r="N206" s="87">
        <v>2657.5487999999996</v>
      </c>
      <c r="O206" s="123">
        <v>57199.401676573551</v>
      </c>
      <c r="P206" s="121">
        <v>70378.664461420296</v>
      </c>
      <c r="Q206" s="120">
        <v>33011.264831510824</v>
      </c>
      <c r="R206" s="314">
        <v>90210.666508084367</v>
      </c>
      <c r="S206" s="315">
        <v>103389.92929293112</v>
      </c>
      <c r="U206" s="7" t="s">
        <v>3552</v>
      </c>
    </row>
    <row r="207" spans="1:21" s="74" customFormat="1" ht="16.5" thickBot="1">
      <c r="A207" s="50" t="s">
        <v>35</v>
      </c>
      <c r="B207" s="51">
        <f t="shared" si="9"/>
        <v>150</v>
      </c>
      <c r="C207" s="51" t="s">
        <v>3</v>
      </c>
      <c r="D207" s="51">
        <f t="shared" si="10"/>
        <v>300</v>
      </c>
      <c r="E207" s="51" t="s">
        <v>3</v>
      </c>
      <c r="F207" s="99">
        <f t="shared" si="11"/>
        <v>2800</v>
      </c>
      <c r="G207" s="51" t="s">
        <v>3</v>
      </c>
      <c r="H207" s="48">
        <v>6</v>
      </c>
      <c r="I207" s="49" t="s">
        <v>47</v>
      </c>
      <c r="J207" s="184">
        <v>150</v>
      </c>
      <c r="K207" s="75">
        <v>300</v>
      </c>
      <c r="L207" s="75">
        <v>2800</v>
      </c>
      <c r="M207" s="202">
        <v>35.575326291925002</v>
      </c>
      <c r="N207" s="87">
        <v>2712.9144000000001</v>
      </c>
      <c r="O207" s="123">
        <v>58116.291493170385</v>
      </c>
      <c r="P207" s="121">
        <v>71521.916112110383</v>
      </c>
      <c r="Q207" s="120">
        <v>33722.251777158082</v>
      </c>
      <c r="R207" s="314">
        <v>91838.54327032846</v>
      </c>
      <c r="S207" s="315">
        <v>105244.16788926846</v>
      </c>
      <c r="U207" s="7" t="s">
        <v>3553</v>
      </c>
    </row>
    <row r="208" spans="1:21" s="74" customFormat="1" ht="16.5" thickBot="1">
      <c r="A208" s="50" t="s">
        <v>35</v>
      </c>
      <c r="B208" s="51">
        <f t="shared" si="9"/>
        <v>150</v>
      </c>
      <c r="C208" s="51" t="s">
        <v>3</v>
      </c>
      <c r="D208" s="51">
        <f t="shared" si="10"/>
        <v>300</v>
      </c>
      <c r="E208" s="51" t="s">
        <v>3</v>
      </c>
      <c r="F208" s="99">
        <f t="shared" si="11"/>
        <v>2850</v>
      </c>
      <c r="G208" s="51" t="s">
        <v>3</v>
      </c>
      <c r="H208" s="48">
        <v>6</v>
      </c>
      <c r="I208" s="49" t="s">
        <v>47</v>
      </c>
      <c r="J208" s="184">
        <v>150</v>
      </c>
      <c r="K208" s="75">
        <v>300</v>
      </c>
      <c r="L208" s="75">
        <v>2850</v>
      </c>
      <c r="M208" s="202">
        <v>36.182103051565001</v>
      </c>
      <c r="N208" s="87">
        <v>2768.2799999999997</v>
      </c>
      <c r="O208" s="123">
        <v>59033.188891008802</v>
      </c>
      <c r="P208" s="121">
        <v>72665.169026340722</v>
      </c>
      <c r="Q208" s="120">
        <v>34202.657085415434</v>
      </c>
      <c r="R208" s="314">
        <v>93235.845976424229</v>
      </c>
      <c r="S208" s="315">
        <v>106867.82611175615</v>
      </c>
      <c r="U208" s="7" t="s">
        <v>3554</v>
      </c>
    </row>
    <row r="209" spans="1:21" s="74" customFormat="1" ht="16.5" thickBot="1">
      <c r="A209" s="50" t="s">
        <v>35</v>
      </c>
      <c r="B209" s="51">
        <f t="shared" si="9"/>
        <v>150</v>
      </c>
      <c r="C209" s="51" t="s">
        <v>3</v>
      </c>
      <c r="D209" s="51">
        <f t="shared" si="10"/>
        <v>300</v>
      </c>
      <c r="E209" s="51" t="s">
        <v>3</v>
      </c>
      <c r="F209" s="99">
        <f t="shared" si="11"/>
        <v>2900</v>
      </c>
      <c r="G209" s="51" t="s">
        <v>3</v>
      </c>
      <c r="H209" s="48">
        <v>6</v>
      </c>
      <c r="I209" s="49" t="s">
        <v>47</v>
      </c>
      <c r="J209" s="184">
        <v>150</v>
      </c>
      <c r="K209" s="75">
        <v>300</v>
      </c>
      <c r="L209" s="75">
        <v>2900</v>
      </c>
      <c r="M209" s="202">
        <v>36.788879811205</v>
      </c>
      <c r="N209" s="87">
        <v>2823.6455999999994</v>
      </c>
      <c r="O209" s="123">
        <v>59950.093168121974</v>
      </c>
      <c r="P209" s="121">
        <v>73808.423063717972</v>
      </c>
      <c r="Q209" s="120">
        <v>34913.644031062693</v>
      </c>
      <c r="R209" s="314">
        <v>94863.737199184659</v>
      </c>
      <c r="S209" s="315">
        <v>108722.06709478066</v>
      </c>
      <c r="U209" s="7" t="s">
        <v>3555</v>
      </c>
    </row>
    <row r="210" spans="1:21" s="74" customFormat="1" ht="16.5" thickBot="1">
      <c r="A210" s="50" t="s">
        <v>35</v>
      </c>
      <c r="B210" s="51">
        <f t="shared" si="9"/>
        <v>150</v>
      </c>
      <c r="C210" s="51" t="s">
        <v>3</v>
      </c>
      <c r="D210" s="51">
        <f t="shared" si="10"/>
        <v>300</v>
      </c>
      <c r="E210" s="51" t="s">
        <v>3</v>
      </c>
      <c r="F210" s="99">
        <f t="shared" si="11"/>
        <v>2950</v>
      </c>
      <c r="G210" s="51" t="s">
        <v>3</v>
      </c>
      <c r="H210" s="48">
        <v>6</v>
      </c>
      <c r="I210" s="49" t="s">
        <v>47</v>
      </c>
      <c r="J210" s="184">
        <v>150</v>
      </c>
      <c r="K210" s="75">
        <v>300</v>
      </c>
      <c r="L210" s="75">
        <v>2950</v>
      </c>
      <c r="M210" s="202">
        <v>37.395656570845006</v>
      </c>
      <c r="N210" s="87">
        <v>2879.0111999999999</v>
      </c>
      <c r="O210" s="123">
        <v>60867.004324509915</v>
      </c>
      <c r="P210" s="121">
        <v>74951.678224242132</v>
      </c>
      <c r="Q210" s="120">
        <v>35394.049339320045</v>
      </c>
      <c r="R210" s="314">
        <v>96261.053663829953</v>
      </c>
      <c r="S210" s="315">
        <v>110345.72756356218</v>
      </c>
      <c r="U210" s="7" t="s">
        <v>3556</v>
      </c>
    </row>
    <row r="211" spans="1:21" s="74" customFormat="1" ht="16.5" thickBot="1">
      <c r="A211" s="52" t="s">
        <v>35</v>
      </c>
      <c r="B211" s="53">
        <f t="shared" si="9"/>
        <v>150</v>
      </c>
      <c r="C211" s="53" t="s">
        <v>3</v>
      </c>
      <c r="D211" s="53">
        <f t="shared" si="10"/>
        <v>300</v>
      </c>
      <c r="E211" s="53" t="s">
        <v>3</v>
      </c>
      <c r="F211" s="100">
        <f t="shared" si="11"/>
        <v>3000</v>
      </c>
      <c r="G211" s="53" t="s">
        <v>3</v>
      </c>
      <c r="H211" s="48">
        <v>6</v>
      </c>
      <c r="I211" s="54" t="s">
        <v>47</v>
      </c>
      <c r="J211" s="186">
        <v>150</v>
      </c>
      <c r="K211" s="147">
        <v>300</v>
      </c>
      <c r="L211" s="147">
        <v>3000</v>
      </c>
      <c r="M211" s="209">
        <v>38.002433330484997</v>
      </c>
      <c r="N211" s="148">
        <v>2934.3767999999995</v>
      </c>
      <c r="O211" s="149">
        <v>62747.201934360237</v>
      </c>
      <c r="P211" s="158">
        <v>76094.934507913174</v>
      </c>
      <c r="Q211" s="159">
        <v>36105.036284967304</v>
      </c>
      <c r="R211" s="316">
        <v>98852.238219327541</v>
      </c>
      <c r="S211" s="317">
        <v>112199.97079288049</v>
      </c>
      <c r="U211" s="7" t="s">
        <v>3557</v>
      </c>
    </row>
    <row r="212" spans="1:21" ht="22.5" customHeight="1" thickBot="1">
      <c r="A212" s="2621" t="s">
        <v>48</v>
      </c>
      <c r="B212" s="2622"/>
      <c r="C212" s="2622"/>
      <c r="D212" s="2622"/>
      <c r="E212" s="2622"/>
      <c r="F212" s="2622"/>
      <c r="G212" s="2622"/>
      <c r="H212" s="2622"/>
      <c r="I212" s="2622"/>
      <c r="J212" s="2622"/>
      <c r="K212" s="2622"/>
      <c r="L212" s="2622"/>
      <c r="M212" s="2622"/>
      <c r="N212" s="2622"/>
      <c r="O212" s="2622"/>
      <c r="P212" s="2622"/>
      <c r="Q212" s="2622"/>
      <c r="R212" s="2622"/>
      <c r="S212" s="2623"/>
      <c r="U212" s="7"/>
    </row>
    <row r="213" spans="1:21" ht="16.5" customHeight="1" thickBot="1">
      <c r="A213" s="2583" t="s">
        <v>140</v>
      </c>
      <c r="B213" s="2584"/>
      <c r="C213" s="2584"/>
      <c r="D213" s="2584"/>
      <c r="E213" s="2584"/>
      <c r="F213" s="2584"/>
      <c r="G213" s="2584"/>
      <c r="H213" s="2584"/>
      <c r="I213" s="2584"/>
      <c r="J213" s="2584"/>
      <c r="K213" s="2584"/>
      <c r="L213" s="2584"/>
      <c r="M213" s="2584"/>
      <c r="N213" s="2584"/>
      <c r="O213" s="2584"/>
      <c r="P213" s="2584"/>
      <c r="Q213" s="2584"/>
      <c r="R213" s="2584"/>
      <c r="S213" s="2585"/>
      <c r="U213" s="7"/>
    </row>
    <row r="214" spans="1:21" ht="16.5" thickBot="1">
      <c r="A214" s="47" t="s">
        <v>35</v>
      </c>
      <c r="B214" s="48">
        <f>J214</f>
        <v>150</v>
      </c>
      <c r="C214" s="48" t="s">
        <v>3</v>
      </c>
      <c r="D214" s="48">
        <f>K214</f>
        <v>300</v>
      </c>
      <c r="E214" s="48" t="s">
        <v>3</v>
      </c>
      <c r="F214" s="99">
        <f>L214</f>
        <v>600</v>
      </c>
      <c r="G214" s="48" t="s">
        <v>3</v>
      </c>
      <c r="H214" s="48">
        <v>8</v>
      </c>
      <c r="I214" s="49" t="s">
        <v>47</v>
      </c>
      <c r="J214" s="181">
        <v>150</v>
      </c>
      <c r="K214" s="143">
        <v>300</v>
      </c>
      <c r="L214" s="143">
        <v>600</v>
      </c>
      <c r="M214" s="201">
        <v>8.6940463408200017</v>
      </c>
      <c r="N214" s="144">
        <v>300.89999999999998</v>
      </c>
      <c r="O214" s="145">
        <v>18952.902051844729</v>
      </c>
      <c r="P214" s="183">
        <v>22191.391264152942</v>
      </c>
      <c r="Q214" s="169">
        <v>8203.3683669666007</v>
      </c>
      <c r="R214" s="312">
        <v>27156.270418811328</v>
      </c>
      <c r="S214" s="313">
        <v>30394.759631119545</v>
      </c>
      <c r="U214" s="7" t="s">
        <v>3558</v>
      </c>
    </row>
    <row r="215" spans="1:21" ht="16.5" thickBot="1">
      <c r="A215" s="50" t="s">
        <v>35</v>
      </c>
      <c r="B215" s="51">
        <f t="shared" ref="B215:B262" si="12">J215</f>
        <v>150</v>
      </c>
      <c r="C215" s="51" t="s">
        <v>3</v>
      </c>
      <c r="D215" s="51">
        <f t="shared" ref="D215:D262" si="13">K215</f>
        <v>300</v>
      </c>
      <c r="E215" s="51" t="s">
        <v>3</v>
      </c>
      <c r="F215" s="99">
        <f t="shared" ref="F215:F262" si="14">L215</f>
        <v>650</v>
      </c>
      <c r="G215" s="51" t="s">
        <v>3</v>
      </c>
      <c r="H215" s="48">
        <v>8</v>
      </c>
      <c r="I215" s="49" t="s">
        <v>47</v>
      </c>
      <c r="J215" s="184">
        <v>150</v>
      </c>
      <c r="K215" s="75">
        <v>300</v>
      </c>
      <c r="L215" s="75">
        <v>650</v>
      </c>
      <c r="M215" s="202">
        <v>9.3674454903399997</v>
      </c>
      <c r="N215" s="87">
        <v>361.08</v>
      </c>
      <c r="O215" s="123">
        <v>20084.540503982178</v>
      </c>
      <c r="P215" s="121">
        <v>23527.431501408115</v>
      </c>
      <c r="Q215" s="120">
        <v>8683.7735348305905</v>
      </c>
      <c r="R215" s="314">
        <v>28768.314038812769</v>
      </c>
      <c r="S215" s="315">
        <v>32211.205036238705</v>
      </c>
      <c r="U215" s="7" t="s">
        <v>3559</v>
      </c>
    </row>
    <row r="216" spans="1:21" ht="16.5" thickBot="1">
      <c r="A216" s="50" t="s">
        <v>35</v>
      </c>
      <c r="B216" s="51">
        <f t="shared" si="12"/>
        <v>150</v>
      </c>
      <c r="C216" s="51" t="s">
        <v>3</v>
      </c>
      <c r="D216" s="51">
        <f t="shared" si="13"/>
        <v>300</v>
      </c>
      <c r="E216" s="51" t="s">
        <v>3</v>
      </c>
      <c r="F216" s="99">
        <f t="shared" si="14"/>
        <v>700</v>
      </c>
      <c r="G216" s="51" t="s">
        <v>3</v>
      </c>
      <c r="H216" s="48">
        <v>8</v>
      </c>
      <c r="I216" s="49" t="s">
        <v>47</v>
      </c>
      <c r="J216" s="184">
        <v>150</v>
      </c>
      <c r="K216" s="75">
        <v>300</v>
      </c>
      <c r="L216" s="75">
        <v>700</v>
      </c>
      <c r="M216" s="202">
        <v>10.057884639859999</v>
      </c>
      <c r="N216" s="87">
        <v>421.26</v>
      </c>
      <c r="O216" s="123">
        <v>21216.178956119627</v>
      </c>
      <c r="P216" s="121">
        <v>24863.471598269931</v>
      </c>
      <c r="Q216" s="120">
        <v>9394.7606208712132</v>
      </c>
      <c r="R216" s="314">
        <v>30610.939576990841</v>
      </c>
      <c r="S216" s="315">
        <v>34258.232219141144</v>
      </c>
      <c r="U216" s="7" t="s">
        <v>3560</v>
      </c>
    </row>
    <row r="217" spans="1:21" ht="16.5" thickBot="1">
      <c r="A217" s="50" t="s">
        <v>35</v>
      </c>
      <c r="B217" s="51">
        <f t="shared" si="12"/>
        <v>150</v>
      </c>
      <c r="C217" s="51" t="s">
        <v>3</v>
      </c>
      <c r="D217" s="51">
        <f t="shared" si="13"/>
        <v>300</v>
      </c>
      <c r="E217" s="51" t="s">
        <v>3</v>
      </c>
      <c r="F217" s="99">
        <f t="shared" si="14"/>
        <v>750</v>
      </c>
      <c r="G217" s="51" t="s">
        <v>3</v>
      </c>
      <c r="H217" s="48">
        <v>8</v>
      </c>
      <c r="I217" s="49" t="s">
        <v>47</v>
      </c>
      <c r="J217" s="184">
        <v>150</v>
      </c>
      <c r="K217" s="75">
        <v>300</v>
      </c>
      <c r="L217" s="75">
        <v>750</v>
      </c>
      <c r="M217" s="202">
        <v>10.731283789379999</v>
      </c>
      <c r="N217" s="87">
        <v>481.43999999999994</v>
      </c>
      <c r="O217" s="123">
        <v>22347.817548650444</v>
      </c>
      <c r="P217" s="121">
        <v>26199.511695131747</v>
      </c>
      <c r="Q217" s="120">
        <v>9875.165788735203</v>
      </c>
      <c r="R217" s="314">
        <v>32222.983337385645</v>
      </c>
      <c r="S217" s="315">
        <v>36074.677483866952</v>
      </c>
      <c r="U217" s="7" t="s">
        <v>3561</v>
      </c>
    </row>
    <row r="218" spans="1:21" ht="16.5" thickBot="1">
      <c r="A218" s="50" t="s">
        <v>35</v>
      </c>
      <c r="B218" s="51">
        <f t="shared" si="12"/>
        <v>150</v>
      </c>
      <c r="C218" s="51" t="s">
        <v>3</v>
      </c>
      <c r="D218" s="51">
        <f t="shared" si="13"/>
        <v>300</v>
      </c>
      <c r="E218" s="51" t="s">
        <v>3</v>
      </c>
      <c r="F218" s="99">
        <f t="shared" si="14"/>
        <v>800</v>
      </c>
      <c r="G218" s="51" t="s">
        <v>3</v>
      </c>
      <c r="H218" s="48">
        <v>8</v>
      </c>
      <c r="I218" s="49" t="s">
        <v>47</v>
      </c>
      <c r="J218" s="184">
        <v>150</v>
      </c>
      <c r="K218" s="75">
        <v>300</v>
      </c>
      <c r="L218" s="75">
        <v>800</v>
      </c>
      <c r="M218" s="202">
        <v>11.404682938899999</v>
      </c>
      <c r="N218" s="87">
        <v>541.62</v>
      </c>
      <c r="O218" s="123">
        <v>23479.456000787894</v>
      </c>
      <c r="P218" s="121">
        <v>27535.551791993556</v>
      </c>
      <c r="Q218" s="120">
        <v>10355.570956599189</v>
      </c>
      <c r="R218" s="314">
        <v>33835.026957387083</v>
      </c>
      <c r="S218" s="315">
        <v>37891.122748592745</v>
      </c>
      <c r="U218" s="7" t="s">
        <v>3562</v>
      </c>
    </row>
    <row r="219" spans="1:21" ht="16.5" thickBot="1">
      <c r="A219" s="50" t="s">
        <v>35</v>
      </c>
      <c r="B219" s="51">
        <f t="shared" si="12"/>
        <v>150</v>
      </c>
      <c r="C219" s="51" t="s">
        <v>3</v>
      </c>
      <c r="D219" s="51">
        <f t="shared" si="13"/>
        <v>300</v>
      </c>
      <c r="E219" s="51" t="s">
        <v>3</v>
      </c>
      <c r="F219" s="99">
        <f t="shared" si="14"/>
        <v>850</v>
      </c>
      <c r="G219" s="51" t="s">
        <v>3</v>
      </c>
      <c r="H219" s="48">
        <v>8</v>
      </c>
      <c r="I219" s="49" t="s">
        <v>47</v>
      </c>
      <c r="J219" s="184">
        <v>150</v>
      </c>
      <c r="K219" s="75">
        <v>300</v>
      </c>
      <c r="L219" s="75">
        <v>850</v>
      </c>
      <c r="M219" s="202">
        <v>12.095122088419998</v>
      </c>
      <c r="N219" s="87">
        <v>601.79999999999995</v>
      </c>
      <c r="O219" s="123">
        <v>24611.094452925347</v>
      </c>
      <c r="P219" s="121">
        <v>28871.592029248728</v>
      </c>
      <c r="Q219" s="120">
        <v>11066.558042639816</v>
      </c>
      <c r="R219" s="314">
        <v>35677.652495565162</v>
      </c>
      <c r="S219" s="315">
        <v>39938.150071888544</v>
      </c>
      <c r="U219" s="7" t="s">
        <v>3563</v>
      </c>
    </row>
    <row r="220" spans="1:21" ht="16.5" thickBot="1">
      <c r="A220" s="50" t="s">
        <v>35</v>
      </c>
      <c r="B220" s="51">
        <f t="shared" si="12"/>
        <v>150</v>
      </c>
      <c r="C220" s="51" t="s">
        <v>3</v>
      </c>
      <c r="D220" s="51">
        <f t="shared" si="13"/>
        <v>300</v>
      </c>
      <c r="E220" s="51" t="s">
        <v>3</v>
      </c>
      <c r="F220" s="99">
        <f t="shared" si="14"/>
        <v>900</v>
      </c>
      <c r="G220" s="51" t="s">
        <v>3</v>
      </c>
      <c r="H220" s="48">
        <v>8</v>
      </c>
      <c r="I220" s="49" t="s">
        <v>47</v>
      </c>
      <c r="J220" s="184">
        <v>150</v>
      </c>
      <c r="K220" s="75">
        <v>300</v>
      </c>
      <c r="L220" s="75">
        <v>900</v>
      </c>
      <c r="M220" s="202">
        <v>12.76852123794</v>
      </c>
      <c r="N220" s="87">
        <v>661.9799999999999</v>
      </c>
      <c r="O220" s="123">
        <v>25742.732905062796</v>
      </c>
      <c r="P220" s="121">
        <v>30207.632126110544</v>
      </c>
      <c r="Q220" s="120">
        <v>11546.963210503804</v>
      </c>
      <c r="R220" s="314">
        <v>37289.696115566599</v>
      </c>
      <c r="S220" s="315">
        <v>41754.595336614351</v>
      </c>
      <c r="U220" s="7" t="s">
        <v>3564</v>
      </c>
    </row>
    <row r="221" spans="1:21" ht="16.5" thickBot="1">
      <c r="A221" s="50" t="s">
        <v>35</v>
      </c>
      <c r="B221" s="51">
        <f t="shared" si="12"/>
        <v>150</v>
      </c>
      <c r="C221" s="51" t="s">
        <v>3</v>
      </c>
      <c r="D221" s="51">
        <f t="shared" si="13"/>
        <v>300</v>
      </c>
      <c r="E221" s="51" t="s">
        <v>3</v>
      </c>
      <c r="F221" s="99">
        <f t="shared" si="14"/>
        <v>950</v>
      </c>
      <c r="G221" s="51" t="s">
        <v>3</v>
      </c>
      <c r="H221" s="48">
        <v>8</v>
      </c>
      <c r="I221" s="49" t="s">
        <v>47</v>
      </c>
      <c r="J221" s="184">
        <v>150</v>
      </c>
      <c r="K221" s="75">
        <v>300</v>
      </c>
      <c r="L221" s="75">
        <v>950</v>
      </c>
      <c r="M221" s="202">
        <v>13.458960387459999</v>
      </c>
      <c r="N221" s="87">
        <v>722.16</v>
      </c>
      <c r="O221" s="123">
        <v>26874.371497593602</v>
      </c>
      <c r="P221" s="121">
        <v>31543.672222972356</v>
      </c>
      <c r="Q221" s="120">
        <v>12257.950156151066</v>
      </c>
      <c r="R221" s="314">
        <v>39132.321653744671</v>
      </c>
      <c r="S221" s="315">
        <v>43801.622379123422</v>
      </c>
      <c r="U221" s="7" t="s">
        <v>3565</v>
      </c>
    </row>
    <row r="222" spans="1:21" ht="16.5" thickBot="1">
      <c r="A222" s="50" t="s">
        <v>35</v>
      </c>
      <c r="B222" s="51">
        <f t="shared" si="12"/>
        <v>150</v>
      </c>
      <c r="C222" s="51" t="s">
        <v>3</v>
      </c>
      <c r="D222" s="51">
        <f t="shared" si="13"/>
        <v>300</v>
      </c>
      <c r="E222" s="51" t="s">
        <v>3</v>
      </c>
      <c r="F222" s="99">
        <f t="shared" si="14"/>
        <v>1000</v>
      </c>
      <c r="G222" s="51" t="s">
        <v>3</v>
      </c>
      <c r="H222" s="48">
        <v>8</v>
      </c>
      <c r="I222" s="49" t="s">
        <v>47</v>
      </c>
      <c r="J222" s="184">
        <v>150</v>
      </c>
      <c r="K222" s="75">
        <v>300</v>
      </c>
      <c r="L222" s="75">
        <v>1000</v>
      </c>
      <c r="M222" s="202">
        <v>14.132359536980001</v>
      </c>
      <c r="N222" s="87">
        <v>782.34</v>
      </c>
      <c r="O222" s="123">
        <v>28006.009949731058</v>
      </c>
      <c r="P222" s="121">
        <v>32879.712319834165</v>
      </c>
      <c r="Q222" s="120">
        <v>12738.355464408416</v>
      </c>
      <c r="R222" s="314">
        <v>40744.365414139473</v>
      </c>
      <c r="S222" s="315">
        <v>45618.067784242579</v>
      </c>
      <c r="U222" s="7" t="s">
        <v>3566</v>
      </c>
    </row>
    <row r="223" spans="1:21" ht="16.5" thickBot="1">
      <c r="A223" s="50" t="s">
        <v>35</v>
      </c>
      <c r="B223" s="51">
        <f t="shared" si="12"/>
        <v>150</v>
      </c>
      <c r="C223" s="51" t="s">
        <v>3</v>
      </c>
      <c r="D223" s="51">
        <f t="shared" si="13"/>
        <v>300</v>
      </c>
      <c r="E223" s="51" t="s">
        <v>3</v>
      </c>
      <c r="F223" s="99">
        <f t="shared" si="14"/>
        <v>1050</v>
      </c>
      <c r="G223" s="51" t="s">
        <v>3</v>
      </c>
      <c r="H223" s="48">
        <v>8</v>
      </c>
      <c r="I223" s="49" t="s">
        <v>47</v>
      </c>
      <c r="J223" s="184">
        <v>150</v>
      </c>
      <c r="K223" s="75">
        <v>300</v>
      </c>
      <c r="L223" s="75">
        <v>1050</v>
      </c>
      <c r="M223" s="202">
        <v>14.822798686499999</v>
      </c>
      <c r="N223" s="87">
        <v>842.52</v>
      </c>
      <c r="O223" s="123">
        <v>29137.648401868508</v>
      </c>
      <c r="P223" s="121">
        <v>34215.752557089349</v>
      </c>
      <c r="Q223" s="120">
        <v>13449.342410055679</v>
      </c>
      <c r="R223" s="314">
        <v>42586.990811924188</v>
      </c>
      <c r="S223" s="315">
        <v>47665.094967145029</v>
      </c>
      <c r="U223" s="7" t="s">
        <v>3567</v>
      </c>
    </row>
    <row r="224" spans="1:21" ht="16.5" thickBot="1">
      <c r="A224" s="47" t="s">
        <v>35</v>
      </c>
      <c r="B224" s="48">
        <f t="shared" si="12"/>
        <v>150</v>
      </c>
      <c r="C224" s="48" t="s">
        <v>3</v>
      </c>
      <c r="D224" s="48">
        <f t="shared" si="13"/>
        <v>300</v>
      </c>
      <c r="E224" s="48" t="s">
        <v>3</v>
      </c>
      <c r="F224" s="99">
        <f t="shared" si="14"/>
        <v>1100</v>
      </c>
      <c r="G224" s="48" t="s">
        <v>3</v>
      </c>
      <c r="H224" s="48">
        <v>8</v>
      </c>
      <c r="I224" s="49" t="s">
        <v>47</v>
      </c>
      <c r="J224" s="184">
        <v>150</v>
      </c>
      <c r="K224" s="75">
        <v>300</v>
      </c>
      <c r="L224" s="75">
        <v>1100</v>
      </c>
      <c r="M224" s="202">
        <v>15.496197836019999</v>
      </c>
      <c r="N224" s="87">
        <v>902.69999999999993</v>
      </c>
      <c r="O224" s="123">
        <v>30269.286854005957</v>
      </c>
      <c r="P224" s="121">
        <v>35551.792653951154</v>
      </c>
      <c r="Q224" s="120">
        <v>13929.747718313029</v>
      </c>
      <c r="R224" s="314">
        <v>44199.034572318982</v>
      </c>
      <c r="S224" s="315">
        <v>49481.540372264179</v>
      </c>
      <c r="U224" s="7" t="s">
        <v>3568</v>
      </c>
    </row>
    <row r="225" spans="1:21" ht="16.5" thickBot="1">
      <c r="A225" s="50" t="s">
        <v>35</v>
      </c>
      <c r="B225" s="51">
        <f t="shared" si="12"/>
        <v>150</v>
      </c>
      <c r="C225" s="51" t="s">
        <v>3</v>
      </c>
      <c r="D225" s="51">
        <f t="shared" si="13"/>
        <v>300</v>
      </c>
      <c r="E225" s="51" t="s">
        <v>3</v>
      </c>
      <c r="F225" s="99">
        <f t="shared" si="14"/>
        <v>1150</v>
      </c>
      <c r="G225" s="51" t="s">
        <v>3</v>
      </c>
      <c r="H225" s="48">
        <v>8</v>
      </c>
      <c r="I225" s="49" t="s">
        <v>47</v>
      </c>
      <c r="J225" s="184">
        <v>150</v>
      </c>
      <c r="K225" s="75">
        <v>300</v>
      </c>
      <c r="L225" s="75">
        <v>1150</v>
      </c>
      <c r="M225" s="202">
        <v>16.16959698554</v>
      </c>
      <c r="N225" s="87">
        <v>962.87999999999988</v>
      </c>
      <c r="O225" s="123">
        <v>31400.92544653677</v>
      </c>
      <c r="P225" s="121">
        <v>36887.832750812973</v>
      </c>
      <c r="Q225" s="120">
        <v>14410.152886177015</v>
      </c>
      <c r="R225" s="314">
        <v>45811.078332713783</v>
      </c>
      <c r="S225" s="315">
        <v>51297.985636989986</v>
      </c>
      <c r="U225" s="7" t="s">
        <v>3569</v>
      </c>
    </row>
    <row r="226" spans="1:21" ht="16.5" thickBot="1">
      <c r="A226" s="50" t="s">
        <v>35</v>
      </c>
      <c r="B226" s="51">
        <f t="shared" si="12"/>
        <v>150</v>
      </c>
      <c r="C226" s="51" t="s">
        <v>3</v>
      </c>
      <c r="D226" s="51">
        <f t="shared" si="13"/>
        <v>300</v>
      </c>
      <c r="E226" s="51" t="s">
        <v>3</v>
      </c>
      <c r="F226" s="99">
        <f t="shared" si="14"/>
        <v>1200</v>
      </c>
      <c r="G226" s="51" t="s">
        <v>3</v>
      </c>
      <c r="H226" s="48">
        <v>8</v>
      </c>
      <c r="I226" s="49" t="s">
        <v>47</v>
      </c>
      <c r="J226" s="184">
        <v>150</v>
      </c>
      <c r="K226" s="75">
        <v>300</v>
      </c>
      <c r="L226" s="75">
        <v>1200</v>
      </c>
      <c r="M226" s="202">
        <v>17.017036135059996</v>
      </c>
      <c r="N226" s="87">
        <v>1023.06</v>
      </c>
      <c r="O226" s="123">
        <v>32686.87263008513</v>
      </c>
      <c r="P226" s="121">
        <v>38379.123758941438</v>
      </c>
      <c r="Q226" s="120">
        <v>15121.139831824277</v>
      </c>
      <c r="R226" s="314">
        <v>47808.012461909406</v>
      </c>
      <c r="S226" s="315">
        <v>53500.263590765717</v>
      </c>
      <c r="U226" s="7" t="s">
        <v>3570</v>
      </c>
    </row>
    <row r="227" spans="1:21" ht="16.5" thickBot="1">
      <c r="A227" s="50" t="s">
        <v>35</v>
      </c>
      <c r="B227" s="51">
        <f t="shared" si="12"/>
        <v>150</v>
      </c>
      <c r="C227" s="51" t="s">
        <v>3</v>
      </c>
      <c r="D227" s="51">
        <f t="shared" si="13"/>
        <v>300</v>
      </c>
      <c r="E227" s="51" t="s">
        <v>3</v>
      </c>
      <c r="F227" s="99">
        <f t="shared" si="14"/>
        <v>1250</v>
      </c>
      <c r="G227" s="51" t="s">
        <v>3</v>
      </c>
      <c r="H227" s="48">
        <v>8</v>
      </c>
      <c r="I227" s="49" t="s">
        <v>47</v>
      </c>
      <c r="J227" s="184">
        <v>150</v>
      </c>
      <c r="K227" s="75">
        <v>300</v>
      </c>
      <c r="L227" s="75">
        <v>1250</v>
      </c>
      <c r="M227" s="202">
        <v>17.690435284579998</v>
      </c>
      <c r="N227" s="87">
        <v>1083.24</v>
      </c>
      <c r="O227" s="123">
        <v>33818.51122261594</v>
      </c>
      <c r="P227" s="121">
        <v>39715.163855803243</v>
      </c>
      <c r="Q227" s="120">
        <v>15601.545140081627</v>
      </c>
      <c r="R227" s="314">
        <v>49420.056362697564</v>
      </c>
      <c r="S227" s="315">
        <v>55316.708995884866</v>
      </c>
      <c r="U227" s="7" t="s">
        <v>3571</v>
      </c>
    </row>
    <row r="228" spans="1:21" ht="16.5" thickBot="1">
      <c r="A228" s="50" t="s">
        <v>35</v>
      </c>
      <c r="B228" s="51">
        <f t="shared" si="12"/>
        <v>150</v>
      </c>
      <c r="C228" s="51" t="s">
        <v>3</v>
      </c>
      <c r="D228" s="51">
        <f t="shared" si="13"/>
        <v>300</v>
      </c>
      <c r="E228" s="51" t="s">
        <v>3</v>
      </c>
      <c r="F228" s="99">
        <f t="shared" si="14"/>
        <v>1300</v>
      </c>
      <c r="G228" s="51" t="s">
        <v>3</v>
      </c>
      <c r="H228" s="48">
        <v>8</v>
      </c>
      <c r="I228" s="49" t="s">
        <v>47</v>
      </c>
      <c r="J228" s="184">
        <v>150</v>
      </c>
      <c r="K228" s="75">
        <v>300</v>
      </c>
      <c r="L228" s="75">
        <v>1300</v>
      </c>
      <c r="M228" s="202">
        <v>18.380874434100001</v>
      </c>
      <c r="N228" s="87">
        <v>1143.42</v>
      </c>
      <c r="O228" s="123">
        <v>34950.149674753397</v>
      </c>
      <c r="P228" s="121">
        <v>41051.203952665062</v>
      </c>
      <c r="Q228" s="120">
        <v>16312.53208572889</v>
      </c>
      <c r="R228" s="314">
        <v>51262.681760482286</v>
      </c>
      <c r="S228" s="315">
        <v>57363.736038393952</v>
      </c>
      <c r="U228" s="7" t="s">
        <v>3572</v>
      </c>
    </row>
    <row r="229" spans="1:21" ht="16.5" thickBot="1">
      <c r="A229" s="50" t="s">
        <v>35</v>
      </c>
      <c r="B229" s="51">
        <f t="shared" si="12"/>
        <v>150</v>
      </c>
      <c r="C229" s="51" t="s">
        <v>3</v>
      </c>
      <c r="D229" s="51">
        <f t="shared" si="13"/>
        <v>300</v>
      </c>
      <c r="E229" s="51" t="s">
        <v>3</v>
      </c>
      <c r="F229" s="99">
        <f t="shared" si="14"/>
        <v>1350</v>
      </c>
      <c r="G229" s="51" t="s">
        <v>3</v>
      </c>
      <c r="H229" s="48">
        <v>8</v>
      </c>
      <c r="I229" s="49" t="s">
        <v>47</v>
      </c>
      <c r="J229" s="184">
        <v>150</v>
      </c>
      <c r="K229" s="75">
        <v>300</v>
      </c>
      <c r="L229" s="75">
        <v>1350</v>
      </c>
      <c r="M229" s="202">
        <v>19.054273583619999</v>
      </c>
      <c r="N229" s="87">
        <v>1203.5999999999999</v>
      </c>
      <c r="O229" s="123">
        <v>36081.788126890846</v>
      </c>
      <c r="P229" s="121">
        <v>42387.244189920231</v>
      </c>
      <c r="Q229" s="120">
        <v>16792.937253592878</v>
      </c>
      <c r="R229" s="314">
        <v>52874.725380483724</v>
      </c>
      <c r="S229" s="315">
        <v>59180.181443513109</v>
      </c>
      <c r="U229" s="7" t="s">
        <v>3573</v>
      </c>
    </row>
    <row r="230" spans="1:21" ht="16.5" thickBot="1">
      <c r="A230" s="50" t="s">
        <v>35</v>
      </c>
      <c r="B230" s="51">
        <f t="shared" si="12"/>
        <v>150</v>
      </c>
      <c r="C230" s="51" t="s">
        <v>3</v>
      </c>
      <c r="D230" s="51">
        <f t="shared" si="13"/>
        <v>300</v>
      </c>
      <c r="E230" s="51" t="s">
        <v>3</v>
      </c>
      <c r="F230" s="99">
        <f t="shared" si="14"/>
        <v>1400</v>
      </c>
      <c r="G230" s="51" t="s">
        <v>3</v>
      </c>
      <c r="H230" s="48">
        <v>8</v>
      </c>
      <c r="I230" s="49" t="s">
        <v>47</v>
      </c>
      <c r="J230" s="184">
        <v>150</v>
      </c>
      <c r="K230" s="75">
        <v>300</v>
      </c>
      <c r="L230" s="75">
        <v>1400</v>
      </c>
      <c r="M230" s="202">
        <v>19.744712733139998</v>
      </c>
      <c r="N230" s="87">
        <v>1263.78</v>
      </c>
      <c r="O230" s="123">
        <v>37213.426579028295</v>
      </c>
      <c r="P230" s="121">
        <v>43723.284286782051</v>
      </c>
      <c r="Q230" s="120">
        <v>17503.924339633504</v>
      </c>
      <c r="R230" s="314">
        <v>54717.350918661803</v>
      </c>
      <c r="S230" s="315">
        <v>61227.208626415551</v>
      </c>
      <c r="U230" s="7" t="s">
        <v>3574</v>
      </c>
    </row>
    <row r="231" spans="1:21" ht="16.5" thickBot="1">
      <c r="A231" s="50" t="s">
        <v>35</v>
      </c>
      <c r="B231" s="51">
        <f t="shared" si="12"/>
        <v>150</v>
      </c>
      <c r="C231" s="51" t="s">
        <v>3</v>
      </c>
      <c r="D231" s="51">
        <f t="shared" si="13"/>
        <v>300</v>
      </c>
      <c r="E231" s="51" t="s">
        <v>3</v>
      </c>
      <c r="F231" s="99">
        <f t="shared" si="14"/>
        <v>1450</v>
      </c>
      <c r="G231" s="51" t="s">
        <v>3</v>
      </c>
      <c r="H231" s="48">
        <v>8</v>
      </c>
      <c r="I231" s="49" t="s">
        <v>47</v>
      </c>
      <c r="J231" s="184">
        <v>150</v>
      </c>
      <c r="K231" s="75">
        <v>300</v>
      </c>
      <c r="L231" s="75">
        <v>1450</v>
      </c>
      <c r="M231" s="202">
        <v>20.41811188266</v>
      </c>
      <c r="N231" s="87">
        <v>1323.9599999999998</v>
      </c>
      <c r="O231" s="123">
        <v>38345.065171559108</v>
      </c>
      <c r="P231" s="121">
        <v>45059.324383643856</v>
      </c>
      <c r="Q231" s="120">
        <v>17984.32950749735</v>
      </c>
      <c r="R231" s="314">
        <v>56329.394679056459</v>
      </c>
      <c r="S231" s="315">
        <v>63043.653891141206</v>
      </c>
      <c r="U231" s="7" t="s">
        <v>3575</v>
      </c>
    </row>
    <row r="232" spans="1:21" ht="16.5" thickBot="1">
      <c r="A232" s="50" t="s">
        <v>35</v>
      </c>
      <c r="B232" s="51">
        <f t="shared" si="12"/>
        <v>150</v>
      </c>
      <c r="C232" s="51" t="s">
        <v>3</v>
      </c>
      <c r="D232" s="51">
        <f t="shared" si="13"/>
        <v>300</v>
      </c>
      <c r="E232" s="51" t="s">
        <v>3</v>
      </c>
      <c r="F232" s="99">
        <f t="shared" si="14"/>
        <v>1500</v>
      </c>
      <c r="G232" s="51" t="s">
        <v>3</v>
      </c>
      <c r="H232" s="48">
        <v>8</v>
      </c>
      <c r="I232" s="49" t="s">
        <v>47</v>
      </c>
      <c r="J232" s="184">
        <v>150</v>
      </c>
      <c r="K232" s="75">
        <v>300</v>
      </c>
      <c r="L232" s="75">
        <v>1500</v>
      </c>
      <c r="M232" s="202">
        <v>21.275704189479999</v>
      </c>
      <c r="N232" s="87">
        <v>1384.14</v>
      </c>
      <c r="O232" s="123">
        <v>40180.966710033608</v>
      </c>
      <c r="P232" s="121">
        <v>47057.414932966392</v>
      </c>
      <c r="Q232" s="120">
        <v>18695.316593538118</v>
      </c>
      <c r="R232" s="314">
        <v>58876.283303571727</v>
      </c>
      <c r="S232" s="315">
        <v>65752.731526504504</v>
      </c>
      <c r="U232" s="7" t="s">
        <v>3576</v>
      </c>
    </row>
    <row r="233" spans="1:21" ht="16.5" thickBot="1">
      <c r="A233" s="50" t="s">
        <v>35</v>
      </c>
      <c r="B233" s="51">
        <f t="shared" si="12"/>
        <v>150</v>
      </c>
      <c r="C233" s="51" t="s">
        <v>3</v>
      </c>
      <c r="D233" s="51">
        <f t="shared" si="13"/>
        <v>300</v>
      </c>
      <c r="E233" s="51" t="s">
        <v>3</v>
      </c>
      <c r="F233" s="99">
        <f t="shared" si="14"/>
        <v>1550</v>
      </c>
      <c r="G233" s="51" t="s">
        <v>3</v>
      </c>
      <c r="H233" s="48">
        <v>8</v>
      </c>
      <c r="I233" s="49" t="s">
        <v>47</v>
      </c>
      <c r="J233" s="184">
        <v>150</v>
      </c>
      <c r="K233" s="75">
        <v>300</v>
      </c>
      <c r="L233" s="75">
        <v>1550</v>
      </c>
      <c r="M233" s="202">
        <v>21.949103339000001</v>
      </c>
      <c r="N233" s="87">
        <v>1444.32</v>
      </c>
      <c r="O233" s="123">
        <v>41312.605162171058</v>
      </c>
      <c r="P233" s="121">
        <v>48393.455029828212</v>
      </c>
      <c r="Q233" s="120">
        <v>19175.721761402103</v>
      </c>
      <c r="R233" s="314">
        <v>60488.326923573157</v>
      </c>
      <c r="S233" s="315">
        <v>67569.176791230318</v>
      </c>
      <c r="U233" s="7" t="s">
        <v>3577</v>
      </c>
    </row>
    <row r="234" spans="1:21" ht="16.5" thickBot="1">
      <c r="A234" s="47" t="s">
        <v>35</v>
      </c>
      <c r="B234" s="48">
        <f t="shared" si="12"/>
        <v>150</v>
      </c>
      <c r="C234" s="48" t="s">
        <v>3</v>
      </c>
      <c r="D234" s="48">
        <f t="shared" si="13"/>
        <v>300</v>
      </c>
      <c r="E234" s="48" t="s">
        <v>3</v>
      </c>
      <c r="F234" s="99">
        <f t="shared" si="14"/>
        <v>1600</v>
      </c>
      <c r="G234" s="48" t="s">
        <v>3</v>
      </c>
      <c r="H234" s="48">
        <v>8</v>
      </c>
      <c r="I234" s="49" t="s">
        <v>47</v>
      </c>
      <c r="J234" s="184">
        <v>150</v>
      </c>
      <c r="K234" s="75">
        <v>300</v>
      </c>
      <c r="L234" s="75">
        <v>1600</v>
      </c>
      <c r="M234" s="202">
        <v>22.622502488519999</v>
      </c>
      <c r="N234" s="87">
        <v>1504.5</v>
      </c>
      <c r="O234" s="123">
        <v>42444.243754701871</v>
      </c>
      <c r="P234" s="121">
        <v>49729.495267083381</v>
      </c>
      <c r="Q234" s="120">
        <v>19656.126929266091</v>
      </c>
      <c r="R234" s="314">
        <v>62100.370683967965</v>
      </c>
      <c r="S234" s="315">
        <v>69385.622196349475</v>
      </c>
      <c r="U234" s="7" t="s">
        <v>3578</v>
      </c>
    </row>
    <row r="235" spans="1:21" ht="16.5" thickBot="1">
      <c r="A235" s="50" t="s">
        <v>35</v>
      </c>
      <c r="B235" s="51">
        <f t="shared" si="12"/>
        <v>150</v>
      </c>
      <c r="C235" s="51" t="s">
        <v>3</v>
      </c>
      <c r="D235" s="51">
        <f t="shared" si="13"/>
        <v>300</v>
      </c>
      <c r="E235" s="51" t="s">
        <v>3</v>
      </c>
      <c r="F235" s="99">
        <f t="shared" si="14"/>
        <v>1650</v>
      </c>
      <c r="G235" s="51" t="s">
        <v>3</v>
      </c>
      <c r="H235" s="48">
        <v>8</v>
      </c>
      <c r="I235" s="49" t="s">
        <v>47</v>
      </c>
      <c r="J235" s="184">
        <v>150</v>
      </c>
      <c r="K235" s="75">
        <v>300</v>
      </c>
      <c r="L235" s="75">
        <v>1650</v>
      </c>
      <c r="M235" s="202">
        <v>23.312941638040002</v>
      </c>
      <c r="N235" s="87">
        <v>1564.68</v>
      </c>
      <c r="O235" s="123">
        <v>43575.88220683932</v>
      </c>
      <c r="P235" s="121">
        <v>51065.535363945201</v>
      </c>
      <c r="Q235" s="120">
        <v>20367.114015306717</v>
      </c>
      <c r="R235" s="314">
        <v>63942.996222146037</v>
      </c>
      <c r="S235" s="315">
        <v>71432.649379251918</v>
      </c>
      <c r="U235" s="7" t="s">
        <v>3579</v>
      </c>
    </row>
    <row r="236" spans="1:21" ht="16.5" thickBot="1">
      <c r="A236" s="50" t="s">
        <v>35</v>
      </c>
      <c r="B236" s="51">
        <f t="shared" si="12"/>
        <v>150</v>
      </c>
      <c r="C236" s="51" t="s">
        <v>3</v>
      </c>
      <c r="D236" s="51">
        <f t="shared" si="13"/>
        <v>300</v>
      </c>
      <c r="E236" s="51" t="s">
        <v>3</v>
      </c>
      <c r="F236" s="99">
        <f t="shared" si="14"/>
        <v>1700</v>
      </c>
      <c r="G236" s="51" t="s">
        <v>3</v>
      </c>
      <c r="H236" s="48">
        <v>8</v>
      </c>
      <c r="I236" s="49" t="s">
        <v>47</v>
      </c>
      <c r="J236" s="184">
        <v>150</v>
      </c>
      <c r="K236" s="75">
        <v>300</v>
      </c>
      <c r="L236" s="75">
        <v>1700</v>
      </c>
      <c r="M236" s="202">
        <v>23.986340787560003</v>
      </c>
      <c r="N236" s="87">
        <v>1624.86</v>
      </c>
      <c r="O236" s="123">
        <v>44707.520658976769</v>
      </c>
      <c r="P236" s="121">
        <v>52401.575460807013</v>
      </c>
      <c r="Q236" s="120">
        <v>20847.519183170705</v>
      </c>
      <c r="R236" s="314">
        <v>65555.039842147467</v>
      </c>
      <c r="S236" s="315">
        <v>73249.094643977718</v>
      </c>
      <c r="U236" s="7" t="s">
        <v>3580</v>
      </c>
    </row>
    <row r="237" spans="1:21" ht="16.5" thickBot="1">
      <c r="A237" s="50" t="s">
        <v>35</v>
      </c>
      <c r="B237" s="51">
        <f t="shared" si="12"/>
        <v>150</v>
      </c>
      <c r="C237" s="51" t="s">
        <v>3</v>
      </c>
      <c r="D237" s="51">
        <f t="shared" si="13"/>
        <v>300</v>
      </c>
      <c r="E237" s="51" t="s">
        <v>3</v>
      </c>
      <c r="F237" s="99">
        <f t="shared" si="14"/>
        <v>1750</v>
      </c>
      <c r="G237" s="51" t="s">
        <v>3</v>
      </c>
      <c r="H237" s="48">
        <v>8</v>
      </c>
      <c r="I237" s="49" t="s">
        <v>47</v>
      </c>
      <c r="J237" s="184">
        <v>150</v>
      </c>
      <c r="K237" s="75">
        <v>300</v>
      </c>
      <c r="L237" s="75">
        <v>1750</v>
      </c>
      <c r="M237" s="202">
        <v>24.676779937079999</v>
      </c>
      <c r="N237" s="87">
        <v>1685.04</v>
      </c>
      <c r="O237" s="123">
        <v>45839.159111114219</v>
      </c>
      <c r="P237" s="121">
        <v>53737.615557668825</v>
      </c>
      <c r="Q237" s="120">
        <v>21558.506269211328</v>
      </c>
      <c r="R237" s="314">
        <v>67397.665380325547</v>
      </c>
      <c r="S237" s="315">
        <v>75296.121826880146</v>
      </c>
      <c r="U237" s="7" t="s">
        <v>3581</v>
      </c>
    </row>
    <row r="238" spans="1:21" ht="16.5" thickBot="1">
      <c r="A238" s="50" t="s">
        <v>35</v>
      </c>
      <c r="B238" s="51">
        <f t="shared" si="12"/>
        <v>150</v>
      </c>
      <c r="C238" s="51" t="s">
        <v>3</v>
      </c>
      <c r="D238" s="51">
        <f t="shared" si="13"/>
        <v>300</v>
      </c>
      <c r="E238" s="51" t="s">
        <v>3</v>
      </c>
      <c r="F238" s="99">
        <f t="shared" si="14"/>
        <v>1800</v>
      </c>
      <c r="G238" s="51" t="s">
        <v>3</v>
      </c>
      <c r="H238" s="48">
        <v>8</v>
      </c>
      <c r="I238" s="49" t="s">
        <v>47</v>
      </c>
      <c r="J238" s="184">
        <v>150</v>
      </c>
      <c r="K238" s="75">
        <v>300</v>
      </c>
      <c r="L238" s="75">
        <v>1800</v>
      </c>
      <c r="M238" s="202">
        <v>25.350179086600001</v>
      </c>
      <c r="N238" s="87">
        <v>1745.2199999999998</v>
      </c>
      <c r="O238" s="123">
        <v>46970.797703645032</v>
      </c>
      <c r="P238" s="121">
        <v>55073.655794924001</v>
      </c>
      <c r="Q238" s="120">
        <v>22038.911437075316</v>
      </c>
      <c r="R238" s="314">
        <v>69009.709140720341</v>
      </c>
      <c r="S238" s="315">
        <v>77112.567231999317</v>
      </c>
      <c r="U238" s="7" t="s">
        <v>3582</v>
      </c>
    </row>
    <row r="239" spans="1:21" ht="16.5" thickBot="1">
      <c r="A239" s="50" t="s">
        <v>35</v>
      </c>
      <c r="B239" s="51">
        <f t="shared" si="12"/>
        <v>150</v>
      </c>
      <c r="C239" s="51" t="s">
        <v>3</v>
      </c>
      <c r="D239" s="51">
        <f t="shared" si="13"/>
        <v>300</v>
      </c>
      <c r="E239" s="51" t="s">
        <v>3</v>
      </c>
      <c r="F239" s="99">
        <f t="shared" si="14"/>
        <v>1850</v>
      </c>
      <c r="G239" s="51" t="s">
        <v>3</v>
      </c>
      <c r="H239" s="48">
        <v>8</v>
      </c>
      <c r="I239" s="49" t="s">
        <v>47</v>
      </c>
      <c r="J239" s="184">
        <v>150</v>
      </c>
      <c r="K239" s="75">
        <v>300</v>
      </c>
      <c r="L239" s="75">
        <v>1850</v>
      </c>
      <c r="M239" s="202">
        <v>26.040618236120004</v>
      </c>
      <c r="N239" s="87">
        <v>1805.3999999999999</v>
      </c>
      <c r="O239" s="123">
        <v>48102.436155782489</v>
      </c>
      <c r="P239" s="121">
        <v>56409.695891785814</v>
      </c>
      <c r="Q239" s="120">
        <v>22749.898382722578</v>
      </c>
      <c r="R239" s="314">
        <v>70852.334538505063</v>
      </c>
      <c r="S239" s="315">
        <v>79159.594274508388</v>
      </c>
      <c r="U239" s="7" t="s">
        <v>3583</v>
      </c>
    </row>
    <row r="240" spans="1:21" ht="16.5" thickBot="1">
      <c r="A240" s="50" t="s">
        <v>35</v>
      </c>
      <c r="B240" s="51">
        <f t="shared" si="12"/>
        <v>150</v>
      </c>
      <c r="C240" s="51" t="s">
        <v>3</v>
      </c>
      <c r="D240" s="51">
        <f t="shared" si="13"/>
        <v>300</v>
      </c>
      <c r="E240" s="51" t="s">
        <v>3</v>
      </c>
      <c r="F240" s="99">
        <f t="shared" si="14"/>
        <v>1900</v>
      </c>
      <c r="G240" s="51" t="s">
        <v>3</v>
      </c>
      <c r="H240" s="48">
        <v>8</v>
      </c>
      <c r="I240" s="49" t="s">
        <v>47</v>
      </c>
      <c r="J240" s="184">
        <v>150</v>
      </c>
      <c r="K240" s="75">
        <v>300</v>
      </c>
      <c r="L240" s="75">
        <v>1900</v>
      </c>
      <c r="M240" s="202">
        <v>26.714017385639998</v>
      </c>
      <c r="N240" s="87">
        <v>1865.58</v>
      </c>
      <c r="O240" s="123">
        <v>49234.074607919938</v>
      </c>
      <c r="P240" s="121">
        <v>57745.735988647626</v>
      </c>
      <c r="Q240" s="120">
        <v>23230.30369097993</v>
      </c>
      <c r="R240" s="314">
        <v>72464.378298899872</v>
      </c>
      <c r="S240" s="315">
        <v>80976.03967962756</v>
      </c>
      <c r="U240" s="7" t="s">
        <v>3584</v>
      </c>
    </row>
    <row r="241" spans="1:21" ht="16.5" thickBot="1">
      <c r="A241" s="50" t="s">
        <v>35</v>
      </c>
      <c r="B241" s="51">
        <f t="shared" si="12"/>
        <v>150</v>
      </c>
      <c r="C241" s="51" t="s">
        <v>3</v>
      </c>
      <c r="D241" s="51">
        <f t="shared" si="13"/>
        <v>300</v>
      </c>
      <c r="E241" s="51" t="s">
        <v>3</v>
      </c>
      <c r="F241" s="99">
        <f t="shared" si="14"/>
        <v>1950</v>
      </c>
      <c r="G241" s="51" t="s">
        <v>3</v>
      </c>
      <c r="H241" s="48">
        <v>8</v>
      </c>
      <c r="I241" s="49" t="s">
        <v>47</v>
      </c>
      <c r="J241" s="184">
        <v>150</v>
      </c>
      <c r="K241" s="75">
        <v>300</v>
      </c>
      <c r="L241" s="75">
        <v>1950</v>
      </c>
      <c r="M241" s="202">
        <v>27.544416535160003</v>
      </c>
      <c r="N241" s="87">
        <v>1925.7599999999998</v>
      </c>
      <c r="O241" s="123">
        <v>50520.021931861658</v>
      </c>
      <c r="P241" s="121">
        <v>59237.026996776091</v>
      </c>
      <c r="Q241" s="120">
        <v>23710.708858843918</v>
      </c>
      <c r="R241" s="314">
        <v>74230.73079070558</v>
      </c>
      <c r="S241" s="315">
        <v>82947.735855620005</v>
      </c>
      <c r="U241" s="7" t="s">
        <v>3585</v>
      </c>
    </row>
    <row r="242" spans="1:21" ht="16.5" thickBot="1">
      <c r="A242" s="50" t="s">
        <v>35</v>
      </c>
      <c r="B242" s="51">
        <f t="shared" si="12"/>
        <v>150</v>
      </c>
      <c r="C242" s="51" t="s">
        <v>3</v>
      </c>
      <c r="D242" s="51">
        <f t="shared" si="13"/>
        <v>300</v>
      </c>
      <c r="E242" s="51" t="s">
        <v>3</v>
      </c>
      <c r="F242" s="99">
        <f t="shared" si="14"/>
        <v>2000</v>
      </c>
      <c r="G242" s="51" t="s">
        <v>3</v>
      </c>
      <c r="H242" s="48">
        <v>8</v>
      </c>
      <c r="I242" s="49" t="s">
        <v>47</v>
      </c>
      <c r="J242" s="184">
        <v>150</v>
      </c>
      <c r="K242" s="75">
        <v>300</v>
      </c>
      <c r="L242" s="75">
        <v>2000</v>
      </c>
      <c r="M242" s="202">
        <v>28.32641808468</v>
      </c>
      <c r="N242" s="87">
        <v>1985.94</v>
      </c>
      <c r="O242" s="123">
        <v>51882.203413214331</v>
      </c>
      <c r="P242" s="121">
        <v>60885.747821157202</v>
      </c>
      <c r="Q242" s="120">
        <v>24421.695804491177</v>
      </c>
      <c r="R242" s="314">
        <v>76303.899217705504</v>
      </c>
      <c r="S242" s="315">
        <v>85307.443625648375</v>
      </c>
      <c r="U242" s="7" t="s">
        <v>3586</v>
      </c>
    </row>
    <row r="243" spans="1:21" ht="16.5" thickBot="1">
      <c r="A243" s="50" t="s">
        <v>35</v>
      </c>
      <c r="B243" s="51">
        <f t="shared" si="12"/>
        <v>150</v>
      </c>
      <c r="C243" s="51" t="s">
        <v>3</v>
      </c>
      <c r="D243" s="51">
        <f t="shared" si="13"/>
        <v>300</v>
      </c>
      <c r="E243" s="51" t="s">
        <v>3</v>
      </c>
      <c r="F243" s="99">
        <f t="shared" si="14"/>
        <v>2050</v>
      </c>
      <c r="G243" s="51" t="s">
        <v>3</v>
      </c>
      <c r="H243" s="48">
        <v>8</v>
      </c>
      <c r="I243" s="49" t="s">
        <v>47</v>
      </c>
      <c r="J243" s="184">
        <v>150</v>
      </c>
      <c r="K243" s="75">
        <v>300</v>
      </c>
      <c r="L243" s="75">
        <v>2050</v>
      </c>
      <c r="M243" s="202">
        <v>28.999817234200002</v>
      </c>
      <c r="N243" s="87">
        <v>2046.12</v>
      </c>
      <c r="O243" s="123">
        <v>53013.841865351787</v>
      </c>
      <c r="P243" s="121">
        <v>62221.78805841237</v>
      </c>
      <c r="Q243" s="120">
        <v>24902.101112748529</v>
      </c>
      <c r="R243" s="314">
        <v>77915.942978100313</v>
      </c>
      <c r="S243" s="315">
        <v>87123.889171160903</v>
      </c>
      <c r="U243" s="7" t="s">
        <v>3587</v>
      </c>
    </row>
    <row r="244" spans="1:21" ht="16.5" thickBot="1">
      <c r="A244" s="47" t="s">
        <v>35</v>
      </c>
      <c r="B244" s="48">
        <f t="shared" si="12"/>
        <v>150</v>
      </c>
      <c r="C244" s="48" t="s">
        <v>3</v>
      </c>
      <c r="D244" s="48">
        <f t="shared" si="13"/>
        <v>300</v>
      </c>
      <c r="E244" s="48" t="s">
        <v>3</v>
      </c>
      <c r="F244" s="99">
        <f t="shared" si="14"/>
        <v>2100</v>
      </c>
      <c r="G244" s="48" t="s">
        <v>3</v>
      </c>
      <c r="H244" s="48">
        <v>8</v>
      </c>
      <c r="I244" s="49" t="s">
        <v>47</v>
      </c>
      <c r="J244" s="184">
        <v>150</v>
      </c>
      <c r="K244" s="75">
        <v>300</v>
      </c>
      <c r="L244" s="75">
        <v>2100</v>
      </c>
      <c r="M244" s="202">
        <v>29.690256383720001</v>
      </c>
      <c r="N244" s="87">
        <v>2106.2999999999997</v>
      </c>
      <c r="O244" s="123">
        <v>54145.480317489237</v>
      </c>
      <c r="P244" s="121">
        <v>63557.82815527419</v>
      </c>
      <c r="Q244" s="120">
        <v>25613.088058395791</v>
      </c>
      <c r="R244" s="314">
        <v>79758.568375885021</v>
      </c>
      <c r="S244" s="315">
        <v>89170.916213669989</v>
      </c>
      <c r="U244" s="7" t="s">
        <v>3588</v>
      </c>
    </row>
    <row r="245" spans="1:21" ht="16.5" thickBot="1">
      <c r="A245" s="50" t="s">
        <v>35</v>
      </c>
      <c r="B245" s="51">
        <f t="shared" si="12"/>
        <v>150</v>
      </c>
      <c r="C245" s="51" t="s">
        <v>3</v>
      </c>
      <c r="D245" s="51">
        <f t="shared" si="13"/>
        <v>300</v>
      </c>
      <c r="E245" s="51" t="s">
        <v>3</v>
      </c>
      <c r="F245" s="99">
        <f t="shared" si="14"/>
        <v>2150</v>
      </c>
      <c r="G245" s="51" t="s">
        <v>3</v>
      </c>
      <c r="H245" s="48">
        <v>8</v>
      </c>
      <c r="I245" s="49" t="s">
        <v>47</v>
      </c>
      <c r="J245" s="184">
        <v>150</v>
      </c>
      <c r="K245" s="75">
        <v>300</v>
      </c>
      <c r="L245" s="75">
        <v>2150</v>
      </c>
      <c r="M245" s="202">
        <v>30.363655533240006</v>
      </c>
      <c r="N245" s="87">
        <v>2166.48</v>
      </c>
      <c r="O245" s="123">
        <v>55277.11891002005</v>
      </c>
      <c r="P245" s="121">
        <v>64893.868252136002</v>
      </c>
      <c r="Q245" s="120">
        <v>26093.493366653143</v>
      </c>
      <c r="R245" s="314">
        <v>81370.612276673201</v>
      </c>
      <c r="S245" s="315">
        <v>90987.361618789146</v>
      </c>
      <c r="U245" s="7" t="s">
        <v>3589</v>
      </c>
    </row>
    <row r="246" spans="1:21" ht="16.5" thickBot="1">
      <c r="A246" s="50" t="s">
        <v>35</v>
      </c>
      <c r="B246" s="51">
        <f t="shared" si="12"/>
        <v>150</v>
      </c>
      <c r="C246" s="51" t="s">
        <v>3</v>
      </c>
      <c r="D246" s="51">
        <f t="shared" si="13"/>
        <v>300</v>
      </c>
      <c r="E246" s="51" t="s">
        <v>3</v>
      </c>
      <c r="F246" s="99">
        <f t="shared" si="14"/>
        <v>2200</v>
      </c>
      <c r="G246" s="51" t="s">
        <v>3</v>
      </c>
      <c r="H246" s="48">
        <v>8</v>
      </c>
      <c r="I246" s="49" t="s">
        <v>47</v>
      </c>
      <c r="J246" s="184">
        <v>150</v>
      </c>
      <c r="K246" s="75">
        <v>300</v>
      </c>
      <c r="L246" s="75">
        <v>2200</v>
      </c>
      <c r="M246" s="202">
        <v>31.054094682760002</v>
      </c>
      <c r="N246" s="87">
        <v>2226.66</v>
      </c>
      <c r="O246" s="123">
        <v>56408.757362157499</v>
      </c>
      <c r="P246" s="121">
        <v>66229.908348997822</v>
      </c>
      <c r="Q246" s="120">
        <v>26804.480312300402</v>
      </c>
      <c r="R246" s="314">
        <v>83213.237674457894</v>
      </c>
      <c r="S246" s="315">
        <v>93034.388661298231</v>
      </c>
      <c r="U246" s="7" t="s">
        <v>3590</v>
      </c>
    </row>
    <row r="247" spans="1:21" ht="16.5" thickBot="1">
      <c r="A247" s="50" t="s">
        <v>35</v>
      </c>
      <c r="B247" s="51">
        <f t="shared" si="12"/>
        <v>150</v>
      </c>
      <c r="C247" s="51" t="s">
        <v>3</v>
      </c>
      <c r="D247" s="51">
        <f t="shared" si="13"/>
        <v>300</v>
      </c>
      <c r="E247" s="51" t="s">
        <v>3</v>
      </c>
      <c r="F247" s="99">
        <f t="shared" si="14"/>
        <v>2250</v>
      </c>
      <c r="G247" s="51" t="s">
        <v>3</v>
      </c>
      <c r="H247" s="48">
        <v>8</v>
      </c>
      <c r="I247" s="49" t="s">
        <v>47</v>
      </c>
      <c r="J247" s="184">
        <v>150</v>
      </c>
      <c r="K247" s="75">
        <v>300</v>
      </c>
      <c r="L247" s="75">
        <v>2250</v>
      </c>
      <c r="M247" s="202">
        <v>31.72749383228</v>
      </c>
      <c r="N247" s="87">
        <v>2286.84</v>
      </c>
      <c r="O247" s="123">
        <v>57540.395814294956</v>
      </c>
      <c r="P247" s="121">
        <v>67565.948586252984</v>
      </c>
      <c r="Q247" s="120">
        <v>27284.885480164394</v>
      </c>
      <c r="R247" s="314">
        <v>84825.281294459346</v>
      </c>
      <c r="S247" s="315">
        <v>94850.834066417374</v>
      </c>
      <c r="U247" s="7" t="s">
        <v>3591</v>
      </c>
    </row>
    <row r="248" spans="1:21" ht="16.5" thickBot="1">
      <c r="A248" s="50" t="s">
        <v>35</v>
      </c>
      <c r="B248" s="51">
        <f t="shared" si="12"/>
        <v>150</v>
      </c>
      <c r="C248" s="51" t="s">
        <v>3</v>
      </c>
      <c r="D248" s="51">
        <f t="shared" si="13"/>
        <v>300</v>
      </c>
      <c r="E248" s="51" t="s">
        <v>3</v>
      </c>
      <c r="F248" s="99">
        <f t="shared" si="14"/>
        <v>2300</v>
      </c>
      <c r="G248" s="51" t="s">
        <v>3</v>
      </c>
      <c r="H248" s="48">
        <v>8</v>
      </c>
      <c r="I248" s="49" t="s">
        <v>47</v>
      </c>
      <c r="J248" s="184">
        <v>150</v>
      </c>
      <c r="K248" s="75">
        <v>300</v>
      </c>
      <c r="L248" s="75">
        <v>2300</v>
      </c>
      <c r="M248" s="202">
        <v>32.400892981799998</v>
      </c>
      <c r="N248" s="87">
        <v>2347.02</v>
      </c>
      <c r="O248" s="123">
        <v>58672.034266432405</v>
      </c>
      <c r="P248" s="121">
        <v>68901.988683114803</v>
      </c>
      <c r="Q248" s="120">
        <v>27765.290788421746</v>
      </c>
      <c r="R248" s="314">
        <v>86437.325054854155</v>
      </c>
      <c r="S248" s="315">
        <v>96667.279471536545</v>
      </c>
      <c r="U248" s="7" t="s">
        <v>3592</v>
      </c>
    </row>
    <row r="249" spans="1:21" ht="16.5" thickBot="1">
      <c r="A249" s="50" t="s">
        <v>35</v>
      </c>
      <c r="B249" s="51">
        <f t="shared" si="12"/>
        <v>150</v>
      </c>
      <c r="C249" s="51" t="s">
        <v>3</v>
      </c>
      <c r="D249" s="51">
        <f t="shared" si="13"/>
        <v>300</v>
      </c>
      <c r="E249" s="51" t="s">
        <v>3</v>
      </c>
      <c r="F249" s="99">
        <f t="shared" si="14"/>
        <v>2350</v>
      </c>
      <c r="G249" s="51" t="s">
        <v>3</v>
      </c>
      <c r="H249" s="48">
        <v>8</v>
      </c>
      <c r="I249" s="49" t="s">
        <v>47</v>
      </c>
      <c r="J249" s="184">
        <v>150</v>
      </c>
      <c r="K249" s="75">
        <v>300</v>
      </c>
      <c r="L249" s="75">
        <v>2350</v>
      </c>
      <c r="M249" s="202">
        <v>33.091332131320002</v>
      </c>
      <c r="N249" s="87">
        <v>2407.1999999999998</v>
      </c>
      <c r="O249" s="123">
        <v>59803.672858963211</v>
      </c>
      <c r="P249" s="121">
        <v>70238.028779976623</v>
      </c>
      <c r="Q249" s="120">
        <v>28476.277734069005</v>
      </c>
      <c r="R249" s="314">
        <v>88279.950593032219</v>
      </c>
      <c r="S249" s="315">
        <v>98714.306514045631</v>
      </c>
      <c r="U249" s="7" t="s">
        <v>3593</v>
      </c>
    </row>
    <row r="250" spans="1:21" ht="16.5" thickBot="1">
      <c r="A250" s="50" t="s">
        <v>35</v>
      </c>
      <c r="B250" s="51">
        <f t="shared" si="12"/>
        <v>150</v>
      </c>
      <c r="C250" s="51" t="s">
        <v>3</v>
      </c>
      <c r="D250" s="51">
        <f t="shared" si="13"/>
        <v>300</v>
      </c>
      <c r="E250" s="51" t="s">
        <v>3</v>
      </c>
      <c r="F250" s="99">
        <f t="shared" si="14"/>
        <v>2400</v>
      </c>
      <c r="G250" s="51" t="s">
        <v>3</v>
      </c>
      <c r="H250" s="48">
        <v>8</v>
      </c>
      <c r="I250" s="49" t="s">
        <v>47</v>
      </c>
      <c r="J250" s="184">
        <v>150</v>
      </c>
      <c r="K250" s="75">
        <v>300</v>
      </c>
      <c r="L250" s="75">
        <v>2400</v>
      </c>
      <c r="M250" s="202">
        <v>33.764731280839996</v>
      </c>
      <c r="N250" s="87">
        <v>2467.38</v>
      </c>
      <c r="O250" s="123">
        <v>60935.311311100661</v>
      </c>
      <c r="P250" s="121">
        <v>71574.068876838428</v>
      </c>
      <c r="Q250" s="120">
        <v>28956.682901932996</v>
      </c>
      <c r="R250" s="314">
        <v>89891.994213033657</v>
      </c>
      <c r="S250" s="315">
        <v>100530.75177877143</v>
      </c>
      <c r="U250" s="7" t="s">
        <v>3594</v>
      </c>
    </row>
    <row r="251" spans="1:21" ht="16.5" thickBot="1">
      <c r="A251" s="50" t="s">
        <v>35</v>
      </c>
      <c r="B251" s="51">
        <f t="shared" si="12"/>
        <v>150</v>
      </c>
      <c r="C251" s="51" t="s">
        <v>3</v>
      </c>
      <c r="D251" s="51">
        <f t="shared" si="13"/>
        <v>300</v>
      </c>
      <c r="E251" s="51" t="s">
        <v>3</v>
      </c>
      <c r="F251" s="99">
        <f t="shared" si="14"/>
        <v>2450</v>
      </c>
      <c r="G251" s="51" t="s">
        <v>3</v>
      </c>
      <c r="H251" s="48">
        <v>8</v>
      </c>
      <c r="I251" s="49" t="s">
        <v>47</v>
      </c>
      <c r="J251" s="184">
        <v>150</v>
      </c>
      <c r="K251" s="75">
        <v>300</v>
      </c>
      <c r="L251" s="75">
        <v>2450</v>
      </c>
      <c r="M251" s="202">
        <v>34.622323587660006</v>
      </c>
      <c r="N251" s="87">
        <v>2527.56</v>
      </c>
      <c r="O251" s="123">
        <v>62771.21284957516</v>
      </c>
      <c r="P251" s="121">
        <v>73572.159566554328</v>
      </c>
      <c r="Q251" s="120">
        <v>29667.669987973619</v>
      </c>
      <c r="R251" s="314">
        <v>92438.882837548779</v>
      </c>
      <c r="S251" s="315">
        <v>103239.82955452794</v>
      </c>
      <c r="U251" s="7" t="s">
        <v>3595</v>
      </c>
    </row>
    <row r="252" spans="1:21" ht="16.5" thickBot="1">
      <c r="A252" s="50" t="s">
        <v>35</v>
      </c>
      <c r="B252" s="51">
        <f t="shared" si="12"/>
        <v>150</v>
      </c>
      <c r="C252" s="51" t="s">
        <v>3</v>
      </c>
      <c r="D252" s="51">
        <f t="shared" si="13"/>
        <v>300</v>
      </c>
      <c r="E252" s="51" t="s">
        <v>3</v>
      </c>
      <c r="F252" s="99">
        <f t="shared" si="14"/>
        <v>2500</v>
      </c>
      <c r="G252" s="51" t="s">
        <v>3</v>
      </c>
      <c r="H252" s="48">
        <v>8</v>
      </c>
      <c r="I252" s="49" t="s">
        <v>47</v>
      </c>
      <c r="J252" s="184">
        <v>150</v>
      </c>
      <c r="K252" s="75">
        <v>300</v>
      </c>
      <c r="L252" s="75">
        <v>2500</v>
      </c>
      <c r="M252" s="202">
        <v>35.29572273718</v>
      </c>
      <c r="N252" s="87">
        <v>2587.7399999999998</v>
      </c>
      <c r="O252" s="123">
        <v>63902.851442105974</v>
      </c>
      <c r="P252" s="121">
        <v>74908.199663416133</v>
      </c>
      <c r="Q252" s="120">
        <v>30148.075155837607</v>
      </c>
      <c r="R252" s="314">
        <v>94050.926597943588</v>
      </c>
      <c r="S252" s="315">
        <v>105056.27481925374</v>
      </c>
      <c r="U252" s="7" t="s">
        <v>3596</v>
      </c>
    </row>
    <row r="253" spans="1:21" ht="16.5" thickBot="1">
      <c r="A253" s="50" t="s">
        <v>35</v>
      </c>
      <c r="B253" s="51">
        <f t="shared" si="12"/>
        <v>150</v>
      </c>
      <c r="C253" s="51" t="s">
        <v>3</v>
      </c>
      <c r="D253" s="51">
        <f t="shared" si="13"/>
        <v>300</v>
      </c>
      <c r="E253" s="51" t="s">
        <v>3</v>
      </c>
      <c r="F253" s="99">
        <f t="shared" si="14"/>
        <v>2550</v>
      </c>
      <c r="G253" s="51" t="s">
        <v>3</v>
      </c>
      <c r="H253" s="48">
        <v>8</v>
      </c>
      <c r="I253" s="49" t="s">
        <v>47</v>
      </c>
      <c r="J253" s="184">
        <v>150</v>
      </c>
      <c r="K253" s="75">
        <v>300</v>
      </c>
      <c r="L253" s="75">
        <v>2550</v>
      </c>
      <c r="M253" s="202">
        <v>35.986161886699996</v>
      </c>
      <c r="N253" s="87">
        <v>2647.9199999999996</v>
      </c>
      <c r="O253" s="123">
        <v>65034.48989424343</v>
      </c>
      <c r="P253" s="121">
        <v>76244.239760277953</v>
      </c>
      <c r="Q253" s="120">
        <v>30859.06224187823</v>
      </c>
      <c r="R253" s="314">
        <v>95893.552136121667</v>
      </c>
      <c r="S253" s="315">
        <v>107103.30200215618</v>
      </c>
      <c r="U253" s="7" t="s">
        <v>3597</v>
      </c>
    </row>
    <row r="254" spans="1:21" ht="16.5" thickBot="1">
      <c r="A254" s="47" t="s">
        <v>35</v>
      </c>
      <c r="B254" s="48">
        <f t="shared" si="12"/>
        <v>150</v>
      </c>
      <c r="C254" s="48" t="s">
        <v>3</v>
      </c>
      <c r="D254" s="48">
        <f t="shared" si="13"/>
        <v>300</v>
      </c>
      <c r="E254" s="48" t="s">
        <v>3</v>
      </c>
      <c r="F254" s="99">
        <f t="shared" si="14"/>
        <v>2600</v>
      </c>
      <c r="G254" s="48" t="s">
        <v>3</v>
      </c>
      <c r="H254" s="48">
        <v>8</v>
      </c>
      <c r="I254" s="49" t="s">
        <v>47</v>
      </c>
      <c r="J254" s="184">
        <v>150</v>
      </c>
      <c r="K254" s="75">
        <v>300</v>
      </c>
      <c r="L254" s="75">
        <v>2600</v>
      </c>
      <c r="M254" s="202">
        <v>36.659561036219998</v>
      </c>
      <c r="N254" s="87">
        <v>2708.1</v>
      </c>
      <c r="O254" s="123">
        <v>66166.12834638088</v>
      </c>
      <c r="P254" s="121">
        <v>77580.279857139773</v>
      </c>
      <c r="Q254" s="120">
        <v>31339.467409742221</v>
      </c>
      <c r="R254" s="314">
        <v>97505.595756123104</v>
      </c>
      <c r="S254" s="315">
        <v>108919.747266882</v>
      </c>
      <c r="U254" s="7" t="s">
        <v>3598</v>
      </c>
    </row>
    <row r="255" spans="1:21" ht="16.5" thickBot="1">
      <c r="A255" s="50" t="s">
        <v>35</v>
      </c>
      <c r="B255" s="51">
        <f t="shared" si="12"/>
        <v>150</v>
      </c>
      <c r="C255" s="51" t="s">
        <v>3</v>
      </c>
      <c r="D255" s="51">
        <f t="shared" si="13"/>
        <v>300</v>
      </c>
      <c r="E255" s="51" t="s">
        <v>3</v>
      </c>
      <c r="F255" s="99">
        <f t="shared" si="14"/>
        <v>2650</v>
      </c>
      <c r="G255" s="51" t="s">
        <v>3</v>
      </c>
      <c r="H255" s="48">
        <v>8</v>
      </c>
      <c r="I255" s="49" t="s">
        <v>47</v>
      </c>
      <c r="J255" s="184">
        <v>150</v>
      </c>
      <c r="K255" s="75">
        <v>300</v>
      </c>
      <c r="L255" s="75">
        <v>2650</v>
      </c>
      <c r="M255" s="202">
        <v>37.350000185740001</v>
      </c>
      <c r="N255" s="87">
        <v>2768.28</v>
      </c>
      <c r="O255" s="123">
        <v>67297.766938911693</v>
      </c>
      <c r="P255" s="121">
        <v>78916.320094394949</v>
      </c>
      <c r="Q255" s="120">
        <v>32050.45435538948</v>
      </c>
      <c r="R255" s="314">
        <v>99348.221294301169</v>
      </c>
      <c r="S255" s="315">
        <v>110966.77444978443</v>
      </c>
      <c r="U255" s="7" t="s">
        <v>3599</v>
      </c>
    </row>
    <row r="256" spans="1:21" ht="16.5" thickBot="1">
      <c r="A256" s="50" t="s">
        <v>35</v>
      </c>
      <c r="B256" s="51">
        <f t="shared" si="12"/>
        <v>150</v>
      </c>
      <c r="C256" s="51" t="s">
        <v>3</v>
      </c>
      <c r="D256" s="51">
        <f t="shared" si="13"/>
        <v>300</v>
      </c>
      <c r="E256" s="51" t="s">
        <v>3</v>
      </c>
      <c r="F256" s="99">
        <f t="shared" si="14"/>
        <v>2700</v>
      </c>
      <c r="G256" s="51" t="s">
        <v>3</v>
      </c>
      <c r="H256" s="48">
        <v>8</v>
      </c>
      <c r="I256" s="49" t="s">
        <v>47</v>
      </c>
      <c r="J256" s="184">
        <v>150</v>
      </c>
      <c r="K256" s="75">
        <v>300</v>
      </c>
      <c r="L256" s="75">
        <v>2700</v>
      </c>
      <c r="M256" s="202">
        <v>38.180399335260006</v>
      </c>
      <c r="N256" s="87">
        <v>2828.46</v>
      </c>
      <c r="O256" s="123">
        <v>68583.714122460049</v>
      </c>
      <c r="P256" s="121">
        <v>80407.610962130042</v>
      </c>
      <c r="Q256" s="120">
        <v>32530.859663646832</v>
      </c>
      <c r="R256" s="314">
        <v>101114.57378610688</v>
      </c>
      <c r="S256" s="315">
        <v>112938.47062577687</v>
      </c>
      <c r="U256" s="7" t="s">
        <v>3600</v>
      </c>
    </row>
    <row r="257" spans="1:21" ht="16.5" thickBot="1">
      <c r="A257" s="50" t="s">
        <v>35</v>
      </c>
      <c r="B257" s="51">
        <f t="shared" si="12"/>
        <v>150</v>
      </c>
      <c r="C257" s="51" t="s">
        <v>3</v>
      </c>
      <c r="D257" s="51">
        <f t="shared" si="13"/>
        <v>300</v>
      </c>
      <c r="E257" s="51" t="s">
        <v>3</v>
      </c>
      <c r="F257" s="99">
        <f t="shared" si="14"/>
        <v>2750</v>
      </c>
      <c r="G257" s="51" t="s">
        <v>3</v>
      </c>
      <c r="H257" s="48">
        <v>8</v>
      </c>
      <c r="I257" s="49" t="s">
        <v>47</v>
      </c>
      <c r="J257" s="184">
        <v>150</v>
      </c>
      <c r="K257" s="75">
        <v>300</v>
      </c>
      <c r="L257" s="75">
        <v>2750</v>
      </c>
      <c r="M257" s="202">
        <v>38.85379848478</v>
      </c>
      <c r="N257" s="87">
        <v>2888.64</v>
      </c>
      <c r="O257" s="123">
        <v>69715.352574597491</v>
      </c>
      <c r="P257" s="121">
        <v>81743.651058991862</v>
      </c>
      <c r="Q257" s="120">
        <v>33011.264831510824</v>
      </c>
      <c r="R257" s="314">
        <v>102726.61740610831</v>
      </c>
      <c r="S257" s="315">
        <v>114754.91589050269</v>
      </c>
      <c r="U257" s="7" t="s">
        <v>3601</v>
      </c>
    </row>
    <row r="258" spans="1:21" ht="16.5" thickBot="1">
      <c r="A258" s="50" t="s">
        <v>35</v>
      </c>
      <c r="B258" s="51">
        <f t="shared" si="12"/>
        <v>150</v>
      </c>
      <c r="C258" s="51" t="s">
        <v>3</v>
      </c>
      <c r="D258" s="51">
        <f t="shared" si="13"/>
        <v>300</v>
      </c>
      <c r="E258" s="51" t="s">
        <v>3</v>
      </c>
      <c r="F258" s="99">
        <f t="shared" si="14"/>
        <v>2800</v>
      </c>
      <c r="G258" s="51" t="s">
        <v>3</v>
      </c>
      <c r="H258" s="48">
        <v>8</v>
      </c>
      <c r="I258" s="49" t="s">
        <v>47</v>
      </c>
      <c r="J258" s="184">
        <v>150</v>
      </c>
      <c r="K258" s="75">
        <v>300</v>
      </c>
      <c r="L258" s="75">
        <v>2800</v>
      </c>
      <c r="M258" s="202">
        <v>39.544237634300003</v>
      </c>
      <c r="N258" s="87">
        <v>2948.8199999999997</v>
      </c>
      <c r="O258" s="123">
        <v>70846.991167128319</v>
      </c>
      <c r="P258" s="121">
        <v>83079.691296247038</v>
      </c>
      <c r="Q258" s="120">
        <v>33722.251777158082</v>
      </c>
      <c r="R258" s="314">
        <v>104569.24294428641</v>
      </c>
      <c r="S258" s="315">
        <v>116801.94307340513</v>
      </c>
      <c r="U258" s="7" t="s">
        <v>3602</v>
      </c>
    </row>
    <row r="259" spans="1:21" ht="16.5" thickBot="1">
      <c r="A259" s="50" t="s">
        <v>35</v>
      </c>
      <c r="B259" s="51">
        <f t="shared" si="12"/>
        <v>150</v>
      </c>
      <c r="C259" s="51" t="s">
        <v>3</v>
      </c>
      <c r="D259" s="51">
        <f t="shared" si="13"/>
        <v>300</v>
      </c>
      <c r="E259" s="51" t="s">
        <v>3</v>
      </c>
      <c r="F259" s="99">
        <f t="shared" si="14"/>
        <v>2850</v>
      </c>
      <c r="G259" s="51" t="s">
        <v>3</v>
      </c>
      <c r="H259" s="48">
        <v>8</v>
      </c>
      <c r="I259" s="49" t="s">
        <v>47</v>
      </c>
      <c r="J259" s="184">
        <v>150</v>
      </c>
      <c r="K259" s="75">
        <v>300</v>
      </c>
      <c r="L259" s="75">
        <v>2850</v>
      </c>
      <c r="M259" s="202">
        <v>40.217636783819998</v>
      </c>
      <c r="N259" s="87">
        <v>3009</v>
      </c>
      <c r="O259" s="123">
        <v>71978.629619265761</v>
      </c>
      <c r="P259" s="121">
        <v>84415.731393108843</v>
      </c>
      <c r="Q259" s="120">
        <v>34202.657085415434</v>
      </c>
      <c r="R259" s="314">
        <v>106181.2867046812</v>
      </c>
      <c r="S259" s="315">
        <v>118618.38847852428</v>
      </c>
      <c r="U259" s="7" t="s">
        <v>3603</v>
      </c>
    </row>
    <row r="260" spans="1:21" ht="16.5" thickBot="1">
      <c r="A260" s="50" t="s">
        <v>35</v>
      </c>
      <c r="B260" s="51">
        <f t="shared" si="12"/>
        <v>150</v>
      </c>
      <c r="C260" s="51" t="s">
        <v>3</v>
      </c>
      <c r="D260" s="51">
        <f t="shared" si="13"/>
        <v>300</v>
      </c>
      <c r="E260" s="51" t="s">
        <v>3</v>
      </c>
      <c r="F260" s="99">
        <f t="shared" si="14"/>
        <v>2900</v>
      </c>
      <c r="G260" s="51" t="s">
        <v>3</v>
      </c>
      <c r="H260" s="48">
        <v>8</v>
      </c>
      <c r="I260" s="49" t="s">
        <v>47</v>
      </c>
      <c r="J260" s="184">
        <v>150</v>
      </c>
      <c r="K260" s="75">
        <v>300</v>
      </c>
      <c r="L260" s="75">
        <v>2900</v>
      </c>
      <c r="M260" s="202">
        <v>40.908075933340001</v>
      </c>
      <c r="N260" s="87">
        <v>3069.18</v>
      </c>
      <c r="O260" s="123">
        <v>73110.268071403218</v>
      </c>
      <c r="P260" s="121">
        <v>85751.771489970663</v>
      </c>
      <c r="Q260" s="120">
        <v>34913.644031062693</v>
      </c>
      <c r="R260" s="314">
        <v>108023.91210246591</v>
      </c>
      <c r="S260" s="315">
        <v>120665.41552103336</v>
      </c>
      <c r="U260" s="7" t="s">
        <v>3604</v>
      </c>
    </row>
    <row r="261" spans="1:21" ht="16.5" thickBot="1">
      <c r="A261" s="50" t="s">
        <v>35</v>
      </c>
      <c r="B261" s="51">
        <f t="shared" si="12"/>
        <v>150</v>
      </c>
      <c r="C261" s="51" t="s">
        <v>3</v>
      </c>
      <c r="D261" s="51">
        <f t="shared" si="13"/>
        <v>300</v>
      </c>
      <c r="E261" s="51" t="s">
        <v>3</v>
      </c>
      <c r="F261" s="99">
        <f t="shared" si="14"/>
        <v>2950</v>
      </c>
      <c r="G261" s="51" t="s">
        <v>3</v>
      </c>
      <c r="H261" s="48">
        <v>8</v>
      </c>
      <c r="I261" s="49" t="s">
        <v>47</v>
      </c>
      <c r="J261" s="184">
        <v>150</v>
      </c>
      <c r="K261" s="75">
        <v>300</v>
      </c>
      <c r="L261" s="75">
        <v>2950</v>
      </c>
      <c r="M261" s="202">
        <v>41.581475082860003</v>
      </c>
      <c r="N261" s="87">
        <v>3129.36</v>
      </c>
      <c r="O261" s="123">
        <v>74241.90652354066</v>
      </c>
      <c r="P261" s="121">
        <v>87087.811586832468</v>
      </c>
      <c r="Q261" s="120">
        <v>35394.049339320045</v>
      </c>
      <c r="R261" s="314">
        <v>109635.9558628607</v>
      </c>
      <c r="S261" s="315">
        <v>122481.86092615251</v>
      </c>
      <c r="U261" s="7" t="s">
        <v>3605</v>
      </c>
    </row>
    <row r="262" spans="1:21" ht="16.5" thickBot="1">
      <c r="A262" s="52" t="s">
        <v>35</v>
      </c>
      <c r="B262" s="53">
        <f t="shared" si="12"/>
        <v>150</v>
      </c>
      <c r="C262" s="53" t="s">
        <v>3</v>
      </c>
      <c r="D262" s="53">
        <f t="shared" si="13"/>
        <v>300</v>
      </c>
      <c r="E262" s="53" t="s">
        <v>3</v>
      </c>
      <c r="F262" s="100">
        <f t="shared" si="14"/>
        <v>3000</v>
      </c>
      <c r="G262" s="53" t="s">
        <v>3</v>
      </c>
      <c r="H262" s="55">
        <v>8</v>
      </c>
      <c r="I262" s="54" t="s">
        <v>47</v>
      </c>
      <c r="J262" s="186">
        <v>150</v>
      </c>
      <c r="K262" s="147">
        <v>300</v>
      </c>
      <c r="L262" s="147">
        <v>3000</v>
      </c>
      <c r="M262" s="209">
        <v>42.271914232379999</v>
      </c>
      <c r="N262" s="148">
        <v>3189.5399999999995</v>
      </c>
      <c r="O262" s="149">
        <v>76548.702421929949</v>
      </c>
      <c r="P262" s="158">
        <v>88423.851824087644</v>
      </c>
      <c r="Q262" s="159">
        <v>36105.036284967304</v>
      </c>
      <c r="R262" s="316">
        <v>112653.73870689725</v>
      </c>
      <c r="S262" s="317">
        <v>124528.88810905494</v>
      </c>
      <c r="U262" s="7" t="s">
        <v>3606</v>
      </c>
    </row>
    <row r="263" spans="1:21" s="74" customFormat="1" ht="22.5" customHeight="1" thickBot="1">
      <c r="A263" s="2621" t="s">
        <v>49</v>
      </c>
      <c r="B263" s="2622"/>
      <c r="C263" s="2622"/>
      <c r="D263" s="2622"/>
      <c r="E263" s="2622"/>
      <c r="F263" s="2622"/>
      <c r="G263" s="2622"/>
      <c r="H263" s="2622"/>
      <c r="I263" s="2622"/>
      <c r="J263" s="2622"/>
      <c r="K263" s="2622"/>
      <c r="L263" s="2622"/>
      <c r="M263" s="2622"/>
      <c r="N263" s="2622"/>
      <c r="O263" s="2622"/>
      <c r="P263" s="2622"/>
      <c r="Q263" s="2622"/>
      <c r="R263" s="2622"/>
      <c r="S263" s="2623"/>
      <c r="U263" s="7"/>
    </row>
    <row r="264" spans="1:21" s="74" customFormat="1" ht="16.5" thickBot="1">
      <c r="A264" s="2583" t="s">
        <v>180</v>
      </c>
      <c r="B264" s="2584"/>
      <c r="C264" s="2584"/>
      <c r="D264" s="2584"/>
      <c r="E264" s="2584"/>
      <c r="F264" s="2584"/>
      <c r="G264" s="2584"/>
      <c r="H264" s="2584"/>
      <c r="I264" s="2584"/>
      <c r="J264" s="2584"/>
      <c r="K264" s="2584"/>
      <c r="L264" s="2584"/>
      <c r="M264" s="2584"/>
      <c r="N264" s="2584"/>
      <c r="O264" s="2584"/>
      <c r="P264" s="2584"/>
      <c r="Q264" s="2584"/>
      <c r="R264" s="2584"/>
      <c r="S264" s="2585"/>
      <c r="U264" s="7"/>
    </row>
    <row r="265" spans="1:21" s="74" customFormat="1" ht="16.5" thickBot="1">
      <c r="A265" s="47" t="s">
        <v>35</v>
      </c>
      <c r="B265" s="48">
        <f>J265</f>
        <v>150</v>
      </c>
      <c r="C265" s="48" t="s">
        <v>3</v>
      </c>
      <c r="D265" s="48">
        <f>K265</f>
        <v>360</v>
      </c>
      <c r="E265" s="48" t="s">
        <v>3</v>
      </c>
      <c r="F265" s="99">
        <f>L265</f>
        <v>600</v>
      </c>
      <c r="G265" s="48" t="s">
        <v>3</v>
      </c>
      <c r="H265" s="48">
        <v>6</v>
      </c>
      <c r="I265" s="49" t="s">
        <v>47</v>
      </c>
      <c r="J265" s="181">
        <v>150</v>
      </c>
      <c r="K265" s="143">
        <v>360</v>
      </c>
      <c r="L265" s="143">
        <v>600</v>
      </c>
      <c r="M265" s="201">
        <v>8.9633611492702627</v>
      </c>
      <c r="N265" s="144">
        <v>288.51886074920998</v>
      </c>
      <c r="O265" s="145">
        <v>17243.919342117566</v>
      </c>
      <c r="P265" s="183">
        <v>21232.378665431781</v>
      </c>
      <c r="Q265" s="169">
        <v>9204.3678470371888</v>
      </c>
      <c r="R265" s="312">
        <v>26448.287189154755</v>
      </c>
      <c r="S265" s="313">
        <v>30436.74651246897</v>
      </c>
      <c r="U265" s="7" t="s">
        <v>3607</v>
      </c>
    </row>
    <row r="266" spans="1:21" s="74" customFormat="1" ht="16.5" thickBot="1">
      <c r="A266" s="50" t="s">
        <v>35</v>
      </c>
      <c r="B266" s="51">
        <f t="shared" ref="B266:B313" si="15">J266</f>
        <v>150</v>
      </c>
      <c r="C266" s="51" t="s">
        <v>3</v>
      </c>
      <c r="D266" s="51">
        <f t="shared" ref="D266:D313" si="16">K266</f>
        <v>360</v>
      </c>
      <c r="E266" s="51" t="s">
        <v>3</v>
      </c>
      <c r="F266" s="99">
        <f t="shared" ref="F266:F313" si="17">L266</f>
        <v>650</v>
      </c>
      <c r="G266" s="51" t="s">
        <v>3</v>
      </c>
      <c r="H266" s="48">
        <v>6</v>
      </c>
      <c r="I266" s="49" t="s">
        <v>47</v>
      </c>
      <c r="J266" s="184">
        <v>150</v>
      </c>
      <c r="K266" s="75">
        <v>360</v>
      </c>
      <c r="L266" s="75">
        <v>650</v>
      </c>
      <c r="M266" s="202">
        <v>9.6179184707523682</v>
      </c>
      <c r="N266" s="87">
        <v>346.22263289905197</v>
      </c>
      <c r="O266" s="123">
        <v>18175.842058790819</v>
      </c>
      <c r="P266" s="121">
        <v>22412.077696567128</v>
      </c>
      <c r="Q266" s="120">
        <v>9757.9649885401141</v>
      </c>
      <c r="R266" s="314">
        <v>27933.807047330934</v>
      </c>
      <c r="S266" s="315">
        <v>32170.042685107241</v>
      </c>
      <c r="U266" s="7" t="s">
        <v>3608</v>
      </c>
    </row>
    <row r="267" spans="1:21" s="74" customFormat="1" ht="16.5" thickBot="1">
      <c r="A267" s="50" t="s">
        <v>35</v>
      </c>
      <c r="B267" s="51">
        <f t="shared" si="15"/>
        <v>150</v>
      </c>
      <c r="C267" s="51" t="s">
        <v>3</v>
      </c>
      <c r="D267" s="51">
        <f t="shared" si="16"/>
        <v>360</v>
      </c>
      <c r="E267" s="51" t="s">
        <v>3</v>
      </c>
      <c r="F267" s="99">
        <f t="shared" si="17"/>
        <v>700</v>
      </c>
      <c r="G267" s="51" t="s">
        <v>3</v>
      </c>
      <c r="H267" s="48">
        <v>6</v>
      </c>
      <c r="I267" s="49" t="s">
        <v>47</v>
      </c>
      <c r="J267" s="184">
        <v>150</v>
      </c>
      <c r="K267" s="75">
        <v>360</v>
      </c>
      <c r="L267" s="75">
        <v>700</v>
      </c>
      <c r="M267" s="202">
        <v>10.272475792234474</v>
      </c>
      <c r="N267" s="87">
        <v>403.92640504889397</v>
      </c>
      <c r="O267" s="123">
        <v>19108.436136523542</v>
      </c>
      <c r="P267" s="121">
        <v>23592.117462393267</v>
      </c>
      <c r="Q267" s="120">
        <v>10542.143907826316</v>
      </c>
      <c r="R267" s="314">
        <v>29650.580044349859</v>
      </c>
      <c r="S267" s="315">
        <v>34134.261370219581</v>
      </c>
      <c r="U267" s="7" t="s">
        <v>3609</v>
      </c>
    </row>
    <row r="268" spans="1:21" s="74" customFormat="1" ht="16.5" thickBot="1">
      <c r="A268" s="50" t="s">
        <v>35</v>
      </c>
      <c r="B268" s="51">
        <f t="shared" si="15"/>
        <v>150</v>
      </c>
      <c r="C268" s="51" t="s">
        <v>3</v>
      </c>
      <c r="D268" s="51">
        <f t="shared" si="16"/>
        <v>360</v>
      </c>
      <c r="E268" s="51" t="s">
        <v>3</v>
      </c>
      <c r="F268" s="99">
        <f t="shared" si="17"/>
        <v>750</v>
      </c>
      <c r="G268" s="51" t="s">
        <v>3</v>
      </c>
      <c r="H268" s="48">
        <v>6</v>
      </c>
      <c r="I268" s="49" t="s">
        <v>47</v>
      </c>
      <c r="J268" s="184">
        <v>150</v>
      </c>
      <c r="K268" s="75">
        <v>360</v>
      </c>
      <c r="L268" s="75">
        <v>750</v>
      </c>
      <c r="M268" s="202">
        <v>10.927033113716579</v>
      </c>
      <c r="N268" s="87">
        <v>461.63017719873596</v>
      </c>
      <c r="O268" s="123">
        <v>20041.594174393427</v>
      </c>
      <c r="P268" s="121">
        <v>24772.444613432443</v>
      </c>
      <c r="Q268" s="120">
        <v>11095.741049329239</v>
      </c>
      <c r="R268" s="314">
        <v>31137.335223722665</v>
      </c>
      <c r="S268" s="315">
        <v>35868.18566276168</v>
      </c>
      <c r="U268" s="7" t="s">
        <v>3610</v>
      </c>
    </row>
    <row r="269" spans="1:21" s="74" customFormat="1" ht="16.5" thickBot="1">
      <c r="A269" s="50" t="s">
        <v>35</v>
      </c>
      <c r="B269" s="51">
        <f t="shared" si="15"/>
        <v>150</v>
      </c>
      <c r="C269" s="51" t="s">
        <v>3</v>
      </c>
      <c r="D269" s="51">
        <f t="shared" si="16"/>
        <v>360</v>
      </c>
      <c r="E269" s="51" t="s">
        <v>3</v>
      </c>
      <c r="F269" s="99">
        <f t="shared" si="17"/>
        <v>800</v>
      </c>
      <c r="G269" s="51" t="s">
        <v>3</v>
      </c>
      <c r="H269" s="48">
        <v>6</v>
      </c>
      <c r="I269" s="49" t="s">
        <v>47</v>
      </c>
      <c r="J269" s="184">
        <v>150</v>
      </c>
      <c r="K269" s="75">
        <v>360</v>
      </c>
      <c r="L269" s="75">
        <v>800</v>
      </c>
      <c r="M269" s="202">
        <v>11.581590435198684</v>
      </c>
      <c r="N269" s="87">
        <v>519.33394934857802</v>
      </c>
      <c r="O269" s="123">
        <v>20975.229970875902</v>
      </c>
      <c r="P269" s="121">
        <v>25953.016329709091</v>
      </c>
      <c r="Q269" s="120">
        <v>11649.338190832164</v>
      </c>
      <c r="R269" s="314">
        <v>32624.568161708066</v>
      </c>
      <c r="S269" s="315">
        <v>37602.354520541252</v>
      </c>
      <c r="U269" s="7" t="s">
        <v>3611</v>
      </c>
    </row>
    <row r="270" spans="1:21" s="74" customFormat="1" ht="16.5" thickBot="1">
      <c r="A270" s="50" t="s">
        <v>35</v>
      </c>
      <c r="B270" s="51">
        <f t="shared" si="15"/>
        <v>150</v>
      </c>
      <c r="C270" s="51" t="s">
        <v>3</v>
      </c>
      <c r="D270" s="51">
        <f t="shared" si="16"/>
        <v>360</v>
      </c>
      <c r="E270" s="51" t="s">
        <v>3</v>
      </c>
      <c r="F270" s="99">
        <f t="shared" si="17"/>
        <v>850</v>
      </c>
      <c r="G270" s="51" t="s">
        <v>3</v>
      </c>
      <c r="H270" s="48">
        <v>6</v>
      </c>
      <c r="I270" s="49" t="s">
        <v>47</v>
      </c>
      <c r="J270" s="184">
        <v>150</v>
      </c>
      <c r="K270" s="75">
        <v>360</v>
      </c>
      <c r="L270" s="75">
        <v>850</v>
      </c>
      <c r="M270" s="202">
        <v>12.23614775668079</v>
      </c>
      <c r="N270" s="87">
        <v>577.03772149841996</v>
      </c>
      <c r="O270" s="123">
        <v>21909.274452436617</v>
      </c>
      <c r="P270" s="121">
        <v>27133.798074456045</v>
      </c>
      <c r="Q270" s="120">
        <v>12433.517110118366</v>
      </c>
      <c r="R270" s="314">
        <v>34342.791562554979</v>
      </c>
      <c r="S270" s="315">
        <v>39567.315184574414</v>
      </c>
      <c r="U270" s="7" t="s">
        <v>3612</v>
      </c>
    </row>
    <row r="271" spans="1:21" s="74" customFormat="1" ht="16.5" thickBot="1">
      <c r="A271" s="50" t="s">
        <v>35</v>
      </c>
      <c r="B271" s="51">
        <f t="shared" si="15"/>
        <v>150</v>
      </c>
      <c r="C271" s="51" t="s">
        <v>3</v>
      </c>
      <c r="D271" s="51">
        <f t="shared" si="16"/>
        <v>360</v>
      </c>
      <c r="E271" s="51" t="s">
        <v>3</v>
      </c>
      <c r="F271" s="99">
        <f t="shared" si="17"/>
        <v>900</v>
      </c>
      <c r="G271" s="51" t="s">
        <v>3</v>
      </c>
      <c r="H271" s="48">
        <v>6</v>
      </c>
      <c r="I271" s="49" t="s">
        <v>47</v>
      </c>
      <c r="J271" s="184">
        <v>150</v>
      </c>
      <c r="K271" s="75">
        <v>360</v>
      </c>
      <c r="L271" s="75">
        <v>900</v>
      </c>
      <c r="M271" s="202">
        <v>12.890705078162895</v>
      </c>
      <c r="N271" s="87">
        <v>634.74149364826201</v>
      </c>
      <c r="O271" s="123">
        <v>22843.671040550478</v>
      </c>
      <c r="P271" s="121">
        <v>28314.761067033978</v>
      </c>
      <c r="Q271" s="120">
        <v>12987.114251621291</v>
      </c>
      <c r="R271" s="314">
        <v>35830.785292171771</v>
      </c>
      <c r="S271" s="315">
        <v>41301.875318655271</v>
      </c>
      <c r="U271" s="7" t="s">
        <v>3613</v>
      </c>
    </row>
    <row r="272" spans="1:21" s="74" customFormat="1" ht="16.5" thickBot="1">
      <c r="A272" s="50" t="s">
        <v>35</v>
      </c>
      <c r="B272" s="51">
        <f t="shared" si="15"/>
        <v>150</v>
      </c>
      <c r="C272" s="51" t="s">
        <v>3</v>
      </c>
      <c r="D272" s="51">
        <f t="shared" si="16"/>
        <v>360</v>
      </c>
      <c r="E272" s="51" t="s">
        <v>3</v>
      </c>
      <c r="F272" s="99">
        <f t="shared" si="17"/>
        <v>950</v>
      </c>
      <c r="G272" s="51" t="s">
        <v>3</v>
      </c>
      <c r="H272" s="48">
        <v>6</v>
      </c>
      <c r="I272" s="49" t="s">
        <v>47</v>
      </c>
      <c r="J272" s="184">
        <v>150</v>
      </c>
      <c r="K272" s="75">
        <v>360</v>
      </c>
      <c r="L272" s="75">
        <v>950</v>
      </c>
      <c r="M272" s="202">
        <v>13.545262399645001</v>
      </c>
      <c r="N272" s="87">
        <v>692.44526579810395</v>
      </c>
      <c r="O272" s="123">
        <v>23778.373124621139</v>
      </c>
      <c r="P272" s="121">
        <v>29495.882142538096</v>
      </c>
      <c r="Q272" s="120">
        <v>13771.293170907491</v>
      </c>
      <c r="R272" s="314">
        <v>37549.66629552863</v>
      </c>
      <c r="S272" s="315">
        <v>43267.175313445587</v>
      </c>
      <c r="U272" s="7" t="s">
        <v>3614</v>
      </c>
    </row>
    <row r="273" spans="1:21" s="74" customFormat="1" ht="16.5" thickBot="1">
      <c r="A273" s="50" t="s">
        <v>35</v>
      </c>
      <c r="B273" s="51">
        <f t="shared" si="15"/>
        <v>150</v>
      </c>
      <c r="C273" s="51" t="s">
        <v>3</v>
      </c>
      <c r="D273" s="51">
        <f t="shared" si="16"/>
        <v>360</v>
      </c>
      <c r="E273" s="51" t="s">
        <v>3</v>
      </c>
      <c r="F273" s="99">
        <f t="shared" si="17"/>
        <v>1000</v>
      </c>
      <c r="G273" s="51" t="s">
        <v>3</v>
      </c>
      <c r="H273" s="48">
        <v>6</v>
      </c>
      <c r="I273" s="49" t="s">
        <v>47</v>
      </c>
      <c r="J273" s="184">
        <v>150</v>
      </c>
      <c r="K273" s="75">
        <v>360</v>
      </c>
      <c r="L273" s="75">
        <v>1000</v>
      </c>
      <c r="M273" s="202">
        <v>14.199819721127106</v>
      </c>
      <c r="N273" s="87">
        <v>750.149037947946</v>
      </c>
      <c r="O273" s="123">
        <v>24713.342236867284</v>
      </c>
      <c r="P273" s="121">
        <v>30677.141505504271</v>
      </c>
      <c r="Q273" s="120">
        <v>14324.890312410414</v>
      </c>
      <c r="R273" s="314">
        <v>39038.232549277702</v>
      </c>
      <c r="S273" s="315">
        <v>45002.031817914685</v>
      </c>
      <c r="U273" s="7" t="s">
        <v>3615</v>
      </c>
    </row>
    <row r="274" spans="1:21" s="74" customFormat="1" ht="16.5" thickBot="1">
      <c r="A274" s="50" t="s">
        <v>35</v>
      </c>
      <c r="B274" s="51">
        <f t="shared" si="15"/>
        <v>150</v>
      </c>
      <c r="C274" s="51" t="s">
        <v>3</v>
      </c>
      <c r="D274" s="51">
        <f t="shared" si="16"/>
        <v>360</v>
      </c>
      <c r="E274" s="51" t="s">
        <v>3</v>
      </c>
      <c r="F274" s="99">
        <f t="shared" si="17"/>
        <v>1050</v>
      </c>
      <c r="G274" s="51" t="s">
        <v>3</v>
      </c>
      <c r="H274" s="48">
        <v>6</v>
      </c>
      <c r="I274" s="49" t="s">
        <v>47</v>
      </c>
      <c r="J274" s="184">
        <v>150</v>
      </c>
      <c r="K274" s="75">
        <v>360</v>
      </c>
      <c r="L274" s="75">
        <v>1050</v>
      </c>
      <c r="M274" s="202">
        <v>14.854377042609212</v>
      </c>
      <c r="N274" s="87">
        <v>807.85281009778794</v>
      </c>
      <c r="O274" s="123">
        <v>25657.965217899007</v>
      </c>
      <c r="P274" s="121">
        <v>31870.428227442459</v>
      </c>
      <c r="Q274" s="120">
        <v>15109.069231696616</v>
      </c>
      <c r="R274" s="314">
        <v>40767.034449595623</v>
      </c>
      <c r="S274" s="315">
        <v>46979.497459139078</v>
      </c>
      <c r="U274" s="7" t="s">
        <v>3616</v>
      </c>
    </row>
    <row r="275" spans="1:21" s="74" customFormat="1" ht="16.5" thickBot="1">
      <c r="A275" s="47" t="s">
        <v>35</v>
      </c>
      <c r="B275" s="48">
        <f t="shared" si="15"/>
        <v>150</v>
      </c>
      <c r="C275" s="48" t="s">
        <v>3</v>
      </c>
      <c r="D275" s="48">
        <f t="shared" si="16"/>
        <v>360</v>
      </c>
      <c r="E275" s="48" t="s">
        <v>3</v>
      </c>
      <c r="F275" s="99">
        <f t="shared" si="17"/>
        <v>1100</v>
      </c>
      <c r="G275" s="48" t="s">
        <v>3</v>
      </c>
      <c r="H275" s="48">
        <v>6</v>
      </c>
      <c r="I275" s="49" t="s">
        <v>47</v>
      </c>
      <c r="J275" s="184">
        <v>150</v>
      </c>
      <c r="K275" s="75">
        <v>360</v>
      </c>
      <c r="L275" s="75">
        <v>1100</v>
      </c>
      <c r="M275" s="202">
        <v>15.508934364091317</v>
      </c>
      <c r="N275" s="87">
        <v>865.55658224762988</v>
      </c>
      <c r="O275" s="123">
        <v>26593.358739279978</v>
      </c>
      <c r="P275" s="121">
        <v>33051.905621300597</v>
      </c>
      <c r="Q275" s="120">
        <v>15662.66637319954</v>
      </c>
      <c r="R275" s="314">
        <v>42256.025112479518</v>
      </c>
      <c r="S275" s="315">
        <v>48714.571994500133</v>
      </c>
      <c r="U275" s="7" t="s">
        <v>3617</v>
      </c>
    </row>
    <row r="276" spans="1:21" s="74" customFormat="1" ht="16.5" thickBot="1">
      <c r="A276" s="50" t="s">
        <v>35</v>
      </c>
      <c r="B276" s="51">
        <f t="shared" si="15"/>
        <v>150</v>
      </c>
      <c r="C276" s="51" t="s">
        <v>3</v>
      </c>
      <c r="D276" s="51">
        <f t="shared" si="16"/>
        <v>360</v>
      </c>
      <c r="E276" s="51" t="s">
        <v>3</v>
      </c>
      <c r="F276" s="99">
        <f t="shared" si="17"/>
        <v>1150</v>
      </c>
      <c r="G276" s="51" t="s">
        <v>3</v>
      </c>
      <c r="H276" s="48">
        <v>6</v>
      </c>
      <c r="I276" s="49" t="s">
        <v>47</v>
      </c>
      <c r="J276" s="184">
        <v>150</v>
      </c>
      <c r="K276" s="75">
        <v>360</v>
      </c>
      <c r="L276" s="75">
        <v>1150</v>
      </c>
      <c r="M276" s="202">
        <v>16.163491685573423</v>
      </c>
      <c r="N276" s="87">
        <v>923.26035439747193</v>
      </c>
      <c r="O276" s="123">
        <v>27528.937579899459</v>
      </c>
      <c r="P276" s="121">
        <v>34233.479886578854</v>
      </c>
      <c r="Q276" s="120">
        <v>16216.263514702467</v>
      </c>
      <c r="R276" s="314">
        <v>43745.201094601929</v>
      </c>
      <c r="S276" s="315">
        <v>50449.743401281317</v>
      </c>
      <c r="U276" s="7" t="s">
        <v>3618</v>
      </c>
    </row>
    <row r="277" spans="1:21" s="74" customFormat="1" ht="16.5" thickBot="1">
      <c r="A277" s="50" t="s">
        <v>35</v>
      </c>
      <c r="B277" s="51">
        <f t="shared" si="15"/>
        <v>150</v>
      </c>
      <c r="C277" s="51" t="s">
        <v>3</v>
      </c>
      <c r="D277" s="51">
        <f t="shared" si="16"/>
        <v>360</v>
      </c>
      <c r="E277" s="51" t="s">
        <v>3</v>
      </c>
      <c r="F277" s="99">
        <f t="shared" si="17"/>
        <v>1200</v>
      </c>
      <c r="G277" s="51" t="s">
        <v>3</v>
      </c>
      <c r="H277" s="48">
        <v>6</v>
      </c>
      <c r="I277" s="49" t="s">
        <v>47</v>
      </c>
      <c r="J277" s="184">
        <v>150</v>
      </c>
      <c r="K277" s="75">
        <v>360</v>
      </c>
      <c r="L277" s="75">
        <v>1200</v>
      </c>
      <c r="M277" s="202">
        <v>16.935799007055525</v>
      </c>
      <c r="N277" s="87">
        <v>980.96412654731387</v>
      </c>
      <c r="O277" s="123">
        <v>28587.379004236922</v>
      </c>
      <c r="P277" s="121">
        <v>35540.657073617745</v>
      </c>
      <c r="Q277" s="120">
        <v>17000.442574382028</v>
      </c>
      <c r="R277" s="314">
        <v>45587.821578618954</v>
      </c>
      <c r="S277" s="315">
        <v>52541.09964799977</v>
      </c>
      <c r="U277" s="7" t="s">
        <v>3619</v>
      </c>
    </row>
    <row r="278" spans="1:21" s="7" customFormat="1" ht="16.5" thickBot="1">
      <c r="A278" s="50" t="s">
        <v>35</v>
      </c>
      <c r="B278" s="51">
        <f t="shared" si="15"/>
        <v>150</v>
      </c>
      <c r="C278" s="51" t="s">
        <v>3</v>
      </c>
      <c r="D278" s="51">
        <f t="shared" si="16"/>
        <v>360</v>
      </c>
      <c r="E278" s="51" t="s">
        <v>3</v>
      </c>
      <c r="F278" s="99">
        <f t="shared" si="17"/>
        <v>1250</v>
      </c>
      <c r="G278" s="51" t="s">
        <v>3</v>
      </c>
      <c r="H278" s="48">
        <v>6</v>
      </c>
      <c r="I278" s="49" t="s">
        <v>47</v>
      </c>
      <c r="J278" s="184">
        <v>150</v>
      </c>
      <c r="K278" s="75">
        <v>360</v>
      </c>
      <c r="L278" s="75">
        <v>1250</v>
      </c>
      <c r="M278" s="202">
        <v>17.590356328537631</v>
      </c>
      <c r="N278" s="87">
        <v>1038.667898697156</v>
      </c>
      <c r="O278" s="123">
        <v>29523.27583582246</v>
      </c>
      <c r="P278" s="121">
        <v>36722.37636523947</v>
      </c>
      <c r="Q278" s="120">
        <v>17554.039715884952</v>
      </c>
      <c r="R278" s="314">
        <v>47077.315551707412</v>
      </c>
      <c r="S278" s="315">
        <v>54276.416081124422</v>
      </c>
      <c r="U278" s="7" t="s">
        <v>3620</v>
      </c>
    </row>
    <row r="279" spans="1:21" s="7" customFormat="1" ht="16.5" thickBot="1">
      <c r="A279" s="50" t="s">
        <v>35</v>
      </c>
      <c r="B279" s="51">
        <f t="shared" si="15"/>
        <v>150</v>
      </c>
      <c r="C279" s="51" t="s">
        <v>3</v>
      </c>
      <c r="D279" s="51">
        <f t="shared" si="16"/>
        <v>360</v>
      </c>
      <c r="E279" s="51" t="s">
        <v>3</v>
      </c>
      <c r="F279" s="99">
        <f t="shared" si="17"/>
        <v>1300</v>
      </c>
      <c r="G279" s="51" t="s">
        <v>3</v>
      </c>
      <c r="H279" s="48">
        <v>6</v>
      </c>
      <c r="I279" s="49" t="s">
        <v>47</v>
      </c>
      <c r="J279" s="184">
        <v>150</v>
      </c>
      <c r="K279" s="75">
        <v>360</v>
      </c>
      <c r="L279" s="75">
        <v>1300</v>
      </c>
      <c r="M279" s="202">
        <v>18.244913650019736</v>
      </c>
      <c r="N279" s="87">
        <v>1096.3716708469979</v>
      </c>
      <c r="O279" s="123">
        <v>30459.304777562105</v>
      </c>
      <c r="P279" s="121">
        <v>37904.166555509255</v>
      </c>
      <c r="Q279" s="120">
        <v>18338.218635171153</v>
      </c>
      <c r="R279" s="314">
        <v>48797.523412733259</v>
      </c>
      <c r="S279" s="315">
        <v>56242.385190680405</v>
      </c>
      <c r="U279" s="7" t="s">
        <v>3621</v>
      </c>
    </row>
    <row r="280" spans="1:21" s="7" customFormat="1" ht="16.5" thickBot="1">
      <c r="A280" s="50" t="s">
        <v>35</v>
      </c>
      <c r="B280" s="51">
        <f t="shared" si="15"/>
        <v>150</v>
      </c>
      <c r="C280" s="51" t="s">
        <v>3</v>
      </c>
      <c r="D280" s="51">
        <f t="shared" si="16"/>
        <v>360</v>
      </c>
      <c r="E280" s="51" t="s">
        <v>3</v>
      </c>
      <c r="F280" s="99">
        <f t="shared" si="17"/>
        <v>1350</v>
      </c>
      <c r="G280" s="51" t="s">
        <v>3</v>
      </c>
      <c r="H280" s="48">
        <v>6</v>
      </c>
      <c r="I280" s="49" t="s">
        <v>47</v>
      </c>
      <c r="J280" s="184">
        <v>150</v>
      </c>
      <c r="K280" s="75">
        <v>360</v>
      </c>
      <c r="L280" s="75">
        <v>1350</v>
      </c>
      <c r="M280" s="202">
        <v>18.899470971501842</v>
      </c>
      <c r="N280" s="87">
        <v>1154.0754429968399</v>
      </c>
      <c r="O280" s="123">
        <v>31395.452632479792</v>
      </c>
      <c r="P280" s="121">
        <v>39086.020765152345</v>
      </c>
      <c r="Q280" s="120">
        <v>18891.815776674081</v>
      </c>
      <c r="R280" s="314">
        <v>50287.268409153869</v>
      </c>
      <c r="S280" s="315">
        <v>57977.836541826429</v>
      </c>
      <c r="U280" s="7" t="s">
        <v>3622</v>
      </c>
    </row>
    <row r="281" spans="1:21" s="7" customFormat="1" ht="16.5" thickBot="1">
      <c r="A281" s="50" t="s">
        <v>35</v>
      </c>
      <c r="B281" s="51">
        <f t="shared" si="15"/>
        <v>150</v>
      </c>
      <c r="C281" s="51" t="s">
        <v>3</v>
      </c>
      <c r="D281" s="51">
        <f t="shared" si="16"/>
        <v>360</v>
      </c>
      <c r="E281" s="51" t="s">
        <v>3</v>
      </c>
      <c r="F281" s="99">
        <f t="shared" si="17"/>
        <v>1400</v>
      </c>
      <c r="G281" s="51" t="s">
        <v>3</v>
      </c>
      <c r="H281" s="48">
        <v>6</v>
      </c>
      <c r="I281" s="49" t="s">
        <v>47</v>
      </c>
      <c r="J281" s="184">
        <v>150</v>
      </c>
      <c r="K281" s="75">
        <v>360</v>
      </c>
      <c r="L281" s="75">
        <v>1400</v>
      </c>
      <c r="M281" s="202">
        <v>19.554028292983947</v>
      </c>
      <c r="N281" s="87">
        <v>1211.779215146682</v>
      </c>
      <c r="O281" s="123">
        <v>32331.708449893245</v>
      </c>
      <c r="P281" s="121">
        <v>40267.93309764751</v>
      </c>
      <c r="Q281" s="120">
        <v>19675.994695960278</v>
      </c>
      <c r="R281" s="314">
        <v>52007.70314585352</v>
      </c>
      <c r="S281" s="315">
        <v>59943.927793607785</v>
      </c>
      <c r="U281" s="7" t="s">
        <v>3623</v>
      </c>
    </row>
    <row r="282" spans="1:21" s="7" customFormat="1" ht="16.5" thickBot="1">
      <c r="A282" s="50" t="s">
        <v>35</v>
      </c>
      <c r="B282" s="51">
        <f t="shared" si="15"/>
        <v>150</v>
      </c>
      <c r="C282" s="51" t="s">
        <v>3</v>
      </c>
      <c r="D282" s="51">
        <f t="shared" si="16"/>
        <v>360</v>
      </c>
      <c r="E282" s="51" t="s">
        <v>3</v>
      </c>
      <c r="F282" s="99">
        <f t="shared" si="17"/>
        <v>1450</v>
      </c>
      <c r="G282" s="51" t="s">
        <v>3</v>
      </c>
      <c r="H282" s="48">
        <v>6</v>
      </c>
      <c r="I282" s="49" t="s">
        <v>47</v>
      </c>
      <c r="J282" s="184">
        <v>150</v>
      </c>
      <c r="K282" s="75">
        <v>360</v>
      </c>
      <c r="L282" s="75">
        <v>1450</v>
      </c>
      <c r="M282" s="202">
        <v>20.208585614466053</v>
      </c>
      <c r="N282" s="87">
        <v>1269.482987296524</v>
      </c>
      <c r="O282" s="123">
        <v>33268.062402267082</v>
      </c>
      <c r="P282" s="121">
        <v>41449.898358440332</v>
      </c>
      <c r="Q282" s="120">
        <v>20229.591837463206</v>
      </c>
      <c r="R282" s="314">
        <v>53497.654239730284</v>
      </c>
      <c r="S282" s="315">
        <v>61679.490195903534</v>
      </c>
      <c r="U282" s="7" t="s">
        <v>3624</v>
      </c>
    </row>
    <row r="283" spans="1:21" s="7" customFormat="1" ht="16.5" thickBot="1">
      <c r="A283" s="50" t="s">
        <v>35</v>
      </c>
      <c r="B283" s="51">
        <f t="shared" si="15"/>
        <v>150</v>
      </c>
      <c r="C283" s="51" t="s">
        <v>3</v>
      </c>
      <c r="D283" s="51">
        <f t="shared" si="16"/>
        <v>360</v>
      </c>
      <c r="E283" s="51" t="s">
        <v>3</v>
      </c>
      <c r="F283" s="99">
        <f t="shared" si="17"/>
        <v>1500</v>
      </c>
      <c r="G283" s="51" t="s">
        <v>3</v>
      </c>
      <c r="H283" s="48">
        <v>6</v>
      </c>
      <c r="I283" s="49" t="s">
        <v>47</v>
      </c>
      <c r="J283" s="184">
        <v>150</v>
      </c>
      <c r="K283" s="75">
        <v>360</v>
      </c>
      <c r="L283" s="75">
        <v>1500</v>
      </c>
      <c r="M283" s="202">
        <v>21.066372314248159</v>
      </c>
      <c r="N283" s="87">
        <v>1327.1867594463658</v>
      </c>
      <c r="O283" s="123">
        <v>34925.788337705671</v>
      </c>
      <c r="P283" s="121">
        <v>43364.392101242331</v>
      </c>
      <c r="Q283" s="120">
        <v>21013.770756749404</v>
      </c>
      <c r="R283" s="314">
        <v>55939.559094455079</v>
      </c>
      <c r="S283" s="315">
        <v>64378.162857991731</v>
      </c>
      <c r="U283" s="7" t="s">
        <v>3625</v>
      </c>
    </row>
    <row r="284" spans="1:21" s="7" customFormat="1" ht="16.5" thickBot="1">
      <c r="A284" s="50" t="s">
        <v>35</v>
      </c>
      <c r="B284" s="51">
        <f t="shared" si="15"/>
        <v>150</v>
      </c>
      <c r="C284" s="51" t="s">
        <v>3</v>
      </c>
      <c r="D284" s="51">
        <f t="shared" si="16"/>
        <v>360</v>
      </c>
      <c r="E284" s="51" t="s">
        <v>3</v>
      </c>
      <c r="F284" s="99">
        <f t="shared" si="17"/>
        <v>1550</v>
      </c>
      <c r="G284" s="51" t="s">
        <v>3</v>
      </c>
      <c r="H284" s="48">
        <v>6</v>
      </c>
      <c r="I284" s="49" t="s">
        <v>47</v>
      </c>
      <c r="J284" s="184">
        <v>150</v>
      </c>
      <c r="K284" s="75">
        <v>360</v>
      </c>
      <c r="L284" s="75">
        <v>1550</v>
      </c>
      <c r="M284" s="202">
        <v>21.720929635730265</v>
      </c>
      <c r="N284" s="87">
        <v>1384.8905315962079</v>
      </c>
      <c r="O284" s="123">
        <v>35862.120248321597</v>
      </c>
      <c r="P284" s="121">
        <v>44546.49143769635</v>
      </c>
      <c r="Q284" s="120">
        <v>21567.367898252327</v>
      </c>
      <c r="R284" s="314">
        <v>57429.488146573924</v>
      </c>
      <c r="S284" s="315">
        <v>66113.859335948684</v>
      </c>
      <c r="U284" s="7" t="s">
        <v>3626</v>
      </c>
    </row>
    <row r="285" spans="1:21" s="7" customFormat="1" ht="16.5" thickBot="1">
      <c r="A285" s="47" t="s">
        <v>35</v>
      </c>
      <c r="B285" s="48">
        <f t="shared" si="15"/>
        <v>150</v>
      </c>
      <c r="C285" s="48" t="s">
        <v>3</v>
      </c>
      <c r="D285" s="48">
        <f t="shared" si="16"/>
        <v>360</v>
      </c>
      <c r="E285" s="48" t="s">
        <v>3</v>
      </c>
      <c r="F285" s="99">
        <f t="shared" si="17"/>
        <v>1600</v>
      </c>
      <c r="G285" s="48" t="s">
        <v>3</v>
      </c>
      <c r="H285" s="48">
        <v>6</v>
      </c>
      <c r="I285" s="49" t="s">
        <v>47</v>
      </c>
      <c r="J285" s="184">
        <v>150</v>
      </c>
      <c r="K285" s="75">
        <v>360</v>
      </c>
      <c r="L285" s="75">
        <v>1600</v>
      </c>
      <c r="M285" s="202">
        <v>22.375486957212367</v>
      </c>
      <c r="N285" s="87">
        <v>1442.5943037460499</v>
      </c>
      <c r="O285" s="123">
        <v>36798.536394955023</v>
      </c>
      <c r="P285" s="121">
        <v>45728.628399571513</v>
      </c>
      <c r="Q285" s="120">
        <v>22120.965039755254</v>
      </c>
      <c r="R285" s="314">
        <v>58919.501434710277</v>
      </c>
      <c r="S285" s="315">
        <v>67849.593439326767</v>
      </c>
      <c r="U285" s="7" t="s">
        <v>3627</v>
      </c>
    </row>
    <row r="286" spans="1:21" s="7" customFormat="1" ht="16.5" thickBot="1">
      <c r="A286" s="50" t="s">
        <v>35</v>
      </c>
      <c r="B286" s="51">
        <f t="shared" si="15"/>
        <v>150</v>
      </c>
      <c r="C286" s="51" t="s">
        <v>3</v>
      </c>
      <c r="D286" s="51">
        <f t="shared" si="16"/>
        <v>360</v>
      </c>
      <c r="E286" s="51" t="s">
        <v>3</v>
      </c>
      <c r="F286" s="99">
        <f t="shared" si="17"/>
        <v>1650</v>
      </c>
      <c r="G286" s="51" t="s">
        <v>3</v>
      </c>
      <c r="H286" s="48">
        <v>6</v>
      </c>
      <c r="I286" s="49" t="s">
        <v>47</v>
      </c>
      <c r="J286" s="184">
        <v>150</v>
      </c>
      <c r="K286" s="75">
        <v>360</v>
      </c>
      <c r="L286" s="75">
        <v>1650</v>
      </c>
      <c r="M286" s="202">
        <v>23.030044278694476</v>
      </c>
      <c r="N286" s="87">
        <v>1500.298075895892</v>
      </c>
      <c r="O286" s="123">
        <v>37735.030038724544</v>
      </c>
      <c r="P286" s="121">
        <v>46910.799898213852</v>
      </c>
      <c r="Q286" s="120">
        <v>22905.143959041456</v>
      </c>
      <c r="R286" s="314">
        <v>60640.173997766004</v>
      </c>
      <c r="S286" s="315">
        <v>69815.943857255304</v>
      </c>
      <c r="U286" s="7" t="s">
        <v>3628</v>
      </c>
    </row>
    <row r="287" spans="1:21" s="7" customFormat="1" ht="16.5" thickBot="1">
      <c r="A287" s="50" t="s">
        <v>35</v>
      </c>
      <c r="B287" s="51">
        <f t="shared" si="15"/>
        <v>150</v>
      </c>
      <c r="C287" s="51" t="s">
        <v>3</v>
      </c>
      <c r="D287" s="51">
        <f t="shared" si="16"/>
        <v>360</v>
      </c>
      <c r="E287" s="51" t="s">
        <v>3</v>
      </c>
      <c r="F287" s="99">
        <f t="shared" si="17"/>
        <v>1700</v>
      </c>
      <c r="G287" s="51" t="s">
        <v>3</v>
      </c>
      <c r="H287" s="48">
        <v>6</v>
      </c>
      <c r="I287" s="49" t="s">
        <v>47</v>
      </c>
      <c r="J287" s="184">
        <v>150</v>
      </c>
      <c r="K287" s="75">
        <v>360</v>
      </c>
      <c r="L287" s="75">
        <v>1700</v>
      </c>
      <c r="M287" s="202">
        <v>23.684601600176578</v>
      </c>
      <c r="N287" s="87">
        <v>1558.0018480457341</v>
      </c>
      <c r="O287" s="123">
        <v>38671.595283108945</v>
      </c>
      <c r="P287" s="121">
        <v>48093.00326614947</v>
      </c>
      <c r="Q287" s="120">
        <v>23458.741100544379</v>
      </c>
      <c r="R287" s="314">
        <v>62130.336383653324</v>
      </c>
      <c r="S287" s="315">
        <v>71551.744366693849</v>
      </c>
      <c r="U287" s="7" t="s">
        <v>3629</v>
      </c>
    </row>
    <row r="288" spans="1:21" s="7" customFormat="1" ht="16.5" thickBot="1">
      <c r="A288" s="50" t="s">
        <v>35</v>
      </c>
      <c r="B288" s="51">
        <f t="shared" si="15"/>
        <v>150</v>
      </c>
      <c r="C288" s="51" t="s">
        <v>3</v>
      </c>
      <c r="D288" s="51">
        <f t="shared" si="16"/>
        <v>360</v>
      </c>
      <c r="E288" s="51" t="s">
        <v>3</v>
      </c>
      <c r="F288" s="99">
        <f t="shared" si="17"/>
        <v>1750</v>
      </c>
      <c r="G288" s="51" t="s">
        <v>3</v>
      </c>
      <c r="H288" s="48">
        <v>6</v>
      </c>
      <c r="I288" s="49" t="s">
        <v>47</v>
      </c>
      <c r="J288" s="184">
        <v>150</v>
      </c>
      <c r="K288" s="75">
        <v>360</v>
      </c>
      <c r="L288" s="75">
        <v>1750</v>
      </c>
      <c r="M288" s="202">
        <v>24.339158921658683</v>
      </c>
      <c r="N288" s="87">
        <v>1615.7056201955759</v>
      </c>
      <c r="O288" s="123">
        <v>39608.226512373723</v>
      </c>
      <c r="P288" s="121">
        <v>49275.23625708458</v>
      </c>
      <c r="Q288" s="120">
        <v>24242.920019830581</v>
      </c>
      <c r="R288" s="314">
        <v>63851.146532204308</v>
      </c>
      <c r="S288" s="315">
        <v>73518.156276915164</v>
      </c>
      <c r="U288" s="7" t="s">
        <v>3630</v>
      </c>
    </row>
    <row r="289" spans="1:21" s="7" customFormat="1" ht="16.5" thickBot="1">
      <c r="A289" s="50" t="s">
        <v>35</v>
      </c>
      <c r="B289" s="51">
        <f t="shared" si="15"/>
        <v>150</v>
      </c>
      <c r="C289" s="51" t="s">
        <v>3</v>
      </c>
      <c r="D289" s="51">
        <f t="shared" si="16"/>
        <v>360</v>
      </c>
      <c r="E289" s="51" t="s">
        <v>3</v>
      </c>
      <c r="F289" s="99">
        <f t="shared" si="17"/>
        <v>1800</v>
      </c>
      <c r="G289" s="51" t="s">
        <v>3</v>
      </c>
      <c r="H289" s="48">
        <v>6</v>
      </c>
      <c r="I289" s="49" t="s">
        <v>47</v>
      </c>
      <c r="J289" s="184">
        <v>150</v>
      </c>
      <c r="K289" s="75">
        <v>360</v>
      </c>
      <c r="L289" s="75">
        <v>1800</v>
      </c>
      <c r="M289" s="202">
        <v>24.993716243140788</v>
      </c>
      <c r="N289" s="87">
        <v>1673.4093923454179</v>
      </c>
      <c r="O289" s="123">
        <v>40544.918812751181</v>
      </c>
      <c r="P289" s="121">
        <v>50457.496484332027</v>
      </c>
      <c r="Q289" s="120">
        <v>24796.517161333504</v>
      </c>
      <c r="R289" s="314">
        <v>65341.435974084685</v>
      </c>
      <c r="S289" s="315">
        <v>75254.013645665531</v>
      </c>
      <c r="U289" s="7" t="s">
        <v>3631</v>
      </c>
    </row>
    <row r="290" spans="1:21" s="7" customFormat="1" ht="16.5" thickBot="1">
      <c r="A290" s="50" t="s">
        <v>35</v>
      </c>
      <c r="B290" s="51">
        <f t="shared" si="15"/>
        <v>150</v>
      </c>
      <c r="C290" s="51" t="s">
        <v>3</v>
      </c>
      <c r="D290" s="51">
        <f t="shared" si="16"/>
        <v>360</v>
      </c>
      <c r="E290" s="51" t="s">
        <v>3</v>
      </c>
      <c r="F290" s="99">
        <f t="shared" si="17"/>
        <v>1850</v>
      </c>
      <c r="G290" s="51" t="s">
        <v>3</v>
      </c>
      <c r="H290" s="48">
        <v>6</v>
      </c>
      <c r="I290" s="49" t="s">
        <v>47</v>
      </c>
      <c r="J290" s="184">
        <v>150</v>
      </c>
      <c r="K290" s="75">
        <v>360</v>
      </c>
      <c r="L290" s="75">
        <v>1850</v>
      </c>
      <c r="M290" s="202">
        <v>25.648273564622897</v>
      </c>
      <c r="N290" s="87">
        <v>1731.1131644952598</v>
      </c>
      <c r="O290" s="123">
        <v>41481.667832047096</v>
      </c>
      <c r="P290" s="121">
        <v>51639.782122778073</v>
      </c>
      <c r="Q290" s="120">
        <v>25580.69622101307</v>
      </c>
      <c r="R290" s="314">
        <v>67062.36405306017</v>
      </c>
      <c r="S290" s="315">
        <v>77220.478343791139</v>
      </c>
      <c r="U290" s="7" t="s">
        <v>3632</v>
      </c>
    </row>
    <row r="291" spans="1:21" s="7" customFormat="1" ht="16.5" thickBot="1">
      <c r="A291" s="50" t="s">
        <v>35</v>
      </c>
      <c r="B291" s="51">
        <f t="shared" si="15"/>
        <v>150</v>
      </c>
      <c r="C291" s="51" t="s">
        <v>3</v>
      </c>
      <c r="D291" s="51">
        <f t="shared" si="16"/>
        <v>360</v>
      </c>
      <c r="E291" s="51" t="s">
        <v>3</v>
      </c>
      <c r="F291" s="99">
        <f t="shared" si="17"/>
        <v>1900</v>
      </c>
      <c r="G291" s="51" t="s">
        <v>3</v>
      </c>
      <c r="H291" s="48">
        <v>6</v>
      </c>
      <c r="I291" s="49" t="s">
        <v>47</v>
      </c>
      <c r="J291" s="184">
        <v>150</v>
      </c>
      <c r="K291" s="75">
        <v>360</v>
      </c>
      <c r="L291" s="75">
        <v>1900</v>
      </c>
      <c r="M291" s="202">
        <v>26.302830886104999</v>
      </c>
      <c r="N291" s="87">
        <v>1788.8169366451018</v>
      </c>
      <c r="O291" s="123">
        <v>42418.469498853949</v>
      </c>
      <c r="P291" s="121">
        <v>52822.091206915662</v>
      </c>
      <c r="Q291" s="120">
        <v>26134.293362515993</v>
      </c>
      <c r="R291" s="314">
        <v>68552.762861369934</v>
      </c>
      <c r="S291" s="315">
        <v>78956.384569431655</v>
      </c>
      <c r="U291" s="7" t="s">
        <v>3633</v>
      </c>
    </row>
    <row r="292" spans="1:21" s="7" customFormat="1" ht="16.5" thickBot="1">
      <c r="A292" s="50" t="s">
        <v>35</v>
      </c>
      <c r="B292" s="51">
        <f t="shared" si="15"/>
        <v>150</v>
      </c>
      <c r="C292" s="51" t="s">
        <v>3</v>
      </c>
      <c r="D292" s="51">
        <f t="shared" si="16"/>
        <v>360</v>
      </c>
      <c r="E292" s="51" t="s">
        <v>3</v>
      </c>
      <c r="F292" s="99">
        <f t="shared" si="17"/>
        <v>1950</v>
      </c>
      <c r="G292" s="51" t="s">
        <v>3</v>
      </c>
      <c r="H292" s="48">
        <v>6</v>
      </c>
      <c r="I292" s="49" t="s">
        <v>47</v>
      </c>
      <c r="J292" s="184">
        <v>150</v>
      </c>
      <c r="K292" s="75">
        <v>360</v>
      </c>
      <c r="L292" s="75">
        <v>1950</v>
      </c>
      <c r="M292" s="202">
        <v>27.075138207587106</v>
      </c>
      <c r="N292" s="87">
        <v>1846.5207087949439</v>
      </c>
      <c r="O292" s="123">
        <v>43478.04024739936</v>
      </c>
      <c r="P292" s="121">
        <v>54129.780548940951</v>
      </c>
      <c r="Q292" s="120">
        <v>26687.890504018917</v>
      </c>
      <c r="R292" s="314">
        <v>70165.930751418273</v>
      </c>
      <c r="S292" s="315">
        <v>80817.671052959864</v>
      </c>
      <c r="U292" s="7" t="s">
        <v>3634</v>
      </c>
    </row>
    <row r="293" spans="1:21" s="7" customFormat="1" ht="16.5" thickBot="1">
      <c r="A293" s="50" t="s">
        <v>35</v>
      </c>
      <c r="B293" s="51">
        <f t="shared" si="15"/>
        <v>150</v>
      </c>
      <c r="C293" s="51" t="s">
        <v>3</v>
      </c>
      <c r="D293" s="51">
        <f t="shared" si="16"/>
        <v>360</v>
      </c>
      <c r="E293" s="51" t="s">
        <v>3</v>
      </c>
      <c r="F293" s="99">
        <f t="shared" si="17"/>
        <v>2000</v>
      </c>
      <c r="G293" s="51" t="s">
        <v>3</v>
      </c>
      <c r="H293" s="48">
        <v>6</v>
      </c>
      <c r="I293" s="49" t="s">
        <v>47</v>
      </c>
      <c r="J293" s="184">
        <v>150</v>
      </c>
      <c r="K293" s="75">
        <v>360</v>
      </c>
      <c r="L293" s="75">
        <v>2000</v>
      </c>
      <c r="M293" s="202">
        <v>27.821257929069212</v>
      </c>
      <c r="N293" s="87">
        <v>1904.2244809447857</v>
      </c>
      <c r="O293" s="123">
        <v>44658.038877970284</v>
      </c>
      <c r="P293" s="121">
        <v>55637.543629504806</v>
      </c>
      <c r="Q293" s="120">
        <v>27472.069423305118</v>
      </c>
      <c r="R293" s="314">
        <v>72130.10830127541</v>
      </c>
      <c r="S293" s="315">
        <v>83109.613052809931</v>
      </c>
      <c r="U293" s="7" t="s">
        <v>3635</v>
      </c>
    </row>
    <row r="294" spans="1:21" s="7" customFormat="1" ht="16.5" thickBot="1">
      <c r="A294" s="50" t="s">
        <v>35</v>
      </c>
      <c r="B294" s="51">
        <f t="shared" si="15"/>
        <v>150</v>
      </c>
      <c r="C294" s="51" t="s">
        <v>3</v>
      </c>
      <c r="D294" s="51">
        <f t="shared" si="16"/>
        <v>360</v>
      </c>
      <c r="E294" s="51" t="s">
        <v>3</v>
      </c>
      <c r="F294" s="99">
        <f t="shared" si="17"/>
        <v>2050</v>
      </c>
      <c r="G294" s="51" t="s">
        <v>3</v>
      </c>
      <c r="H294" s="48">
        <v>6</v>
      </c>
      <c r="I294" s="49" t="s">
        <v>47</v>
      </c>
      <c r="J294" s="184">
        <v>150</v>
      </c>
      <c r="K294" s="75">
        <v>360</v>
      </c>
      <c r="L294" s="75">
        <v>2050</v>
      </c>
      <c r="M294" s="202">
        <v>28.475815250551314</v>
      </c>
      <c r="N294" s="87">
        <v>1961.9282530946277</v>
      </c>
      <c r="O294" s="123">
        <v>45594.958334808274</v>
      </c>
      <c r="P294" s="121">
        <v>56819.893427717521</v>
      </c>
      <c r="Q294" s="120">
        <v>28025.666564808042</v>
      </c>
      <c r="R294" s="314">
        <v>73620.624899616319</v>
      </c>
      <c r="S294" s="315">
        <v>84845.559992525566</v>
      </c>
      <c r="U294" s="7" t="s">
        <v>3636</v>
      </c>
    </row>
    <row r="295" spans="1:21" s="7" customFormat="1" ht="16.5" thickBot="1">
      <c r="A295" s="47" t="s">
        <v>35</v>
      </c>
      <c r="B295" s="48">
        <f t="shared" si="15"/>
        <v>150</v>
      </c>
      <c r="C295" s="48" t="s">
        <v>3</v>
      </c>
      <c r="D295" s="48">
        <f t="shared" si="16"/>
        <v>360</v>
      </c>
      <c r="E295" s="48" t="s">
        <v>3</v>
      </c>
      <c r="F295" s="99">
        <f t="shared" si="17"/>
        <v>2100</v>
      </c>
      <c r="G295" s="48" t="s">
        <v>3</v>
      </c>
      <c r="H295" s="48">
        <v>6</v>
      </c>
      <c r="I295" s="49" t="s">
        <v>47</v>
      </c>
      <c r="J295" s="184">
        <v>150</v>
      </c>
      <c r="K295" s="75">
        <v>360</v>
      </c>
      <c r="L295" s="75">
        <v>2100</v>
      </c>
      <c r="M295" s="202">
        <v>29.130372572033423</v>
      </c>
      <c r="N295" s="87">
        <v>2019.6320252444698</v>
      </c>
      <c r="O295" s="123">
        <v>46531.91836532802</v>
      </c>
      <c r="P295" s="121">
        <v>58002.261898247445</v>
      </c>
      <c r="Q295" s="120">
        <v>28809.845484094247</v>
      </c>
      <c r="R295" s="314">
        <v>75341.763849422263</v>
      </c>
      <c r="S295" s="315">
        <v>86812.107382341695</v>
      </c>
      <c r="U295" s="7" t="s">
        <v>3637</v>
      </c>
    </row>
    <row r="296" spans="1:21" s="7" customFormat="1" ht="16.5" thickBot="1">
      <c r="A296" s="50" t="s">
        <v>35</v>
      </c>
      <c r="B296" s="51">
        <f t="shared" si="15"/>
        <v>150</v>
      </c>
      <c r="C296" s="51" t="s">
        <v>3</v>
      </c>
      <c r="D296" s="51">
        <f t="shared" si="16"/>
        <v>360</v>
      </c>
      <c r="E296" s="51" t="s">
        <v>3</v>
      </c>
      <c r="F296" s="99">
        <f t="shared" si="17"/>
        <v>2150</v>
      </c>
      <c r="G296" s="51" t="s">
        <v>3</v>
      </c>
      <c r="H296" s="48">
        <v>6</v>
      </c>
      <c r="I296" s="49" t="s">
        <v>47</v>
      </c>
      <c r="J296" s="184">
        <v>150</v>
      </c>
      <c r="K296" s="75">
        <v>360</v>
      </c>
      <c r="L296" s="75">
        <v>2150</v>
      </c>
      <c r="M296" s="202">
        <v>29.784929893515525</v>
      </c>
      <c r="N296" s="87">
        <v>2077.3357973943121</v>
      </c>
      <c r="O296" s="123">
        <v>47468.916161662288</v>
      </c>
      <c r="P296" s="121">
        <v>59184.647917947688</v>
      </c>
      <c r="Q296" s="120">
        <v>29363.442625597167</v>
      </c>
      <c r="R296" s="314">
        <v>76832.358787259451</v>
      </c>
      <c r="S296" s="315">
        <v>88548.090543544851</v>
      </c>
      <c r="U296" s="7" t="s">
        <v>3638</v>
      </c>
    </row>
    <row r="297" spans="1:21" s="7" customFormat="1" ht="16.5" thickBot="1">
      <c r="A297" s="50" t="s">
        <v>35</v>
      </c>
      <c r="B297" s="51">
        <f t="shared" si="15"/>
        <v>150</v>
      </c>
      <c r="C297" s="51" t="s">
        <v>3</v>
      </c>
      <c r="D297" s="51">
        <f t="shared" si="16"/>
        <v>360</v>
      </c>
      <c r="E297" s="51" t="s">
        <v>3</v>
      </c>
      <c r="F297" s="99">
        <f t="shared" si="17"/>
        <v>2200</v>
      </c>
      <c r="G297" s="51" t="s">
        <v>3</v>
      </c>
      <c r="H297" s="48">
        <v>6</v>
      </c>
      <c r="I297" s="49" t="s">
        <v>47</v>
      </c>
      <c r="J297" s="184">
        <v>150</v>
      </c>
      <c r="K297" s="75">
        <v>360</v>
      </c>
      <c r="L297" s="75">
        <v>2200</v>
      </c>
      <c r="M297" s="202">
        <v>30.439487214997627</v>
      </c>
      <c r="N297" s="87">
        <v>2135.0395695441539</v>
      </c>
      <c r="O297" s="123">
        <v>48405.949758303985</v>
      </c>
      <c r="P297" s="121">
        <v>60367.05036367134</v>
      </c>
      <c r="Q297" s="120">
        <v>30147.621544883372</v>
      </c>
      <c r="R297" s="314">
        <v>78553.57130318736</v>
      </c>
      <c r="S297" s="315">
        <v>90514.671908554708</v>
      </c>
      <c r="U297" s="7" t="s">
        <v>3639</v>
      </c>
    </row>
    <row r="298" spans="1:21" s="7" customFormat="1" ht="16.5" thickBot="1">
      <c r="A298" s="50" t="s">
        <v>35</v>
      </c>
      <c r="B298" s="51">
        <f t="shared" si="15"/>
        <v>150</v>
      </c>
      <c r="C298" s="51" t="s">
        <v>3</v>
      </c>
      <c r="D298" s="51">
        <f t="shared" si="16"/>
        <v>360</v>
      </c>
      <c r="E298" s="51" t="s">
        <v>3</v>
      </c>
      <c r="F298" s="99">
        <f t="shared" si="17"/>
        <v>2250</v>
      </c>
      <c r="G298" s="51" t="s">
        <v>3</v>
      </c>
      <c r="H298" s="48">
        <v>6</v>
      </c>
      <c r="I298" s="49" t="s">
        <v>47</v>
      </c>
      <c r="J298" s="184">
        <v>150</v>
      </c>
      <c r="K298" s="75">
        <v>360</v>
      </c>
      <c r="L298" s="75">
        <v>2250</v>
      </c>
      <c r="M298" s="202">
        <v>31.094044536479736</v>
      </c>
      <c r="N298" s="87">
        <v>2192.7433416939957</v>
      </c>
      <c r="O298" s="123">
        <v>49343.016628172598</v>
      </c>
      <c r="P298" s="121">
        <v>61549.468393058225</v>
      </c>
      <c r="Q298" s="120">
        <v>30701.218686386295</v>
      </c>
      <c r="R298" s="314">
        <v>80044.2353145589</v>
      </c>
      <c r="S298" s="315">
        <v>92250.687079444528</v>
      </c>
      <c r="U298" s="7" t="s">
        <v>3640</v>
      </c>
    </row>
    <row r="299" spans="1:21" s="7" customFormat="1" ht="16.5" thickBot="1">
      <c r="A299" s="50" t="s">
        <v>35</v>
      </c>
      <c r="B299" s="51">
        <f t="shared" si="15"/>
        <v>150</v>
      </c>
      <c r="C299" s="51" t="s">
        <v>3</v>
      </c>
      <c r="D299" s="51">
        <f t="shared" si="16"/>
        <v>360</v>
      </c>
      <c r="E299" s="51" t="s">
        <v>3</v>
      </c>
      <c r="F299" s="99">
        <f t="shared" si="17"/>
        <v>2300</v>
      </c>
      <c r="G299" s="51" t="s">
        <v>3</v>
      </c>
      <c r="H299" s="48">
        <v>6</v>
      </c>
      <c r="I299" s="49" t="s">
        <v>47</v>
      </c>
      <c r="J299" s="184">
        <v>150</v>
      </c>
      <c r="K299" s="75">
        <v>360</v>
      </c>
      <c r="L299" s="75">
        <v>2300</v>
      </c>
      <c r="M299" s="202">
        <v>31.748601857961845</v>
      </c>
      <c r="N299" s="87">
        <v>2250.447113843838</v>
      </c>
      <c r="O299" s="123">
        <v>50280.115086547768</v>
      </c>
      <c r="P299" s="121">
        <v>62731.900882961454</v>
      </c>
      <c r="Q299" s="120">
        <v>31254.815827889219</v>
      </c>
      <c r="R299" s="314">
        <v>81534.930914436991</v>
      </c>
      <c r="S299" s="315">
        <v>93986.716710850669</v>
      </c>
      <c r="U299" s="7" t="s">
        <v>3641</v>
      </c>
    </row>
    <row r="300" spans="1:21" s="7" customFormat="1" ht="16.5" thickBot="1">
      <c r="A300" s="50" t="s">
        <v>35</v>
      </c>
      <c r="B300" s="51">
        <f t="shared" si="15"/>
        <v>150</v>
      </c>
      <c r="C300" s="51" t="s">
        <v>3</v>
      </c>
      <c r="D300" s="51">
        <f t="shared" si="16"/>
        <v>360</v>
      </c>
      <c r="E300" s="51" t="s">
        <v>3</v>
      </c>
      <c r="F300" s="99">
        <f t="shared" si="17"/>
        <v>2350</v>
      </c>
      <c r="G300" s="51" t="s">
        <v>3</v>
      </c>
      <c r="H300" s="48">
        <v>6</v>
      </c>
      <c r="I300" s="49" t="s">
        <v>47</v>
      </c>
      <c r="J300" s="184">
        <v>150</v>
      </c>
      <c r="K300" s="75">
        <v>360</v>
      </c>
      <c r="L300" s="75">
        <v>2350</v>
      </c>
      <c r="M300" s="202">
        <v>32.403159179443946</v>
      </c>
      <c r="N300" s="87">
        <v>2308.1508859936798</v>
      </c>
      <c r="O300" s="123">
        <v>51217.243167922301</v>
      </c>
      <c r="P300" s="121">
        <v>63914.347271807565</v>
      </c>
      <c r="Q300" s="120">
        <v>32038.99474717542</v>
      </c>
      <c r="R300" s="314">
        <v>83256.237915097721</v>
      </c>
      <c r="S300" s="315">
        <v>95953.342018982978</v>
      </c>
      <c r="U300" s="7" t="s">
        <v>3642</v>
      </c>
    </row>
    <row r="301" spans="1:21" s="7" customFormat="1" ht="16.5" thickBot="1">
      <c r="A301" s="50" t="s">
        <v>35</v>
      </c>
      <c r="B301" s="51">
        <f t="shared" si="15"/>
        <v>150</v>
      </c>
      <c r="C301" s="51" t="s">
        <v>3</v>
      </c>
      <c r="D301" s="51">
        <f t="shared" si="16"/>
        <v>360</v>
      </c>
      <c r="E301" s="51" t="s">
        <v>3</v>
      </c>
      <c r="F301" s="99">
        <f t="shared" si="17"/>
        <v>2400</v>
      </c>
      <c r="G301" s="51" t="s">
        <v>3</v>
      </c>
      <c r="H301" s="48">
        <v>6</v>
      </c>
      <c r="I301" s="49" t="s">
        <v>47</v>
      </c>
      <c r="J301" s="184">
        <v>150</v>
      </c>
      <c r="K301" s="75">
        <v>360</v>
      </c>
      <c r="L301" s="75">
        <v>2400</v>
      </c>
      <c r="M301" s="202">
        <v>33.057716500926048</v>
      </c>
      <c r="N301" s="87">
        <v>2365.8546581435216</v>
      </c>
      <c r="O301" s="123">
        <v>52154.399047182873</v>
      </c>
      <c r="P301" s="121">
        <v>65096.806576843024</v>
      </c>
      <c r="Q301" s="120">
        <v>32592.591888678344</v>
      </c>
      <c r="R301" s="314">
        <v>84746.99093586122</v>
      </c>
      <c r="S301" s="315">
        <v>97689.398465521372</v>
      </c>
      <c r="U301" s="7" t="s">
        <v>3643</v>
      </c>
    </row>
    <row r="302" spans="1:21" s="7" customFormat="1" ht="16.5" thickBot="1">
      <c r="A302" s="50" t="s">
        <v>35</v>
      </c>
      <c r="B302" s="51">
        <f t="shared" si="15"/>
        <v>150</v>
      </c>
      <c r="C302" s="51" t="s">
        <v>3</v>
      </c>
      <c r="D302" s="51">
        <f t="shared" si="16"/>
        <v>360</v>
      </c>
      <c r="E302" s="51" t="s">
        <v>3</v>
      </c>
      <c r="F302" s="99">
        <f t="shared" si="17"/>
        <v>2450</v>
      </c>
      <c r="G302" s="51" t="s">
        <v>3</v>
      </c>
      <c r="H302" s="48">
        <v>6</v>
      </c>
      <c r="I302" s="49" t="s">
        <v>47</v>
      </c>
      <c r="J302" s="184">
        <v>150</v>
      </c>
      <c r="K302" s="75">
        <v>360</v>
      </c>
      <c r="L302" s="75">
        <v>2450</v>
      </c>
      <c r="M302" s="202">
        <v>33.915503200708159</v>
      </c>
      <c r="N302" s="87">
        <v>2423.5584302933639</v>
      </c>
      <c r="O302" s="123">
        <v>53810.744915868083</v>
      </c>
      <c r="P302" s="121">
        <v>67011.9728038514</v>
      </c>
      <c r="Q302" s="120">
        <v>33376.770807964545</v>
      </c>
      <c r="R302" s="314">
        <v>87187.515723832621</v>
      </c>
      <c r="S302" s="315">
        <v>100388.74361181594</v>
      </c>
      <c r="U302" s="7" t="s">
        <v>3644</v>
      </c>
    </row>
    <row r="303" spans="1:21" s="7" customFormat="1" ht="16.5" thickBot="1">
      <c r="A303" s="50" t="s">
        <v>35</v>
      </c>
      <c r="B303" s="51">
        <f t="shared" si="15"/>
        <v>150</v>
      </c>
      <c r="C303" s="51" t="s">
        <v>3</v>
      </c>
      <c r="D303" s="51">
        <f t="shared" si="16"/>
        <v>360</v>
      </c>
      <c r="E303" s="51" t="s">
        <v>3</v>
      </c>
      <c r="F303" s="99">
        <f t="shared" si="17"/>
        <v>2500</v>
      </c>
      <c r="G303" s="51" t="s">
        <v>3</v>
      </c>
      <c r="H303" s="48">
        <v>6</v>
      </c>
      <c r="I303" s="49" t="s">
        <v>47</v>
      </c>
      <c r="J303" s="184">
        <v>150</v>
      </c>
      <c r="K303" s="75">
        <v>360</v>
      </c>
      <c r="L303" s="75">
        <v>2500</v>
      </c>
      <c r="M303" s="202">
        <v>34.570060522190261</v>
      </c>
      <c r="N303" s="87">
        <v>2481.2622024432058</v>
      </c>
      <c r="O303" s="123">
        <v>54747.860361840125</v>
      </c>
      <c r="P303" s="121">
        <v>68194.474367288974</v>
      </c>
      <c r="Q303" s="120">
        <v>33930.367949467472</v>
      </c>
      <c r="R303" s="314">
        <v>88678.228311307597</v>
      </c>
      <c r="S303" s="315">
        <v>102124.84231675645</v>
      </c>
      <c r="U303" s="7" t="s">
        <v>3645</v>
      </c>
    </row>
    <row r="304" spans="1:21" s="7" customFormat="1" ht="16.5" thickBot="1">
      <c r="A304" s="50" t="s">
        <v>35</v>
      </c>
      <c r="B304" s="51">
        <f t="shared" si="15"/>
        <v>150</v>
      </c>
      <c r="C304" s="51" t="s">
        <v>3</v>
      </c>
      <c r="D304" s="51">
        <f t="shared" si="16"/>
        <v>360</v>
      </c>
      <c r="E304" s="51" t="s">
        <v>3</v>
      </c>
      <c r="F304" s="99">
        <f t="shared" si="17"/>
        <v>2550</v>
      </c>
      <c r="G304" s="51" t="s">
        <v>3</v>
      </c>
      <c r="H304" s="48">
        <v>6</v>
      </c>
      <c r="I304" s="49" t="s">
        <v>47</v>
      </c>
      <c r="J304" s="184">
        <v>150</v>
      </c>
      <c r="K304" s="75">
        <v>360</v>
      </c>
      <c r="L304" s="75">
        <v>2550</v>
      </c>
      <c r="M304" s="202">
        <v>35.224617843672362</v>
      </c>
      <c r="N304" s="87">
        <v>2538.965974593048</v>
      </c>
      <c r="O304" s="123">
        <v>55685.002622944397</v>
      </c>
      <c r="P304" s="121">
        <v>69376.986179442014</v>
      </c>
      <c r="Q304" s="120">
        <v>34714.547009147034</v>
      </c>
      <c r="R304" s="314">
        <v>90399.549632091424</v>
      </c>
      <c r="S304" s="315">
        <v>104091.53318858905</v>
      </c>
      <c r="U304" s="7" t="s">
        <v>3646</v>
      </c>
    </row>
    <row r="305" spans="1:21" s="7" customFormat="1" ht="16.5" thickBot="1">
      <c r="A305" s="47" t="s">
        <v>35</v>
      </c>
      <c r="B305" s="48">
        <f t="shared" si="15"/>
        <v>150</v>
      </c>
      <c r="C305" s="48" t="s">
        <v>3</v>
      </c>
      <c r="D305" s="48">
        <f t="shared" si="16"/>
        <v>360</v>
      </c>
      <c r="E305" s="48" t="s">
        <v>3</v>
      </c>
      <c r="F305" s="99">
        <f t="shared" si="17"/>
        <v>2600</v>
      </c>
      <c r="G305" s="48" t="s">
        <v>3</v>
      </c>
      <c r="H305" s="48">
        <v>6</v>
      </c>
      <c r="I305" s="49" t="s">
        <v>47</v>
      </c>
      <c r="J305" s="184">
        <v>150</v>
      </c>
      <c r="K305" s="75">
        <v>360</v>
      </c>
      <c r="L305" s="75">
        <v>2600</v>
      </c>
      <c r="M305" s="202">
        <v>35.879175165154471</v>
      </c>
      <c r="N305" s="87">
        <v>2596.6697467428899</v>
      </c>
      <c r="O305" s="123">
        <v>55580.858265068455</v>
      </c>
      <c r="P305" s="121">
        <v>69234.440446301523</v>
      </c>
      <c r="Q305" s="120">
        <v>35268.144150649961</v>
      </c>
      <c r="R305" s="314">
        <v>90849.002415718423</v>
      </c>
      <c r="S305" s="315">
        <v>104502.58459695149</v>
      </c>
      <c r="U305" s="7" t="s">
        <v>3647</v>
      </c>
    </row>
    <row r="306" spans="1:21" s="7" customFormat="1" ht="16.5" thickBot="1">
      <c r="A306" s="50" t="s">
        <v>35</v>
      </c>
      <c r="B306" s="51">
        <f t="shared" si="15"/>
        <v>150</v>
      </c>
      <c r="C306" s="51" t="s">
        <v>3</v>
      </c>
      <c r="D306" s="51">
        <f t="shared" si="16"/>
        <v>360</v>
      </c>
      <c r="E306" s="51" t="s">
        <v>3</v>
      </c>
      <c r="F306" s="99">
        <f t="shared" si="17"/>
        <v>2650</v>
      </c>
      <c r="G306" s="51" t="s">
        <v>3</v>
      </c>
      <c r="H306" s="48">
        <v>6</v>
      </c>
      <c r="I306" s="49" t="s">
        <v>47</v>
      </c>
      <c r="J306" s="184">
        <v>150</v>
      </c>
      <c r="K306" s="75">
        <v>360</v>
      </c>
      <c r="L306" s="75">
        <v>2650</v>
      </c>
      <c r="M306" s="202">
        <v>36.53373248663658</v>
      </c>
      <c r="N306" s="87">
        <v>2654.3735188927317</v>
      </c>
      <c r="O306" s="123">
        <v>56796.501085657779</v>
      </c>
      <c r="P306" s="121">
        <v>70771.053380105601</v>
      </c>
      <c r="Q306" s="120">
        <v>36052.323069936159</v>
      </c>
      <c r="R306" s="314">
        <v>92848.824155593931</v>
      </c>
      <c r="S306" s="315">
        <v>106823.37645004176</v>
      </c>
      <c r="U306" s="7" t="s">
        <v>3648</v>
      </c>
    </row>
    <row r="307" spans="1:21" s="7" customFormat="1" ht="16.5" thickBot="1">
      <c r="A307" s="50" t="s">
        <v>35</v>
      </c>
      <c r="B307" s="51">
        <f t="shared" si="15"/>
        <v>150</v>
      </c>
      <c r="C307" s="51" t="s">
        <v>3</v>
      </c>
      <c r="D307" s="51">
        <f t="shared" si="16"/>
        <v>360</v>
      </c>
      <c r="E307" s="51" t="s">
        <v>3</v>
      </c>
      <c r="F307" s="99">
        <f t="shared" si="17"/>
        <v>2700</v>
      </c>
      <c r="G307" s="51" t="s">
        <v>3</v>
      </c>
      <c r="H307" s="48">
        <v>6</v>
      </c>
      <c r="I307" s="49" t="s">
        <v>47</v>
      </c>
      <c r="J307" s="184">
        <v>150</v>
      </c>
      <c r="K307" s="75">
        <v>360</v>
      </c>
      <c r="L307" s="75">
        <v>2700</v>
      </c>
      <c r="M307" s="202">
        <v>37.306039808118683</v>
      </c>
      <c r="N307" s="87">
        <v>2712.077291042574</v>
      </c>
      <c r="O307" s="123">
        <v>57858.76163063533</v>
      </c>
      <c r="P307" s="121">
        <v>72081.399526122841</v>
      </c>
      <c r="Q307" s="120">
        <v>36605.920211439086</v>
      </c>
      <c r="R307" s="314">
        <v>94464.681842074409</v>
      </c>
      <c r="S307" s="315">
        <v>108687.31973756192</v>
      </c>
      <c r="U307" s="7" t="s">
        <v>3649</v>
      </c>
    </row>
    <row r="308" spans="1:21" s="7" customFormat="1" ht="16.5" thickBot="1">
      <c r="A308" s="50" t="s">
        <v>35</v>
      </c>
      <c r="B308" s="51">
        <f t="shared" si="15"/>
        <v>150</v>
      </c>
      <c r="C308" s="51" t="s">
        <v>3</v>
      </c>
      <c r="D308" s="51">
        <f t="shared" si="16"/>
        <v>360</v>
      </c>
      <c r="E308" s="51" t="s">
        <v>3</v>
      </c>
      <c r="F308" s="99">
        <f t="shared" si="17"/>
        <v>2750</v>
      </c>
      <c r="G308" s="51" t="s">
        <v>3</v>
      </c>
      <c r="H308" s="48">
        <v>6</v>
      </c>
      <c r="I308" s="49" t="s">
        <v>47</v>
      </c>
      <c r="J308" s="184">
        <v>150</v>
      </c>
      <c r="K308" s="75">
        <v>360</v>
      </c>
      <c r="L308" s="75">
        <v>2750</v>
      </c>
      <c r="M308" s="202">
        <v>37.960597129600785</v>
      </c>
      <c r="N308" s="87">
        <v>2769.7810631924158</v>
      </c>
      <c r="O308" s="123">
        <v>58798.389696616025</v>
      </c>
      <c r="P308" s="121">
        <v>73266.762306288161</v>
      </c>
      <c r="Q308" s="120">
        <v>37159.517352942006</v>
      </c>
      <c r="R308" s="314">
        <v>95957.907049558038</v>
      </c>
      <c r="S308" s="315">
        <v>110426.27965923017</v>
      </c>
      <c r="U308" s="7" t="s">
        <v>3650</v>
      </c>
    </row>
    <row r="309" spans="1:21" s="7" customFormat="1" ht="16.5" thickBot="1">
      <c r="A309" s="50" t="s">
        <v>35</v>
      </c>
      <c r="B309" s="51">
        <f t="shared" si="15"/>
        <v>150</v>
      </c>
      <c r="C309" s="51" t="s">
        <v>3</v>
      </c>
      <c r="D309" s="51">
        <f t="shared" si="16"/>
        <v>360</v>
      </c>
      <c r="E309" s="51" t="s">
        <v>3</v>
      </c>
      <c r="F309" s="99">
        <f t="shared" si="17"/>
        <v>2800</v>
      </c>
      <c r="G309" s="51" t="s">
        <v>3</v>
      </c>
      <c r="H309" s="48">
        <v>6</v>
      </c>
      <c r="I309" s="49" t="s">
        <v>47</v>
      </c>
      <c r="J309" s="184">
        <v>150</v>
      </c>
      <c r="K309" s="75">
        <v>360</v>
      </c>
      <c r="L309" s="75">
        <v>2800</v>
      </c>
      <c r="M309" s="202">
        <v>38.615154451082894</v>
      </c>
      <c r="N309" s="87">
        <v>2827.4848353422581</v>
      </c>
      <c r="O309" s="123">
        <v>59738.027028558652</v>
      </c>
      <c r="P309" s="121">
        <v>74452.127473140645</v>
      </c>
      <c r="Q309" s="120">
        <v>37943.696272228204</v>
      </c>
      <c r="R309" s="314">
        <v>97681.723300786864</v>
      </c>
      <c r="S309" s="315">
        <v>112395.82374536885</v>
      </c>
      <c r="U309" s="7" t="s">
        <v>3651</v>
      </c>
    </row>
    <row r="310" spans="1:21" s="74" customFormat="1" ht="16.5" thickBot="1">
      <c r="A310" s="50" t="s">
        <v>35</v>
      </c>
      <c r="B310" s="51">
        <f t="shared" si="15"/>
        <v>150</v>
      </c>
      <c r="C310" s="51" t="s">
        <v>3</v>
      </c>
      <c r="D310" s="51">
        <f t="shared" si="16"/>
        <v>360</v>
      </c>
      <c r="E310" s="51" t="s">
        <v>3</v>
      </c>
      <c r="F310" s="99">
        <f t="shared" si="17"/>
        <v>2850</v>
      </c>
      <c r="G310" s="51" t="s">
        <v>3</v>
      </c>
      <c r="H310" s="48">
        <v>6</v>
      </c>
      <c r="I310" s="49" t="s">
        <v>47</v>
      </c>
      <c r="J310" s="184">
        <v>150</v>
      </c>
      <c r="K310" s="75">
        <v>360</v>
      </c>
      <c r="L310" s="75">
        <v>2850</v>
      </c>
      <c r="M310" s="202">
        <v>39.269711772564996</v>
      </c>
      <c r="N310" s="87">
        <v>2885.1886074920999</v>
      </c>
      <c r="O310" s="123">
        <v>60677.673205283114</v>
      </c>
      <c r="P310" s="121">
        <v>75637.49488628695</v>
      </c>
      <c r="Q310" s="120">
        <v>38497.293413731131</v>
      </c>
      <c r="R310" s="314">
        <v>99174.966619014245</v>
      </c>
      <c r="S310" s="315">
        <v>114134.78830001809</v>
      </c>
      <c r="U310" s="7" t="s">
        <v>3652</v>
      </c>
    </row>
    <row r="311" spans="1:21" s="74" customFormat="1" ht="16.5" thickBot="1">
      <c r="A311" s="50" t="s">
        <v>35</v>
      </c>
      <c r="B311" s="51">
        <f t="shared" si="15"/>
        <v>150</v>
      </c>
      <c r="C311" s="51" t="s">
        <v>3</v>
      </c>
      <c r="D311" s="51">
        <f t="shared" si="16"/>
        <v>360</v>
      </c>
      <c r="E311" s="51" t="s">
        <v>3</v>
      </c>
      <c r="F311" s="99">
        <f t="shared" si="17"/>
        <v>2900</v>
      </c>
      <c r="G311" s="51" t="s">
        <v>3</v>
      </c>
      <c r="H311" s="48">
        <v>6</v>
      </c>
      <c r="I311" s="49" t="s">
        <v>47</v>
      </c>
      <c r="J311" s="184">
        <v>150</v>
      </c>
      <c r="K311" s="75">
        <v>360</v>
      </c>
      <c r="L311" s="75">
        <v>2900</v>
      </c>
      <c r="M311" s="202">
        <v>39.924269094047098</v>
      </c>
      <c r="N311" s="87">
        <v>2942.8923796419417</v>
      </c>
      <c r="O311" s="123">
        <v>61617.327524822598</v>
      </c>
      <c r="P311" s="121">
        <v>76822.864264940159</v>
      </c>
      <c r="Q311" s="120">
        <v>39281.472333017329</v>
      </c>
      <c r="R311" s="314">
        <v>100898.79985783993</v>
      </c>
      <c r="S311" s="315">
        <v>116104.33659795749</v>
      </c>
      <c r="U311" s="7" t="s">
        <v>3653</v>
      </c>
    </row>
    <row r="312" spans="1:21" s="74" customFormat="1" ht="16.5" thickBot="1">
      <c r="A312" s="50" t="s">
        <v>35</v>
      </c>
      <c r="B312" s="51">
        <f t="shared" si="15"/>
        <v>150</v>
      </c>
      <c r="C312" s="51" t="s">
        <v>3</v>
      </c>
      <c r="D312" s="51">
        <f t="shared" si="16"/>
        <v>360</v>
      </c>
      <c r="E312" s="51" t="s">
        <v>3</v>
      </c>
      <c r="F312" s="99">
        <f t="shared" si="17"/>
        <v>2950</v>
      </c>
      <c r="G312" s="51" t="s">
        <v>3</v>
      </c>
      <c r="H312" s="48">
        <v>6</v>
      </c>
      <c r="I312" s="49" t="s">
        <v>47</v>
      </c>
      <c r="J312" s="184">
        <v>150</v>
      </c>
      <c r="K312" s="75">
        <v>360</v>
      </c>
      <c r="L312" s="75">
        <v>2950</v>
      </c>
      <c r="M312" s="202">
        <v>40.578826415529207</v>
      </c>
      <c r="N312" s="87">
        <v>3000.596151791784</v>
      </c>
      <c r="O312" s="123">
        <v>62556.989987177112</v>
      </c>
      <c r="P312" s="121">
        <v>78008.235609100739</v>
      </c>
      <c r="Q312" s="120">
        <v>39835.069474520256</v>
      </c>
      <c r="R312" s="314">
        <v>102392.05946169737</v>
      </c>
      <c r="S312" s="315">
        <v>117843.305083621</v>
      </c>
      <c r="U312" s="7" t="s">
        <v>3654</v>
      </c>
    </row>
    <row r="313" spans="1:21" s="74" customFormat="1" ht="16.5" thickBot="1">
      <c r="A313" s="52" t="s">
        <v>35</v>
      </c>
      <c r="B313" s="53">
        <f t="shared" si="15"/>
        <v>150</v>
      </c>
      <c r="C313" s="53" t="s">
        <v>3</v>
      </c>
      <c r="D313" s="53">
        <f t="shared" si="16"/>
        <v>360</v>
      </c>
      <c r="E313" s="53" t="s">
        <v>3</v>
      </c>
      <c r="F313" s="100">
        <f t="shared" si="17"/>
        <v>3000</v>
      </c>
      <c r="G313" s="53" t="s">
        <v>3</v>
      </c>
      <c r="H313" s="48">
        <v>6</v>
      </c>
      <c r="I313" s="54" t="s">
        <v>47</v>
      </c>
      <c r="J313" s="186">
        <v>150</v>
      </c>
      <c r="K313" s="147">
        <v>360</v>
      </c>
      <c r="L313" s="147">
        <v>3000</v>
      </c>
      <c r="M313" s="209">
        <v>41.233383737011309</v>
      </c>
      <c r="N313" s="148">
        <v>3058.2999239416258</v>
      </c>
      <c r="O313" s="149">
        <v>64459.940026140772</v>
      </c>
      <c r="P313" s="158">
        <v>79193.608918768252</v>
      </c>
      <c r="Q313" s="159">
        <v>40619.248393806454</v>
      </c>
      <c r="R313" s="316">
        <v>105079.18841994723</v>
      </c>
      <c r="S313" s="317">
        <v>119812.85731257471</v>
      </c>
      <c r="U313" s="7" t="s">
        <v>3655</v>
      </c>
    </row>
    <row r="314" spans="1:21" ht="22.5" customHeight="1" thickBot="1">
      <c r="A314" s="2621" t="s">
        <v>49</v>
      </c>
      <c r="B314" s="2622"/>
      <c r="C314" s="2622"/>
      <c r="D314" s="2622"/>
      <c r="E314" s="2622"/>
      <c r="F314" s="2622"/>
      <c r="G314" s="2622"/>
      <c r="H314" s="2622"/>
      <c r="I314" s="2622"/>
      <c r="J314" s="2622"/>
      <c r="K314" s="2622"/>
      <c r="L314" s="2622"/>
      <c r="M314" s="2622"/>
      <c r="N314" s="2622"/>
      <c r="O314" s="2622"/>
      <c r="P314" s="2622"/>
      <c r="Q314" s="2622"/>
      <c r="R314" s="2622"/>
      <c r="S314" s="2623"/>
      <c r="U314" s="7"/>
    </row>
    <row r="315" spans="1:21" ht="16.5" thickBot="1">
      <c r="A315" s="2583" t="s">
        <v>140</v>
      </c>
      <c r="B315" s="2584"/>
      <c r="C315" s="2584"/>
      <c r="D315" s="2584"/>
      <c r="E315" s="2584"/>
      <c r="F315" s="2584"/>
      <c r="G315" s="2584"/>
      <c r="H315" s="2584"/>
      <c r="I315" s="2584"/>
      <c r="J315" s="2584"/>
      <c r="K315" s="2584"/>
      <c r="L315" s="2584"/>
      <c r="M315" s="2584"/>
      <c r="N315" s="2584"/>
      <c r="O315" s="2584"/>
      <c r="P315" s="2584"/>
      <c r="Q315" s="2584"/>
      <c r="R315" s="2584"/>
      <c r="S315" s="2585"/>
      <c r="U315" s="7"/>
    </row>
    <row r="316" spans="1:21" ht="16.5" thickBot="1">
      <c r="A316" s="47" t="s">
        <v>35</v>
      </c>
      <c r="B316" s="48">
        <f>J316</f>
        <v>150</v>
      </c>
      <c r="C316" s="48" t="s">
        <v>3</v>
      </c>
      <c r="D316" s="48">
        <f>K316</f>
        <v>360</v>
      </c>
      <c r="E316" s="48" t="s">
        <v>3</v>
      </c>
      <c r="F316" s="99">
        <f>L316</f>
        <v>600</v>
      </c>
      <c r="G316" s="48" t="s">
        <v>3</v>
      </c>
      <c r="H316" s="48">
        <v>8</v>
      </c>
      <c r="I316" s="49" t="s">
        <v>47</v>
      </c>
      <c r="J316" s="181">
        <v>150</v>
      </c>
      <c r="K316" s="143">
        <v>360</v>
      </c>
      <c r="L316" s="143">
        <v>600</v>
      </c>
      <c r="M316" s="201">
        <v>9.5566659685042126</v>
      </c>
      <c r="N316" s="144">
        <v>317.05369313099999</v>
      </c>
      <c r="O316" s="145">
        <v>19596.240315378003</v>
      </c>
      <c r="P316" s="183">
        <v>23275.000585405691</v>
      </c>
      <c r="Q316" s="169">
        <v>9204.3678470371888</v>
      </c>
      <c r="R316" s="312">
        <v>28800.608162415192</v>
      </c>
      <c r="S316" s="313">
        <v>32479.36843244288</v>
      </c>
      <c r="U316" s="7" t="s">
        <v>3656</v>
      </c>
    </row>
    <row r="317" spans="1:21" ht="16.5" thickBot="1">
      <c r="A317" s="50" t="s">
        <v>35</v>
      </c>
      <c r="B317" s="51">
        <f t="shared" ref="B317:B364" si="18">J317</f>
        <v>150</v>
      </c>
      <c r="C317" s="51" t="s">
        <v>3</v>
      </c>
      <c r="D317" s="51">
        <f t="shared" ref="D317:D364" si="19">K317</f>
        <v>360</v>
      </c>
      <c r="E317" s="51" t="s">
        <v>3</v>
      </c>
      <c r="F317" s="99">
        <f t="shared" ref="F317:F364" si="20">L317</f>
        <v>650</v>
      </c>
      <c r="G317" s="51" t="s">
        <v>3</v>
      </c>
      <c r="H317" s="48">
        <v>8</v>
      </c>
      <c r="I317" s="49" t="s">
        <v>47</v>
      </c>
      <c r="J317" s="184">
        <v>150</v>
      </c>
      <c r="K317" s="75">
        <v>360</v>
      </c>
      <c r="L317" s="75">
        <v>650</v>
      </c>
      <c r="M317" s="202">
        <v>10.277845679866315</v>
      </c>
      <c r="N317" s="87">
        <v>380.46443175719997</v>
      </c>
      <c r="O317" s="123">
        <v>20755.997732910491</v>
      </c>
      <c r="P317" s="121">
        <v>24660.289550685608</v>
      </c>
      <c r="Q317" s="120">
        <v>9757.9649885401141</v>
      </c>
      <c r="R317" s="314">
        <v>30513.962721450604</v>
      </c>
      <c r="S317" s="315">
        <v>34418.254539225723</v>
      </c>
      <c r="U317" s="7" t="s">
        <v>3657</v>
      </c>
    </row>
    <row r="318" spans="1:21" ht="16.5" thickBot="1">
      <c r="A318" s="50" t="s">
        <v>35</v>
      </c>
      <c r="B318" s="51">
        <f t="shared" si="18"/>
        <v>150</v>
      </c>
      <c r="C318" s="51" t="s">
        <v>3</v>
      </c>
      <c r="D318" s="51">
        <f t="shared" si="19"/>
        <v>360</v>
      </c>
      <c r="E318" s="51" t="s">
        <v>3</v>
      </c>
      <c r="F318" s="99">
        <f t="shared" si="20"/>
        <v>700</v>
      </c>
      <c r="G318" s="51" t="s">
        <v>3</v>
      </c>
      <c r="H318" s="48">
        <v>8</v>
      </c>
      <c r="I318" s="49" t="s">
        <v>47</v>
      </c>
      <c r="J318" s="184">
        <v>150</v>
      </c>
      <c r="K318" s="75">
        <v>360</v>
      </c>
      <c r="L318" s="75">
        <v>700</v>
      </c>
      <c r="M318" s="202">
        <v>11.01606539122842</v>
      </c>
      <c r="N318" s="87">
        <v>443.8751703833999</v>
      </c>
      <c r="O318" s="123">
        <v>21915.755290836343</v>
      </c>
      <c r="P318" s="121">
        <v>26045.578656358881</v>
      </c>
      <c r="Q318" s="120">
        <v>10542.143907826316</v>
      </c>
      <c r="R318" s="314">
        <v>32457.899198662657</v>
      </c>
      <c r="S318" s="315">
        <v>36587.722564185198</v>
      </c>
      <c r="U318" s="7" t="s">
        <v>3658</v>
      </c>
    </row>
    <row r="319" spans="1:21" ht="16.5" thickBot="1">
      <c r="A319" s="50" t="s">
        <v>35</v>
      </c>
      <c r="B319" s="51">
        <f t="shared" si="18"/>
        <v>150</v>
      </c>
      <c r="C319" s="51" t="s">
        <v>3</v>
      </c>
      <c r="D319" s="51">
        <f t="shared" si="19"/>
        <v>360</v>
      </c>
      <c r="E319" s="51" t="s">
        <v>3</v>
      </c>
      <c r="F319" s="99">
        <f t="shared" si="20"/>
        <v>750</v>
      </c>
      <c r="G319" s="51" t="s">
        <v>3</v>
      </c>
      <c r="H319" s="48">
        <v>8</v>
      </c>
      <c r="I319" s="49" t="s">
        <v>47</v>
      </c>
      <c r="J319" s="184">
        <v>150</v>
      </c>
      <c r="K319" s="75">
        <v>360</v>
      </c>
      <c r="L319" s="75">
        <v>750</v>
      </c>
      <c r="M319" s="202">
        <v>11.737245102590524</v>
      </c>
      <c r="N319" s="87">
        <v>507.28590900959989</v>
      </c>
      <c r="O319" s="123">
        <v>23075.512708368828</v>
      </c>
      <c r="P319" s="121">
        <v>27430.86762163879</v>
      </c>
      <c r="Q319" s="120">
        <v>11095.741049329239</v>
      </c>
      <c r="R319" s="314">
        <v>34171.253757698069</v>
      </c>
      <c r="S319" s="315">
        <v>38526.608670968031</v>
      </c>
      <c r="U319" s="7" t="s">
        <v>3659</v>
      </c>
    </row>
    <row r="320" spans="1:21" ht="16.5" thickBot="1">
      <c r="A320" s="50" t="s">
        <v>35</v>
      </c>
      <c r="B320" s="51">
        <f t="shared" si="18"/>
        <v>150</v>
      </c>
      <c r="C320" s="51" t="s">
        <v>3</v>
      </c>
      <c r="D320" s="51">
        <f t="shared" si="19"/>
        <v>360</v>
      </c>
      <c r="E320" s="51" t="s">
        <v>3</v>
      </c>
      <c r="F320" s="99">
        <f t="shared" si="20"/>
        <v>800</v>
      </c>
      <c r="G320" s="51" t="s">
        <v>3</v>
      </c>
      <c r="H320" s="48">
        <v>8</v>
      </c>
      <c r="I320" s="49" t="s">
        <v>47</v>
      </c>
      <c r="J320" s="184">
        <v>150</v>
      </c>
      <c r="K320" s="75">
        <v>360</v>
      </c>
      <c r="L320" s="75">
        <v>800</v>
      </c>
      <c r="M320" s="202">
        <v>12.458424813952632</v>
      </c>
      <c r="N320" s="87">
        <v>570.69664763579988</v>
      </c>
      <c r="O320" s="123">
        <v>24235.270125901319</v>
      </c>
      <c r="P320" s="121">
        <v>28816.156586918707</v>
      </c>
      <c r="Q320" s="120">
        <v>11649.338190832164</v>
      </c>
      <c r="R320" s="314">
        <v>35884.608316733487</v>
      </c>
      <c r="S320" s="315">
        <v>40465.494777750871</v>
      </c>
      <c r="U320" s="7" t="s">
        <v>3660</v>
      </c>
    </row>
    <row r="321" spans="1:21" ht="16.5" thickBot="1">
      <c r="A321" s="50" t="s">
        <v>35</v>
      </c>
      <c r="B321" s="51">
        <f t="shared" si="18"/>
        <v>150</v>
      </c>
      <c r="C321" s="51" t="s">
        <v>3</v>
      </c>
      <c r="D321" s="51">
        <f t="shared" si="19"/>
        <v>360</v>
      </c>
      <c r="E321" s="51" t="s">
        <v>3</v>
      </c>
      <c r="F321" s="99">
        <f t="shared" si="20"/>
        <v>850</v>
      </c>
      <c r="G321" s="51" t="s">
        <v>3</v>
      </c>
      <c r="H321" s="48">
        <v>8</v>
      </c>
      <c r="I321" s="49" t="s">
        <v>47</v>
      </c>
      <c r="J321" s="184">
        <v>150</v>
      </c>
      <c r="K321" s="75">
        <v>360</v>
      </c>
      <c r="L321" s="75">
        <v>850</v>
      </c>
      <c r="M321" s="202">
        <v>13.196644525314738</v>
      </c>
      <c r="N321" s="87">
        <v>634.10738626199998</v>
      </c>
      <c r="O321" s="123">
        <v>25395.027683827167</v>
      </c>
      <c r="P321" s="121">
        <v>30201.44569259198</v>
      </c>
      <c r="Q321" s="120">
        <v>12433.517110118366</v>
      </c>
      <c r="R321" s="314">
        <v>37828.544793945533</v>
      </c>
      <c r="S321" s="315">
        <v>42634.962802710346</v>
      </c>
      <c r="U321" s="7" t="s">
        <v>3661</v>
      </c>
    </row>
    <row r="322" spans="1:21" ht="16.5" thickBot="1">
      <c r="A322" s="50" t="s">
        <v>35</v>
      </c>
      <c r="B322" s="51">
        <f t="shared" si="18"/>
        <v>150</v>
      </c>
      <c r="C322" s="51" t="s">
        <v>3</v>
      </c>
      <c r="D322" s="51">
        <f t="shared" si="19"/>
        <v>360</v>
      </c>
      <c r="E322" s="51" t="s">
        <v>3</v>
      </c>
      <c r="F322" s="99">
        <f t="shared" si="20"/>
        <v>900</v>
      </c>
      <c r="G322" s="51" t="s">
        <v>3</v>
      </c>
      <c r="H322" s="48">
        <v>8</v>
      </c>
      <c r="I322" s="49" t="s">
        <v>47</v>
      </c>
      <c r="J322" s="184">
        <v>150</v>
      </c>
      <c r="K322" s="75">
        <v>360</v>
      </c>
      <c r="L322" s="75">
        <v>900</v>
      </c>
      <c r="M322" s="202">
        <v>13.917824236676843</v>
      </c>
      <c r="N322" s="87">
        <v>697.51812488819985</v>
      </c>
      <c r="O322" s="123">
        <v>26554.785101359517</v>
      </c>
      <c r="P322" s="121">
        <v>31586.734657871893</v>
      </c>
      <c r="Q322" s="120">
        <v>12987.114251621291</v>
      </c>
      <c r="R322" s="314">
        <v>39541.899352980807</v>
      </c>
      <c r="S322" s="315">
        <v>44573.848909493187</v>
      </c>
      <c r="U322" s="7" t="s">
        <v>3662</v>
      </c>
    </row>
    <row r="323" spans="1:21" ht="16.5" thickBot="1">
      <c r="A323" s="50" t="s">
        <v>35</v>
      </c>
      <c r="B323" s="51">
        <f t="shared" si="18"/>
        <v>150</v>
      </c>
      <c r="C323" s="51" t="s">
        <v>3</v>
      </c>
      <c r="D323" s="51">
        <f t="shared" si="19"/>
        <v>360</v>
      </c>
      <c r="E323" s="51" t="s">
        <v>3</v>
      </c>
      <c r="F323" s="99">
        <f t="shared" si="20"/>
        <v>950</v>
      </c>
      <c r="G323" s="51" t="s">
        <v>3</v>
      </c>
      <c r="H323" s="48">
        <v>8</v>
      </c>
      <c r="I323" s="49" t="s">
        <v>47</v>
      </c>
      <c r="J323" s="184">
        <v>150</v>
      </c>
      <c r="K323" s="75">
        <v>360</v>
      </c>
      <c r="L323" s="75">
        <v>950</v>
      </c>
      <c r="M323" s="202">
        <v>14.656043948038949</v>
      </c>
      <c r="N323" s="87">
        <v>760.92886351439995</v>
      </c>
      <c r="O323" s="123">
        <v>27714.542659285504</v>
      </c>
      <c r="P323" s="121">
        <v>32972.02376354517</v>
      </c>
      <c r="Q323" s="120">
        <v>13771.293170907491</v>
      </c>
      <c r="R323" s="314">
        <v>41485.835830192998</v>
      </c>
      <c r="S323" s="315">
        <v>46743.316934452661</v>
      </c>
      <c r="U323" s="7" t="s">
        <v>3663</v>
      </c>
    </row>
    <row r="324" spans="1:21" ht="16.5" thickBot="1">
      <c r="A324" s="50" t="s">
        <v>35</v>
      </c>
      <c r="B324" s="51">
        <f t="shared" si="18"/>
        <v>150</v>
      </c>
      <c r="C324" s="51" t="s">
        <v>3</v>
      </c>
      <c r="D324" s="51">
        <f t="shared" si="19"/>
        <v>360</v>
      </c>
      <c r="E324" s="51" t="s">
        <v>3</v>
      </c>
      <c r="F324" s="99">
        <f t="shared" si="20"/>
        <v>1000</v>
      </c>
      <c r="G324" s="51" t="s">
        <v>3</v>
      </c>
      <c r="H324" s="48">
        <v>8</v>
      </c>
      <c r="I324" s="49" t="s">
        <v>47</v>
      </c>
      <c r="J324" s="184">
        <v>150</v>
      </c>
      <c r="K324" s="75">
        <v>360</v>
      </c>
      <c r="L324" s="75">
        <v>1000</v>
      </c>
      <c r="M324" s="202">
        <v>15.377223659401054</v>
      </c>
      <c r="N324" s="87">
        <v>824.33960214059994</v>
      </c>
      <c r="O324" s="123">
        <v>28874.300076817995</v>
      </c>
      <c r="P324" s="121">
        <v>34357.312728825083</v>
      </c>
      <c r="Q324" s="120">
        <v>14324.890312410414</v>
      </c>
      <c r="R324" s="314">
        <v>43199.19038922841</v>
      </c>
      <c r="S324" s="315">
        <v>48682.203041235494</v>
      </c>
      <c r="U324" s="7" t="s">
        <v>3664</v>
      </c>
    </row>
    <row r="325" spans="1:21" ht="16.5" thickBot="1">
      <c r="A325" s="50" t="s">
        <v>35</v>
      </c>
      <c r="B325" s="51">
        <f t="shared" si="18"/>
        <v>150</v>
      </c>
      <c r="C325" s="51" t="s">
        <v>3</v>
      </c>
      <c r="D325" s="51">
        <f t="shared" si="19"/>
        <v>360</v>
      </c>
      <c r="E325" s="51" t="s">
        <v>3</v>
      </c>
      <c r="F325" s="99">
        <f t="shared" si="20"/>
        <v>1050</v>
      </c>
      <c r="G325" s="51" t="s">
        <v>3</v>
      </c>
      <c r="H325" s="48">
        <v>8</v>
      </c>
      <c r="I325" s="49" t="s">
        <v>47</v>
      </c>
      <c r="J325" s="184">
        <v>150</v>
      </c>
      <c r="K325" s="75">
        <v>360</v>
      </c>
      <c r="L325" s="75">
        <v>1050</v>
      </c>
      <c r="M325" s="202">
        <v>16.11544337076316</v>
      </c>
      <c r="N325" s="87">
        <v>887.75034076679981</v>
      </c>
      <c r="O325" s="123">
        <v>30034.05749435048</v>
      </c>
      <c r="P325" s="121">
        <v>35742.601834498353</v>
      </c>
      <c r="Q325" s="120">
        <v>15109.069231696616</v>
      </c>
      <c r="R325" s="314">
        <v>45143.126726047092</v>
      </c>
      <c r="S325" s="315">
        <v>50851.671066194969</v>
      </c>
      <c r="U325" s="7" t="s">
        <v>3665</v>
      </c>
    </row>
    <row r="326" spans="1:21" ht="16.5" thickBot="1">
      <c r="A326" s="47" t="s">
        <v>35</v>
      </c>
      <c r="B326" s="48">
        <f t="shared" si="18"/>
        <v>150</v>
      </c>
      <c r="C326" s="48" t="s">
        <v>3</v>
      </c>
      <c r="D326" s="48">
        <f t="shared" si="19"/>
        <v>360</v>
      </c>
      <c r="E326" s="48" t="s">
        <v>3</v>
      </c>
      <c r="F326" s="99">
        <f t="shared" si="20"/>
        <v>1100</v>
      </c>
      <c r="G326" s="48" t="s">
        <v>3</v>
      </c>
      <c r="H326" s="48">
        <v>8</v>
      </c>
      <c r="I326" s="49" t="s">
        <v>47</v>
      </c>
      <c r="J326" s="184">
        <v>150</v>
      </c>
      <c r="K326" s="75">
        <v>360</v>
      </c>
      <c r="L326" s="75">
        <v>1100</v>
      </c>
      <c r="M326" s="202">
        <v>16.836623082125264</v>
      </c>
      <c r="N326" s="87">
        <v>951.16107939299991</v>
      </c>
      <c r="O326" s="123">
        <v>31193.815052276332</v>
      </c>
      <c r="P326" s="121">
        <v>37127.890799778274</v>
      </c>
      <c r="Q326" s="120">
        <v>15662.66637319954</v>
      </c>
      <c r="R326" s="314">
        <v>46856.481425475868</v>
      </c>
      <c r="S326" s="315">
        <v>52790.557172977817</v>
      </c>
      <c r="U326" s="7" t="s">
        <v>3666</v>
      </c>
    </row>
    <row r="327" spans="1:21" ht="16.5" thickBot="1">
      <c r="A327" s="50" t="s">
        <v>35</v>
      </c>
      <c r="B327" s="51">
        <f t="shared" si="18"/>
        <v>150</v>
      </c>
      <c r="C327" s="51" t="s">
        <v>3</v>
      </c>
      <c r="D327" s="51">
        <f t="shared" si="19"/>
        <v>360</v>
      </c>
      <c r="E327" s="51" t="s">
        <v>3</v>
      </c>
      <c r="F327" s="99">
        <f t="shared" si="20"/>
        <v>1150</v>
      </c>
      <c r="G327" s="51" t="s">
        <v>3</v>
      </c>
      <c r="H327" s="48">
        <v>8</v>
      </c>
      <c r="I327" s="49" t="s">
        <v>47</v>
      </c>
      <c r="J327" s="184">
        <v>150</v>
      </c>
      <c r="K327" s="75">
        <v>360</v>
      </c>
      <c r="L327" s="75">
        <v>1150</v>
      </c>
      <c r="M327" s="202">
        <v>17.557802793487369</v>
      </c>
      <c r="N327" s="87">
        <v>1014.5718180191998</v>
      </c>
      <c r="O327" s="123">
        <v>32353.57246980882</v>
      </c>
      <c r="P327" s="121">
        <v>38513.179765058179</v>
      </c>
      <c r="Q327" s="120">
        <v>16216.263514702467</v>
      </c>
      <c r="R327" s="314">
        <v>48569.835984511286</v>
      </c>
      <c r="S327" s="315">
        <v>54729.443279760642</v>
      </c>
      <c r="U327" s="7" t="s">
        <v>3667</v>
      </c>
    </row>
    <row r="328" spans="1:21" ht="16.5" thickBot="1">
      <c r="A328" s="50" t="s">
        <v>35</v>
      </c>
      <c r="B328" s="51">
        <f t="shared" si="18"/>
        <v>150</v>
      </c>
      <c r="C328" s="51" t="s">
        <v>3</v>
      </c>
      <c r="D328" s="51">
        <f t="shared" si="19"/>
        <v>360</v>
      </c>
      <c r="E328" s="51" t="s">
        <v>3</v>
      </c>
      <c r="F328" s="99">
        <f t="shared" si="20"/>
        <v>1200</v>
      </c>
      <c r="G328" s="51" t="s">
        <v>3</v>
      </c>
      <c r="H328" s="48">
        <v>8</v>
      </c>
      <c r="I328" s="49" t="s">
        <v>47</v>
      </c>
      <c r="J328" s="184">
        <v>150</v>
      </c>
      <c r="K328" s="75">
        <v>360</v>
      </c>
      <c r="L328" s="75">
        <v>1200</v>
      </c>
      <c r="M328" s="202">
        <v>18.453022504849475</v>
      </c>
      <c r="N328" s="87">
        <v>1077.9825566453999</v>
      </c>
      <c r="O328" s="123">
        <v>33667.638759145586</v>
      </c>
      <c r="P328" s="121">
        <v>40053.719641604745</v>
      </c>
      <c r="Q328" s="120">
        <v>17000.442574382028</v>
      </c>
      <c r="R328" s="314">
        <v>50668.081333527618</v>
      </c>
      <c r="S328" s="315">
        <v>57054.162215986769</v>
      </c>
      <c r="U328" s="7" t="s">
        <v>3668</v>
      </c>
    </row>
    <row r="329" spans="1:21" s="7" customFormat="1" ht="16.5" thickBot="1">
      <c r="A329" s="50" t="s">
        <v>35</v>
      </c>
      <c r="B329" s="51">
        <f t="shared" si="18"/>
        <v>150</v>
      </c>
      <c r="C329" s="51" t="s">
        <v>3</v>
      </c>
      <c r="D329" s="51">
        <f t="shared" si="19"/>
        <v>360</v>
      </c>
      <c r="E329" s="51" t="s">
        <v>3</v>
      </c>
      <c r="F329" s="99">
        <f t="shared" si="20"/>
        <v>1250</v>
      </c>
      <c r="G329" s="51" t="s">
        <v>3</v>
      </c>
      <c r="H329" s="48">
        <v>8</v>
      </c>
      <c r="I329" s="49" t="s">
        <v>47</v>
      </c>
      <c r="J329" s="184">
        <v>150</v>
      </c>
      <c r="K329" s="75">
        <v>360</v>
      </c>
      <c r="L329" s="75">
        <v>1250</v>
      </c>
      <c r="M329" s="202">
        <v>19.174202216211579</v>
      </c>
      <c r="N329" s="87">
        <v>1141.3932952715998</v>
      </c>
      <c r="O329" s="123">
        <v>34827.39617667807</v>
      </c>
      <c r="P329" s="121">
        <v>41439.008747278021</v>
      </c>
      <c r="Q329" s="120">
        <v>17554.039715884952</v>
      </c>
      <c r="R329" s="314">
        <v>52381.435892563022</v>
      </c>
      <c r="S329" s="315">
        <v>58993.048463162973</v>
      </c>
      <c r="U329" s="7" t="s">
        <v>3669</v>
      </c>
    </row>
    <row r="330" spans="1:21" s="7" customFormat="1" ht="16.5" thickBot="1">
      <c r="A330" s="50" t="s">
        <v>35</v>
      </c>
      <c r="B330" s="51">
        <f t="shared" si="18"/>
        <v>150</v>
      </c>
      <c r="C330" s="51" t="s">
        <v>3</v>
      </c>
      <c r="D330" s="51">
        <f t="shared" si="19"/>
        <v>360</v>
      </c>
      <c r="E330" s="51" t="s">
        <v>3</v>
      </c>
      <c r="F330" s="99">
        <f t="shared" si="20"/>
        <v>1300</v>
      </c>
      <c r="G330" s="51" t="s">
        <v>3</v>
      </c>
      <c r="H330" s="48">
        <v>8</v>
      </c>
      <c r="I330" s="49" t="s">
        <v>47</v>
      </c>
      <c r="J330" s="184">
        <v>150</v>
      </c>
      <c r="K330" s="75">
        <v>360</v>
      </c>
      <c r="L330" s="75">
        <v>1300</v>
      </c>
      <c r="M330" s="202">
        <v>19.912421927573686</v>
      </c>
      <c r="N330" s="87">
        <v>1204.8040338977999</v>
      </c>
      <c r="O330" s="123">
        <v>35987.153594210555</v>
      </c>
      <c r="P330" s="121">
        <v>42824.297712557935</v>
      </c>
      <c r="Q330" s="120">
        <v>18338.218635171153</v>
      </c>
      <c r="R330" s="314">
        <v>54325.372229381712</v>
      </c>
      <c r="S330" s="315">
        <v>61162.516347729092</v>
      </c>
      <c r="U330" s="7" t="s">
        <v>3670</v>
      </c>
    </row>
    <row r="331" spans="1:21" s="7" customFormat="1" ht="16.5" thickBot="1">
      <c r="A331" s="50" t="s">
        <v>35</v>
      </c>
      <c r="B331" s="51">
        <f t="shared" si="18"/>
        <v>150</v>
      </c>
      <c r="C331" s="51" t="s">
        <v>3</v>
      </c>
      <c r="D331" s="51">
        <f t="shared" si="19"/>
        <v>360</v>
      </c>
      <c r="E331" s="51" t="s">
        <v>3</v>
      </c>
      <c r="F331" s="99">
        <f t="shared" si="20"/>
        <v>1350</v>
      </c>
      <c r="G331" s="51" t="s">
        <v>3</v>
      </c>
      <c r="H331" s="48">
        <v>8</v>
      </c>
      <c r="I331" s="49" t="s">
        <v>47</v>
      </c>
      <c r="J331" s="184">
        <v>150</v>
      </c>
      <c r="K331" s="75">
        <v>360</v>
      </c>
      <c r="L331" s="75">
        <v>1350</v>
      </c>
      <c r="M331" s="202">
        <v>20.63360163893579</v>
      </c>
      <c r="N331" s="87">
        <v>1268.214772524</v>
      </c>
      <c r="O331" s="123">
        <v>37146.911152136403</v>
      </c>
      <c r="P331" s="121">
        <v>44209.586818231212</v>
      </c>
      <c r="Q331" s="120">
        <v>18891.815776674081</v>
      </c>
      <c r="R331" s="314">
        <v>56038.726928810487</v>
      </c>
      <c r="S331" s="315">
        <v>63101.402594905288</v>
      </c>
      <c r="U331" s="7" t="s">
        <v>3671</v>
      </c>
    </row>
    <row r="332" spans="1:21" s="7" customFormat="1" ht="16.5" thickBot="1">
      <c r="A332" s="50" t="s">
        <v>35</v>
      </c>
      <c r="B332" s="51">
        <f t="shared" si="18"/>
        <v>150</v>
      </c>
      <c r="C332" s="51" t="s">
        <v>3</v>
      </c>
      <c r="D332" s="51">
        <f t="shared" si="19"/>
        <v>360</v>
      </c>
      <c r="E332" s="51" t="s">
        <v>3</v>
      </c>
      <c r="F332" s="99">
        <f t="shared" si="20"/>
        <v>1400</v>
      </c>
      <c r="G332" s="51" t="s">
        <v>3</v>
      </c>
      <c r="H332" s="48">
        <v>8</v>
      </c>
      <c r="I332" s="49" t="s">
        <v>47</v>
      </c>
      <c r="J332" s="184">
        <v>150</v>
      </c>
      <c r="K332" s="75">
        <v>360</v>
      </c>
      <c r="L332" s="75">
        <v>1400</v>
      </c>
      <c r="M332" s="202">
        <v>21.371821350297896</v>
      </c>
      <c r="N332" s="87">
        <v>1331.6255111502001</v>
      </c>
      <c r="O332" s="123">
        <v>38306.668569668895</v>
      </c>
      <c r="P332" s="121">
        <v>45594.875783511125</v>
      </c>
      <c r="Q332" s="120">
        <v>19675.994695960278</v>
      </c>
      <c r="R332" s="314">
        <v>57982.663265629177</v>
      </c>
      <c r="S332" s="315">
        <v>65270.870479471399</v>
      </c>
      <c r="U332" s="7" t="s">
        <v>3672</v>
      </c>
    </row>
    <row r="333" spans="1:21" s="7" customFormat="1" ht="16.5" thickBot="1">
      <c r="A333" s="50" t="s">
        <v>35</v>
      </c>
      <c r="B333" s="51">
        <f t="shared" si="18"/>
        <v>150</v>
      </c>
      <c r="C333" s="51" t="s">
        <v>3</v>
      </c>
      <c r="D333" s="51">
        <f t="shared" si="19"/>
        <v>360</v>
      </c>
      <c r="E333" s="51" t="s">
        <v>3</v>
      </c>
      <c r="F333" s="99">
        <f t="shared" si="20"/>
        <v>1450</v>
      </c>
      <c r="G333" s="51" t="s">
        <v>3</v>
      </c>
      <c r="H333" s="48">
        <v>8</v>
      </c>
      <c r="I333" s="49" t="s">
        <v>47</v>
      </c>
      <c r="J333" s="184">
        <v>150</v>
      </c>
      <c r="K333" s="75">
        <v>360</v>
      </c>
      <c r="L333" s="75">
        <v>1450</v>
      </c>
      <c r="M333" s="202">
        <v>22.093001061660004</v>
      </c>
      <c r="N333" s="87">
        <v>1395.0362497763997</v>
      </c>
      <c r="O333" s="123">
        <v>39466.425987201379</v>
      </c>
      <c r="P333" s="121">
        <v>46980.164889184394</v>
      </c>
      <c r="Q333" s="120">
        <v>20229.591837463206</v>
      </c>
      <c r="R333" s="314">
        <v>59696.017824664581</v>
      </c>
      <c r="S333" s="315">
        <v>67209.756726647596</v>
      </c>
      <c r="U333" s="7" t="s">
        <v>3673</v>
      </c>
    </row>
    <row r="334" spans="1:21" s="7" customFormat="1" ht="16.5" thickBot="1">
      <c r="A334" s="50" t="s">
        <v>35</v>
      </c>
      <c r="B334" s="51">
        <f t="shared" si="18"/>
        <v>150</v>
      </c>
      <c r="C334" s="51" t="s">
        <v>3</v>
      </c>
      <c r="D334" s="51">
        <f t="shared" si="19"/>
        <v>360</v>
      </c>
      <c r="E334" s="51" t="s">
        <v>3</v>
      </c>
      <c r="F334" s="99">
        <f t="shared" si="20"/>
        <v>1500</v>
      </c>
      <c r="G334" s="51" t="s">
        <v>3</v>
      </c>
      <c r="H334" s="48">
        <v>8</v>
      </c>
      <c r="I334" s="49" t="s">
        <v>47</v>
      </c>
      <c r="J334" s="184">
        <v>150</v>
      </c>
      <c r="K334" s="75">
        <v>360</v>
      </c>
      <c r="L334" s="75">
        <v>1500</v>
      </c>
      <c r="M334" s="202">
        <v>23.034450151322105</v>
      </c>
      <c r="N334" s="87">
        <v>1458.4469884025998</v>
      </c>
      <c r="O334" s="123">
        <v>41378.652798379095</v>
      </c>
      <c r="P334" s="121">
        <v>49104.08734184166</v>
      </c>
      <c r="Q334" s="120">
        <v>21013.770756749404</v>
      </c>
      <c r="R334" s="314">
        <v>62392.423555128495</v>
      </c>
      <c r="S334" s="315">
        <v>70117.858098591067</v>
      </c>
      <c r="U334" s="7" t="s">
        <v>3674</v>
      </c>
    </row>
    <row r="335" spans="1:21" s="7" customFormat="1" ht="16.5" thickBot="1">
      <c r="A335" s="50" t="s">
        <v>35</v>
      </c>
      <c r="B335" s="51">
        <f t="shared" si="18"/>
        <v>150</v>
      </c>
      <c r="C335" s="51" t="s">
        <v>3</v>
      </c>
      <c r="D335" s="51">
        <f t="shared" si="19"/>
        <v>360</v>
      </c>
      <c r="E335" s="51" t="s">
        <v>3</v>
      </c>
      <c r="F335" s="99">
        <f t="shared" si="20"/>
        <v>1550</v>
      </c>
      <c r="G335" s="51" t="s">
        <v>3</v>
      </c>
      <c r="H335" s="48">
        <v>8</v>
      </c>
      <c r="I335" s="49" t="s">
        <v>47</v>
      </c>
      <c r="J335" s="184">
        <v>150</v>
      </c>
      <c r="K335" s="75">
        <v>360</v>
      </c>
      <c r="L335" s="75">
        <v>1550</v>
      </c>
      <c r="M335" s="202">
        <v>23.755629862684209</v>
      </c>
      <c r="N335" s="87">
        <v>1521.8577270287999</v>
      </c>
      <c r="O335" s="123">
        <v>42538.41035630495</v>
      </c>
      <c r="P335" s="121">
        <v>50489.376447515075</v>
      </c>
      <c r="Q335" s="120">
        <v>21567.367898252327</v>
      </c>
      <c r="R335" s="314">
        <v>64105.778254557277</v>
      </c>
      <c r="S335" s="315">
        <v>72056.744345767394</v>
      </c>
      <c r="U335" s="7" t="s">
        <v>3675</v>
      </c>
    </row>
    <row r="336" spans="1:21" s="7" customFormat="1" ht="16.5" thickBot="1">
      <c r="A336" s="47" t="s">
        <v>35</v>
      </c>
      <c r="B336" s="48">
        <f t="shared" si="18"/>
        <v>150</v>
      </c>
      <c r="C336" s="48" t="s">
        <v>3</v>
      </c>
      <c r="D336" s="48">
        <f t="shared" si="19"/>
        <v>360</v>
      </c>
      <c r="E336" s="48" t="s">
        <v>3</v>
      </c>
      <c r="F336" s="99">
        <f t="shared" si="20"/>
        <v>1600</v>
      </c>
      <c r="G336" s="48" t="s">
        <v>3</v>
      </c>
      <c r="H336" s="48">
        <v>8</v>
      </c>
      <c r="I336" s="49" t="s">
        <v>47</v>
      </c>
      <c r="J336" s="184">
        <v>150</v>
      </c>
      <c r="K336" s="75">
        <v>360</v>
      </c>
      <c r="L336" s="75">
        <v>1600</v>
      </c>
      <c r="M336" s="202">
        <v>24.476809574046314</v>
      </c>
      <c r="N336" s="87">
        <v>1585.2684656549998</v>
      </c>
      <c r="O336" s="123">
        <v>43698.167773837435</v>
      </c>
      <c r="P336" s="121">
        <v>51874.665412794981</v>
      </c>
      <c r="Q336" s="120">
        <v>22120.965039755254</v>
      </c>
      <c r="R336" s="314">
        <v>65819.132813592689</v>
      </c>
      <c r="S336" s="315">
        <v>73995.630452550235</v>
      </c>
      <c r="U336" s="7" t="s">
        <v>3676</v>
      </c>
    </row>
    <row r="337" spans="1:21" s="7" customFormat="1" ht="16.5" thickBot="1">
      <c r="A337" s="50" t="s">
        <v>35</v>
      </c>
      <c r="B337" s="51">
        <f t="shared" si="18"/>
        <v>150</v>
      </c>
      <c r="C337" s="51" t="s">
        <v>3</v>
      </c>
      <c r="D337" s="51">
        <f t="shared" si="19"/>
        <v>360</v>
      </c>
      <c r="E337" s="51" t="s">
        <v>3</v>
      </c>
      <c r="F337" s="99">
        <f t="shared" si="20"/>
        <v>1650</v>
      </c>
      <c r="G337" s="51" t="s">
        <v>3</v>
      </c>
      <c r="H337" s="48">
        <v>8</v>
      </c>
      <c r="I337" s="49" t="s">
        <v>47</v>
      </c>
      <c r="J337" s="184">
        <v>150</v>
      </c>
      <c r="K337" s="75">
        <v>360</v>
      </c>
      <c r="L337" s="75">
        <v>1650</v>
      </c>
      <c r="M337" s="202">
        <v>25.21502928540842</v>
      </c>
      <c r="N337" s="87">
        <v>1648.6792042811999</v>
      </c>
      <c r="O337" s="123">
        <v>44857.925191369919</v>
      </c>
      <c r="P337" s="121">
        <v>53259.954518468257</v>
      </c>
      <c r="Q337" s="120">
        <v>22905.143959041456</v>
      </c>
      <c r="R337" s="314">
        <v>67763.069150411378</v>
      </c>
      <c r="S337" s="315">
        <v>76165.098477509717</v>
      </c>
      <c r="U337" s="7" t="s">
        <v>3677</v>
      </c>
    </row>
    <row r="338" spans="1:21" s="7" customFormat="1" ht="16.5" thickBot="1">
      <c r="A338" s="50" t="s">
        <v>35</v>
      </c>
      <c r="B338" s="51">
        <f t="shared" si="18"/>
        <v>150</v>
      </c>
      <c r="C338" s="51" t="s">
        <v>3</v>
      </c>
      <c r="D338" s="51">
        <f t="shared" si="19"/>
        <v>360</v>
      </c>
      <c r="E338" s="51" t="s">
        <v>3</v>
      </c>
      <c r="F338" s="99">
        <f t="shared" si="20"/>
        <v>1700</v>
      </c>
      <c r="G338" s="51" t="s">
        <v>3</v>
      </c>
      <c r="H338" s="48">
        <v>8</v>
      </c>
      <c r="I338" s="49" t="s">
        <v>47</v>
      </c>
      <c r="J338" s="184">
        <v>150</v>
      </c>
      <c r="K338" s="75">
        <v>360</v>
      </c>
      <c r="L338" s="75">
        <v>1700</v>
      </c>
      <c r="M338" s="202">
        <v>25.936208996770524</v>
      </c>
      <c r="N338" s="87">
        <v>1712.0899429073997</v>
      </c>
      <c r="O338" s="123">
        <v>46017.682749295767</v>
      </c>
      <c r="P338" s="121">
        <v>54645.243483748171</v>
      </c>
      <c r="Q338" s="120">
        <v>23458.741100544379</v>
      </c>
      <c r="R338" s="314">
        <v>69476.423849840154</v>
      </c>
      <c r="S338" s="315">
        <v>78103.984584292542</v>
      </c>
      <c r="U338" s="7" t="s">
        <v>3678</v>
      </c>
    </row>
    <row r="339" spans="1:21" s="7" customFormat="1" ht="16.5" thickBot="1">
      <c r="A339" s="50" t="s">
        <v>35</v>
      </c>
      <c r="B339" s="51">
        <f t="shared" si="18"/>
        <v>150</v>
      </c>
      <c r="C339" s="51" t="s">
        <v>3</v>
      </c>
      <c r="D339" s="51">
        <f t="shared" si="19"/>
        <v>360</v>
      </c>
      <c r="E339" s="51" t="s">
        <v>3</v>
      </c>
      <c r="F339" s="99">
        <f t="shared" si="20"/>
        <v>1750</v>
      </c>
      <c r="G339" s="51" t="s">
        <v>3</v>
      </c>
      <c r="H339" s="48">
        <v>8</v>
      </c>
      <c r="I339" s="49" t="s">
        <v>47</v>
      </c>
      <c r="J339" s="184">
        <v>150</v>
      </c>
      <c r="K339" s="75">
        <v>360</v>
      </c>
      <c r="L339" s="75">
        <v>1750</v>
      </c>
      <c r="M339" s="202">
        <v>26.674428708132627</v>
      </c>
      <c r="N339" s="87">
        <v>1775.5006815335996</v>
      </c>
      <c r="O339" s="123">
        <v>47177.440166828259</v>
      </c>
      <c r="P339" s="121">
        <v>56030.532449028084</v>
      </c>
      <c r="Q339" s="120">
        <v>24242.920019830581</v>
      </c>
      <c r="R339" s="314">
        <v>71420.360186658843</v>
      </c>
      <c r="S339" s="315">
        <v>80273.452468858668</v>
      </c>
      <c r="U339" s="7" t="s">
        <v>3679</v>
      </c>
    </row>
    <row r="340" spans="1:21" s="7" customFormat="1" ht="16.5" thickBot="1">
      <c r="A340" s="50" t="s">
        <v>35</v>
      </c>
      <c r="B340" s="51">
        <f t="shared" si="18"/>
        <v>150</v>
      </c>
      <c r="C340" s="51" t="s">
        <v>3</v>
      </c>
      <c r="D340" s="51">
        <f t="shared" si="19"/>
        <v>360</v>
      </c>
      <c r="E340" s="51" t="s">
        <v>3</v>
      </c>
      <c r="F340" s="99">
        <f t="shared" si="20"/>
        <v>1800</v>
      </c>
      <c r="G340" s="51" t="s">
        <v>3</v>
      </c>
      <c r="H340" s="48">
        <v>8</v>
      </c>
      <c r="I340" s="49" t="s">
        <v>47</v>
      </c>
      <c r="J340" s="184">
        <v>150</v>
      </c>
      <c r="K340" s="75">
        <v>360</v>
      </c>
      <c r="L340" s="75">
        <v>1800</v>
      </c>
      <c r="M340" s="202">
        <v>27.395608419494735</v>
      </c>
      <c r="N340" s="87">
        <v>1838.9114201597997</v>
      </c>
      <c r="O340" s="123">
        <v>48337.197584360751</v>
      </c>
      <c r="P340" s="121">
        <v>57415.821554701361</v>
      </c>
      <c r="Q340" s="120">
        <v>24796.517161333504</v>
      </c>
      <c r="R340" s="314">
        <v>73133.714745694248</v>
      </c>
      <c r="S340" s="315">
        <v>82212.338716034865</v>
      </c>
      <c r="U340" s="7" t="s">
        <v>3680</v>
      </c>
    </row>
    <row r="341" spans="1:21" s="7" customFormat="1" ht="16.5" thickBot="1">
      <c r="A341" s="50" t="s">
        <v>35</v>
      </c>
      <c r="B341" s="51">
        <f t="shared" si="18"/>
        <v>150</v>
      </c>
      <c r="C341" s="51" t="s">
        <v>3</v>
      </c>
      <c r="D341" s="51">
        <f t="shared" si="19"/>
        <v>360</v>
      </c>
      <c r="E341" s="51" t="s">
        <v>3</v>
      </c>
      <c r="F341" s="99">
        <f t="shared" si="20"/>
        <v>1850</v>
      </c>
      <c r="G341" s="51" t="s">
        <v>3</v>
      </c>
      <c r="H341" s="48">
        <v>8</v>
      </c>
      <c r="I341" s="49" t="s">
        <v>47</v>
      </c>
      <c r="J341" s="184">
        <v>150</v>
      </c>
      <c r="K341" s="75">
        <v>360</v>
      </c>
      <c r="L341" s="75">
        <v>1850</v>
      </c>
      <c r="M341" s="202">
        <v>28.133828130856848</v>
      </c>
      <c r="N341" s="87">
        <v>1902.3221587859998</v>
      </c>
      <c r="O341" s="123">
        <v>49496.955142286599</v>
      </c>
      <c r="P341" s="121">
        <v>58801.110519981274</v>
      </c>
      <c r="Q341" s="120">
        <v>25580.69622101307</v>
      </c>
      <c r="R341" s="314">
        <v>75077.651363299665</v>
      </c>
      <c r="S341" s="315">
        <v>84381.806740994347</v>
      </c>
      <c r="U341" s="7" t="s">
        <v>3681</v>
      </c>
    </row>
    <row r="342" spans="1:21" s="7" customFormat="1" ht="16.5" thickBot="1">
      <c r="A342" s="50" t="s">
        <v>35</v>
      </c>
      <c r="B342" s="51">
        <f t="shared" si="18"/>
        <v>150</v>
      </c>
      <c r="C342" s="51" t="s">
        <v>3</v>
      </c>
      <c r="D342" s="51">
        <f t="shared" si="19"/>
        <v>360</v>
      </c>
      <c r="E342" s="51" t="s">
        <v>3</v>
      </c>
      <c r="F342" s="99">
        <f t="shared" si="20"/>
        <v>1900</v>
      </c>
      <c r="G342" s="51" t="s">
        <v>3</v>
      </c>
      <c r="H342" s="48">
        <v>8</v>
      </c>
      <c r="I342" s="49" t="s">
        <v>47</v>
      </c>
      <c r="J342" s="184">
        <v>150</v>
      </c>
      <c r="K342" s="75">
        <v>360</v>
      </c>
      <c r="L342" s="75">
        <v>1900</v>
      </c>
      <c r="M342" s="202">
        <v>28.855007842218946</v>
      </c>
      <c r="N342" s="87">
        <v>1965.7328974121997</v>
      </c>
      <c r="O342" s="123">
        <v>50656.712559819083</v>
      </c>
      <c r="P342" s="121">
        <v>60186.399625654551</v>
      </c>
      <c r="Q342" s="120">
        <v>26134.293362515993</v>
      </c>
      <c r="R342" s="314">
        <v>76791.005922335084</v>
      </c>
      <c r="S342" s="315">
        <v>86320.692988170544</v>
      </c>
      <c r="U342" s="7" t="s">
        <v>3682</v>
      </c>
    </row>
    <row r="343" spans="1:21" s="7" customFormat="1" ht="16.5" thickBot="1">
      <c r="A343" s="50" t="s">
        <v>35</v>
      </c>
      <c r="B343" s="51">
        <f t="shared" si="18"/>
        <v>150</v>
      </c>
      <c r="C343" s="51" t="s">
        <v>3</v>
      </c>
      <c r="D343" s="51">
        <f t="shared" si="19"/>
        <v>360</v>
      </c>
      <c r="E343" s="51" t="s">
        <v>3</v>
      </c>
      <c r="F343" s="99">
        <f t="shared" si="20"/>
        <v>1950</v>
      </c>
      <c r="G343" s="51" t="s">
        <v>3</v>
      </c>
      <c r="H343" s="48">
        <v>8</v>
      </c>
      <c r="I343" s="49" t="s">
        <v>47</v>
      </c>
      <c r="J343" s="184">
        <v>150</v>
      </c>
      <c r="K343" s="75">
        <v>360</v>
      </c>
      <c r="L343" s="75">
        <v>1950</v>
      </c>
      <c r="M343" s="202">
        <v>29.73318755358105</v>
      </c>
      <c r="N343" s="87">
        <v>2029.1436360383996</v>
      </c>
      <c r="O343" s="123">
        <v>51970.778849155853</v>
      </c>
      <c r="P343" s="121">
        <v>61726.939502201109</v>
      </c>
      <c r="Q343" s="120">
        <v>26687.890504018917</v>
      </c>
      <c r="R343" s="314">
        <v>78658.669353174773</v>
      </c>
      <c r="S343" s="315">
        <v>88414.830006220029</v>
      </c>
      <c r="U343" s="7" t="s">
        <v>3683</v>
      </c>
    </row>
    <row r="344" spans="1:21" s="7" customFormat="1" ht="16.5" thickBot="1">
      <c r="A344" s="50" t="s">
        <v>35</v>
      </c>
      <c r="B344" s="51">
        <f t="shared" si="18"/>
        <v>150</v>
      </c>
      <c r="C344" s="51" t="s">
        <v>3</v>
      </c>
      <c r="D344" s="51">
        <f t="shared" si="19"/>
        <v>360</v>
      </c>
      <c r="E344" s="51" t="s">
        <v>3</v>
      </c>
      <c r="F344" s="99">
        <f t="shared" si="20"/>
        <v>2000</v>
      </c>
      <c r="G344" s="51" t="s">
        <v>3</v>
      </c>
      <c r="H344" s="48">
        <v>8</v>
      </c>
      <c r="I344" s="49" t="s">
        <v>47</v>
      </c>
      <c r="J344" s="184">
        <v>150</v>
      </c>
      <c r="K344" s="75">
        <v>360</v>
      </c>
      <c r="L344" s="75">
        <v>2000</v>
      </c>
      <c r="M344" s="202">
        <v>30.562969664943161</v>
      </c>
      <c r="N344" s="87">
        <v>2092.5543746645999</v>
      </c>
      <c r="O344" s="123">
        <v>53361.079295903561</v>
      </c>
      <c r="P344" s="121">
        <v>63424.909195000328</v>
      </c>
      <c r="Q344" s="120">
        <v>27472.069423305118</v>
      </c>
      <c r="R344" s="314">
        <v>80833.148719208679</v>
      </c>
      <c r="S344" s="315">
        <v>90896.978618305438</v>
      </c>
      <c r="U344" s="7" t="s">
        <v>3684</v>
      </c>
    </row>
    <row r="345" spans="1:21" s="7" customFormat="1" ht="16.5" thickBot="1">
      <c r="A345" s="50" t="s">
        <v>35</v>
      </c>
      <c r="B345" s="51">
        <f t="shared" si="18"/>
        <v>150</v>
      </c>
      <c r="C345" s="51" t="s">
        <v>3</v>
      </c>
      <c r="D345" s="51">
        <f t="shared" si="19"/>
        <v>360</v>
      </c>
      <c r="E345" s="51" t="s">
        <v>3</v>
      </c>
      <c r="F345" s="99">
        <f t="shared" si="20"/>
        <v>2050</v>
      </c>
      <c r="G345" s="51" t="s">
        <v>3</v>
      </c>
      <c r="H345" s="48">
        <v>8</v>
      </c>
      <c r="I345" s="49" t="s">
        <v>47</v>
      </c>
      <c r="J345" s="184">
        <v>150</v>
      </c>
      <c r="K345" s="75">
        <v>360</v>
      </c>
      <c r="L345" s="75">
        <v>2050</v>
      </c>
      <c r="M345" s="202">
        <v>31.284149376305258</v>
      </c>
      <c r="N345" s="87">
        <v>2155.9651132907998</v>
      </c>
      <c r="O345" s="123">
        <v>54520.836713436052</v>
      </c>
      <c r="P345" s="121">
        <v>64810.198300673605</v>
      </c>
      <c r="Q345" s="120">
        <v>28025.666564808042</v>
      </c>
      <c r="R345" s="314">
        <v>82546.503278244098</v>
      </c>
      <c r="S345" s="315">
        <v>92835.86486548165</v>
      </c>
      <c r="U345" s="7" t="s">
        <v>3685</v>
      </c>
    </row>
    <row r="346" spans="1:21" s="7" customFormat="1" ht="16.5" thickBot="1">
      <c r="A346" s="47" t="s">
        <v>35</v>
      </c>
      <c r="B346" s="48">
        <f t="shared" si="18"/>
        <v>150</v>
      </c>
      <c r="C346" s="48" t="s">
        <v>3</v>
      </c>
      <c r="D346" s="48">
        <f t="shared" si="19"/>
        <v>360</v>
      </c>
      <c r="E346" s="48" t="s">
        <v>3</v>
      </c>
      <c r="F346" s="99">
        <f t="shared" si="20"/>
        <v>2100</v>
      </c>
      <c r="G346" s="48" t="s">
        <v>3</v>
      </c>
      <c r="H346" s="48">
        <v>8</v>
      </c>
      <c r="I346" s="49" t="s">
        <v>47</v>
      </c>
      <c r="J346" s="184">
        <v>150</v>
      </c>
      <c r="K346" s="75">
        <v>360</v>
      </c>
      <c r="L346" s="75">
        <v>2100</v>
      </c>
      <c r="M346" s="202">
        <v>32.022369087667371</v>
      </c>
      <c r="N346" s="87">
        <v>2219.3758519169996</v>
      </c>
      <c r="O346" s="123">
        <v>55680.594271361901</v>
      </c>
      <c r="P346" s="121">
        <v>66195.487265953518</v>
      </c>
      <c r="Q346" s="120">
        <v>28809.845484094247</v>
      </c>
      <c r="R346" s="314">
        <v>84490.439755456144</v>
      </c>
      <c r="S346" s="315">
        <v>95005.332750047761</v>
      </c>
      <c r="U346" s="7" t="s">
        <v>3686</v>
      </c>
    </row>
    <row r="347" spans="1:21" s="7" customFormat="1" ht="16.5" thickBot="1">
      <c r="A347" s="50" t="s">
        <v>35</v>
      </c>
      <c r="B347" s="51">
        <f t="shared" si="18"/>
        <v>150</v>
      </c>
      <c r="C347" s="51" t="s">
        <v>3</v>
      </c>
      <c r="D347" s="51">
        <f t="shared" si="19"/>
        <v>360</v>
      </c>
      <c r="E347" s="51" t="s">
        <v>3</v>
      </c>
      <c r="F347" s="99">
        <f t="shared" si="20"/>
        <v>2150</v>
      </c>
      <c r="G347" s="51" t="s">
        <v>3</v>
      </c>
      <c r="H347" s="48">
        <v>8</v>
      </c>
      <c r="I347" s="49" t="s">
        <v>47</v>
      </c>
      <c r="J347" s="184">
        <v>150</v>
      </c>
      <c r="K347" s="75">
        <v>360</v>
      </c>
      <c r="L347" s="75">
        <v>2150</v>
      </c>
      <c r="M347" s="202">
        <v>32.743548799029476</v>
      </c>
      <c r="N347" s="87">
        <v>2282.7865905431995</v>
      </c>
      <c r="O347" s="123">
        <v>56840.351688894392</v>
      </c>
      <c r="P347" s="121">
        <v>67580.776371626795</v>
      </c>
      <c r="Q347" s="120">
        <v>29363.442625597167</v>
      </c>
      <c r="R347" s="314">
        <v>86203.794314491563</v>
      </c>
      <c r="S347" s="315">
        <v>96944.218997223958</v>
      </c>
      <c r="U347" s="7" t="s">
        <v>3687</v>
      </c>
    </row>
    <row r="348" spans="1:21" s="7" customFormat="1" ht="16.5" thickBot="1">
      <c r="A348" s="50" t="s">
        <v>35</v>
      </c>
      <c r="B348" s="51">
        <f t="shared" si="18"/>
        <v>150</v>
      </c>
      <c r="C348" s="51" t="s">
        <v>3</v>
      </c>
      <c r="D348" s="51">
        <f t="shared" si="19"/>
        <v>360</v>
      </c>
      <c r="E348" s="51" t="s">
        <v>3</v>
      </c>
      <c r="F348" s="99">
        <f t="shared" si="20"/>
        <v>2200</v>
      </c>
      <c r="G348" s="51" t="s">
        <v>3</v>
      </c>
      <c r="H348" s="48">
        <v>8</v>
      </c>
      <c r="I348" s="49" t="s">
        <v>47</v>
      </c>
      <c r="J348" s="184">
        <v>150</v>
      </c>
      <c r="K348" s="75">
        <v>360</v>
      </c>
      <c r="L348" s="75">
        <v>2200</v>
      </c>
      <c r="M348" s="202">
        <v>33.481768510391575</v>
      </c>
      <c r="N348" s="87">
        <v>2346.1973291693994</v>
      </c>
      <c r="O348" s="123">
        <v>58000.109106426869</v>
      </c>
      <c r="P348" s="121">
        <v>68966.0653369067</v>
      </c>
      <c r="Q348" s="120">
        <v>30147.621544883372</v>
      </c>
      <c r="R348" s="314">
        <v>88147.730651310238</v>
      </c>
      <c r="S348" s="315">
        <v>99113.686881790069</v>
      </c>
      <c r="U348" s="7" t="s">
        <v>3688</v>
      </c>
    </row>
    <row r="349" spans="1:21" s="7" customFormat="1" ht="16.5" thickBot="1">
      <c r="A349" s="50" t="s">
        <v>35</v>
      </c>
      <c r="B349" s="51">
        <f t="shared" si="18"/>
        <v>150</v>
      </c>
      <c r="C349" s="51" t="s">
        <v>3</v>
      </c>
      <c r="D349" s="51">
        <f t="shared" si="19"/>
        <v>360</v>
      </c>
      <c r="E349" s="51" t="s">
        <v>3</v>
      </c>
      <c r="F349" s="99">
        <f t="shared" si="20"/>
        <v>2250</v>
      </c>
      <c r="G349" s="51" t="s">
        <v>3</v>
      </c>
      <c r="H349" s="48">
        <v>8</v>
      </c>
      <c r="I349" s="49" t="s">
        <v>47</v>
      </c>
      <c r="J349" s="184">
        <v>150</v>
      </c>
      <c r="K349" s="75">
        <v>360</v>
      </c>
      <c r="L349" s="75">
        <v>2250</v>
      </c>
      <c r="M349" s="202">
        <v>34.202948221753687</v>
      </c>
      <c r="N349" s="87">
        <v>2409.6080677955997</v>
      </c>
      <c r="O349" s="123">
        <v>59159.866664352718</v>
      </c>
      <c r="P349" s="121">
        <v>70351.354442579977</v>
      </c>
      <c r="Q349" s="120">
        <v>30701.218686386295</v>
      </c>
      <c r="R349" s="314">
        <v>89861.085350739013</v>
      </c>
      <c r="S349" s="315">
        <v>101052.57312896627</v>
      </c>
      <c r="U349" s="7" t="s">
        <v>3689</v>
      </c>
    </row>
    <row r="350" spans="1:21" s="7" customFormat="1" ht="16.5" thickBot="1">
      <c r="A350" s="50" t="s">
        <v>35</v>
      </c>
      <c r="B350" s="51">
        <f t="shared" si="18"/>
        <v>150</v>
      </c>
      <c r="C350" s="51" t="s">
        <v>3</v>
      </c>
      <c r="D350" s="51">
        <f t="shared" si="19"/>
        <v>360</v>
      </c>
      <c r="E350" s="51" t="s">
        <v>3</v>
      </c>
      <c r="F350" s="99">
        <f t="shared" si="20"/>
        <v>2300</v>
      </c>
      <c r="G350" s="51" t="s">
        <v>3</v>
      </c>
      <c r="H350" s="48">
        <v>8</v>
      </c>
      <c r="I350" s="49" t="s">
        <v>47</v>
      </c>
      <c r="J350" s="184">
        <v>150</v>
      </c>
      <c r="K350" s="75">
        <v>360</v>
      </c>
      <c r="L350" s="75">
        <v>2300</v>
      </c>
      <c r="M350" s="202">
        <v>34.924127933115791</v>
      </c>
      <c r="N350" s="87">
        <v>2473.0188064217996</v>
      </c>
      <c r="O350" s="123">
        <v>60319.624081885209</v>
      </c>
      <c r="P350" s="121">
        <v>71736.643407859898</v>
      </c>
      <c r="Q350" s="120">
        <v>31254.815827889219</v>
      </c>
      <c r="R350" s="314">
        <v>91574.439909774432</v>
      </c>
      <c r="S350" s="315">
        <v>102991.45923574912</v>
      </c>
      <c r="U350" s="7" t="s">
        <v>3690</v>
      </c>
    </row>
    <row r="351" spans="1:21" s="7" customFormat="1" ht="16.5" thickBot="1">
      <c r="A351" s="50" t="s">
        <v>35</v>
      </c>
      <c r="B351" s="51">
        <f t="shared" si="18"/>
        <v>150</v>
      </c>
      <c r="C351" s="51" t="s">
        <v>3</v>
      </c>
      <c r="D351" s="51">
        <f t="shared" si="19"/>
        <v>360</v>
      </c>
      <c r="E351" s="51" t="s">
        <v>3</v>
      </c>
      <c r="F351" s="99">
        <f t="shared" si="20"/>
        <v>2350</v>
      </c>
      <c r="G351" s="51" t="s">
        <v>3</v>
      </c>
      <c r="H351" s="48">
        <v>8</v>
      </c>
      <c r="I351" s="49" t="s">
        <v>47</v>
      </c>
      <c r="J351" s="184">
        <v>150</v>
      </c>
      <c r="K351" s="75">
        <v>360</v>
      </c>
      <c r="L351" s="75">
        <v>2350</v>
      </c>
      <c r="M351" s="202">
        <v>35.66234764447789</v>
      </c>
      <c r="N351" s="87">
        <v>2536.4295450479999</v>
      </c>
      <c r="O351" s="123">
        <v>61479.381499417701</v>
      </c>
      <c r="P351" s="121">
        <v>73121.932373139804</v>
      </c>
      <c r="Q351" s="120">
        <v>32038.99474717542</v>
      </c>
      <c r="R351" s="314">
        <v>93518.376246593121</v>
      </c>
      <c r="S351" s="315">
        <v>105160.92712031523</v>
      </c>
      <c r="U351" s="7" t="s">
        <v>3691</v>
      </c>
    </row>
    <row r="352" spans="1:21" s="7" customFormat="1" ht="16.5" thickBot="1">
      <c r="A352" s="50" t="s">
        <v>35</v>
      </c>
      <c r="B352" s="51">
        <f t="shared" si="18"/>
        <v>150</v>
      </c>
      <c r="C352" s="51" t="s">
        <v>3</v>
      </c>
      <c r="D352" s="51">
        <f t="shared" si="19"/>
        <v>360</v>
      </c>
      <c r="E352" s="51" t="s">
        <v>3</v>
      </c>
      <c r="F352" s="99">
        <f t="shared" si="20"/>
        <v>2400</v>
      </c>
      <c r="G352" s="51" t="s">
        <v>3</v>
      </c>
      <c r="H352" s="48">
        <v>8</v>
      </c>
      <c r="I352" s="49" t="s">
        <v>47</v>
      </c>
      <c r="J352" s="184">
        <v>150</v>
      </c>
      <c r="K352" s="75">
        <v>360</v>
      </c>
      <c r="L352" s="75">
        <v>2400</v>
      </c>
      <c r="M352" s="202">
        <v>36.383527355839995</v>
      </c>
      <c r="N352" s="87">
        <v>2599.8402836741998</v>
      </c>
      <c r="O352" s="123">
        <v>62639.139057343549</v>
      </c>
      <c r="P352" s="121">
        <v>74507.221478813066</v>
      </c>
      <c r="Q352" s="120">
        <v>32592.591888678344</v>
      </c>
      <c r="R352" s="314">
        <v>95231.730946021897</v>
      </c>
      <c r="S352" s="315">
        <v>107099.81336749141</v>
      </c>
      <c r="U352" s="7" t="s">
        <v>3692</v>
      </c>
    </row>
    <row r="353" spans="1:21" s="7" customFormat="1" ht="16.5" thickBot="1">
      <c r="A353" s="50" t="s">
        <v>35</v>
      </c>
      <c r="B353" s="51">
        <f t="shared" si="18"/>
        <v>150</v>
      </c>
      <c r="C353" s="51" t="s">
        <v>3</v>
      </c>
      <c r="D353" s="51">
        <f t="shared" si="19"/>
        <v>360</v>
      </c>
      <c r="E353" s="51" t="s">
        <v>3</v>
      </c>
      <c r="F353" s="99">
        <f t="shared" si="20"/>
        <v>2450</v>
      </c>
      <c r="G353" s="51" t="s">
        <v>3</v>
      </c>
      <c r="H353" s="48">
        <v>8</v>
      </c>
      <c r="I353" s="49" t="s">
        <v>47</v>
      </c>
      <c r="J353" s="184">
        <v>150</v>
      </c>
      <c r="K353" s="75">
        <v>360</v>
      </c>
      <c r="L353" s="75">
        <v>2450</v>
      </c>
      <c r="M353" s="202">
        <v>37.324976445502102</v>
      </c>
      <c r="N353" s="87">
        <v>2663.2510223004001</v>
      </c>
      <c r="O353" s="123">
        <v>64551.365868521265</v>
      </c>
      <c r="P353" s="121">
        <v>76631.144071863833</v>
      </c>
      <c r="Q353" s="120">
        <v>33376.770807964545</v>
      </c>
      <c r="R353" s="314">
        <v>97928.13667648581</v>
      </c>
      <c r="S353" s="315">
        <v>110007.91487982837</v>
      </c>
      <c r="U353" s="7" t="s">
        <v>3693</v>
      </c>
    </row>
    <row r="354" spans="1:21" s="7" customFormat="1" ht="16.5" thickBot="1">
      <c r="A354" s="50" t="s">
        <v>35</v>
      </c>
      <c r="B354" s="51">
        <f t="shared" si="18"/>
        <v>150</v>
      </c>
      <c r="C354" s="51" t="s">
        <v>3</v>
      </c>
      <c r="D354" s="51">
        <f t="shared" si="19"/>
        <v>360</v>
      </c>
      <c r="E354" s="51" t="s">
        <v>3</v>
      </c>
      <c r="F354" s="99">
        <f t="shared" si="20"/>
        <v>2500</v>
      </c>
      <c r="G354" s="51" t="s">
        <v>3</v>
      </c>
      <c r="H354" s="48">
        <v>8</v>
      </c>
      <c r="I354" s="49" t="s">
        <v>47</v>
      </c>
      <c r="J354" s="184">
        <v>150</v>
      </c>
      <c r="K354" s="75">
        <v>360</v>
      </c>
      <c r="L354" s="75">
        <v>2500</v>
      </c>
      <c r="M354" s="202">
        <v>38.046156156864207</v>
      </c>
      <c r="N354" s="87">
        <v>2726.6617609265995</v>
      </c>
      <c r="O354" s="123">
        <v>65711.123286053757</v>
      </c>
      <c r="P354" s="121">
        <v>78016.433037143754</v>
      </c>
      <c r="Q354" s="120">
        <v>33930.367949467472</v>
      </c>
      <c r="R354" s="314">
        <v>99641.491235521229</v>
      </c>
      <c r="S354" s="315">
        <v>111946.80098661123</v>
      </c>
      <c r="U354" s="7" t="s">
        <v>3694</v>
      </c>
    </row>
    <row r="355" spans="1:21" s="7" customFormat="1" ht="16.5" thickBot="1">
      <c r="A355" s="50" t="s">
        <v>35</v>
      </c>
      <c r="B355" s="51">
        <f t="shared" si="18"/>
        <v>150</v>
      </c>
      <c r="C355" s="51" t="s">
        <v>3</v>
      </c>
      <c r="D355" s="51">
        <f t="shared" si="19"/>
        <v>360</v>
      </c>
      <c r="E355" s="51" t="s">
        <v>3</v>
      </c>
      <c r="F355" s="99">
        <f t="shared" si="20"/>
        <v>2550</v>
      </c>
      <c r="G355" s="51" t="s">
        <v>3</v>
      </c>
      <c r="H355" s="48">
        <v>8</v>
      </c>
      <c r="I355" s="49" t="s">
        <v>47</v>
      </c>
      <c r="J355" s="184">
        <v>150</v>
      </c>
      <c r="K355" s="75">
        <v>360</v>
      </c>
      <c r="L355" s="75">
        <v>2550</v>
      </c>
      <c r="M355" s="202">
        <v>38.784375868226313</v>
      </c>
      <c r="N355" s="87">
        <v>2790.0724995527994</v>
      </c>
      <c r="O355" s="123">
        <v>66870.880843979598</v>
      </c>
      <c r="P355" s="121">
        <v>79401.722142817031</v>
      </c>
      <c r="Q355" s="120">
        <v>34714.547009147034</v>
      </c>
      <c r="R355" s="314">
        <v>101585.42785312663</v>
      </c>
      <c r="S355" s="315">
        <v>114116.26915196406</v>
      </c>
      <c r="U355" s="7" t="s">
        <v>3695</v>
      </c>
    </row>
    <row r="356" spans="1:21" s="7" customFormat="1" ht="16.5" thickBot="1">
      <c r="A356" s="47" t="s">
        <v>35</v>
      </c>
      <c r="B356" s="48">
        <f t="shared" si="18"/>
        <v>150</v>
      </c>
      <c r="C356" s="48" t="s">
        <v>3</v>
      </c>
      <c r="D356" s="48">
        <f t="shared" si="19"/>
        <v>360</v>
      </c>
      <c r="E356" s="48" t="s">
        <v>3</v>
      </c>
      <c r="F356" s="99">
        <f t="shared" si="20"/>
        <v>2600</v>
      </c>
      <c r="G356" s="48" t="s">
        <v>3</v>
      </c>
      <c r="H356" s="48">
        <v>8</v>
      </c>
      <c r="I356" s="49" t="s">
        <v>47</v>
      </c>
      <c r="J356" s="184">
        <v>150</v>
      </c>
      <c r="K356" s="75">
        <v>360</v>
      </c>
      <c r="L356" s="75">
        <v>2600</v>
      </c>
      <c r="M356" s="202">
        <v>39.505555579588425</v>
      </c>
      <c r="N356" s="87">
        <v>2853.4832381789997</v>
      </c>
      <c r="O356" s="123">
        <v>68030.638261512082</v>
      </c>
      <c r="P356" s="121">
        <v>80787.011108096936</v>
      </c>
      <c r="Q356" s="120">
        <v>35268.144150649961</v>
      </c>
      <c r="R356" s="314">
        <v>103298.78241216205</v>
      </c>
      <c r="S356" s="315">
        <v>116055.15525874691</v>
      </c>
      <c r="U356" s="7" t="s">
        <v>3696</v>
      </c>
    </row>
    <row r="357" spans="1:21" s="7" customFormat="1" ht="16.5" thickBot="1">
      <c r="A357" s="50" t="s">
        <v>35</v>
      </c>
      <c r="B357" s="51">
        <f t="shared" si="18"/>
        <v>150</v>
      </c>
      <c r="C357" s="51" t="s">
        <v>3</v>
      </c>
      <c r="D357" s="51">
        <f t="shared" si="19"/>
        <v>360</v>
      </c>
      <c r="E357" s="51" t="s">
        <v>3</v>
      </c>
      <c r="F357" s="99">
        <f t="shared" si="20"/>
        <v>2650</v>
      </c>
      <c r="G357" s="51" t="s">
        <v>3</v>
      </c>
      <c r="H357" s="48">
        <v>8</v>
      </c>
      <c r="I357" s="49" t="s">
        <v>47</v>
      </c>
      <c r="J357" s="184">
        <v>150</v>
      </c>
      <c r="K357" s="75">
        <v>360</v>
      </c>
      <c r="L357" s="75">
        <v>2650</v>
      </c>
      <c r="M357" s="202">
        <v>40.243775290950524</v>
      </c>
      <c r="N357" s="87">
        <v>2916.8939768051996</v>
      </c>
      <c r="O357" s="123">
        <v>69190.395679044581</v>
      </c>
      <c r="P357" s="121">
        <v>82172.300073376857</v>
      </c>
      <c r="Q357" s="120">
        <v>36052.323069936159</v>
      </c>
      <c r="R357" s="314">
        <v>105242.71874898074</v>
      </c>
      <c r="S357" s="315">
        <v>118224.62314331302</v>
      </c>
      <c r="U357" s="7" t="s">
        <v>3697</v>
      </c>
    </row>
    <row r="358" spans="1:21" s="7" customFormat="1" ht="16.5" thickBot="1">
      <c r="A358" s="50" t="s">
        <v>35</v>
      </c>
      <c r="B358" s="51">
        <f t="shared" si="18"/>
        <v>150</v>
      </c>
      <c r="C358" s="51" t="s">
        <v>3</v>
      </c>
      <c r="D358" s="51">
        <f t="shared" si="19"/>
        <v>360</v>
      </c>
      <c r="E358" s="51" t="s">
        <v>3</v>
      </c>
      <c r="F358" s="99">
        <f t="shared" si="20"/>
        <v>2700</v>
      </c>
      <c r="G358" s="51" t="s">
        <v>3</v>
      </c>
      <c r="H358" s="48">
        <v>8</v>
      </c>
      <c r="I358" s="49" t="s">
        <v>47</v>
      </c>
      <c r="J358" s="184">
        <v>150</v>
      </c>
      <c r="K358" s="75">
        <v>360</v>
      </c>
      <c r="L358" s="75">
        <v>2700</v>
      </c>
      <c r="M358" s="202">
        <v>41.121955002312639</v>
      </c>
      <c r="N358" s="87">
        <v>2980.3047154313995</v>
      </c>
      <c r="O358" s="123">
        <v>70504.461968381351</v>
      </c>
      <c r="P358" s="121">
        <v>83712.839949923422</v>
      </c>
      <c r="Q358" s="120">
        <v>36605.920211439086</v>
      </c>
      <c r="R358" s="314">
        <v>107110.38217982044</v>
      </c>
      <c r="S358" s="315">
        <v>120318.7601613625</v>
      </c>
      <c r="U358" s="7" t="s">
        <v>3698</v>
      </c>
    </row>
    <row r="359" spans="1:21" s="7" customFormat="1" ht="16.5" thickBot="1">
      <c r="A359" s="50" t="s">
        <v>35</v>
      </c>
      <c r="B359" s="51">
        <f t="shared" si="18"/>
        <v>150</v>
      </c>
      <c r="C359" s="51" t="s">
        <v>3</v>
      </c>
      <c r="D359" s="51">
        <f t="shared" si="19"/>
        <v>360</v>
      </c>
      <c r="E359" s="51" t="s">
        <v>3</v>
      </c>
      <c r="F359" s="99">
        <f t="shared" si="20"/>
        <v>2750</v>
      </c>
      <c r="G359" s="51" t="s">
        <v>3</v>
      </c>
      <c r="H359" s="48">
        <v>8</v>
      </c>
      <c r="I359" s="49" t="s">
        <v>47</v>
      </c>
      <c r="J359" s="184">
        <v>150</v>
      </c>
      <c r="K359" s="75">
        <v>360</v>
      </c>
      <c r="L359" s="75">
        <v>2750</v>
      </c>
      <c r="M359" s="202">
        <v>41.843134713674736</v>
      </c>
      <c r="N359" s="87">
        <v>3043.7154540575998</v>
      </c>
      <c r="O359" s="123">
        <v>71664.219385913821</v>
      </c>
      <c r="P359" s="121">
        <v>85098.129055596684</v>
      </c>
      <c r="Q359" s="120">
        <v>37159.517352942006</v>
      </c>
      <c r="R359" s="314">
        <v>108823.73673885583</v>
      </c>
      <c r="S359" s="315">
        <v>122257.64640853868</v>
      </c>
      <c r="U359" s="7" t="s">
        <v>3699</v>
      </c>
    </row>
    <row r="360" spans="1:21" s="7" customFormat="1" ht="16.5" thickBot="1">
      <c r="A360" s="50" t="s">
        <v>35</v>
      </c>
      <c r="B360" s="51">
        <f t="shared" si="18"/>
        <v>150</v>
      </c>
      <c r="C360" s="51" t="s">
        <v>3</v>
      </c>
      <c r="D360" s="51">
        <f t="shared" si="19"/>
        <v>360</v>
      </c>
      <c r="E360" s="51" t="s">
        <v>3</v>
      </c>
      <c r="F360" s="99">
        <f t="shared" si="20"/>
        <v>2800</v>
      </c>
      <c r="G360" s="51" t="s">
        <v>3</v>
      </c>
      <c r="H360" s="48">
        <v>8</v>
      </c>
      <c r="I360" s="49" t="s">
        <v>47</v>
      </c>
      <c r="J360" s="184">
        <v>150</v>
      </c>
      <c r="K360" s="75">
        <v>360</v>
      </c>
      <c r="L360" s="75">
        <v>2800</v>
      </c>
      <c r="M360" s="202">
        <v>42.581354425036842</v>
      </c>
      <c r="N360" s="87">
        <v>3107.1261926837992</v>
      </c>
      <c r="O360" s="123">
        <v>72823.976943839676</v>
      </c>
      <c r="P360" s="121">
        <v>86483.418020876605</v>
      </c>
      <c r="Q360" s="120">
        <v>37943.696272228204</v>
      </c>
      <c r="R360" s="314">
        <v>110767.67321606788</v>
      </c>
      <c r="S360" s="315">
        <v>124427.11429310481</v>
      </c>
      <c r="U360" s="7" t="s">
        <v>3700</v>
      </c>
    </row>
    <row r="361" spans="1:21" ht="16.5" thickBot="1">
      <c r="A361" s="50" t="s">
        <v>35</v>
      </c>
      <c r="B361" s="51">
        <f t="shared" si="18"/>
        <v>150</v>
      </c>
      <c r="C361" s="51" t="s">
        <v>3</v>
      </c>
      <c r="D361" s="51">
        <f t="shared" si="19"/>
        <v>360</v>
      </c>
      <c r="E361" s="51" t="s">
        <v>3</v>
      </c>
      <c r="F361" s="99">
        <f t="shared" si="20"/>
        <v>2850</v>
      </c>
      <c r="G361" s="51" t="s">
        <v>3</v>
      </c>
      <c r="H361" s="48">
        <v>8</v>
      </c>
      <c r="I361" s="49" t="s">
        <v>47</v>
      </c>
      <c r="J361" s="184">
        <v>150</v>
      </c>
      <c r="K361" s="75">
        <v>360</v>
      </c>
      <c r="L361" s="75">
        <v>2850</v>
      </c>
      <c r="M361" s="202">
        <v>43.302534136398947</v>
      </c>
      <c r="N361" s="87">
        <v>3170.5369313099995</v>
      </c>
      <c r="O361" s="123">
        <v>73983.73436137216</v>
      </c>
      <c r="P361" s="121">
        <v>87868.707126549882</v>
      </c>
      <c r="Q361" s="120">
        <v>38497.293413731131</v>
      </c>
      <c r="R361" s="314">
        <v>112481.02777510328</v>
      </c>
      <c r="S361" s="315">
        <v>126366.00054028101</v>
      </c>
      <c r="U361" s="7" t="s">
        <v>3701</v>
      </c>
    </row>
    <row r="362" spans="1:21" ht="16.5" thickBot="1">
      <c r="A362" s="50" t="s">
        <v>35</v>
      </c>
      <c r="B362" s="51">
        <f t="shared" si="18"/>
        <v>150</v>
      </c>
      <c r="C362" s="51" t="s">
        <v>3</v>
      </c>
      <c r="D362" s="51">
        <f t="shared" si="19"/>
        <v>360</v>
      </c>
      <c r="E362" s="51" t="s">
        <v>3</v>
      </c>
      <c r="F362" s="99">
        <f t="shared" si="20"/>
        <v>2900</v>
      </c>
      <c r="G362" s="51" t="s">
        <v>3</v>
      </c>
      <c r="H362" s="48">
        <v>8</v>
      </c>
      <c r="I362" s="49" t="s">
        <v>47</v>
      </c>
      <c r="J362" s="184">
        <v>150</v>
      </c>
      <c r="K362" s="75">
        <v>360</v>
      </c>
      <c r="L362" s="75">
        <v>2900</v>
      </c>
      <c r="M362" s="202">
        <v>44.040753847761046</v>
      </c>
      <c r="N362" s="87">
        <v>3233.9476699361999</v>
      </c>
      <c r="O362" s="123">
        <v>75143.491778904659</v>
      </c>
      <c r="P362" s="121">
        <v>89253.996091829787</v>
      </c>
      <c r="Q362" s="120">
        <v>39281.472333017329</v>
      </c>
      <c r="R362" s="314">
        <v>114424.96411192199</v>
      </c>
      <c r="S362" s="315">
        <v>128535.46842484712</v>
      </c>
      <c r="U362" s="7" t="s">
        <v>3702</v>
      </c>
    </row>
    <row r="363" spans="1:21" ht="16.5" thickBot="1">
      <c r="A363" s="50" t="s">
        <v>35</v>
      </c>
      <c r="B363" s="51">
        <f t="shared" si="18"/>
        <v>150</v>
      </c>
      <c r="C363" s="51" t="s">
        <v>3</v>
      </c>
      <c r="D363" s="51">
        <f t="shared" si="19"/>
        <v>360</v>
      </c>
      <c r="E363" s="51" t="s">
        <v>3</v>
      </c>
      <c r="F363" s="99">
        <f t="shared" si="20"/>
        <v>2950</v>
      </c>
      <c r="G363" s="51" t="s">
        <v>3</v>
      </c>
      <c r="H363" s="48">
        <v>8</v>
      </c>
      <c r="I363" s="49" t="s">
        <v>47</v>
      </c>
      <c r="J363" s="184">
        <v>150</v>
      </c>
      <c r="K363" s="75">
        <v>360</v>
      </c>
      <c r="L363" s="75">
        <v>2950</v>
      </c>
      <c r="M363" s="202">
        <v>44.76193355912315</v>
      </c>
      <c r="N363" s="87">
        <v>3297.3584085623997</v>
      </c>
      <c r="O363" s="123">
        <v>76303.2493368305</v>
      </c>
      <c r="P363" s="121">
        <v>90639.285057109708</v>
      </c>
      <c r="Q363" s="120">
        <v>39835.069474520256</v>
      </c>
      <c r="R363" s="314">
        <v>116138.31881135076</v>
      </c>
      <c r="S363" s="315">
        <v>130474.35453162997</v>
      </c>
      <c r="U363" s="7" t="s">
        <v>3703</v>
      </c>
    </row>
    <row r="364" spans="1:21" ht="16.5" thickBot="1">
      <c r="A364" s="52" t="s">
        <v>35</v>
      </c>
      <c r="B364" s="53">
        <f t="shared" si="18"/>
        <v>150</v>
      </c>
      <c r="C364" s="53" t="s">
        <v>3</v>
      </c>
      <c r="D364" s="53">
        <f t="shared" si="19"/>
        <v>360</v>
      </c>
      <c r="E364" s="53" t="s">
        <v>3</v>
      </c>
      <c r="F364" s="100">
        <f t="shared" si="20"/>
        <v>3000</v>
      </c>
      <c r="G364" s="53" t="s">
        <v>3</v>
      </c>
      <c r="H364" s="55">
        <v>8</v>
      </c>
      <c r="I364" s="54" t="s">
        <v>47</v>
      </c>
      <c r="J364" s="186">
        <v>150</v>
      </c>
      <c r="K364" s="147">
        <v>360</v>
      </c>
      <c r="L364" s="147">
        <v>3000</v>
      </c>
      <c r="M364" s="209">
        <v>45.500153270485256</v>
      </c>
      <c r="N364" s="148">
        <v>3360.7691471885996</v>
      </c>
      <c r="O364" s="149">
        <v>78638.164200614832</v>
      </c>
      <c r="P364" s="158">
        <v>92024.574162782985</v>
      </c>
      <c r="Q364" s="159">
        <v>40619.248393806454</v>
      </c>
      <c r="R364" s="316">
        <v>119257.41259442129</v>
      </c>
      <c r="S364" s="317">
        <v>132643.82255658944</v>
      </c>
      <c r="U364" s="7" t="s">
        <v>3704</v>
      </c>
    </row>
    <row r="365" spans="1:21" s="74" customFormat="1" ht="22.5" customHeight="1" thickBot="1">
      <c r="A365" s="2621" t="s">
        <v>67</v>
      </c>
      <c r="B365" s="2622"/>
      <c r="C365" s="2622"/>
      <c r="D365" s="2622"/>
      <c r="E365" s="2622"/>
      <c r="F365" s="2622"/>
      <c r="G365" s="2622"/>
      <c r="H365" s="2622"/>
      <c r="I365" s="2622"/>
      <c r="J365" s="2622"/>
      <c r="K365" s="2622"/>
      <c r="L365" s="2622"/>
      <c r="M365" s="2622"/>
      <c r="N365" s="2622"/>
      <c r="O365" s="2622"/>
      <c r="P365" s="2622"/>
      <c r="Q365" s="2622"/>
      <c r="R365" s="2622"/>
      <c r="S365" s="2623"/>
      <c r="U365" s="7"/>
    </row>
    <row r="366" spans="1:21" s="74" customFormat="1" ht="16.5" thickBot="1">
      <c r="A366" s="2583" t="s">
        <v>140</v>
      </c>
      <c r="B366" s="2584"/>
      <c r="C366" s="2584"/>
      <c r="D366" s="2584"/>
      <c r="E366" s="2584"/>
      <c r="F366" s="2584"/>
      <c r="G366" s="2584"/>
      <c r="H366" s="2584"/>
      <c r="I366" s="2584"/>
      <c r="J366" s="2584"/>
      <c r="K366" s="2584"/>
      <c r="L366" s="2584"/>
      <c r="M366" s="2584"/>
      <c r="N366" s="2584"/>
      <c r="O366" s="2584"/>
      <c r="P366" s="2584"/>
      <c r="Q366" s="2584"/>
      <c r="R366" s="2584"/>
      <c r="S366" s="2585"/>
      <c r="U366" s="7"/>
    </row>
    <row r="367" spans="1:21" s="74" customFormat="1" ht="16.5" thickBot="1">
      <c r="A367" s="47" t="s">
        <v>35</v>
      </c>
      <c r="B367" s="48">
        <f>J367</f>
        <v>150</v>
      </c>
      <c r="C367" s="48" t="s">
        <v>3</v>
      </c>
      <c r="D367" s="48">
        <f>K367</f>
        <v>400</v>
      </c>
      <c r="E367" s="48" t="s">
        <v>3</v>
      </c>
      <c r="F367" s="99">
        <f>L367</f>
        <v>600</v>
      </c>
      <c r="G367" s="48" t="s">
        <v>3</v>
      </c>
      <c r="H367" s="48">
        <v>6</v>
      </c>
      <c r="I367" s="49" t="s">
        <v>47</v>
      </c>
      <c r="J367" s="181">
        <v>150</v>
      </c>
      <c r="K367" s="143">
        <v>400</v>
      </c>
      <c r="L367" s="143">
        <v>600</v>
      </c>
      <c r="M367" s="201">
        <v>9.5402484800071061</v>
      </c>
      <c r="N367" s="144">
        <v>307.26</v>
      </c>
      <c r="O367" s="145">
        <v>17806.436656693655</v>
      </c>
      <c r="P367" s="183">
        <v>21944.570466916019</v>
      </c>
      <c r="Q367" s="169">
        <v>9871.7007401553401</v>
      </c>
      <c r="R367" s="312">
        <v>27678.137396848993</v>
      </c>
      <c r="S367" s="313">
        <v>31816.271207071361</v>
      </c>
      <c r="U367" s="7" t="s">
        <v>3705</v>
      </c>
    </row>
    <row r="368" spans="1:21" s="74" customFormat="1" ht="16.5" thickBot="1">
      <c r="A368" s="50" t="s">
        <v>35</v>
      </c>
      <c r="B368" s="51">
        <f t="shared" ref="B368:B415" si="21">J368</f>
        <v>150</v>
      </c>
      <c r="C368" s="51" t="s">
        <v>3</v>
      </c>
      <c r="D368" s="51">
        <f t="shared" ref="D368:D415" si="22">K368</f>
        <v>400</v>
      </c>
      <c r="E368" s="51" t="s">
        <v>3</v>
      </c>
      <c r="F368" s="99">
        <f t="shared" ref="F368:F415" si="23">L368</f>
        <v>650</v>
      </c>
      <c r="G368" s="51" t="s">
        <v>3</v>
      </c>
      <c r="H368" s="48">
        <v>6</v>
      </c>
      <c r="I368" s="49" t="s">
        <v>47</v>
      </c>
      <c r="J368" s="184">
        <v>150</v>
      </c>
      <c r="K368" s="75">
        <v>400</v>
      </c>
      <c r="L368" s="75">
        <v>650</v>
      </c>
      <c r="M368" s="202">
        <v>10.226659509383948</v>
      </c>
      <c r="N368" s="87">
        <v>368.71199999999999</v>
      </c>
      <c r="O368" s="123">
        <v>18753.327271316477</v>
      </c>
      <c r="P368" s="121">
        <v>23147.975057702857</v>
      </c>
      <c r="Q368" s="120">
        <v>10474.092577548676</v>
      </c>
      <c r="R368" s="314">
        <v>29227.419848865153</v>
      </c>
      <c r="S368" s="315">
        <v>33622.067635251529</v>
      </c>
      <c r="U368" s="7" t="s">
        <v>3706</v>
      </c>
    </row>
    <row r="369" spans="1:21" s="74" customFormat="1" ht="16.5" thickBot="1">
      <c r="A369" s="50" t="s">
        <v>35</v>
      </c>
      <c r="B369" s="51">
        <f t="shared" si="21"/>
        <v>150</v>
      </c>
      <c r="C369" s="51" t="s">
        <v>3</v>
      </c>
      <c r="D369" s="51">
        <f t="shared" si="22"/>
        <v>400</v>
      </c>
      <c r="E369" s="51" t="s">
        <v>3</v>
      </c>
      <c r="F369" s="99">
        <f t="shared" si="23"/>
        <v>700</v>
      </c>
      <c r="G369" s="51" t="s">
        <v>3</v>
      </c>
      <c r="H369" s="48">
        <v>6</v>
      </c>
      <c r="I369" s="49" t="s">
        <v>47</v>
      </c>
      <c r="J369" s="184">
        <v>150</v>
      </c>
      <c r="K369" s="75">
        <v>400</v>
      </c>
      <c r="L369" s="75">
        <v>700</v>
      </c>
      <c r="M369" s="202">
        <v>10.913070538760788</v>
      </c>
      <c r="N369" s="87">
        <v>430.16399999999999</v>
      </c>
      <c r="O369" s="123">
        <v>19701.01840889228</v>
      </c>
      <c r="P369" s="121">
        <v>24351.83761163817</v>
      </c>
      <c r="Q369" s="120">
        <v>11307.066052331927</v>
      </c>
      <c r="R369" s="314">
        <v>31008.084461224207</v>
      </c>
      <c r="S369" s="315">
        <v>35658.903663970093</v>
      </c>
      <c r="U369" s="7" t="s">
        <v>3707</v>
      </c>
    </row>
    <row r="370" spans="1:21" s="74" customFormat="1" ht="16.5" thickBot="1">
      <c r="A370" s="50" t="s">
        <v>35</v>
      </c>
      <c r="B370" s="51">
        <f t="shared" si="21"/>
        <v>150</v>
      </c>
      <c r="C370" s="51" t="s">
        <v>3</v>
      </c>
      <c r="D370" s="51">
        <f t="shared" si="22"/>
        <v>400</v>
      </c>
      <c r="E370" s="51" t="s">
        <v>3</v>
      </c>
      <c r="F370" s="99">
        <f t="shared" si="23"/>
        <v>750</v>
      </c>
      <c r="G370" s="51" t="s">
        <v>3</v>
      </c>
      <c r="H370" s="48">
        <v>6</v>
      </c>
      <c r="I370" s="49" t="s">
        <v>47</v>
      </c>
      <c r="J370" s="184">
        <v>150</v>
      </c>
      <c r="K370" s="75">
        <v>400</v>
      </c>
      <c r="L370" s="75">
        <v>750</v>
      </c>
      <c r="M370" s="202">
        <v>11.59948156813763</v>
      </c>
      <c r="N370" s="87">
        <v>491.61599999999999</v>
      </c>
      <c r="O370" s="123">
        <v>20649.381890281093</v>
      </c>
      <c r="P370" s="121">
        <v>25556.086528107084</v>
      </c>
      <c r="Q370" s="120">
        <v>11909.457889725263</v>
      </c>
      <c r="R370" s="314">
        <v>32558.839780006354</v>
      </c>
      <c r="S370" s="315">
        <v>37465.544417832345</v>
      </c>
      <c r="U370" s="7" t="s">
        <v>3708</v>
      </c>
    </row>
    <row r="371" spans="1:21" s="74" customFormat="1" ht="16.5" thickBot="1">
      <c r="A371" s="50" t="s">
        <v>35</v>
      </c>
      <c r="B371" s="51">
        <f t="shared" si="21"/>
        <v>150</v>
      </c>
      <c r="C371" s="51" t="s">
        <v>3</v>
      </c>
      <c r="D371" s="51">
        <f t="shared" si="22"/>
        <v>400</v>
      </c>
      <c r="E371" s="51" t="s">
        <v>3</v>
      </c>
      <c r="F371" s="99">
        <f t="shared" si="23"/>
        <v>800</v>
      </c>
      <c r="G371" s="51" t="s">
        <v>3</v>
      </c>
      <c r="H371" s="48">
        <v>6</v>
      </c>
      <c r="I371" s="49" t="s">
        <v>47</v>
      </c>
      <c r="J371" s="184">
        <v>150</v>
      </c>
      <c r="K371" s="75">
        <v>400</v>
      </c>
      <c r="L371" s="75">
        <v>800</v>
      </c>
      <c r="M371" s="202">
        <v>12.285892597514476</v>
      </c>
      <c r="N371" s="87">
        <v>553.06799999999998</v>
      </c>
      <c r="O371" s="123">
        <v>21598.314947541567</v>
      </c>
      <c r="P371" s="121">
        <v>26760.664105437605</v>
      </c>
      <c r="Q371" s="120">
        <v>12511.84958672524</v>
      </c>
      <c r="R371" s="314">
        <v>34110.164534266805</v>
      </c>
      <c r="S371" s="315">
        <v>39272.513692162844</v>
      </c>
      <c r="U371" s="7" t="s">
        <v>3709</v>
      </c>
    </row>
    <row r="372" spans="1:21" s="74" customFormat="1" ht="16.5" thickBot="1">
      <c r="A372" s="50" t="s">
        <v>35</v>
      </c>
      <c r="B372" s="51">
        <f t="shared" si="21"/>
        <v>150</v>
      </c>
      <c r="C372" s="51" t="s">
        <v>3</v>
      </c>
      <c r="D372" s="51">
        <f t="shared" si="22"/>
        <v>400</v>
      </c>
      <c r="E372" s="51" t="s">
        <v>3</v>
      </c>
      <c r="F372" s="99">
        <f t="shared" si="23"/>
        <v>850</v>
      </c>
      <c r="G372" s="51" t="s">
        <v>3</v>
      </c>
      <c r="H372" s="48">
        <v>6</v>
      </c>
      <c r="I372" s="49" t="s">
        <v>47</v>
      </c>
      <c r="J372" s="184">
        <v>150</v>
      </c>
      <c r="K372" s="75">
        <v>400</v>
      </c>
      <c r="L372" s="75">
        <v>850</v>
      </c>
      <c r="M372" s="202">
        <v>12.972303626891316</v>
      </c>
      <c r="N372" s="87">
        <v>614.52</v>
      </c>
      <c r="O372" s="123">
        <v>22547.73531016328</v>
      </c>
      <c r="P372" s="121">
        <v>27965.523873426755</v>
      </c>
      <c r="Q372" s="120">
        <v>13344.823201901852</v>
      </c>
      <c r="R372" s="314">
        <v>35892.55851206513</v>
      </c>
      <c r="S372" s="315">
        <v>41310.347075328609</v>
      </c>
      <c r="U372" s="7" t="s">
        <v>3710</v>
      </c>
    </row>
    <row r="373" spans="1:21" s="74" customFormat="1" ht="16.5" thickBot="1">
      <c r="A373" s="50" t="s">
        <v>35</v>
      </c>
      <c r="B373" s="51">
        <f t="shared" si="21"/>
        <v>150</v>
      </c>
      <c r="C373" s="51" t="s">
        <v>3</v>
      </c>
      <c r="D373" s="51">
        <f t="shared" si="22"/>
        <v>400</v>
      </c>
      <c r="E373" s="51" t="s">
        <v>3</v>
      </c>
      <c r="F373" s="99">
        <f t="shared" si="23"/>
        <v>900</v>
      </c>
      <c r="G373" s="51" t="s">
        <v>3</v>
      </c>
      <c r="H373" s="48">
        <v>6</v>
      </c>
      <c r="I373" s="49" t="s">
        <v>47</v>
      </c>
      <c r="J373" s="184">
        <v>150</v>
      </c>
      <c r="K373" s="75">
        <v>400</v>
      </c>
      <c r="L373" s="75">
        <v>900</v>
      </c>
      <c r="M373" s="202">
        <v>13.65871465626816</v>
      </c>
      <c r="N373" s="87">
        <v>675.97199999999998</v>
      </c>
      <c r="O373" s="123">
        <v>23497.575448938867</v>
      </c>
      <c r="P373" s="121">
        <v>29170.62750468657</v>
      </c>
      <c r="Q373" s="120">
        <v>13947.21489890183</v>
      </c>
      <c r="R373" s="314">
        <v>37444.790347840695</v>
      </c>
      <c r="S373" s="315">
        <v>43117.842403588402</v>
      </c>
      <c r="U373" s="7" t="s">
        <v>3711</v>
      </c>
    </row>
    <row r="374" spans="1:21" s="74" customFormat="1" ht="16.5" thickBot="1">
      <c r="A374" s="50" t="s">
        <v>35</v>
      </c>
      <c r="B374" s="51">
        <f t="shared" si="21"/>
        <v>150</v>
      </c>
      <c r="C374" s="51" t="s">
        <v>3</v>
      </c>
      <c r="D374" s="51">
        <f t="shared" si="22"/>
        <v>400</v>
      </c>
      <c r="E374" s="51" t="s">
        <v>3</v>
      </c>
      <c r="F374" s="99">
        <f t="shared" si="23"/>
        <v>950</v>
      </c>
      <c r="G374" s="51" t="s">
        <v>3</v>
      </c>
      <c r="H374" s="48">
        <v>6</v>
      </c>
      <c r="I374" s="49" t="s">
        <v>47</v>
      </c>
      <c r="J374" s="184">
        <v>150</v>
      </c>
      <c r="K374" s="75">
        <v>400</v>
      </c>
      <c r="L374" s="75">
        <v>950</v>
      </c>
      <c r="M374" s="202">
        <v>14.345125685645002</v>
      </c>
      <c r="N374" s="87">
        <v>737.42399999999998</v>
      </c>
      <c r="O374" s="123">
        <v>24328.329725841078</v>
      </c>
      <c r="P374" s="121">
        <v>30246.783903897645</v>
      </c>
      <c r="Q374" s="120">
        <v>14780.188514078442</v>
      </c>
      <c r="R374" s="314">
        <v>39108.518239919518</v>
      </c>
      <c r="S374" s="315">
        <v>45026.972417976089</v>
      </c>
      <c r="U374" s="7" t="s">
        <v>3712</v>
      </c>
    </row>
    <row r="375" spans="1:21" s="74" customFormat="1" ht="16.5" thickBot="1">
      <c r="A375" s="50" t="s">
        <v>35</v>
      </c>
      <c r="B375" s="51">
        <f t="shared" si="21"/>
        <v>150</v>
      </c>
      <c r="C375" s="51" t="s">
        <v>3</v>
      </c>
      <c r="D375" s="51">
        <f t="shared" si="22"/>
        <v>400</v>
      </c>
      <c r="E375" s="51" t="s">
        <v>3</v>
      </c>
      <c r="F375" s="99">
        <f t="shared" si="23"/>
        <v>1000</v>
      </c>
      <c r="G375" s="51" t="s">
        <v>3</v>
      </c>
      <c r="H375" s="48">
        <v>6</v>
      </c>
      <c r="I375" s="49" t="s">
        <v>47</v>
      </c>
      <c r="J375" s="184">
        <v>150</v>
      </c>
      <c r="K375" s="75">
        <v>400</v>
      </c>
      <c r="L375" s="75">
        <v>1000</v>
      </c>
      <c r="M375" s="202">
        <v>15.031536715021844</v>
      </c>
      <c r="N375" s="87">
        <v>798.87599999999998</v>
      </c>
      <c r="O375" s="123">
        <v>25457.911836397991</v>
      </c>
      <c r="P375" s="121">
        <v>31645.903300104157</v>
      </c>
      <c r="Q375" s="120">
        <v>15382.580351471779</v>
      </c>
      <c r="R375" s="314">
        <v>40840.492187869771</v>
      </c>
      <c r="S375" s="315">
        <v>47028.483651575938</v>
      </c>
      <c r="U375" s="7" t="s">
        <v>3713</v>
      </c>
    </row>
    <row r="376" spans="1:21" s="74" customFormat="1" ht="16.5" thickBot="1">
      <c r="A376" s="50" t="s">
        <v>35</v>
      </c>
      <c r="B376" s="51">
        <f t="shared" si="21"/>
        <v>150</v>
      </c>
      <c r="C376" s="51" t="s">
        <v>3</v>
      </c>
      <c r="D376" s="51">
        <f t="shared" si="22"/>
        <v>400</v>
      </c>
      <c r="E376" s="51" t="s">
        <v>3</v>
      </c>
      <c r="F376" s="99">
        <f t="shared" si="23"/>
        <v>1050</v>
      </c>
      <c r="G376" s="51" t="s">
        <v>3</v>
      </c>
      <c r="H376" s="48">
        <v>6</v>
      </c>
      <c r="I376" s="49" t="s">
        <v>47</v>
      </c>
      <c r="J376" s="184">
        <v>150</v>
      </c>
      <c r="K376" s="75">
        <v>400</v>
      </c>
      <c r="L376" s="75">
        <v>1050</v>
      </c>
      <c r="M376" s="202">
        <v>15.717947744398685</v>
      </c>
      <c r="N376" s="87">
        <v>860.32799999999997</v>
      </c>
      <c r="O376" s="123">
        <v>26418.306186592883</v>
      </c>
      <c r="P376" s="121">
        <v>32863.733308887873</v>
      </c>
      <c r="Q376" s="120">
        <v>16215.553826255029</v>
      </c>
      <c r="R376" s="314">
        <v>42633.860012847916</v>
      </c>
      <c r="S376" s="315">
        <v>49079.287135142906</v>
      </c>
      <c r="U376" s="7" t="s">
        <v>3714</v>
      </c>
    </row>
    <row r="377" spans="1:21" s="7" customFormat="1" ht="16.5" thickBot="1">
      <c r="A377" s="47" t="s">
        <v>35</v>
      </c>
      <c r="B377" s="48">
        <f t="shared" si="21"/>
        <v>150</v>
      </c>
      <c r="C377" s="48" t="s">
        <v>3</v>
      </c>
      <c r="D377" s="48">
        <f t="shared" si="22"/>
        <v>400</v>
      </c>
      <c r="E377" s="48" t="s">
        <v>3</v>
      </c>
      <c r="F377" s="99">
        <f t="shared" si="23"/>
        <v>1100</v>
      </c>
      <c r="G377" s="48" t="s">
        <v>3</v>
      </c>
      <c r="H377" s="48">
        <v>6</v>
      </c>
      <c r="I377" s="49" t="s">
        <v>47</v>
      </c>
      <c r="J377" s="184">
        <v>150</v>
      </c>
      <c r="K377" s="75">
        <v>400</v>
      </c>
      <c r="L377" s="75">
        <v>1100</v>
      </c>
      <c r="M377" s="202">
        <v>16.404358773775527</v>
      </c>
      <c r="N377" s="87">
        <v>921.78</v>
      </c>
      <c r="O377" s="123">
        <v>27369.235216288016</v>
      </c>
      <c r="P377" s="121">
        <v>34069.423784402934</v>
      </c>
      <c r="Q377" s="120">
        <v>16817.945663648366</v>
      </c>
      <c r="R377" s="314">
        <v>44187.180879936379</v>
      </c>
      <c r="S377" s="315">
        <v>50887.3694480513</v>
      </c>
      <c r="U377" s="7" t="s">
        <v>3715</v>
      </c>
    </row>
    <row r="378" spans="1:21" s="7" customFormat="1" ht="16.5" thickBot="1">
      <c r="A378" s="50" t="s">
        <v>35</v>
      </c>
      <c r="B378" s="51">
        <f t="shared" si="21"/>
        <v>150</v>
      </c>
      <c r="C378" s="51" t="s">
        <v>3</v>
      </c>
      <c r="D378" s="51">
        <f t="shared" si="22"/>
        <v>400</v>
      </c>
      <c r="E378" s="51" t="s">
        <v>3</v>
      </c>
      <c r="F378" s="99">
        <f t="shared" si="23"/>
        <v>1150</v>
      </c>
      <c r="G378" s="51" t="s">
        <v>3</v>
      </c>
      <c r="H378" s="48">
        <v>6</v>
      </c>
      <c r="I378" s="49" t="s">
        <v>47</v>
      </c>
      <c r="J378" s="184">
        <v>150</v>
      </c>
      <c r="K378" s="75">
        <v>400</v>
      </c>
      <c r="L378" s="75">
        <v>1150</v>
      </c>
      <c r="M378" s="202">
        <v>17.090769803152369</v>
      </c>
      <c r="N378" s="87">
        <v>983.23199999999997</v>
      </c>
      <c r="O378" s="123">
        <v>28320.392525590581</v>
      </c>
      <c r="P378" s="121">
        <v>35275.251985806608</v>
      </c>
      <c r="Q378" s="120">
        <v>17420.33736064834</v>
      </c>
      <c r="R378" s="314">
        <v>45740.729886238922</v>
      </c>
      <c r="S378" s="315">
        <v>52695.589346454944</v>
      </c>
      <c r="U378" s="7" t="s">
        <v>3716</v>
      </c>
    </row>
    <row r="379" spans="1:21" s="7" customFormat="1" ht="16.5" thickBot="1">
      <c r="A379" s="50" t="s">
        <v>35</v>
      </c>
      <c r="B379" s="51">
        <f t="shared" si="21"/>
        <v>150</v>
      </c>
      <c r="C379" s="51" t="s">
        <v>3</v>
      </c>
      <c r="D379" s="51">
        <f t="shared" si="22"/>
        <v>400</v>
      </c>
      <c r="E379" s="51" t="s">
        <v>3</v>
      </c>
      <c r="F379" s="99">
        <f t="shared" si="23"/>
        <v>1200</v>
      </c>
      <c r="G379" s="51" t="s">
        <v>3</v>
      </c>
      <c r="H379" s="48">
        <v>6</v>
      </c>
      <c r="I379" s="49" t="s">
        <v>47</v>
      </c>
      <c r="J379" s="184">
        <v>150</v>
      </c>
      <c r="K379" s="75">
        <v>400</v>
      </c>
      <c r="L379" s="75">
        <v>1200</v>
      </c>
      <c r="M379" s="202">
        <v>17.894930832529212</v>
      </c>
      <c r="N379" s="87">
        <v>1044.684</v>
      </c>
      <c r="O379" s="123">
        <v>29394.327340233456</v>
      </c>
      <c r="P379" s="121">
        <v>36605.980159404869</v>
      </c>
      <c r="Q379" s="120">
        <v>18253.310975824952</v>
      </c>
      <c r="R379" s="314">
        <v>47647.638316058408</v>
      </c>
      <c r="S379" s="315">
        <v>54859.291135229825</v>
      </c>
      <c r="U379" s="7" t="s">
        <v>3717</v>
      </c>
    </row>
    <row r="380" spans="1:21" s="7" customFormat="1" ht="16.5" thickBot="1">
      <c r="A380" s="50" t="s">
        <v>35</v>
      </c>
      <c r="B380" s="51">
        <f t="shared" si="21"/>
        <v>150</v>
      </c>
      <c r="C380" s="51" t="s">
        <v>3</v>
      </c>
      <c r="D380" s="51">
        <f t="shared" si="22"/>
        <v>400</v>
      </c>
      <c r="E380" s="51" t="s">
        <v>3</v>
      </c>
      <c r="F380" s="99">
        <f t="shared" si="23"/>
        <v>1250</v>
      </c>
      <c r="G380" s="51" t="s">
        <v>3</v>
      </c>
      <c r="H380" s="48">
        <v>6</v>
      </c>
      <c r="I380" s="49" t="s">
        <v>47</v>
      </c>
      <c r="J380" s="184">
        <v>150</v>
      </c>
      <c r="K380" s="75">
        <v>400</v>
      </c>
      <c r="L380" s="75">
        <v>1250</v>
      </c>
      <c r="M380" s="202">
        <v>18.581341861906054</v>
      </c>
      <c r="N380" s="87">
        <v>1106.136</v>
      </c>
      <c r="O380" s="123">
        <v>30345.881962751893</v>
      </c>
      <c r="P380" s="121">
        <v>37812.031867041645</v>
      </c>
      <c r="Q380" s="120">
        <v>18855.702672824929</v>
      </c>
      <c r="R380" s="314">
        <v>49201.584635576823</v>
      </c>
      <c r="S380" s="315">
        <v>56667.734539866578</v>
      </c>
      <c r="U380" s="7" t="s">
        <v>3718</v>
      </c>
    </row>
    <row r="381" spans="1:21" s="7" customFormat="1" ht="16.5" thickBot="1">
      <c r="A381" s="50" t="s">
        <v>35</v>
      </c>
      <c r="B381" s="51">
        <f t="shared" si="21"/>
        <v>150</v>
      </c>
      <c r="C381" s="51" t="s">
        <v>3</v>
      </c>
      <c r="D381" s="51">
        <f t="shared" si="22"/>
        <v>400</v>
      </c>
      <c r="E381" s="51" t="s">
        <v>3</v>
      </c>
      <c r="F381" s="99">
        <f t="shared" si="23"/>
        <v>1300</v>
      </c>
      <c r="G381" s="51" t="s">
        <v>3</v>
      </c>
      <c r="H381" s="48">
        <v>6</v>
      </c>
      <c r="I381" s="49" t="s">
        <v>47</v>
      </c>
      <c r="J381" s="184">
        <v>150</v>
      </c>
      <c r="K381" s="75">
        <v>400</v>
      </c>
      <c r="L381" s="75">
        <v>1300</v>
      </c>
      <c r="M381" s="202">
        <v>19.267752891282896</v>
      </c>
      <c r="N381" s="87">
        <v>1167.588</v>
      </c>
      <c r="O381" s="123">
        <v>31297.598739604018</v>
      </c>
      <c r="P381" s="121">
        <v>39018.183534752519</v>
      </c>
      <c r="Q381" s="120">
        <v>19688.676288001541</v>
      </c>
      <c r="R381" s="314">
        <v>50986.275027605559</v>
      </c>
      <c r="S381" s="315">
        <v>58706.859822754064</v>
      </c>
      <c r="U381" s="7" t="s">
        <v>3719</v>
      </c>
    </row>
    <row r="382" spans="1:21" s="7" customFormat="1" ht="16.5" thickBot="1">
      <c r="A382" s="50" t="s">
        <v>35</v>
      </c>
      <c r="B382" s="51">
        <f t="shared" si="21"/>
        <v>150</v>
      </c>
      <c r="C382" s="51" t="s">
        <v>3</v>
      </c>
      <c r="D382" s="51">
        <f t="shared" si="22"/>
        <v>400</v>
      </c>
      <c r="E382" s="51" t="s">
        <v>3</v>
      </c>
      <c r="F382" s="99">
        <f t="shared" si="23"/>
        <v>1350</v>
      </c>
      <c r="G382" s="51" t="s">
        <v>3</v>
      </c>
      <c r="H382" s="48">
        <v>6</v>
      </c>
      <c r="I382" s="49" t="s">
        <v>47</v>
      </c>
      <c r="J382" s="184">
        <v>150</v>
      </c>
      <c r="K382" s="75">
        <v>400</v>
      </c>
      <c r="L382" s="75">
        <v>1350</v>
      </c>
      <c r="M382" s="202">
        <v>19.954163920659738</v>
      </c>
      <c r="N382" s="87">
        <v>1229.04</v>
      </c>
      <c r="O382" s="123">
        <v>32249.462227519958</v>
      </c>
      <c r="P382" s="121">
        <v>40224.425335002124</v>
      </c>
      <c r="Q382" s="120">
        <v>20291.067985001515</v>
      </c>
      <c r="R382" s="314">
        <v>52540.530212521473</v>
      </c>
      <c r="S382" s="315">
        <v>60515.493320003639</v>
      </c>
      <c r="U382" s="7" t="s">
        <v>3720</v>
      </c>
    </row>
    <row r="383" spans="1:21" s="7" customFormat="1" ht="16.5" thickBot="1">
      <c r="A383" s="50" t="s">
        <v>35</v>
      </c>
      <c r="B383" s="51">
        <f t="shared" si="21"/>
        <v>150</v>
      </c>
      <c r="C383" s="51" t="s">
        <v>3</v>
      </c>
      <c r="D383" s="51">
        <f t="shared" si="22"/>
        <v>400</v>
      </c>
      <c r="E383" s="51" t="s">
        <v>3</v>
      </c>
      <c r="F383" s="99">
        <f t="shared" si="23"/>
        <v>1400</v>
      </c>
      <c r="G383" s="51" t="s">
        <v>3</v>
      </c>
      <c r="H383" s="48">
        <v>6</v>
      </c>
      <c r="I383" s="49" t="s">
        <v>47</v>
      </c>
      <c r="J383" s="184">
        <v>150</v>
      </c>
      <c r="K383" s="75">
        <v>400</v>
      </c>
      <c r="L383" s="75">
        <v>1400</v>
      </c>
      <c r="M383" s="202">
        <v>20.64057495003658</v>
      </c>
      <c r="N383" s="87">
        <v>1290.492</v>
      </c>
      <c r="O383" s="123">
        <v>33201.458246770097</v>
      </c>
      <c r="P383" s="121">
        <v>41430.748844188696</v>
      </c>
      <c r="Q383" s="120">
        <v>21124.04160017813</v>
      </c>
      <c r="R383" s="314">
        <v>54325.499846948223</v>
      </c>
      <c r="S383" s="315">
        <v>62554.790444366823</v>
      </c>
      <c r="U383" s="7" t="s">
        <v>3721</v>
      </c>
    </row>
    <row r="384" spans="1:21" s="7" customFormat="1" ht="16.5" thickBot="1">
      <c r="A384" s="50" t="s">
        <v>35</v>
      </c>
      <c r="B384" s="51">
        <f t="shared" si="21"/>
        <v>150</v>
      </c>
      <c r="C384" s="51" t="s">
        <v>3</v>
      </c>
      <c r="D384" s="51">
        <f t="shared" si="22"/>
        <v>400</v>
      </c>
      <c r="E384" s="51" t="s">
        <v>3</v>
      </c>
      <c r="F384" s="99">
        <f t="shared" si="23"/>
        <v>1450</v>
      </c>
      <c r="G384" s="51" t="s">
        <v>3</v>
      </c>
      <c r="H384" s="48">
        <v>6</v>
      </c>
      <c r="I384" s="49" t="s">
        <v>47</v>
      </c>
      <c r="J384" s="184">
        <v>150</v>
      </c>
      <c r="K384" s="75">
        <v>400</v>
      </c>
      <c r="L384" s="75">
        <v>1450</v>
      </c>
      <c r="M384" s="202">
        <v>21.326985979413422</v>
      </c>
      <c r="N384" s="87">
        <v>1351.944</v>
      </c>
      <c r="O384" s="123">
        <v>34153.574723525257</v>
      </c>
      <c r="P384" s="121">
        <v>42637.146902250759</v>
      </c>
      <c r="Q384" s="120">
        <v>21726.433297178104</v>
      </c>
      <c r="R384" s="314">
        <v>55880.008020703361</v>
      </c>
      <c r="S384" s="315">
        <v>64363.580199428863</v>
      </c>
      <c r="U384" s="7" t="s">
        <v>3722</v>
      </c>
    </row>
    <row r="385" spans="1:21" s="7" customFormat="1" ht="16.5" thickBot="1">
      <c r="A385" s="50" t="s">
        <v>35</v>
      </c>
      <c r="B385" s="51">
        <f t="shared" si="21"/>
        <v>150</v>
      </c>
      <c r="C385" s="51" t="s">
        <v>3</v>
      </c>
      <c r="D385" s="51">
        <f t="shared" si="22"/>
        <v>400</v>
      </c>
      <c r="E385" s="51" t="s">
        <v>3</v>
      </c>
      <c r="F385" s="99">
        <f t="shared" si="23"/>
        <v>1500</v>
      </c>
      <c r="G385" s="51" t="s">
        <v>3</v>
      </c>
      <c r="H385" s="48">
        <v>6</v>
      </c>
      <c r="I385" s="49" t="s">
        <v>47</v>
      </c>
      <c r="J385" s="184">
        <v>150</v>
      </c>
      <c r="K385" s="75">
        <v>400</v>
      </c>
      <c r="L385" s="75">
        <v>1500</v>
      </c>
      <c r="M385" s="202">
        <v>22.240677201090264</v>
      </c>
      <c r="N385" s="87">
        <v>1413.396</v>
      </c>
      <c r="O385" s="123">
        <v>35907.528094735055</v>
      </c>
      <c r="P385" s="121">
        <v>44653.898958496888</v>
      </c>
      <c r="Q385" s="120">
        <v>22559.406912354716</v>
      </c>
      <c r="R385" s="314">
        <v>58466.935007089771</v>
      </c>
      <c r="S385" s="315">
        <v>67213.305870851604</v>
      </c>
      <c r="U385" s="7" t="s">
        <v>3723</v>
      </c>
    </row>
    <row r="386" spans="1:21" s="7" customFormat="1" ht="16.5" thickBot="1">
      <c r="A386" s="50" t="s">
        <v>35</v>
      </c>
      <c r="B386" s="51">
        <f t="shared" si="21"/>
        <v>150</v>
      </c>
      <c r="C386" s="51" t="s">
        <v>3</v>
      </c>
      <c r="D386" s="51">
        <f t="shared" si="22"/>
        <v>400</v>
      </c>
      <c r="E386" s="51" t="s">
        <v>3</v>
      </c>
      <c r="F386" s="99">
        <f t="shared" si="23"/>
        <v>1550</v>
      </c>
      <c r="G386" s="51" t="s">
        <v>3</v>
      </c>
      <c r="H386" s="48">
        <v>6</v>
      </c>
      <c r="I386" s="49" t="s">
        <v>47</v>
      </c>
      <c r="J386" s="184">
        <v>150</v>
      </c>
      <c r="K386" s="75">
        <v>400</v>
      </c>
      <c r="L386" s="75">
        <v>1550</v>
      </c>
      <c r="M386" s="202">
        <v>22.927088230467106</v>
      </c>
      <c r="N386" s="87">
        <v>1474.848</v>
      </c>
      <c r="O386" s="123">
        <v>36859.575357562506</v>
      </c>
      <c r="P386" s="121">
        <v>45860.400486467108</v>
      </c>
      <c r="Q386" s="120">
        <v>23161.79860935469</v>
      </c>
      <c r="R386" s="314">
        <v>60021.373966917192</v>
      </c>
      <c r="S386" s="315">
        <v>69022.199095821794</v>
      </c>
      <c r="U386" s="7" t="s">
        <v>3724</v>
      </c>
    </row>
    <row r="387" spans="1:21" s="7" customFormat="1" ht="16.5" thickBot="1">
      <c r="A387" s="47" t="s">
        <v>35</v>
      </c>
      <c r="B387" s="48">
        <f t="shared" si="21"/>
        <v>150</v>
      </c>
      <c r="C387" s="48" t="s">
        <v>3</v>
      </c>
      <c r="D387" s="48">
        <f t="shared" si="22"/>
        <v>400</v>
      </c>
      <c r="E387" s="48" t="s">
        <v>3</v>
      </c>
      <c r="F387" s="99">
        <f t="shared" si="23"/>
        <v>1600</v>
      </c>
      <c r="G387" s="48" t="s">
        <v>3</v>
      </c>
      <c r="H387" s="48">
        <v>6</v>
      </c>
      <c r="I387" s="49" t="s">
        <v>47</v>
      </c>
      <c r="J387" s="184">
        <v>150</v>
      </c>
      <c r="K387" s="75">
        <v>400</v>
      </c>
      <c r="L387" s="75">
        <v>1600</v>
      </c>
      <c r="M387" s="202">
        <v>23.613499259843948</v>
      </c>
      <c r="N387" s="87">
        <v>1536.3</v>
      </c>
      <c r="O387" s="123">
        <v>37811.728617378649</v>
      </c>
      <c r="P387" s="121">
        <v>47066.959435322591</v>
      </c>
      <c r="Q387" s="120">
        <v>23764.190446748027</v>
      </c>
      <c r="R387" s="314">
        <v>61575.919064126676</v>
      </c>
      <c r="S387" s="315">
        <v>70831.149882070618</v>
      </c>
      <c r="U387" s="7" t="s">
        <v>3725</v>
      </c>
    </row>
    <row r="388" spans="1:21" s="7" customFormat="1" ht="16.5" thickBot="1">
      <c r="A388" s="50" t="s">
        <v>35</v>
      </c>
      <c r="B388" s="51">
        <f t="shared" si="21"/>
        <v>150</v>
      </c>
      <c r="C388" s="51" t="s">
        <v>3</v>
      </c>
      <c r="D388" s="51">
        <f t="shared" si="22"/>
        <v>400</v>
      </c>
      <c r="E388" s="51" t="s">
        <v>3</v>
      </c>
      <c r="F388" s="99">
        <f t="shared" si="23"/>
        <v>1650</v>
      </c>
      <c r="G388" s="51" t="s">
        <v>3</v>
      </c>
      <c r="H388" s="48">
        <v>6</v>
      </c>
      <c r="I388" s="49" t="s">
        <v>47</v>
      </c>
      <c r="J388" s="184">
        <v>150</v>
      </c>
      <c r="K388" s="75">
        <v>400</v>
      </c>
      <c r="L388" s="75">
        <v>1650</v>
      </c>
      <c r="M388" s="202">
        <v>24.29991028922079</v>
      </c>
      <c r="N388" s="87">
        <v>1597.752</v>
      </c>
      <c r="O388" s="123">
        <v>38763.979450581719</v>
      </c>
      <c r="P388" s="121">
        <v>48273.571312475753</v>
      </c>
      <c r="Q388" s="120">
        <v>24597.164061924639</v>
      </c>
      <c r="R388" s="314">
        <v>63361.143512506358</v>
      </c>
      <c r="S388" s="315">
        <v>72870.735374400392</v>
      </c>
      <c r="U388" s="7" t="s">
        <v>3726</v>
      </c>
    </row>
    <row r="389" spans="1:21" s="7" customFormat="1" ht="16.5" thickBot="1">
      <c r="A389" s="50" t="s">
        <v>35</v>
      </c>
      <c r="B389" s="51">
        <f t="shared" si="21"/>
        <v>150</v>
      </c>
      <c r="C389" s="51" t="s">
        <v>3</v>
      </c>
      <c r="D389" s="51">
        <f t="shared" si="22"/>
        <v>400</v>
      </c>
      <c r="E389" s="51" t="s">
        <v>3</v>
      </c>
      <c r="F389" s="99">
        <f t="shared" si="23"/>
        <v>1700</v>
      </c>
      <c r="G389" s="51" t="s">
        <v>3</v>
      </c>
      <c r="H389" s="48">
        <v>6</v>
      </c>
      <c r="I389" s="49" t="s">
        <v>47</v>
      </c>
      <c r="J389" s="184">
        <v>150</v>
      </c>
      <c r="K389" s="75">
        <v>400</v>
      </c>
      <c r="L389" s="75">
        <v>1700</v>
      </c>
      <c r="M389" s="202">
        <v>24.986321318597636</v>
      </c>
      <c r="N389" s="87">
        <v>1659.204</v>
      </c>
      <c r="O389" s="123">
        <v>39716.319995143436</v>
      </c>
      <c r="P389" s="121">
        <v>49480.23204651905</v>
      </c>
      <c r="Q389" s="120">
        <v>25199.55575892462</v>
      </c>
      <c r="R389" s="314">
        <v>64915.875754068053</v>
      </c>
      <c r="S389" s="315">
        <v>74679.787805443673</v>
      </c>
      <c r="U389" s="7" t="s">
        <v>3727</v>
      </c>
    </row>
    <row r="390" spans="1:21" s="7" customFormat="1" ht="16.5" thickBot="1">
      <c r="A390" s="50" t="s">
        <v>35</v>
      </c>
      <c r="B390" s="51">
        <f t="shared" si="21"/>
        <v>150</v>
      </c>
      <c r="C390" s="51" t="s">
        <v>3</v>
      </c>
      <c r="D390" s="51">
        <f t="shared" si="22"/>
        <v>400</v>
      </c>
      <c r="E390" s="51" t="s">
        <v>3</v>
      </c>
      <c r="F390" s="99">
        <f t="shared" si="23"/>
        <v>1750</v>
      </c>
      <c r="G390" s="51" t="s">
        <v>3</v>
      </c>
      <c r="H390" s="48">
        <v>6</v>
      </c>
      <c r="I390" s="49" t="s">
        <v>47</v>
      </c>
      <c r="J390" s="184">
        <v>150</v>
      </c>
      <c r="K390" s="75">
        <v>400</v>
      </c>
      <c r="L390" s="75">
        <v>1750</v>
      </c>
      <c r="M390" s="202">
        <v>25.672732347974474</v>
      </c>
      <c r="N390" s="87">
        <v>1720.6559999999999</v>
      </c>
      <c r="O390" s="123">
        <v>40668.743652575744</v>
      </c>
      <c r="P390" s="121">
        <v>50686.937987225072</v>
      </c>
      <c r="Q390" s="120">
        <v>26032.529374101232</v>
      </c>
      <c r="R390" s="314">
        <v>66701.273026676979</v>
      </c>
      <c r="S390" s="315">
        <v>76719.4673613263</v>
      </c>
      <c r="U390" s="7" t="s">
        <v>3728</v>
      </c>
    </row>
    <row r="391" spans="1:21" s="7" customFormat="1" ht="16.5" thickBot="1">
      <c r="A391" s="50" t="s">
        <v>35</v>
      </c>
      <c r="B391" s="51">
        <f t="shared" si="21"/>
        <v>150</v>
      </c>
      <c r="C391" s="51" t="s">
        <v>3</v>
      </c>
      <c r="D391" s="51">
        <f t="shared" si="22"/>
        <v>400</v>
      </c>
      <c r="E391" s="51" t="s">
        <v>3</v>
      </c>
      <c r="F391" s="99">
        <f t="shared" si="23"/>
        <v>1800</v>
      </c>
      <c r="G391" s="51" t="s">
        <v>3</v>
      </c>
      <c r="H391" s="48">
        <v>6</v>
      </c>
      <c r="I391" s="49" t="s">
        <v>47</v>
      </c>
      <c r="J391" s="184">
        <v>150</v>
      </c>
      <c r="K391" s="75">
        <v>400</v>
      </c>
      <c r="L391" s="75">
        <v>1800</v>
      </c>
      <c r="M391" s="202">
        <v>26.359143377351316</v>
      </c>
      <c r="N391" s="87">
        <v>1782.1079999999999</v>
      </c>
      <c r="O391" s="123">
        <v>41621.244105177349</v>
      </c>
      <c r="P391" s="121">
        <v>51893.685765153125</v>
      </c>
      <c r="Q391" s="120">
        <v>26634.921071101206</v>
      </c>
      <c r="R391" s="314">
        <v>68256.165176278562</v>
      </c>
      <c r="S391" s="315">
        <v>78528.60683625433</v>
      </c>
      <c r="U391" s="7" t="s">
        <v>3729</v>
      </c>
    </row>
    <row r="392" spans="1:21" s="7" customFormat="1" ht="16.5" thickBot="1">
      <c r="A392" s="50" t="s">
        <v>35</v>
      </c>
      <c r="B392" s="51">
        <f t="shared" si="21"/>
        <v>150</v>
      </c>
      <c r="C392" s="51" t="s">
        <v>3</v>
      </c>
      <c r="D392" s="51">
        <f t="shared" si="22"/>
        <v>400</v>
      </c>
      <c r="E392" s="51" t="s">
        <v>3</v>
      </c>
      <c r="F392" s="99">
        <f t="shared" si="23"/>
        <v>1850</v>
      </c>
      <c r="G392" s="51" t="s">
        <v>3</v>
      </c>
      <c r="H392" s="48">
        <v>6</v>
      </c>
      <c r="I392" s="49" t="s">
        <v>47</v>
      </c>
      <c r="J392" s="184">
        <v>150</v>
      </c>
      <c r="K392" s="75">
        <v>400</v>
      </c>
      <c r="L392" s="75">
        <v>1850</v>
      </c>
      <c r="M392" s="202">
        <v>27.045554406728161</v>
      </c>
      <c r="N392" s="87">
        <v>1843.56</v>
      </c>
      <c r="O392" s="123">
        <v>42573.8158776071</v>
      </c>
      <c r="P392" s="121">
        <v>53100.472432042588</v>
      </c>
      <c r="Q392" s="120">
        <v>27467.894686277818</v>
      </c>
      <c r="R392" s="314">
        <v>70041.710563884917</v>
      </c>
      <c r="S392" s="315">
        <v>80568.367118320399</v>
      </c>
      <c r="U392" s="7" t="s">
        <v>3730</v>
      </c>
    </row>
    <row r="393" spans="1:21" s="7" customFormat="1" ht="16.5" thickBot="1">
      <c r="A393" s="50" t="s">
        <v>35</v>
      </c>
      <c r="B393" s="51">
        <f t="shared" si="21"/>
        <v>150</v>
      </c>
      <c r="C393" s="51" t="s">
        <v>3</v>
      </c>
      <c r="D393" s="51">
        <f t="shared" si="22"/>
        <v>400</v>
      </c>
      <c r="E393" s="51" t="s">
        <v>3</v>
      </c>
      <c r="F393" s="99">
        <f t="shared" si="23"/>
        <v>1900</v>
      </c>
      <c r="G393" s="51" t="s">
        <v>3</v>
      </c>
      <c r="H393" s="48">
        <v>6</v>
      </c>
      <c r="I393" s="49" t="s">
        <v>47</v>
      </c>
      <c r="J393" s="184">
        <v>150</v>
      </c>
      <c r="K393" s="75">
        <v>400</v>
      </c>
      <c r="L393" s="75">
        <v>1900</v>
      </c>
      <c r="M393" s="202">
        <v>27.731965436105003</v>
      </c>
      <c r="N393" s="87">
        <v>1905.0119999999999</v>
      </c>
      <c r="O393" s="123">
        <v>43526.453775310583</v>
      </c>
      <c r="P393" s="121">
        <v>54307.295180026216</v>
      </c>
      <c r="Q393" s="120">
        <v>28070.286383277791</v>
      </c>
      <c r="R393" s="314">
        <v>71596.740158588378</v>
      </c>
      <c r="S393" s="315">
        <v>82377.581563304004</v>
      </c>
      <c r="U393" s="7" t="s">
        <v>3731</v>
      </c>
    </row>
    <row r="394" spans="1:21" s="7" customFormat="1" ht="16.5" thickBot="1">
      <c r="A394" s="50" t="s">
        <v>35</v>
      </c>
      <c r="B394" s="51">
        <f t="shared" si="21"/>
        <v>150</v>
      </c>
      <c r="C394" s="51" t="s">
        <v>3</v>
      </c>
      <c r="D394" s="51">
        <f t="shared" si="22"/>
        <v>400</v>
      </c>
      <c r="E394" s="51" t="s">
        <v>3</v>
      </c>
      <c r="F394" s="99">
        <f t="shared" si="23"/>
        <v>1950</v>
      </c>
      <c r="G394" s="51" t="s">
        <v>3</v>
      </c>
      <c r="H394" s="48">
        <v>6</v>
      </c>
      <c r="I394" s="49" t="s">
        <v>47</v>
      </c>
      <c r="J394" s="184">
        <v>150</v>
      </c>
      <c r="K394" s="75">
        <v>400</v>
      </c>
      <c r="L394" s="75">
        <v>1950</v>
      </c>
      <c r="M394" s="202">
        <v>28.536126465481846</v>
      </c>
      <c r="N394" s="87">
        <v>1966.4639999999999</v>
      </c>
      <c r="O394" s="123">
        <v>44601.798279706323</v>
      </c>
      <c r="P394" s="121">
        <v>55638.8412853544</v>
      </c>
      <c r="Q394" s="120">
        <v>28672.678220671129</v>
      </c>
      <c r="R394" s="314">
        <v>73274.476500377452</v>
      </c>
      <c r="S394" s="315">
        <v>84311.519506025536</v>
      </c>
      <c r="U394" s="7" t="s">
        <v>3732</v>
      </c>
    </row>
    <row r="395" spans="1:21" s="7" customFormat="1" ht="16.5" thickBot="1">
      <c r="A395" s="50" t="s">
        <v>35</v>
      </c>
      <c r="B395" s="51">
        <f t="shared" si="21"/>
        <v>150</v>
      </c>
      <c r="C395" s="51" t="s">
        <v>3</v>
      </c>
      <c r="D395" s="51">
        <f t="shared" si="22"/>
        <v>400</v>
      </c>
      <c r="E395" s="51" t="s">
        <v>3</v>
      </c>
      <c r="F395" s="99">
        <f t="shared" si="23"/>
        <v>2000</v>
      </c>
      <c r="G395" s="51" t="s">
        <v>3</v>
      </c>
      <c r="H395" s="48">
        <v>6</v>
      </c>
      <c r="I395" s="49" t="s">
        <v>47</v>
      </c>
      <c r="J395" s="184">
        <v>150</v>
      </c>
      <c r="K395" s="75">
        <v>400</v>
      </c>
      <c r="L395" s="75">
        <v>2000</v>
      </c>
      <c r="M395" s="202">
        <v>29.314099894858689</v>
      </c>
      <c r="N395" s="87">
        <v>2027.9159999999999</v>
      </c>
      <c r="O395" s="123">
        <v>45798.108232312581</v>
      </c>
      <c r="P395" s="121">
        <v>57283.542226587051</v>
      </c>
      <c r="Q395" s="120">
        <v>29505.651695454384</v>
      </c>
      <c r="R395" s="314">
        <v>75303.759927766965</v>
      </c>
      <c r="S395" s="315">
        <v>86789.193922041435</v>
      </c>
      <c r="U395" s="7" t="s">
        <v>3733</v>
      </c>
    </row>
    <row r="396" spans="1:21" s="7" customFormat="1" ht="16.5" thickBot="1">
      <c r="A396" s="50" t="s">
        <v>35</v>
      </c>
      <c r="B396" s="51">
        <f t="shared" si="21"/>
        <v>150</v>
      </c>
      <c r="C396" s="51" t="s">
        <v>3</v>
      </c>
      <c r="D396" s="51">
        <f t="shared" si="22"/>
        <v>400</v>
      </c>
      <c r="E396" s="51" t="s">
        <v>3</v>
      </c>
      <c r="F396" s="99">
        <f t="shared" si="23"/>
        <v>2050</v>
      </c>
      <c r="G396" s="51" t="s">
        <v>3</v>
      </c>
      <c r="H396" s="48">
        <v>6</v>
      </c>
      <c r="I396" s="49" t="s">
        <v>47</v>
      </c>
      <c r="J396" s="184">
        <v>150</v>
      </c>
      <c r="K396" s="75">
        <v>400</v>
      </c>
      <c r="L396" s="75">
        <v>2050</v>
      </c>
      <c r="M396" s="202">
        <v>30.000510924235527</v>
      </c>
      <c r="N396" s="87">
        <v>2089.3679999999999</v>
      </c>
      <c r="O396" s="123">
        <v>46750.901405075005</v>
      </c>
      <c r="P396" s="121">
        <v>58490.374380925969</v>
      </c>
      <c r="Q396" s="120">
        <v>30108.043532847722</v>
      </c>
      <c r="R396" s="314">
        <v>76858.94493792273</v>
      </c>
      <c r="S396" s="315">
        <v>88598.417913773694</v>
      </c>
      <c r="U396" s="7" t="s">
        <v>3734</v>
      </c>
    </row>
    <row r="397" spans="1:21" s="7" customFormat="1" ht="16.5" thickBot="1">
      <c r="A397" s="47" t="s">
        <v>35</v>
      </c>
      <c r="B397" s="48">
        <f t="shared" si="21"/>
        <v>150</v>
      </c>
      <c r="C397" s="48" t="s">
        <v>3</v>
      </c>
      <c r="D397" s="48">
        <f t="shared" si="22"/>
        <v>400</v>
      </c>
      <c r="E397" s="48" t="s">
        <v>3</v>
      </c>
      <c r="F397" s="99">
        <f t="shared" si="23"/>
        <v>2100</v>
      </c>
      <c r="G397" s="48" t="s">
        <v>3</v>
      </c>
      <c r="H397" s="48">
        <v>6</v>
      </c>
      <c r="I397" s="49" t="s">
        <v>47</v>
      </c>
      <c r="J397" s="184">
        <v>150</v>
      </c>
      <c r="K397" s="75">
        <v>400</v>
      </c>
      <c r="L397" s="75">
        <v>2100</v>
      </c>
      <c r="M397" s="202">
        <v>30.686921953612369</v>
      </c>
      <c r="N397" s="87">
        <v>2150.8199999999997</v>
      </c>
      <c r="O397" s="123">
        <v>47703.745259841271</v>
      </c>
      <c r="P397" s="121">
        <v>59697.237421804624</v>
      </c>
      <c r="Q397" s="120">
        <v>30941.01700763097</v>
      </c>
      <c r="R397" s="314">
        <v>78644.762267472237</v>
      </c>
      <c r="S397" s="315">
        <v>90638.25442943559</v>
      </c>
      <c r="U397" s="7" t="s">
        <v>3735</v>
      </c>
    </row>
    <row r="398" spans="1:21" s="7" customFormat="1" ht="16.5" thickBot="1">
      <c r="A398" s="50" t="s">
        <v>35</v>
      </c>
      <c r="B398" s="51">
        <f t="shared" si="21"/>
        <v>150</v>
      </c>
      <c r="C398" s="51" t="s">
        <v>3</v>
      </c>
      <c r="D398" s="51">
        <f t="shared" si="22"/>
        <v>400</v>
      </c>
      <c r="E398" s="51" t="s">
        <v>3</v>
      </c>
      <c r="F398" s="99">
        <f t="shared" si="23"/>
        <v>2150</v>
      </c>
      <c r="G398" s="51" t="s">
        <v>3</v>
      </c>
      <c r="H398" s="48">
        <v>6</v>
      </c>
      <c r="I398" s="49" t="s">
        <v>47</v>
      </c>
      <c r="J398" s="184">
        <v>150</v>
      </c>
      <c r="K398" s="75">
        <v>400</v>
      </c>
      <c r="L398" s="75">
        <v>2150</v>
      </c>
      <c r="M398" s="202">
        <v>31.373332982989211</v>
      </c>
      <c r="N398" s="87">
        <v>2212.2719999999999</v>
      </c>
      <c r="O398" s="123">
        <v>48656.636427170706</v>
      </c>
      <c r="P398" s="121">
        <v>60904.129524109325</v>
      </c>
      <c r="Q398" s="120">
        <v>31543.408845024307</v>
      </c>
      <c r="R398" s="314">
        <v>80200.045272195013</v>
      </c>
      <c r="S398" s="315">
        <v>92447.538369133632</v>
      </c>
      <c r="U398" s="7" t="s">
        <v>3736</v>
      </c>
    </row>
    <row r="399" spans="1:21" s="7" customFormat="1" ht="16.5" thickBot="1">
      <c r="A399" s="50" t="s">
        <v>35</v>
      </c>
      <c r="B399" s="51">
        <f t="shared" si="21"/>
        <v>150</v>
      </c>
      <c r="C399" s="51" t="s">
        <v>3</v>
      </c>
      <c r="D399" s="51">
        <f t="shared" si="22"/>
        <v>400</v>
      </c>
      <c r="E399" s="51" t="s">
        <v>3</v>
      </c>
      <c r="F399" s="99">
        <f t="shared" si="23"/>
        <v>2200</v>
      </c>
      <c r="G399" s="51" t="s">
        <v>3</v>
      </c>
      <c r="H399" s="48">
        <v>6</v>
      </c>
      <c r="I399" s="49" t="s">
        <v>47</v>
      </c>
      <c r="J399" s="184">
        <v>150</v>
      </c>
      <c r="K399" s="75">
        <v>400</v>
      </c>
      <c r="L399" s="75">
        <v>2200</v>
      </c>
      <c r="M399" s="202">
        <v>32.059744012366053</v>
      </c>
      <c r="N399" s="87">
        <v>2273.7240000000002</v>
      </c>
      <c r="O399" s="123">
        <v>49609.572239589419</v>
      </c>
      <c r="P399" s="121">
        <v>62111.048722332984</v>
      </c>
      <c r="Q399" s="120">
        <v>32376.382319807555</v>
      </c>
      <c r="R399" s="314">
        <v>81985.954559396981</v>
      </c>
      <c r="S399" s="315">
        <v>94487.431042140539</v>
      </c>
      <c r="U399" s="7" t="s">
        <v>3737</v>
      </c>
    </row>
    <row r="400" spans="1:21" s="7" customFormat="1" ht="16.5" thickBot="1">
      <c r="A400" s="50" t="s">
        <v>35</v>
      </c>
      <c r="B400" s="51">
        <f t="shared" si="21"/>
        <v>150</v>
      </c>
      <c r="C400" s="51" t="s">
        <v>3</v>
      </c>
      <c r="D400" s="51">
        <f t="shared" si="22"/>
        <v>400</v>
      </c>
      <c r="E400" s="51" t="s">
        <v>3</v>
      </c>
      <c r="F400" s="99">
        <f t="shared" si="23"/>
        <v>2250</v>
      </c>
      <c r="G400" s="51" t="s">
        <v>3</v>
      </c>
      <c r="H400" s="48">
        <v>6</v>
      </c>
      <c r="I400" s="49" t="s">
        <v>47</v>
      </c>
      <c r="J400" s="184">
        <v>150</v>
      </c>
      <c r="K400" s="75">
        <v>400</v>
      </c>
      <c r="L400" s="75">
        <v>2250</v>
      </c>
      <c r="M400" s="202">
        <v>32.746155041742895</v>
      </c>
      <c r="N400" s="87">
        <v>2335.1759999999999</v>
      </c>
      <c r="O400" s="123">
        <v>50562.549608443427</v>
      </c>
      <c r="P400" s="121">
        <v>63317.993472148628</v>
      </c>
      <c r="Q400" s="120">
        <v>32978.774157200758</v>
      </c>
      <c r="R400" s="314">
        <v>83541.323765644192</v>
      </c>
      <c r="S400" s="315">
        <v>96296.767629349386</v>
      </c>
      <c r="U400" s="7" t="s">
        <v>3738</v>
      </c>
    </row>
    <row r="401" spans="1:21" s="7" customFormat="1" ht="16.5" thickBot="1">
      <c r="A401" s="50" t="s">
        <v>35</v>
      </c>
      <c r="B401" s="51">
        <f t="shared" si="21"/>
        <v>150</v>
      </c>
      <c r="C401" s="51" t="s">
        <v>3</v>
      </c>
      <c r="D401" s="51">
        <f t="shared" si="22"/>
        <v>400</v>
      </c>
      <c r="E401" s="51" t="s">
        <v>3</v>
      </c>
      <c r="F401" s="99">
        <f t="shared" si="23"/>
        <v>2300</v>
      </c>
      <c r="G401" s="51" t="s">
        <v>3</v>
      </c>
      <c r="H401" s="48">
        <v>6</v>
      </c>
      <c r="I401" s="49" t="s">
        <v>47</v>
      </c>
      <c r="J401" s="184">
        <v>150</v>
      </c>
      <c r="K401" s="75">
        <v>400</v>
      </c>
      <c r="L401" s="75">
        <v>2300</v>
      </c>
      <c r="M401" s="202">
        <v>33.432566071119737</v>
      </c>
      <c r="N401" s="87">
        <v>2396.6279999999997</v>
      </c>
      <c r="O401" s="123">
        <v>51515.566427832309</v>
      </c>
      <c r="P401" s="121">
        <v>64524.962369622619</v>
      </c>
      <c r="Q401" s="120">
        <v>33581.165854200874</v>
      </c>
      <c r="R401" s="314">
        <v>85096.73228203319</v>
      </c>
      <c r="S401" s="315">
        <v>98106.1282238235</v>
      </c>
      <c r="U401" s="7" t="s">
        <v>3739</v>
      </c>
    </row>
    <row r="402" spans="1:21" s="7" customFormat="1" ht="16.5" thickBot="1">
      <c r="A402" s="50" t="s">
        <v>35</v>
      </c>
      <c r="B402" s="51">
        <f t="shared" si="21"/>
        <v>150</v>
      </c>
      <c r="C402" s="51" t="s">
        <v>3</v>
      </c>
      <c r="D402" s="51">
        <f t="shared" si="22"/>
        <v>400</v>
      </c>
      <c r="E402" s="51" t="s">
        <v>3</v>
      </c>
      <c r="F402" s="99">
        <f t="shared" si="23"/>
        <v>2350</v>
      </c>
      <c r="G402" s="51" t="s">
        <v>3</v>
      </c>
      <c r="H402" s="48">
        <v>6</v>
      </c>
      <c r="I402" s="49" t="s">
        <v>47</v>
      </c>
      <c r="J402" s="184">
        <v>150</v>
      </c>
      <c r="K402" s="75">
        <v>400</v>
      </c>
      <c r="L402" s="75">
        <v>2350</v>
      </c>
      <c r="M402" s="202">
        <v>34.118977100496579</v>
      </c>
      <c r="N402" s="87">
        <v>2458.08</v>
      </c>
      <c r="O402" s="123">
        <v>52468.62031106888</v>
      </c>
      <c r="P402" s="121">
        <v>65731.954010821326</v>
      </c>
      <c r="Q402" s="120">
        <v>34414.139469377486</v>
      </c>
      <c r="R402" s="314">
        <v>86882.759780446358</v>
      </c>
      <c r="S402" s="315">
        <v>100146.09348019882</v>
      </c>
      <c r="U402" s="7" t="s">
        <v>3740</v>
      </c>
    </row>
    <row r="403" spans="1:21" s="7" customFormat="1" ht="16.5" thickBot="1">
      <c r="A403" s="50" t="s">
        <v>35</v>
      </c>
      <c r="B403" s="51">
        <f t="shared" si="21"/>
        <v>150</v>
      </c>
      <c r="C403" s="51" t="s">
        <v>3</v>
      </c>
      <c r="D403" s="51">
        <f t="shared" si="22"/>
        <v>400</v>
      </c>
      <c r="E403" s="51" t="s">
        <v>3</v>
      </c>
      <c r="F403" s="99">
        <f t="shared" si="23"/>
        <v>2400</v>
      </c>
      <c r="G403" s="51" t="s">
        <v>3</v>
      </c>
      <c r="H403" s="48">
        <v>6</v>
      </c>
      <c r="I403" s="49" t="s">
        <v>47</v>
      </c>
      <c r="J403" s="184">
        <v>150</v>
      </c>
      <c r="K403" s="75">
        <v>400</v>
      </c>
      <c r="L403" s="75">
        <v>2400</v>
      </c>
      <c r="M403" s="202">
        <v>34.805388129873421</v>
      </c>
      <c r="N403" s="87">
        <v>2519.5319999999997</v>
      </c>
      <c r="O403" s="123">
        <v>53421.709011859362</v>
      </c>
      <c r="P403" s="121">
        <v>66938.966991811132</v>
      </c>
      <c r="Q403" s="120">
        <v>35016.531306770819</v>
      </c>
      <c r="R403" s="314">
        <v>88438.240318630182</v>
      </c>
      <c r="S403" s="315">
        <v>101955.49829858195</v>
      </c>
      <c r="U403" s="7" t="s">
        <v>3741</v>
      </c>
    </row>
    <row r="404" spans="1:21" s="7" customFormat="1" ht="16.5" thickBot="1">
      <c r="A404" s="50" t="s">
        <v>35</v>
      </c>
      <c r="B404" s="51">
        <f t="shared" si="21"/>
        <v>150</v>
      </c>
      <c r="C404" s="51" t="s">
        <v>3</v>
      </c>
      <c r="D404" s="51">
        <f t="shared" si="22"/>
        <v>400</v>
      </c>
      <c r="E404" s="51" t="s">
        <v>3</v>
      </c>
      <c r="F404" s="99">
        <f t="shared" si="23"/>
        <v>2450</v>
      </c>
      <c r="G404" s="51" t="s">
        <v>3</v>
      </c>
      <c r="H404" s="48">
        <v>6</v>
      </c>
      <c r="I404" s="49" t="s">
        <v>47</v>
      </c>
      <c r="J404" s="184">
        <v>150</v>
      </c>
      <c r="K404" s="75">
        <v>400</v>
      </c>
      <c r="L404" s="75">
        <v>2450</v>
      </c>
      <c r="M404" s="202">
        <v>35.719079351550263</v>
      </c>
      <c r="N404" s="87">
        <v>2580.9839999999999</v>
      </c>
      <c r="O404" s="123">
        <v>55173.560413645813</v>
      </c>
      <c r="P404" s="121">
        <v>68955.927111020486</v>
      </c>
      <c r="Q404" s="120">
        <v>35849.504781554067</v>
      </c>
      <c r="R404" s="314">
        <v>91023.065195199888</v>
      </c>
      <c r="S404" s="315">
        <v>104805.43189257456</v>
      </c>
      <c r="U404" s="7" t="s">
        <v>3742</v>
      </c>
    </row>
    <row r="405" spans="1:21" s="7" customFormat="1" ht="16.5" thickBot="1">
      <c r="A405" s="50" t="s">
        <v>35</v>
      </c>
      <c r="B405" s="51">
        <f t="shared" si="21"/>
        <v>150</v>
      </c>
      <c r="C405" s="51" t="s">
        <v>3</v>
      </c>
      <c r="D405" s="51">
        <f t="shared" si="22"/>
        <v>400</v>
      </c>
      <c r="E405" s="51" t="s">
        <v>3</v>
      </c>
      <c r="F405" s="99">
        <f t="shared" si="23"/>
        <v>2500</v>
      </c>
      <c r="G405" s="51" t="s">
        <v>3</v>
      </c>
      <c r="H405" s="48">
        <v>6</v>
      </c>
      <c r="I405" s="49" t="s">
        <v>47</v>
      </c>
      <c r="J405" s="184">
        <v>150</v>
      </c>
      <c r="K405" s="75">
        <v>400</v>
      </c>
      <c r="L405" s="75">
        <v>2500</v>
      </c>
      <c r="M405" s="202">
        <v>36.405490380927105</v>
      </c>
      <c r="N405" s="87">
        <v>2642.4359999999997</v>
      </c>
      <c r="O405" s="123">
        <v>56126.580602475384</v>
      </c>
      <c r="P405" s="121">
        <v>70162.963116521743</v>
      </c>
      <c r="Q405" s="120">
        <v>36451.896618947409</v>
      </c>
      <c r="R405" s="314">
        <v>92578.4772214228</v>
      </c>
      <c r="S405" s="315">
        <v>106614.85973546916</v>
      </c>
      <c r="U405" s="7" t="s">
        <v>3743</v>
      </c>
    </row>
    <row r="406" spans="1:21" s="7" customFormat="1" ht="16.5" thickBot="1">
      <c r="A406" s="50" t="s">
        <v>35</v>
      </c>
      <c r="B406" s="51">
        <f t="shared" si="21"/>
        <v>150</v>
      </c>
      <c r="C406" s="51" t="s">
        <v>3</v>
      </c>
      <c r="D406" s="51">
        <f t="shared" si="22"/>
        <v>400</v>
      </c>
      <c r="E406" s="51" t="s">
        <v>3</v>
      </c>
      <c r="F406" s="99">
        <f t="shared" si="23"/>
        <v>2550</v>
      </c>
      <c r="G406" s="51" t="s">
        <v>3</v>
      </c>
      <c r="H406" s="48">
        <v>6</v>
      </c>
      <c r="I406" s="49" t="s">
        <v>47</v>
      </c>
      <c r="J406" s="184">
        <v>150</v>
      </c>
      <c r="K406" s="75">
        <v>400</v>
      </c>
      <c r="L406" s="75">
        <v>2550</v>
      </c>
      <c r="M406" s="202">
        <v>37.091901410303947</v>
      </c>
      <c r="N406" s="87">
        <v>2703.8879999999999</v>
      </c>
      <c r="O406" s="123">
        <v>57079.63476649869</v>
      </c>
      <c r="P406" s="121">
        <v>71370.017653946867</v>
      </c>
      <c r="Q406" s="120">
        <v>37284.870093730657</v>
      </c>
      <c r="R406" s="314">
        <v>94364.504860229354</v>
      </c>
      <c r="S406" s="315">
        <v>108654.88774767752</v>
      </c>
      <c r="U406" s="7" t="s">
        <v>3744</v>
      </c>
    </row>
    <row r="407" spans="1:21" s="7" customFormat="1" ht="16.5" thickBot="1">
      <c r="A407" s="47" t="s">
        <v>35</v>
      </c>
      <c r="B407" s="48">
        <f t="shared" si="21"/>
        <v>150</v>
      </c>
      <c r="C407" s="48" t="s">
        <v>3</v>
      </c>
      <c r="D407" s="48">
        <f t="shared" si="22"/>
        <v>400</v>
      </c>
      <c r="E407" s="48" t="s">
        <v>3</v>
      </c>
      <c r="F407" s="99">
        <f t="shared" si="23"/>
        <v>2600</v>
      </c>
      <c r="G407" s="48" t="s">
        <v>3</v>
      </c>
      <c r="H407" s="48">
        <v>6</v>
      </c>
      <c r="I407" s="49" t="s">
        <v>47</v>
      </c>
      <c r="J407" s="184">
        <v>150</v>
      </c>
      <c r="K407" s="75">
        <v>400</v>
      </c>
      <c r="L407" s="75">
        <v>2600</v>
      </c>
      <c r="M407" s="202">
        <v>37.778312439680789</v>
      </c>
      <c r="N407" s="87">
        <v>2765.34</v>
      </c>
      <c r="O407" s="123">
        <v>56965.468428440676</v>
      </c>
      <c r="P407" s="121">
        <v>71214.133568615347</v>
      </c>
      <c r="Q407" s="120">
        <v>37887.261931123991</v>
      </c>
      <c r="R407" s="314">
        <v>94852.730359564666</v>
      </c>
      <c r="S407" s="315">
        <v>109101.39549973933</v>
      </c>
      <c r="U407" s="7" t="s">
        <v>3745</v>
      </c>
    </row>
    <row r="408" spans="1:21" s="7" customFormat="1" ht="16.5" thickBot="1">
      <c r="A408" s="50" t="s">
        <v>35</v>
      </c>
      <c r="B408" s="51">
        <f t="shared" si="21"/>
        <v>150</v>
      </c>
      <c r="C408" s="51" t="s">
        <v>3</v>
      </c>
      <c r="D408" s="51">
        <f t="shared" si="22"/>
        <v>400</v>
      </c>
      <c r="E408" s="51" t="s">
        <v>3</v>
      </c>
      <c r="F408" s="99">
        <f t="shared" si="23"/>
        <v>2650</v>
      </c>
      <c r="G408" s="51" t="s">
        <v>3</v>
      </c>
      <c r="H408" s="48">
        <v>6</v>
      </c>
      <c r="I408" s="49" t="s">
        <v>47</v>
      </c>
      <c r="J408" s="184">
        <v>150</v>
      </c>
      <c r="K408" s="75">
        <v>400</v>
      </c>
      <c r="L408" s="75">
        <v>2650</v>
      </c>
      <c r="M408" s="202">
        <v>38.464723469057638</v>
      </c>
      <c r="N408" s="87">
        <v>2826.7919999999999</v>
      </c>
      <c r="O408" s="123">
        <v>58204.071741106694</v>
      </c>
      <c r="P408" s="121">
        <v>72785.554509570764</v>
      </c>
      <c r="Q408" s="120">
        <v>38720.235405907246</v>
      </c>
      <c r="R408" s="314">
        <v>96924.30714701394</v>
      </c>
      <c r="S408" s="315">
        <v>111505.789915478</v>
      </c>
      <c r="U408" s="7" t="s">
        <v>3746</v>
      </c>
    </row>
    <row r="409" spans="1:21" s="74" customFormat="1" ht="16.5" thickBot="1">
      <c r="A409" s="50" t="s">
        <v>35</v>
      </c>
      <c r="B409" s="51">
        <f t="shared" si="21"/>
        <v>150</v>
      </c>
      <c r="C409" s="51" t="s">
        <v>3</v>
      </c>
      <c r="D409" s="51">
        <f t="shared" si="22"/>
        <v>400</v>
      </c>
      <c r="E409" s="51" t="s">
        <v>3</v>
      </c>
      <c r="F409" s="99">
        <f t="shared" si="23"/>
        <v>2700</v>
      </c>
      <c r="G409" s="51" t="s">
        <v>3</v>
      </c>
      <c r="H409" s="48">
        <v>6</v>
      </c>
      <c r="I409" s="49" t="s">
        <v>47</v>
      </c>
      <c r="J409" s="184">
        <v>150</v>
      </c>
      <c r="K409" s="75">
        <v>400</v>
      </c>
      <c r="L409" s="75">
        <v>2700</v>
      </c>
      <c r="M409" s="202">
        <v>39.268884498434474</v>
      </c>
      <c r="N409" s="87">
        <v>2888.2440000000001</v>
      </c>
      <c r="O409" s="123">
        <v>59282.4005872091</v>
      </c>
      <c r="P409" s="121">
        <v>74120.060106980454</v>
      </c>
      <c r="Q409" s="120">
        <v>39322.627243300587</v>
      </c>
      <c r="R409" s="314">
        <v>98605.027830509687</v>
      </c>
      <c r="S409" s="315">
        <v>113442.68735028105</v>
      </c>
      <c r="U409" s="7" t="s">
        <v>3747</v>
      </c>
    </row>
    <row r="410" spans="1:21" s="74" customFormat="1" ht="16.5" thickBot="1">
      <c r="A410" s="50" t="s">
        <v>35</v>
      </c>
      <c r="B410" s="51">
        <f t="shared" si="21"/>
        <v>150</v>
      </c>
      <c r="C410" s="51" t="s">
        <v>3</v>
      </c>
      <c r="D410" s="51">
        <f t="shared" si="22"/>
        <v>400</v>
      </c>
      <c r="E410" s="51" t="s">
        <v>3</v>
      </c>
      <c r="F410" s="99">
        <f t="shared" si="23"/>
        <v>2750</v>
      </c>
      <c r="G410" s="51" t="s">
        <v>3</v>
      </c>
      <c r="H410" s="48">
        <v>6</v>
      </c>
      <c r="I410" s="49" t="s">
        <v>47</v>
      </c>
      <c r="J410" s="184">
        <v>150</v>
      </c>
      <c r="K410" s="75">
        <v>400</v>
      </c>
      <c r="L410" s="75">
        <v>2750</v>
      </c>
      <c r="M410" s="202">
        <v>39.955295527811316</v>
      </c>
      <c r="N410" s="87">
        <v>2949.6959999999999</v>
      </c>
      <c r="O410" s="123">
        <v>60238.117170958845</v>
      </c>
      <c r="P410" s="121">
        <v>75330.192628485005</v>
      </c>
      <c r="Q410" s="120">
        <v>39925.018940300557</v>
      </c>
      <c r="R410" s="314">
        <v>100163.1361112594</v>
      </c>
      <c r="S410" s="315">
        <v>115255.21156878557</v>
      </c>
      <c r="U410" s="7" t="s">
        <v>3748</v>
      </c>
    </row>
    <row r="411" spans="1:21" s="74" customFormat="1" ht="16.5" thickBot="1">
      <c r="A411" s="50" t="s">
        <v>35</v>
      </c>
      <c r="B411" s="51">
        <f t="shared" si="21"/>
        <v>150</v>
      </c>
      <c r="C411" s="51" t="s">
        <v>3</v>
      </c>
      <c r="D411" s="51">
        <f t="shared" si="22"/>
        <v>400</v>
      </c>
      <c r="E411" s="51" t="s">
        <v>3</v>
      </c>
      <c r="F411" s="99">
        <f t="shared" si="23"/>
        <v>2800</v>
      </c>
      <c r="G411" s="51" t="s">
        <v>3</v>
      </c>
      <c r="H411" s="48">
        <v>6</v>
      </c>
      <c r="I411" s="49" t="s">
        <v>47</v>
      </c>
      <c r="J411" s="184">
        <v>150</v>
      </c>
      <c r="K411" s="75">
        <v>400</v>
      </c>
      <c r="L411" s="75">
        <v>2800</v>
      </c>
      <c r="M411" s="202">
        <v>40.641706557188165</v>
      </c>
      <c r="N411" s="87">
        <v>3011.1480000000001</v>
      </c>
      <c r="O411" s="123">
        <v>61193.844845784239</v>
      </c>
      <c r="P411" s="121">
        <v>76540.329081003729</v>
      </c>
      <c r="Q411" s="120">
        <v>40757.992555477169</v>
      </c>
      <c r="R411" s="314">
        <v>101951.83740126141</v>
      </c>
      <c r="S411" s="315">
        <v>117298.32163648089</v>
      </c>
      <c r="U411" s="7" t="s">
        <v>3749</v>
      </c>
    </row>
    <row r="412" spans="1:21" s="74" customFormat="1" ht="16.5" thickBot="1">
      <c r="A412" s="50" t="s">
        <v>35</v>
      </c>
      <c r="B412" s="51">
        <f t="shared" si="21"/>
        <v>150</v>
      </c>
      <c r="C412" s="51" t="s">
        <v>3</v>
      </c>
      <c r="D412" s="51">
        <f t="shared" si="22"/>
        <v>400</v>
      </c>
      <c r="E412" s="51" t="s">
        <v>3</v>
      </c>
      <c r="F412" s="99">
        <f t="shared" si="23"/>
        <v>2850</v>
      </c>
      <c r="G412" s="51" t="s">
        <v>3</v>
      </c>
      <c r="H412" s="48">
        <v>6</v>
      </c>
      <c r="I412" s="49" t="s">
        <v>47</v>
      </c>
      <c r="J412" s="184">
        <v>150</v>
      </c>
      <c r="K412" s="75">
        <v>400</v>
      </c>
      <c r="L412" s="75">
        <v>2850</v>
      </c>
      <c r="M412" s="202">
        <v>41.328117586565</v>
      </c>
      <c r="N412" s="87">
        <v>3072.6</v>
      </c>
      <c r="O412" s="123">
        <v>62149.582909718447</v>
      </c>
      <c r="P412" s="121">
        <v>77750.469604929953</v>
      </c>
      <c r="Q412" s="120">
        <v>41360.384252477146</v>
      </c>
      <c r="R412" s="314">
        <v>103509.96716219559</v>
      </c>
      <c r="S412" s="315">
        <v>119110.8538574071</v>
      </c>
      <c r="U412" s="7" t="s">
        <v>3750</v>
      </c>
    </row>
    <row r="413" spans="1:21" s="74" customFormat="1" ht="16.5" thickBot="1">
      <c r="A413" s="50" t="s">
        <v>35</v>
      </c>
      <c r="B413" s="51">
        <f t="shared" si="21"/>
        <v>150</v>
      </c>
      <c r="C413" s="51" t="s">
        <v>3</v>
      </c>
      <c r="D413" s="51">
        <f t="shared" si="22"/>
        <v>400</v>
      </c>
      <c r="E413" s="51" t="s">
        <v>3</v>
      </c>
      <c r="F413" s="99">
        <f t="shared" si="23"/>
        <v>2900</v>
      </c>
      <c r="G413" s="51" t="s">
        <v>3</v>
      </c>
      <c r="H413" s="48">
        <v>6</v>
      </c>
      <c r="I413" s="49" t="s">
        <v>47</v>
      </c>
      <c r="J413" s="184">
        <v>150</v>
      </c>
      <c r="K413" s="75">
        <v>400</v>
      </c>
      <c r="L413" s="75">
        <v>2900</v>
      </c>
      <c r="M413" s="202">
        <v>42.014528615941842</v>
      </c>
      <c r="N413" s="87">
        <v>3134.0519999999997</v>
      </c>
      <c r="O413" s="123">
        <v>63105.331081974764</v>
      </c>
      <c r="P413" s="121">
        <v>78960.613638690236</v>
      </c>
      <c r="Q413" s="120">
        <v>42193.357867653758</v>
      </c>
      <c r="R413" s="314">
        <v>105298.68894962853</v>
      </c>
      <c r="S413" s="315">
        <v>121153.97150634399</v>
      </c>
      <c r="U413" s="7" t="s">
        <v>3751</v>
      </c>
    </row>
    <row r="414" spans="1:21" s="74" customFormat="1" ht="16.5" thickBot="1">
      <c r="A414" s="50" t="s">
        <v>35</v>
      </c>
      <c r="B414" s="51">
        <f t="shared" si="21"/>
        <v>150</v>
      </c>
      <c r="C414" s="51" t="s">
        <v>3</v>
      </c>
      <c r="D414" s="51">
        <f t="shared" si="22"/>
        <v>400</v>
      </c>
      <c r="E414" s="51" t="s">
        <v>3</v>
      </c>
      <c r="F414" s="252">
        <f t="shared" si="23"/>
        <v>2950</v>
      </c>
      <c r="G414" s="51" t="s">
        <v>3</v>
      </c>
      <c r="H414" s="48">
        <v>6</v>
      </c>
      <c r="I414" s="253" t="s">
        <v>47</v>
      </c>
      <c r="J414" s="184">
        <v>150</v>
      </c>
      <c r="K414" s="75">
        <v>400</v>
      </c>
      <c r="L414" s="75">
        <v>2950</v>
      </c>
      <c r="M414" s="202">
        <v>42.700939645318691</v>
      </c>
      <c r="N414" s="87">
        <v>3195.5039999999999</v>
      </c>
      <c r="O414" s="123">
        <v>64061.088800979727</v>
      </c>
      <c r="P414" s="121">
        <v>80170.761322677965</v>
      </c>
      <c r="Q414" s="120">
        <v>42795.749564653735</v>
      </c>
      <c r="R414" s="314">
        <v>106856.83836563346</v>
      </c>
      <c r="S414" s="315">
        <v>122966.51088733171</v>
      </c>
      <c r="U414" s="7" t="s">
        <v>3752</v>
      </c>
    </row>
    <row r="415" spans="1:21" s="74" customFormat="1" ht="16.5" thickBot="1">
      <c r="A415" s="47" t="s">
        <v>35</v>
      </c>
      <c r="B415" s="48">
        <f t="shared" si="21"/>
        <v>150</v>
      </c>
      <c r="C415" s="48" t="s">
        <v>3</v>
      </c>
      <c r="D415" s="48">
        <f t="shared" si="22"/>
        <v>400</v>
      </c>
      <c r="E415" s="48" t="s">
        <v>3</v>
      </c>
      <c r="F415" s="99">
        <f t="shared" si="23"/>
        <v>3000</v>
      </c>
      <c r="G415" s="48" t="s">
        <v>3</v>
      </c>
      <c r="H415" s="48">
        <v>6</v>
      </c>
      <c r="I415" s="49" t="s">
        <v>47</v>
      </c>
      <c r="J415" s="186">
        <v>150</v>
      </c>
      <c r="K415" s="147">
        <v>400</v>
      </c>
      <c r="L415" s="147">
        <v>3000</v>
      </c>
      <c r="M415" s="209">
        <v>43.387350674695526</v>
      </c>
      <c r="N415" s="148">
        <v>3256.9559999999997</v>
      </c>
      <c r="O415" s="149">
        <v>66003.197918185469</v>
      </c>
      <c r="P415" s="158">
        <v>81380.912376106367</v>
      </c>
      <c r="Q415" s="159">
        <v>43628.723179830347</v>
      </c>
      <c r="R415" s="316">
        <v>109631.92109801582</v>
      </c>
      <c r="S415" s="317">
        <v>125009.63555593672</v>
      </c>
      <c r="U415" s="7" t="s">
        <v>3753</v>
      </c>
    </row>
    <row r="416" spans="1:21" s="74" customFormat="1" ht="22.5" customHeight="1" thickBot="1">
      <c r="A416" s="2661" t="s">
        <v>67</v>
      </c>
      <c r="B416" s="2659"/>
      <c r="C416" s="2659"/>
      <c r="D416" s="2659"/>
      <c r="E416" s="2659"/>
      <c r="F416" s="2659"/>
      <c r="G416" s="2659"/>
      <c r="H416" s="2659"/>
      <c r="I416" s="2659"/>
      <c r="J416" s="2659"/>
      <c r="K416" s="2659"/>
      <c r="L416" s="2659"/>
      <c r="M416" s="2659"/>
      <c r="N416" s="2659"/>
      <c r="O416" s="2659"/>
      <c r="P416" s="2659"/>
      <c r="Q416" s="2659"/>
      <c r="R416" s="2659"/>
      <c r="S416" s="2660"/>
      <c r="U416" s="7"/>
    </row>
    <row r="417" spans="1:21" s="74" customFormat="1" ht="16.5" thickBot="1">
      <c r="A417" s="2583" t="s">
        <v>140</v>
      </c>
      <c r="B417" s="2584"/>
      <c r="C417" s="2584"/>
      <c r="D417" s="2584"/>
      <c r="E417" s="2584"/>
      <c r="F417" s="2584"/>
      <c r="G417" s="2584"/>
      <c r="H417" s="2584"/>
      <c r="I417" s="2584"/>
      <c r="J417" s="2584"/>
      <c r="K417" s="2584"/>
      <c r="L417" s="2584"/>
      <c r="M417" s="2584"/>
      <c r="N417" s="2584"/>
      <c r="O417" s="2584"/>
      <c r="P417" s="2584"/>
      <c r="Q417" s="2584"/>
      <c r="R417" s="2584"/>
      <c r="S417" s="2585"/>
      <c r="U417" s="7"/>
    </row>
    <row r="418" spans="1:21" s="74" customFormat="1" ht="16.5" thickBot="1">
      <c r="A418" s="47" t="s">
        <v>35</v>
      </c>
      <c r="B418" s="48">
        <f>J418</f>
        <v>150</v>
      </c>
      <c r="C418" s="48" t="s">
        <v>3</v>
      </c>
      <c r="D418" s="48">
        <f>K418</f>
        <v>400</v>
      </c>
      <c r="E418" s="48" t="s">
        <v>3</v>
      </c>
      <c r="F418" s="99">
        <f>L418</f>
        <v>600</v>
      </c>
      <c r="G418" s="48" t="s">
        <v>3</v>
      </c>
      <c r="H418" s="48">
        <v>8</v>
      </c>
      <c r="I418" s="49" t="s">
        <v>47</v>
      </c>
      <c r="J418" s="181">
        <v>150</v>
      </c>
      <c r="K418" s="143">
        <v>400</v>
      </c>
      <c r="L418" s="143">
        <v>600</v>
      </c>
      <c r="M418" s="201">
        <v>10.131745720293686</v>
      </c>
      <c r="N418" s="144">
        <v>341.4</v>
      </c>
      <c r="O418" s="145">
        <v>20235.493272455893</v>
      </c>
      <c r="P418" s="183">
        <v>24055.707436443903</v>
      </c>
      <c r="Q418" s="169">
        <v>9871.7007401553401</v>
      </c>
      <c r="R418" s="312">
        <v>30107.194012611231</v>
      </c>
      <c r="S418" s="313">
        <v>33927.408176599245</v>
      </c>
      <c r="U418" s="7" t="s">
        <v>3754</v>
      </c>
    </row>
    <row r="419" spans="1:21" s="74" customFormat="1" ht="16.5" thickBot="1">
      <c r="A419" s="50" t="s">
        <v>35</v>
      </c>
      <c r="B419" s="51">
        <f t="shared" ref="B419:B466" si="24">J419</f>
        <v>150</v>
      </c>
      <c r="C419" s="51" t="s">
        <v>3</v>
      </c>
      <c r="D419" s="51">
        <f t="shared" ref="D419:D466" si="25">K419</f>
        <v>400</v>
      </c>
      <c r="E419" s="51" t="s">
        <v>3</v>
      </c>
      <c r="F419" s="99">
        <f t="shared" ref="F419:F466" si="26">L419</f>
        <v>650</v>
      </c>
      <c r="G419" s="51" t="s">
        <v>3</v>
      </c>
      <c r="H419" s="48">
        <v>8</v>
      </c>
      <c r="I419" s="49" t="s">
        <v>47</v>
      </c>
      <c r="J419" s="184">
        <v>150</v>
      </c>
      <c r="K419" s="75">
        <v>400</v>
      </c>
      <c r="L419" s="75">
        <v>650</v>
      </c>
      <c r="M419" s="202">
        <v>10.884779139550528</v>
      </c>
      <c r="N419" s="87">
        <v>409.67999999999995</v>
      </c>
      <c r="O419" s="123">
        <v>21415.460033733529</v>
      </c>
      <c r="P419" s="121">
        <v>25470.006584184004</v>
      </c>
      <c r="Q419" s="120">
        <v>10474.092577548676</v>
      </c>
      <c r="R419" s="314">
        <v>31889.552611282204</v>
      </c>
      <c r="S419" s="315">
        <v>35944.09916173268</v>
      </c>
      <c r="U419" s="7" t="s">
        <v>3755</v>
      </c>
    </row>
    <row r="420" spans="1:21" s="74" customFormat="1" ht="16.5" thickBot="1">
      <c r="A420" s="50" t="s">
        <v>35</v>
      </c>
      <c r="B420" s="51">
        <f t="shared" si="24"/>
        <v>150</v>
      </c>
      <c r="C420" s="51" t="s">
        <v>3</v>
      </c>
      <c r="D420" s="51">
        <f t="shared" si="25"/>
        <v>400</v>
      </c>
      <c r="E420" s="51" t="s">
        <v>3</v>
      </c>
      <c r="F420" s="99">
        <f t="shared" si="26"/>
        <v>700</v>
      </c>
      <c r="G420" s="51" t="s">
        <v>3</v>
      </c>
      <c r="H420" s="48">
        <v>8</v>
      </c>
      <c r="I420" s="49" t="s">
        <v>47</v>
      </c>
      <c r="J420" s="184">
        <v>150</v>
      </c>
      <c r="K420" s="75">
        <v>400</v>
      </c>
      <c r="L420" s="75">
        <v>700</v>
      </c>
      <c r="M420" s="202">
        <v>11.654852558807367</v>
      </c>
      <c r="N420" s="87">
        <v>477.96</v>
      </c>
      <c r="O420" s="123">
        <v>22595.396891224955</v>
      </c>
      <c r="P420" s="121">
        <v>26884.305872317469</v>
      </c>
      <c r="Q420" s="120">
        <v>11307.066052331927</v>
      </c>
      <c r="R420" s="314">
        <v>33902.462943556879</v>
      </c>
      <c r="S420" s="315">
        <v>38191.3719246494</v>
      </c>
      <c r="U420" s="7" t="s">
        <v>3756</v>
      </c>
    </row>
    <row r="421" spans="1:21" s="74" customFormat="1" ht="16.5" thickBot="1">
      <c r="A421" s="50" t="s">
        <v>35</v>
      </c>
      <c r="B421" s="51">
        <f t="shared" si="24"/>
        <v>150</v>
      </c>
      <c r="C421" s="51" t="s">
        <v>3</v>
      </c>
      <c r="D421" s="51">
        <f t="shared" si="25"/>
        <v>400</v>
      </c>
      <c r="E421" s="51" t="s">
        <v>3</v>
      </c>
      <c r="F421" s="99">
        <f t="shared" si="26"/>
        <v>750</v>
      </c>
      <c r="G421" s="51" t="s">
        <v>3</v>
      </c>
      <c r="H421" s="48">
        <v>8</v>
      </c>
      <c r="I421" s="49" t="s">
        <v>47</v>
      </c>
      <c r="J421" s="184">
        <v>150</v>
      </c>
      <c r="K421" s="75">
        <v>400</v>
      </c>
      <c r="L421" s="75">
        <v>750</v>
      </c>
      <c r="M421" s="202">
        <v>12.407885978064211</v>
      </c>
      <c r="N421" s="87">
        <v>546.24</v>
      </c>
      <c r="O421" s="123">
        <v>23775.307916337679</v>
      </c>
      <c r="P421" s="121">
        <v>28298.60502005757</v>
      </c>
      <c r="Q421" s="120">
        <v>11909.457889725263</v>
      </c>
      <c r="R421" s="314">
        <v>35684.76580606294</v>
      </c>
      <c r="S421" s="315">
        <v>40208.062909782835</v>
      </c>
      <c r="U421" s="7" t="s">
        <v>3757</v>
      </c>
    </row>
    <row r="422" spans="1:21" s="74" customFormat="1" ht="16.5" thickBot="1">
      <c r="A422" s="50" t="s">
        <v>35</v>
      </c>
      <c r="B422" s="51">
        <f t="shared" si="24"/>
        <v>150</v>
      </c>
      <c r="C422" s="51" t="s">
        <v>3</v>
      </c>
      <c r="D422" s="51">
        <f t="shared" si="25"/>
        <v>400</v>
      </c>
      <c r="E422" s="51" t="s">
        <v>3</v>
      </c>
      <c r="F422" s="99">
        <f t="shared" si="26"/>
        <v>800</v>
      </c>
      <c r="G422" s="51" t="s">
        <v>3</v>
      </c>
      <c r="H422" s="48">
        <v>8</v>
      </c>
      <c r="I422" s="49" t="s">
        <v>47</v>
      </c>
      <c r="J422" s="184">
        <v>150</v>
      </c>
      <c r="K422" s="75">
        <v>400</v>
      </c>
      <c r="L422" s="75">
        <v>800</v>
      </c>
      <c r="M422" s="202">
        <v>13.160919397321054</v>
      </c>
      <c r="N422" s="87">
        <v>614.52</v>
      </c>
      <c r="O422" s="123">
        <v>24955.197180479219</v>
      </c>
      <c r="P422" s="121">
        <v>29712.904167797671</v>
      </c>
      <c r="Q422" s="120">
        <v>12511.84958672524</v>
      </c>
      <c r="R422" s="314">
        <v>37467.046767204462</v>
      </c>
      <c r="S422" s="315">
        <v>42224.753754522913</v>
      </c>
      <c r="U422" s="7" t="s">
        <v>3758</v>
      </c>
    </row>
    <row r="423" spans="1:21" s="74" customFormat="1" ht="16.5" thickBot="1">
      <c r="A423" s="50" t="s">
        <v>35</v>
      </c>
      <c r="B423" s="51">
        <f t="shared" si="24"/>
        <v>150</v>
      </c>
      <c r="C423" s="51" t="s">
        <v>3</v>
      </c>
      <c r="D423" s="51">
        <f t="shared" si="25"/>
        <v>400</v>
      </c>
      <c r="E423" s="51" t="s">
        <v>3</v>
      </c>
      <c r="F423" s="99">
        <f t="shared" si="26"/>
        <v>850</v>
      </c>
      <c r="G423" s="51" t="s">
        <v>3</v>
      </c>
      <c r="H423" s="48">
        <v>8</v>
      </c>
      <c r="I423" s="49" t="s">
        <v>47</v>
      </c>
      <c r="J423" s="184">
        <v>150</v>
      </c>
      <c r="K423" s="75">
        <v>400</v>
      </c>
      <c r="L423" s="75">
        <v>850</v>
      </c>
      <c r="M423" s="202">
        <v>13.930992816577895</v>
      </c>
      <c r="N423" s="87">
        <v>682.8</v>
      </c>
      <c r="O423" s="123">
        <v>26135.067351123456</v>
      </c>
      <c r="P423" s="121">
        <v>31127.203455931129</v>
      </c>
      <c r="Q423" s="120">
        <v>13344.823201901852</v>
      </c>
      <c r="R423" s="314">
        <v>39479.890553025311</v>
      </c>
      <c r="S423" s="315">
        <v>44472.026657832983</v>
      </c>
      <c r="U423" s="7" t="s">
        <v>3759</v>
      </c>
    </row>
    <row r="424" spans="1:21" s="74" customFormat="1" ht="16.5" thickBot="1">
      <c r="A424" s="50" t="s">
        <v>35</v>
      </c>
      <c r="B424" s="51">
        <f t="shared" si="24"/>
        <v>150</v>
      </c>
      <c r="C424" s="51" t="s">
        <v>3</v>
      </c>
      <c r="D424" s="51">
        <f t="shared" si="25"/>
        <v>400</v>
      </c>
      <c r="E424" s="51" t="s">
        <v>3</v>
      </c>
      <c r="F424" s="99">
        <f t="shared" si="26"/>
        <v>900</v>
      </c>
      <c r="G424" s="51" t="s">
        <v>3</v>
      </c>
      <c r="H424" s="48">
        <v>8</v>
      </c>
      <c r="I424" s="49" t="s">
        <v>47</v>
      </c>
      <c r="J424" s="184">
        <v>150</v>
      </c>
      <c r="K424" s="75">
        <v>400</v>
      </c>
      <c r="L424" s="75">
        <v>900</v>
      </c>
      <c r="M424" s="202">
        <v>14.68402623583474</v>
      </c>
      <c r="N424" s="87">
        <v>751.07999999999993</v>
      </c>
      <c r="O424" s="123">
        <v>27314.920955350917</v>
      </c>
      <c r="P424" s="121">
        <v>32541.50260367123</v>
      </c>
      <c r="Q424" s="120">
        <v>13947.21489890183</v>
      </c>
      <c r="R424" s="314">
        <v>41262.135854252745</v>
      </c>
      <c r="S424" s="315">
        <v>46488.717502573061</v>
      </c>
      <c r="U424" s="7" t="s">
        <v>3760</v>
      </c>
    </row>
    <row r="425" spans="1:21" s="74" customFormat="1" ht="16.5" thickBot="1">
      <c r="A425" s="50" t="s">
        <v>35</v>
      </c>
      <c r="B425" s="51">
        <f t="shared" si="24"/>
        <v>150</v>
      </c>
      <c r="C425" s="51" t="s">
        <v>3</v>
      </c>
      <c r="D425" s="51">
        <f t="shared" si="25"/>
        <v>400</v>
      </c>
      <c r="E425" s="51" t="s">
        <v>3</v>
      </c>
      <c r="F425" s="99">
        <f t="shared" si="26"/>
        <v>950</v>
      </c>
      <c r="G425" s="51" t="s">
        <v>3</v>
      </c>
      <c r="H425" s="48">
        <v>8</v>
      </c>
      <c r="I425" s="49" t="s">
        <v>47</v>
      </c>
      <c r="J425" s="184">
        <v>150</v>
      </c>
      <c r="K425" s="75">
        <v>400</v>
      </c>
      <c r="L425" s="75">
        <v>950</v>
      </c>
      <c r="M425" s="202">
        <v>15.454099655091579</v>
      </c>
      <c r="N425" s="87">
        <v>819.3599999999999</v>
      </c>
      <c r="O425" s="123">
        <v>28355.536634451753</v>
      </c>
      <c r="P425" s="121">
        <v>33811.420515449521</v>
      </c>
      <c r="Q425" s="120">
        <v>14780.188514078442</v>
      </c>
      <c r="R425" s="314">
        <v>43135.725148530197</v>
      </c>
      <c r="S425" s="315">
        <v>48591.609029527965</v>
      </c>
      <c r="U425" s="7" t="s">
        <v>3761</v>
      </c>
    </row>
    <row r="426" spans="1:21" s="74" customFormat="1" ht="16.5" thickBot="1">
      <c r="A426" s="50" t="s">
        <v>35</v>
      </c>
      <c r="B426" s="51">
        <f t="shared" si="24"/>
        <v>150</v>
      </c>
      <c r="C426" s="51" t="s">
        <v>3</v>
      </c>
      <c r="D426" s="51">
        <f t="shared" si="25"/>
        <v>400</v>
      </c>
      <c r="E426" s="51" t="s">
        <v>3</v>
      </c>
      <c r="F426" s="99">
        <f t="shared" si="26"/>
        <v>1000</v>
      </c>
      <c r="G426" s="51" t="s">
        <v>3</v>
      </c>
      <c r="H426" s="48">
        <v>8</v>
      </c>
      <c r="I426" s="49" t="s">
        <v>47</v>
      </c>
      <c r="J426" s="184">
        <v>150</v>
      </c>
      <c r="K426" s="75">
        <v>400</v>
      </c>
      <c r="L426" s="75">
        <v>1000</v>
      </c>
      <c r="M426" s="202">
        <v>16.207133074348423</v>
      </c>
      <c r="N426" s="87">
        <v>887.64</v>
      </c>
      <c r="O426" s="123">
        <v>29744.23210427937</v>
      </c>
      <c r="P426" s="121">
        <v>35442.291587329019</v>
      </c>
      <c r="Q426" s="120">
        <v>15382.580351471779</v>
      </c>
      <c r="R426" s="314">
        <v>45126.812455751147</v>
      </c>
      <c r="S426" s="315">
        <v>50824.871938800796</v>
      </c>
      <c r="U426" s="7" t="s">
        <v>3762</v>
      </c>
    </row>
    <row r="427" spans="1:21" s="74" customFormat="1" ht="16.5" thickBot="1">
      <c r="A427" s="50" t="s">
        <v>35</v>
      </c>
      <c r="B427" s="51">
        <f t="shared" si="24"/>
        <v>150</v>
      </c>
      <c r="C427" s="51" t="s">
        <v>3</v>
      </c>
      <c r="D427" s="51">
        <f t="shared" si="25"/>
        <v>400</v>
      </c>
      <c r="E427" s="51" t="s">
        <v>3</v>
      </c>
      <c r="F427" s="99">
        <f t="shared" si="26"/>
        <v>1050</v>
      </c>
      <c r="G427" s="51" t="s">
        <v>3</v>
      </c>
      <c r="H427" s="48">
        <v>8</v>
      </c>
      <c r="I427" s="49" t="s">
        <v>47</v>
      </c>
      <c r="J427" s="184">
        <v>150</v>
      </c>
      <c r="K427" s="75">
        <v>400</v>
      </c>
      <c r="L427" s="75">
        <v>1050</v>
      </c>
      <c r="M427" s="202">
        <v>16.977206493605262</v>
      </c>
      <c r="N427" s="87">
        <v>955.92</v>
      </c>
      <c r="O427" s="123">
        <v>30924.078408051981</v>
      </c>
      <c r="P427" s="121">
        <v>36856.59073506912</v>
      </c>
      <c r="Q427" s="120">
        <v>16215.553826255029</v>
      </c>
      <c r="R427" s="314">
        <v>47139.632234307006</v>
      </c>
      <c r="S427" s="315">
        <v>53072.144561324152</v>
      </c>
      <c r="U427" s="7" t="s">
        <v>3763</v>
      </c>
    </row>
    <row r="428" spans="1:21" s="7" customFormat="1" ht="16.5" thickBot="1">
      <c r="A428" s="47" t="s">
        <v>35</v>
      </c>
      <c r="B428" s="48">
        <f t="shared" si="24"/>
        <v>150</v>
      </c>
      <c r="C428" s="48" t="s">
        <v>3</v>
      </c>
      <c r="D428" s="48">
        <f t="shared" si="25"/>
        <v>400</v>
      </c>
      <c r="E428" s="48" t="s">
        <v>3</v>
      </c>
      <c r="F428" s="99">
        <f t="shared" si="26"/>
        <v>1100</v>
      </c>
      <c r="G428" s="48" t="s">
        <v>3</v>
      </c>
      <c r="H428" s="48">
        <v>8</v>
      </c>
      <c r="I428" s="49" t="s">
        <v>47</v>
      </c>
      <c r="J428" s="184">
        <v>150</v>
      </c>
      <c r="K428" s="75">
        <v>400</v>
      </c>
      <c r="L428" s="75">
        <v>1100</v>
      </c>
      <c r="M428" s="202">
        <v>17.730239912862107</v>
      </c>
      <c r="N428" s="87">
        <v>1024.2</v>
      </c>
      <c r="O428" s="123">
        <v>32103.912357208694</v>
      </c>
      <c r="P428" s="121">
        <v>38270.890023202584</v>
      </c>
      <c r="Q428" s="120">
        <v>16817.945663648366</v>
      </c>
      <c r="R428" s="314">
        <v>48921.858020857064</v>
      </c>
      <c r="S428" s="315">
        <v>55088.835686850951</v>
      </c>
      <c r="U428" s="7" t="s">
        <v>3764</v>
      </c>
    </row>
    <row r="429" spans="1:21" s="7" customFormat="1" ht="16.5" thickBot="1">
      <c r="A429" s="50" t="s">
        <v>35</v>
      </c>
      <c r="B429" s="51">
        <f t="shared" si="24"/>
        <v>150</v>
      </c>
      <c r="C429" s="51" t="s">
        <v>3</v>
      </c>
      <c r="D429" s="51">
        <f t="shared" si="25"/>
        <v>400</v>
      </c>
      <c r="E429" s="51" t="s">
        <v>3</v>
      </c>
      <c r="F429" s="99">
        <f t="shared" si="26"/>
        <v>1150</v>
      </c>
      <c r="G429" s="51" t="s">
        <v>3</v>
      </c>
      <c r="H429" s="48">
        <v>8</v>
      </c>
      <c r="I429" s="49" t="s">
        <v>47</v>
      </c>
      <c r="J429" s="184">
        <v>150</v>
      </c>
      <c r="K429" s="75">
        <v>400</v>
      </c>
      <c r="L429" s="75">
        <v>1150</v>
      </c>
      <c r="M429" s="202">
        <v>18.483273332118952</v>
      </c>
      <c r="N429" s="87">
        <v>1092.48</v>
      </c>
      <c r="O429" s="123">
        <v>33283.735355683129</v>
      </c>
      <c r="P429" s="121">
        <v>39685.189170942678</v>
      </c>
      <c r="Q429" s="120">
        <v>17420.33736064834</v>
      </c>
      <c r="R429" s="314">
        <v>50704.072716331473</v>
      </c>
      <c r="S429" s="315">
        <v>57105.526531591022</v>
      </c>
      <c r="U429" s="7" t="s">
        <v>3765</v>
      </c>
    </row>
    <row r="430" spans="1:21" s="7" customFormat="1" ht="16.5" thickBot="1">
      <c r="A430" s="50" t="s">
        <v>35</v>
      </c>
      <c r="B430" s="51">
        <f t="shared" si="24"/>
        <v>150</v>
      </c>
      <c r="C430" s="51" t="s">
        <v>3</v>
      </c>
      <c r="D430" s="51">
        <f t="shared" si="25"/>
        <v>400</v>
      </c>
      <c r="E430" s="51" t="s">
        <v>3</v>
      </c>
      <c r="F430" s="99">
        <f t="shared" si="26"/>
        <v>1200</v>
      </c>
      <c r="G430" s="51" t="s">
        <v>3</v>
      </c>
      <c r="H430" s="48">
        <v>8</v>
      </c>
      <c r="I430" s="49" t="s">
        <v>47</v>
      </c>
      <c r="J430" s="184">
        <v>150</v>
      </c>
      <c r="K430" s="75">
        <v>400</v>
      </c>
      <c r="L430" s="75">
        <v>1200</v>
      </c>
      <c r="M430" s="202">
        <v>19.410346751375791</v>
      </c>
      <c r="N430" s="87">
        <v>1160.76</v>
      </c>
      <c r="O430" s="123">
        <v>34617.989648973948</v>
      </c>
      <c r="P430" s="121">
        <v>41254.320717335817</v>
      </c>
      <c r="Q430" s="120">
        <v>18253.310975824952</v>
      </c>
      <c r="R430" s="314">
        <v>52871.300624798896</v>
      </c>
      <c r="S430" s="315">
        <v>59507.631693160773</v>
      </c>
      <c r="U430" s="7" t="s">
        <v>3766</v>
      </c>
    </row>
    <row r="431" spans="1:21" s="7" customFormat="1" ht="16.5" thickBot="1">
      <c r="A431" s="50" t="s">
        <v>35</v>
      </c>
      <c r="B431" s="51">
        <f t="shared" si="24"/>
        <v>150</v>
      </c>
      <c r="C431" s="51" t="s">
        <v>3</v>
      </c>
      <c r="D431" s="51">
        <f t="shared" si="25"/>
        <v>400</v>
      </c>
      <c r="E431" s="51" t="s">
        <v>3</v>
      </c>
      <c r="F431" s="99">
        <f t="shared" si="26"/>
        <v>1250</v>
      </c>
      <c r="G431" s="51" t="s">
        <v>3</v>
      </c>
      <c r="H431" s="48">
        <v>8</v>
      </c>
      <c r="I431" s="49" t="s">
        <v>47</v>
      </c>
      <c r="J431" s="184">
        <v>150</v>
      </c>
      <c r="K431" s="75">
        <v>400</v>
      </c>
      <c r="L431" s="75">
        <v>1250</v>
      </c>
      <c r="M431" s="202">
        <v>20.163380170632632</v>
      </c>
      <c r="N431" s="87">
        <v>1229.04</v>
      </c>
      <c r="O431" s="123">
        <v>35797.790746083832</v>
      </c>
      <c r="P431" s="121">
        <v>42668.619865075918</v>
      </c>
      <c r="Q431" s="120">
        <v>18855.702672824929</v>
      </c>
      <c r="R431" s="314">
        <v>54653.493418908765</v>
      </c>
      <c r="S431" s="315">
        <v>61524.322537900851</v>
      </c>
      <c r="U431" s="7" t="s">
        <v>3767</v>
      </c>
    </row>
    <row r="432" spans="1:21" s="7" customFormat="1" ht="16.5" thickBot="1">
      <c r="A432" s="50" t="s">
        <v>35</v>
      </c>
      <c r="B432" s="51">
        <f t="shared" si="24"/>
        <v>150</v>
      </c>
      <c r="C432" s="51" t="s">
        <v>3</v>
      </c>
      <c r="D432" s="51">
        <f t="shared" si="25"/>
        <v>400</v>
      </c>
      <c r="E432" s="51" t="s">
        <v>3</v>
      </c>
      <c r="F432" s="99">
        <f t="shared" si="26"/>
        <v>1300</v>
      </c>
      <c r="G432" s="51" t="s">
        <v>3</v>
      </c>
      <c r="H432" s="48">
        <v>8</v>
      </c>
      <c r="I432" s="49" t="s">
        <v>47</v>
      </c>
      <c r="J432" s="184">
        <v>150</v>
      </c>
      <c r="K432" s="75">
        <v>400</v>
      </c>
      <c r="L432" s="75">
        <v>1300</v>
      </c>
      <c r="M432" s="202">
        <v>20.933453589889478</v>
      </c>
      <c r="N432" s="87">
        <v>1297.32</v>
      </c>
      <c r="O432" s="123">
        <v>36977.583981165422</v>
      </c>
      <c r="P432" s="121">
        <v>44082.919153209383</v>
      </c>
      <c r="Q432" s="120">
        <v>19688.676288001541</v>
      </c>
      <c r="R432" s="314">
        <v>56666.26026916696</v>
      </c>
      <c r="S432" s="315">
        <v>63771.595441210928</v>
      </c>
      <c r="U432" s="7" t="s">
        <v>3768</v>
      </c>
    </row>
    <row r="433" spans="1:21" s="7" customFormat="1" ht="16.5" thickBot="1">
      <c r="A433" s="50" t="s">
        <v>35</v>
      </c>
      <c r="B433" s="51">
        <f t="shared" si="24"/>
        <v>150</v>
      </c>
      <c r="C433" s="51" t="s">
        <v>3</v>
      </c>
      <c r="D433" s="51">
        <f t="shared" si="25"/>
        <v>400</v>
      </c>
      <c r="E433" s="51" t="s">
        <v>3</v>
      </c>
      <c r="F433" s="99">
        <f t="shared" si="26"/>
        <v>1350</v>
      </c>
      <c r="G433" s="51" t="s">
        <v>3</v>
      </c>
      <c r="H433" s="48">
        <v>8</v>
      </c>
      <c r="I433" s="49" t="s">
        <v>47</v>
      </c>
      <c r="J433" s="184">
        <v>150</v>
      </c>
      <c r="K433" s="75">
        <v>400</v>
      </c>
      <c r="L433" s="75">
        <v>1350</v>
      </c>
      <c r="M433" s="202">
        <v>21.686487009146319</v>
      </c>
      <c r="N433" s="87">
        <v>1365.6</v>
      </c>
      <c r="O433" s="123">
        <v>38157.370056185522</v>
      </c>
      <c r="P433" s="121">
        <v>45497.218300949484</v>
      </c>
      <c r="Q433" s="120">
        <v>20291.067985001515</v>
      </c>
      <c r="R433" s="314">
        <v>58448.438041187037</v>
      </c>
      <c r="S433" s="315">
        <v>65788.286285951006</v>
      </c>
      <c r="U433" s="7" t="s">
        <v>3769</v>
      </c>
    </row>
    <row r="434" spans="1:21" s="7" customFormat="1" ht="16.5" thickBot="1">
      <c r="A434" s="50" t="s">
        <v>35</v>
      </c>
      <c r="B434" s="51">
        <f t="shared" si="24"/>
        <v>150</v>
      </c>
      <c r="C434" s="51" t="s">
        <v>3</v>
      </c>
      <c r="D434" s="51">
        <f t="shared" si="25"/>
        <v>400</v>
      </c>
      <c r="E434" s="51" t="s">
        <v>3</v>
      </c>
      <c r="F434" s="99">
        <f t="shared" si="26"/>
        <v>1400</v>
      </c>
      <c r="G434" s="51" t="s">
        <v>3</v>
      </c>
      <c r="H434" s="48">
        <v>8</v>
      </c>
      <c r="I434" s="49" t="s">
        <v>47</v>
      </c>
      <c r="J434" s="184">
        <v>150</v>
      </c>
      <c r="K434" s="75">
        <v>400</v>
      </c>
      <c r="L434" s="75">
        <v>1400</v>
      </c>
      <c r="M434" s="202">
        <v>22.456560428403158</v>
      </c>
      <c r="N434" s="87">
        <v>1433.88</v>
      </c>
      <c r="O434" s="123">
        <v>39337.149673110944</v>
      </c>
      <c r="P434" s="121">
        <v>46911.517448689585</v>
      </c>
      <c r="Q434" s="120">
        <v>21124.04160017813</v>
      </c>
      <c r="R434" s="314">
        <v>60461.191273289078</v>
      </c>
      <c r="S434" s="315">
        <v>68035.559048867712</v>
      </c>
      <c r="U434" s="7" t="s">
        <v>3770</v>
      </c>
    </row>
    <row r="435" spans="1:21" s="7" customFormat="1" ht="16.5" thickBot="1">
      <c r="A435" s="50" t="s">
        <v>35</v>
      </c>
      <c r="B435" s="51">
        <f t="shared" si="24"/>
        <v>150</v>
      </c>
      <c r="C435" s="51" t="s">
        <v>3</v>
      </c>
      <c r="D435" s="51">
        <f t="shared" si="25"/>
        <v>400</v>
      </c>
      <c r="E435" s="51" t="s">
        <v>3</v>
      </c>
      <c r="F435" s="99">
        <f t="shared" si="26"/>
        <v>1450</v>
      </c>
      <c r="G435" s="51" t="s">
        <v>3</v>
      </c>
      <c r="H435" s="48">
        <v>8</v>
      </c>
      <c r="I435" s="49" t="s">
        <v>47</v>
      </c>
      <c r="J435" s="184">
        <v>150</v>
      </c>
      <c r="K435" s="75">
        <v>400</v>
      </c>
      <c r="L435" s="75">
        <v>1450</v>
      </c>
      <c r="M435" s="202">
        <v>23.209593847660003</v>
      </c>
      <c r="N435" s="87">
        <v>1502.1599999999999</v>
      </c>
      <c r="O435" s="123">
        <v>40516.923393515142</v>
      </c>
      <c r="P435" s="121">
        <v>48325.816736823042</v>
      </c>
      <c r="Q435" s="120">
        <v>21726.433297178104</v>
      </c>
      <c r="R435" s="314">
        <v>62243.356690693246</v>
      </c>
      <c r="S435" s="315">
        <v>70052.250034001147</v>
      </c>
      <c r="U435" s="7" t="s">
        <v>3771</v>
      </c>
    </row>
    <row r="436" spans="1:21" s="7" customFormat="1" ht="16.5" thickBot="1">
      <c r="A436" s="50" t="s">
        <v>35</v>
      </c>
      <c r="B436" s="51">
        <f t="shared" si="24"/>
        <v>150</v>
      </c>
      <c r="C436" s="51" t="s">
        <v>3</v>
      </c>
      <c r="D436" s="51">
        <f t="shared" si="25"/>
        <v>400</v>
      </c>
      <c r="E436" s="51" t="s">
        <v>3</v>
      </c>
      <c r="F436" s="99">
        <f t="shared" si="26"/>
        <v>1500</v>
      </c>
      <c r="G436" s="51" t="s">
        <v>3</v>
      </c>
      <c r="H436" s="48">
        <v>8</v>
      </c>
      <c r="I436" s="49" t="s">
        <v>47</v>
      </c>
      <c r="J436" s="184">
        <v>150</v>
      </c>
      <c r="K436" s="75">
        <v>400</v>
      </c>
      <c r="L436" s="75">
        <v>1500</v>
      </c>
      <c r="M436" s="202">
        <v>24.206947459216845</v>
      </c>
      <c r="N436" s="87">
        <v>1570.44</v>
      </c>
      <c r="O436" s="123">
        <v>42541.778112284599</v>
      </c>
      <c r="P436" s="121">
        <v>50564.272936968118</v>
      </c>
      <c r="Q436" s="120">
        <v>22559.406912354716</v>
      </c>
      <c r="R436" s="314">
        <v>65101.185024639315</v>
      </c>
      <c r="S436" s="315">
        <v>73123.679849322827</v>
      </c>
      <c r="U436" s="7" t="s">
        <v>3772</v>
      </c>
    </row>
    <row r="437" spans="1:21" s="7" customFormat="1" ht="16.5" thickBot="1">
      <c r="A437" s="50" t="s">
        <v>35</v>
      </c>
      <c r="B437" s="51">
        <f t="shared" si="24"/>
        <v>150</v>
      </c>
      <c r="C437" s="51" t="s">
        <v>3</v>
      </c>
      <c r="D437" s="51">
        <f t="shared" si="25"/>
        <v>400</v>
      </c>
      <c r="E437" s="51" t="s">
        <v>3</v>
      </c>
      <c r="F437" s="99">
        <f t="shared" si="26"/>
        <v>1550</v>
      </c>
      <c r="G437" s="51" t="s">
        <v>3</v>
      </c>
      <c r="H437" s="48">
        <v>8</v>
      </c>
      <c r="I437" s="49" t="s">
        <v>47</v>
      </c>
      <c r="J437" s="184">
        <v>150</v>
      </c>
      <c r="K437" s="75">
        <v>400</v>
      </c>
      <c r="L437" s="75">
        <v>1550</v>
      </c>
      <c r="M437" s="202">
        <v>24.959980878473687</v>
      </c>
      <c r="N437" s="87">
        <v>1638.7199999999998</v>
      </c>
      <c r="O437" s="123">
        <v>43721.557308029936</v>
      </c>
      <c r="P437" s="121">
        <v>51978.572225101583</v>
      </c>
      <c r="Q437" s="120">
        <v>23161.79860935469</v>
      </c>
      <c r="R437" s="314">
        <v>66883.35591738463</v>
      </c>
      <c r="S437" s="315">
        <v>75140.370834456276</v>
      </c>
      <c r="U437" s="7" t="s">
        <v>3773</v>
      </c>
    </row>
    <row r="438" spans="1:21" s="7" customFormat="1" ht="16.5" thickBot="1">
      <c r="A438" s="47" t="s">
        <v>35</v>
      </c>
      <c r="B438" s="48">
        <f t="shared" si="24"/>
        <v>150</v>
      </c>
      <c r="C438" s="48" t="s">
        <v>3</v>
      </c>
      <c r="D438" s="48">
        <f t="shared" si="25"/>
        <v>400</v>
      </c>
      <c r="E438" s="48" t="s">
        <v>3</v>
      </c>
      <c r="F438" s="99">
        <f t="shared" si="26"/>
        <v>1600</v>
      </c>
      <c r="G438" s="48" t="s">
        <v>3</v>
      </c>
      <c r="H438" s="48">
        <v>8</v>
      </c>
      <c r="I438" s="49" t="s">
        <v>47</v>
      </c>
      <c r="J438" s="184">
        <v>150</v>
      </c>
      <c r="K438" s="75">
        <v>400</v>
      </c>
      <c r="L438" s="75">
        <v>1600</v>
      </c>
      <c r="M438" s="202">
        <v>25.713014297730528</v>
      </c>
      <c r="N438" s="87">
        <v>1707</v>
      </c>
      <c r="O438" s="123">
        <v>44901.331028434135</v>
      </c>
      <c r="P438" s="121">
        <v>53392.871372841691</v>
      </c>
      <c r="Q438" s="120">
        <v>23764.190446748027</v>
      </c>
      <c r="R438" s="314">
        <v>68665.521475182162</v>
      </c>
      <c r="S438" s="315">
        <v>77157.061819589726</v>
      </c>
      <c r="U438" s="7" t="s">
        <v>3774</v>
      </c>
    </row>
    <row r="439" spans="1:21" s="7" customFormat="1" ht="16.5" thickBot="1">
      <c r="A439" s="50" t="s">
        <v>35</v>
      </c>
      <c r="B439" s="51">
        <f t="shared" si="24"/>
        <v>150</v>
      </c>
      <c r="C439" s="51" t="s">
        <v>3</v>
      </c>
      <c r="D439" s="51">
        <f t="shared" si="25"/>
        <v>400</v>
      </c>
      <c r="E439" s="51" t="s">
        <v>3</v>
      </c>
      <c r="F439" s="99">
        <f t="shared" si="26"/>
        <v>1650</v>
      </c>
      <c r="G439" s="51" t="s">
        <v>3</v>
      </c>
      <c r="H439" s="48">
        <v>8</v>
      </c>
      <c r="I439" s="49" t="s">
        <v>47</v>
      </c>
      <c r="J439" s="184">
        <v>150</v>
      </c>
      <c r="K439" s="75">
        <v>400</v>
      </c>
      <c r="L439" s="75">
        <v>1650</v>
      </c>
      <c r="M439" s="202">
        <v>26.48308771698737</v>
      </c>
      <c r="N439" s="87">
        <v>1775.28</v>
      </c>
      <c r="O439" s="123">
        <v>46081.09983507065</v>
      </c>
      <c r="P439" s="121">
        <v>54807.170520581785</v>
      </c>
      <c r="Q439" s="120">
        <v>24597.164061924639</v>
      </c>
      <c r="R439" s="314">
        <v>70678.263896995282</v>
      </c>
      <c r="S439" s="315">
        <v>79404.334582506417</v>
      </c>
      <c r="U439" s="7" t="s">
        <v>3775</v>
      </c>
    </row>
    <row r="440" spans="1:21" s="7" customFormat="1" ht="16.5" thickBot="1">
      <c r="A440" s="50" t="s">
        <v>35</v>
      </c>
      <c r="B440" s="51">
        <f t="shared" si="24"/>
        <v>150</v>
      </c>
      <c r="C440" s="51" t="s">
        <v>3</v>
      </c>
      <c r="D440" s="51">
        <f t="shared" si="25"/>
        <v>400</v>
      </c>
      <c r="E440" s="51" t="s">
        <v>3</v>
      </c>
      <c r="F440" s="99">
        <f t="shared" si="26"/>
        <v>1700</v>
      </c>
      <c r="G440" s="51" t="s">
        <v>3</v>
      </c>
      <c r="H440" s="48">
        <v>8</v>
      </c>
      <c r="I440" s="49" t="s">
        <v>47</v>
      </c>
      <c r="J440" s="184">
        <v>150</v>
      </c>
      <c r="K440" s="75">
        <v>400</v>
      </c>
      <c r="L440" s="75">
        <v>1700</v>
      </c>
      <c r="M440" s="202">
        <v>27.236121136244211</v>
      </c>
      <c r="N440" s="87">
        <v>1843.56</v>
      </c>
      <c r="O440" s="123">
        <v>47260.864289512923</v>
      </c>
      <c r="P440" s="121">
        <v>56221.469668321894</v>
      </c>
      <c r="Q440" s="120">
        <v>25199.55575892462</v>
      </c>
      <c r="R440" s="314">
        <v>72460.420048437547</v>
      </c>
      <c r="S440" s="315">
        <v>81421.02542724651</v>
      </c>
      <c r="U440" s="7" t="s">
        <v>3776</v>
      </c>
    </row>
    <row r="441" spans="1:21" s="7" customFormat="1" ht="16.5" thickBot="1">
      <c r="A441" s="50" t="s">
        <v>35</v>
      </c>
      <c r="B441" s="51">
        <f t="shared" si="24"/>
        <v>150</v>
      </c>
      <c r="C441" s="51" t="s">
        <v>3</v>
      </c>
      <c r="D441" s="51">
        <f t="shared" si="25"/>
        <v>400</v>
      </c>
      <c r="E441" s="51" t="s">
        <v>3</v>
      </c>
      <c r="F441" s="99">
        <f t="shared" si="26"/>
        <v>1750</v>
      </c>
      <c r="G441" s="51" t="s">
        <v>3</v>
      </c>
      <c r="H441" s="48">
        <v>8</v>
      </c>
      <c r="I441" s="49" t="s">
        <v>47</v>
      </c>
      <c r="J441" s="184">
        <v>150</v>
      </c>
      <c r="K441" s="75">
        <v>400</v>
      </c>
      <c r="L441" s="75">
        <v>1750</v>
      </c>
      <c r="M441" s="202">
        <v>28.006194555501054</v>
      </c>
      <c r="N441" s="87">
        <v>1911.84</v>
      </c>
      <c r="O441" s="123">
        <v>48440.624391760954</v>
      </c>
      <c r="P441" s="121">
        <v>57635.768956455344</v>
      </c>
      <c r="Q441" s="120">
        <v>26032.529374101232</v>
      </c>
      <c r="R441" s="314">
        <v>74473.153765862182</v>
      </c>
      <c r="S441" s="315">
        <v>83668.298330556572</v>
      </c>
      <c r="U441" s="7" t="s">
        <v>3777</v>
      </c>
    </row>
    <row r="442" spans="1:21" s="7" customFormat="1" ht="16.5" thickBot="1">
      <c r="A442" s="50" t="s">
        <v>35</v>
      </c>
      <c r="B442" s="51">
        <f t="shared" si="24"/>
        <v>150</v>
      </c>
      <c r="C442" s="51" t="s">
        <v>3</v>
      </c>
      <c r="D442" s="51">
        <f t="shared" si="25"/>
        <v>400</v>
      </c>
      <c r="E442" s="51" t="s">
        <v>3</v>
      </c>
      <c r="F442" s="99">
        <f t="shared" si="26"/>
        <v>1800</v>
      </c>
      <c r="G442" s="51" t="s">
        <v>3</v>
      </c>
      <c r="H442" s="48">
        <v>8</v>
      </c>
      <c r="I442" s="49" t="s">
        <v>47</v>
      </c>
      <c r="J442" s="184">
        <v>150</v>
      </c>
      <c r="K442" s="75">
        <v>400</v>
      </c>
      <c r="L442" s="75">
        <v>1800</v>
      </c>
      <c r="M442" s="202">
        <v>28.759227974757891</v>
      </c>
      <c r="N442" s="87">
        <v>1980.12</v>
      </c>
      <c r="O442" s="123">
        <v>49620.380562994847</v>
      </c>
      <c r="P442" s="121">
        <v>59050.068104195452</v>
      </c>
      <c r="Q442" s="120">
        <v>26634.921071101206</v>
      </c>
      <c r="R442" s="314">
        <v>76255.301634096046</v>
      </c>
      <c r="S442" s="315">
        <v>85684.989175296651</v>
      </c>
      <c r="U442" s="7" t="s">
        <v>3778</v>
      </c>
    </row>
    <row r="443" spans="1:21" s="7" customFormat="1" ht="16.5" thickBot="1">
      <c r="A443" s="50" t="s">
        <v>35</v>
      </c>
      <c r="B443" s="51">
        <f t="shared" si="24"/>
        <v>150</v>
      </c>
      <c r="C443" s="51" t="s">
        <v>3</v>
      </c>
      <c r="D443" s="51">
        <f t="shared" si="25"/>
        <v>400</v>
      </c>
      <c r="E443" s="51" t="s">
        <v>3</v>
      </c>
      <c r="F443" s="99">
        <f t="shared" si="26"/>
        <v>1850</v>
      </c>
      <c r="G443" s="51" t="s">
        <v>3</v>
      </c>
      <c r="H443" s="48">
        <v>8</v>
      </c>
      <c r="I443" s="49" t="s">
        <v>47</v>
      </c>
      <c r="J443" s="184">
        <v>150</v>
      </c>
      <c r="K443" s="75">
        <v>400</v>
      </c>
      <c r="L443" s="75">
        <v>1850</v>
      </c>
      <c r="M443" s="202">
        <v>29.529301394014741</v>
      </c>
      <c r="N443" s="87">
        <v>2048.4</v>
      </c>
      <c r="O443" s="123">
        <v>50800.133224394674</v>
      </c>
      <c r="P443" s="121">
        <v>60464.367251935415</v>
      </c>
      <c r="Q443" s="120">
        <v>27467.894686277818</v>
      </c>
      <c r="R443" s="314">
        <v>78268.027910672492</v>
      </c>
      <c r="S443" s="315">
        <v>87932.261938213225</v>
      </c>
      <c r="U443" s="7" t="s">
        <v>3779</v>
      </c>
    </row>
    <row r="444" spans="1:21" s="7" customFormat="1" ht="16.5" thickBot="1">
      <c r="A444" s="50" t="s">
        <v>35</v>
      </c>
      <c r="B444" s="51">
        <f t="shared" si="24"/>
        <v>150</v>
      </c>
      <c r="C444" s="51" t="s">
        <v>3</v>
      </c>
      <c r="D444" s="51">
        <f t="shared" si="25"/>
        <v>400</v>
      </c>
      <c r="E444" s="51" t="s">
        <v>3</v>
      </c>
      <c r="F444" s="99">
        <f t="shared" si="26"/>
        <v>1900</v>
      </c>
      <c r="G444" s="51" t="s">
        <v>3</v>
      </c>
      <c r="H444" s="48">
        <v>8</v>
      </c>
      <c r="I444" s="49" t="s">
        <v>47</v>
      </c>
      <c r="J444" s="184">
        <v>150</v>
      </c>
      <c r="K444" s="75">
        <v>400</v>
      </c>
      <c r="L444" s="75">
        <v>1900</v>
      </c>
      <c r="M444" s="202">
        <v>30.282334813271579</v>
      </c>
      <c r="N444" s="87">
        <v>2116.6799999999998</v>
      </c>
      <c r="O444" s="123">
        <v>51979.882516353806</v>
      </c>
      <c r="P444" s="121">
        <v>61878.666540069011</v>
      </c>
      <c r="Q444" s="120">
        <v>28070.286383277791</v>
      </c>
      <c r="R444" s="314">
        <v>80050.168899631593</v>
      </c>
      <c r="S444" s="315">
        <v>89948.952923346806</v>
      </c>
      <c r="U444" s="7" t="s">
        <v>3780</v>
      </c>
    </row>
    <row r="445" spans="1:21" s="7" customFormat="1" ht="16.5" thickBot="1">
      <c r="A445" s="50" t="s">
        <v>35</v>
      </c>
      <c r="B445" s="51">
        <f t="shared" si="24"/>
        <v>150</v>
      </c>
      <c r="C445" s="51" t="s">
        <v>3</v>
      </c>
      <c r="D445" s="51">
        <f t="shared" si="25"/>
        <v>400</v>
      </c>
      <c r="E445" s="51" t="s">
        <v>3</v>
      </c>
      <c r="F445" s="99">
        <f t="shared" si="26"/>
        <v>1950</v>
      </c>
      <c r="G445" s="51" t="s">
        <v>3</v>
      </c>
      <c r="H445" s="48">
        <v>8</v>
      </c>
      <c r="I445" s="49" t="s">
        <v>47</v>
      </c>
      <c r="J445" s="184">
        <v>150</v>
      </c>
      <c r="K445" s="75">
        <v>400</v>
      </c>
      <c r="L445" s="75">
        <v>1950</v>
      </c>
      <c r="M445" s="202">
        <v>31.192368232528427</v>
      </c>
      <c r="N445" s="87">
        <v>2184.96</v>
      </c>
      <c r="O445" s="123">
        <v>53314.044992385534</v>
      </c>
      <c r="P445" s="121">
        <v>63447.79808646215</v>
      </c>
      <c r="Q445" s="120">
        <v>28672.678220671129</v>
      </c>
      <c r="R445" s="314">
        <v>81986.723213056655</v>
      </c>
      <c r="S445" s="315">
        <v>92120.476307133271</v>
      </c>
      <c r="U445" s="7" t="s">
        <v>3781</v>
      </c>
    </row>
    <row r="446" spans="1:21" s="7" customFormat="1" ht="16.5" thickBot="1">
      <c r="A446" s="50" t="s">
        <v>35</v>
      </c>
      <c r="B446" s="51">
        <f t="shared" si="24"/>
        <v>150</v>
      </c>
      <c r="C446" s="51" t="s">
        <v>3</v>
      </c>
      <c r="D446" s="51">
        <f t="shared" si="25"/>
        <v>400</v>
      </c>
      <c r="E446" s="51" t="s">
        <v>3</v>
      </c>
      <c r="F446" s="99">
        <f t="shared" si="26"/>
        <v>2000</v>
      </c>
      <c r="G446" s="51" t="s">
        <v>3</v>
      </c>
      <c r="H446" s="48">
        <v>8</v>
      </c>
      <c r="I446" s="49" t="s">
        <v>47</v>
      </c>
      <c r="J446" s="184">
        <v>150</v>
      </c>
      <c r="K446" s="75">
        <v>400</v>
      </c>
      <c r="L446" s="75">
        <v>2000</v>
      </c>
      <c r="M446" s="202">
        <v>32.05400405178527</v>
      </c>
      <c r="N446" s="87">
        <v>2253.2399999999998</v>
      </c>
      <c r="O446" s="123">
        <v>54723.327464103422</v>
      </c>
      <c r="P446" s="121">
        <v>65301.291615224713</v>
      </c>
      <c r="Q446" s="120">
        <v>29505.651695454384</v>
      </c>
      <c r="R446" s="314">
        <v>84228.979159557814</v>
      </c>
      <c r="S446" s="315">
        <v>94806.943310679097</v>
      </c>
      <c r="U446" s="7" t="s">
        <v>3782</v>
      </c>
    </row>
    <row r="447" spans="1:21" s="7" customFormat="1" ht="16.5" thickBot="1">
      <c r="A447" s="50" t="s">
        <v>35</v>
      </c>
      <c r="B447" s="51">
        <f t="shared" si="24"/>
        <v>150</v>
      </c>
      <c r="C447" s="51" t="s">
        <v>3</v>
      </c>
      <c r="D447" s="51">
        <f t="shared" si="25"/>
        <v>400</v>
      </c>
      <c r="E447" s="51" t="s">
        <v>3</v>
      </c>
      <c r="F447" s="99">
        <f t="shared" si="26"/>
        <v>2050</v>
      </c>
      <c r="G447" s="51" t="s">
        <v>3</v>
      </c>
      <c r="H447" s="48">
        <v>8</v>
      </c>
      <c r="I447" s="49" t="s">
        <v>47</v>
      </c>
      <c r="J447" s="184">
        <v>150</v>
      </c>
      <c r="K447" s="75">
        <v>400</v>
      </c>
      <c r="L447" s="75">
        <v>2050</v>
      </c>
      <c r="M447" s="202">
        <v>32.807037471042108</v>
      </c>
      <c r="N447" s="87">
        <v>2321.52</v>
      </c>
      <c r="O447" s="123">
        <v>55903.072544261675</v>
      </c>
      <c r="P447" s="121">
        <v>66715.590762964814</v>
      </c>
      <c r="Q447" s="120">
        <v>30108.043532847722</v>
      </c>
      <c r="R447" s="314">
        <v>86011.1160771094</v>
      </c>
      <c r="S447" s="315">
        <v>96823.634295812531</v>
      </c>
      <c r="U447" s="7" t="s">
        <v>3783</v>
      </c>
    </row>
    <row r="448" spans="1:21" s="7" customFormat="1" ht="16.5" thickBot="1">
      <c r="A448" s="47" t="s">
        <v>35</v>
      </c>
      <c r="B448" s="48">
        <f t="shared" si="24"/>
        <v>150</v>
      </c>
      <c r="C448" s="48" t="s">
        <v>3</v>
      </c>
      <c r="D448" s="48">
        <f t="shared" si="25"/>
        <v>400</v>
      </c>
      <c r="E448" s="48" t="s">
        <v>3</v>
      </c>
      <c r="F448" s="99">
        <f t="shared" si="26"/>
        <v>2100</v>
      </c>
      <c r="G448" s="48" t="s">
        <v>3</v>
      </c>
      <c r="H448" s="48">
        <v>8</v>
      </c>
      <c r="I448" s="49" t="s">
        <v>47</v>
      </c>
      <c r="J448" s="184">
        <v>150</v>
      </c>
      <c r="K448" s="75">
        <v>400</v>
      </c>
      <c r="L448" s="75">
        <v>2100</v>
      </c>
      <c r="M448" s="202">
        <v>33.577110890298947</v>
      </c>
      <c r="N448" s="87">
        <v>2389.7999999999997</v>
      </c>
      <c r="O448" s="123">
        <v>57082.814956946037</v>
      </c>
      <c r="P448" s="121">
        <v>68129.890051098278</v>
      </c>
      <c r="Q448" s="120">
        <v>30941.01700763097</v>
      </c>
      <c r="R448" s="314">
        <v>88023.83196457701</v>
      </c>
      <c r="S448" s="315">
        <v>99070.907058729252</v>
      </c>
      <c r="U448" s="7" t="s">
        <v>3784</v>
      </c>
    </row>
    <row r="449" spans="1:21" s="7" customFormat="1" ht="16.5" thickBot="1">
      <c r="A449" s="50" t="s">
        <v>35</v>
      </c>
      <c r="B449" s="51">
        <f t="shared" si="24"/>
        <v>150</v>
      </c>
      <c r="C449" s="51" t="s">
        <v>3</v>
      </c>
      <c r="D449" s="51">
        <f t="shared" si="25"/>
        <v>400</v>
      </c>
      <c r="E449" s="51" t="s">
        <v>3</v>
      </c>
      <c r="F449" s="99">
        <f t="shared" si="26"/>
        <v>2150</v>
      </c>
      <c r="G449" s="51" t="s">
        <v>3</v>
      </c>
      <c r="H449" s="48">
        <v>8</v>
      </c>
      <c r="I449" s="49" t="s">
        <v>47</v>
      </c>
      <c r="J449" s="184">
        <v>150</v>
      </c>
      <c r="K449" s="75">
        <v>400</v>
      </c>
      <c r="L449" s="75">
        <v>2150</v>
      </c>
      <c r="M449" s="202">
        <v>34.330144309555791</v>
      </c>
      <c r="N449" s="87">
        <v>2458.08</v>
      </c>
      <c r="O449" s="123">
        <v>58262.554702156514</v>
      </c>
      <c r="P449" s="121">
        <v>69544.189198838387</v>
      </c>
      <c r="Q449" s="120">
        <v>31543.408845024307</v>
      </c>
      <c r="R449" s="314">
        <v>89805.963547180814</v>
      </c>
      <c r="S449" s="315">
        <v>101087.5980438627</v>
      </c>
      <c r="U449" s="7" t="s">
        <v>3785</v>
      </c>
    </row>
    <row r="450" spans="1:21" s="7" customFormat="1" ht="16.5" thickBot="1">
      <c r="A450" s="50" t="s">
        <v>35</v>
      </c>
      <c r="B450" s="51">
        <f t="shared" si="24"/>
        <v>150</v>
      </c>
      <c r="C450" s="51" t="s">
        <v>3</v>
      </c>
      <c r="D450" s="51">
        <f t="shared" si="25"/>
        <v>400</v>
      </c>
      <c r="E450" s="51" t="s">
        <v>3</v>
      </c>
      <c r="F450" s="99">
        <f t="shared" si="26"/>
        <v>2200</v>
      </c>
      <c r="G450" s="51" t="s">
        <v>3</v>
      </c>
      <c r="H450" s="48">
        <v>8</v>
      </c>
      <c r="I450" s="49" t="s">
        <v>47</v>
      </c>
      <c r="J450" s="184">
        <v>150</v>
      </c>
      <c r="K450" s="75">
        <v>400</v>
      </c>
      <c r="L450" s="75">
        <v>2200</v>
      </c>
      <c r="M450" s="202">
        <v>35.10021772881263</v>
      </c>
      <c r="N450" s="87">
        <v>2526.36</v>
      </c>
      <c r="O450" s="123">
        <v>59442.292060679829</v>
      </c>
      <c r="P450" s="121">
        <v>70958.488346578481</v>
      </c>
      <c r="Q450" s="120">
        <v>32376.382319807555</v>
      </c>
      <c r="R450" s="314">
        <v>91818.674380487384</v>
      </c>
      <c r="S450" s="315">
        <v>103334.87066638604</v>
      </c>
      <c r="U450" s="7" t="s">
        <v>3786</v>
      </c>
    </row>
    <row r="451" spans="1:21" s="7" customFormat="1" ht="16.5" thickBot="1">
      <c r="A451" s="50" t="s">
        <v>35</v>
      </c>
      <c r="B451" s="51">
        <f t="shared" si="24"/>
        <v>150</v>
      </c>
      <c r="C451" s="51" t="s">
        <v>3</v>
      </c>
      <c r="D451" s="51">
        <f t="shared" si="25"/>
        <v>400</v>
      </c>
      <c r="E451" s="51" t="s">
        <v>3</v>
      </c>
      <c r="F451" s="99">
        <f t="shared" si="26"/>
        <v>2250</v>
      </c>
      <c r="G451" s="51" t="s">
        <v>3</v>
      </c>
      <c r="H451" s="48">
        <v>8</v>
      </c>
      <c r="I451" s="49" t="s">
        <v>47</v>
      </c>
      <c r="J451" s="184">
        <v>150</v>
      </c>
      <c r="K451" s="75">
        <v>400</v>
      </c>
      <c r="L451" s="75">
        <v>2250</v>
      </c>
      <c r="M451" s="202">
        <v>35.853251148069468</v>
      </c>
      <c r="N451" s="87">
        <v>2594.64</v>
      </c>
      <c r="O451" s="123">
        <v>60622.027172909337</v>
      </c>
      <c r="P451" s="121">
        <v>72372.787634711945</v>
      </c>
      <c r="Q451" s="120">
        <v>32978.774157200758</v>
      </c>
      <c r="R451" s="314">
        <v>93600.801330110087</v>
      </c>
      <c r="S451" s="315">
        <v>105351.56179191271</v>
      </c>
      <c r="U451" s="7" t="s">
        <v>3787</v>
      </c>
    </row>
    <row r="452" spans="1:21" s="7" customFormat="1" ht="16.5" thickBot="1">
      <c r="A452" s="50" t="s">
        <v>35</v>
      </c>
      <c r="B452" s="51">
        <f t="shared" si="24"/>
        <v>150</v>
      </c>
      <c r="C452" s="51" t="s">
        <v>3</v>
      </c>
      <c r="D452" s="51">
        <f t="shared" si="25"/>
        <v>400</v>
      </c>
      <c r="E452" s="51" t="s">
        <v>3</v>
      </c>
      <c r="F452" s="99">
        <f t="shared" si="26"/>
        <v>2300</v>
      </c>
      <c r="G452" s="51" t="s">
        <v>3</v>
      </c>
      <c r="H452" s="48">
        <v>8</v>
      </c>
      <c r="I452" s="49" t="s">
        <v>47</v>
      </c>
      <c r="J452" s="184">
        <v>150</v>
      </c>
      <c r="K452" s="75">
        <v>400</v>
      </c>
      <c r="L452" s="75">
        <v>2300</v>
      </c>
      <c r="M452" s="202">
        <v>36.60628456732632</v>
      </c>
      <c r="N452" s="87">
        <v>2662.9199999999996</v>
      </c>
      <c r="O452" s="123">
        <v>61801.760038845045</v>
      </c>
      <c r="P452" s="121">
        <v>73787.086782452039</v>
      </c>
      <c r="Q452" s="120">
        <v>33581.165854200874</v>
      </c>
      <c r="R452" s="314">
        <v>95382.925893045918</v>
      </c>
      <c r="S452" s="315">
        <v>107368.25263665291</v>
      </c>
      <c r="U452" s="7" t="s">
        <v>3788</v>
      </c>
    </row>
    <row r="453" spans="1:21" s="7" customFormat="1" ht="16.5" thickBot="1">
      <c r="A453" s="50" t="s">
        <v>35</v>
      </c>
      <c r="B453" s="51">
        <f t="shared" si="24"/>
        <v>150</v>
      </c>
      <c r="C453" s="51" t="s">
        <v>3</v>
      </c>
      <c r="D453" s="51">
        <f t="shared" si="25"/>
        <v>400</v>
      </c>
      <c r="E453" s="51" t="s">
        <v>3</v>
      </c>
      <c r="F453" s="99">
        <f t="shared" si="26"/>
        <v>2350</v>
      </c>
      <c r="G453" s="51" t="s">
        <v>3</v>
      </c>
      <c r="H453" s="48">
        <v>8</v>
      </c>
      <c r="I453" s="49" t="s">
        <v>47</v>
      </c>
      <c r="J453" s="184">
        <v>150</v>
      </c>
      <c r="K453" s="75">
        <v>400</v>
      </c>
      <c r="L453" s="75">
        <v>2350</v>
      </c>
      <c r="M453" s="202">
        <v>37.376357986583159</v>
      </c>
      <c r="N453" s="87">
        <v>2731.2</v>
      </c>
      <c r="O453" s="123">
        <v>62981.490798880324</v>
      </c>
      <c r="P453" s="121">
        <v>75201.385930192147</v>
      </c>
      <c r="Q453" s="120">
        <v>34414.139469377486</v>
      </c>
      <c r="R453" s="314">
        <v>97395.63026825781</v>
      </c>
      <c r="S453" s="315">
        <v>109615.52539956963</v>
      </c>
      <c r="U453" s="7" t="s">
        <v>3789</v>
      </c>
    </row>
    <row r="454" spans="1:21" s="7" customFormat="1" ht="16.5" thickBot="1">
      <c r="A454" s="50" t="s">
        <v>35</v>
      </c>
      <c r="B454" s="51">
        <f t="shared" si="24"/>
        <v>150</v>
      </c>
      <c r="C454" s="51" t="s">
        <v>3</v>
      </c>
      <c r="D454" s="51">
        <f t="shared" si="25"/>
        <v>400</v>
      </c>
      <c r="E454" s="51" t="s">
        <v>3</v>
      </c>
      <c r="F454" s="99">
        <f t="shared" si="26"/>
        <v>2400</v>
      </c>
      <c r="G454" s="51" t="s">
        <v>3</v>
      </c>
      <c r="H454" s="48">
        <v>8</v>
      </c>
      <c r="I454" s="49" t="s">
        <v>47</v>
      </c>
      <c r="J454" s="184">
        <v>150</v>
      </c>
      <c r="K454" s="75">
        <v>400</v>
      </c>
      <c r="L454" s="75">
        <v>2400</v>
      </c>
      <c r="M454" s="202">
        <v>38.129391405839996</v>
      </c>
      <c r="N454" s="87">
        <v>2799.48</v>
      </c>
      <c r="O454" s="123">
        <v>64161.219733801896</v>
      </c>
      <c r="P454" s="121">
        <v>76615.685218325612</v>
      </c>
      <c r="Q454" s="120">
        <v>35016.531306770819</v>
      </c>
      <c r="R454" s="314">
        <v>99177.751040572708</v>
      </c>
      <c r="S454" s="315">
        <v>111632.21652509643</v>
      </c>
      <c r="U454" s="7" t="s">
        <v>3790</v>
      </c>
    </row>
    <row r="455" spans="1:21" s="7" customFormat="1" ht="16.5" thickBot="1">
      <c r="A455" s="50" t="s">
        <v>35</v>
      </c>
      <c r="B455" s="51">
        <f t="shared" si="24"/>
        <v>150</v>
      </c>
      <c r="C455" s="51" t="s">
        <v>3</v>
      </c>
      <c r="D455" s="51">
        <f t="shared" si="25"/>
        <v>400</v>
      </c>
      <c r="E455" s="51" t="s">
        <v>3</v>
      </c>
      <c r="F455" s="99">
        <f t="shared" si="26"/>
        <v>2450</v>
      </c>
      <c r="G455" s="51" t="s">
        <v>3</v>
      </c>
      <c r="H455" s="48">
        <v>8</v>
      </c>
      <c r="I455" s="49" t="s">
        <v>47</v>
      </c>
      <c r="J455" s="184">
        <v>150</v>
      </c>
      <c r="K455" s="75">
        <v>400</v>
      </c>
      <c r="L455" s="75">
        <v>2450</v>
      </c>
      <c r="M455" s="202">
        <v>39.126745017396843</v>
      </c>
      <c r="N455" s="87">
        <v>2867.76</v>
      </c>
      <c r="O455" s="123">
        <v>66186.199262270602</v>
      </c>
      <c r="P455" s="121">
        <v>78854.141418470681</v>
      </c>
      <c r="Q455" s="120">
        <v>35849.504781554067</v>
      </c>
      <c r="R455" s="314">
        <v>102035.70404382466</v>
      </c>
      <c r="S455" s="315">
        <v>114703.64620002476</v>
      </c>
      <c r="U455" s="7" t="s">
        <v>3791</v>
      </c>
    </row>
    <row r="456" spans="1:21" s="7" customFormat="1" ht="16.5" thickBot="1">
      <c r="A456" s="50" t="s">
        <v>35</v>
      </c>
      <c r="B456" s="51">
        <f t="shared" si="24"/>
        <v>150</v>
      </c>
      <c r="C456" s="51" t="s">
        <v>3</v>
      </c>
      <c r="D456" s="51">
        <f t="shared" si="25"/>
        <v>400</v>
      </c>
      <c r="E456" s="51" t="s">
        <v>3</v>
      </c>
      <c r="F456" s="99">
        <f t="shared" si="26"/>
        <v>2500</v>
      </c>
      <c r="G456" s="51" t="s">
        <v>3</v>
      </c>
      <c r="H456" s="48">
        <v>8</v>
      </c>
      <c r="I456" s="49" t="s">
        <v>47</v>
      </c>
      <c r="J456" s="184">
        <v>150</v>
      </c>
      <c r="K456" s="75">
        <v>400</v>
      </c>
      <c r="L456" s="75">
        <v>2500</v>
      </c>
      <c r="M456" s="202">
        <v>39.87977843665368</v>
      </c>
      <c r="N456" s="87">
        <v>2936.0399999999995</v>
      </c>
      <c r="O456" s="123">
        <v>67365.932268599674</v>
      </c>
      <c r="P456" s="121">
        <v>80268.440566210775</v>
      </c>
      <c r="Q456" s="120">
        <v>36451.896618947409</v>
      </c>
      <c r="R456" s="314">
        <v>103817.82888754708</v>
      </c>
      <c r="S456" s="315">
        <v>116720.33718515819</v>
      </c>
      <c r="U456" s="7" t="s">
        <v>3792</v>
      </c>
    </row>
    <row r="457" spans="1:21" s="7" customFormat="1" ht="16.5" thickBot="1">
      <c r="A457" s="50" t="s">
        <v>35</v>
      </c>
      <c r="B457" s="51">
        <f t="shared" si="24"/>
        <v>150</v>
      </c>
      <c r="C457" s="51" t="s">
        <v>3</v>
      </c>
      <c r="D457" s="51">
        <f t="shared" si="25"/>
        <v>400</v>
      </c>
      <c r="E457" s="51" t="s">
        <v>3</v>
      </c>
      <c r="F457" s="99">
        <f t="shared" si="26"/>
        <v>2550</v>
      </c>
      <c r="G457" s="51" t="s">
        <v>3</v>
      </c>
      <c r="H457" s="48">
        <v>8</v>
      </c>
      <c r="I457" s="49" t="s">
        <v>47</v>
      </c>
      <c r="J457" s="184">
        <v>150</v>
      </c>
      <c r="K457" s="75">
        <v>400</v>
      </c>
      <c r="L457" s="75">
        <v>2550</v>
      </c>
      <c r="M457" s="202">
        <v>40.649851855910526</v>
      </c>
      <c r="N457" s="87">
        <v>3004.3199999999997</v>
      </c>
      <c r="O457" s="123">
        <v>68545.663449815038</v>
      </c>
      <c r="P457" s="121">
        <v>81682.73985434424</v>
      </c>
      <c r="Q457" s="120">
        <v>37284.870093730657</v>
      </c>
      <c r="R457" s="314">
        <v>105830.53354354569</v>
      </c>
      <c r="S457" s="315">
        <v>118967.6099480749</v>
      </c>
      <c r="U457" s="7" t="s">
        <v>3793</v>
      </c>
    </row>
    <row r="458" spans="1:21" s="7" customFormat="1" ht="16.5" thickBot="1">
      <c r="A458" s="47" t="s">
        <v>35</v>
      </c>
      <c r="B458" s="48">
        <f t="shared" si="24"/>
        <v>150</v>
      </c>
      <c r="C458" s="48" t="s">
        <v>3</v>
      </c>
      <c r="D458" s="48">
        <f t="shared" si="25"/>
        <v>400</v>
      </c>
      <c r="E458" s="48" t="s">
        <v>3</v>
      </c>
      <c r="F458" s="99">
        <f t="shared" si="26"/>
        <v>2600</v>
      </c>
      <c r="G458" s="48" t="s">
        <v>3</v>
      </c>
      <c r="H458" s="48">
        <v>8</v>
      </c>
      <c r="I458" s="49" t="s">
        <v>47</v>
      </c>
      <c r="J458" s="184">
        <v>150</v>
      </c>
      <c r="K458" s="75">
        <v>400</v>
      </c>
      <c r="L458" s="75">
        <v>2600</v>
      </c>
      <c r="M458" s="202">
        <v>41.402885275167378</v>
      </c>
      <c r="N458" s="87">
        <v>3072.6</v>
      </c>
      <c r="O458" s="123">
        <v>69725.392805916679</v>
      </c>
      <c r="P458" s="121">
        <v>83097.039002084348</v>
      </c>
      <c r="Q458" s="120">
        <v>37887.261931123991</v>
      </c>
      <c r="R458" s="314">
        <v>107612.65473704066</v>
      </c>
      <c r="S458" s="315">
        <v>120984.30093320835</v>
      </c>
      <c r="U458" s="7" t="s">
        <v>3794</v>
      </c>
    </row>
    <row r="459" spans="1:21" s="7" customFormat="1" ht="16.5" thickBot="1">
      <c r="A459" s="50" t="s">
        <v>35</v>
      </c>
      <c r="B459" s="51">
        <f t="shared" si="24"/>
        <v>150</v>
      </c>
      <c r="C459" s="51" t="s">
        <v>3</v>
      </c>
      <c r="D459" s="51">
        <f t="shared" si="25"/>
        <v>400</v>
      </c>
      <c r="E459" s="51" t="s">
        <v>3</v>
      </c>
      <c r="F459" s="99">
        <f t="shared" si="26"/>
        <v>2650</v>
      </c>
      <c r="G459" s="51" t="s">
        <v>3</v>
      </c>
      <c r="H459" s="48">
        <v>8</v>
      </c>
      <c r="I459" s="49" t="s">
        <v>47</v>
      </c>
      <c r="J459" s="184">
        <v>150</v>
      </c>
      <c r="K459" s="75">
        <v>400</v>
      </c>
      <c r="L459" s="75">
        <v>2650</v>
      </c>
      <c r="M459" s="202">
        <v>42.172958694424217</v>
      </c>
      <c r="N459" s="87">
        <v>3140.88</v>
      </c>
      <c r="O459" s="123">
        <v>70905.120477297998</v>
      </c>
      <c r="P459" s="121">
        <v>84511.338149824442</v>
      </c>
      <c r="Q459" s="120">
        <v>38720.235405907246</v>
      </c>
      <c r="R459" s="314">
        <v>109625.35588320525</v>
      </c>
      <c r="S459" s="315">
        <v>123231.57355573168</v>
      </c>
      <c r="U459" s="7" t="s">
        <v>3795</v>
      </c>
    </row>
    <row r="460" spans="1:21" s="74" customFormat="1" ht="16.5" thickBot="1">
      <c r="A460" s="50" t="s">
        <v>35</v>
      </c>
      <c r="B460" s="51">
        <f t="shared" si="24"/>
        <v>150</v>
      </c>
      <c r="C460" s="51" t="s">
        <v>3</v>
      </c>
      <c r="D460" s="51">
        <f t="shared" si="25"/>
        <v>400</v>
      </c>
      <c r="E460" s="51" t="s">
        <v>3</v>
      </c>
      <c r="F460" s="99">
        <f t="shared" si="26"/>
        <v>2700</v>
      </c>
      <c r="G460" s="51" t="s">
        <v>3</v>
      </c>
      <c r="H460" s="48">
        <v>8</v>
      </c>
      <c r="I460" s="49" t="s">
        <v>47</v>
      </c>
      <c r="J460" s="184">
        <v>150</v>
      </c>
      <c r="K460" s="75">
        <v>400</v>
      </c>
      <c r="L460" s="75">
        <v>2700</v>
      </c>
      <c r="M460" s="202">
        <v>43.082992113681058</v>
      </c>
      <c r="N460" s="87">
        <v>3209.1600000000003</v>
      </c>
      <c r="O460" s="123">
        <v>72239.253611116961</v>
      </c>
      <c r="P460" s="121">
        <v>86080.469836610937</v>
      </c>
      <c r="Q460" s="120">
        <v>39322.627243300587</v>
      </c>
      <c r="R460" s="314">
        <v>111561.88085441754</v>
      </c>
      <c r="S460" s="315">
        <v>125403.09707991153</v>
      </c>
      <c r="U460" s="7" t="s">
        <v>3796</v>
      </c>
    </row>
    <row r="461" spans="1:21" s="74" customFormat="1" ht="16.5" thickBot="1">
      <c r="A461" s="50" t="s">
        <v>35</v>
      </c>
      <c r="B461" s="51">
        <f t="shared" si="24"/>
        <v>150</v>
      </c>
      <c r="C461" s="51" t="s">
        <v>3</v>
      </c>
      <c r="D461" s="51">
        <f t="shared" si="25"/>
        <v>400</v>
      </c>
      <c r="E461" s="51" t="s">
        <v>3</v>
      </c>
      <c r="F461" s="99">
        <f t="shared" si="26"/>
        <v>2750</v>
      </c>
      <c r="G461" s="51" t="s">
        <v>3</v>
      </c>
      <c r="H461" s="48">
        <v>8</v>
      </c>
      <c r="I461" s="49" t="s">
        <v>47</v>
      </c>
      <c r="J461" s="184">
        <v>150</v>
      </c>
      <c r="K461" s="75">
        <v>400</v>
      </c>
      <c r="L461" s="75">
        <v>2750</v>
      </c>
      <c r="M461" s="202">
        <v>43.836025532937903</v>
      </c>
      <c r="N461" s="87">
        <v>3277.4399999999996</v>
      </c>
      <c r="O461" s="123">
        <v>73418.977351484122</v>
      </c>
      <c r="P461" s="121">
        <v>87494.768984351045</v>
      </c>
      <c r="Q461" s="120">
        <v>39925.018940300557</v>
      </c>
      <c r="R461" s="314">
        <v>113343.99629178469</v>
      </c>
      <c r="S461" s="315">
        <v>127419.78792465161</v>
      </c>
      <c r="U461" s="7" t="s">
        <v>3797</v>
      </c>
    </row>
    <row r="462" spans="1:21" s="74" customFormat="1" ht="16.5" thickBot="1">
      <c r="A462" s="50" t="s">
        <v>35</v>
      </c>
      <c r="B462" s="51">
        <f t="shared" si="24"/>
        <v>150</v>
      </c>
      <c r="C462" s="51" t="s">
        <v>3</v>
      </c>
      <c r="D462" s="51">
        <f t="shared" si="25"/>
        <v>400</v>
      </c>
      <c r="E462" s="51" t="s">
        <v>3</v>
      </c>
      <c r="F462" s="99">
        <f t="shared" si="26"/>
        <v>2800</v>
      </c>
      <c r="G462" s="51" t="s">
        <v>3</v>
      </c>
      <c r="H462" s="48">
        <v>8</v>
      </c>
      <c r="I462" s="49" t="s">
        <v>47</v>
      </c>
      <c r="J462" s="184">
        <v>150</v>
      </c>
      <c r="K462" s="75">
        <v>400</v>
      </c>
      <c r="L462" s="75">
        <v>2800</v>
      </c>
      <c r="M462" s="202">
        <v>44.606098952194742</v>
      </c>
      <c r="N462" s="87">
        <v>3345.72</v>
      </c>
      <c r="O462" s="123">
        <v>74598.699687917644</v>
      </c>
      <c r="P462" s="121">
        <v>88909.068132091139</v>
      </c>
      <c r="Q462" s="120">
        <v>40757.992555477169</v>
      </c>
      <c r="R462" s="314">
        <v>115356.69224339482</v>
      </c>
      <c r="S462" s="315">
        <v>129667.0606875683</v>
      </c>
      <c r="U462" s="7" t="s">
        <v>3798</v>
      </c>
    </row>
    <row r="463" spans="1:21" s="74" customFormat="1" ht="16.5" thickBot="1">
      <c r="A463" s="50" t="s">
        <v>35</v>
      </c>
      <c r="B463" s="51">
        <f t="shared" si="24"/>
        <v>150</v>
      </c>
      <c r="C463" s="51" t="s">
        <v>3</v>
      </c>
      <c r="D463" s="51">
        <f t="shared" si="25"/>
        <v>400</v>
      </c>
      <c r="E463" s="51" t="s">
        <v>3</v>
      </c>
      <c r="F463" s="99">
        <f t="shared" si="26"/>
        <v>2850</v>
      </c>
      <c r="G463" s="51" t="s">
        <v>3</v>
      </c>
      <c r="H463" s="48">
        <v>8</v>
      </c>
      <c r="I463" s="49" t="s">
        <v>47</v>
      </c>
      <c r="J463" s="184">
        <v>150</v>
      </c>
      <c r="K463" s="75">
        <v>400</v>
      </c>
      <c r="L463" s="75">
        <v>2850</v>
      </c>
      <c r="M463" s="202">
        <v>45.35913237145158</v>
      </c>
      <c r="N463" s="87">
        <v>3414</v>
      </c>
      <c r="O463" s="123">
        <v>75778.420620417543</v>
      </c>
      <c r="P463" s="121">
        <v>90323.367420224604</v>
      </c>
      <c r="Q463" s="120">
        <v>41360.384252477146</v>
      </c>
      <c r="R463" s="314">
        <v>117138.80487289469</v>
      </c>
      <c r="S463" s="315">
        <v>131683.75167270174</v>
      </c>
      <c r="U463" s="7" t="s">
        <v>3799</v>
      </c>
    </row>
    <row r="464" spans="1:21" s="74" customFormat="1" ht="16.5" thickBot="1">
      <c r="A464" s="50" t="s">
        <v>35</v>
      </c>
      <c r="B464" s="51">
        <f t="shared" si="24"/>
        <v>150</v>
      </c>
      <c r="C464" s="51" t="s">
        <v>3</v>
      </c>
      <c r="D464" s="51">
        <f t="shared" si="25"/>
        <v>400</v>
      </c>
      <c r="E464" s="51" t="s">
        <v>3</v>
      </c>
      <c r="F464" s="99">
        <f t="shared" si="26"/>
        <v>2900</v>
      </c>
      <c r="G464" s="51" t="s">
        <v>3</v>
      </c>
      <c r="H464" s="48">
        <v>8</v>
      </c>
      <c r="I464" s="49" t="s">
        <v>47</v>
      </c>
      <c r="J464" s="184">
        <v>150</v>
      </c>
      <c r="K464" s="75">
        <v>400</v>
      </c>
      <c r="L464" s="75">
        <v>2900</v>
      </c>
      <c r="M464" s="202">
        <v>46.129205790708419</v>
      </c>
      <c r="N464" s="87">
        <v>3482.28</v>
      </c>
      <c r="O464" s="123">
        <v>76958.140148983817</v>
      </c>
      <c r="P464" s="121">
        <v>91737.666567964712</v>
      </c>
      <c r="Q464" s="120">
        <v>42193.357867653758</v>
      </c>
      <c r="R464" s="314">
        <v>119151.49801663758</v>
      </c>
      <c r="S464" s="315">
        <v>133931.02443561848</v>
      </c>
      <c r="U464" s="7" t="s">
        <v>3800</v>
      </c>
    </row>
    <row r="465" spans="1:21" s="74" customFormat="1" ht="16.5" thickBot="1">
      <c r="A465" s="50" t="s">
        <v>35</v>
      </c>
      <c r="B465" s="51">
        <f t="shared" si="24"/>
        <v>150</v>
      </c>
      <c r="C465" s="51" t="s">
        <v>3</v>
      </c>
      <c r="D465" s="51">
        <f t="shared" si="25"/>
        <v>400</v>
      </c>
      <c r="E465" s="51" t="s">
        <v>3</v>
      </c>
      <c r="F465" s="252">
        <f t="shared" si="26"/>
        <v>2950</v>
      </c>
      <c r="G465" s="51" t="s">
        <v>3</v>
      </c>
      <c r="H465" s="51">
        <v>8</v>
      </c>
      <c r="I465" s="253" t="s">
        <v>47</v>
      </c>
      <c r="J465" s="184">
        <v>150</v>
      </c>
      <c r="K465" s="75">
        <v>400</v>
      </c>
      <c r="L465" s="75">
        <v>2950</v>
      </c>
      <c r="M465" s="202">
        <v>46.882239209965263</v>
      </c>
      <c r="N465" s="87">
        <v>3550.56</v>
      </c>
      <c r="O465" s="123">
        <v>78137.858554403196</v>
      </c>
      <c r="P465" s="121">
        <v>93151.96571570482</v>
      </c>
      <c r="Q465" s="120">
        <v>42795.749564653735</v>
      </c>
      <c r="R465" s="314">
        <v>120933.60811905694</v>
      </c>
      <c r="S465" s="315">
        <v>135947.71528035856</v>
      </c>
      <c r="U465" s="7" t="s">
        <v>3801</v>
      </c>
    </row>
    <row r="466" spans="1:21" s="74" customFormat="1" ht="16.5" thickBot="1">
      <c r="A466" s="47" t="s">
        <v>35</v>
      </c>
      <c r="B466" s="48">
        <f t="shared" si="24"/>
        <v>150</v>
      </c>
      <c r="C466" s="48" t="s">
        <v>3</v>
      </c>
      <c r="D466" s="48">
        <f t="shared" si="25"/>
        <v>400</v>
      </c>
      <c r="E466" s="48" t="s">
        <v>3</v>
      </c>
      <c r="F466" s="99">
        <f t="shared" si="26"/>
        <v>3000</v>
      </c>
      <c r="G466" s="48" t="s">
        <v>3</v>
      </c>
      <c r="H466" s="48">
        <v>8</v>
      </c>
      <c r="I466" s="49" t="s">
        <v>47</v>
      </c>
      <c r="J466" s="186">
        <v>150</v>
      </c>
      <c r="K466" s="147">
        <v>400</v>
      </c>
      <c r="L466" s="147">
        <v>3000</v>
      </c>
      <c r="M466" s="209">
        <v>47.652312629222109</v>
      </c>
      <c r="N466" s="148">
        <v>3618.8399999999997</v>
      </c>
      <c r="O466" s="149">
        <v>80520.867972379143</v>
      </c>
      <c r="P466" s="158">
        <v>94566.264863444914</v>
      </c>
      <c r="Q466" s="159">
        <v>43628.723179830347</v>
      </c>
      <c r="R466" s="316">
        <v>124149.5911522095</v>
      </c>
      <c r="S466" s="317">
        <v>138194.98804327525</v>
      </c>
      <c r="U466" s="7" t="s">
        <v>3802</v>
      </c>
    </row>
    <row r="467" spans="1:21">
      <c r="M467" s="93"/>
      <c r="P467" s="93"/>
      <c r="R467" s="93"/>
      <c r="S467" s="93"/>
    </row>
    <row r="468" spans="1:21">
      <c r="M468" s="93"/>
      <c r="P468" s="93"/>
      <c r="R468" s="93"/>
      <c r="S468" s="93"/>
    </row>
    <row r="469" spans="1:21">
      <c r="M469" s="93"/>
      <c r="P469" s="93"/>
      <c r="R469" s="93"/>
      <c r="S469" s="93"/>
    </row>
    <row r="470" spans="1:21">
      <c r="M470" s="93"/>
      <c r="P470" s="93"/>
      <c r="R470" s="93"/>
      <c r="S470" s="93"/>
    </row>
    <row r="471" spans="1:21">
      <c r="M471" s="93"/>
      <c r="P471" s="93"/>
      <c r="R471" s="93"/>
      <c r="S471" s="93"/>
    </row>
    <row r="472" spans="1:21">
      <c r="M472" s="93"/>
      <c r="P472" s="93"/>
      <c r="R472" s="93"/>
      <c r="S472" s="93"/>
    </row>
    <row r="473" spans="1:21">
      <c r="M473" s="93"/>
      <c r="P473" s="93"/>
      <c r="R473" s="93"/>
      <c r="S473" s="93"/>
    </row>
    <row r="474" spans="1:21">
      <c r="M474" s="93"/>
      <c r="P474" s="93"/>
      <c r="R474" s="93"/>
      <c r="S474" s="93"/>
    </row>
    <row r="475" spans="1:21">
      <c r="M475" s="93"/>
      <c r="P475" s="93"/>
      <c r="R475" s="93"/>
      <c r="S475" s="93"/>
    </row>
    <row r="476" spans="1:21">
      <c r="M476" s="93"/>
      <c r="P476" s="93"/>
      <c r="R476" s="93"/>
      <c r="S476" s="93"/>
    </row>
    <row r="477" spans="1:21">
      <c r="M477" s="93"/>
      <c r="P477" s="93"/>
      <c r="R477" s="93"/>
      <c r="S477" s="93"/>
    </row>
    <row r="478" spans="1:21">
      <c r="M478" s="93"/>
      <c r="P478" s="93"/>
      <c r="R478" s="93"/>
      <c r="S478" s="93"/>
    </row>
    <row r="479" spans="1:21">
      <c r="M479" s="93"/>
      <c r="P479" s="93"/>
      <c r="R479" s="93"/>
      <c r="S479" s="93"/>
    </row>
    <row r="480" spans="1:21">
      <c r="M480" s="93"/>
      <c r="P480" s="93"/>
      <c r="R480" s="93"/>
      <c r="S480" s="93"/>
    </row>
    <row r="481" spans="13:19">
      <c r="M481" s="93"/>
      <c r="P481" s="93"/>
      <c r="R481" s="93"/>
      <c r="S481" s="93"/>
    </row>
    <row r="482" spans="13:19">
      <c r="M482" s="93"/>
      <c r="P482" s="93"/>
      <c r="R482" s="93"/>
      <c r="S482" s="93"/>
    </row>
    <row r="483" spans="13:19">
      <c r="M483" s="93"/>
      <c r="P483" s="93"/>
      <c r="R483" s="93"/>
      <c r="S483" s="93"/>
    </row>
    <row r="484" spans="13:19">
      <c r="M484" s="93"/>
      <c r="P484" s="93"/>
      <c r="R484" s="93"/>
      <c r="S484" s="93"/>
    </row>
    <row r="485" spans="13:19">
      <c r="M485" s="93"/>
      <c r="P485" s="93"/>
      <c r="R485" s="93"/>
      <c r="S485" s="93"/>
    </row>
    <row r="486" spans="13:19">
      <c r="M486" s="93"/>
      <c r="P486" s="93"/>
      <c r="R486" s="93"/>
      <c r="S486" s="93"/>
    </row>
    <row r="487" spans="13:19">
      <c r="M487" s="93"/>
      <c r="P487" s="93"/>
      <c r="R487" s="93"/>
      <c r="S487" s="93"/>
    </row>
    <row r="488" spans="13:19">
      <c r="M488" s="93"/>
      <c r="P488" s="93"/>
      <c r="R488" s="93"/>
      <c r="S488" s="93"/>
    </row>
    <row r="489" spans="13:19">
      <c r="M489" s="93"/>
      <c r="P489" s="93"/>
      <c r="R489" s="93"/>
      <c r="S489" s="93"/>
    </row>
    <row r="490" spans="13:19">
      <c r="M490" s="93"/>
      <c r="P490" s="93"/>
      <c r="R490" s="93"/>
      <c r="S490" s="93"/>
    </row>
    <row r="491" spans="13:19">
      <c r="M491" s="93"/>
      <c r="P491" s="93"/>
      <c r="R491" s="93"/>
      <c r="S491" s="93"/>
    </row>
    <row r="492" spans="13:19">
      <c r="M492" s="93"/>
      <c r="P492" s="93"/>
      <c r="R492" s="93"/>
      <c r="S492" s="93"/>
    </row>
    <row r="493" spans="13:19">
      <c r="M493" s="93"/>
      <c r="P493" s="93"/>
      <c r="R493" s="93"/>
      <c r="S493" s="93"/>
    </row>
    <row r="494" spans="13:19">
      <c r="M494" s="93"/>
      <c r="P494" s="93"/>
      <c r="R494" s="93"/>
      <c r="S494" s="93"/>
    </row>
    <row r="495" spans="13:19">
      <c r="M495" s="93"/>
      <c r="P495" s="93"/>
      <c r="R495" s="93"/>
      <c r="S495" s="93"/>
    </row>
    <row r="496" spans="13:19">
      <c r="M496" s="93"/>
      <c r="P496" s="93"/>
      <c r="R496" s="93"/>
      <c r="S496" s="93"/>
    </row>
    <row r="497" spans="13:19">
      <c r="M497" s="93"/>
      <c r="P497" s="93"/>
      <c r="R497" s="93"/>
      <c r="S497" s="93"/>
    </row>
    <row r="498" spans="13:19">
      <c r="M498" s="93"/>
      <c r="P498" s="93"/>
      <c r="R498" s="93"/>
      <c r="S498" s="93"/>
    </row>
    <row r="499" spans="13:19">
      <c r="M499" s="93"/>
      <c r="P499" s="93"/>
      <c r="R499" s="93"/>
      <c r="S499" s="93"/>
    </row>
    <row r="500" spans="13:19">
      <c r="M500" s="93"/>
      <c r="P500" s="93"/>
      <c r="R500" s="93"/>
      <c r="S500" s="93"/>
    </row>
    <row r="501" spans="13:19">
      <c r="M501" s="93"/>
      <c r="P501" s="93"/>
      <c r="R501" s="93"/>
      <c r="S501" s="93"/>
    </row>
    <row r="502" spans="13:19">
      <c r="M502" s="93"/>
      <c r="P502" s="93"/>
      <c r="R502" s="93"/>
      <c r="S502" s="93"/>
    </row>
    <row r="503" spans="13:19">
      <c r="M503" s="93"/>
      <c r="P503" s="93"/>
      <c r="R503" s="93"/>
      <c r="S503" s="93"/>
    </row>
    <row r="504" spans="13:19">
      <c r="M504" s="93"/>
      <c r="P504" s="93"/>
      <c r="R504" s="93"/>
      <c r="S504" s="93"/>
    </row>
    <row r="505" spans="13:19">
      <c r="M505" s="93"/>
      <c r="P505" s="93"/>
      <c r="R505" s="93"/>
      <c r="S505" s="93"/>
    </row>
    <row r="506" spans="13:19">
      <c r="M506" s="93"/>
      <c r="P506" s="93"/>
      <c r="R506" s="93"/>
      <c r="S506" s="93"/>
    </row>
    <row r="507" spans="13:19">
      <c r="M507" s="93"/>
      <c r="P507" s="93"/>
      <c r="R507" s="93"/>
      <c r="S507" s="93"/>
    </row>
    <row r="508" spans="13:19">
      <c r="M508" s="93"/>
      <c r="P508" s="93"/>
      <c r="R508" s="93"/>
      <c r="S508" s="93"/>
    </row>
    <row r="509" spans="13:19">
      <c r="M509" s="93"/>
      <c r="P509" s="93"/>
      <c r="R509" s="93"/>
      <c r="S509" s="93"/>
    </row>
    <row r="510" spans="13:19">
      <c r="M510" s="93"/>
      <c r="P510" s="93"/>
      <c r="R510" s="93"/>
      <c r="S510" s="93"/>
    </row>
    <row r="511" spans="13:19">
      <c r="M511" s="93"/>
      <c r="P511" s="93"/>
      <c r="R511" s="93"/>
      <c r="S511" s="93"/>
    </row>
    <row r="512" spans="13:19">
      <c r="M512" s="93"/>
      <c r="P512" s="93"/>
      <c r="R512" s="93"/>
      <c r="S512" s="93"/>
    </row>
    <row r="513" spans="13:19">
      <c r="M513" s="93"/>
      <c r="P513" s="93"/>
      <c r="R513" s="93"/>
      <c r="S513" s="93"/>
    </row>
    <row r="514" spans="13:19">
      <c r="M514" s="93"/>
      <c r="P514" s="93"/>
      <c r="R514" s="93"/>
      <c r="S514" s="93"/>
    </row>
    <row r="515" spans="13:19">
      <c r="M515" s="93"/>
      <c r="P515" s="93"/>
      <c r="R515" s="93"/>
      <c r="S515" s="93"/>
    </row>
    <row r="516" spans="13:19">
      <c r="M516" s="93"/>
      <c r="P516" s="93"/>
      <c r="R516" s="93"/>
      <c r="S516" s="93"/>
    </row>
    <row r="517" spans="13:19">
      <c r="M517" s="93"/>
      <c r="P517" s="93"/>
      <c r="R517" s="93"/>
      <c r="S517" s="93"/>
    </row>
    <row r="518" spans="13:19">
      <c r="M518" s="93"/>
      <c r="P518" s="93"/>
      <c r="R518" s="93"/>
      <c r="S518" s="93"/>
    </row>
    <row r="519" spans="13:19">
      <c r="M519" s="93"/>
      <c r="P519" s="93"/>
      <c r="R519" s="93"/>
      <c r="S519" s="93"/>
    </row>
    <row r="520" spans="13:19">
      <c r="M520" s="93"/>
      <c r="P520" s="93"/>
      <c r="R520" s="93"/>
      <c r="S520" s="93"/>
    </row>
    <row r="521" spans="13:19">
      <c r="M521" s="93"/>
      <c r="P521" s="93"/>
      <c r="R521" s="93"/>
      <c r="S521" s="93"/>
    </row>
    <row r="522" spans="13:19">
      <c r="M522" s="93"/>
      <c r="P522" s="93"/>
      <c r="R522" s="93"/>
      <c r="S522" s="93"/>
    </row>
    <row r="523" spans="13:19">
      <c r="M523" s="93"/>
      <c r="P523" s="93"/>
      <c r="R523" s="93"/>
      <c r="S523" s="93"/>
    </row>
    <row r="524" spans="13:19">
      <c r="M524" s="93"/>
      <c r="P524" s="93"/>
      <c r="R524" s="93"/>
      <c r="S524" s="93"/>
    </row>
    <row r="525" spans="13:19">
      <c r="M525" s="93"/>
      <c r="P525" s="93"/>
      <c r="R525" s="93"/>
      <c r="S525" s="93"/>
    </row>
    <row r="526" spans="13:19">
      <c r="M526" s="93"/>
      <c r="P526" s="93"/>
      <c r="R526" s="93"/>
      <c r="S526" s="93"/>
    </row>
    <row r="527" spans="13:19">
      <c r="M527" s="93"/>
      <c r="P527" s="93"/>
      <c r="R527" s="93"/>
      <c r="S527" s="93"/>
    </row>
    <row r="528" spans="13:19">
      <c r="M528" s="93"/>
      <c r="P528" s="93"/>
      <c r="R528" s="93"/>
      <c r="S528" s="93"/>
    </row>
    <row r="529" spans="13:19">
      <c r="M529" s="93"/>
      <c r="P529" s="93"/>
      <c r="R529" s="93"/>
      <c r="S529" s="93"/>
    </row>
    <row r="530" spans="13:19">
      <c r="M530" s="93"/>
      <c r="P530" s="93"/>
      <c r="R530" s="93"/>
      <c r="S530" s="93"/>
    </row>
    <row r="531" spans="13:19">
      <c r="M531" s="93"/>
      <c r="P531" s="93"/>
      <c r="R531" s="93"/>
      <c r="S531" s="93"/>
    </row>
    <row r="532" spans="13:19">
      <c r="M532" s="93"/>
      <c r="P532" s="93"/>
      <c r="R532" s="93"/>
      <c r="S532" s="93"/>
    </row>
    <row r="533" spans="13:19">
      <c r="M533" s="93"/>
      <c r="P533" s="93"/>
      <c r="R533" s="93"/>
      <c r="S533" s="93"/>
    </row>
    <row r="534" spans="13:19">
      <c r="M534" s="93"/>
      <c r="P534" s="93"/>
      <c r="R534" s="93"/>
      <c r="S534" s="93"/>
    </row>
    <row r="535" spans="13:19">
      <c r="M535" s="93"/>
      <c r="P535" s="93"/>
      <c r="R535" s="93"/>
      <c r="S535" s="93"/>
    </row>
    <row r="536" spans="13:19">
      <c r="M536" s="93"/>
      <c r="P536" s="93"/>
      <c r="R536" s="93"/>
      <c r="S536" s="93"/>
    </row>
    <row r="537" spans="13:19">
      <c r="M537" s="93"/>
      <c r="P537" s="93"/>
      <c r="R537" s="93"/>
      <c r="S537" s="93"/>
    </row>
    <row r="538" spans="13:19">
      <c r="M538" s="93"/>
      <c r="P538" s="93"/>
      <c r="R538" s="93"/>
      <c r="S538" s="93"/>
    </row>
    <row r="539" spans="13:19">
      <c r="M539" s="93"/>
      <c r="P539" s="93"/>
      <c r="R539" s="93"/>
      <c r="S539" s="93"/>
    </row>
    <row r="540" spans="13:19">
      <c r="M540" s="93"/>
      <c r="P540" s="93"/>
      <c r="R540" s="93"/>
      <c r="S540" s="93"/>
    </row>
    <row r="541" spans="13:19">
      <c r="M541" s="93"/>
      <c r="P541" s="93"/>
      <c r="R541" s="93"/>
      <c r="S541" s="93"/>
    </row>
    <row r="542" spans="13:19">
      <c r="M542" s="93"/>
      <c r="P542" s="93"/>
      <c r="R542" s="93"/>
      <c r="S542" s="93"/>
    </row>
    <row r="543" spans="13:19">
      <c r="M543" s="93"/>
      <c r="P543" s="93"/>
      <c r="R543" s="93"/>
      <c r="S543" s="93"/>
    </row>
    <row r="544" spans="13:19">
      <c r="M544" s="93"/>
      <c r="P544" s="93"/>
      <c r="R544" s="93"/>
      <c r="S544" s="93"/>
    </row>
    <row r="545" spans="13:19">
      <c r="M545" s="93"/>
      <c r="P545" s="93"/>
      <c r="R545" s="93"/>
      <c r="S545" s="93"/>
    </row>
    <row r="546" spans="13:19">
      <c r="M546" s="93"/>
      <c r="P546" s="93"/>
      <c r="R546" s="93"/>
      <c r="S546" s="93"/>
    </row>
    <row r="547" spans="13:19">
      <c r="M547" s="93"/>
      <c r="P547" s="93"/>
      <c r="R547" s="93"/>
      <c r="S547" s="93"/>
    </row>
    <row r="548" spans="13:19">
      <c r="M548" s="93"/>
      <c r="P548" s="93"/>
      <c r="R548" s="93"/>
      <c r="S548" s="93"/>
    </row>
    <row r="549" spans="13:19">
      <c r="M549" s="93"/>
      <c r="P549" s="93"/>
      <c r="R549" s="93"/>
      <c r="S549" s="93"/>
    </row>
    <row r="550" spans="13:19">
      <c r="M550" s="93"/>
      <c r="P550" s="93"/>
      <c r="R550" s="93"/>
      <c r="S550" s="93"/>
    </row>
    <row r="551" spans="13:19">
      <c r="M551" s="93"/>
      <c r="P551" s="93"/>
      <c r="R551" s="93"/>
      <c r="S551" s="93"/>
    </row>
    <row r="552" spans="13:19">
      <c r="M552" s="93"/>
      <c r="P552" s="93"/>
      <c r="R552" s="93"/>
      <c r="S552" s="93"/>
    </row>
    <row r="553" spans="13:19">
      <c r="M553" s="93"/>
      <c r="P553" s="93"/>
      <c r="R553" s="93"/>
      <c r="S553" s="93"/>
    </row>
    <row r="554" spans="13:19">
      <c r="M554" s="93"/>
      <c r="P554" s="93"/>
      <c r="R554" s="93"/>
      <c r="S554" s="93"/>
    </row>
    <row r="555" spans="13:19">
      <c r="M555" s="93"/>
      <c r="P555" s="93"/>
      <c r="R555" s="93"/>
      <c r="S555" s="93"/>
    </row>
    <row r="556" spans="13:19">
      <c r="M556" s="93"/>
      <c r="P556" s="93"/>
      <c r="R556" s="93"/>
      <c r="S556" s="93"/>
    </row>
    <row r="557" spans="13:19">
      <c r="M557" s="93"/>
      <c r="P557" s="93"/>
      <c r="R557" s="93"/>
      <c r="S557" s="93"/>
    </row>
    <row r="558" spans="13:19">
      <c r="M558" s="93"/>
      <c r="P558" s="93"/>
      <c r="R558" s="93"/>
      <c r="S558" s="93"/>
    </row>
    <row r="559" spans="13:19">
      <c r="M559" s="93"/>
      <c r="P559" s="93"/>
      <c r="R559" s="93"/>
      <c r="S559" s="93"/>
    </row>
    <row r="560" spans="13:19">
      <c r="M560" s="93"/>
      <c r="P560" s="93"/>
      <c r="R560" s="93"/>
      <c r="S560" s="93"/>
    </row>
    <row r="561" spans="13:19">
      <c r="M561" s="93"/>
      <c r="P561" s="93"/>
      <c r="R561" s="93"/>
      <c r="S561" s="93"/>
    </row>
    <row r="562" spans="13:19">
      <c r="M562" s="93"/>
      <c r="P562" s="93"/>
      <c r="R562" s="93"/>
      <c r="S562" s="93"/>
    </row>
    <row r="563" spans="13:19">
      <c r="M563" s="93"/>
      <c r="P563" s="93"/>
      <c r="R563" s="93"/>
      <c r="S563" s="93"/>
    </row>
    <row r="564" spans="13:19">
      <c r="M564" s="93"/>
      <c r="P564" s="93"/>
      <c r="R564" s="93"/>
      <c r="S564" s="93"/>
    </row>
    <row r="565" spans="13:19">
      <c r="M565" s="93"/>
      <c r="P565" s="93"/>
      <c r="R565" s="93"/>
      <c r="S565" s="93"/>
    </row>
    <row r="566" spans="13:19">
      <c r="M566" s="93"/>
      <c r="P566" s="93"/>
      <c r="R566" s="93"/>
      <c r="S566" s="93"/>
    </row>
    <row r="567" spans="13:19">
      <c r="M567" s="93"/>
      <c r="P567" s="93"/>
      <c r="R567" s="93"/>
      <c r="S567" s="93"/>
    </row>
    <row r="568" spans="13:19">
      <c r="M568" s="93"/>
      <c r="P568" s="93"/>
      <c r="R568" s="93"/>
      <c r="S568" s="93"/>
    </row>
  </sheetData>
  <mergeCells count="28">
    <mergeCell ref="A7:S7"/>
    <mergeCell ref="A8:S8"/>
    <mergeCell ref="A161:S161"/>
    <mergeCell ref="A162:S162"/>
    <mergeCell ref="A263:S263"/>
    <mergeCell ref="A9:S9"/>
    <mergeCell ref="A59:S59"/>
    <mergeCell ref="A60:S60"/>
    <mergeCell ref="A417:S417"/>
    <mergeCell ref="A110:S110"/>
    <mergeCell ref="A111:S111"/>
    <mergeCell ref="A212:S212"/>
    <mergeCell ref="A213:S213"/>
    <mergeCell ref="A314:S314"/>
    <mergeCell ref="A315:S315"/>
    <mergeCell ref="A416:S416"/>
    <mergeCell ref="A264:S264"/>
    <mergeCell ref="A365:S365"/>
    <mergeCell ref="A366:S366"/>
    <mergeCell ref="Q4:Q5"/>
    <mergeCell ref="R4:R5"/>
    <mergeCell ref="S4:S5"/>
    <mergeCell ref="O6:S6"/>
    <mergeCell ref="A4:I6"/>
    <mergeCell ref="J4:M5"/>
    <mergeCell ref="N4:N6"/>
    <mergeCell ref="O4:O5"/>
    <mergeCell ref="P4:P5"/>
  </mergeCells>
  <hyperlinks>
    <hyperlink ref="A1:I1" location="Главная!A1" display="Вернуться на главную страницу" xr:uid="{00000000-0004-0000-1700-000000000000}"/>
    <hyperlink ref="A2" location="'Калькулятор теплоотдач ВК'!R1C1" display="Вернуться Калькулятор теплоотдач ВК" xr:uid="{00000000-0004-0000-1700-000001000000}"/>
  </hyperlink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26">
    <tabColor rgb="FFFFC000"/>
  </sheetPr>
  <dimension ref="A1:U517"/>
  <sheetViews>
    <sheetView zoomScale="70" zoomScaleNormal="70" workbookViewId="0">
      <pane ySplit="6" topLeftCell="A7" activePane="bottomLeft" state="frozen"/>
      <selection pane="bottomLeft" activeCell="R41" sqref="R41:R42"/>
    </sheetView>
  </sheetViews>
  <sheetFormatPr defaultRowHeight="15.75"/>
  <cols>
    <col min="1" max="1" width="3.7109375" style="7" customWidth="1"/>
    <col min="2" max="2" width="6" style="7" customWidth="1"/>
    <col min="3" max="3" width="3" style="7" customWidth="1"/>
    <col min="4" max="4" width="6" style="7" customWidth="1"/>
    <col min="5" max="5" width="3" style="7" customWidth="1"/>
    <col min="6" max="6" width="7.7109375" style="96" customWidth="1"/>
    <col min="7" max="7" width="3" style="7" customWidth="1"/>
    <col min="8" max="8" width="6" style="7" customWidth="1"/>
    <col min="9" max="9" width="4.5703125" style="7" customWidth="1"/>
    <col min="10" max="10" width="11.28515625" style="7" customWidth="1"/>
    <col min="11" max="12" width="11.28515625" style="96" customWidth="1"/>
    <col min="13" max="13" width="15.5703125" style="1" customWidth="1"/>
    <col min="14" max="14" width="19.140625" style="7" customWidth="1"/>
    <col min="15" max="15" width="27.7109375" style="122" customWidth="1"/>
    <col min="16" max="16" width="27.7109375" style="116" customWidth="1"/>
    <col min="17" max="17" width="26.28515625" style="117" customWidth="1"/>
    <col min="18" max="18" width="27.7109375" style="122" customWidth="1"/>
    <col min="19" max="19" width="27.7109375" style="117" customWidth="1"/>
    <col min="21" max="21" width="22.42578125" customWidth="1"/>
  </cols>
  <sheetData>
    <row r="1" spans="1:21" ht="16.5" customHeight="1">
      <c r="A1" s="1217" t="s">
        <v>9</v>
      </c>
      <c r="B1" s="1217"/>
      <c r="C1" s="1217"/>
      <c r="D1" s="1217"/>
      <c r="E1" s="1217"/>
      <c r="F1" s="97"/>
      <c r="G1" s="1217"/>
      <c r="H1" s="1217"/>
      <c r="I1" s="1217"/>
      <c r="M1" s="175"/>
      <c r="O1" s="117"/>
      <c r="P1" s="117"/>
      <c r="R1" s="117"/>
      <c r="U1" s="74"/>
    </row>
    <row r="2" spans="1:21" s="74" customFormat="1" ht="16.5" customHeight="1">
      <c r="A2" s="956" t="s">
        <v>378</v>
      </c>
      <c r="B2" s="1217"/>
      <c r="C2" s="1217"/>
      <c r="D2" s="1217"/>
      <c r="E2" s="1217"/>
      <c r="F2" s="97"/>
      <c r="G2" s="1217"/>
      <c r="H2" s="1217"/>
      <c r="I2" s="1217"/>
      <c r="J2" s="7"/>
      <c r="K2" s="96"/>
      <c r="L2" s="96"/>
      <c r="M2" s="175"/>
      <c r="N2" s="7"/>
      <c r="O2" s="117"/>
      <c r="P2" s="117"/>
      <c r="Q2" s="117"/>
      <c r="R2" s="117"/>
      <c r="S2" s="117"/>
    </row>
    <row r="3" spans="1:21" s="74" customFormat="1" ht="13.5" customHeight="1" thickBot="1">
      <c r="A3" s="16"/>
      <c r="B3" s="16"/>
      <c r="C3" s="16"/>
      <c r="D3" s="16"/>
      <c r="E3" s="16"/>
      <c r="F3" s="109"/>
      <c r="G3" s="16"/>
      <c r="H3" s="16"/>
      <c r="I3" s="16"/>
      <c r="J3" s="16"/>
      <c r="K3" s="108"/>
      <c r="L3" s="108"/>
      <c r="M3" s="175"/>
      <c r="N3" s="7"/>
      <c r="O3" s="116"/>
      <c r="P3" s="116"/>
      <c r="Q3" s="117"/>
      <c r="R3" s="117"/>
      <c r="S3" s="117"/>
    </row>
    <row r="4" spans="1:21" s="74" customFormat="1" ht="69" customHeight="1">
      <c r="A4" s="2643" t="s">
        <v>8</v>
      </c>
      <c r="B4" s="2644"/>
      <c r="C4" s="2644"/>
      <c r="D4" s="2644"/>
      <c r="E4" s="2644"/>
      <c r="F4" s="2644"/>
      <c r="G4" s="2644"/>
      <c r="H4" s="2644"/>
      <c r="I4" s="2645"/>
      <c r="J4" s="2637" t="s">
        <v>97</v>
      </c>
      <c r="K4" s="2638"/>
      <c r="L4" s="2638"/>
      <c r="M4" s="2639"/>
      <c r="N4" s="2652" t="s">
        <v>96</v>
      </c>
      <c r="O4" s="2655" t="s">
        <v>170</v>
      </c>
      <c r="P4" s="2617" t="s">
        <v>166</v>
      </c>
      <c r="Q4" s="2655" t="s">
        <v>171</v>
      </c>
      <c r="R4" s="2630" t="s">
        <v>460</v>
      </c>
      <c r="S4" s="2590" t="s">
        <v>461</v>
      </c>
    </row>
    <row r="5" spans="1:21" s="74" customFormat="1" ht="72.75" customHeight="1" thickBot="1">
      <c r="A5" s="2646"/>
      <c r="B5" s="2647"/>
      <c r="C5" s="2647"/>
      <c r="D5" s="2647"/>
      <c r="E5" s="2647"/>
      <c r="F5" s="2647"/>
      <c r="G5" s="2647"/>
      <c r="H5" s="2647"/>
      <c r="I5" s="2648"/>
      <c r="J5" s="2640"/>
      <c r="K5" s="2641"/>
      <c r="L5" s="2641"/>
      <c r="M5" s="2642"/>
      <c r="N5" s="2653"/>
      <c r="O5" s="2656"/>
      <c r="P5" s="2618"/>
      <c r="Q5" s="2656"/>
      <c r="R5" s="2631"/>
      <c r="S5" s="2591"/>
    </row>
    <row r="6" spans="1:21" s="74" customFormat="1" ht="61.5" customHeight="1" thickBot="1">
      <c r="A6" s="2649"/>
      <c r="B6" s="2650"/>
      <c r="C6" s="2650"/>
      <c r="D6" s="2650"/>
      <c r="E6" s="2650"/>
      <c r="F6" s="2650"/>
      <c r="G6" s="2650"/>
      <c r="H6" s="2650"/>
      <c r="I6" s="2651"/>
      <c r="J6" s="1223" t="s">
        <v>0</v>
      </c>
      <c r="K6" s="115" t="s">
        <v>1</v>
      </c>
      <c r="L6" s="115" t="s">
        <v>2</v>
      </c>
      <c r="M6" s="180" t="s">
        <v>94</v>
      </c>
      <c r="N6" s="2654"/>
      <c r="O6" s="2634" t="s">
        <v>169</v>
      </c>
      <c r="P6" s="2635"/>
      <c r="Q6" s="2635"/>
      <c r="R6" s="2635"/>
      <c r="S6" s="2636"/>
    </row>
    <row r="7" spans="1:21" s="74" customFormat="1" ht="22.5" customHeight="1" thickBot="1">
      <c r="A7" s="2580" t="s">
        <v>51</v>
      </c>
      <c r="B7" s="2581"/>
      <c r="C7" s="2581"/>
      <c r="D7" s="2581"/>
      <c r="E7" s="2581"/>
      <c r="F7" s="2581"/>
      <c r="G7" s="2581"/>
      <c r="H7" s="2581"/>
      <c r="I7" s="2581"/>
      <c r="J7" s="2581"/>
      <c r="K7" s="2581"/>
      <c r="L7" s="2581"/>
      <c r="M7" s="2581"/>
      <c r="N7" s="2581"/>
      <c r="O7" s="2581"/>
      <c r="P7" s="2581"/>
      <c r="Q7" s="2581"/>
      <c r="R7" s="2581"/>
      <c r="S7" s="2582"/>
    </row>
    <row r="8" spans="1:21" s="74" customFormat="1" ht="16.5" customHeight="1" thickBot="1">
      <c r="A8" s="2662" t="s">
        <v>139</v>
      </c>
      <c r="B8" s="2663"/>
      <c r="C8" s="2663"/>
      <c r="D8" s="2663"/>
      <c r="E8" s="2663"/>
      <c r="F8" s="2663"/>
      <c r="G8" s="2663"/>
      <c r="H8" s="2663"/>
      <c r="I8" s="2663"/>
      <c r="J8" s="2663"/>
      <c r="K8" s="2663"/>
      <c r="L8" s="2663"/>
      <c r="M8" s="2663"/>
      <c r="N8" s="2663"/>
      <c r="O8" s="2663"/>
      <c r="P8" s="2663"/>
      <c r="Q8" s="2663"/>
      <c r="R8" s="2663"/>
      <c r="S8" s="2664"/>
    </row>
    <row r="9" spans="1:21" s="74" customFormat="1" ht="16.5" thickBot="1">
      <c r="A9" s="47" t="s">
        <v>35</v>
      </c>
      <c r="B9" s="48">
        <f>J9</f>
        <v>200</v>
      </c>
      <c r="C9" s="48" t="s">
        <v>3</v>
      </c>
      <c r="D9" s="48">
        <f>K9</f>
        <v>200</v>
      </c>
      <c r="E9" s="48" t="s">
        <v>3</v>
      </c>
      <c r="F9" s="99">
        <f>L9</f>
        <v>600</v>
      </c>
      <c r="G9" s="48" t="s">
        <v>3</v>
      </c>
      <c r="H9" s="48">
        <v>4</v>
      </c>
      <c r="I9" s="49" t="s">
        <v>46</v>
      </c>
      <c r="J9" s="181">
        <v>200</v>
      </c>
      <c r="K9" s="143">
        <v>200</v>
      </c>
      <c r="L9" s="143">
        <v>600</v>
      </c>
      <c r="M9" s="201">
        <v>8.0159955955325</v>
      </c>
      <c r="N9" s="144">
        <v>223.21499999999997</v>
      </c>
      <c r="O9" s="145">
        <v>13173.277254229914</v>
      </c>
      <c r="P9" s="198">
        <v>15918.705077046236</v>
      </c>
      <c r="Q9" s="169">
        <v>6535.0358533845019</v>
      </c>
      <c r="R9" s="318">
        <v>19708.313107614416</v>
      </c>
      <c r="S9" s="313">
        <v>22453.740930430737</v>
      </c>
      <c r="U9" s="7" t="s">
        <v>3803</v>
      </c>
    </row>
    <row r="10" spans="1:21" s="74" customFormat="1" ht="16.5" thickBot="1">
      <c r="A10" s="50" t="s">
        <v>35</v>
      </c>
      <c r="B10" s="51">
        <f t="shared" ref="B10:B57" si="0">J10</f>
        <v>200</v>
      </c>
      <c r="C10" s="51" t="s">
        <v>3</v>
      </c>
      <c r="D10" s="51">
        <f t="shared" ref="D10:D57" si="1">K10</f>
        <v>200</v>
      </c>
      <c r="E10" s="51" t="s">
        <v>3</v>
      </c>
      <c r="F10" s="99">
        <f t="shared" ref="F10:F57" si="2">L10</f>
        <v>650</v>
      </c>
      <c r="G10" s="51" t="s">
        <v>3</v>
      </c>
      <c r="H10" s="48">
        <v>4</v>
      </c>
      <c r="I10" s="49" t="s">
        <v>46</v>
      </c>
      <c r="J10" s="184">
        <v>200</v>
      </c>
      <c r="K10" s="75">
        <v>200</v>
      </c>
      <c r="L10" s="75">
        <v>650</v>
      </c>
      <c r="M10" s="202">
        <v>8.5751219619044985</v>
      </c>
      <c r="N10" s="87">
        <v>267.85799999999995</v>
      </c>
      <c r="O10" s="123">
        <v>13863.698818564726</v>
      </c>
      <c r="P10" s="199">
        <v>16785.923283908673</v>
      </c>
      <c r="Q10" s="120">
        <v>6893.4546325058636</v>
      </c>
      <c r="R10" s="319">
        <v>20757.15345107059</v>
      </c>
      <c r="S10" s="315">
        <v>23679.377916414538</v>
      </c>
      <c r="U10" s="7" t="s">
        <v>3804</v>
      </c>
    </row>
    <row r="11" spans="1:21" s="74" customFormat="1" ht="16.5" thickBot="1">
      <c r="A11" s="50" t="s">
        <v>35</v>
      </c>
      <c r="B11" s="51">
        <f t="shared" si="0"/>
        <v>200</v>
      </c>
      <c r="C11" s="51" t="s">
        <v>3</v>
      </c>
      <c r="D11" s="51">
        <f t="shared" si="1"/>
        <v>200</v>
      </c>
      <c r="E11" s="51" t="s">
        <v>3</v>
      </c>
      <c r="F11" s="99">
        <f t="shared" si="2"/>
        <v>700</v>
      </c>
      <c r="G11" s="51" t="s">
        <v>3</v>
      </c>
      <c r="H11" s="48">
        <v>4</v>
      </c>
      <c r="I11" s="49" t="s">
        <v>46</v>
      </c>
      <c r="J11" s="184">
        <v>200</v>
      </c>
      <c r="K11" s="75">
        <v>200</v>
      </c>
      <c r="L11" s="75">
        <v>700</v>
      </c>
      <c r="M11" s="202">
        <v>9.1504363282765002</v>
      </c>
      <c r="N11" s="87">
        <v>312.50099999999992</v>
      </c>
      <c r="O11" s="123">
        <v>14554.227222248403</v>
      </c>
      <c r="P11" s="199">
        <v>17653.351637856806</v>
      </c>
      <c r="Q11" s="120">
        <v>7482.4550490171396</v>
      </c>
      <c r="R11" s="319">
        <v>22036.682271265541</v>
      </c>
      <c r="S11" s="315">
        <v>25135.806686873944</v>
      </c>
      <c r="U11" s="7" t="s">
        <v>3805</v>
      </c>
    </row>
    <row r="12" spans="1:21" s="74" customFormat="1" ht="16.5" thickBot="1">
      <c r="A12" s="50" t="s">
        <v>35</v>
      </c>
      <c r="B12" s="51">
        <f t="shared" si="0"/>
        <v>200</v>
      </c>
      <c r="C12" s="51" t="s">
        <v>3</v>
      </c>
      <c r="D12" s="51">
        <f t="shared" si="1"/>
        <v>200</v>
      </c>
      <c r="E12" s="51" t="s">
        <v>3</v>
      </c>
      <c r="F12" s="99">
        <f t="shared" si="2"/>
        <v>750</v>
      </c>
      <c r="G12" s="51" t="s">
        <v>3</v>
      </c>
      <c r="H12" s="48">
        <v>4</v>
      </c>
      <c r="I12" s="49" t="s">
        <v>46</v>
      </c>
      <c r="J12" s="184">
        <v>200</v>
      </c>
      <c r="K12" s="75">
        <v>200</v>
      </c>
      <c r="L12" s="75">
        <v>750</v>
      </c>
      <c r="M12" s="202">
        <v>9.7095626946485005</v>
      </c>
      <c r="N12" s="87">
        <v>357.14400000000001</v>
      </c>
      <c r="O12" s="123">
        <v>15244.849127911502</v>
      </c>
      <c r="P12" s="199">
        <v>18520.963830839442</v>
      </c>
      <c r="Q12" s="120">
        <v>7840.8736877451383</v>
      </c>
      <c r="R12" s="319">
        <v>23085.722815656642</v>
      </c>
      <c r="S12" s="315">
        <v>26361.83751858458</v>
      </c>
      <c r="U12" s="7" t="s">
        <v>3806</v>
      </c>
    </row>
    <row r="13" spans="1:21" s="74" customFormat="1" ht="16.5" thickBot="1">
      <c r="A13" s="50" t="s">
        <v>35</v>
      </c>
      <c r="B13" s="51">
        <f t="shared" si="0"/>
        <v>200</v>
      </c>
      <c r="C13" s="51" t="s">
        <v>3</v>
      </c>
      <c r="D13" s="51">
        <f t="shared" si="1"/>
        <v>200</v>
      </c>
      <c r="E13" s="51" t="s">
        <v>3</v>
      </c>
      <c r="F13" s="99">
        <f t="shared" si="2"/>
        <v>800</v>
      </c>
      <c r="G13" s="51" t="s">
        <v>3</v>
      </c>
      <c r="H13" s="48">
        <v>4</v>
      </c>
      <c r="I13" s="49" t="s">
        <v>46</v>
      </c>
      <c r="J13" s="184">
        <v>200</v>
      </c>
      <c r="K13" s="75">
        <v>200</v>
      </c>
      <c r="L13" s="75">
        <v>800</v>
      </c>
      <c r="M13" s="202">
        <v>10.268689061020501</v>
      </c>
      <c r="N13" s="87">
        <v>401.78699999999998</v>
      </c>
      <c r="O13" s="123">
        <v>15936.21385485559</v>
      </c>
      <c r="P13" s="199">
        <v>19389.541421738781</v>
      </c>
      <c r="Q13" s="120">
        <v>8199.2923264731398</v>
      </c>
      <c r="R13" s="319">
        <v>24135.506181328732</v>
      </c>
      <c r="S13" s="315">
        <v>27588.83374821192</v>
      </c>
      <c r="U13" s="7" t="s">
        <v>3807</v>
      </c>
    </row>
    <row r="14" spans="1:21" s="74" customFormat="1" ht="16.5" thickBot="1">
      <c r="A14" s="50" t="s">
        <v>35</v>
      </c>
      <c r="B14" s="51">
        <f t="shared" si="0"/>
        <v>200</v>
      </c>
      <c r="C14" s="51" t="s">
        <v>3</v>
      </c>
      <c r="D14" s="51">
        <f t="shared" si="1"/>
        <v>200</v>
      </c>
      <c r="E14" s="51" t="s">
        <v>3</v>
      </c>
      <c r="F14" s="99">
        <f t="shared" si="2"/>
        <v>850</v>
      </c>
      <c r="G14" s="51" t="s">
        <v>3</v>
      </c>
      <c r="H14" s="48">
        <v>4</v>
      </c>
      <c r="I14" s="49" t="s">
        <v>46</v>
      </c>
      <c r="J14" s="184">
        <v>200</v>
      </c>
      <c r="K14" s="75">
        <v>200</v>
      </c>
      <c r="L14" s="75">
        <v>850</v>
      </c>
      <c r="M14" s="202">
        <v>10.844003427392501</v>
      </c>
      <c r="N14" s="87">
        <v>446.42999999999995</v>
      </c>
      <c r="O14" s="123">
        <v>16626.98162922233</v>
      </c>
      <c r="P14" s="199">
        <v>20257.44845271231</v>
      </c>
      <c r="Q14" s="120">
        <v>8788.2927429844149</v>
      </c>
      <c r="R14" s="319">
        <v>25415.274372206746</v>
      </c>
      <c r="S14" s="315">
        <v>29045.741195696726</v>
      </c>
      <c r="U14" s="7" t="s">
        <v>3808</v>
      </c>
    </row>
    <row r="15" spans="1:21" s="74" customFormat="1" ht="16.5" thickBot="1">
      <c r="A15" s="50" t="s">
        <v>35</v>
      </c>
      <c r="B15" s="51">
        <f t="shared" si="0"/>
        <v>200</v>
      </c>
      <c r="C15" s="51" t="s">
        <v>3</v>
      </c>
      <c r="D15" s="51">
        <f t="shared" si="1"/>
        <v>200</v>
      </c>
      <c r="E15" s="51" t="s">
        <v>3</v>
      </c>
      <c r="F15" s="99">
        <f t="shared" si="2"/>
        <v>900</v>
      </c>
      <c r="G15" s="51" t="s">
        <v>3</v>
      </c>
      <c r="H15" s="48">
        <v>4</v>
      </c>
      <c r="I15" s="49" t="s">
        <v>46</v>
      </c>
      <c r="J15" s="184">
        <v>200</v>
      </c>
      <c r="K15" s="75">
        <v>200</v>
      </c>
      <c r="L15" s="75">
        <v>900</v>
      </c>
      <c r="M15" s="202">
        <v>11.403129793764501</v>
      </c>
      <c r="N15" s="87">
        <v>491.07299999999998</v>
      </c>
      <c r="O15" s="123">
        <v>17317.814686502628</v>
      </c>
      <c r="P15" s="199">
        <v>21125.483281682951</v>
      </c>
      <c r="Q15" s="120">
        <v>9146.7115221057775</v>
      </c>
      <c r="R15" s="319">
        <v>26464.526208608404</v>
      </c>
      <c r="S15" s="315">
        <v>30272.194803788727</v>
      </c>
      <c r="U15" s="7" t="s">
        <v>3809</v>
      </c>
    </row>
    <row r="16" spans="1:21" s="74" customFormat="1" ht="16.5" thickBot="1">
      <c r="A16" s="50" t="s">
        <v>35</v>
      </c>
      <c r="B16" s="51">
        <f t="shared" si="0"/>
        <v>200</v>
      </c>
      <c r="C16" s="51" t="s">
        <v>3</v>
      </c>
      <c r="D16" s="51">
        <f t="shared" si="1"/>
        <v>200</v>
      </c>
      <c r="E16" s="51" t="s">
        <v>3</v>
      </c>
      <c r="F16" s="99">
        <f t="shared" si="2"/>
        <v>950</v>
      </c>
      <c r="G16" s="51" t="s">
        <v>3</v>
      </c>
      <c r="H16" s="48">
        <v>4</v>
      </c>
      <c r="I16" s="49" t="s">
        <v>46</v>
      </c>
      <c r="J16" s="184">
        <v>200</v>
      </c>
      <c r="K16" s="75">
        <v>200</v>
      </c>
      <c r="L16" s="75">
        <v>950</v>
      </c>
      <c r="M16" s="202">
        <v>11.978444160136499</v>
      </c>
      <c r="N16" s="87">
        <v>535.71599999999989</v>
      </c>
      <c r="O16" s="123">
        <v>18008.70614742173</v>
      </c>
      <c r="P16" s="199">
        <v>21993.63220675903</v>
      </c>
      <c r="Q16" s="120">
        <v>9735.7119386170507</v>
      </c>
      <c r="R16" s="319">
        <v>27744.418086038779</v>
      </c>
      <c r="S16" s="315">
        <v>31729.344145376082</v>
      </c>
      <c r="U16" s="7" t="s">
        <v>3810</v>
      </c>
    </row>
    <row r="17" spans="1:21" s="74" customFormat="1" ht="16.5" thickBot="1">
      <c r="A17" s="50" t="s">
        <v>35</v>
      </c>
      <c r="B17" s="51">
        <f t="shared" si="0"/>
        <v>200</v>
      </c>
      <c r="C17" s="51" t="s">
        <v>3</v>
      </c>
      <c r="D17" s="51">
        <f t="shared" si="1"/>
        <v>200</v>
      </c>
      <c r="E17" s="51" t="s">
        <v>3</v>
      </c>
      <c r="F17" s="99">
        <f t="shared" si="2"/>
        <v>1000</v>
      </c>
      <c r="G17" s="51" t="s">
        <v>3</v>
      </c>
      <c r="H17" s="48">
        <v>4</v>
      </c>
      <c r="I17" s="49" t="s">
        <v>46</v>
      </c>
      <c r="J17" s="184">
        <v>200</v>
      </c>
      <c r="K17" s="75">
        <v>200</v>
      </c>
      <c r="L17" s="75">
        <v>1000</v>
      </c>
      <c r="M17" s="202">
        <v>12.5375705265085</v>
      </c>
      <c r="N17" s="87">
        <v>580.35899999999992</v>
      </c>
      <c r="O17" s="123">
        <v>18691.367187857628</v>
      </c>
      <c r="P17" s="199">
        <v>22851.757316423991</v>
      </c>
      <c r="Q17" s="120">
        <v>10094.130577345051</v>
      </c>
      <c r="R17" s="319">
        <v>28785.497765202679</v>
      </c>
      <c r="S17" s="315">
        <v>32945.887893769046</v>
      </c>
      <c r="U17" s="7" t="s">
        <v>3811</v>
      </c>
    </row>
    <row r="18" spans="1:21" s="74" customFormat="1" ht="16.5" thickBot="1">
      <c r="A18" s="50" t="s">
        <v>35</v>
      </c>
      <c r="B18" s="51">
        <f t="shared" si="0"/>
        <v>200</v>
      </c>
      <c r="C18" s="51" t="s">
        <v>3</v>
      </c>
      <c r="D18" s="51">
        <f t="shared" si="1"/>
        <v>200</v>
      </c>
      <c r="E18" s="51" t="s">
        <v>3</v>
      </c>
      <c r="F18" s="99">
        <f t="shared" si="2"/>
        <v>1050</v>
      </c>
      <c r="G18" s="51" t="s">
        <v>3</v>
      </c>
      <c r="H18" s="48">
        <v>4</v>
      </c>
      <c r="I18" s="49" t="s">
        <v>46</v>
      </c>
      <c r="J18" s="184">
        <v>200</v>
      </c>
      <c r="K18" s="75">
        <v>200</v>
      </c>
      <c r="L18" s="75">
        <v>1050</v>
      </c>
      <c r="M18" s="202">
        <v>13.112884892880498</v>
      </c>
      <c r="N18" s="87">
        <v>625.00199999999984</v>
      </c>
      <c r="O18" s="123">
        <v>19382.308628813778</v>
      </c>
      <c r="P18" s="199">
        <v>23720.03026029094</v>
      </c>
      <c r="Q18" s="120">
        <v>10683.130993856326</v>
      </c>
      <c r="R18" s="319">
        <v>30065.439622670106</v>
      </c>
      <c r="S18" s="315">
        <v>34403.161254147264</v>
      </c>
      <c r="U18" s="7" t="s">
        <v>3812</v>
      </c>
    </row>
    <row r="19" spans="1:21" s="74" customFormat="1" ht="16.5" thickBot="1">
      <c r="A19" s="47" t="s">
        <v>35</v>
      </c>
      <c r="B19" s="48">
        <f t="shared" si="0"/>
        <v>200</v>
      </c>
      <c r="C19" s="48" t="s">
        <v>3</v>
      </c>
      <c r="D19" s="48">
        <f t="shared" si="1"/>
        <v>200</v>
      </c>
      <c r="E19" s="48" t="s">
        <v>3</v>
      </c>
      <c r="F19" s="99">
        <f t="shared" si="2"/>
        <v>1100</v>
      </c>
      <c r="G19" s="48" t="s">
        <v>3</v>
      </c>
      <c r="H19" s="48">
        <v>4</v>
      </c>
      <c r="I19" s="49" t="s">
        <v>46</v>
      </c>
      <c r="J19" s="184">
        <v>200</v>
      </c>
      <c r="K19" s="75">
        <v>200</v>
      </c>
      <c r="L19" s="75">
        <v>1100</v>
      </c>
      <c r="M19" s="202">
        <v>13.6720112592525</v>
      </c>
      <c r="N19" s="87">
        <v>669.64499999999998</v>
      </c>
      <c r="O19" s="123">
        <v>20073.295557219379</v>
      </c>
      <c r="P19" s="199">
        <v>24588.390665373136</v>
      </c>
      <c r="Q19" s="120">
        <v>11041.549772977691</v>
      </c>
      <c r="R19" s="319">
        <v>31114.845330197069</v>
      </c>
      <c r="S19" s="315">
        <v>35629.940438350823</v>
      </c>
      <c r="U19" s="7" t="s">
        <v>3813</v>
      </c>
    </row>
    <row r="20" spans="1:21" s="74" customFormat="1" ht="16.5" thickBot="1">
      <c r="A20" s="50" t="s">
        <v>35</v>
      </c>
      <c r="B20" s="51">
        <f t="shared" si="0"/>
        <v>200</v>
      </c>
      <c r="C20" s="51" t="s">
        <v>3</v>
      </c>
      <c r="D20" s="51">
        <f t="shared" si="1"/>
        <v>200</v>
      </c>
      <c r="E20" s="51" t="s">
        <v>3</v>
      </c>
      <c r="F20" s="99">
        <f t="shared" si="2"/>
        <v>1150</v>
      </c>
      <c r="G20" s="51" t="s">
        <v>3</v>
      </c>
      <c r="H20" s="48">
        <v>4</v>
      </c>
      <c r="I20" s="49" t="s">
        <v>46</v>
      </c>
      <c r="J20" s="184">
        <v>200</v>
      </c>
      <c r="K20" s="75">
        <v>200</v>
      </c>
      <c r="L20" s="75">
        <v>1150</v>
      </c>
      <c r="M20" s="202">
        <v>14.2311376256245</v>
      </c>
      <c r="N20" s="87">
        <v>714.28800000000001</v>
      </c>
      <c r="O20" s="123">
        <v>20764.323761273554</v>
      </c>
      <c r="P20" s="199">
        <v>25456.83034682474</v>
      </c>
      <c r="Q20" s="120">
        <v>11399.96841170569</v>
      </c>
      <c r="R20" s="319">
        <v>32164.292172979243</v>
      </c>
      <c r="S20" s="315">
        <v>36856.798758530429</v>
      </c>
      <c r="U20" s="7" t="s">
        <v>3814</v>
      </c>
    </row>
    <row r="21" spans="1:21" s="74" customFormat="1" ht="16.5" thickBot="1">
      <c r="A21" s="50" t="s">
        <v>35</v>
      </c>
      <c r="B21" s="51">
        <f t="shared" si="0"/>
        <v>200</v>
      </c>
      <c r="C21" s="51" t="s">
        <v>3</v>
      </c>
      <c r="D21" s="51">
        <f t="shared" si="1"/>
        <v>200</v>
      </c>
      <c r="E21" s="51" t="s">
        <v>3</v>
      </c>
      <c r="F21" s="99">
        <f t="shared" si="2"/>
        <v>1200</v>
      </c>
      <c r="G21" s="51" t="s">
        <v>3</v>
      </c>
      <c r="H21" s="48">
        <v>4</v>
      </c>
      <c r="I21" s="49" t="s">
        <v>46</v>
      </c>
      <c r="J21" s="184">
        <v>200</v>
      </c>
      <c r="K21" s="75">
        <v>200</v>
      </c>
      <c r="L21" s="75">
        <v>1200</v>
      </c>
      <c r="M21" s="202">
        <v>14.881026991996499</v>
      </c>
      <c r="N21" s="87">
        <v>758.93099999999993</v>
      </c>
      <c r="O21" s="123">
        <v>21528.594340183805</v>
      </c>
      <c r="P21" s="199">
        <v>26398.99383324834</v>
      </c>
      <c r="Q21" s="120">
        <v>11988.968828216965</v>
      </c>
      <c r="R21" s="319">
        <v>33517.563168400768</v>
      </c>
      <c r="S21" s="315">
        <v>38387.962661465303</v>
      </c>
      <c r="U21" s="7" t="s">
        <v>3815</v>
      </c>
    </row>
    <row r="22" spans="1:21" s="74" customFormat="1" ht="16.5" thickBot="1">
      <c r="A22" s="50" t="s">
        <v>35</v>
      </c>
      <c r="B22" s="51">
        <f t="shared" si="0"/>
        <v>200</v>
      </c>
      <c r="C22" s="51" t="s">
        <v>3</v>
      </c>
      <c r="D22" s="51">
        <f t="shared" si="1"/>
        <v>200</v>
      </c>
      <c r="E22" s="51" t="s">
        <v>3</v>
      </c>
      <c r="F22" s="99">
        <f t="shared" si="2"/>
        <v>1250</v>
      </c>
      <c r="G22" s="51" t="s">
        <v>3</v>
      </c>
      <c r="H22" s="48">
        <v>4</v>
      </c>
      <c r="I22" s="49" t="s">
        <v>46</v>
      </c>
      <c r="J22" s="184">
        <v>200</v>
      </c>
      <c r="K22" s="75">
        <v>200</v>
      </c>
      <c r="L22" s="75">
        <v>1250</v>
      </c>
      <c r="M22" s="202">
        <v>15.440153358368498</v>
      </c>
      <c r="N22" s="87">
        <v>803.57399999999996</v>
      </c>
      <c r="O22" s="123">
        <v>22219.735280108067</v>
      </c>
      <c r="P22" s="199">
        <v>27267.612488168557</v>
      </c>
      <c r="Q22" s="120">
        <v>12347.387466944965</v>
      </c>
      <c r="R22" s="319">
        <v>34567.122747053028</v>
      </c>
      <c r="S22" s="315">
        <v>39614.999955113526</v>
      </c>
      <c r="U22" s="7" t="s">
        <v>3816</v>
      </c>
    </row>
    <row r="23" spans="1:21" s="74" customFormat="1" ht="16.5" thickBot="1">
      <c r="A23" s="50" t="s">
        <v>35</v>
      </c>
      <c r="B23" s="51">
        <f t="shared" si="0"/>
        <v>200</v>
      </c>
      <c r="C23" s="51" t="s">
        <v>3</v>
      </c>
      <c r="D23" s="51">
        <f t="shared" si="1"/>
        <v>200</v>
      </c>
      <c r="E23" s="51" t="s">
        <v>3</v>
      </c>
      <c r="F23" s="99">
        <f t="shared" si="2"/>
        <v>1300</v>
      </c>
      <c r="G23" s="51" t="s">
        <v>3</v>
      </c>
      <c r="H23" s="48">
        <v>4</v>
      </c>
      <c r="I23" s="49" t="s">
        <v>46</v>
      </c>
      <c r="J23" s="184">
        <v>200</v>
      </c>
      <c r="K23" s="75">
        <v>200</v>
      </c>
      <c r="L23" s="75">
        <v>1300</v>
      </c>
      <c r="M23" s="202">
        <v>16.0154677247405</v>
      </c>
      <c r="N23" s="87">
        <v>848.21699999999987</v>
      </c>
      <c r="O23" s="123">
        <v>22913.42632506878</v>
      </c>
      <c r="P23" s="199">
        <v>28139.385199477649</v>
      </c>
      <c r="Q23" s="120">
        <v>12936.38788345624</v>
      </c>
      <c r="R23" s="319">
        <v>35849.814208525022</v>
      </c>
      <c r="S23" s="315">
        <v>41075.773082933891</v>
      </c>
      <c r="U23" s="7" t="s">
        <v>3817</v>
      </c>
    </row>
    <row r="24" spans="1:21" s="74" customFormat="1" ht="16.5" thickBot="1">
      <c r="A24" s="50" t="s">
        <v>35</v>
      </c>
      <c r="B24" s="51">
        <f t="shared" si="0"/>
        <v>200</v>
      </c>
      <c r="C24" s="51" t="s">
        <v>3</v>
      </c>
      <c r="D24" s="51">
        <f t="shared" si="1"/>
        <v>200</v>
      </c>
      <c r="E24" s="51" t="s">
        <v>3</v>
      </c>
      <c r="F24" s="99">
        <f t="shared" si="2"/>
        <v>1350</v>
      </c>
      <c r="G24" s="51" t="s">
        <v>3</v>
      </c>
      <c r="H24" s="48">
        <v>4</v>
      </c>
      <c r="I24" s="49" t="s">
        <v>46</v>
      </c>
      <c r="J24" s="184">
        <v>200</v>
      </c>
      <c r="K24" s="75">
        <v>200</v>
      </c>
      <c r="L24" s="75">
        <v>1350</v>
      </c>
      <c r="M24" s="202">
        <v>16.574594091112498</v>
      </c>
      <c r="N24" s="87">
        <v>892.8599999999999</v>
      </c>
      <c r="O24" s="123">
        <v>23604.601942153578</v>
      </c>
      <c r="P24" s="199">
        <v>29008.091077431855</v>
      </c>
      <c r="Q24" s="120">
        <v>13294.806662577603</v>
      </c>
      <c r="R24" s="319">
        <v>36899.408604731179</v>
      </c>
      <c r="S24" s="315">
        <v>42302.897740009459</v>
      </c>
      <c r="U24" s="7" t="s">
        <v>3818</v>
      </c>
    </row>
    <row r="25" spans="1:21" s="74" customFormat="1" ht="16.5" thickBot="1">
      <c r="A25" s="50" t="s">
        <v>35</v>
      </c>
      <c r="B25" s="51">
        <f t="shared" si="0"/>
        <v>200</v>
      </c>
      <c r="C25" s="51" t="s">
        <v>3</v>
      </c>
      <c r="D25" s="51">
        <f t="shared" si="1"/>
        <v>200</v>
      </c>
      <c r="E25" s="51" t="s">
        <v>3</v>
      </c>
      <c r="F25" s="99">
        <f t="shared" si="2"/>
        <v>1400</v>
      </c>
      <c r="G25" s="51" t="s">
        <v>3</v>
      </c>
      <c r="H25" s="48">
        <v>4</v>
      </c>
      <c r="I25" s="49" t="s">
        <v>46</v>
      </c>
      <c r="J25" s="184">
        <v>200</v>
      </c>
      <c r="K25" s="75">
        <v>200</v>
      </c>
      <c r="L25" s="75">
        <v>1400</v>
      </c>
      <c r="M25" s="202">
        <v>17.149908457484496</v>
      </c>
      <c r="N25" s="87">
        <v>937.50299999999993</v>
      </c>
      <c r="O25" s="123">
        <v>24295.802970436995</v>
      </c>
      <c r="P25" s="199">
        <v>29876.846791471755</v>
      </c>
      <c r="Q25" s="120">
        <v>13883.807079088876</v>
      </c>
      <c r="R25" s="319">
        <v>38179.610049525872</v>
      </c>
      <c r="S25" s="315">
        <v>43760.653870560629</v>
      </c>
      <c r="U25" s="7" t="s">
        <v>3819</v>
      </c>
    </row>
    <row r="26" spans="1:21" s="74" customFormat="1" ht="16.5" thickBot="1">
      <c r="A26" s="50" t="s">
        <v>35</v>
      </c>
      <c r="B26" s="51">
        <f t="shared" si="0"/>
        <v>200</v>
      </c>
      <c r="C26" s="51" t="s">
        <v>3</v>
      </c>
      <c r="D26" s="51">
        <f t="shared" si="1"/>
        <v>200</v>
      </c>
      <c r="E26" s="51" t="s">
        <v>3</v>
      </c>
      <c r="F26" s="99">
        <f t="shared" si="2"/>
        <v>1450</v>
      </c>
      <c r="G26" s="51" t="s">
        <v>3</v>
      </c>
      <c r="H26" s="48">
        <v>4</v>
      </c>
      <c r="I26" s="49" t="s">
        <v>46</v>
      </c>
      <c r="J26" s="184">
        <v>200</v>
      </c>
      <c r="K26" s="75">
        <v>200</v>
      </c>
      <c r="L26" s="75">
        <v>1450</v>
      </c>
      <c r="M26" s="202">
        <v>17.709034823856502</v>
      </c>
      <c r="N26" s="87">
        <v>982.14599999999996</v>
      </c>
      <c r="O26" s="123">
        <v>24987.027444411942</v>
      </c>
      <c r="P26" s="199">
        <v>30745.648420630459</v>
      </c>
      <c r="Q26" s="120">
        <v>14242.225717816877</v>
      </c>
      <c r="R26" s="319">
        <v>39229.253162228822</v>
      </c>
      <c r="S26" s="315">
        <v>44987.87413844734</v>
      </c>
      <c r="U26" s="7" t="s">
        <v>3820</v>
      </c>
    </row>
    <row r="27" spans="1:21" s="74" customFormat="1" ht="16.5" thickBot="1">
      <c r="A27" s="50" t="s">
        <v>35</v>
      </c>
      <c r="B27" s="51">
        <f t="shared" si="0"/>
        <v>200</v>
      </c>
      <c r="C27" s="51" t="s">
        <v>3</v>
      </c>
      <c r="D27" s="51">
        <f t="shared" si="1"/>
        <v>200</v>
      </c>
      <c r="E27" s="51" t="s">
        <v>3</v>
      </c>
      <c r="F27" s="99">
        <f t="shared" si="2"/>
        <v>1500</v>
      </c>
      <c r="G27" s="51" t="s">
        <v>3</v>
      </c>
      <c r="H27" s="48">
        <v>4</v>
      </c>
      <c r="I27" s="49" t="s">
        <v>46</v>
      </c>
      <c r="J27" s="184">
        <v>200</v>
      </c>
      <c r="K27" s="75">
        <v>200</v>
      </c>
      <c r="L27" s="75">
        <v>1500</v>
      </c>
      <c r="M27" s="202">
        <v>18.441964499590501</v>
      </c>
      <c r="N27" s="87">
        <v>1026.7889999999998</v>
      </c>
      <c r="O27" s="123">
        <v>26201.128886274379</v>
      </c>
      <c r="P27" s="199">
        <v>32088.855419175339</v>
      </c>
      <c r="Q27" s="120">
        <v>14831.226134328155</v>
      </c>
      <c r="R27" s="319">
        <v>41032.355020602532</v>
      </c>
      <c r="S27" s="315">
        <v>46920.081553503493</v>
      </c>
      <c r="U27" s="7" t="s">
        <v>3821</v>
      </c>
    </row>
    <row r="28" spans="1:21" s="74" customFormat="1" ht="16.5" thickBot="1">
      <c r="A28" s="50" t="s">
        <v>35</v>
      </c>
      <c r="B28" s="51">
        <f t="shared" si="0"/>
        <v>200</v>
      </c>
      <c r="C28" s="51" t="s">
        <v>3</v>
      </c>
      <c r="D28" s="51">
        <f t="shared" si="1"/>
        <v>200</v>
      </c>
      <c r="E28" s="51" t="s">
        <v>3</v>
      </c>
      <c r="F28" s="99">
        <f t="shared" si="2"/>
        <v>1550</v>
      </c>
      <c r="G28" s="51" t="s">
        <v>3</v>
      </c>
      <c r="H28" s="48">
        <v>4</v>
      </c>
      <c r="I28" s="49" t="s">
        <v>46</v>
      </c>
      <c r="J28" s="184">
        <v>200</v>
      </c>
      <c r="K28" s="75">
        <v>200</v>
      </c>
      <c r="L28" s="75">
        <v>1550</v>
      </c>
      <c r="M28" s="202">
        <v>19.001090865962496</v>
      </c>
      <c r="N28" s="87">
        <v>1071.4319999999998</v>
      </c>
      <c r="O28" s="123">
        <v>26892.288498515856</v>
      </c>
      <c r="P28" s="199">
        <v>32957.493078024847</v>
      </c>
      <c r="Q28" s="120">
        <v>15189.644913449516</v>
      </c>
      <c r="R28" s="319">
        <v>42081.933411965372</v>
      </c>
      <c r="S28" s="315">
        <v>48147.137991474359</v>
      </c>
      <c r="U28" s="7" t="s">
        <v>3822</v>
      </c>
    </row>
    <row r="29" spans="1:21" s="74" customFormat="1" ht="16.5" thickBot="1">
      <c r="A29" s="47" t="s">
        <v>35</v>
      </c>
      <c r="B29" s="48">
        <f t="shared" si="0"/>
        <v>200</v>
      </c>
      <c r="C29" s="48" t="s">
        <v>3</v>
      </c>
      <c r="D29" s="48">
        <f t="shared" si="1"/>
        <v>200</v>
      </c>
      <c r="E29" s="48" t="s">
        <v>3</v>
      </c>
      <c r="F29" s="99">
        <f t="shared" si="2"/>
        <v>1600</v>
      </c>
      <c r="G29" s="48" t="s">
        <v>3</v>
      </c>
      <c r="H29" s="48">
        <v>4</v>
      </c>
      <c r="I29" s="49" t="s">
        <v>46</v>
      </c>
      <c r="J29" s="184">
        <v>200</v>
      </c>
      <c r="K29" s="75">
        <v>200</v>
      </c>
      <c r="L29" s="75">
        <v>1600</v>
      </c>
      <c r="M29" s="202">
        <v>19.560217232334502</v>
      </c>
      <c r="N29" s="87">
        <v>1116.0749999999998</v>
      </c>
      <c r="O29" s="123">
        <v>27583.471135268781</v>
      </c>
      <c r="P29" s="199">
        <v>33826.177820685341</v>
      </c>
      <c r="Q29" s="120">
        <v>15548.063552177517</v>
      </c>
      <c r="R29" s="319">
        <v>43131.534687446299</v>
      </c>
      <c r="S29" s="315">
        <v>49374.24137286286</v>
      </c>
      <c r="U29" s="7" t="s">
        <v>3823</v>
      </c>
    </row>
    <row r="30" spans="1:21" s="74" customFormat="1" ht="16.5" thickBot="1">
      <c r="A30" s="50" t="s">
        <v>35</v>
      </c>
      <c r="B30" s="51">
        <f t="shared" si="0"/>
        <v>200</v>
      </c>
      <c r="C30" s="51" t="s">
        <v>3</v>
      </c>
      <c r="D30" s="51">
        <f t="shared" si="1"/>
        <v>200</v>
      </c>
      <c r="E30" s="51" t="s">
        <v>3</v>
      </c>
      <c r="F30" s="99">
        <f t="shared" si="2"/>
        <v>1650</v>
      </c>
      <c r="G30" s="51" t="s">
        <v>3</v>
      </c>
      <c r="H30" s="48">
        <v>4</v>
      </c>
      <c r="I30" s="49" t="s">
        <v>46</v>
      </c>
      <c r="J30" s="184">
        <v>200</v>
      </c>
      <c r="K30" s="75">
        <v>200</v>
      </c>
      <c r="L30" s="75">
        <v>1650</v>
      </c>
      <c r="M30" s="202">
        <v>20.1355315987065</v>
      </c>
      <c r="N30" s="87">
        <v>1160.7179999999998</v>
      </c>
      <c r="O30" s="123">
        <v>28274.675392599529</v>
      </c>
      <c r="P30" s="199">
        <v>34694.906377347965</v>
      </c>
      <c r="Q30" s="120">
        <v>16137.063968688792</v>
      </c>
      <c r="R30" s="319">
        <v>44411.739361288317</v>
      </c>
      <c r="S30" s="315">
        <v>50831.97034603676</v>
      </c>
      <c r="U30" s="7" t="s">
        <v>3824</v>
      </c>
    </row>
    <row r="31" spans="1:21" s="74" customFormat="1" ht="16.5" thickBot="1">
      <c r="A31" s="50" t="s">
        <v>35</v>
      </c>
      <c r="B31" s="51">
        <f t="shared" si="0"/>
        <v>200</v>
      </c>
      <c r="C31" s="51" t="s">
        <v>3</v>
      </c>
      <c r="D31" s="51">
        <f t="shared" si="1"/>
        <v>200</v>
      </c>
      <c r="E31" s="51" t="s">
        <v>3</v>
      </c>
      <c r="F31" s="99">
        <f t="shared" si="2"/>
        <v>1700</v>
      </c>
      <c r="G31" s="51" t="s">
        <v>3</v>
      </c>
      <c r="H31" s="48">
        <v>4</v>
      </c>
      <c r="I31" s="49" t="s">
        <v>46</v>
      </c>
      <c r="J31" s="184">
        <v>200</v>
      </c>
      <c r="K31" s="75">
        <v>200</v>
      </c>
      <c r="L31" s="75">
        <v>1700</v>
      </c>
      <c r="M31" s="202">
        <v>20.694657965078498</v>
      </c>
      <c r="N31" s="87">
        <v>1205.3609999999999</v>
      </c>
      <c r="O31" s="123">
        <v>28965.89972618112</v>
      </c>
      <c r="P31" s="199">
        <v>35563.675774122872</v>
      </c>
      <c r="Q31" s="120">
        <v>16495.48260741679</v>
      </c>
      <c r="R31" s="319">
        <v>45461.38233359791</v>
      </c>
      <c r="S31" s="315">
        <v>52059.158381539659</v>
      </c>
      <c r="U31" s="7" t="s">
        <v>3825</v>
      </c>
    </row>
    <row r="32" spans="1:21" s="74" customFormat="1" ht="16.5" thickBot="1">
      <c r="A32" s="50" t="s">
        <v>35</v>
      </c>
      <c r="B32" s="51">
        <f t="shared" si="0"/>
        <v>200</v>
      </c>
      <c r="C32" s="51" t="s">
        <v>3</v>
      </c>
      <c r="D32" s="51">
        <f t="shared" si="1"/>
        <v>200</v>
      </c>
      <c r="E32" s="51" t="s">
        <v>3</v>
      </c>
      <c r="F32" s="99">
        <f t="shared" si="2"/>
        <v>1750</v>
      </c>
      <c r="G32" s="51" t="s">
        <v>3</v>
      </c>
      <c r="H32" s="48">
        <v>4</v>
      </c>
      <c r="I32" s="49" t="s">
        <v>46</v>
      </c>
      <c r="J32" s="184">
        <v>200</v>
      </c>
      <c r="K32" s="75">
        <v>200</v>
      </c>
      <c r="L32" s="75">
        <v>1750</v>
      </c>
      <c r="M32" s="202">
        <v>21.269972331450496</v>
      </c>
      <c r="N32" s="87">
        <v>1250.0039999999997</v>
      </c>
      <c r="O32" s="123">
        <v>29657.142872473283</v>
      </c>
      <c r="P32" s="199">
        <v>36432.483300304142</v>
      </c>
      <c r="Q32" s="120">
        <v>17084.483023928067</v>
      </c>
      <c r="R32" s="319">
        <v>46741.625896401354</v>
      </c>
      <c r="S32" s="315">
        <v>53516.966324232213</v>
      </c>
      <c r="U32" s="7" t="s">
        <v>3826</v>
      </c>
    </row>
    <row r="33" spans="1:21" s="74" customFormat="1" ht="16.5" thickBot="1">
      <c r="A33" s="50" t="s">
        <v>35</v>
      </c>
      <c r="B33" s="51">
        <f t="shared" si="0"/>
        <v>200</v>
      </c>
      <c r="C33" s="51" t="s">
        <v>3</v>
      </c>
      <c r="D33" s="51">
        <f t="shared" si="1"/>
        <v>200</v>
      </c>
      <c r="E33" s="51" t="s">
        <v>3</v>
      </c>
      <c r="F33" s="99">
        <f t="shared" si="2"/>
        <v>1800</v>
      </c>
      <c r="G33" s="51" t="s">
        <v>3</v>
      </c>
      <c r="H33" s="48">
        <v>4</v>
      </c>
      <c r="I33" s="49" t="s">
        <v>46</v>
      </c>
      <c r="J33" s="184">
        <v>200</v>
      </c>
      <c r="K33" s="75">
        <v>200</v>
      </c>
      <c r="L33" s="75">
        <v>1800</v>
      </c>
      <c r="M33" s="202">
        <v>21.829098697822499</v>
      </c>
      <c r="N33" s="87">
        <v>1294.6469999999997</v>
      </c>
      <c r="O33" s="123">
        <v>30348.403567935755</v>
      </c>
      <c r="P33" s="199">
        <v>37301.326479885662</v>
      </c>
      <c r="Q33" s="120">
        <v>17442.90180304943</v>
      </c>
      <c r="R33" s="319">
        <v>47791.305370985181</v>
      </c>
      <c r="S33" s="315">
        <v>54744.228282935088</v>
      </c>
      <c r="U33" s="7" t="s">
        <v>3827</v>
      </c>
    </row>
    <row r="34" spans="1:21" s="74" customFormat="1" ht="16.5" thickBot="1">
      <c r="A34" s="50" t="s">
        <v>35</v>
      </c>
      <c r="B34" s="51">
        <f t="shared" si="0"/>
        <v>200</v>
      </c>
      <c r="C34" s="51" t="s">
        <v>3</v>
      </c>
      <c r="D34" s="51">
        <f t="shared" si="1"/>
        <v>200</v>
      </c>
      <c r="E34" s="51" t="s">
        <v>3</v>
      </c>
      <c r="F34" s="99">
        <f t="shared" si="2"/>
        <v>1850</v>
      </c>
      <c r="G34" s="51" t="s">
        <v>3</v>
      </c>
      <c r="H34" s="48">
        <v>4</v>
      </c>
      <c r="I34" s="49" t="s">
        <v>46</v>
      </c>
      <c r="J34" s="184">
        <v>200</v>
      </c>
      <c r="K34" s="75">
        <v>200</v>
      </c>
      <c r="L34" s="75">
        <v>1850</v>
      </c>
      <c r="M34" s="202">
        <v>22.4044130641945</v>
      </c>
      <c r="N34" s="87">
        <v>1339.29</v>
      </c>
      <c r="O34" s="123">
        <v>31039.680689421646</v>
      </c>
      <c r="P34" s="199">
        <v>38170.203046697992</v>
      </c>
      <c r="Q34" s="120">
        <v>18031.902219560703</v>
      </c>
      <c r="R34" s="319">
        <v>49071.582908982353</v>
      </c>
      <c r="S34" s="315">
        <v>56202.105266258695</v>
      </c>
      <c r="U34" s="7" t="s">
        <v>3828</v>
      </c>
    </row>
    <row r="35" spans="1:21" s="74" customFormat="1" ht="16.5" thickBot="1">
      <c r="A35" s="50" t="s">
        <v>35</v>
      </c>
      <c r="B35" s="51">
        <f t="shared" si="0"/>
        <v>200</v>
      </c>
      <c r="C35" s="51" t="s">
        <v>3</v>
      </c>
      <c r="D35" s="51">
        <f t="shared" si="1"/>
        <v>200</v>
      </c>
      <c r="E35" s="51" t="s">
        <v>3</v>
      </c>
      <c r="F35" s="99">
        <f t="shared" si="2"/>
        <v>1900</v>
      </c>
      <c r="G35" s="51" t="s">
        <v>3</v>
      </c>
      <c r="H35" s="48">
        <v>4</v>
      </c>
      <c r="I35" s="49" t="s">
        <v>46</v>
      </c>
      <c r="J35" s="184">
        <v>200</v>
      </c>
      <c r="K35" s="75">
        <v>200</v>
      </c>
      <c r="L35" s="75">
        <v>1900</v>
      </c>
      <c r="M35" s="202">
        <v>22.963539430566499</v>
      </c>
      <c r="N35" s="87">
        <v>1383.933</v>
      </c>
      <c r="O35" s="123">
        <v>31730.973254177406</v>
      </c>
      <c r="P35" s="199">
        <v>39039.110922641259</v>
      </c>
      <c r="Q35" s="120">
        <v>18390.320858288702</v>
      </c>
      <c r="R35" s="319">
        <v>50121.294112466108</v>
      </c>
      <c r="S35" s="315">
        <v>57429.431780929961</v>
      </c>
      <c r="U35" s="7" t="s">
        <v>3829</v>
      </c>
    </row>
    <row r="36" spans="1:21" s="74" customFormat="1" ht="16.5" thickBot="1">
      <c r="A36" s="50" t="s">
        <v>35</v>
      </c>
      <c r="B36" s="51">
        <f t="shared" si="0"/>
        <v>200</v>
      </c>
      <c r="C36" s="51" t="s">
        <v>3</v>
      </c>
      <c r="D36" s="51">
        <f t="shared" si="1"/>
        <v>200</v>
      </c>
      <c r="E36" s="51" t="s">
        <v>3</v>
      </c>
      <c r="F36" s="99">
        <f t="shared" si="2"/>
        <v>1950</v>
      </c>
      <c r="G36" s="51" t="s">
        <v>3</v>
      </c>
      <c r="H36" s="48">
        <v>4</v>
      </c>
      <c r="I36" s="49" t="s">
        <v>46</v>
      </c>
      <c r="J36" s="184">
        <v>200</v>
      </c>
      <c r="K36" s="75">
        <v>200</v>
      </c>
      <c r="L36" s="75">
        <v>1950</v>
      </c>
      <c r="M36" s="202">
        <v>23.5972407969385</v>
      </c>
      <c r="N36" s="87">
        <v>1428.576</v>
      </c>
      <c r="O36" s="123">
        <v>32495.785751466905</v>
      </c>
      <c r="P36" s="199">
        <v>39982.002568333439</v>
      </c>
      <c r="Q36" s="120">
        <v>18748.739497016704</v>
      </c>
      <c r="R36" s="319">
        <v>51244.525248483609</v>
      </c>
      <c r="S36" s="315">
        <v>58730.742065350147</v>
      </c>
      <c r="U36" s="7" t="s">
        <v>3830</v>
      </c>
    </row>
    <row r="37" spans="1:21" s="74" customFormat="1" ht="16.5" thickBot="1">
      <c r="A37" s="50" t="s">
        <v>35</v>
      </c>
      <c r="B37" s="51">
        <f t="shared" si="0"/>
        <v>200</v>
      </c>
      <c r="C37" s="51" t="s">
        <v>3</v>
      </c>
      <c r="D37" s="51">
        <f t="shared" si="1"/>
        <v>200</v>
      </c>
      <c r="E37" s="51" t="s">
        <v>3</v>
      </c>
      <c r="F37" s="99">
        <f t="shared" si="2"/>
        <v>2000</v>
      </c>
      <c r="G37" s="51" t="s">
        <v>3</v>
      </c>
      <c r="H37" s="48">
        <v>4</v>
      </c>
      <c r="I37" s="49" t="s">
        <v>46</v>
      </c>
      <c r="J37" s="184">
        <v>200</v>
      </c>
      <c r="K37" s="75">
        <v>200</v>
      </c>
      <c r="L37" s="75">
        <v>2000</v>
      </c>
      <c r="M37" s="202">
        <v>24.259539443310498</v>
      </c>
      <c r="N37" s="87">
        <v>1473.2189999999998</v>
      </c>
      <c r="O37" s="123">
        <v>33399.826486741025</v>
      </c>
      <c r="P37" s="199">
        <v>41140.340271953137</v>
      </c>
      <c r="Q37" s="120">
        <v>19337.740053921341</v>
      </c>
      <c r="R37" s="319">
        <v>52737.566540662367</v>
      </c>
      <c r="S37" s="315">
        <v>60478.080325874478</v>
      </c>
      <c r="U37" s="7" t="s">
        <v>3831</v>
      </c>
    </row>
    <row r="38" spans="1:21" s="74" customFormat="1" ht="16.5" thickBot="1">
      <c r="A38" s="50" t="s">
        <v>35</v>
      </c>
      <c r="B38" s="51">
        <f t="shared" si="0"/>
        <v>200</v>
      </c>
      <c r="C38" s="51" t="s">
        <v>3</v>
      </c>
      <c r="D38" s="51">
        <f t="shared" si="1"/>
        <v>200</v>
      </c>
      <c r="E38" s="51" t="s">
        <v>3</v>
      </c>
      <c r="F38" s="99">
        <f t="shared" si="2"/>
        <v>2050</v>
      </c>
      <c r="G38" s="51" t="s">
        <v>3</v>
      </c>
      <c r="H38" s="48">
        <v>4</v>
      </c>
      <c r="I38" s="49" t="s">
        <v>46</v>
      </c>
      <c r="J38" s="184">
        <v>200</v>
      </c>
      <c r="K38" s="75">
        <v>200</v>
      </c>
      <c r="L38" s="75">
        <v>2050</v>
      </c>
      <c r="M38" s="202">
        <v>24.8186658096825</v>
      </c>
      <c r="N38" s="87">
        <v>1517.8619999999999</v>
      </c>
      <c r="O38" s="123">
        <v>34095.886669693922</v>
      </c>
      <c r="P38" s="199">
        <v>42015.155331372393</v>
      </c>
      <c r="Q38" s="120">
        <v>19696.15869264934</v>
      </c>
      <c r="R38" s="319">
        <v>53792.045362343262</v>
      </c>
      <c r="S38" s="315">
        <v>61711.314024021733</v>
      </c>
      <c r="U38" s="7" t="s">
        <v>3832</v>
      </c>
    </row>
    <row r="39" spans="1:21" s="74" customFormat="1" ht="16.5" thickBot="1">
      <c r="A39" s="47" t="s">
        <v>35</v>
      </c>
      <c r="B39" s="48">
        <f t="shared" si="0"/>
        <v>200</v>
      </c>
      <c r="C39" s="48" t="s">
        <v>3</v>
      </c>
      <c r="D39" s="48">
        <f t="shared" si="1"/>
        <v>200</v>
      </c>
      <c r="E39" s="48" t="s">
        <v>3</v>
      </c>
      <c r="F39" s="99">
        <f t="shared" si="2"/>
        <v>2100</v>
      </c>
      <c r="G39" s="48" t="s">
        <v>3</v>
      </c>
      <c r="H39" s="48">
        <v>4</v>
      </c>
      <c r="I39" s="49" t="s">
        <v>46</v>
      </c>
      <c r="J39" s="184">
        <v>200</v>
      </c>
      <c r="K39" s="75">
        <v>200</v>
      </c>
      <c r="L39" s="75">
        <v>2100</v>
      </c>
      <c r="M39" s="202">
        <v>25.393980176054495</v>
      </c>
      <c r="N39" s="87">
        <v>1562.5049999999999</v>
      </c>
      <c r="O39" s="123">
        <v>34787.082363029556</v>
      </c>
      <c r="P39" s="199">
        <v>42883.987783822937</v>
      </c>
      <c r="Q39" s="120">
        <v>20285.159109160617</v>
      </c>
      <c r="R39" s="319">
        <v>55072.241472190173</v>
      </c>
      <c r="S39" s="315">
        <v>63169.146892983554</v>
      </c>
      <c r="U39" s="7" t="s">
        <v>3833</v>
      </c>
    </row>
    <row r="40" spans="1:21" s="74" customFormat="1" ht="16.5" thickBot="1">
      <c r="A40" s="50" t="s">
        <v>35</v>
      </c>
      <c r="B40" s="51">
        <f t="shared" si="0"/>
        <v>200</v>
      </c>
      <c r="C40" s="51" t="s">
        <v>3</v>
      </c>
      <c r="D40" s="51">
        <f t="shared" si="1"/>
        <v>200</v>
      </c>
      <c r="E40" s="51" t="s">
        <v>3</v>
      </c>
      <c r="F40" s="99">
        <f t="shared" si="2"/>
        <v>2150</v>
      </c>
      <c r="G40" s="51" t="s">
        <v>3</v>
      </c>
      <c r="H40" s="48">
        <v>4</v>
      </c>
      <c r="I40" s="49" t="s">
        <v>46</v>
      </c>
      <c r="J40" s="184">
        <v>200</v>
      </c>
      <c r="K40" s="75">
        <v>200</v>
      </c>
      <c r="L40" s="75">
        <v>2150</v>
      </c>
      <c r="M40" s="202">
        <v>25.9531065424265</v>
      </c>
      <c r="N40" s="87">
        <v>1607.1479999999999</v>
      </c>
      <c r="O40" s="123">
        <v>35478.29462278197</v>
      </c>
      <c r="P40" s="199">
        <v>43752.849555052198</v>
      </c>
      <c r="Q40" s="120">
        <v>20643.577747888616</v>
      </c>
      <c r="R40" s="319">
        <v>56121.872370670586</v>
      </c>
      <c r="S40" s="315">
        <v>64396.427302940814</v>
      </c>
      <c r="U40" s="7" t="s">
        <v>3834</v>
      </c>
    </row>
    <row r="41" spans="1:21" s="74" customFormat="1" ht="16.5" thickBot="1">
      <c r="A41" s="50" t="s">
        <v>35</v>
      </c>
      <c r="B41" s="51">
        <f t="shared" si="0"/>
        <v>200</v>
      </c>
      <c r="C41" s="51" t="s">
        <v>3</v>
      </c>
      <c r="D41" s="51">
        <f t="shared" si="1"/>
        <v>200</v>
      </c>
      <c r="E41" s="51" t="s">
        <v>3</v>
      </c>
      <c r="F41" s="99">
        <f t="shared" si="2"/>
        <v>2200</v>
      </c>
      <c r="G41" s="51" t="s">
        <v>3</v>
      </c>
      <c r="H41" s="48">
        <v>4</v>
      </c>
      <c r="I41" s="49" t="s">
        <v>46</v>
      </c>
      <c r="J41" s="184">
        <v>200</v>
      </c>
      <c r="K41" s="75">
        <v>200</v>
      </c>
      <c r="L41" s="75">
        <v>2200</v>
      </c>
      <c r="M41" s="202">
        <v>26.528420908798498</v>
      </c>
      <c r="N41" s="87">
        <v>1651.7909999999999</v>
      </c>
      <c r="O41" s="123">
        <v>36169.522606590981</v>
      </c>
      <c r="P41" s="199">
        <v>44621.739059690321</v>
      </c>
      <c r="Q41" s="120">
        <v>21232.578164399893</v>
      </c>
      <c r="R41" s="319">
        <v>57402.100770990874</v>
      </c>
      <c r="S41" s="315">
        <v>65854.31722409022</v>
      </c>
      <c r="U41" s="7" t="s">
        <v>3835</v>
      </c>
    </row>
    <row r="42" spans="1:21" s="74" customFormat="1" ht="16.5" thickBot="1">
      <c r="A42" s="50" t="s">
        <v>35</v>
      </c>
      <c r="B42" s="51">
        <f t="shared" si="0"/>
        <v>200</v>
      </c>
      <c r="C42" s="51" t="s">
        <v>3</v>
      </c>
      <c r="D42" s="51">
        <f t="shared" si="1"/>
        <v>200</v>
      </c>
      <c r="E42" s="51" t="s">
        <v>3</v>
      </c>
      <c r="F42" s="99">
        <f t="shared" si="2"/>
        <v>2250</v>
      </c>
      <c r="G42" s="51" t="s">
        <v>3</v>
      </c>
      <c r="H42" s="48">
        <v>4</v>
      </c>
      <c r="I42" s="49" t="s">
        <v>46</v>
      </c>
      <c r="J42" s="184">
        <v>200</v>
      </c>
      <c r="K42" s="75">
        <v>200</v>
      </c>
      <c r="L42" s="75">
        <v>2250</v>
      </c>
      <c r="M42" s="202">
        <v>27.087547275170497</v>
      </c>
      <c r="N42" s="87">
        <v>1696.4339999999997</v>
      </c>
      <c r="O42" s="123">
        <v>36860.76547209642</v>
      </c>
      <c r="P42" s="199">
        <v>45490.654824646052</v>
      </c>
      <c r="Q42" s="120">
        <v>21590.996943521255</v>
      </c>
      <c r="R42" s="319">
        <v>58451.762415617675</v>
      </c>
      <c r="S42" s="315">
        <v>67081.651768167299</v>
      </c>
      <c r="U42" s="7" t="s">
        <v>3836</v>
      </c>
    </row>
    <row r="43" spans="1:21" s="74" customFormat="1" ht="16.5" thickBot="1">
      <c r="A43" s="50" t="s">
        <v>35</v>
      </c>
      <c r="B43" s="51">
        <f t="shared" si="0"/>
        <v>200</v>
      </c>
      <c r="C43" s="51" t="s">
        <v>3</v>
      </c>
      <c r="D43" s="51">
        <f t="shared" si="1"/>
        <v>200</v>
      </c>
      <c r="E43" s="51" t="s">
        <v>3</v>
      </c>
      <c r="F43" s="99">
        <f t="shared" si="2"/>
        <v>2300</v>
      </c>
      <c r="G43" s="51" t="s">
        <v>3</v>
      </c>
      <c r="H43" s="48">
        <v>4</v>
      </c>
      <c r="I43" s="49" t="s">
        <v>46</v>
      </c>
      <c r="J43" s="184">
        <v>200</v>
      </c>
      <c r="K43" s="75">
        <v>200</v>
      </c>
      <c r="L43" s="75">
        <v>2300</v>
      </c>
      <c r="M43" s="202">
        <v>27.646673641542499</v>
      </c>
      <c r="N43" s="87">
        <v>1741.0769999999998</v>
      </c>
      <c r="O43" s="123">
        <v>37552.022517331468</v>
      </c>
      <c r="P43" s="199">
        <v>46359.595479339296</v>
      </c>
      <c r="Q43" s="120">
        <v>21949.415582249254</v>
      </c>
      <c r="R43" s="319">
        <v>59501.438099580722</v>
      </c>
      <c r="S43" s="315">
        <v>68309.01106158855</v>
      </c>
      <c r="U43" s="7" t="s">
        <v>3837</v>
      </c>
    </row>
    <row r="44" spans="1:21" s="74" customFormat="1" ht="16.5" thickBot="1">
      <c r="A44" s="50" t="s">
        <v>35</v>
      </c>
      <c r="B44" s="51">
        <f t="shared" si="0"/>
        <v>200</v>
      </c>
      <c r="C44" s="51" t="s">
        <v>3</v>
      </c>
      <c r="D44" s="51">
        <f t="shared" si="1"/>
        <v>200</v>
      </c>
      <c r="E44" s="51" t="s">
        <v>3</v>
      </c>
      <c r="F44" s="99">
        <f t="shared" si="2"/>
        <v>2350</v>
      </c>
      <c r="G44" s="51" t="s">
        <v>3</v>
      </c>
      <c r="H44" s="48">
        <v>4</v>
      </c>
      <c r="I44" s="49" t="s">
        <v>46</v>
      </c>
      <c r="J44" s="184">
        <v>200</v>
      </c>
      <c r="K44" s="75">
        <v>200</v>
      </c>
      <c r="L44" s="75">
        <v>2350</v>
      </c>
      <c r="M44" s="202">
        <v>28.221988007914501</v>
      </c>
      <c r="N44" s="87">
        <v>1785.7199999999998</v>
      </c>
      <c r="O44" s="123">
        <v>38245.56699162173</v>
      </c>
      <c r="P44" s="199">
        <v>47231.368135893848</v>
      </c>
      <c r="Q44" s="120">
        <v>22538.415998760531</v>
      </c>
      <c r="R44" s="319">
        <v>60783.982990382261</v>
      </c>
      <c r="S44" s="315">
        <v>69769.784134654386</v>
      </c>
      <c r="U44" s="7" t="s">
        <v>3838</v>
      </c>
    </row>
    <row r="45" spans="1:21" s="74" customFormat="1" ht="16.5" thickBot="1">
      <c r="A45" s="50" t="s">
        <v>35</v>
      </c>
      <c r="B45" s="51">
        <f t="shared" si="0"/>
        <v>200</v>
      </c>
      <c r="C45" s="51" t="s">
        <v>3</v>
      </c>
      <c r="D45" s="51">
        <f t="shared" si="1"/>
        <v>200</v>
      </c>
      <c r="E45" s="51" t="s">
        <v>3</v>
      </c>
      <c r="F45" s="99">
        <f t="shared" si="2"/>
        <v>2400</v>
      </c>
      <c r="G45" s="51" t="s">
        <v>3</v>
      </c>
      <c r="H45" s="48">
        <v>4</v>
      </c>
      <c r="I45" s="49" t="s">
        <v>46</v>
      </c>
      <c r="J45" s="184">
        <v>200</v>
      </c>
      <c r="K45" s="75">
        <v>200</v>
      </c>
      <c r="L45" s="75">
        <v>2400</v>
      </c>
      <c r="M45" s="202">
        <v>28.781114374286496</v>
      </c>
      <c r="N45" s="87">
        <v>1830.3629999999996</v>
      </c>
      <c r="O45" s="123">
        <v>38882.855143591434</v>
      </c>
      <c r="P45" s="199">
        <v>48033.653427917488</v>
      </c>
      <c r="Q45" s="120">
        <v>22896.83463748853</v>
      </c>
      <c r="R45" s="319">
        <v>61779.689781079964</v>
      </c>
      <c r="S45" s="315">
        <v>70930.488065406011</v>
      </c>
      <c r="U45" s="7" t="s">
        <v>3839</v>
      </c>
    </row>
    <row r="46" spans="1:21" s="74" customFormat="1" ht="16.5" thickBot="1">
      <c r="A46" s="50" t="s">
        <v>35</v>
      </c>
      <c r="B46" s="51">
        <f t="shared" si="0"/>
        <v>200</v>
      </c>
      <c r="C46" s="51" t="s">
        <v>3</v>
      </c>
      <c r="D46" s="51">
        <f t="shared" si="1"/>
        <v>200</v>
      </c>
      <c r="E46" s="51" t="s">
        <v>3</v>
      </c>
      <c r="F46" s="99">
        <f t="shared" si="2"/>
        <v>2450</v>
      </c>
      <c r="G46" s="51" t="s">
        <v>3</v>
      </c>
      <c r="H46" s="48">
        <v>4</v>
      </c>
      <c r="I46" s="49" t="s">
        <v>46</v>
      </c>
      <c r="J46" s="184">
        <v>200</v>
      </c>
      <c r="K46" s="75">
        <v>200</v>
      </c>
      <c r="L46" s="75">
        <v>2450</v>
      </c>
      <c r="M46" s="202">
        <v>29.514044050020495</v>
      </c>
      <c r="N46" s="87">
        <v>1875.0059999999999</v>
      </c>
      <c r="O46" s="123">
        <v>40157.031186054344</v>
      </c>
      <c r="P46" s="199">
        <v>49450.154356188978</v>
      </c>
      <c r="Q46" s="120">
        <v>23485.83519439317</v>
      </c>
      <c r="R46" s="319">
        <v>63642.866380447515</v>
      </c>
      <c r="S46" s="315">
        <v>72935.989550582148</v>
      </c>
      <c r="U46" s="7" t="s">
        <v>3840</v>
      </c>
    </row>
    <row r="47" spans="1:21" s="74" customFormat="1" ht="16.5" thickBot="1">
      <c r="A47" s="50" t="s">
        <v>35</v>
      </c>
      <c r="B47" s="51">
        <f t="shared" si="0"/>
        <v>200</v>
      </c>
      <c r="C47" s="51" t="s">
        <v>3</v>
      </c>
      <c r="D47" s="51">
        <f t="shared" si="1"/>
        <v>200</v>
      </c>
      <c r="E47" s="51" t="s">
        <v>3</v>
      </c>
      <c r="F47" s="99">
        <f t="shared" si="2"/>
        <v>2500</v>
      </c>
      <c r="G47" s="51" t="s">
        <v>3</v>
      </c>
      <c r="H47" s="48">
        <v>4</v>
      </c>
      <c r="I47" s="49" t="s">
        <v>46</v>
      </c>
      <c r="J47" s="184">
        <v>200</v>
      </c>
      <c r="K47" s="75">
        <v>200</v>
      </c>
      <c r="L47" s="75">
        <v>2500</v>
      </c>
      <c r="M47" s="202">
        <v>30.0731704163925</v>
      </c>
      <c r="N47" s="87">
        <v>1919.6489999999997</v>
      </c>
      <c r="O47" s="123">
        <v>40830.393693305145</v>
      </c>
      <c r="P47" s="199">
        <v>50297.020730049022</v>
      </c>
      <c r="Q47" s="120">
        <v>23844.253833121165</v>
      </c>
      <c r="R47" s="319">
        <v>64674.647526426314</v>
      </c>
      <c r="S47" s="315">
        <v>74141.274563170184</v>
      </c>
      <c r="U47" s="7" t="s">
        <v>3841</v>
      </c>
    </row>
    <row r="48" spans="1:21" s="74" customFormat="1" ht="16.5" thickBot="1">
      <c r="A48" s="50" t="s">
        <v>35</v>
      </c>
      <c r="B48" s="51">
        <f t="shared" si="0"/>
        <v>200</v>
      </c>
      <c r="C48" s="51" t="s">
        <v>3</v>
      </c>
      <c r="D48" s="51">
        <f t="shared" si="1"/>
        <v>200</v>
      </c>
      <c r="E48" s="51" t="s">
        <v>3</v>
      </c>
      <c r="F48" s="99">
        <f t="shared" si="2"/>
        <v>2550</v>
      </c>
      <c r="G48" s="51" t="s">
        <v>3</v>
      </c>
      <c r="H48" s="48">
        <v>4</v>
      </c>
      <c r="I48" s="49" t="s">
        <v>46</v>
      </c>
      <c r="J48" s="184">
        <v>200</v>
      </c>
      <c r="K48" s="75">
        <v>200</v>
      </c>
      <c r="L48" s="75">
        <v>2550</v>
      </c>
      <c r="M48" s="202">
        <v>30.648484782764498</v>
      </c>
      <c r="N48" s="87">
        <v>1964.2919999999999</v>
      </c>
      <c r="O48" s="123">
        <v>41522.077955542285</v>
      </c>
      <c r="P48" s="199">
        <v>51166.457087417286</v>
      </c>
      <c r="Q48" s="120">
        <v>24433.254249632446</v>
      </c>
      <c r="R48" s="319">
        <v>65955.332205174724</v>
      </c>
      <c r="S48" s="315">
        <v>75599.711337049725</v>
      </c>
      <c r="U48" s="7" t="s">
        <v>3842</v>
      </c>
    </row>
    <row r="49" spans="1:21" s="74" customFormat="1" ht="16.5" thickBot="1">
      <c r="A49" s="47" t="s">
        <v>35</v>
      </c>
      <c r="B49" s="48">
        <f t="shared" si="0"/>
        <v>200</v>
      </c>
      <c r="C49" s="48" t="s">
        <v>3</v>
      </c>
      <c r="D49" s="48">
        <f t="shared" si="1"/>
        <v>200</v>
      </c>
      <c r="E49" s="48" t="s">
        <v>3</v>
      </c>
      <c r="F49" s="99">
        <f t="shared" si="2"/>
        <v>2600</v>
      </c>
      <c r="G49" s="48" t="s">
        <v>3</v>
      </c>
      <c r="H49" s="48">
        <v>4</v>
      </c>
      <c r="I49" s="49" t="s">
        <v>46</v>
      </c>
      <c r="J49" s="184">
        <v>200</v>
      </c>
      <c r="K49" s="75">
        <v>200</v>
      </c>
      <c r="L49" s="75">
        <v>2600</v>
      </c>
      <c r="M49" s="202">
        <v>31.207611149136504</v>
      </c>
      <c r="N49" s="87">
        <v>2008.9349999999997</v>
      </c>
      <c r="O49" s="123">
        <v>42213.23447912978</v>
      </c>
      <c r="P49" s="199">
        <v>52035.250636339064</v>
      </c>
      <c r="Q49" s="120">
        <v>24791.672888360441</v>
      </c>
      <c r="R49" s="319">
        <v>67004.907367490217</v>
      </c>
      <c r="S49" s="315">
        <v>76826.923524699509</v>
      </c>
      <c r="U49" s="7" t="s">
        <v>3843</v>
      </c>
    </row>
    <row r="50" spans="1:21" s="74" customFormat="1" ht="16.5" thickBot="1">
      <c r="A50" s="50" t="s">
        <v>35</v>
      </c>
      <c r="B50" s="51">
        <f t="shared" si="0"/>
        <v>200</v>
      </c>
      <c r="C50" s="51" t="s">
        <v>3</v>
      </c>
      <c r="D50" s="51">
        <f t="shared" si="1"/>
        <v>200</v>
      </c>
      <c r="E50" s="51" t="s">
        <v>3</v>
      </c>
      <c r="F50" s="99">
        <f t="shared" si="2"/>
        <v>2650</v>
      </c>
      <c r="G50" s="51" t="s">
        <v>3</v>
      </c>
      <c r="H50" s="48">
        <v>4</v>
      </c>
      <c r="I50" s="49" t="s">
        <v>46</v>
      </c>
      <c r="J50" s="184">
        <v>200</v>
      </c>
      <c r="K50" s="75">
        <v>200</v>
      </c>
      <c r="L50" s="75">
        <v>2650</v>
      </c>
      <c r="M50" s="202">
        <v>31.782925515508502</v>
      </c>
      <c r="N50" s="87">
        <v>2053.5779999999995</v>
      </c>
      <c r="O50" s="123">
        <v>42904.405884413711</v>
      </c>
      <c r="P50" s="199">
        <v>52904.06945637818</v>
      </c>
      <c r="Q50" s="120">
        <v>25380.673304871718</v>
      </c>
      <c r="R50" s="319">
        <v>68285.079189285432</v>
      </c>
      <c r="S50" s="315">
        <v>78284.742761249901</v>
      </c>
      <c r="U50" s="7" t="s">
        <v>3844</v>
      </c>
    </row>
    <row r="51" spans="1:21" s="74" customFormat="1" ht="16.5" thickBot="1">
      <c r="A51" s="50" t="s">
        <v>35</v>
      </c>
      <c r="B51" s="51">
        <f t="shared" si="0"/>
        <v>200</v>
      </c>
      <c r="C51" s="51" t="s">
        <v>3</v>
      </c>
      <c r="D51" s="51">
        <f t="shared" si="1"/>
        <v>200</v>
      </c>
      <c r="E51" s="51" t="s">
        <v>3</v>
      </c>
      <c r="F51" s="99">
        <f t="shared" si="2"/>
        <v>2700</v>
      </c>
      <c r="G51" s="51" t="s">
        <v>3</v>
      </c>
      <c r="H51" s="48">
        <v>4</v>
      </c>
      <c r="I51" s="49" t="s">
        <v>46</v>
      </c>
      <c r="J51" s="184">
        <v>200</v>
      </c>
      <c r="K51" s="75">
        <v>200</v>
      </c>
      <c r="L51" s="75">
        <v>2700</v>
      </c>
      <c r="M51" s="202">
        <v>32.416626881880504</v>
      </c>
      <c r="N51" s="87">
        <v>2098.221</v>
      </c>
      <c r="O51" s="123">
        <v>43669.223716650988</v>
      </c>
      <c r="P51" s="199">
        <v>53846.994142567615</v>
      </c>
      <c r="Q51" s="120">
        <v>25739.09208399308</v>
      </c>
      <c r="R51" s="319">
        <v>69408.315800644064</v>
      </c>
      <c r="S51" s="315">
        <v>79586.086226560699</v>
      </c>
      <c r="U51" s="7" t="s">
        <v>3845</v>
      </c>
    </row>
    <row r="52" spans="1:21" s="74" customFormat="1" ht="16.5" thickBot="1">
      <c r="A52" s="50" t="s">
        <v>35</v>
      </c>
      <c r="B52" s="51">
        <f t="shared" si="0"/>
        <v>200</v>
      </c>
      <c r="C52" s="51" t="s">
        <v>3</v>
      </c>
      <c r="D52" s="51">
        <f t="shared" si="1"/>
        <v>200</v>
      </c>
      <c r="E52" s="51" t="s">
        <v>3</v>
      </c>
      <c r="F52" s="99">
        <f t="shared" si="2"/>
        <v>2750</v>
      </c>
      <c r="G52" s="51" t="s">
        <v>3</v>
      </c>
      <c r="H52" s="48">
        <v>4</v>
      </c>
      <c r="I52" s="49" t="s">
        <v>46</v>
      </c>
      <c r="J52" s="184">
        <v>200</v>
      </c>
      <c r="K52" s="75">
        <v>200</v>
      </c>
      <c r="L52" s="75">
        <v>2750</v>
      </c>
      <c r="M52" s="202">
        <v>32.975753248252502</v>
      </c>
      <c r="N52" s="87">
        <v>2142.8639999999996</v>
      </c>
      <c r="O52" s="123">
        <v>44360.436959156934</v>
      </c>
      <c r="P52" s="199">
        <v>54715.874421665736</v>
      </c>
      <c r="Q52" s="120">
        <v>26097.510722721079</v>
      </c>
      <c r="R52" s="319">
        <v>70457.947681878009</v>
      </c>
      <c r="S52" s="315">
        <v>80813.385144386819</v>
      </c>
      <c r="U52" s="7" t="s">
        <v>3846</v>
      </c>
    </row>
    <row r="53" spans="1:21" s="74" customFormat="1" ht="16.5" thickBot="1">
      <c r="A53" s="50" t="s">
        <v>35</v>
      </c>
      <c r="B53" s="51">
        <f t="shared" si="0"/>
        <v>200</v>
      </c>
      <c r="C53" s="51" t="s">
        <v>3</v>
      </c>
      <c r="D53" s="51">
        <f t="shared" si="1"/>
        <v>200</v>
      </c>
      <c r="E53" s="51" t="s">
        <v>3</v>
      </c>
      <c r="F53" s="99">
        <f t="shared" si="2"/>
        <v>2800</v>
      </c>
      <c r="G53" s="51" t="s">
        <v>3</v>
      </c>
      <c r="H53" s="48">
        <v>4</v>
      </c>
      <c r="I53" s="49" t="s">
        <v>46</v>
      </c>
      <c r="J53" s="184">
        <v>200</v>
      </c>
      <c r="K53" s="75">
        <v>200</v>
      </c>
      <c r="L53" s="75">
        <v>2800</v>
      </c>
      <c r="M53" s="202">
        <v>33.5510676146245</v>
      </c>
      <c r="N53" s="87">
        <v>2187.5070000000001</v>
      </c>
      <c r="O53" s="123">
        <v>45051.662837065509</v>
      </c>
      <c r="P53" s="199">
        <v>55584.776374076515</v>
      </c>
      <c r="Q53" s="120">
        <v>26686.511139232356</v>
      </c>
      <c r="R53" s="319">
        <v>71738.173976297869</v>
      </c>
      <c r="S53" s="315">
        <v>82271.287513308867</v>
      </c>
      <c r="U53" s="7" t="s">
        <v>3847</v>
      </c>
    </row>
    <row r="54" spans="1:21" s="74" customFormat="1" ht="16.5" thickBot="1">
      <c r="A54" s="50" t="s">
        <v>35</v>
      </c>
      <c r="B54" s="51">
        <f t="shared" si="0"/>
        <v>200</v>
      </c>
      <c r="C54" s="51" t="s">
        <v>3</v>
      </c>
      <c r="D54" s="51">
        <f t="shared" si="1"/>
        <v>200</v>
      </c>
      <c r="E54" s="51" t="s">
        <v>3</v>
      </c>
      <c r="F54" s="99">
        <f t="shared" si="2"/>
        <v>2850</v>
      </c>
      <c r="G54" s="51" t="s">
        <v>3</v>
      </c>
      <c r="H54" s="48">
        <v>4</v>
      </c>
      <c r="I54" s="49" t="s">
        <v>46</v>
      </c>
      <c r="J54" s="184">
        <v>200</v>
      </c>
      <c r="K54" s="75">
        <v>200</v>
      </c>
      <c r="L54" s="75">
        <v>2850</v>
      </c>
      <c r="M54" s="202">
        <v>34.110193980996506</v>
      </c>
      <c r="N54" s="87">
        <v>2232.1499999999996</v>
      </c>
      <c r="O54" s="123">
        <v>45742.900648409901</v>
      </c>
      <c r="P54" s="199">
        <v>56453.699074709199</v>
      </c>
      <c r="Q54" s="120">
        <v>27044.929777960355</v>
      </c>
      <c r="R54" s="319">
        <v>72787.830426370259</v>
      </c>
      <c r="S54" s="315">
        <v>83498.628852669557</v>
      </c>
      <c r="U54" s="7" t="s">
        <v>3848</v>
      </c>
    </row>
    <row r="55" spans="1:21" s="74" customFormat="1" ht="16.5" thickBot="1">
      <c r="A55" s="50" t="s">
        <v>35</v>
      </c>
      <c r="B55" s="51">
        <f t="shared" si="0"/>
        <v>200</v>
      </c>
      <c r="C55" s="51" t="s">
        <v>3</v>
      </c>
      <c r="D55" s="51">
        <f t="shared" si="1"/>
        <v>200</v>
      </c>
      <c r="E55" s="51" t="s">
        <v>3</v>
      </c>
      <c r="F55" s="99">
        <f t="shared" si="2"/>
        <v>2900</v>
      </c>
      <c r="G55" s="51" t="s">
        <v>3</v>
      </c>
      <c r="H55" s="48">
        <v>4</v>
      </c>
      <c r="I55" s="49" t="s">
        <v>46</v>
      </c>
      <c r="J55" s="184">
        <v>200</v>
      </c>
      <c r="K55" s="75">
        <v>200</v>
      </c>
      <c r="L55" s="75">
        <v>2900</v>
      </c>
      <c r="M55" s="202">
        <v>34.68550834736849</v>
      </c>
      <c r="N55" s="87">
        <v>2276.7929999999997</v>
      </c>
      <c r="O55" s="123">
        <v>46434.149972010011</v>
      </c>
      <c r="P55" s="199">
        <v>57322.64165038291</v>
      </c>
      <c r="Q55" s="120">
        <v>27633.930194471632</v>
      </c>
      <c r="R55" s="319">
        <v>74068.080166481639</v>
      </c>
      <c r="S55" s="315">
        <v>84956.571844854538</v>
      </c>
      <c r="U55" s="7" t="s">
        <v>3849</v>
      </c>
    </row>
    <row r="56" spans="1:21" s="74" customFormat="1" ht="16.5" thickBot="1">
      <c r="A56" s="50" t="s">
        <v>35</v>
      </c>
      <c r="B56" s="51">
        <f t="shared" si="0"/>
        <v>200</v>
      </c>
      <c r="C56" s="51" t="s">
        <v>3</v>
      </c>
      <c r="D56" s="51">
        <f t="shared" si="1"/>
        <v>200</v>
      </c>
      <c r="E56" s="51" t="s">
        <v>3</v>
      </c>
      <c r="F56" s="99">
        <f t="shared" si="2"/>
        <v>2950</v>
      </c>
      <c r="G56" s="51" t="s">
        <v>3</v>
      </c>
      <c r="H56" s="48">
        <v>4</v>
      </c>
      <c r="I56" s="49" t="s">
        <v>46</v>
      </c>
      <c r="J56" s="184">
        <v>200</v>
      </c>
      <c r="K56" s="75">
        <v>200</v>
      </c>
      <c r="L56" s="75">
        <v>2950</v>
      </c>
      <c r="M56" s="202">
        <v>35.244634713740503</v>
      </c>
      <c r="N56" s="87">
        <v>2321.4359999999997</v>
      </c>
      <c r="O56" s="123">
        <v>47125.410386685762</v>
      </c>
      <c r="P56" s="199">
        <v>58191.603276235423</v>
      </c>
      <c r="Q56" s="120">
        <v>27992.348973592994</v>
      </c>
      <c r="R56" s="319">
        <v>75117.759360278753</v>
      </c>
      <c r="S56" s="315">
        <v>86183.95224982842</v>
      </c>
      <c r="U56" s="7" t="s">
        <v>3850</v>
      </c>
    </row>
    <row r="57" spans="1:21" s="74" customFormat="1" ht="16.5" thickBot="1">
      <c r="A57" s="52" t="s">
        <v>35</v>
      </c>
      <c r="B57" s="53">
        <f t="shared" si="0"/>
        <v>200</v>
      </c>
      <c r="C57" s="53" t="s">
        <v>3</v>
      </c>
      <c r="D57" s="53">
        <f t="shared" si="1"/>
        <v>200</v>
      </c>
      <c r="E57" s="53" t="s">
        <v>3</v>
      </c>
      <c r="F57" s="100">
        <f t="shared" si="2"/>
        <v>3000</v>
      </c>
      <c r="G57" s="53" t="s">
        <v>3</v>
      </c>
      <c r="H57" s="55">
        <v>4</v>
      </c>
      <c r="I57" s="54" t="s">
        <v>46</v>
      </c>
      <c r="J57" s="321">
        <v>200</v>
      </c>
      <c r="K57" s="75">
        <v>200</v>
      </c>
      <c r="L57" s="322">
        <v>3000</v>
      </c>
      <c r="M57" s="305">
        <v>35.819949080112494</v>
      </c>
      <c r="N57" s="306">
        <v>2366.0789999999997</v>
      </c>
      <c r="O57" s="307">
        <v>48922.272181276436</v>
      </c>
      <c r="P57" s="339">
        <v>59039.918084566365</v>
      </c>
      <c r="Q57" s="159">
        <v>28581.349390104271</v>
      </c>
      <c r="R57" s="324">
        <v>77503.621571380703</v>
      </c>
      <c r="S57" s="325">
        <v>87621.267474670633</v>
      </c>
      <c r="U57" s="7" t="s">
        <v>3851</v>
      </c>
    </row>
    <row r="58" spans="1:21" s="74" customFormat="1" ht="22.5" customHeight="1" thickBot="1">
      <c r="A58" s="2580" t="s">
        <v>50</v>
      </c>
      <c r="B58" s="2581"/>
      <c r="C58" s="2581"/>
      <c r="D58" s="2581"/>
      <c r="E58" s="2581"/>
      <c r="F58" s="2581"/>
      <c r="G58" s="2581"/>
      <c r="H58" s="2581"/>
      <c r="I58" s="2581"/>
      <c r="J58" s="2581"/>
      <c r="K58" s="2581"/>
      <c r="L58" s="2581"/>
      <c r="M58" s="2581"/>
      <c r="N58" s="2581"/>
      <c r="O58" s="2581"/>
      <c r="P58" s="2581"/>
      <c r="Q58" s="2581"/>
      <c r="R58" s="2581"/>
      <c r="S58" s="2582"/>
      <c r="U58" s="7"/>
    </row>
    <row r="59" spans="1:21" s="74" customFormat="1" ht="16.5" customHeight="1" thickBot="1">
      <c r="A59" s="2662" t="s">
        <v>139</v>
      </c>
      <c r="B59" s="2663"/>
      <c r="C59" s="2663"/>
      <c r="D59" s="2663"/>
      <c r="E59" s="2663"/>
      <c r="F59" s="2663"/>
      <c r="G59" s="2663"/>
      <c r="H59" s="2663"/>
      <c r="I59" s="2663"/>
      <c r="J59" s="2663"/>
      <c r="K59" s="2663"/>
      <c r="L59" s="2663"/>
      <c r="M59" s="2663"/>
      <c r="N59" s="2663"/>
      <c r="O59" s="2663"/>
      <c r="P59" s="2663"/>
      <c r="Q59" s="2663"/>
      <c r="R59" s="2663"/>
      <c r="S59" s="2664"/>
      <c r="U59" s="7"/>
    </row>
    <row r="60" spans="1:21" s="74" customFormat="1" ht="16.5" thickBot="1">
      <c r="A60" s="47" t="s">
        <v>35</v>
      </c>
      <c r="B60" s="48">
        <f>J60</f>
        <v>200</v>
      </c>
      <c r="C60" s="48" t="s">
        <v>3</v>
      </c>
      <c r="D60" s="48">
        <f>K60</f>
        <v>260</v>
      </c>
      <c r="E60" s="48" t="s">
        <v>3</v>
      </c>
      <c r="F60" s="99">
        <f>L60</f>
        <v>600</v>
      </c>
      <c r="G60" s="48" t="s">
        <v>3</v>
      </c>
      <c r="H60" s="48">
        <v>4</v>
      </c>
      <c r="I60" s="49" t="s">
        <v>46</v>
      </c>
      <c r="J60" s="181">
        <v>200</v>
      </c>
      <c r="K60" s="143">
        <v>260</v>
      </c>
      <c r="L60" s="143">
        <v>600</v>
      </c>
      <c r="M60" s="201">
        <v>8.4378901005605265</v>
      </c>
      <c r="N60" s="144">
        <v>259.76228499467805</v>
      </c>
      <c r="O60" s="145">
        <v>14028.762945083403</v>
      </c>
      <c r="P60" s="198">
        <v>16952.481509098732</v>
      </c>
      <c r="Q60" s="309">
        <v>7536.0353334550891</v>
      </c>
      <c r="R60" s="318">
        <v>21564.798278538492</v>
      </c>
      <c r="S60" s="313">
        <v>24488.516842553821</v>
      </c>
      <c r="U60" s="7" t="s">
        <v>3852</v>
      </c>
    </row>
    <row r="61" spans="1:21" s="74" customFormat="1" ht="16.5" thickBot="1">
      <c r="A61" s="50" t="s">
        <v>35</v>
      </c>
      <c r="B61" s="51">
        <f t="shared" ref="B61:B108" si="3">J61</f>
        <v>200</v>
      </c>
      <c r="C61" s="51" t="s">
        <v>3</v>
      </c>
      <c r="D61" s="51">
        <f t="shared" ref="D61:D108" si="4">K61</f>
        <v>260</v>
      </c>
      <c r="E61" s="51" t="s">
        <v>3</v>
      </c>
      <c r="F61" s="99">
        <f t="shared" ref="F61:F108" si="5">L61</f>
        <v>650</v>
      </c>
      <c r="G61" s="51" t="s">
        <v>3</v>
      </c>
      <c r="H61" s="48">
        <v>4</v>
      </c>
      <c r="I61" s="49" t="s">
        <v>46</v>
      </c>
      <c r="J61" s="184">
        <v>200</v>
      </c>
      <c r="K61" s="75">
        <v>260</v>
      </c>
      <c r="L61" s="75">
        <v>650</v>
      </c>
      <c r="M61" s="202">
        <v>9.0264441704257887</v>
      </c>
      <c r="N61" s="87">
        <v>311.71474199361359</v>
      </c>
      <c r="O61" s="123">
        <v>14744.112754863716</v>
      </c>
      <c r="P61" s="199">
        <v>17851.913066147896</v>
      </c>
      <c r="Q61" s="310">
        <v>7967.645945822027</v>
      </c>
      <c r="R61" s="319">
        <v>22711.758700685743</v>
      </c>
      <c r="S61" s="315">
        <v>25819.559011969923</v>
      </c>
      <c r="U61" s="7" t="s">
        <v>3853</v>
      </c>
    </row>
    <row r="62" spans="1:21" s="74" customFormat="1" ht="16.5" thickBot="1">
      <c r="A62" s="50" t="s">
        <v>35</v>
      </c>
      <c r="B62" s="51">
        <f t="shared" si="3"/>
        <v>200</v>
      </c>
      <c r="C62" s="51" t="s">
        <v>3</v>
      </c>
      <c r="D62" s="51">
        <f t="shared" si="4"/>
        <v>260</v>
      </c>
      <c r="E62" s="51" t="s">
        <v>3</v>
      </c>
      <c r="F62" s="99">
        <f t="shared" si="5"/>
        <v>700</v>
      </c>
      <c r="G62" s="51" t="s">
        <v>3</v>
      </c>
      <c r="H62" s="48">
        <v>4</v>
      </c>
      <c r="I62" s="49" t="s">
        <v>46</v>
      </c>
      <c r="J62" s="184">
        <v>200</v>
      </c>
      <c r="K62" s="75">
        <v>260</v>
      </c>
      <c r="L62" s="75">
        <v>700</v>
      </c>
      <c r="M62" s="202">
        <v>9.6320382402910525</v>
      </c>
      <c r="N62" s="87">
        <v>363.66719899254923</v>
      </c>
      <c r="O62" s="123">
        <v>15459.462705037391</v>
      </c>
      <c r="P62" s="199">
        <v>18751.344623196917</v>
      </c>
      <c r="Q62" s="310">
        <v>8629.8383359722393</v>
      </c>
      <c r="R62" s="319">
        <v>24089.301041009632</v>
      </c>
      <c r="S62" s="315">
        <v>27381.182959169157</v>
      </c>
      <c r="U62" s="7" t="s">
        <v>3854</v>
      </c>
    </row>
    <row r="63" spans="1:21" s="74" customFormat="1" ht="16.5" thickBot="1">
      <c r="A63" s="50" t="s">
        <v>35</v>
      </c>
      <c r="B63" s="51">
        <f t="shared" si="3"/>
        <v>200</v>
      </c>
      <c r="C63" s="51" t="s">
        <v>3</v>
      </c>
      <c r="D63" s="51">
        <f t="shared" si="4"/>
        <v>260</v>
      </c>
      <c r="E63" s="51" t="s">
        <v>3</v>
      </c>
      <c r="F63" s="99">
        <f t="shared" si="5"/>
        <v>750</v>
      </c>
      <c r="G63" s="51" t="s">
        <v>3</v>
      </c>
      <c r="H63" s="48">
        <v>4</v>
      </c>
      <c r="I63" s="49" t="s">
        <v>46</v>
      </c>
      <c r="J63" s="184">
        <v>200</v>
      </c>
      <c r="K63" s="75">
        <v>260</v>
      </c>
      <c r="L63" s="75">
        <v>750</v>
      </c>
      <c r="M63" s="202">
        <v>10.220592310156317</v>
      </c>
      <c r="N63" s="87">
        <v>415.61965599148488</v>
      </c>
      <c r="O63" s="123">
        <v>16174.812514817702</v>
      </c>
      <c r="P63" s="199">
        <v>19650.776180245939</v>
      </c>
      <c r="Q63" s="310">
        <v>9061.4489483391772</v>
      </c>
      <c r="R63" s="319">
        <v>25236.261463156879</v>
      </c>
      <c r="S63" s="315">
        <v>28712.225128585116</v>
      </c>
      <c r="U63" s="7" t="s">
        <v>3855</v>
      </c>
    </row>
    <row r="64" spans="1:21" s="74" customFormat="1" ht="16.5" thickBot="1">
      <c r="A64" s="50" t="s">
        <v>35</v>
      </c>
      <c r="B64" s="51">
        <f t="shared" si="3"/>
        <v>200</v>
      </c>
      <c r="C64" s="51" t="s">
        <v>3</v>
      </c>
      <c r="D64" s="51">
        <f t="shared" si="4"/>
        <v>260</v>
      </c>
      <c r="E64" s="51" t="s">
        <v>3</v>
      </c>
      <c r="F64" s="99">
        <f t="shared" si="5"/>
        <v>800</v>
      </c>
      <c r="G64" s="51" t="s">
        <v>3</v>
      </c>
      <c r="H64" s="48">
        <v>4</v>
      </c>
      <c r="I64" s="49" t="s">
        <v>46</v>
      </c>
      <c r="J64" s="184">
        <v>200</v>
      </c>
      <c r="K64" s="75">
        <v>260</v>
      </c>
      <c r="L64" s="75">
        <v>800</v>
      </c>
      <c r="M64" s="202">
        <v>10.809146380021581</v>
      </c>
      <c r="N64" s="87">
        <v>467.57211299042052</v>
      </c>
      <c r="O64" s="123">
        <v>16890.162464991379</v>
      </c>
      <c r="P64" s="199">
        <v>20550.207737294964</v>
      </c>
      <c r="Q64" s="310">
        <v>9493.059560706115</v>
      </c>
      <c r="R64" s="319">
        <v>26383.222025697494</v>
      </c>
      <c r="S64" s="315">
        <v>30043.267298001079</v>
      </c>
      <c r="U64" s="7" t="s">
        <v>3856</v>
      </c>
    </row>
    <row r="65" spans="1:21" s="74" customFormat="1" ht="16.5" thickBot="1">
      <c r="A65" s="50" t="s">
        <v>35</v>
      </c>
      <c r="B65" s="51">
        <f t="shared" si="3"/>
        <v>200</v>
      </c>
      <c r="C65" s="51" t="s">
        <v>3</v>
      </c>
      <c r="D65" s="51">
        <f t="shared" si="4"/>
        <v>260</v>
      </c>
      <c r="E65" s="51" t="s">
        <v>3</v>
      </c>
      <c r="F65" s="99">
        <f t="shared" si="5"/>
        <v>850</v>
      </c>
      <c r="G65" s="51" t="s">
        <v>3</v>
      </c>
      <c r="H65" s="48">
        <v>4</v>
      </c>
      <c r="I65" s="49" t="s">
        <v>46</v>
      </c>
      <c r="J65" s="184">
        <v>200</v>
      </c>
      <c r="K65" s="75">
        <v>260</v>
      </c>
      <c r="L65" s="75">
        <v>850</v>
      </c>
      <c r="M65" s="202">
        <v>11.414740449886843</v>
      </c>
      <c r="N65" s="87">
        <v>519.52456998935611</v>
      </c>
      <c r="O65" s="123">
        <v>17605.512274771692</v>
      </c>
      <c r="P65" s="199">
        <v>21449.639294344124</v>
      </c>
      <c r="Q65" s="310">
        <v>10155.251950856327</v>
      </c>
      <c r="R65" s="319">
        <v>27760.76422562802</v>
      </c>
      <c r="S65" s="315">
        <v>31604.891245200452</v>
      </c>
      <c r="U65" s="7" t="s">
        <v>3857</v>
      </c>
    </row>
    <row r="66" spans="1:21" s="74" customFormat="1" ht="16.5" thickBot="1">
      <c r="A66" s="50" t="s">
        <v>35</v>
      </c>
      <c r="B66" s="51">
        <f t="shared" si="3"/>
        <v>200</v>
      </c>
      <c r="C66" s="51" t="s">
        <v>3</v>
      </c>
      <c r="D66" s="51">
        <f t="shared" si="4"/>
        <v>260</v>
      </c>
      <c r="E66" s="51" t="s">
        <v>3</v>
      </c>
      <c r="F66" s="99">
        <f t="shared" si="5"/>
        <v>900</v>
      </c>
      <c r="G66" s="51" t="s">
        <v>3</v>
      </c>
      <c r="H66" s="48">
        <v>4</v>
      </c>
      <c r="I66" s="49" t="s">
        <v>46</v>
      </c>
      <c r="J66" s="184">
        <v>200</v>
      </c>
      <c r="K66" s="75">
        <v>260</v>
      </c>
      <c r="L66" s="75">
        <v>900</v>
      </c>
      <c r="M66" s="202">
        <v>12.003294519752107</v>
      </c>
      <c r="N66" s="87">
        <v>571.47702698829175</v>
      </c>
      <c r="O66" s="123">
        <v>18320.862224945366</v>
      </c>
      <c r="P66" s="199">
        <v>22349.070851393146</v>
      </c>
      <c r="Q66" s="310">
        <v>10586.862563223265</v>
      </c>
      <c r="R66" s="319">
        <v>28907.724788168631</v>
      </c>
      <c r="S66" s="315">
        <v>32935.933414616411</v>
      </c>
      <c r="U66" s="7" t="s">
        <v>3858</v>
      </c>
    </row>
    <row r="67" spans="1:21" s="74" customFormat="1" ht="16.5" thickBot="1">
      <c r="A67" s="50" t="s">
        <v>35</v>
      </c>
      <c r="B67" s="51">
        <f t="shared" si="3"/>
        <v>200</v>
      </c>
      <c r="C67" s="51" t="s">
        <v>3</v>
      </c>
      <c r="D67" s="51">
        <f t="shared" si="4"/>
        <v>260</v>
      </c>
      <c r="E67" s="51" t="s">
        <v>3</v>
      </c>
      <c r="F67" s="99">
        <f t="shared" si="5"/>
        <v>950</v>
      </c>
      <c r="G67" s="51" t="s">
        <v>3</v>
      </c>
      <c r="H67" s="48">
        <v>4</v>
      </c>
      <c r="I67" s="49" t="s">
        <v>46</v>
      </c>
      <c r="J67" s="184">
        <v>200</v>
      </c>
      <c r="K67" s="75">
        <v>260</v>
      </c>
      <c r="L67" s="75">
        <v>950</v>
      </c>
      <c r="M67" s="202">
        <v>12.608888589617369</v>
      </c>
      <c r="N67" s="87">
        <v>623.42948398722717</v>
      </c>
      <c r="O67" s="123">
        <v>19036.212034725679</v>
      </c>
      <c r="P67" s="199">
        <v>23248.502408442171</v>
      </c>
      <c r="Q67" s="310">
        <v>11249.054953373477</v>
      </c>
      <c r="R67" s="319">
        <v>30285.266988099156</v>
      </c>
      <c r="S67" s="315">
        <v>34497.557361815649</v>
      </c>
      <c r="U67" s="7" t="s">
        <v>3859</v>
      </c>
    </row>
    <row r="68" spans="1:21" s="74" customFormat="1" ht="16.5" thickBot="1">
      <c r="A68" s="50" t="s">
        <v>35</v>
      </c>
      <c r="B68" s="51">
        <f t="shared" si="3"/>
        <v>200</v>
      </c>
      <c r="C68" s="51" t="s">
        <v>3</v>
      </c>
      <c r="D68" s="51">
        <f t="shared" si="4"/>
        <v>260</v>
      </c>
      <c r="E68" s="51" t="s">
        <v>3</v>
      </c>
      <c r="F68" s="99">
        <f t="shared" si="5"/>
        <v>1000</v>
      </c>
      <c r="G68" s="51" t="s">
        <v>3</v>
      </c>
      <c r="H68" s="48">
        <v>4</v>
      </c>
      <c r="I68" s="49" t="s">
        <v>46</v>
      </c>
      <c r="J68" s="184">
        <v>200</v>
      </c>
      <c r="K68" s="75">
        <v>260</v>
      </c>
      <c r="L68" s="75">
        <v>1000</v>
      </c>
      <c r="M68" s="202">
        <v>13.197442659482633</v>
      </c>
      <c r="N68" s="87">
        <v>675.38194098616293</v>
      </c>
      <c r="O68" s="123">
        <v>19751.561984899356</v>
      </c>
      <c r="P68" s="199">
        <v>24147.933965491196</v>
      </c>
      <c r="Q68" s="310">
        <v>11680.665565740415</v>
      </c>
      <c r="R68" s="319">
        <v>31432.227550639771</v>
      </c>
      <c r="S68" s="315">
        <v>35828.599531231608</v>
      </c>
      <c r="U68" s="7" t="s">
        <v>3860</v>
      </c>
    </row>
    <row r="69" spans="1:21" s="74" customFormat="1" ht="16.5" thickBot="1">
      <c r="A69" s="50" t="s">
        <v>35</v>
      </c>
      <c r="B69" s="51">
        <f t="shared" si="3"/>
        <v>200</v>
      </c>
      <c r="C69" s="51" t="s">
        <v>3</v>
      </c>
      <c r="D69" s="51">
        <f t="shared" si="4"/>
        <v>260</v>
      </c>
      <c r="E69" s="51" t="s">
        <v>3</v>
      </c>
      <c r="F69" s="99">
        <f t="shared" si="5"/>
        <v>1050</v>
      </c>
      <c r="G69" s="51" t="s">
        <v>3</v>
      </c>
      <c r="H69" s="48">
        <v>4</v>
      </c>
      <c r="I69" s="49" t="s">
        <v>46</v>
      </c>
      <c r="J69" s="184">
        <v>200</v>
      </c>
      <c r="K69" s="75">
        <v>260</v>
      </c>
      <c r="L69" s="75">
        <v>1050</v>
      </c>
      <c r="M69" s="202">
        <v>13.803036729347893</v>
      </c>
      <c r="N69" s="87">
        <v>727.33439798509846</v>
      </c>
      <c r="O69" s="123">
        <v>20466.911794679665</v>
      </c>
      <c r="P69" s="199">
        <v>25047.36552254036</v>
      </c>
      <c r="Q69" s="310">
        <v>12342.857815497266</v>
      </c>
      <c r="R69" s="319">
        <v>32809.769610176932</v>
      </c>
      <c r="S69" s="315">
        <v>37390.223338037627</v>
      </c>
      <c r="U69" s="7" t="s">
        <v>3861</v>
      </c>
    </row>
    <row r="70" spans="1:21" s="74" customFormat="1" ht="16.5" thickBot="1">
      <c r="A70" s="47" t="s">
        <v>35</v>
      </c>
      <c r="B70" s="48">
        <f t="shared" si="3"/>
        <v>200</v>
      </c>
      <c r="C70" s="48" t="s">
        <v>3</v>
      </c>
      <c r="D70" s="48">
        <f t="shared" si="4"/>
        <v>260</v>
      </c>
      <c r="E70" s="48" t="s">
        <v>3</v>
      </c>
      <c r="F70" s="99">
        <f t="shared" si="5"/>
        <v>1100</v>
      </c>
      <c r="G70" s="48" t="s">
        <v>3</v>
      </c>
      <c r="H70" s="48">
        <v>4</v>
      </c>
      <c r="I70" s="49" t="s">
        <v>46</v>
      </c>
      <c r="J70" s="184">
        <v>200</v>
      </c>
      <c r="K70" s="75">
        <v>260</v>
      </c>
      <c r="L70" s="75">
        <v>1100</v>
      </c>
      <c r="M70" s="202">
        <v>14.391590799213159</v>
      </c>
      <c r="N70" s="87">
        <v>779.28685498403422</v>
      </c>
      <c r="O70" s="123">
        <v>21182.261744853342</v>
      </c>
      <c r="P70" s="199">
        <v>25946.797079589378</v>
      </c>
      <c r="Q70" s="310">
        <v>12774.468427864203</v>
      </c>
      <c r="R70" s="319">
        <v>33956.730172717544</v>
      </c>
      <c r="S70" s="315">
        <v>38721.26550745358</v>
      </c>
      <c r="U70" s="7" t="s">
        <v>3862</v>
      </c>
    </row>
    <row r="71" spans="1:21" s="74" customFormat="1" ht="16.5" thickBot="1">
      <c r="A71" s="50" t="s">
        <v>35</v>
      </c>
      <c r="B71" s="51">
        <f t="shared" si="3"/>
        <v>200</v>
      </c>
      <c r="C71" s="51" t="s">
        <v>3</v>
      </c>
      <c r="D71" s="51">
        <f t="shared" si="4"/>
        <v>260</v>
      </c>
      <c r="E71" s="51" t="s">
        <v>3</v>
      </c>
      <c r="F71" s="99">
        <f t="shared" si="5"/>
        <v>1150</v>
      </c>
      <c r="G71" s="51" t="s">
        <v>3</v>
      </c>
      <c r="H71" s="48">
        <v>4</v>
      </c>
      <c r="I71" s="49" t="s">
        <v>46</v>
      </c>
      <c r="J71" s="184">
        <v>200</v>
      </c>
      <c r="K71" s="75">
        <v>260</v>
      </c>
      <c r="L71" s="75">
        <v>1150</v>
      </c>
      <c r="M71" s="202">
        <v>14.980144869078423</v>
      </c>
      <c r="N71" s="87">
        <v>831.23931198296975</v>
      </c>
      <c r="O71" s="123">
        <v>21897.611695027019</v>
      </c>
      <c r="P71" s="199">
        <v>26846.228636638403</v>
      </c>
      <c r="Q71" s="310">
        <v>13206.07904023114</v>
      </c>
      <c r="R71" s="319">
        <v>35103.690735258162</v>
      </c>
      <c r="S71" s="315">
        <v>40052.307676869546</v>
      </c>
      <c r="U71" s="7" t="s">
        <v>3863</v>
      </c>
    </row>
    <row r="72" spans="1:21" s="74" customFormat="1" ht="16.5" thickBot="1">
      <c r="A72" s="50" t="s">
        <v>35</v>
      </c>
      <c r="B72" s="51">
        <f t="shared" si="3"/>
        <v>200</v>
      </c>
      <c r="C72" s="51" t="s">
        <v>3</v>
      </c>
      <c r="D72" s="51">
        <f t="shared" si="4"/>
        <v>260</v>
      </c>
      <c r="E72" s="51" t="s">
        <v>3</v>
      </c>
      <c r="F72" s="99">
        <f t="shared" si="5"/>
        <v>1200</v>
      </c>
      <c r="G72" s="51" t="s">
        <v>3</v>
      </c>
      <c r="H72" s="48">
        <v>4</v>
      </c>
      <c r="I72" s="49" t="s">
        <v>46</v>
      </c>
      <c r="J72" s="184">
        <v>200</v>
      </c>
      <c r="K72" s="75">
        <v>260</v>
      </c>
      <c r="L72" s="75">
        <v>1200</v>
      </c>
      <c r="M72" s="202">
        <v>15.664238938943685</v>
      </c>
      <c r="N72" s="87">
        <v>883.19176898190528</v>
      </c>
      <c r="O72" s="123">
        <v>22690.115940709467</v>
      </c>
      <c r="P72" s="199">
        <v>27823.285611517593</v>
      </c>
      <c r="Q72" s="310">
        <v>13868.271430381354</v>
      </c>
      <c r="R72" s="319">
        <v>36558.387371090823</v>
      </c>
      <c r="S72" s="315">
        <v>41691.557041898945</v>
      </c>
      <c r="U72" s="7" t="s">
        <v>3864</v>
      </c>
    </row>
    <row r="73" spans="1:21" s="74" customFormat="1" ht="16.5" thickBot="1">
      <c r="A73" s="50" t="s">
        <v>35</v>
      </c>
      <c r="B73" s="51">
        <f t="shared" si="3"/>
        <v>200</v>
      </c>
      <c r="C73" s="51" t="s">
        <v>3</v>
      </c>
      <c r="D73" s="51">
        <f t="shared" si="4"/>
        <v>260</v>
      </c>
      <c r="E73" s="51" t="s">
        <v>3</v>
      </c>
      <c r="F73" s="99">
        <f t="shared" si="5"/>
        <v>1250</v>
      </c>
      <c r="G73" s="51" t="s">
        <v>3</v>
      </c>
      <c r="H73" s="48">
        <v>4</v>
      </c>
      <c r="I73" s="49" t="s">
        <v>46</v>
      </c>
      <c r="J73" s="184">
        <v>200</v>
      </c>
      <c r="K73" s="75">
        <v>260</v>
      </c>
      <c r="L73" s="75">
        <v>1250</v>
      </c>
      <c r="M73" s="202">
        <v>16.252793008808947</v>
      </c>
      <c r="N73" s="87">
        <v>935.14422598084104</v>
      </c>
      <c r="O73" s="123">
        <v>23405.46575048978</v>
      </c>
      <c r="P73" s="199">
        <v>28722.717168566611</v>
      </c>
      <c r="Q73" s="310">
        <v>14299.882042748291</v>
      </c>
      <c r="R73" s="319">
        <v>37705.34779323807</v>
      </c>
      <c r="S73" s="315">
        <v>43022.599211314904</v>
      </c>
      <c r="U73" s="7" t="s">
        <v>3865</v>
      </c>
    </row>
    <row r="74" spans="1:21" s="74" customFormat="1" ht="16.5" thickBot="1">
      <c r="A74" s="50" t="s">
        <v>35</v>
      </c>
      <c r="B74" s="51">
        <f t="shared" si="3"/>
        <v>200</v>
      </c>
      <c r="C74" s="51" t="s">
        <v>3</v>
      </c>
      <c r="D74" s="51">
        <f t="shared" si="4"/>
        <v>260</v>
      </c>
      <c r="E74" s="51" t="s">
        <v>3</v>
      </c>
      <c r="F74" s="99">
        <f t="shared" si="5"/>
        <v>1300</v>
      </c>
      <c r="G74" s="51" t="s">
        <v>3</v>
      </c>
      <c r="H74" s="48">
        <v>4</v>
      </c>
      <c r="I74" s="49" t="s">
        <v>46</v>
      </c>
      <c r="J74" s="184">
        <v>200</v>
      </c>
      <c r="K74" s="75">
        <v>260</v>
      </c>
      <c r="L74" s="75">
        <v>1300</v>
      </c>
      <c r="M74" s="202">
        <v>16.858387078674212</v>
      </c>
      <c r="N74" s="87">
        <v>987.09668297977646</v>
      </c>
      <c r="O74" s="123">
        <v>24120.815700663454</v>
      </c>
      <c r="P74" s="199">
        <v>29622.148725615778</v>
      </c>
      <c r="Q74" s="310">
        <v>14962.074432898504</v>
      </c>
      <c r="R74" s="319">
        <v>39082.890133561959</v>
      </c>
      <c r="S74" s="315">
        <v>44584.22315851428</v>
      </c>
      <c r="U74" s="7" t="s">
        <v>3866</v>
      </c>
    </row>
    <row r="75" spans="1:21" s="74" customFormat="1" ht="16.5" thickBot="1">
      <c r="A75" s="50" t="s">
        <v>35</v>
      </c>
      <c r="B75" s="51">
        <f t="shared" si="3"/>
        <v>200</v>
      </c>
      <c r="C75" s="51" t="s">
        <v>3</v>
      </c>
      <c r="D75" s="51">
        <f t="shared" si="4"/>
        <v>260</v>
      </c>
      <c r="E75" s="51" t="s">
        <v>3</v>
      </c>
      <c r="F75" s="99">
        <f t="shared" si="5"/>
        <v>1350</v>
      </c>
      <c r="G75" s="51" t="s">
        <v>3</v>
      </c>
      <c r="H75" s="48">
        <v>4</v>
      </c>
      <c r="I75" s="49" t="s">
        <v>46</v>
      </c>
      <c r="J75" s="184">
        <v>200</v>
      </c>
      <c r="K75" s="75">
        <v>260</v>
      </c>
      <c r="L75" s="75">
        <v>1350</v>
      </c>
      <c r="M75" s="202">
        <v>17.446941148539473</v>
      </c>
      <c r="N75" s="87">
        <v>1039.0491399787122</v>
      </c>
      <c r="O75" s="123">
        <v>24836.165510443767</v>
      </c>
      <c r="P75" s="199">
        <v>30521.580282664796</v>
      </c>
      <c r="Q75" s="310">
        <v>15393.685045265442</v>
      </c>
      <c r="R75" s="319">
        <v>40229.850555709207</v>
      </c>
      <c r="S75" s="315">
        <v>45915.265327930239</v>
      </c>
      <c r="U75" s="7" t="s">
        <v>3867</v>
      </c>
    </row>
    <row r="76" spans="1:21" s="74" customFormat="1" ht="16.5" thickBot="1">
      <c r="A76" s="50" t="s">
        <v>35</v>
      </c>
      <c r="B76" s="51">
        <f t="shared" si="3"/>
        <v>200</v>
      </c>
      <c r="C76" s="51" t="s">
        <v>3</v>
      </c>
      <c r="D76" s="51">
        <f t="shared" si="4"/>
        <v>260</v>
      </c>
      <c r="E76" s="51" t="s">
        <v>3</v>
      </c>
      <c r="F76" s="99">
        <f t="shared" si="5"/>
        <v>1400</v>
      </c>
      <c r="G76" s="51" t="s">
        <v>3</v>
      </c>
      <c r="H76" s="48">
        <v>4</v>
      </c>
      <c r="I76" s="49" t="s">
        <v>46</v>
      </c>
      <c r="J76" s="184">
        <v>200</v>
      </c>
      <c r="K76" s="75">
        <v>260</v>
      </c>
      <c r="L76" s="75">
        <v>1400</v>
      </c>
      <c r="M76" s="202">
        <v>18.052535218404735</v>
      </c>
      <c r="N76" s="87">
        <v>1091.001596977648</v>
      </c>
      <c r="O76" s="123">
        <v>25551.515460617444</v>
      </c>
      <c r="P76" s="199">
        <v>31421.011839713821</v>
      </c>
      <c r="Q76" s="310">
        <v>16055.877435415654</v>
      </c>
      <c r="R76" s="319">
        <v>41607.392896033096</v>
      </c>
      <c r="S76" s="315">
        <v>47476.889275129477</v>
      </c>
      <c r="U76" s="7" t="s">
        <v>3868</v>
      </c>
    </row>
    <row r="77" spans="1:21" s="74" customFormat="1" ht="16.5" thickBot="1">
      <c r="A77" s="50" t="s">
        <v>35</v>
      </c>
      <c r="B77" s="51">
        <f t="shared" si="3"/>
        <v>200</v>
      </c>
      <c r="C77" s="51" t="s">
        <v>3</v>
      </c>
      <c r="D77" s="51">
        <f t="shared" si="4"/>
        <v>260</v>
      </c>
      <c r="E77" s="51" t="s">
        <v>3</v>
      </c>
      <c r="F77" s="99">
        <f t="shared" si="5"/>
        <v>1450</v>
      </c>
      <c r="G77" s="51" t="s">
        <v>3</v>
      </c>
      <c r="H77" s="48">
        <v>4</v>
      </c>
      <c r="I77" s="49" t="s">
        <v>46</v>
      </c>
      <c r="J77" s="184">
        <v>200</v>
      </c>
      <c r="K77" s="75">
        <v>260</v>
      </c>
      <c r="L77" s="75">
        <v>1450</v>
      </c>
      <c r="M77" s="202">
        <v>18.641089288270003</v>
      </c>
      <c r="N77" s="87">
        <v>1142.9540539765835</v>
      </c>
      <c r="O77" s="123">
        <v>26266.865410791117</v>
      </c>
      <c r="P77" s="199">
        <v>32320.443396762847</v>
      </c>
      <c r="Q77" s="310">
        <v>16487.48804778259</v>
      </c>
      <c r="R77" s="319">
        <v>42754.353458573707</v>
      </c>
      <c r="S77" s="315">
        <v>48807.931444545437</v>
      </c>
      <c r="U77" s="7" t="s">
        <v>3869</v>
      </c>
    </row>
    <row r="78" spans="1:21" s="74" customFormat="1" ht="16.5" thickBot="1">
      <c r="A78" s="50" t="s">
        <v>35</v>
      </c>
      <c r="B78" s="51">
        <f t="shared" si="3"/>
        <v>200</v>
      </c>
      <c r="C78" s="51" t="s">
        <v>3</v>
      </c>
      <c r="D78" s="51">
        <f t="shared" si="4"/>
        <v>260</v>
      </c>
      <c r="E78" s="51" t="s">
        <v>3</v>
      </c>
      <c r="F78" s="99">
        <f t="shared" si="5"/>
        <v>1500</v>
      </c>
      <c r="G78" s="51" t="s">
        <v>3</v>
      </c>
      <c r="H78" s="48">
        <v>4</v>
      </c>
      <c r="I78" s="49" t="s">
        <v>46</v>
      </c>
      <c r="J78" s="184">
        <v>200</v>
      </c>
      <c r="K78" s="75">
        <v>260</v>
      </c>
      <c r="L78" s="75">
        <v>1500</v>
      </c>
      <c r="M78" s="202">
        <v>19.412594210095264</v>
      </c>
      <c r="N78" s="87">
        <v>1194.9065109755188</v>
      </c>
      <c r="O78" s="123">
        <v>27593.55264223654</v>
      </c>
      <c r="P78" s="199">
        <v>33794.174417191323</v>
      </c>
      <c r="Q78" s="310">
        <v>17149.680437932802</v>
      </c>
      <c r="R78" s="319">
        <v>44743.233080169346</v>
      </c>
      <c r="S78" s="315">
        <v>50943.854855124126</v>
      </c>
      <c r="U78" s="7" t="s">
        <v>3870</v>
      </c>
    </row>
    <row r="79" spans="1:21" s="74" customFormat="1" ht="16.5" thickBot="1">
      <c r="A79" s="50" t="s">
        <v>35</v>
      </c>
      <c r="B79" s="51">
        <f t="shared" si="3"/>
        <v>200</v>
      </c>
      <c r="C79" s="51" t="s">
        <v>3</v>
      </c>
      <c r="D79" s="51">
        <f t="shared" si="4"/>
        <v>260</v>
      </c>
      <c r="E79" s="51" t="s">
        <v>3</v>
      </c>
      <c r="F79" s="99">
        <f t="shared" si="5"/>
        <v>1550</v>
      </c>
      <c r="G79" s="51" t="s">
        <v>3</v>
      </c>
      <c r="H79" s="48">
        <v>4</v>
      </c>
      <c r="I79" s="49" t="s">
        <v>46</v>
      </c>
      <c r="J79" s="184">
        <v>200</v>
      </c>
      <c r="K79" s="75">
        <v>260</v>
      </c>
      <c r="L79" s="75">
        <v>1550</v>
      </c>
      <c r="M79" s="202">
        <v>20.001148279960525</v>
      </c>
      <c r="N79" s="87">
        <v>1246.8589679744543</v>
      </c>
      <c r="O79" s="123">
        <v>28308.902592410221</v>
      </c>
      <c r="P79" s="199">
        <v>34693.605974240352</v>
      </c>
      <c r="Q79" s="310">
        <v>17581.29105029974</v>
      </c>
      <c r="R79" s="319">
        <v>45890.193642709957</v>
      </c>
      <c r="S79" s="315">
        <v>52274.897024540092</v>
      </c>
      <c r="U79" s="7" t="s">
        <v>3871</v>
      </c>
    </row>
    <row r="80" spans="1:21" s="74" customFormat="1" ht="16.5" thickBot="1">
      <c r="A80" s="47" t="s">
        <v>35</v>
      </c>
      <c r="B80" s="48">
        <f t="shared" si="3"/>
        <v>200</v>
      </c>
      <c r="C80" s="48" t="s">
        <v>3</v>
      </c>
      <c r="D80" s="48">
        <f t="shared" si="4"/>
        <v>260</v>
      </c>
      <c r="E80" s="48" t="s">
        <v>3</v>
      </c>
      <c r="F80" s="99">
        <f t="shared" si="5"/>
        <v>1600</v>
      </c>
      <c r="G80" s="48" t="s">
        <v>3</v>
      </c>
      <c r="H80" s="48">
        <v>4</v>
      </c>
      <c r="I80" s="49" t="s">
        <v>46</v>
      </c>
      <c r="J80" s="184">
        <v>200</v>
      </c>
      <c r="K80" s="75">
        <v>260</v>
      </c>
      <c r="L80" s="75">
        <v>1600</v>
      </c>
      <c r="M80" s="202">
        <v>20.589702349825792</v>
      </c>
      <c r="N80" s="87">
        <v>1298.8114249733901</v>
      </c>
      <c r="O80" s="123">
        <v>29024.25240219053</v>
      </c>
      <c r="P80" s="199">
        <v>35593.037531289367</v>
      </c>
      <c r="Q80" s="310">
        <v>18012.901662666678</v>
      </c>
      <c r="R80" s="319">
        <v>47037.154064857212</v>
      </c>
      <c r="S80" s="315">
        <v>53605.939193956045</v>
      </c>
      <c r="U80" s="7" t="s">
        <v>3872</v>
      </c>
    </row>
    <row r="81" spans="1:21" s="74" customFormat="1" ht="16.5" thickBot="1">
      <c r="A81" s="50" t="s">
        <v>35</v>
      </c>
      <c r="B81" s="51">
        <f t="shared" si="3"/>
        <v>200</v>
      </c>
      <c r="C81" s="51" t="s">
        <v>3</v>
      </c>
      <c r="D81" s="51">
        <f t="shared" si="4"/>
        <v>260</v>
      </c>
      <c r="E81" s="51" t="s">
        <v>3</v>
      </c>
      <c r="F81" s="99">
        <f t="shared" si="5"/>
        <v>1650</v>
      </c>
      <c r="G81" s="51" t="s">
        <v>3</v>
      </c>
      <c r="H81" s="48">
        <v>4</v>
      </c>
      <c r="I81" s="49" t="s">
        <v>46</v>
      </c>
      <c r="J81" s="184">
        <v>200</v>
      </c>
      <c r="K81" s="75">
        <v>260</v>
      </c>
      <c r="L81" s="75">
        <v>1650</v>
      </c>
      <c r="M81" s="202">
        <v>21.195296419691054</v>
      </c>
      <c r="N81" s="87">
        <v>1350.7638819723259</v>
      </c>
      <c r="O81" s="123">
        <v>29739.602352364207</v>
      </c>
      <c r="P81" s="199">
        <v>36492.469088338534</v>
      </c>
      <c r="Q81" s="310">
        <v>18675.09391242353</v>
      </c>
      <c r="R81" s="319">
        <v>48414.696264787737</v>
      </c>
      <c r="S81" s="315">
        <v>55167.563000762064</v>
      </c>
      <c r="U81" s="7" t="s">
        <v>3873</v>
      </c>
    </row>
    <row r="82" spans="1:21" s="74" customFormat="1" ht="16.5" thickBot="1">
      <c r="A82" s="50" t="s">
        <v>35</v>
      </c>
      <c r="B82" s="51">
        <f t="shared" si="3"/>
        <v>200</v>
      </c>
      <c r="C82" s="51" t="s">
        <v>3</v>
      </c>
      <c r="D82" s="51">
        <f t="shared" si="4"/>
        <v>260</v>
      </c>
      <c r="E82" s="51" t="s">
        <v>3</v>
      </c>
      <c r="F82" s="99">
        <f t="shared" si="5"/>
        <v>1700</v>
      </c>
      <c r="G82" s="51" t="s">
        <v>3</v>
      </c>
      <c r="H82" s="48">
        <v>4</v>
      </c>
      <c r="I82" s="49" t="s">
        <v>46</v>
      </c>
      <c r="J82" s="184">
        <v>200</v>
      </c>
      <c r="K82" s="75">
        <v>260</v>
      </c>
      <c r="L82" s="75">
        <v>1700</v>
      </c>
      <c r="M82" s="202">
        <v>21.783850489556315</v>
      </c>
      <c r="N82" s="87">
        <v>1402.7163389712616</v>
      </c>
      <c r="O82" s="123">
        <v>30454.952162144516</v>
      </c>
      <c r="P82" s="199">
        <v>37391.900645387555</v>
      </c>
      <c r="Q82" s="310">
        <v>19106.704524790468</v>
      </c>
      <c r="R82" s="319">
        <v>49561.656686934984</v>
      </c>
      <c r="S82" s="315">
        <v>56498.605170178023</v>
      </c>
      <c r="U82" s="7" t="s">
        <v>3874</v>
      </c>
    </row>
    <row r="83" spans="1:21" s="74" customFormat="1" ht="16.5" thickBot="1">
      <c r="A83" s="50" t="s">
        <v>35</v>
      </c>
      <c r="B83" s="51">
        <f t="shared" si="3"/>
        <v>200</v>
      </c>
      <c r="C83" s="51" t="s">
        <v>3</v>
      </c>
      <c r="D83" s="51">
        <f t="shared" si="4"/>
        <v>260</v>
      </c>
      <c r="E83" s="51" t="s">
        <v>3</v>
      </c>
      <c r="F83" s="99">
        <f t="shared" si="5"/>
        <v>1750</v>
      </c>
      <c r="G83" s="51" t="s">
        <v>3</v>
      </c>
      <c r="H83" s="48">
        <v>4</v>
      </c>
      <c r="I83" s="49" t="s">
        <v>46</v>
      </c>
      <c r="J83" s="184">
        <v>200</v>
      </c>
      <c r="K83" s="75">
        <v>260</v>
      </c>
      <c r="L83" s="75">
        <v>1750</v>
      </c>
      <c r="M83" s="202">
        <v>22.389444559421577</v>
      </c>
      <c r="N83" s="87">
        <v>1454.6687959701969</v>
      </c>
      <c r="O83" s="123">
        <v>31170.302112318193</v>
      </c>
      <c r="P83" s="199">
        <v>38291.332202436577</v>
      </c>
      <c r="Q83" s="310">
        <v>19768.89691494068</v>
      </c>
      <c r="R83" s="319">
        <v>50939.199027258874</v>
      </c>
      <c r="S83" s="315">
        <v>58060.229117377254</v>
      </c>
      <c r="U83" s="7" t="s">
        <v>3875</v>
      </c>
    </row>
    <row r="84" spans="1:21" s="74" customFormat="1" ht="16.5" thickBot="1">
      <c r="A84" s="50" t="s">
        <v>35</v>
      </c>
      <c r="B84" s="51">
        <f t="shared" si="3"/>
        <v>200</v>
      </c>
      <c r="C84" s="51" t="s">
        <v>3</v>
      </c>
      <c r="D84" s="51">
        <f t="shared" si="4"/>
        <v>260</v>
      </c>
      <c r="E84" s="51" t="s">
        <v>3</v>
      </c>
      <c r="F84" s="99">
        <f t="shared" si="5"/>
        <v>1800</v>
      </c>
      <c r="G84" s="51" t="s">
        <v>3</v>
      </c>
      <c r="H84" s="48">
        <v>4</v>
      </c>
      <c r="I84" s="49" t="s">
        <v>46</v>
      </c>
      <c r="J84" s="184">
        <v>200</v>
      </c>
      <c r="K84" s="75">
        <v>260</v>
      </c>
      <c r="L84" s="75">
        <v>1800</v>
      </c>
      <c r="M84" s="202">
        <v>22.977998629286841</v>
      </c>
      <c r="N84" s="87">
        <v>1506.6212529691325</v>
      </c>
      <c r="O84" s="123">
        <v>31885.651922098503</v>
      </c>
      <c r="P84" s="199">
        <v>39190.763759485744</v>
      </c>
      <c r="Q84" s="310">
        <v>20200.507527307618</v>
      </c>
      <c r="R84" s="319">
        <v>52086.159449406121</v>
      </c>
      <c r="S84" s="315">
        <v>59391.271286793359</v>
      </c>
      <c r="U84" s="7" t="s">
        <v>3876</v>
      </c>
    </row>
    <row r="85" spans="1:21" s="74" customFormat="1" ht="16.5" thickBot="1">
      <c r="A85" s="50" t="s">
        <v>35</v>
      </c>
      <c r="B85" s="51">
        <f t="shared" si="3"/>
        <v>200</v>
      </c>
      <c r="C85" s="51" t="s">
        <v>3</v>
      </c>
      <c r="D85" s="51">
        <f t="shared" si="4"/>
        <v>260</v>
      </c>
      <c r="E85" s="51" t="s">
        <v>3</v>
      </c>
      <c r="F85" s="99">
        <f t="shared" si="5"/>
        <v>1850</v>
      </c>
      <c r="G85" s="51" t="s">
        <v>3</v>
      </c>
      <c r="H85" s="48">
        <v>4</v>
      </c>
      <c r="I85" s="49" t="s">
        <v>46</v>
      </c>
      <c r="J85" s="184">
        <v>200</v>
      </c>
      <c r="K85" s="75">
        <v>260</v>
      </c>
      <c r="L85" s="75">
        <v>1850</v>
      </c>
      <c r="M85" s="202">
        <v>23.583592699152106</v>
      </c>
      <c r="N85" s="87">
        <v>1558.5737099680684</v>
      </c>
      <c r="O85" s="123">
        <v>32601.001872272183</v>
      </c>
      <c r="P85" s="199">
        <v>40090.195316534766</v>
      </c>
      <c r="Q85" s="310">
        <v>20862.69991745783</v>
      </c>
      <c r="R85" s="319">
        <v>53463.70178973001</v>
      </c>
      <c r="S85" s="315">
        <v>60952.895233992596</v>
      </c>
      <c r="U85" s="7" t="s">
        <v>3877</v>
      </c>
    </row>
    <row r="86" spans="1:21" s="74" customFormat="1" ht="16.5" thickBot="1">
      <c r="A86" s="50" t="s">
        <v>35</v>
      </c>
      <c r="B86" s="51">
        <f t="shared" si="3"/>
        <v>200</v>
      </c>
      <c r="C86" s="51" t="s">
        <v>3</v>
      </c>
      <c r="D86" s="51">
        <f t="shared" si="4"/>
        <v>260</v>
      </c>
      <c r="E86" s="51" t="s">
        <v>3</v>
      </c>
      <c r="F86" s="99">
        <f t="shared" si="5"/>
        <v>1900</v>
      </c>
      <c r="G86" s="51" t="s">
        <v>3</v>
      </c>
      <c r="H86" s="48">
        <v>4</v>
      </c>
      <c r="I86" s="49" t="s">
        <v>46</v>
      </c>
      <c r="J86" s="184">
        <v>200</v>
      </c>
      <c r="K86" s="75">
        <v>260</v>
      </c>
      <c r="L86" s="75">
        <v>1900</v>
      </c>
      <c r="M86" s="202">
        <v>24.172146769017367</v>
      </c>
      <c r="N86" s="87">
        <v>1610.526166967004</v>
      </c>
      <c r="O86" s="123">
        <v>33316.351682052496</v>
      </c>
      <c r="P86" s="199">
        <v>40989.626873583788</v>
      </c>
      <c r="Q86" s="310">
        <v>21294.310529824768</v>
      </c>
      <c r="R86" s="319">
        <v>54610.662211877265</v>
      </c>
      <c r="S86" s="315">
        <v>62283.937403408556</v>
      </c>
      <c r="U86" s="7" t="s">
        <v>3878</v>
      </c>
    </row>
    <row r="87" spans="1:21" s="74" customFormat="1" ht="16.5" thickBot="1">
      <c r="A87" s="50" t="s">
        <v>35</v>
      </c>
      <c r="B87" s="51">
        <f t="shared" si="3"/>
        <v>200</v>
      </c>
      <c r="C87" s="51" t="s">
        <v>3</v>
      </c>
      <c r="D87" s="51">
        <f t="shared" si="4"/>
        <v>260</v>
      </c>
      <c r="E87" s="51" t="s">
        <v>3</v>
      </c>
      <c r="F87" s="99">
        <f t="shared" si="5"/>
        <v>1950</v>
      </c>
      <c r="G87" s="51" t="s">
        <v>3</v>
      </c>
      <c r="H87" s="48">
        <v>4</v>
      </c>
      <c r="I87" s="49" t="s">
        <v>46</v>
      </c>
      <c r="J87" s="184">
        <v>200</v>
      </c>
      <c r="K87" s="75">
        <v>260</v>
      </c>
      <c r="L87" s="75">
        <v>1950</v>
      </c>
      <c r="M87" s="202">
        <v>24.839200838882633</v>
      </c>
      <c r="N87" s="87">
        <v>1662.4786239659395</v>
      </c>
      <c r="O87" s="123">
        <v>34108.856068128305</v>
      </c>
      <c r="P87" s="199">
        <v>41966.683848462977</v>
      </c>
      <c r="Q87" s="310">
        <v>21725.921142191706</v>
      </c>
      <c r="R87" s="319">
        <v>55834.777210320011</v>
      </c>
      <c r="S87" s="315">
        <v>63692.604990654683</v>
      </c>
      <c r="U87" s="7" t="s">
        <v>3879</v>
      </c>
    </row>
    <row r="88" spans="1:21" s="74" customFormat="1" ht="16.5" thickBot="1">
      <c r="A88" s="50" t="s">
        <v>35</v>
      </c>
      <c r="B88" s="51">
        <f t="shared" si="3"/>
        <v>200</v>
      </c>
      <c r="C88" s="51" t="s">
        <v>3</v>
      </c>
      <c r="D88" s="51">
        <f t="shared" si="4"/>
        <v>260</v>
      </c>
      <c r="E88" s="51" t="s">
        <v>3</v>
      </c>
      <c r="F88" s="99">
        <f t="shared" si="5"/>
        <v>2000</v>
      </c>
      <c r="G88" s="51" t="s">
        <v>3</v>
      </c>
      <c r="H88" s="48">
        <v>4</v>
      </c>
      <c r="I88" s="49" t="s">
        <v>46</v>
      </c>
      <c r="J88" s="184">
        <v>200</v>
      </c>
      <c r="K88" s="75">
        <v>260</v>
      </c>
      <c r="L88" s="75">
        <v>2000</v>
      </c>
      <c r="M88" s="202">
        <v>25.536357308747895</v>
      </c>
      <c r="N88" s="87">
        <v>1714.4310809648748</v>
      </c>
      <c r="O88" s="123">
        <v>35054.748907123845</v>
      </c>
      <c r="P88" s="199">
        <v>43178.796163398241</v>
      </c>
      <c r="Q88" s="310">
        <v>22388.113532341918</v>
      </c>
      <c r="R88" s="319">
        <v>57442.862439465767</v>
      </c>
      <c r="S88" s="315">
        <v>65566.909695740163</v>
      </c>
      <c r="U88" s="7" t="s">
        <v>3880</v>
      </c>
    </row>
    <row r="89" spans="1:21" s="74" customFormat="1" ht="16.5" thickBot="1">
      <c r="A89" s="50" t="s">
        <v>35</v>
      </c>
      <c r="B89" s="51">
        <f t="shared" si="3"/>
        <v>200</v>
      </c>
      <c r="C89" s="51" t="s">
        <v>3</v>
      </c>
      <c r="D89" s="51">
        <f t="shared" si="4"/>
        <v>260</v>
      </c>
      <c r="E89" s="51" t="s">
        <v>3</v>
      </c>
      <c r="F89" s="99">
        <f t="shared" si="5"/>
        <v>2050</v>
      </c>
      <c r="G89" s="51" t="s">
        <v>3</v>
      </c>
      <c r="H89" s="48">
        <v>4</v>
      </c>
      <c r="I89" s="49" t="s">
        <v>46</v>
      </c>
      <c r="J89" s="184">
        <v>200</v>
      </c>
      <c r="K89" s="75">
        <v>260</v>
      </c>
      <c r="L89" s="75">
        <v>2050</v>
      </c>
      <c r="M89" s="202">
        <v>26.124911378613159</v>
      </c>
      <c r="N89" s="87">
        <v>1766.3835379638106</v>
      </c>
      <c r="O89" s="123">
        <v>35770.098857297518</v>
      </c>
      <c r="P89" s="199">
        <v>44078.227720447263</v>
      </c>
      <c r="Q89" s="310">
        <v>22819.724144708856</v>
      </c>
      <c r="R89" s="319">
        <v>58589.823002006378</v>
      </c>
      <c r="S89" s="315">
        <v>66897.951865156123</v>
      </c>
      <c r="U89" s="7" t="s">
        <v>3881</v>
      </c>
    </row>
    <row r="90" spans="1:21" s="74" customFormat="1" ht="16.5" thickBot="1">
      <c r="A90" s="47" t="s">
        <v>35</v>
      </c>
      <c r="B90" s="48">
        <f t="shared" si="3"/>
        <v>200</v>
      </c>
      <c r="C90" s="48" t="s">
        <v>3</v>
      </c>
      <c r="D90" s="48">
        <f t="shared" si="4"/>
        <v>260</v>
      </c>
      <c r="E90" s="48" t="s">
        <v>3</v>
      </c>
      <c r="F90" s="99">
        <f t="shared" si="5"/>
        <v>2100</v>
      </c>
      <c r="G90" s="48" t="s">
        <v>3</v>
      </c>
      <c r="H90" s="48">
        <v>4</v>
      </c>
      <c r="I90" s="49" t="s">
        <v>46</v>
      </c>
      <c r="J90" s="184">
        <v>200</v>
      </c>
      <c r="K90" s="75">
        <v>260</v>
      </c>
      <c r="L90" s="75">
        <v>2100</v>
      </c>
      <c r="M90" s="202">
        <v>26.730505448478418</v>
      </c>
      <c r="N90" s="87">
        <v>1818.3359949627463</v>
      </c>
      <c r="O90" s="123">
        <v>36485.448667077835</v>
      </c>
      <c r="P90" s="199">
        <v>44977.659277496292</v>
      </c>
      <c r="Q90" s="310">
        <v>23481.916534859069</v>
      </c>
      <c r="R90" s="319">
        <v>59967.365201936904</v>
      </c>
      <c r="S90" s="315">
        <v>68459.575812355353</v>
      </c>
      <c r="U90" s="7" t="s">
        <v>3882</v>
      </c>
    </row>
    <row r="91" spans="1:21" s="74" customFormat="1" ht="16.5" thickBot="1">
      <c r="A91" s="50" t="s">
        <v>35</v>
      </c>
      <c r="B91" s="51">
        <f t="shared" si="3"/>
        <v>200</v>
      </c>
      <c r="C91" s="51" t="s">
        <v>3</v>
      </c>
      <c r="D91" s="51">
        <f t="shared" si="4"/>
        <v>260</v>
      </c>
      <c r="E91" s="51" t="s">
        <v>3</v>
      </c>
      <c r="F91" s="99">
        <f t="shared" si="5"/>
        <v>2150</v>
      </c>
      <c r="G91" s="51" t="s">
        <v>3</v>
      </c>
      <c r="H91" s="48">
        <v>4</v>
      </c>
      <c r="I91" s="49" t="s">
        <v>46</v>
      </c>
      <c r="J91" s="184">
        <v>200</v>
      </c>
      <c r="K91" s="75">
        <v>260</v>
      </c>
      <c r="L91" s="75">
        <v>2150</v>
      </c>
      <c r="M91" s="202">
        <v>27.319059518343686</v>
      </c>
      <c r="N91" s="87">
        <v>1870.2884519616821</v>
      </c>
      <c r="O91" s="123">
        <v>37200.798617251508</v>
      </c>
      <c r="P91" s="199">
        <v>45877.090834545452</v>
      </c>
      <c r="Q91" s="310">
        <v>23913.527147226006</v>
      </c>
      <c r="R91" s="319">
        <v>61114.325764477515</v>
      </c>
      <c r="S91" s="315">
        <v>69790.617981771458</v>
      </c>
      <c r="U91" s="7" t="s">
        <v>3883</v>
      </c>
    </row>
    <row r="92" spans="1:21" s="74" customFormat="1" ht="16.5" thickBot="1">
      <c r="A92" s="50" t="s">
        <v>35</v>
      </c>
      <c r="B92" s="51">
        <f t="shared" si="3"/>
        <v>200</v>
      </c>
      <c r="C92" s="51" t="s">
        <v>3</v>
      </c>
      <c r="D92" s="51">
        <f t="shared" si="4"/>
        <v>260</v>
      </c>
      <c r="E92" s="51" t="s">
        <v>3</v>
      </c>
      <c r="F92" s="99">
        <f t="shared" si="5"/>
        <v>2200</v>
      </c>
      <c r="G92" s="51" t="s">
        <v>3</v>
      </c>
      <c r="H92" s="48">
        <v>4</v>
      </c>
      <c r="I92" s="49" t="s">
        <v>46</v>
      </c>
      <c r="J92" s="184">
        <v>200</v>
      </c>
      <c r="K92" s="75">
        <v>260</v>
      </c>
      <c r="L92" s="75">
        <v>2200</v>
      </c>
      <c r="M92" s="202">
        <v>27.924653588208947</v>
      </c>
      <c r="N92" s="87">
        <v>1922.2409089606176</v>
      </c>
      <c r="O92" s="123">
        <v>37916.148427031818</v>
      </c>
      <c r="P92" s="199">
        <v>46776.522391594473</v>
      </c>
      <c r="Q92" s="310">
        <v>24575.719537376219</v>
      </c>
      <c r="R92" s="319">
        <v>62491.86796440804</v>
      </c>
      <c r="S92" s="315">
        <v>71352.241928970689</v>
      </c>
      <c r="U92" s="7" t="s">
        <v>3884</v>
      </c>
    </row>
    <row r="93" spans="1:21" s="74" customFormat="1" ht="16.5" thickBot="1">
      <c r="A93" s="50" t="s">
        <v>35</v>
      </c>
      <c r="B93" s="51">
        <f t="shared" si="3"/>
        <v>200</v>
      </c>
      <c r="C93" s="51" t="s">
        <v>3</v>
      </c>
      <c r="D93" s="51">
        <f t="shared" si="4"/>
        <v>260</v>
      </c>
      <c r="E93" s="51" t="s">
        <v>3</v>
      </c>
      <c r="F93" s="99">
        <f t="shared" si="5"/>
        <v>2250</v>
      </c>
      <c r="G93" s="51" t="s">
        <v>3</v>
      </c>
      <c r="H93" s="48">
        <v>4</v>
      </c>
      <c r="I93" s="49" t="s">
        <v>46</v>
      </c>
      <c r="J93" s="184">
        <v>200</v>
      </c>
      <c r="K93" s="75">
        <v>260</v>
      </c>
      <c r="L93" s="75">
        <v>2250</v>
      </c>
      <c r="M93" s="202">
        <v>28.513207658074208</v>
      </c>
      <c r="N93" s="87">
        <v>1974.1933659595529</v>
      </c>
      <c r="O93" s="123">
        <v>38631.498377205491</v>
      </c>
      <c r="P93" s="199">
        <v>47675.953948643495</v>
      </c>
      <c r="Q93" s="310">
        <v>25007.330009349789</v>
      </c>
      <c r="R93" s="319">
        <v>63638.82838655528</v>
      </c>
      <c r="S93" s="315">
        <v>72683.283957993292</v>
      </c>
      <c r="U93" s="7" t="s">
        <v>3885</v>
      </c>
    </row>
    <row r="94" spans="1:21" s="74" customFormat="1" ht="16.5" thickBot="1">
      <c r="A94" s="50" t="s">
        <v>35</v>
      </c>
      <c r="B94" s="51">
        <f t="shared" si="3"/>
        <v>200</v>
      </c>
      <c r="C94" s="51" t="s">
        <v>3</v>
      </c>
      <c r="D94" s="51">
        <f t="shared" si="4"/>
        <v>260</v>
      </c>
      <c r="E94" s="51" t="s">
        <v>3</v>
      </c>
      <c r="F94" s="99">
        <f t="shared" si="5"/>
        <v>2300</v>
      </c>
      <c r="G94" s="51" t="s">
        <v>3</v>
      </c>
      <c r="H94" s="48">
        <v>4</v>
      </c>
      <c r="I94" s="49" t="s">
        <v>46</v>
      </c>
      <c r="J94" s="184">
        <v>200</v>
      </c>
      <c r="K94" s="75">
        <v>260</v>
      </c>
      <c r="L94" s="75">
        <v>2300</v>
      </c>
      <c r="M94" s="202">
        <v>29.101761727939476</v>
      </c>
      <c r="N94" s="87">
        <v>2026.1458229584885</v>
      </c>
      <c r="O94" s="123">
        <v>39346.848186985808</v>
      </c>
      <c r="P94" s="199">
        <v>48575.385505692517</v>
      </c>
      <c r="Q94" s="310">
        <v>25438.940621716731</v>
      </c>
      <c r="R94" s="319">
        <v>64785.788808702535</v>
      </c>
      <c r="S94" s="315">
        <v>74014.326127409251</v>
      </c>
      <c r="U94" s="7" t="s">
        <v>3886</v>
      </c>
    </row>
    <row r="95" spans="1:21" s="74" customFormat="1" ht="16.5" thickBot="1">
      <c r="A95" s="50" t="s">
        <v>35</v>
      </c>
      <c r="B95" s="51">
        <f t="shared" si="3"/>
        <v>200</v>
      </c>
      <c r="C95" s="51" t="s">
        <v>3</v>
      </c>
      <c r="D95" s="51">
        <f t="shared" si="4"/>
        <v>260</v>
      </c>
      <c r="E95" s="51" t="s">
        <v>3</v>
      </c>
      <c r="F95" s="99">
        <f t="shared" si="5"/>
        <v>2350</v>
      </c>
      <c r="G95" s="51" t="s">
        <v>3</v>
      </c>
      <c r="H95" s="48">
        <v>4</v>
      </c>
      <c r="I95" s="49" t="s">
        <v>46</v>
      </c>
      <c r="J95" s="184">
        <v>200</v>
      </c>
      <c r="K95" s="75">
        <v>260</v>
      </c>
      <c r="L95" s="75">
        <v>2350</v>
      </c>
      <c r="M95" s="202">
        <v>29.707355797804738</v>
      </c>
      <c r="N95" s="87">
        <v>2078.0982799574244</v>
      </c>
      <c r="O95" s="123">
        <v>40062.198137159481</v>
      </c>
      <c r="P95" s="199">
        <v>49474.817062741684</v>
      </c>
      <c r="Q95" s="310">
        <v>26101.133011866939</v>
      </c>
      <c r="R95" s="319">
        <v>66163.331149026417</v>
      </c>
      <c r="S95" s="315">
        <v>75575.950074608627</v>
      </c>
      <c r="U95" s="7" t="s">
        <v>3887</v>
      </c>
    </row>
    <row r="96" spans="1:21" s="74" customFormat="1" ht="16.5" thickBot="1">
      <c r="A96" s="50" t="s">
        <v>35</v>
      </c>
      <c r="B96" s="51">
        <f t="shared" si="3"/>
        <v>200</v>
      </c>
      <c r="C96" s="51" t="s">
        <v>3</v>
      </c>
      <c r="D96" s="51">
        <f t="shared" si="4"/>
        <v>260</v>
      </c>
      <c r="E96" s="51" t="s">
        <v>3</v>
      </c>
      <c r="F96" s="99">
        <f t="shared" si="5"/>
        <v>2400</v>
      </c>
      <c r="G96" s="51" t="s">
        <v>3</v>
      </c>
      <c r="H96" s="48">
        <v>4</v>
      </c>
      <c r="I96" s="49" t="s">
        <v>46</v>
      </c>
      <c r="J96" s="184">
        <v>200</v>
      </c>
      <c r="K96" s="75">
        <v>260</v>
      </c>
      <c r="L96" s="75">
        <v>2400</v>
      </c>
      <c r="M96" s="202">
        <v>30.295909867669998</v>
      </c>
      <c r="N96" s="87">
        <v>2130.0507369563593</v>
      </c>
      <c r="O96" s="123">
        <v>40777.547946939798</v>
      </c>
      <c r="P96" s="199">
        <v>50374.248619790698</v>
      </c>
      <c r="Q96" s="310">
        <v>26532.743624233881</v>
      </c>
      <c r="R96" s="319">
        <v>67310.291571173671</v>
      </c>
      <c r="S96" s="315">
        <v>76906.992244024586</v>
      </c>
      <c r="U96" s="7" t="s">
        <v>3888</v>
      </c>
    </row>
    <row r="97" spans="1:21" s="74" customFormat="1" ht="16.5" thickBot="1">
      <c r="A97" s="50" t="s">
        <v>35</v>
      </c>
      <c r="B97" s="51">
        <f t="shared" si="3"/>
        <v>200</v>
      </c>
      <c r="C97" s="51" t="s">
        <v>3</v>
      </c>
      <c r="D97" s="51">
        <f t="shared" si="4"/>
        <v>260</v>
      </c>
      <c r="E97" s="51" t="s">
        <v>3</v>
      </c>
      <c r="F97" s="99">
        <f t="shared" si="5"/>
        <v>2450</v>
      </c>
      <c r="G97" s="51" t="s">
        <v>3</v>
      </c>
      <c r="H97" s="48">
        <v>4</v>
      </c>
      <c r="I97" s="49" t="s">
        <v>46</v>
      </c>
      <c r="J97" s="184">
        <v>200</v>
      </c>
      <c r="K97" s="75">
        <v>260</v>
      </c>
      <c r="L97" s="75">
        <v>2450</v>
      </c>
      <c r="M97" s="202">
        <v>31.06741478949526</v>
      </c>
      <c r="N97" s="87">
        <v>2182.003193955296</v>
      </c>
      <c r="O97" s="123">
        <v>42104.235318778585</v>
      </c>
      <c r="P97" s="199">
        <v>51847.97964021904</v>
      </c>
      <c r="Q97" s="310">
        <v>27194.936014384097</v>
      </c>
      <c r="R97" s="319">
        <v>69299.171333162682</v>
      </c>
      <c r="S97" s="315">
        <v>79042.91565460313</v>
      </c>
      <c r="U97" s="7" t="s">
        <v>3889</v>
      </c>
    </row>
    <row r="98" spans="1:21" s="74" customFormat="1" ht="16.5" thickBot="1">
      <c r="A98" s="50" t="s">
        <v>35</v>
      </c>
      <c r="B98" s="51">
        <f t="shared" si="3"/>
        <v>200</v>
      </c>
      <c r="C98" s="51" t="s">
        <v>3</v>
      </c>
      <c r="D98" s="51">
        <f t="shared" si="4"/>
        <v>260</v>
      </c>
      <c r="E98" s="51" t="s">
        <v>3</v>
      </c>
      <c r="F98" s="99">
        <f t="shared" si="5"/>
        <v>2500</v>
      </c>
      <c r="G98" s="51" t="s">
        <v>3</v>
      </c>
      <c r="H98" s="48">
        <v>4</v>
      </c>
      <c r="I98" s="49" t="s">
        <v>46</v>
      </c>
      <c r="J98" s="184">
        <v>200</v>
      </c>
      <c r="K98" s="75">
        <v>260</v>
      </c>
      <c r="L98" s="75">
        <v>2500</v>
      </c>
      <c r="M98" s="202">
        <v>31.655968859360527</v>
      </c>
      <c r="N98" s="87">
        <v>2233.9556509542308</v>
      </c>
      <c r="O98" s="123">
        <v>42819.585268952258</v>
      </c>
      <c r="P98" s="199">
        <v>52747.411197268208</v>
      </c>
      <c r="Q98" s="310">
        <v>27626.546626751031</v>
      </c>
      <c r="R98" s="319">
        <v>70446.131895703293</v>
      </c>
      <c r="S98" s="315">
        <v>80373.957824019235</v>
      </c>
      <c r="U98" s="7" t="s">
        <v>3890</v>
      </c>
    </row>
    <row r="99" spans="1:21" s="74" customFormat="1" ht="16.5" thickBot="1">
      <c r="A99" s="50" t="s">
        <v>35</v>
      </c>
      <c r="B99" s="51">
        <f t="shared" si="3"/>
        <v>200</v>
      </c>
      <c r="C99" s="51" t="s">
        <v>3</v>
      </c>
      <c r="D99" s="51">
        <f t="shared" si="4"/>
        <v>260</v>
      </c>
      <c r="E99" s="51" t="s">
        <v>3</v>
      </c>
      <c r="F99" s="99">
        <f t="shared" si="5"/>
        <v>2550</v>
      </c>
      <c r="G99" s="51" t="s">
        <v>3</v>
      </c>
      <c r="H99" s="48">
        <v>4</v>
      </c>
      <c r="I99" s="49" t="s">
        <v>46</v>
      </c>
      <c r="J99" s="184">
        <v>200</v>
      </c>
      <c r="K99" s="75">
        <v>260</v>
      </c>
      <c r="L99" s="75">
        <v>2550</v>
      </c>
      <c r="M99" s="202">
        <v>32.261562929225789</v>
      </c>
      <c r="N99" s="87">
        <v>2285.908107953167</v>
      </c>
      <c r="O99" s="123">
        <v>43534.935078732567</v>
      </c>
      <c r="P99" s="199">
        <v>53646.842754317229</v>
      </c>
      <c r="Q99" s="310">
        <v>28288.739016901247</v>
      </c>
      <c r="R99" s="319">
        <v>71823.674095633818</v>
      </c>
      <c r="S99" s="315">
        <v>81935.58177121848</v>
      </c>
      <c r="U99" s="7" t="s">
        <v>3891</v>
      </c>
    </row>
    <row r="100" spans="1:21" s="74" customFormat="1" ht="16.5" thickBot="1">
      <c r="A100" s="47" t="s">
        <v>35</v>
      </c>
      <c r="B100" s="48">
        <f t="shared" si="3"/>
        <v>200</v>
      </c>
      <c r="C100" s="48" t="s">
        <v>3</v>
      </c>
      <c r="D100" s="48">
        <f t="shared" si="4"/>
        <v>260</v>
      </c>
      <c r="E100" s="48" t="s">
        <v>3</v>
      </c>
      <c r="F100" s="99">
        <f t="shared" si="5"/>
        <v>2600</v>
      </c>
      <c r="G100" s="48" t="s">
        <v>3</v>
      </c>
      <c r="H100" s="48">
        <v>4</v>
      </c>
      <c r="I100" s="49" t="s">
        <v>46</v>
      </c>
      <c r="J100" s="184">
        <v>200</v>
      </c>
      <c r="K100" s="75">
        <v>260</v>
      </c>
      <c r="L100" s="75">
        <v>2600</v>
      </c>
      <c r="M100" s="202">
        <v>32.850116999091057</v>
      </c>
      <c r="N100" s="87">
        <v>2337.8605649521023</v>
      </c>
      <c r="O100" s="123">
        <v>44250.285028906248</v>
      </c>
      <c r="P100" s="199">
        <v>54546.274311366389</v>
      </c>
      <c r="Q100" s="310">
        <v>28720.349629268181</v>
      </c>
      <c r="R100" s="319">
        <v>72970.634658174429</v>
      </c>
      <c r="S100" s="315">
        <v>83266.62394063457</v>
      </c>
      <c r="U100" s="7" t="s">
        <v>3892</v>
      </c>
    </row>
    <row r="101" spans="1:21" s="74" customFormat="1" ht="16.5" thickBot="1">
      <c r="A101" s="50" t="s">
        <v>35</v>
      </c>
      <c r="B101" s="51">
        <f t="shared" si="3"/>
        <v>200</v>
      </c>
      <c r="C101" s="51" t="s">
        <v>3</v>
      </c>
      <c r="D101" s="51">
        <f t="shared" si="4"/>
        <v>260</v>
      </c>
      <c r="E101" s="51" t="s">
        <v>3</v>
      </c>
      <c r="F101" s="99">
        <f t="shared" si="5"/>
        <v>2650</v>
      </c>
      <c r="G101" s="51" t="s">
        <v>3</v>
      </c>
      <c r="H101" s="48">
        <v>4</v>
      </c>
      <c r="I101" s="49" t="s">
        <v>46</v>
      </c>
      <c r="J101" s="184">
        <v>200</v>
      </c>
      <c r="K101" s="75">
        <v>260</v>
      </c>
      <c r="L101" s="75">
        <v>2650</v>
      </c>
      <c r="M101" s="202">
        <v>33.455711068956319</v>
      </c>
      <c r="N101" s="87">
        <v>2389.8130219510376</v>
      </c>
      <c r="O101" s="123">
        <v>44965.634838686557</v>
      </c>
      <c r="P101" s="199">
        <v>55445.705868415411</v>
      </c>
      <c r="Q101" s="310">
        <v>29382.542019418397</v>
      </c>
      <c r="R101" s="319">
        <v>74348.176858104955</v>
      </c>
      <c r="S101" s="315">
        <v>84828.247887833801</v>
      </c>
      <c r="U101" s="7" t="s">
        <v>3893</v>
      </c>
    </row>
    <row r="102" spans="1:21" s="74" customFormat="1" ht="16.5" thickBot="1">
      <c r="A102" s="50" t="s">
        <v>35</v>
      </c>
      <c r="B102" s="51">
        <f t="shared" si="3"/>
        <v>200</v>
      </c>
      <c r="C102" s="51" t="s">
        <v>3</v>
      </c>
      <c r="D102" s="51">
        <f t="shared" si="4"/>
        <v>260</v>
      </c>
      <c r="E102" s="51" t="s">
        <v>3</v>
      </c>
      <c r="F102" s="99">
        <f t="shared" si="5"/>
        <v>2700</v>
      </c>
      <c r="G102" s="51" t="s">
        <v>3</v>
      </c>
      <c r="H102" s="48">
        <v>4</v>
      </c>
      <c r="I102" s="49" t="s">
        <v>46</v>
      </c>
      <c r="J102" s="184">
        <v>200</v>
      </c>
      <c r="K102" s="75">
        <v>260</v>
      </c>
      <c r="L102" s="75">
        <v>2700</v>
      </c>
      <c r="M102" s="202">
        <v>34.122765138821585</v>
      </c>
      <c r="N102" s="87">
        <v>2441.7654789499738</v>
      </c>
      <c r="O102" s="123">
        <v>45758.13908436901</v>
      </c>
      <c r="P102" s="199">
        <v>56422.762843294462</v>
      </c>
      <c r="Q102" s="310">
        <v>29814.152631785331</v>
      </c>
      <c r="R102" s="319">
        <v>75572.291716154345</v>
      </c>
      <c r="S102" s="315">
        <v>86236.91547507979</v>
      </c>
      <c r="U102" s="7" t="s">
        <v>3894</v>
      </c>
    </row>
    <row r="103" spans="1:21" s="74" customFormat="1" ht="16.5" thickBot="1">
      <c r="A103" s="50" t="s">
        <v>35</v>
      </c>
      <c r="B103" s="51">
        <f t="shared" si="3"/>
        <v>200</v>
      </c>
      <c r="C103" s="51" t="s">
        <v>3</v>
      </c>
      <c r="D103" s="51">
        <f t="shared" si="4"/>
        <v>260</v>
      </c>
      <c r="E103" s="51" t="s">
        <v>3</v>
      </c>
      <c r="F103" s="99">
        <f t="shared" si="5"/>
        <v>2750</v>
      </c>
      <c r="G103" s="51" t="s">
        <v>3</v>
      </c>
      <c r="H103" s="48">
        <v>4</v>
      </c>
      <c r="I103" s="49" t="s">
        <v>46</v>
      </c>
      <c r="J103" s="184">
        <v>200</v>
      </c>
      <c r="K103" s="75">
        <v>260</v>
      </c>
      <c r="L103" s="75">
        <v>2750</v>
      </c>
      <c r="M103" s="202">
        <v>34.711319208686845</v>
      </c>
      <c r="N103" s="87">
        <v>2493.7179359489087</v>
      </c>
      <c r="O103" s="123">
        <v>46473.48903454269</v>
      </c>
      <c r="P103" s="199">
        <v>57322.194400343629</v>
      </c>
      <c r="Q103" s="310">
        <v>30245.763244152273</v>
      </c>
      <c r="R103" s="319">
        <v>76719.25227869497</v>
      </c>
      <c r="S103" s="315">
        <v>87567.957644495909</v>
      </c>
      <c r="U103" s="7" t="s">
        <v>3895</v>
      </c>
    </row>
    <row r="104" spans="1:21" s="74" customFormat="1" ht="16.5" thickBot="1">
      <c r="A104" s="50" t="s">
        <v>35</v>
      </c>
      <c r="B104" s="51">
        <f t="shared" si="3"/>
        <v>200</v>
      </c>
      <c r="C104" s="51" t="s">
        <v>3</v>
      </c>
      <c r="D104" s="51">
        <f t="shared" si="4"/>
        <v>260</v>
      </c>
      <c r="E104" s="51" t="s">
        <v>3</v>
      </c>
      <c r="F104" s="99">
        <f t="shared" si="5"/>
        <v>2800</v>
      </c>
      <c r="G104" s="51" t="s">
        <v>3</v>
      </c>
      <c r="H104" s="48">
        <v>4</v>
      </c>
      <c r="I104" s="49" t="s">
        <v>46</v>
      </c>
      <c r="J104" s="184">
        <v>200</v>
      </c>
      <c r="K104" s="75">
        <v>260</v>
      </c>
      <c r="L104" s="75">
        <v>2800</v>
      </c>
      <c r="M104" s="202">
        <v>35.316913278552107</v>
      </c>
      <c r="N104" s="87">
        <v>2545.6703929478449</v>
      </c>
      <c r="O104" s="123">
        <v>47188.838984716363</v>
      </c>
      <c r="P104" s="199">
        <v>58221.625957392651</v>
      </c>
      <c r="Q104" s="310">
        <v>30907.955493909118</v>
      </c>
      <c r="R104" s="319">
        <v>78096.794478625481</v>
      </c>
      <c r="S104" s="315">
        <v>89129.581451301769</v>
      </c>
      <c r="U104" s="7" t="s">
        <v>3896</v>
      </c>
    </row>
    <row r="105" spans="1:21" s="74" customFormat="1" ht="16.5" thickBot="1">
      <c r="A105" s="50" t="s">
        <v>35</v>
      </c>
      <c r="B105" s="51">
        <f t="shared" si="3"/>
        <v>200</v>
      </c>
      <c r="C105" s="51" t="s">
        <v>3</v>
      </c>
      <c r="D105" s="51">
        <f t="shared" si="4"/>
        <v>260</v>
      </c>
      <c r="E105" s="51" t="s">
        <v>3</v>
      </c>
      <c r="F105" s="99">
        <f t="shared" si="5"/>
        <v>2850</v>
      </c>
      <c r="G105" s="51" t="s">
        <v>3</v>
      </c>
      <c r="H105" s="48">
        <v>4</v>
      </c>
      <c r="I105" s="49" t="s">
        <v>46</v>
      </c>
      <c r="J105" s="184">
        <v>200</v>
      </c>
      <c r="K105" s="75">
        <v>260</v>
      </c>
      <c r="L105" s="75">
        <v>2850</v>
      </c>
      <c r="M105" s="202">
        <v>35.905467348417375</v>
      </c>
      <c r="N105" s="87">
        <v>2597.6228499467802</v>
      </c>
      <c r="O105" s="123">
        <v>47904.18879449668</v>
      </c>
      <c r="P105" s="199">
        <v>59121.05751444168</v>
      </c>
      <c r="Q105" s="310">
        <v>31339.566106276056</v>
      </c>
      <c r="R105" s="319">
        <v>79243.754900772736</v>
      </c>
      <c r="S105" s="315">
        <v>90460.623620717728</v>
      </c>
      <c r="U105" s="7" t="s">
        <v>3897</v>
      </c>
    </row>
    <row r="106" spans="1:21" s="74" customFormat="1" ht="16.5" thickBot="1">
      <c r="A106" s="50" t="s">
        <v>35</v>
      </c>
      <c r="B106" s="51">
        <f t="shared" si="3"/>
        <v>200</v>
      </c>
      <c r="C106" s="51" t="s">
        <v>3</v>
      </c>
      <c r="D106" s="51">
        <f t="shared" si="4"/>
        <v>260</v>
      </c>
      <c r="E106" s="51" t="s">
        <v>3</v>
      </c>
      <c r="F106" s="99">
        <f t="shared" si="5"/>
        <v>2900</v>
      </c>
      <c r="G106" s="51" t="s">
        <v>3</v>
      </c>
      <c r="H106" s="48">
        <v>4</v>
      </c>
      <c r="I106" s="49" t="s">
        <v>46</v>
      </c>
      <c r="J106" s="184">
        <v>200</v>
      </c>
      <c r="K106" s="75">
        <v>260</v>
      </c>
      <c r="L106" s="75">
        <v>2900</v>
      </c>
      <c r="M106" s="202">
        <v>36.511061418282623</v>
      </c>
      <c r="N106" s="87">
        <v>2649.5753069457155</v>
      </c>
      <c r="O106" s="123">
        <v>48619.538744670353</v>
      </c>
      <c r="P106" s="199">
        <v>60020.489071490694</v>
      </c>
      <c r="Q106" s="310">
        <v>32001.758496426271</v>
      </c>
      <c r="R106" s="319">
        <v>80621.297241096618</v>
      </c>
      <c r="S106" s="315">
        <v>92022.247567916958</v>
      </c>
      <c r="U106" s="7" t="s">
        <v>3898</v>
      </c>
    </row>
    <row r="107" spans="1:21" s="74" customFormat="1" ht="16.5" thickBot="1">
      <c r="A107" s="50" t="s">
        <v>35</v>
      </c>
      <c r="B107" s="51">
        <f t="shared" si="3"/>
        <v>200</v>
      </c>
      <c r="C107" s="51" t="s">
        <v>3</v>
      </c>
      <c r="D107" s="51">
        <f t="shared" si="4"/>
        <v>260</v>
      </c>
      <c r="E107" s="51" t="s">
        <v>3</v>
      </c>
      <c r="F107" s="99">
        <f t="shared" si="5"/>
        <v>2950</v>
      </c>
      <c r="G107" s="51" t="s">
        <v>3</v>
      </c>
      <c r="H107" s="48">
        <v>4</v>
      </c>
      <c r="I107" s="49" t="s">
        <v>46</v>
      </c>
      <c r="J107" s="184">
        <v>200</v>
      </c>
      <c r="K107" s="75">
        <v>260</v>
      </c>
      <c r="L107" s="75">
        <v>2950</v>
      </c>
      <c r="M107" s="202">
        <v>37.099615488147897</v>
      </c>
      <c r="N107" s="87">
        <v>2701.5277639446517</v>
      </c>
      <c r="O107" s="123">
        <v>49334.888554450663</v>
      </c>
      <c r="P107" s="199">
        <v>60919.920628539861</v>
      </c>
      <c r="Q107" s="310">
        <v>32433.369108793206</v>
      </c>
      <c r="R107" s="319">
        <v>81768.257663243872</v>
      </c>
      <c r="S107" s="315">
        <v>93353.289737333063</v>
      </c>
      <c r="U107" s="7" t="s">
        <v>3899</v>
      </c>
    </row>
    <row r="108" spans="1:21" s="74" customFormat="1" ht="16.5" thickBot="1">
      <c r="A108" s="52" t="s">
        <v>35</v>
      </c>
      <c r="B108" s="53">
        <f t="shared" si="3"/>
        <v>200</v>
      </c>
      <c r="C108" s="53" t="s">
        <v>3</v>
      </c>
      <c r="D108" s="53">
        <f t="shared" si="4"/>
        <v>260</v>
      </c>
      <c r="E108" s="53" t="s">
        <v>3</v>
      </c>
      <c r="F108" s="100">
        <f t="shared" si="5"/>
        <v>3000</v>
      </c>
      <c r="G108" s="53" t="s">
        <v>3</v>
      </c>
      <c r="H108" s="55">
        <v>4</v>
      </c>
      <c r="I108" s="54" t="s">
        <v>46</v>
      </c>
      <c r="J108" s="321">
        <v>200</v>
      </c>
      <c r="K108" s="322">
        <v>260</v>
      </c>
      <c r="L108" s="322">
        <v>3000</v>
      </c>
      <c r="M108" s="305">
        <v>37.705209558013152</v>
      </c>
      <c r="N108" s="306">
        <v>2753.480220943587</v>
      </c>
      <c r="O108" s="307">
        <v>51225.395810482805</v>
      </c>
      <c r="P108" s="339">
        <v>61819.352185588883</v>
      </c>
      <c r="Q108" s="323">
        <v>33095.561498943418</v>
      </c>
      <c r="R108" s="324">
        <v>84320.957309426216</v>
      </c>
      <c r="S108" s="325">
        <v>94914.913684532308</v>
      </c>
      <c r="U108" s="7" t="s">
        <v>3900</v>
      </c>
    </row>
    <row r="109" spans="1:21" s="74" customFormat="1" ht="22.5" customHeight="1" thickBot="1">
      <c r="A109" s="2580" t="s">
        <v>48</v>
      </c>
      <c r="B109" s="2581"/>
      <c r="C109" s="2581"/>
      <c r="D109" s="2581"/>
      <c r="E109" s="2581"/>
      <c r="F109" s="2581"/>
      <c r="G109" s="2581"/>
      <c r="H109" s="2581"/>
      <c r="I109" s="2581"/>
      <c r="J109" s="2581"/>
      <c r="K109" s="2581"/>
      <c r="L109" s="2581"/>
      <c r="M109" s="2581"/>
      <c r="N109" s="2581"/>
      <c r="O109" s="2581"/>
      <c r="P109" s="2581"/>
      <c r="Q109" s="2581"/>
      <c r="R109" s="2581"/>
      <c r="S109" s="2582"/>
      <c r="U109" s="7"/>
    </row>
    <row r="110" spans="1:21" s="74" customFormat="1" ht="16.5" customHeight="1" thickBot="1">
      <c r="A110" s="2662" t="s">
        <v>139</v>
      </c>
      <c r="B110" s="2663"/>
      <c r="C110" s="2663"/>
      <c r="D110" s="2663"/>
      <c r="E110" s="2663"/>
      <c r="F110" s="2663"/>
      <c r="G110" s="2663"/>
      <c r="H110" s="2663"/>
      <c r="I110" s="2663"/>
      <c r="J110" s="2663"/>
      <c r="K110" s="2663"/>
      <c r="L110" s="2663"/>
      <c r="M110" s="2663"/>
      <c r="N110" s="2663"/>
      <c r="O110" s="2663"/>
      <c r="P110" s="2663"/>
      <c r="Q110" s="2663"/>
      <c r="R110" s="2663"/>
      <c r="S110" s="2664"/>
      <c r="U110" s="7"/>
    </row>
    <row r="111" spans="1:21" s="74" customFormat="1" ht="16.5" thickBot="1">
      <c r="A111" s="47" t="s">
        <v>35</v>
      </c>
      <c r="B111" s="48">
        <f>J111</f>
        <v>200</v>
      </c>
      <c r="C111" s="48" t="s">
        <v>3</v>
      </c>
      <c r="D111" s="48">
        <f>K111</f>
        <v>300</v>
      </c>
      <c r="E111" s="48" t="s">
        <v>3</v>
      </c>
      <c r="F111" s="99">
        <f>L111</f>
        <v>600</v>
      </c>
      <c r="G111" s="48" t="s">
        <v>3</v>
      </c>
      <c r="H111" s="48">
        <v>4</v>
      </c>
      <c r="I111" s="49" t="s">
        <v>46</v>
      </c>
      <c r="J111" s="326">
        <v>200</v>
      </c>
      <c r="K111" s="327">
        <v>300</v>
      </c>
      <c r="L111" s="327">
        <v>600</v>
      </c>
      <c r="M111" s="301">
        <v>8.6488373530745388</v>
      </c>
      <c r="N111" s="302">
        <v>278.18687637933908</v>
      </c>
      <c r="O111" s="303">
        <v>14730.201036180228</v>
      </c>
      <c r="P111" s="208">
        <v>17969.630399644648</v>
      </c>
      <c r="Q111" s="328">
        <v>8203.3683669666007</v>
      </c>
      <c r="R111" s="329">
        <v>22933.56940314683</v>
      </c>
      <c r="S111" s="330">
        <v>26172.99876661125</v>
      </c>
      <c r="U111" s="7" t="s">
        <v>3901</v>
      </c>
    </row>
    <row r="112" spans="1:21" s="74" customFormat="1" ht="16.5" thickBot="1">
      <c r="A112" s="50" t="s">
        <v>35</v>
      </c>
      <c r="B112" s="51">
        <f t="shared" ref="B112:B159" si="6">J112</f>
        <v>200</v>
      </c>
      <c r="C112" s="51" t="s">
        <v>3</v>
      </c>
      <c r="D112" s="51">
        <f t="shared" ref="D112:D159" si="7">K112</f>
        <v>300</v>
      </c>
      <c r="E112" s="51" t="s">
        <v>3</v>
      </c>
      <c r="F112" s="99">
        <f t="shared" ref="F112:F159" si="8">L112</f>
        <v>650</v>
      </c>
      <c r="G112" s="51" t="s">
        <v>3</v>
      </c>
      <c r="H112" s="48">
        <v>4</v>
      </c>
      <c r="I112" s="49" t="s">
        <v>46</v>
      </c>
      <c r="J112" s="184">
        <v>200</v>
      </c>
      <c r="K112" s="75">
        <v>300</v>
      </c>
      <c r="L112" s="75">
        <v>650</v>
      </c>
      <c r="M112" s="202">
        <v>9.2521052746864321</v>
      </c>
      <c r="N112" s="87">
        <v>333.82425165520687</v>
      </c>
      <c r="O112" s="123">
        <v>15481.318441744577</v>
      </c>
      <c r="P112" s="199">
        <v>18923.027850116763</v>
      </c>
      <c r="Q112" s="310">
        <v>8683.7735348305905</v>
      </c>
      <c r="R112" s="319">
        <v>24165.091976575168</v>
      </c>
      <c r="S112" s="315">
        <v>27606.801384947354</v>
      </c>
      <c r="U112" s="7" t="s">
        <v>3902</v>
      </c>
    </row>
    <row r="113" spans="1:21" s="74" customFormat="1" ht="16.5" thickBot="1">
      <c r="A113" s="50" t="s">
        <v>35</v>
      </c>
      <c r="B113" s="51">
        <f t="shared" si="6"/>
        <v>200</v>
      </c>
      <c r="C113" s="51" t="s">
        <v>3</v>
      </c>
      <c r="D113" s="51">
        <f t="shared" si="7"/>
        <v>300</v>
      </c>
      <c r="E113" s="51" t="s">
        <v>3</v>
      </c>
      <c r="F113" s="99">
        <f t="shared" si="8"/>
        <v>700</v>
      </c>
      <c r="G113" s="51" t="s">
        <v>3</v>
      </c>
      <c r="H113" s="48">
        <v>4</v>
      </c>
      <c r="I113" s="49" t="s">
        <v>46</v>
      </c>
      <c r="J113" s="184">
        <v>200</v>
      </c>
      <c r="K113" s="75">
        <v>300</v>
      </c>
      <c r="L113" s="75">
        <v>700</v>
      </c>
      <c r="M113" s="202">
        <v>9.8728391962983277</v>
      </c>
      <c r="N113" s="87">
        <v>389.4616269310747</v>
      </c>
      <c r="O113" s="123">
        <v>16232.435847308929</v>
      </c>
      <c r="P113" s="199">
        <v>19876.42530058874</v>
      </c>
      <c r="Q113" s="310">
        <v>9394.7606208712132</v>
      </c>
      <c r="R113" s="319">
        <v>25627.19646818014</v>
      </c>
      <c r="S113" s="315">
        <v>29271.185921459954</v>
      </c>
      <c r="U113" s="7" t="s">
        <v>3903</v>
      </c>
    </row>
    <row r="114" spans="1:21" s="74" customFormat="1" ht="16.5" thickBot="1">
      <c r="A114" s="50" t="s">
        <v>35</v>
      </c>
      <c r="B114" s="51">
        <f t="shared" si="6"/>
        <v>200</v>
      </c>
      <c r="C114" s="51" t="s">
        <v>3</v>
      </c>
      <c r="D114" s="51">
        <f t="shared" si="7"/>
        <v>300</v>
      </c>
      <c r="E114" s="51" t="s">
        <v>3</v>
      </c>
      <c r="F114" s="99">
        <f t="shared" si="8"/>
        <v>750</v>
      </c>
      <c r="G114" s="51" t="s">
        <v>3</v>
      </c>
      <c r="H114" s="48">
        <v>4</v>
      </c>
      <c r="I114" s="49" t="s">
        <v>46</v>
      </c>
      <c r="J114" s="184">
        <v>200</v>
      </c>
      <c r="K114" s="75">
        <v>300</v>
      </c>
      <c r="L114" s="75">
        <v>750</v>
      </c>
      <c r="M114" s="202">
        <v>10.476107117910223</v>
      </c>
      <c r="N114" s="87">
        <v>445.09900220694254</v>
      </c>
      <c r="O114" s="123">
        <v>16983.553112479916</v>
      </c>
      <c r="P114" s="199">
        <v>20829.822751060714</v>
      </c>
      <c r="Q114" s="310">
        <v>9875.165788735203</v>
      </c>
      <c r="R114" s="319">
        <v>26858.718901215121</v>
      </c>
      <c r="S114" s="315">
        <v>30704.988539795915</v>
      </c>
      <c r="U114" s="7" t="s">
        <v>3904</v>
      </c>
    </row>
    <row r="115" spans="1:21" s="74" customFormat="1" ht="16.5" thickBot="1">
      <c r="A115" s="50" t="s">
        <v>35</v>
      </c>
      <c r="B115" s="51">
        <f t="shared" si="6"/>
        <v>200</v>
      </c>
      <c r="C115" s="51" t="s">
        <v>3</v>
      </c>
      <c r="D115" s="51">
        <f t="shared" si="7"/>
        <v>300</v>
      </c>
      <c r="E115" s="51" t="s">
        <v>3</v>
      </c>
      <c r="F115" s="99">
        <f t="shared" si="8"/>
        <v>800</v>
      </c>
      <c r="G115" s="51" t="s">
        <v>3</v>
      </c>
      <c r="H115" s="48">
        <v>4</v>
      </c>
      <c r="I115" s="49" t="s">
        <v>46</v>
      </c>
      <c r="J115" s="184">
        <v>200</v>
      </c>
      <c r="K115" s="75">
        <v>300</v>
      </c>
      <c r="L115" s="75">
        <v>800</v>
      </c>
      <c r="M115" s="202">
        <v>11.07937503952212</v>
      </c>
      <c r="N115" s="87">
        <v>500.73637748281038</v>
      </c>
      <c r="O115" s="123">
        <v>17734.670518044266</v>
      </c>
      <c r="P115" s="199">
        <v>21783.220201532687</v>
      </c>
      <c r="Q115" s="310">
        <v>10355.570956599189</v>
      </c>
      <c r="R115" s="319">
        <v>28090.241474643455</v>
      </c>
      <c r="S115" s="315">
        <v>32138.791158131877</v>
      </c>
      <c r="U115" s="7" t="s">
        <v>3905</v>
      </c>
    </row>
    <row r="116" spans="1:21" s="74" customFormat="1" ht="16.5" thickBot="1">
      <c r="A116" s="50" t="s">
        <v>35</v>
      </c>
      <c r="B116" s="51">
        <f t="shared" si="6"/>
        <v>200</v>
      </c>
      <c r="C116" s="51" t="s">
        <v>3</v>
      </c>
      <c r="D116" s="51">
        <f t="shared" si="7"/>
        <v>300</v>
      </c>
      <c r="E116" s="51" t="s">
        <v>3</v>
      </c>
      <c r="F116" s="99">
        <f t="shared" si="8"/>
        <v>850</v>
      </c>
      <c r="G116" s="51" t="s">
        <v>3</v>
      </c>
      <c r="H116" s="48">
        <v>4</v>
      </c>
      <c r="I116" s="49" t="s">
        <v>46</v>
      </c>
      <c r="J116" s="184">
        <v>200</v>
      </c>
      <c r="K116" s="75">
        <v>300</v>
      </c>
      <c r="L116" s="75">
        <v>850</v>
      </c>
      <c r="M116" s="202">
        <v>11.700108961134013</v>
      </c>
      <c r="N116" s="87">
        <v>556.37375275867817</v>
      </c>
      <c r="O116" s="123">
        <v>18485.787923608616</v>
      </c>
      <c r="P116" s="199">
        <v>22736.617652004665</v>
      </c>
      <c r="Q116" s="310">
        <v>11066.558042639816</v>
      </c>
      <c r="R116" s="319">
        <v>29552.345966248431</v>
      </c>
      <c r="S116" s="315">
        <v>33803.17569464448</v>
      </c>
      <c r="U116" s="7" t="s">
        <v>3906</v>
      </c>
    </row>
    <row r="117" spans="1:21" s="74" customFormat="1" ht="16.5" thickBot="1">
      <c r="A117" s="50" t="s">
        <v>35</v>
      </c>
      <c r="B117" s="51">
        <f t="shared" si="6"/>
        <v>200</v>
      </c>
      <c r="C117" s="51" t="s">
        <v>3</v>
      </c>
      <c r="D117" s="51">
        <f t="shared" si="7"/>
        <v>300</v>
      </c>
      <c r="E117" s="51" t="s">
        <v>3</v>
      </c>
      <c r="F117" s="99">
        <f t="shared" si="8"/>
        <v>900</v>
      </c>
      <c r="G117" s="51" t="s">
        <v>3</v>
      </c>
      <c r="H117" s="48">
        <v>4</v>
      </c>
      <c r="I117" s="49" t="s">
        <v>46</v>
      </c>
      <c r="J117" s="184">
        <v>200</v>
      </c>
      <c r="K117" s="75">
        <v>300</v>
      </c>
      <c r="L117" s="75">
        <v>900</v>
      </c>
      <c r="M117" s="202">
        <v>12.303376882745908</v>
      </c>
      <c r="N117" s="87">
        <v>612.011128034546</v>
      </c>
      <c r="O117" s="123">
        <v>19236.905329172969</v>
      </c>
      <c r="P117" s="199">
        <v>23690.01510247678</v>
      </c>
      <c r="Q117" s="310">
        <v>11546.963210503804</v>
      </c>
      <c r="R117" s="319">
        <v>30783.868539676772</v>
      </c>
      <c r="S117" s="315">
        <v>35236.978312980587</v>
      </c>
      <c r="U117" s="7" t="s">
        <v>3907</v>
      </c>
    </row>
    <row r="118" spans="1:21" s="74" customFormat="1" ht="16.5" thickBot="1">
      <c r="A118" s="50" t="s">
        <v>35</v>
      </c>
      <c r="B118" s="51">
        <f t="shared" si="6"/>
        <v>200</v>
      </c>
      <c r="C118" s="51" t="s">
        <v>3</v>
      </c>
      <c r="D118" s="51">
        <f t="shared" si="7"/>
        <v>300</v>
      </c>
      <c r="E118" s="51" t="s">
        <v>3</v>
      </c>
      <c r="F118" s="99">
        <f t="shared" si="8"/>
        <v>950</v>
      </c>
      <c r="G118" s="51" t="s">
        <v>3</v>
      </c>
      <c r="H118" s="48">
        <v>4</v>
      </c>
      <c r="I118" s="49" t="s">
        <v>46</v>
      </c>
      <c r="J118" s="184">
        <v>200</v>
      </c>
      <c r="K118" s="75">
        <v>300</v>
      </c>
      <c r="L118" s="75">
        <v>950</v>
      </c>
      <c r="M118" s="202">
        <v>12.924110804357802</v>
      </c>
      <c r="N118" s="87">
        <v>667.64850331041373</v>
      </c>
      <c r="O118" s="123">
        <v>19988.022734737315</v>
      </c>
      <c r="P118" s="199">
        <v>24643.412552948754</v>
      </c>
      <c r="Q118" s="310">
        <v>12257.950156151066</v>
      </c>
      <c r="R118" s="319">
        <v>32245.972890888381</v>
      </c>
      <c r="S118" s="315">
        <v>36901.36270909982</v>
      </c>
      <c r="U118" s="7" t="s">
        <v>3908</v>
      </c>
    </row>
    <row r="119" spans="1:21" s="74" customFormat="1" ht="16.5" thickBot="1">
      <c r="A119" s="50" t="s">
        <v>35</v>
      </c>
      <c r="B119" s="51">
        <f t="shared" si="6"/>
        <v>200</v>
      </c>
      <c r="C119" s="51" t="s">
        <v>3</v>
      </c>
      <c r="D119" s="51">
        <f t="shared" si="7"/>
        <v>300</v>
      </c>
      <c r="E119" s="51" t="s">
        <v>3</v>
      </c>
      <c r="F119" s="99">
        <f t="shared" si="8"/>
        <v>1000</v>
      </c>
      <c r="G119" s="51" t="s">
        <v>3</v>
      </c>
      <c r="H119" s="48">
        <v>4</v>
      </c>
      <c r="I119" s="49" t="s">
        <v>46</v>
      </c>
      <c r="J119" s="184">
        <v>200</v>
      </c>
      <c r="K119" s="75">
        <v>300</v>
      </c>
      <c r="L119" s="75">
        <v>1000</v>
      </c>
      <c r="M119" s="202">
        <v>13.527378725969697</v>
      </c>
      <c r="N119" s="87">
        <v>723.28587858628168</v>
      </c>
      <c r="O119" s="123">
        <v>20739.140140301668</v>
      </c>
      <c r="P119" s="199">
        <v>25596.810003420727</v>
      </c>
      <c r="Q119" s="310">
        <v>12738.355464408416</v>
      </c>
      <c r="R119" s="319">
        <v>33477.495604710086</v>
      </c>
      <c r="S119" s="315">
        <v>38335.165467829145</v>
      </c>
      <c r="U119" s="7" t="s">
        <v>3909</v>
      </c>
    </row>
    <row r="120" spans="1:21" s="74" customFormat="1" ht="16.5" thickBot="1">
      <c r="A120" s="50" t="s">
        <v>35</v>
      </c>
      <c r="B120" s="51">
        <f t="shared" si="6"/>
        <v>200</v>
      </c>
      <c r="C120" s="51" t="s">
        <v>3</v>
      </c>
      <c r="D120" s="51">
        <f t="shared" si="7"/>
        <v>300</v>
      </c>
      <c r="E120" s="51" t="s">
        <v>3</v>
      </c>
      <c r="F120" s="99">
        <f t="shared" si="8"/>
        <v>1050</v>
      </c>
      <c r="G120" s="51" t="s">
        <v>3</v>
      </c>
      <c r="H120" s="48">
        <v>4</v>
      </c>
      <c r="I120" s="49" t="s">
        <v>46</v>
      </c>
      <c r="J120" s="184">
        <v>200</v>
      </c>
      <c r="K120" s="75">
        <v>300</v>
      </c>
      <c r="L120" s="75">
        <v>1050</v>
      </c>
      <c r="M120" s="202">
        <v>14.148112647581589</v>
      </c>
      <c r="N120" s="87">
        <v>778.92325386214941</v>
      </c>
      <c r="O120" s="123">
        <v>21490.257405472654</v>
      </c>
      <c r="P120" s="199">
        <v>26550.207453892705</v>
      </c>
      <c r="Q120" s="310">
        <v>13449.342410055679</v>
      </c>
      <c r="R120" s="319">
        <v>34939.599815528331</v>
      </c>
      <c r="S120" s="315">
        <v>39999.549863948385</v>
      </c>
      <c r="U120" s="7" t="s">
        <v>3910</v>
      </c>
    </row>
    <row r="121" spans="1:21" s="74" customFormat="1" ht="16.5" thickBot="1">
      <c r="A121" s="47" t="s">
        <v>35</v>
      </c>
      <c r="B121" s="48">
        <f t="shared" si="6"/>
        <v>200</v>
      </c>
      <c r="C121" s="48" t="s">
        <v>3</v>
      </c>
      <c r="D121" s="48">
        <f t="shared" si="7"/>
        <v>300</v>
      </c>
      <c r="E121" s="48" t="s">
        <v>3</v>
      </c>
      <c r="F121" s="99">
        <f t="shared" si="8"/>
        <v>1100</v>
      </c>
      <c r="G121" s="48" t="s">
        <v>3</v>
      </c>
      <c r="H121" s="48">
        <v>4</v>
      </c>
      <c r="I121" s="49" t="s">
        <v>46</v>
      </c>
      <c r="J121" s="184">
        <v>200</v>
      </c>
      <c r="K121" s="75">
        <v>300</v>
      </c>
      <c r="L121" s="75">
        <v>1100</v>
      </c>
      <c r="M121" s="202">
        <v>14.751380569193486</v>
      </c>
      <c r="N121" s="87">
        <v>834.56062913801725</v>
      </c>
      <c r="O121" s="123">
        <v>22241.374811037003</v>
      </c>
      <c r="P121" s="199">
        <v>27503.60490436482</v>
      </c>
      <c r="Q121" s="310">
        <v>13929.747718313029</v>
      </c>
      <c r="R121" s="319">
        <v>36171.122529350032</v>
      </c>
      <c r="S121" s="315">
        <v>41433.352622677849</v>
      </c>
      <c r="U121" s="7" t="s">
        <v>3911</v>
      </c>
    </row>
    <row r="122" spans="1:21" s="74" customFormat="1" ht="16.5" thickBot="1">
      <c r="A122" s="50" t="s">
        <v>35</v>
      </c>
      <c r="B122" s="51">
        <f t="shared" si="6"/>
        <v>200</v>
      </c>
      <c r="C122" s="51" t="s">
        <v>3</v>
      </c>
      <c r="D122" s="51">
        <f t="shared" si="7"/>
        <v>300</v>
      </c>
      <c r="E122" s="51" t="s">
        <v>3</v>
      </c>
      <c r="F122" s="99">
        <f t="shared" si="8"/>
        <v>1150</v>
      </c>
      <c r="G122" s="51" t="s">
        <v>3</v>
      </c>
      <c r="H122" s="48">
        <v>4</v>
      </c>
      <c r="I122" s="49" t="s">
        <v>46</v>
      </c>
      <c r="J122" s="184">
        <v>200</v>
      </c>
      <c r="K122" s="75">
        <v>300</v>
      </c>
      <c r="L122" s="75">
        <v>1150</v>
      </c>
      <c r="M122" s="202">
        <v>15.354648490805381</v>
      </c>
      <c r="N122" s="87">
        <v>890.19800441388509</v>
      </c>
      <c r="O122" s="123">
        <v>22992.492216601353</v>
      </c>
      <c r="P122" s="199">
        <v>28457.002354836797</v>
      </c>
      <c r="Q122" s="310">
        <v>14410.152886177015</v>
      </c>
      <c r="R122" s="319">
        <v>37402.64510277837</v>
      </c>
      <c r="S122" s="315">
        <v>42867.15524101381</v>
      </c>
      <c r="U122" s="7" t="s">
        <v>3912</v>
      </c>
    </row>
    <row r="123" spans="1:21" s="74" customFormat="1" ht="16.5" thickBot="1">
      <c r="A123" s="50" t="s">
        <v>35</v>
      </c>
      <c r="B123" s="51">
        <f t="shared" si="6"/>
        <v>200</v>
      </c>
      <c r="C123" s="51" t="s">
        <v>3</v>
      </c>
      <c r="D123" s="51">
        <f t="shared" si="7"/>
        <v>300</v>
      </c>
      <c r="E123" s="51" t="s">
        <v>3</v>
      </c>
      <c r="F123" s="99">
        <f t="shared" si="8"/>
        <v>1200</v>
      </c>
      <c r="G123" s="51" t="s">
        <v>3</v>
      </c>
      <c r="H123" s="48">
        <v>4</v>
      </c>
      <c r="I123" s="49" t="s">
        <v>46</v>
      </c>
      <c r="J123" s="184">
        <v>200</v>
      </c>
      <c r="K123" s="75">
        <v>300</v>
      </c>
      <c r="L123" s="75">
        <v>1200</v>
      </c>
      <c r="M123" s="202">
        <v>16.055844912417275</v>
      </c>
      <c r="N123" s="87">
        <v>945.83537968975281</v>
      </c>
      <c r="O123" s="123">
        <v>23824.621646489253</v>
      </c>
      <c r="P123" s="199">
        <v>29492.682748208601</v>
      </c>
      <c r="Q123" s="310">
        <v>15121.139831824277</v>
      </c>
      <c r="R123" s="319">
        <v>38945.761478313529</v>
      </c>
      <c r="S123" s="315">
        <v>44613.82258003288</v>
      </c>
      <c r="U123" s="7" t="s">
        <v>3913</v>
      </c>
    </row>
    <row r="124" spans="1:21" s="74" customFormat="1" ht="16.5" thickBot="1">
      <c r="A124" s="50" t="s">
        <v>35</v>
      </c>
      <c r="B124" s="51">
        <f t="shared" si="6"/>
        <v>200</v>
      </c>
      <c r="C124" s="51" t="s">
        <v>3</v>
      </c>
      <c r="D124" s="51">
        <f t="shared" si="7"/>
        <v>300</v>
      </c>
      <c r="E124" s="51" t="s">
        <v>3</v>
      </c>
      <c r="F124" s="99">
        <f t="shared" si="8"/>
        <v>1250</v>
      </c>
      <c r="G124" s="51" t="s">
        <v>3</v>
      </c>
      <c r="H124" s="48">
        <v>4</v>
      </c>
      <c r="I124" s="49" t="s">
        <v>46</v>
      </c>
      <c r="J124" s="184">
        <v>200</v>
      </c>
      <c r="K124" s="75">
        <v>300</v>
      </c>
      <c r="L124" s="75">
        <v>1250</v>
      </c>
      <c r="M124" s="202">
        <v>16.65911283402917</v>
      </c>
      <c r="N124" s="87">
        <v>1001.4727549656208</v>
      </c>
      <c r="O124" s="123">
        <v>24575.739052053603</v>
      </c>
      <c r="P124" s="199">
        <v>30446.080198680716</v>
      </c>
      <c r="Q124" s="310">
        <v>15601.545140081627</v>
      </c>
      <c r="R124" s="319">
        <v>40177.28419213523</v>
      </c>
      <c r="S124" s="315">
        <v>46047.625338762344</v>
      </c>
      <c r="U124" s="7" t="s">
        <v>3914</v>
      </c>
    </row>
    <row r="125" spans="1:21" s="74" customFormat="1" ht="16.5" thickBot="1">
      <c r="A125" s="50" t="s">
        <v>35</v>
      </c>
      <c r="B125" s="51">
        <f t="shared" si="6"/>
        <v>200</v>
      </c>
      <c r="C125" s="51" t="s">
        <v>3</v>
      </c>
      <c r="D125" s="51">
        <f t="shared" si="7"/>
        <v>300</v>
      </c>
      <c r="E125" s="51" t="s">
        <v>3</v>
      </c>
      <c r="F125" s="99">
        <f t="shared" si="8"/>
        <v>1300</v>
      </c>
      <c r="G125" s="51" t="s">
        <v>3</v>
      </c>
      <c r="H125" s="48">
        <v>4</v>
      </c>
      <c r="I125" s="49" t="s">
        <v>46</v>
      </c>
      <c r="J125" s="184">
        <v>200</v>
      </c>
      <c r="K125" s="75">
        <v>300</v>
      </c>
      <c r="L125" s="75">
        <v>1300</v>
      </c>
      <c r="M125" s="202">
        <v>17.279846755641067</v>
      </c>
      <c r="N125" s="87">
        <v>1057.1101302414884</v>
      </c>
      <c r="O125" s="123">
        <v>25326.856457617956</v>
      </c>
      <c r="P125" s="199">
        <v>31399.477649152694</v>
      </c>
      <c r="Q125" s="310">
        <v>16312.53208572889</v>
      </c>
      <c r="R125" s="319">
        <v>41639.388543346846</v>
      </c>
      <c r="S125" s="315">
        <v>47712.009734881583</v>
      </c>
      <c r="U125" s="7" t="s">
        <v>3915</v>
      </c>
    </row>
    <row r="126" spans="1:21" s="74" customFormat="1" ht="16.5" thickBot="1">
      <c r="A126" s="50" t="s">
        <v>35</v>
      </c>
      <c r="B126" s="51">
        <f t="shared" si="6"/>
        <v>200</v>
      </c>
      <c r="C126" s="51" t="s">
        <v>3</v>
      </c>
      <c r="D126" s="51">
        <f t="shared" si="7"/>
        <v>300</v>
      </c>
      <c r="E126" s="51" t="s">
        <v>3</v>
      </c>
      <c r="F126" s="99">
        <f t="shared" si="8"/>
        <v>1350</v>
      </c>
      <c r="G126" s="51" t="s">
        <v>3</v>
      </c>
      <c r="H126" s="48">
        <v>4</v>
      </c>
      <c r="I126" s="49" t="s">
        <v>46</v>
      </c>
      <c r="J126" s="184">
        <v>200</v>
      </c>
      <c r="K126" s="75">
        <v>300</v>
      </c>
      <c r="L126" s="75">
        <v>1350</v>
      </c>
      <c r="M126" s="202">
        <v>17.883114677252959</v>
      </c>
      <c r="N126" s="87">
        <v>1112.7475055173563</v>
      </c>
      <c r="O126" s="123">
        <v>26077.973863182306</v>
      </c>
      <c r="P126" s="199">
        <v>32352.875099624667</v>
      </c>
      <c r="Q126" s="310">
        <v>16792.937253592878</v>
      </c>
      <c r="R126" s="319">
        <v>42870.911116775183</v>
      </c>
      <c r="S126" s="315">
        <v>49145.812353217545</v>
      </c>
      <c r="U126" s="7" t="s">
        <v>3916</v>
      </c>
    </row>
    <row r="127" spans="1:21" s="74" customFormat="1" ht="16.5" thickBot="1">
      <c r="A127" s="50" t="s">
        <v>35</v>
      </c>
      <c r="B127" s="51">
        <f t="shared" si="6"/>
        <v>200</v>
      </c>
      <c r="C127" s="51" t="s">
        <v>3</v>
      </c>
      <c r="D127" s="51">
        <f t="shared" si="7"/>
        <v>300</v>
      </c>
      <c r="E127" s="51" t="s">
        <v>3</v>
      </c>
      <c r="F127" s="99">
        <f t="shared" si="8"/>
        <v>1400</v>
      </c>
      <c r="G127" s="51" t="s">
        <v>3</v>
      </c>
      <c r="H127" s="48">
        <v>4</v>
      </c>
      <c r="I127" s="49" t="s">
        <v>46</v>
      </c>
      <c r="J127" s="184">
        <v>200</v>
      </c>
      <c r="K127" s="75">
        <v>300</v>
      </c>
      <c r="L127" s="75">
        <v>1400</v>
      </c>
      <c r="M127" s="202">
        <v>18.503848598864852</v>
      </c>
      <c r="N127" s="87">
        <v>1168.3848807932243</v>
      </c>
      <c r="O127" s="123">
        <v>26829.091268746655</v>
      </c>
      <c r="P127" s="199">
        <v>33306.272550096641</v>
      </c>
      <c r="Q127" s="310">
        <v>17503.924339633504</v>
      </c>
      <c r="R127" s="319">
        <v>44333.015608380156</v>
      </c>
      <c r="S127" s="315">
        <v>50810.196889730141</v>
      </c>
      <c r="U127" s="7" t="s">
        <v>3917</v>
      </c>
    </row>
    <row r="128" spans="1:21" s="74" customFormat="1" ht="16.5" thickBot="1">
      <c r="A128" s="50" t="s">
        <v>35</v>
      </c>
      <c r="B128" s="51">
        <f t="shared" si="6"/>
        <v>200</v>
      </c>
      <c r="C128" s="51" t="s">
        <v>3</v>
      </c>
      <c r="D128" s="51">
        <f t="shared" si="7"/>
        <v>300</v>
      </c>
      <c r="E128" s="51" t="s">
        <v>3</v>
      </c>
      <c r="F128" s="99">
        <f t="shared" si="8"/>
        <v>1450</v>
      </c>
      <c r="G128" s="51" t="s">
        <v>3</v>
      </c>
      <c r="H128" s="48">
        <v>4</v>
      </c>
      <c r="I128" s="49" t="s">
        <v>46</v>
      </c>
      <c r="J128" s="184">
        <v>200</v>
      </c>
      <c r="K128" s="75">
        <v>300</v>
      </c>
      <c r="L128" s="75">
        <v>1450</v>
      </c>
      <c r="M128" s="202">
        <v>19.107116520476751</v>
      </c>
      <c r="N128" s="87">
        <v>1224.022256069092</v>
      </c>
      <c r="O128" s="123">
        <v>27580.208674311009</v>
      </c>
      <c r="P128" s="199">
        <v>34259.670000568614</v>
      </c>
      <c r="Q128" s="310">
        <v>17984.32950749735</v>
      </c>
      <c r="R128" s="319">
        <v>45564.538181808355</v>
      </c>
      <c r="S128" s="315">
        <v>52243.999508065965</v>
      </c>
      <c r="U128" s="7" t="s">
        <v>3918</v>
      </c>
    </row>
    <row r="129" spans="1:21" s="74" customFormat="1" ht="16.5" thickBot="1">
      <c r="A129" s="50" t="s">
        <v>35</v>
      </c>
      <c r="B129" s="51">
        <f t="shared" si="6"/>
        <v>200</v>
      </c>
      <c r="C129" s="51" t="s">
        <v>3</v>
      </c>
      <c r="D129" s="51">
        <f t="shared" si="7"/>
        <v>300</v>
      </c>
      <c r="E129" s="51" t="s">
        <v>3</v>
      </c>
      <c r="F129" s="99">
        <f t="shared" si="8"/>
        <v>1500</v>
      </c>
      <c r="G129" s="51" t="s">
        <v>3</v>
      </c>
      <c r="H129" s="48">
        <v>4</v>
      </c>
      <c r="I129" s="49" t="s">
        <v>46</v>
      </c>
      <c r="J129" s="184">
        <v>200</v>
      </c>
      <c r="K129" s="75">
        <v>300</v>
      </c>
      <c r="L129" s="75">
        <v>1500</v>
      </c>
      <c r="M129" s="202">
        <v>19.897909065347644</v>
      </c>
      <c r="N129" s="87">
        <v>1279.6596313449597</v>
      </c>
      <c r="O129" s="123">
        <v>28973.230225210693</v>
      </c>
      <c r="P129" s="199">
        <v>35821.824882222769</v>
      </c>
      <c r="Q129" s="310">
        <v>18695.316593538118</v>
      </c>
      <c r="R129" s="319">
        <v>47668.546818748815</v>
      </c>
      <c r="S129" s="315">
        <v>54517.141475760887</v>
      </c>
      <c r="U129" s="7" t="s">
        <v>3919</v>
      </c>
    </row>
    <row r="130" spans="1:21" s="74" customFormat="1" ht="16.5" thickBot="1">
      <c r="A130" s="50" t="s">
        <v>35</v>
      </c>
      <c r="B130" s="51">
        <f t="shared" si="6"/>
        <v>200</v>
      </c>
      <c r="C130" s="51" t="s">
        <v>3</v>
      </c>
      <c r="D130" s="51">
        <f t="shared" si="7"/>
        <v>300</v>
      </c>
      <c r="E130" s="51" t="s">
        <v>3</v>
      </c>
      <c r="F130" s="99">
        <f t="shared" si="8"/>
        <v>1550</v>
      </c>
      <c r="G130" s="51" t="s">
        <v>3</v>
      </c>
      <c r="H130" s="48">
        <v>4</v>
      </c>
      <c r="I130" s="49" t="s">
        <v>46</v>
      </c>
      <c r="J130" s="184">
        <v>200</v>
      </c>
      <c r="K130" s="75">
        <v>300</v>
      </c>
      <c r="L130" s="75">
        <v>1550</v>
      </c>
      <c r="M130" s="202">
        <v>20.501176986959535</v>
      </c>
      <c r="N130" s="87">
        <v>1335.2970066208275</v>
      </c>
      <c r="O130" s="123">
        <v>29724.347630775042</v>
      </c>
      <c r="P130" s="199">
        <v>36775.222332694742</v>
      </c>
      <c r="Q130" s="310">
        <v>19175.721761402103</v>
      </c>
      <c r="R130" s="319">
        <v>48900.069392177145</v>
      </c>
      <c r="S130" s="315">
        <v>55950.944094096849</v>
      </c>
      <c r="U130" s="7" t="s">
        <v>3920</v>
      </c>
    </row>
    <row r="131" spans="1:21" s="74" customFormat="1" ht="16.5" thickBot="1">
      <c r="A131" s="47" t="s">
        <v>35</v>
      </c>
      <c r="B131" s="48">
        <f t="shared" si="6"/>
        <v>200</v>
      </c>
      <c r="C131" s="48" t="s">
        <v>3</v>
      </c>
      <c r="D131" s="48">
        <f t="shared" si="7"/>
        <v>300</v>
      </c>
      <c r="E131" s="48" t="s">
        <v>3</v>
      </c>
      <c r="F131" s="99">
        <f t="shared" si="8"/>
        <v>1600</v>
      </c>
      <c r="G131" s="48" t="s">
        <v>3</v>
      </c>
      <c r="H131" s="48">
        <v>4</v>
      </c>
      <c r="I131" s="49" t="s">
        <v>46</v>
      </c>
      <c r="J131" s="184">
        <v>200</v>
      </c>
      <c r="K131" s="75">
        <v>300</v>
      </c>
      <c r="L131" s="75">
        <v>1600</v>
      </c>
      <c r="M131" s="202">
        <v>21.104444908571434</v>
      </c>
      <c r="N131" s="87">
        <v>1390.9343818966954</v>
      </c>
      <c r="O131" s="123">
        <v>30475.465036339392</v>
      </c>
      <c r="P131" s="199">
        <v>37728.619783166861</v>
      </c>
      <c r="Q131" s="310">
        <v>19656.126929266091</v>
      </c>
      <c r="R131" s="319">
        <v>50131.591965605483</v>
      </c>
      <c r="S131" s="315">
        <v>57384.746712432956</v>
      </c>
      <c r="U131" s="7" t="s">
        <v>3921</v>
      </c>
    </row>
    <row r="132" spans="1:21" s="74" customFormat="1" ht="16.5" thickBot="1">
      <c r="A132" s="50" t="s">
        <v>35</v>
      </c>
      <c r="B132" s="51">
        <f t="shared" si="6"/>
        <v>200</v>
      </c>
      <c r="C132" s="51" t="s">
        <v>3</v>
      </c>
      <c r="D132" s="51">
        <f t="shared" si="7"/>
        <v>300</v>
      </c>
      <c r="E132" s="51" t="s">
        <v>3</v>
      </c>
      <c r="F132" s="99">
        <f t="shared" si="8"/>
        <v>1650</v>
      </c>
      <c r="G132" s="51" t="s">
        <v>3</v>
      </c>
      <c r="H132" s="48">
        <v>4</v>
      </c>
      <c r="I132" s="49" t="s">
        <v>46</v>
      </c>
      <c r="J132" s="184">
        <v>200</v>
      </c>
      <c r="K132" s="75">
        <v>300</v>
      </c>
      <c r="L132" s="75">
        <v>1650</v>
      </c>
      <c r="M132" s="202">
        <v>21.725178830183328</v>
      </c>
      <c r="N132" s="87">
        <v>1446.5717571725634</v>
      </c>
      <c r="O132" s="123">
        <v>31226.582441903607</v>
      </c>
      <c r="P132" s="199">
        <v>38682.017233638835</v>
      </c>
      <c r="Q132" s="310">
        <v>20367.114015306717</v>
      </c>
      <c r="R132" s="319">
        <v>51593.696457210324</v>
      </c>
      <c r="S132" s="315">
        <v>59049.131248945552</v>
      </c>
      <c r="U132" s="7" t="s">
        <v>3922</v>
      </c>
    </row>
    <row r="133" spans="1:21" s="74" customFormat="1" ht="16.5" thickBot="1">
      <c r="A133" s="50" t="s">
        <v>35</v>
      </c>
      <c r="B133" s="51">
        <f t="shared" si="6"/>
        <v>200</v>
      </c>
      <c r="C133" s="51" t="s">
        <v>3</v>
      </c>
      <c r="D133" s="51">
        <f t="shared" si="7"/>
        <v>300</v>
      </c>
      <c r="E133" s="51" t="s">
        <v>3</v>
      </c>
      <c r="F133" s="99">
        <f t="shared" si="8"/>
        <v>1700</v>
      </c>
      <c r="G133" s="51" t="s">
        <v>3</v>
      </c>
      <c r="H133" s="48">
        <v>4</v>
      </c>
      <c r="I133" s="49" t="s">
        <v>46</v>
      </c>
      <c r="J133" s="184">
        <v>200</v>
      </c>
      <c r="K133" s="75">
        <v>300</v>
      </c>
      <c r="L133" s="75">
        <v>1700</v>
      </c>
      <c r="M133" s="202">
        <v>22.328446751795219</v>
      </c>
      <c r="N133" s="87">
        <v>1502.2091324484311</v>
      </c>
      <c r="O133" s="123">
        <v>31977.699847468095</v>
      </c>
      <c r="P133" s="199">
        <v>39635.414684110809</v>
      </c>
      <c r="Q133" s="310">
        <v>20847.519183170705</v>
      </c>
      <c r="R133" s="319">
        <v>52825.2190306388</v>
      </c>
      <c r="S133" s="315">
        <v>60482.933867281514</v>
      </c>
      <c r="U133" s="7" t="s">
        <v>3923</v>
      </c>
    </row>
    <row r="134" spans="1:21" s="74" customFormat="1" ht="16.5" thickBot="1">
      <c r="A134" s="50" t="s">
        <v>35</v>
      </c>
      <c r="B134" s="51">
        <f t="shared" si="6"/>
        <v>200</v>
      </c>
      <c r="C134" s="51" t="s">
        <v>3</v>
      </c>
      <c r="D134" s="51">
        <f t="shared" si="7"/>
        <v>300</v>
      </c>
      <c r="E134" s="51" t="s">
        <v>3</v>
      </c>
      <c r="F134" s="99">
        <f t="shared" si="8"/>
        <v>1750</v>
      </c>
      <c r="G134" s="51" t="s">
        <v>3</v>
      </c>
      <c r="H134" s="48">
        <v>4</v>
      </c>
      <c r="I134" s="49" t="s">
        <v>46</v>
      </c>
      <c r="J134" s="184">
        <v>200</v>
      </c>
      <c r="K134" s="75">
        <v>300</v>
      </c>
      <c r="L134" s="75">
        <v>1750</v>
      </c>
      <c r="M134" s="202">
        <v>22.949180673407113</v>
      </c>
      <c r="N134" s="87">
        <v>1557.8465077242988</v>
      </c>
      <c r="O134" s="123">
        <v>32728.817253032445</v>
      </c>
      <c r="P134" s="199">
        <v>40588.812134582782</v>
      </c>
      <c r="Q134" s="310">
        <v>21558.506269211328</v>
      </c>
      <c r="R134" s="319">
        <v>54287.323522243772</v>
      </c>
      <c r="S134" s="315">
        <v>62147.31840379411</v>
      </c>
      <c r="U134" s="7" t="s">
        <v>3924</v>
      </c>
    </row>
    <row r="135" spans="1:21" s="74" customFormat="1" ht="16.5" thickBot="1">
      <c r="A135" s="50" t="s">
        <v>35</v>
      </c>
      <c r="B135" s="51">
        <f t="shared" si="6"/>
        <v>200</v>
      </c>
      <c r="C135" s="51" t="s">
        <v>3</v>
      </c>
      <c r="D135" s="51">
        <f t="shared" si="7"/>
        <v>300</v>
      </c>
      <c r="E135" s="51" t="s">
        <v>3</v>
      </c>
      <c r="F135" s="99">
        <f t="shared" si="8"/>
        <v>1800</v>
      </c>
      <c r="G135" s="51" t="s">
        <v>3</v>
      </c>
      <c r="H135" s="48">
        <v>4</v>
      </c>
      <c r="I135" s="49" t="s">
        <v>46</v>
      </c>
      <c r="J135" s="184">
        <v>200</v>
      </c>
      <c r="K135" s="75">
        <v>300</v>
      </c>
      <c r="L135" s="75">
        <v>1800</v>
      </c>
      <c r="M135" s="202">
        <v>23.552448595019008</v>
      </c>
      <c r="N135" s="87">
        <v>1613.4838830001665</v>
      </c>
      <c r="O135" s="123">
        <v>33479.93451820343</v>
      </c>
      <c r="P135" s="199">
        <v>41542.209585054763</v>
      </c>
      <c r="Q135" s="310">
        <v>22038.911437075316</v>
      </c>
      <c r="R135" s="319">
        <v>55518.845955278746</v>
      </c>
      <c r="S135" s="315">
        <v>63581.121022130079</v>
      </c>
      <c r="U135" s="7" t="s">
        <v>3925</v>
      </c>
    </row>
    <row r="136" spans="1:21" s="74" customFormat="1" ht="16.5" thickBot="1">
      <c r="A136" s="50" t="s">
        <v>35</v>
      </c>
      <c r="B136" s="51">
        <f t="shared" si="6"/>
        <v>200</v>
      </c>
      <c r="C136" s="51" t="s">
        <v>3</v>
      </c>
      <c r="D136" s="51">
        <f t="shared" si="7"/>
        <v>300</v>
      </c>
      <c r="E136" s="51" t="s">
        <v>3</v>
      </c>
      <c r="F136" s="99">
        <f t="shared" si="8"/>
        <v>1850</v>
      </c>
      <c r="G136" s="51" t="s">
        <v>3</v>
      </c>
      <c r="H136" s="48">
        <v>4</v>
      </c>
      <c r="I136" s="49" t="s">
        <v>46</v>
      </c>
      <c r="J136" s="184">
        <v>200</v>
      </c>
      <c r="K136" s="75">
        <v>300</v>
      </c>
      <c r="L136" s="75">
        <v>1850</v>
      </c>
      <c r="M136" s="202">
        <v>24.173182516630906</v>
      </c>
      <c r="N136" s="87">
        <v>1669.1212582760345</v>
      </c>
      <c r="O136" s="123">
        <v>34231.05192376778</v>
      </c>
      <c r="P136" s="199">
        <v>42495.607035526875</v>
      </c>
      <c r="Q136" s="310">
        <v>22749.898382722578</v>
      </c>
      <c r="R136" s="319">
        <v>56980.950306490355</v>
      </c>
      <c r="S136" s="315">
        <v>65245.50541824945</v>
      </c>
      <c r="U136" s="7" t="s">
        <v>3926</v>
      </c>
    </row>
    <row r="137" spans="1:21" s="74" customFormat="1" ht="16.5" thickBot="1">
      <c r="A137" s="50" t="s">
        <v>35</v>
      </c>
      <c r="B137" s="51">
        <f t="shared" si="6"/>
        <v>200</v>
      </c>
      <c r="C137" s="51" t="s">
        <v>3</v>
      </c>
      <c r="D137" s="51">
        <f t="shared" si="7"/>
        <v>300</v>
      </c>
      <c r="E137" s="51" t="s">
        <v>3</v>
      </c>
      <c r="F137" s="99">
        <f t="shared" si="8"/>
        <v>1900</v>
      </c>
      <c r="G137" s="51" t="s">
        <v>3</v>
      </c>
      <c r="H137" s="48">
        <v>4</v>
      </c>
      <c r="I137" s="49" t="s">
        <v>46</v>
      </c>
      <c r="J137" s="184">
        <v>200</v>
      </c>
      <c r="K137" s="75">
        <v>300</v>
      </c>
      <c r="L137" s="75">
        <v>1900</v>
      </c>
      <c r="M137" s="202">
        <v>24.776450438242797</v>
      </c>
      <c r="N137" s="87">
        <v>1724.7586335519024</v>
      </c>
      <c r="O137" s="123">
        <v>34982.169329332137</v>
      </c>
      <c r="P137" s="199">
        <v>43449.004485998848</v>
      </c>
      <c r="Q137" s="310">
        <v>23230.30369097993</v>
      </c>
      <c r="R137" s="319">
        <v>58212.473020312071</v>
      </c>
      <c r="S137" s="315">
        <v>66679.308176978782</v>
      </c>
      <c r="U137" s="7" t="s">
        <v>3927</v>
      </c>
    </row>
    <row r="138" spans="1:21" s="74" customFormat="1" ht="16.5" thickBot="1">
      <c r="A138" s="50" t="s">
        <v>35</v>
      </c>
      <c r="B138" s="51">
        <f t="shared" si="6"/>
        <v>200</v>
      </c>
      <c r="C138" s="51" t="s">
        <v>3</v>
      </c>
      <c r="D138" s="51">
        <f t="shared" si="7"/>
        <v>300</v>
      </c>
      <c r="E138" s="51" t="s">
        <v>3</v>
      </c>
      <c r="F138" s="99">
        <f t="shared" si="8"/>
        <v>1950</v>
      </c>
      <c r="G138" s="51" t="s">
        <v>3</v>
      </c>
      <c r="H138" s="48">
        <v>4</v>
      </c>
      <c r="I138" s="49" t="s">
        <v>46</v>
      </c>
      <c r="J138" s="184">
        <v>200</v>
      </c>
      <c r="K138" s="75">
        <v>300</v>
      </c>
      <c r="L138" s="75">
        <v>1950</v>
      </c>
      <c r="M138" s="202">
        <v>25.460180859854695</v>
      </c>
      <c r="N138" s="87">
        <v>1780.3960088277702</v>
      </c>
      <c r="O138" s="123">
        <v>35814.298759220037</v>
      </c>
      <c r="P138" s="199">
        <v>44484.684879370798</v>
      </c>
      <c r="Q138" s="310">
        <v>23710.708858843918</v>
      </c>
      <c r="R138" s="319">
        <v>59525.007618063959</v>
      </c>
      <c r="S138" s="315">
        <v>68195.393738214712</v>
      </c>
      <c r="U138" s="7" t="s">
        <v>3928</v>
      </c>
    </row>
    <row r="139" spans="1:21" s="74" customFormat="1" ht="16.5" thickBot="1">
      <c r="A139" s="50" t="s">
        <v>35</v>
      </c>
      <c r="B139" s="51">
        <f t="shared" si="6"/>
        <v>200</v>
      </c>
      <c r="C139" s="51" t="s">
        <v>3</v>
      </c>
      <c r="D139" s="51">
        <f t="shared" si="7"/>
        <v>300</v>
      </c>
      <c r="E139" s="51" t="s">
        <v>3</v>
      </c>
      <c r="F139" s="99">
        <f t="shared" si="8"/>
        <v>2000</v>
      </c>
      <c r="G139" s="51" t="s">
        <v>3</v>
      </c>
      <c r="H139" s="48">
        <v>4</v>
      </c>
      <c r="I139" s="49" t="s">
        <v>46</v>
      </c>
      <c r="J139" s="184">
        <v>200</v>
      </c>
      <c r="K139" s="75">
        <v>300</v>
      </c>
      <c r="L139" s="75">
        <v>2000</v>
      </c>
      <c r="M139" s="202">
        <v>26.174766241466589</v>
      </c>
      <c r="N139" s="87">
        <v>1836.0333841036379</v>
      </c>
      <c r="O139" s="123">
        <v>36807.486331421031</v>
      </c>
      <c r="P139" s="199">
        <v>45769.523933202057</v>
      </c>
      <c r="Q139" s="310">
        <v>24421.695804491177</v>
      </c>
      <c r="R139" s="319">
        <v>61229.182135912211</v>
      </c>
      <c r="S139" s="315">
        <v>70191.219737693231</v>
      </c>
      <c r="U139" s="7" t="s">
        <v>3929</v>
      </c>
    </row>
    <row r="140" spans="1:21" s="74" customFormat="1" ht="16.5" thickBot="1">
      <c r="A140" s="50" t="s">
        <v>35</v>
      </c>
      <c r="B140" s="51">
        <f t="shared" si="6"/>
        <v>200</v>
      </c>
      <c r="C140" s="51" t="s">
        <v>3</v>
      </c>
      <c r="D140" s="51">
        <f t="shared" si="7"/>
        <v>300</v>
      </c>
      <c r="E140" s="51" t="s">
        <v>3</v>
      </c>
      <c r="F140" s="99">
        <f t="shared" si="8"/>
        <v>2050</v>
      </c>
      <c r="G140" s="51" t="s">
        <v>3</v>
      </c>
      <c r="H140" s="48">
        <v>4</v>
      </c>
      <c r="I140" s="49" t="s">
        <v>46</v>
      </c>
      <c r="J140" s="184">
        <v>200</v>
      </c>
      <c r="K140" s="75">
        <v>300</v>
      </c>
      <c r="L140" s="75">
        <v>2050</v>
      </c>
      <c r="M140" s="202">
        <v>26.778034163078487</v>
      </c>
      <c r="N140" s="87">
        <v>1891.6707593795056</v>
      </c>
      <c r="O140" s="123">
        <v>37558.60373698538</v>
      </c>
      <c r="P140" s="199">
        <v>46722.921383674169</v>
      </c>
      <c r="Q140" s="310">
        <v>24902.101112748529</v>
      </c>
      <c r="R140" s="319">
        <v>62460.704849733913</v>
      </c>
      <c r="S140" s="315">
        <v>71625.022496422695</v>
      </c>
      <c r="U140" s="7" t="s">
        <v>3930</v>
      </c>
    </row>
    <row r="141" spans="1:21" s="74" customFormat="1" ht="16.5" thickBot="1">
      <c r="A141" s="47" t="s">
        <v>35</v>
      </c>
      <c r="B141" s="48">
        <f t="shared" si="6"/>
        <v>200</v>
      </c>
      <c r="C141" s="48" t="s">
        <v>3</v>
      </c>
      <c r="D141" s="48">
        <f t="shared" si="7"/>
        <v>300</v>
      </c>
      <c r="E141" s="48" t="s">
        <v>3</v>
      </c>
      <c r="F141" s="99">
        <f t="shared" si="8"/>
        <v>2100</v>
      </c>
      <c r="G141" s="48" t="s">
        <v>3</v>
      </c>
      <c r="H141" s="48">
        <v>4</v>
      </c>
      <c r="I141" s="49" t="s">
        <v>46</v>
      </c>
      <c r="J141" s="184">
        <v>200</v>
      </c>
      <c r="K141" s="75">
        <v>300</v>
      </c>
      <c r="L141" s="75">
        <v>2100</v>
      </c>
      <c r="M141" s="202">
        <v>27.398768084690374</v>
      </c>
      <c r="N141" s="87">
        <v>1947.3081346553736</v>
      </c>
      <c r="O141" s="123">
        <v>38309.72114254973</v>
      </c>
      <c r="P141" s="199">
        <v>47676.31883414615</v>
      </c>
      <c r="Q141" s="310">
        <v>25613.088058395791</v>
      </c>
      <c r="R141" s="319">
        <v>63922.809200945521</v>
      </c>
      <c r="S141" s="315">
        <v>73289.406892541941</v>
      </c>
      <c r="U141" s="7" t="s">
        <v>3931</v>
      </c>
    </row>
    <row r="142" spans="1:21" s="74" customFormat="1" ht="16.5" thickBot="1">
      <c r="A142" s="50" t="s">
        <v>35</v>
      </c>
      <c r="B142" s="51">
        <f t="shared" si="6"/>
        <v>200</v>
      </c>
      <c r="C142" s="51" t="s">
        <v>3</v>
      </c>
      <c r="D142" s="51">
        <f t="shared" si="7"/>
        <v>300</v>
      </c>
      <c r="E142" s="51" t="s">
        <v>3</v>
      </c>
      <c r="F142" s="99">
        <f t="shared" si="8"/>
        <v>2150</v>
      </c>
      <c r="G142" s="51" t="s">
        <v>3</v>
      </c>
      <c r="H142" s="48">
        <v>4</v>
      </c>
      <c r="I142" s="49" t="s">
        <v>46</v>
      </c>
      <c r="J142" s="184">
        <v>200</v>
      </c>
      <c r="K142" s="75">
        <v>300</v>
      </c>
      <c r="L142" s="75">
        <v>2150</v>
      </c>
      <c r="M142" s="202">
        <v>28.002036006302276</v>
      </c>
      <c r="N142" s="87">
        <v>2002.9455099312415</v>
      </c>
      <c r="O142" s="123">
        <v>39060.838548114087</v>
      </c>
      <c r="P142" s="199">
        <v>48629.716284618116</v>
      </c>
      <c r="Q142" s="310">
        <v>26093.493366653143</v>
      </c>
      <c r="R142" s="319">
        <v>65154.33191476723</v>
      </c>
      <c r="S142" s="315">
        <v>74723.20965127126</v>
      </c>
      <c r="U142" s="7" t="s">
        <v>3932</v>
      </c>
    </row>
    <row r="143" spans="1:21" s="74" customFormat="1" ht="16.5" thickBot="1">
      <c r="A143" s="50" t="s">
        <v>35</v>
      </c>
      <c r="B143" s="51">
        <f t="shared" si="6"/>
        <v>200</v>
      </c>
      <c r="C143" s="51" t="s">
        <v>3</v>
      </c>
      <c r="D143" s="51">
        <f t="shared" si="7"/>
        <v>300</v>
      </c>
      <c r="E143" s="51" t="s">
        <v>3</v>
      </c>
      <c r="F143" s="99">
        <f t="shared" si="8"/>
        <v>2200</v>
      </c>
      <c r="G143" s="51" t="s">
        <v>3</v>
      </c>
      <c r="H143" s="48">
        <v>4</v>
      </c>
      <c r="I143" s="49" t="s">
        <v>46</v>
      </c>
      <c r="J143" s="184">
        <v>200</v>
      </c>
      <c r="K143" s="75">
        <v>300</v>
      </c>
      <c r="L143" s="75">
        <v>2200</v>
      </c>
      <c r="M143" s="202">
        <v>28.62276992791417</v>
      </c>
      <c r="N143" s="87">
        <v>2058.5828852071095</v>
      </c>
      <c r="O143" s="123">
        <v>39811.955953678436</v>
      </c>
      <c r="P143" s="199">
        <v>49583.113735090097</v>
      </c>
      <c r="Q143" s="310">
        <v>26804.480312300402</v>
      </c>
      <c r="R143" s="319">
        <v>66616.436265978846</v>
      </c>
      <c r="S143" s="315">
        <v>76387.594047390507</v>
      </c>
      <c r="U143" s="7" t="s">
        <v>3933</v>
      </c>
    </row>
    <row r="144" spans="1:21" s="74" customFormat="1" ht="16.5" thickBot="1">
      <c r="A144" s="50" t="s">
        <v>35</v>
      </c>
      <c r="B144" s="51">
        <f t="shared" si="6"/>
        <v>200</v>
      </c>
      <c r="C144" s="51" t="s">
        <v>3</v>
      </c>
      <c r="D144" s="51">
        <f t="shared" si="7"/>
        <v>300</v>
      </c>
      <c r="E144" s="51" t="s">
        <v>3</v>
      </c>
      <c r="F144" s="99">
        <f t="shared" si="8"/>
        <v>2250</v>
      </c>
      <c r="G144" s="51" t="s">
        <v>3</v>
      </c>
      <c r="H144" s="48">
        <v>4</v>
      </c>
      <c r="I144" s="49" t="s">
        <v>46</v>
      </c>
      <c r="J144" s="184">
        <v>200</v>
      </c>
      <c r="K144" s="75">
        <v>300</v>
      </c>
      <c r="L144" s="75">
        <v>2250</v>
      </c>
      <c r="M144" s="202">
        <v>29.226037849526062</v>
      </c>
      <c r="N144" s="87">
        <v>2114.2202604829768</v>
      </c>
      <c r="O144" s="123">
        <v>40563.073218849422</v>
      </c>
      <c r="P144" s="199">
        <v>50536.511185562071</v>
      </c>
      <c r="Q144" s="310">
        <v>27284.885480164394</v>
      </c>
      <c r="R144" s="319">
        <v>67847.95869901382</v>
      </c>
      <c r="S144" s="315">
        <v>77821.396665726468</v>
      </c>
      <c r="U144" s="7" t="s">
        <v>3934</v>
      </c>
    </row>
    <row r="145" spans="1:21" s="74" customFormat="1" ht="16.5" thickBot="1">
      <c r="A145" s="50" t="s">
        <v>35</v>
      </c>
      <c r="B145" s="51">
        <f t="shared" si="6"/>
        <v>200</v>
      </c>
      <c r="C145" s="51" t="s">
        <v>3</v>
      </c>
      <c r="D145" s="51">
        <f t="shared" si="7"/>
        <v>300</v>
      </c>
      <c r="E145" s="51" t="s">
        <v>3</v>
      </c>
      <c r="F145" s="99">
        <f t="shared" si="8"/>
        <v>2300</v>
      </c>
      <c r="G145" s="51" t="s">
        <v>3</v>
      </c>
      <c r="H145" s="48">
        <v>4</v>
      </c>
      <c r="I145" s="49" t="s">
        <v>46</v>
      </c>
      <c r="J145" s="184">
        <v>200</v>
      </c>
      <c r="K145" s="75">
        <v>300</v>
      </c>
      <c r="L145" s="75">
        <v>2300</v>
      </c>
      <c r="M145" s="202">
        <v>29.82930577113796</v>
      </c>
      <c r="N145" s="87">
        <v>2169.8576357588449</v>
      </c>
      <c r="O145" s="123">
        <v>41314.190624413772</v>
      </c>
      <c r="P145" s="199">
        <v>51489.90863603419</v>
      </c>
      <c r="Q145" s="310">
        <v>27765.290788421746</v>
      </c>
      <c r="R145" s="319">
        <v>69079.481412835521</v>
      </c>
      <c r="S145" s="315">
        <v>79255.199424455932</v>
      </c>
      <c r="U145" s="7" t="s">
        <v>3935</v>
      </c>
    </row>
    <row r="146" spans="1:21" s="74" customFormat="1" ht="16.5" thickBot="1">
      <c r="A146" s="50" t="s">
        <v>35</v>
      </c>
      <c r="B146" s="51">
        <f t="shared" si="6"/>
        <v>200</v>
      </c>
      <c r="C146" s="51" t="s">
        <v>3</v>
      </c>
      <c r="D146" s="51">
        <f t="shared" si="7"/>
        <v>300</v>
      </c>
      <c r="E146" s="51" t="s">
        <v>3</v>
      </c>
      <c r="F146" s="99">
        <f t="shared" si="8"/>
        <v>2350</v>
      </c>
      <c r="G146" s="51" t="s">
        <v>3</v>
      </c>
      <c r="H146" s="48">
        <v>4</v>
      </c>
      <c r="I146" s="49" t="s">
        <v>46</v>
      </c>
      <c r="J146" s="184">
        <v>200</v>
      </c>
      <c r="K146" s="75">
        <v>300</v>
      </c>
      <c r="L146" s="75">
        <v>2350</v>
      </c>
      <c r="M146" s="202">
        <v>30.450039692749854</v>
      </c>
      <c r="N146" s="87">
        <v>2225.4950110347127</v>
      </c>
      <c r="O146" s="123">
        <v>42065.308029978121</v>
      </c>
      <c r="P146" s="199">
        <v>52443.306086506163</v>
      </c>
      <c r="Q146" s="310">
        <v>28476.277734069005</v>
      </c>
      <c r="R146" s="319">
        <v>70541.585764047122</v>
      </c>
      <c r="S146" s="315">
        <v>80919.583820575164</v>
      </c>
      <c r="U146" s="7" t="s">
        <v>3936</v>
      </c>
    </row>
    <row r="147" spans="1:21" s="74" customFormat="1" ht="16.5" thickBot="1">
      <c r="A147" s="50" t="s">
        <v>35</v>
      </c>
      <c r="B147" s="51">
        <f t="shared" si="6"/>
        <v>200</v>
      </c>
      <c r="C147" s="51" t="s">
        <v>3</v>
      </c>
      <c r="D147" s="51">
        <f t="shared" si="7"/>
        <v>300</v>
      </c>
      <c r="E147" s="51" t="s">
        <v>3</v>
      </c>
      <c r="F147" s="99">
        <f t="shared" si="8"/>
        <v>2400</v>
      </c>
      <c r="G147" s="51" t="s">
        <v>3</v>
      </c>
      <c r="H147" s="48">
        <v>4</v>
      </c>
      <c r="I147" s="49" t="s">
        <v>46</v>
      </c>
      <c r="J147" s="184">
        <v>200</v>
      </c>
      <c r="K147" s="75">
        <v>300</v>
      </c>
      <c r="L147" s="75">
        <v>2400</v>
      </c>
      <c r="M147" s="202">
        <v>31.053307614361746</v>
      </c>
      <c r="N147" s="87">
        <v>2281.1323863105804</v>
      </c>
      <c r="O147" s="123">
        <v>42816.425435542471</v>
      </c>
      <c r="P147" s="199">
        <v>53396.703536978144</v>
      </c>
      <c r="Q147" s="310">
        <v>28956.682901932996</v>
      </c>
      <c r="R147" s="319">
        <v>71773.108337475467</v>
      </c>
      <c r="S147" s="315">
        <v>82353.38643891114</v>
      </c>
      <c r="U147" s="7" t="s">
        <v>3937</v>
      </c>
    </row>
    <row r="148" spans="1:21" s="74" customFormat="1" ht="16.5" thickBot="1">
      <c r="A148" s="50" t="s">
        <v>35</v>
      </c>
      <c r="B148" s="51">
        <f t="shared" si="6"/>
        <v>200</v>
      </c>
      <c r="C148" s="51" t="s">
        <v>3</v>
      </c>
      <c r="D148" s="51">
        <f t="shared" si="7"/>
        <v>300</v>
      </c>
      <c r="E148" s="51" t="s">
        <v>3</v>
      </c>
      <c r="F148" s="99">
        <f t="shared" si="8"/>
        <v>2450</v>
      </c>
      <c r="G148" s="51" t="s">
        <v>3</v>
      </c>
      <c r="H148" s="48">
        <v>4</v>
      </c>
      <c r="I148" s="49" t="s">
        <v>46</v>
      </c>
      <c r="J148" s="184">
        <v>200</v>
      </c>
      <c r="K148" s="75">
        <v>300</v>
      </c>
      <c r="L148" s="75">
        <v>2450</v>
      </c>
      <c r="M148" s="202">
        <v>31.844100159232639</v>
      </c>
      <c r="N148" s="87">
        <v>2336.7697615864486</v>
      </c>
      <c r="O148" s="123">
        <v>44209.447126835519</v>
      </c>
      <c r="P148" s="199">
        <v>54958.858418632299</v>
      </c>
      <c r="Q148" s="310">
        <v>29667.669987973619</v>
      </c>
      <c r="R148" s="319">
        <v>73877.117114809138</v>
      </c>
      <c r="S148" s="315">
        <v>84626.52840660591</v>
      </c>
      <c r="U148" s="7" t="s">
        <v>3938</v>
      </c>
    </row>
    <row r="149" spans="1:21" s="74" customFormat="1" ht="16.5" thickBot="1">
      <c r="A149" s="50" t="s">
        <v>35</v>
      </c>
      <c r="B149" s="51">
        <f t="shared" si="6"/>
        <v>200</v>
      </c>
      <c r="C149" s="51" t="s">
        <v>3</v>
      </c>
      <c r="D149" s="51">
        <f t="shared" si="7"/>
        <v>300</v>
      </c>
      <c r="E149" s="51" t="s">
        <v>3</v>
      </c>
      <c r="F149" s="99">
        <f t="shared" si="8"/>
        <v>2500</v>
      </c>
      <c r="G149" s="51" t="s">
        <v>3</v>
      </c>
      <c r="H149" s="48">
        <v>4</v>
      </c>
      <c r="I149" s="49" t="s">
        <v>46</v>
      </c>
      <c r="J149" s="184">
        <v>200</v>
      </c>
      <c r="K149" s="75">
        <v>300</v>
      </c>
      <c r="L149" s="75">
        <v>2500</v>
      </c>
      <c r="M149" s="202">
        <v>32.447368080844541</v>
      </c>
      <c r="N149" s="87">
        <v>2392.4071368623158</v>
      </c>
      <c r="O149" s="123">
        <v>44960.564532399869</v>
      </c>
      <c r="P149" s="199">
        <v>55912.255869104265</v>
      </c>
      <c r="Q149" s="310">
        <v>30148.075155837607</v>
      </c>
      <c r="R149" s="319">
        <v>75108.639688237483</v>
      </c>
      <c r="S149" s="315">
        <v>86060.331024941872</v>
      </c>
      <c r="U149" s="7" t="s">
        <v>3939</v>
      </c>
    </row>
    <row r="150" spans="1:21" s="74" customFormat="1" ht="16.5" thickBot="1">
      <c r="A150" s="50" t="s">
        <v>35</v>
      </c>
      <c r="B150" s="51">
        <f t="shared" si="6"/>
        <v>200</v>
      </c>
      <c r="C150" s="51" t="s">
        <v>3</v>
      </c>
      <c r="D150" s="51">
        <f t="shared" si="7"/>
        <v>300</v>
      </c>
      <c r="E150" s="51" t="s">
        <v>3</v>
      </c>
      <c r="F150" s="99">
        <f t="shared" si="8"/>
        <v>2550</v>
      </c>
      <c r="G150" s="51" t="s">
        <v>3</v>
      </c>
      <c r="H150" s="48">
        <v>4</v>
      </c>
      <c r="I150" s="49" t="s">
        <v>46</v>
      </c>
      <c r="J150" s="184">
        <v>200</v>
      </c>
      <c r="K150" s="75">
        <v>300</v>
      </c>
      <c r="L150" s="75">
        <v>2550</v>
      </c>
      <c r="M150" s="202">
        <v>33.068102002456428</v>
      </c>
      <c r="N150" s="87">
        <v>2448.044512138184</v>
      </c>
      <c r="O150" s="123">
        <v>45711.681797570862</v>
      </c>
      <c r="P150" s="199">
        <v>56865.653319576246</v>
      </c>
      <c r="Q150" s="310">
        <v>30859.06224187823</v>
      </c>
      <c r="R150" s="319">
        <v>76570.744039449084</v>
      </c>
      <c r="S150" s="315">
        <v>87724.715561454475</v>
      </c>
      <c r="U150" s="7" t="s">
        <v>3940</v>
      </c>
    </row>
    <row r="151" spans="1:21" s="74" customFormat="1" ht="16.5" thickBot="1">
      <c r="A151" s="47" t="s">
        <v>35</v>
      </c>
      <c r="B151" s="48">
        <f t="shared" si="6"/>
        <v>200</v>
      </c>
      <c r="C151" s="48" t="s">
        <v>3</v>
      </c>
      <c r="D151" s="48">
        <f t="shared" si="7"/>
        <v>300</v>
      </c>
      <c r="E151" s="48" t="s">
        <v>3</v>
      </c>
      <c r="F151" s="99">
        <f t="shared" si="8"/>
        <v>2600</v>
      </c>
      <c r="G151" s="48" t="s">
        <v>3</v>
      </c>
      <c r="H151" s="48">
        <v>4</v>
      </c>
      <c r="I151" s="49" t="s">
        <v>46</v>
      </c>
      <c r="J151" s="184">
        <v>200</v>
      </c>
      <c r="K151" s="75">
        <v>300</v>
      </c>
      <c r="L151" s="75">
        <v>2600</v>
      </c>
      <c r="M151" s="202">
        <v>33.67136992406833</v>
      </c>
      <c r="N151" s="87">
        <v>2503.6818874140517</v>
      </c>
      <c r="O151" s="123">
        <v>46462.799203135211</v>
      </c>
      <c r="P151" s="199">
        <v>57819.050770048358</v>
      </c>
      <c r="Q151" s="310">
        <v>31339.467409742221</v>
      </c>
      <c r="R151" s="319">
        <v>77802.266612877429</v>
      </c>
      <c r="S151" s="315">
        <v>89158.518179790583</v>
      </c>
      <c r="U151" s="7" t="s">
        <v>3941</v>
      </c>
    </row>
    <row r="152" spans="1:21" s="74" customFormat="1" ht="16.5" thickBot="1">
      <c r="A152" s="50" t="s">
        <v>35</v>
      </c>
      <c r="B152" s="51">
        <f t="shared" si="6"/>
        <v>200</v>
      </c>
      <c r="C152" s="51" t="s">
        <v>3</v>
      </c>
      <c r="D152" s="51">
        <f t="shared" si="7"/>
        <v>300</v>
      </c>
      <c r="E152" s="51" t="s">
        <v>3</v>
      </c>
      <c r="F152" s="99">
        <f t="shared" si="8"/>
        <v>2650</v>
      </c>
      <c r="G152" s="51" t="s">
        <v>3</v>
      </c>
      <c r="H152" s="48">
        <v>4</v>
      </c>
      <c r="I152" s="49" t="s">
        <v>46</v>
      </c>
      <c r="J152" s="184">
        <v>200</v>
      </c>
      <c r="K152" s="75">
        <v>300</v>
      </c>
      <c r="L152" s="75">
        <v>2650</v>
      </c>
      <c r="M152" s="202">
        <v>34.292103845680224</v>
      </c>
      <c r="N152" s="87">
        <v>2559.3192626899195</v>
      </c>
      <c r="O152" s="123">
        <v>47213.916608699561</v>
      </c>
      <c r="P152" s="199">
        <v>58772.448220520324</v>
      </c>
      <c r="Q152" s="310">
        <v>32050.45435538948</v>
      </c>
      <c r="R152" s="319">
        <v>79264.370964089045</v>
      </c>
      <c r="S152" s="315">
        <v>90822.9025759098</v>
      </c>
      <c r="U152" s="7" t="s">
        <v>3942</v>
      </c>
    </row>
    <row r="153" spans="1:21" s="74" customFormat="1" ht="16.5" thickBot="1">
      <c r="A153" s="50" t="s">
        <v>35</v>
      </c>
      <c r="B153" s="51">
        <f t="shared" si="6"/>
        <v>200</v>
      </c>
      <c r="C153" s="51" t="s">
        <v>3</v>
      </c>
      <c r="D153" s="51">
        <f t="shared" si="7"/>
        <v>300</v>
      </c>
      <c r="E153" s="51" t="s">
        <v>3</v>
      </c>
      <c r="F153" s="99">
        <f t="shared" si="8"/>
        <v>2700</v>
      </c>
      <c r="G153" s="51" t="s">
        <v>3</v>
      </c>
      <c r="H153" s="48">
        <v>4</v>
      </c>
      <c r="I153" s="49" t="s">
        <v>46</v>
      </c>
      <c r="J153" s="184">
        <v>200</v>
      </c>
      <c r="K153" s="75">
        <v>300</v>
      </c>
      <c r="L153" s="75">
        <v>2700</v>
      </c>
      <c r="M153" s="202">
        <v>34.975834267292122</v>
      </c>
      <c r="N153" s="87">
        <v>2614.9566379657876</v>
      </c>
      <c r="O153" s="123">
        <v>48046.046038587461</v>
      </c>
      <c r="P153" s="199">
        <v>59808.128613892135</v>
      </c>
      <c r="Q153" s="310">
        <v>32530.859663646832</v>
      </c>
      <c r="R153" s="319">
        <v>80576.905702234289</v>
      </c>
      <c r="S153" s="315">
        <v>92338.988277538971</v>
      </c>
      <c r="U153" s="7" t="s">
        <v>3943</v>
      </c>
    </row>
    <row r="154" spans="1:21" s="74" customFormat="1" ht="16.5" thickBot="1">
      <c r="A154" s="50" t="s">
        <v>35</v>
      </c>
      <c r="B154" s="51">
        <f t="shared" si="6"/>
        <v>200</v>
      </c>
      <c r="C154" s="51" t="s">
        <v>3</v>
      </c>
      <c r="D154" s="51">
        <f t="shared" si="7"/>
        <v>300</v>
      </c>
      <c r="E154" s="51" t="s">
        <v>3</v>
      </c>
      <c r="F154" s="99">
        <f t="shared" si="8"/>
        <v>2750</v>
      </c>
      <c r="G154" s="51" t="s">
        <v>3</v>
      </c>
      <c r="H154" s="48">
        <v>4</v>
      </c>
      <c r="I154" s="49" t="s">
        <v>46</v>
      </c>
      <c r="J154" s="184">
        <v>200</v>
      </c>
      <c r="K154" s="75">
        <v>300</v>
      </c>
      <c r="L154" s="75">
        <v>2750</v>
      </c>
      <c r="M154" s="202">
        <v>35.579102188904017</v>
      </c>
      <c r="N154" s="87">
        <v>2670.5940132416549</v>
      </c>
      <c r="O154" s="123">
        <v>48797.163444151811</v>
      </c>
      <c r="P154" s="199">
        <v>60761.526064364247</v>
      </c>
      <c r="Q154" s="310">
        <v>33011.264831510824</v>
      </c>
      <c r="R154" s="319">
        <v>81808.428275662634</v>
      </c>
      <c r="S154" s="315">
        <v>93772.790895875078</v>
      </c>
      <c r="U154" s="7" t="s">
        <v>3944</v>
      </c>
    </row>
    <row r="155" spans="1:21" s="74" customFormat="1" ht="16.5" thickBot="1">
      <c r="A155" s="50" t="s">
        <v>35</v>
      </c>
      <c r="B155" s="51">
        <f t="shared" si="6"/>
        <v>200</v>
      </c>
      <c r="C155" s="51" t="s">
        <v>3</v>
      </c>
      <c r="D155" s="51">
        <f t="shared" si="7"/>
        <v>300</v>
      </c>
      <c r="E155" s="51" t="s">
        <v>3</v>
      </c>
      <c r="F155" s="99">
        <f t="shared" si="8"/>
        <v>2800</v>
      </c>
      <c r="G155" s="51" t="s">
        <v>3</v>
      </c>
      <c r="H155" s="48">
        <v>4</v>
      </c>
      <c r="I155" s="49" t="s">
        <v>46</v>
      </c>
      <c r="J155" s="184">
        <v>200</v>
      </c>
      <c r="K155" s="75">
        <v>300</v>
      </c>
      <c r="L155" s="75">
        <v>2800</v>
      </c>
      <c r="M155" s="202">
        <v>36.199836110515903</v>
      </c>
      <c r="N155" s="87">
        <v>2726.2313885175231</v>
      </c>
      <c r="O155" s="123">
        <v>49548.28084971616</v>
      </c>
      <c r="P155" s="199">
        <v>61714.923514836228</v>
      </c>
      <c r="Q155" s="310">
        <v>33722.251777158082</v>
      </c>
      <c r="R155" s="319">
        <v>83270.53262687425</v>
      </c>
      <c r="S155" s="315">
        <v>95437.17529199431</v>
      </c>
      <c r="U155" s="7" t="s">
        <v>3945</v>
      </c>
    </row>
    <row r="156" spans="1:21" s="74" customFormat="1" ht="16.5" thickBot="1">
      <c r="A156" s="50" t="s">
        <v>35</v>
      </c>
      <c r="B156" s="51">
        <f t="shared" si="6"/>
        <v>200</v>
      </c>
      <c r="C156" s="51" t="s">
        <v>3</v>
      </c>
      <c r="D156" s="51">
        <f t="shared" si="7"/>
        <v>300</v>
      </c>
      <c r="E156" s="51" t="s">
        <v>3</v>
      </c>
      <c r="F156" s="99">
        <f t="shared" si="8"/>
        <v>2850</v>
      </c>
      <c r="G156" s="51" t="s">
        <v>3</v>
      </c>
      <c r="H156" s="48">
        <v>4</v>
      </c>
      <c r="I156" s="49" t="s">
        <v>46</v>
      </c>
      <c r="J156" s="184">
        <v>200</v>
      </c>
      <c r="K156" s="75">
        <v>300</v>
      </c>
      <c r="L156" s="75">
        <v>2850</v>
      </c>
      <c r="M156" s="202">
        <v>36.803104032127806</v>
      </c>
      <c r="N156" s="87">
        <v>2781.8687637933908</v>
      </c>
      <c r="O156" s="123">
        <v>50299.398255280517</v>
      </c>
      <c r="P156" s="199">
        <v>62668.320965308201</v>
      </c>
      <c r="Q156" s="310">
        <v>34202.657085415434</v>
      </c>
      <c r="R156" s="319">
        <v>84502.055340695952</v>
      </c>
      <c r="S156" s="315">
        <v>96870.978050723643</v>
      </c>
      <c r="U156" s="7" t="s">
        <v>3946</v>
      </c>
    </row>
    <row r="157" spans="1:21" s="74" customFormat="1" ht="16.5" thickBot="1">
      <c r="A157" s="50" t="s">
        <v>35</v>
      </c>
      <c r="B157" s="51">
        <f t="shared" si="6"/>
        <v>200</v>
      </c>
      <c r="C157" s="51" t="s">
        <v>3</v>
      </c>
      <c r="D157" s="51">
        <f t="shared" si="7"/>
        <v>300</v>
      </c>
      <c r="E157" s="51" t="s">
        <v>3</v>
      </c>
      <c r="F157" s="99">
        <f t="shared" si="8"/>
        <v>2900</v>
      </c>
      <c r="G157" s="51" t="s">
        <v>3</v>
      </c>
      <c r="H157" s="48">
        <v>4</v>
      </c>
      <c r="I157" s="49" t="s">
        <v>46</v>
      </c>
      <c r="J157" s="184">
        <v>200</v>
      </c>
      <c r="K157" s="75">
        <v>300</v>
      </c>
      <c r="L157" s="75">
        <v>2900</v>
      </c>
      <c r="M157" s="202">
        <v>37.423837953739685</v>
      </c>
      <c r="N157" s="87">
        <v>2837.5061390692586</v>
      </c>
      <c r="O157" s="123">
        <v>51050.515660844867</v>
      </c>
      <c r="P157" s="199">
        <v>63621.718415780182</v>
      </c>
      <c r="Q157" s="310">
        <v>34913.644031062693</v>
      </c>
      <c r="R157" s="319">
        <v>85964.159691907553</v>
      </c>
      <c r="S157" s="315">
        <v>98535.362446842875</v>
      </c>
      <c r="U157" s="7" t="s">
        <v>3947</v>
      </c>
    </row>
    <row r="158" spans="1:21" s="74" customFormat="1" ht="16.5" thickBot="1">
      <c r="A158" s="50" t="s">
        <v>35</v>
      </c>
      <c r="B158" s="51">
        <f t="shared" si="6"/>
        <v>200</v>
      </c>
      <c r="C158" s="51" t="s">
        <v>3</v>
      </c>
      <c r="D158" s="51">
        <f t="shared" si="7"/>
        <v>300</v>
      </c>
      <c r="E158" s="51" t="s">
        <v>3</v>
      </c>
      <c r="F158" s="99">
        <f t="shared" si="8"/>
        <v>2950</v>
      </c>
      <c r="G158" s="51" t="s">
        <v>3</v>
      </c>
      <c r="H158" s="48">
        <v>4</v>
      </c>
      <c r="I158" s="49" t="s">
        <v>46</v>
      </c>
      <c r="J158" s="184">
        <v>200</v>
      </c>
      <c r="K158" s="75">
        <v>300</v>
      </c>
      <c r="L158" s="75">
        <v>2950</v>
      </c>
      <c r="M158" s="202">
        <v>38.027105875351594</v>
      </c>
      <c r="N158" s="87">
        <v>2893.1435143451267</v>
      </c>
      <c r="O158" s="123">
        <v>51801.633066409217</v>
      </c>
      <c r="P158" s="199">
        <v>64575.115866252294</v>
      </c>
      <c r="Q158" s="310">
        <v>35394.049339320045</v>
      </c>
      <c r="R158" s="319">
        <v>87195.682405729254</v>
      </c>
      <c r="S158" s="315">
        <v>99969.165205572339</v>
      </c>
      <c r="U158" s="7" t="s">
        <v>3948</v>
      </c>
    </row>
    <row r="159" spans="1:21" s="74" customFormat="1" ht="16.5" thickBot="1">
      <c r="A159" s="52" t="s">
        <v>35</v>
      </c>
      <c r="B159" s="53">
        <f t="shared" si="6"/>
        <v>200</v>
      </c>
      <c r="C159" s="53" t="s">
        <v>3</v>
      </c>
      <c r="D159" s="53">
        <f t="shared" si="7"/>
        <v>300</v>
      </c>
      <c r="E159" s="53" t="s">
        <v>3</v>
      </c>
      <c r="F159" s="100">
        <f t="shared" si="8"/>
        <v>3000</v>
      </c>
      <c r="G159" s="53" t="s">
        <v>3</v>
      </c>
      <c r="H159" s="55">
        <v>4</v>
      </c>
      <c r="I159" s="54" t="s">
        <v>46</v>
      </c>
      <c r="J159" s="321">
        <v>200</v>
      </c>
      <c r="K159" s="322">
        <v>300</v>
      </c>
      <c r="L159" s="322">
        <v>3000</v>
      </c>
      <c r="M159" s="305">
        <v>37.705209558013152</v>
      </c>
      <c r="N159" s="306">
        <v>2948.780889620994</v>
      </c>
      <c r="O159" s="307">
        <v>53786.665629085626</v>
      </c>
      <c r="P159" s="339">
        <v>65528.513316724275</v>
      </c>
      <c r="Q159" s="323">
        <v>36105.036284967304</v>
      </c>
      <c r="R159" s="324">
        <v>89891.70191405293</v>
      </c>
      <c r="S159" s="325">
        <v>101633.54960169157</v>
      </c>
      <c r="U159" s="7" t="s">
        <v>3949</v>
      </c>
    </row>
    <row r="160" spans="1:21" ht="22.5" customHeight="1" thickBot="1">
      <c r="A160" s="2580" t="s">
        <v>49</v>
      </c>
      <c r="B160" s="2581"/>
      <c r="C160" s="2581"/>
      <c r="D160" s="2581"/>
      <c r="E160" s="2581"/>
      <c r="F160" s="2581"/>
      <c r="G160" s="2581"/>
      <c r="H160" s="2581"/>
      <c r="I160" s="2581"/>
      <c r="J160" s="2581"/>
      <c r="K160" s="2581"/>
      <c r="L160" s="2581"/>
      <c r="M160" s="2581"/>
      <c r="N160" s="2581"/>
      <c r="O160" s="2581"/>
      <c r="P160" s="2581"/>
      <c r="Q160" s="2581"/>
      <c r="R160" s="2581"/>
      <c r="S160" s="2582"/>
      <c r="U160" s="7"/>
    </row>
    <row r="161" spans="1:21" ht="16.5" thickBot="1">
      <c r="A161" s="2583" t="s">
        <v>140</v>
      </c>
      <c r="B161" s="2584"/>
      <c r="C161" s="2584"/>
      <c r="D161" s="2584"/>
      <c r="E161" s="2584"/>
      <c r="F161" s="2584"/>
      <c r="G161" s="2584"/>
      <c r="H161" s="2584"/>
      <c r="I161" s="2584"/>
      <c r="J161" s="2584"/>
      <c r="K161" s="2584"/>
      <c r="L161" s="2584"/>
      <c r="M161" s="2584"/>
      <c r="N161" s="2584"/>
      <c r="O161" s="2584"/>
      <c r="P161" s="2584"/>
      <c r="Q161" s="2584"/>
      <c r="R161" s="2584"/>
      <c r="S161" s="2585"/>
      <c r="U161" s="7"/>
    </row>
    <row r="162" spans="1:21" ht="16.5" thickBot="1">
      <c r="A162" s="47" t="s">
        <v>35</v>
      </c>
      <c r="B162" s="48">
        <f>J162</f>
        <v>200</v>
      </c>
      <c r="C162" s="48" t="s">
        <v>3</v>
      </c>
      <c r="D162" s="48">
        <f>K162</f>
        <v>360</v>
      </c>
      <c r="E162" s="48" t="s">
        <v>3</v>
      </c>
      <c r="F162" s="99">
        <f>L162</f>
        <v>600</v>
      </c>
      <c r="G162" s="48" t="s">
        <v>3</v>
      </c>
      <c r="H162" s="48">
        <v>8</v>
      </c>
      <c r="I162" s="49" t="s">
        <v>47</v>
      </c>
      <c r="J162" s="326">
        <v>200</v>
      </c>
      <c r="K162" s="327">
        <v>360</v>
      </c>
      <c r="L162" s="327">
        <v>600</v>
      </c>
      <c r="M162" s="340">
        <v>11.124164973344211</v>
      </c>
      <c r="N162" s="302">
        <v>468.45599222102618</v>
      </c>
      <c r="O162" s="303">
        <v>19815.077767208066</v>
      </c>
      <c r="P162" s="331">
        <v>23495.174020473303</v>
      </c>
      <c r="Q162" s="328">
        <v>9204.3678470371888</v>
      </c>
      <c r="R162" s="329">
        <v>29019.445614245255</v>
      </c>
      <c r="S162" s="330">
        <v>32699.541867510492</v>
      </c>
      <c r="U162" s="7" t="s">
        <v>3950</v>
      </c>
    </row>
    <row r="163" spans="1:21" ht="16.5" thickBot="1">
      <c r="A163" s="50" t="s">
        <v>35</v>
      </c>
      <c r="B163" s="51">
        <f t="shared" ref="B163:B210" si="9">J163</f>
        <v>200</v>
      </c>
      <c r="C163" s="51" t="s">
        <v>3</v>
      </c>
      <c r="D163" s="51">
        <f t="shared" ref="D163:D210" si="10">K163</f>
        <v>360</v>
      </c>
      <c r="E163" s="51" t="s">
        <v>3</v>
      </c>
      <c r="F163" s="99">
        <f t="shared" ref="F163:F210" si="11">L163</f>
        <v>650</v>
      </c>
      <c r="G163" s="51" t="s">
        <v>3</v>
      </c>
      <c r="H163" s="48">
        <v>8</v>
      </c>
      <c r="I163" s="49" t="s">
        <v>47</v>
      </c>
      <c r="J163" s="184">
        <v>200</v>
      </c>
      <c r="K163" s="75">
        <v>360</v>
      </c>
      <c r="L163" s="75">
        <v>650</v>
      </c>
      <c r="M163" s="193">
        <v>11.932073367706312</v>
      </c>
      <c r="N163" s="87">
        <v>562.14719066523139</v>
      </c>
      <c r="O163" s="123">
        <v>20993.071720955857</v>
      </c>
      <c r="P163" s="121">
        <v>24898.810853904979</v>
      </c>
      <c r="Q163" s="310">
        <v>9757.9649885401141</v>
      </c>
      <c r="R163" s="319">
        <v>30751.036709495973</v>
      </c>
      <c r="S163" s="315">
        <v>34656.775842445095</v>
      </c>
      <c r="U163" s="7" t="s">
        <v>3951</v>
      </c>
    </row>
    <row r="164" spans="1:21" ht="16.5" thickBot="1">
      <c r="A164" s="50" t="s">
        <v>35</v>
      </c>
      <c r="B164" s="51">
        <f t="shared" si="9"/>
        <v>200</v>
      </c>
      <c r="C164" s="51" t="s">
        <v>3</v>
      </c>
      <c r="D164" s="51">
        <f t="shared" si="10"/>
        <v>360</v>
      </c>
      <c r="E164" s="51" t="s">
        <v>3</v>
      </c>
      <c r="F164" s="99">
        <f t="shared" si="11"/>
        <v>700</v>
      </c>
      <c r="G164" s="51" t="s">
        <v>3</v>
      </c>
      <c r="H164" s="48">
        <v>8</v>
      </c>
      <c r="I164" s="49" t="s">
        <v>47</v>
      </c>
      <c r="J164" s="184">
        <v>200</v>
      </c>
      <c r="K164" s="75">
        <v>360</v>
      </c>
      <c r="L164" s="75">
        <v>700</v>
      </c>
      <c r="M164" s="193">
        <v>12.757021762068419</v>
      </c>
      <c r="N164" s="87">
        <v>655.83838910943666</v>
      </c>
      <c r="O164" s="123">
        <v>22171.065674703641</v>
      </c>
      <c r="P164" s="121">
        <v>26302.447687336658</v>
      </c>
      <c r="Q164" s="310">
        <v>10542.143907826316</v>
      </c>
      <c r="R164" s="319">
        <v>32713.209582529955</v>
      </c>
      <c r="S164" s="315">
        <v>36844.591595162972</v>
      </c>
      <c r="U164" s="7" t="s">
        <v>3952</v>
      </c>
    </row>
    <row r="165" spans="1:21" ht="16.5" thickBot="1">
      <c r="A165" s="50" t="s">
        <v>35</v>
      </c>
      <c r="B165" s="51">
        <f t="shared" si="9"/>
        <v>200</v>
      </c>
      <c r="C165" s="51" t="s">
        <v>3</v>
      </c>
      <c r="D165" s="51">
        <f t="shared" si="10"/>
        <v>360</v>
      </c>
      <c r="E165" s="51" t="s">
        <v>3</v>
      </c>
      <c r="F165" s="99">
        <f t="shared" si="11"/>
        <v>750</v>
      </c>
      <c r="G165" s="51" t="s">
        <v>3</v>
      </c>
      <c r="H165" s="48">
        <v>8</v>
      </c>
      <c r="I165" s="49" t="s">
        <v>47</v>
      </c>
      <c r="J165" s="184">
        <v>200</v>
      </c>
      <c r="K165" s="75">
        <v>360</v>
      </c>
      <c r="L165" s="75">
        <v>750</v>
      </c>
      <c r="M165" s="193">
        <v>13.564930156430524</v>
      </c>
      <c r="N165" s="87">
        <v>749.52958755364193</v>
      </c>
      <c r="O165" s="123">
        <v>23349.059628451432</v>
      </c>
      <c r="P165" s="121">
        <v>27706.084520768334</v>
      </c>
      <c r="Q165" s="310">
        <v>11095.741049329239</v>
      </c>
      <c r="R165" s="319">
        <v>34444.800677780673</v>
      </c>
      <c r="S165" s="315">
        <v>38801.825570097571</v>
      </c>
      <c r="U165" s="7" t="s">
        <v>3953</v>
      </c>
    </row>
    <row r="166" spans="1:21" ht="16.5" thickBot="1">
      <c r="A166" s="50" t="s">
        <v>35</v>
      </c>
      <c r="B166" s="51">
        <f t="shared" si="9"/>
        <v>200</v>
      </c>
      <c r="C166" s="51" t="s">
        <v>3</v>
      </c>
      <c r="D166" s="51">
        <f t="shared" si="10"/>
        <v>360</v>
      </c>
      <c r="E166" s="51" t="s">
        <v>3</v>
      </c>
      <c r="F166" s="99">
        <f t="shared" si="11"/>
        <v>800</v>
      </c>
      <c r="G166" s="51" t="s">
        <v>3</v>
      </c>
      <c r="H166" s="48">
        <v>8</v>
      </c>
      <c r="I166" s="49" t="s">
        <v>47</v>
      </c>
      <c r="J166" s="184">
        <v>200</v>
      </c>
      <c r="K166" s="75">
        <v>360</v>
      </c>
      <c r="L166" s="75">
        <v>800</v>
      </c>
      <c r="M166" s="193">
        <v>14.372838550792631</v>
      </c>
      <c r="N166" s="87">
        <v>843.2207859978472</v>
      </c>
      <c r="O166" s="123">
        <v>24527.05358219922</v>
      </c>
      <c r="P166" s="121">
        <v>29109.72135420001</v>
      </c>
      <c r="Q166" s="310">
        <v>11649.338190832164</v>
      </c>
      <c r="R166" s="319">
        <v>36176.391773031384</v>
      </c>
      <c r="S166" s="315">
        <v>40759.059545032171</v>
      </c>
      <c r="U166" s="7" t="s">
        <v>3954</v>
      </c>
    </row>
    <row r="167" spans="1:21" ht="16.5" thickBot="1">
      <c r="A167" s="50" t="s">
        <v>35</v>
      </c>
      <c r="B167" s="51">
        <f t="shared" si="9"/>
        <v>200</v>
      </c>
      <c r="C167" s="51" t="s">
        <v>3</v>
      </c>
      <c r="D167" s="51">
        <f t="shared" si="10"/>
        <v>360</v>
      </c>
      <c r="E167" s="51" t="s">
        <v>3</v>
      </c>
      <c r="F167" s="99">
        <f t="shared" si="11"/>
        <v>850</v>
      </c>
      <c r="G167" s="51" t="s">
        <v>3</v>
      </c>
      <c r="H167" s="48">
        <v>8</v>
      </c>
      <c r="I167" s="49" t="s">
        <v>47</v>
      </c>
      <c r="J167" s="184">
        <v>200</v>
      </c>
      <c r="K167" s="75">
        <v>360</v>
      </c>
      <c r="L167" s="75">
        <v>850</v>
      </c>
      <c r="M167" s="193">
        <v>15.197786945154736</v>
      </c>
      <c r="N167" s="87">
        <v>936.91198444205236</v>
      </c>
      <c r="O167" s="123">
        <v>25705.04739555364</v>
      </c>
      <c r="P167" s="121">
        <v>30513.358187631682</v>
      </c>
      <c r="Q167" s="310">
        <v>12433.517110118366</v>
      </c>
      <c r="R167" s="319">
        <v>38138.56450567201</v>
      </c>
      <c r="S167" s="315">
        <v>42946.875297750048</v>
      </c>
      <c r="U167" s="7" t="s">
        <v>3955</v>
      </c>
    </row>
    <row r="168" spans="1:21" ht="16.5" thickBot="1">
      <c r="A168" s="50" t="s">
        <v>35</v>
      </c>
      <c r="B168" s="51">
        <f t="shared" si="9"/>
        <v>200</v>
      </c>
      <c r="C168" s="51" t="s">
        <v>3</v>
      </c>
      <c r="D168" s="51">
        <f t="shared" si="10"/>
        <v>360</v>
      </c>
      <c r="E168" s="51" t="s">
        <v>3</v>
      </c>
      <c r="F168" s="99">
        <f t="shared" si="11"/>
        <v>900</v>
      </c>
      <c r="G168" s="51" t="s">
        <v>3</v>
      </c>
      <c r="H168" s="48">
        <v>8</v>
      </c>
      <c r="I168" s="49" t="s">
        <v>47</v>
      </c>
      <c r="J168" s="184">
        <v>200</v>
      </c>
      <c r="K168" s="75">
        <v>360</v>
      </c>
      <c r="L168" s="75">
        <v>900</v>
      </c>
      <c r="M168" s="193">
        <v>16.005695339516841</v>
      </c>
      <c r="N168" s="87">
        <v>1030.6031828862576</v>
      </c>
      <c r="O168" s="123">
        <v>26883.041349301428</v>
      </c>
      <c r="P168" s="121">
        <v>31916.995021063358</v>
      </c>
      <c r="Q168" s="310">
        <v>12987.114251621291</v>
      </c>
      <c r="R168" s="319">
        <v>39870.155600922721</v>
      </c>
      <c r="S168" s="315">
        <v>44904.109272684647</v>
      </c>
      <c r="U168" s="7" t="s">
        <v>3956</v>
      </c>
    </row>
    <row r="169" spans="1:21" ht="16.5" thickBot="1">
      <c r="A169" s="50" t="s">
        <v>35</v>
      </c>
      <c r="B169" s="51">
        <f t="shared" si="9"/>
        <v>200</v>
      </c>
      <c r="C169" s="51" t="s">
        <v>3</v>
      </c>
      <c r="D169" s="51">
        <f t="shared" si="10"/>
        <v>360</v>
      </c>
      <c r="E169" s="51" t="s">
        <v>3</v>
      </c>
      <c r="F169" s="99">
        <f t="shared" si="11"/>
        <v>950</v>
      </c>
      <c r="G169" s="51" t="s">
        <v>3</v>
      </c>
      <c r="H169" s="48">
        <v>8</v>
      </c>
      <c r="I169" s="49" t="s">
        <v>47</v>
      </c>
      <c r="J169" s="184">
        <v>200</v>
      </c>
      <c r="K169" s="75">
        <v>360</v>
      </c>
      <c r="L169" s="75">
        <v>950</v>
      </c>
      <c r="M169" s="193">
        <v>16.830643733878944</v>
      </c>
      <c r="N169" s="87">
        <v>1124.2943813304628</v>
      </c>
      <c r="O169" s="123">
        <v>28061.035303049219</v>
      </c>
      <c r="P169" s="121">
        <v>33320.63171410167</v>
      </c>
      <c r="Q169" s="310">
        <v>13771.293170907491</v>
      </c>
      <c r="R169" s="319">
        <v>41832.32847395671</v>
      </c>
      <c r="S169" s="315">
        <v>47091.924885009161</v>
      </c>
      <c r="U169" s="7" t="s">
        <v>3957</v>
      </c>
    </row>
    <row r="170" spans="1:21" ht="16.5" thickBot="1">
      <c r="A170" s="50" t="s">
        <v>35</v>
      </c>
      <c r="B170" s="51">
        <f t="shared" si="9"/>
        <v>200</v>
      </c>
      <c r="C170" s="51" t="s">
        <v>3</v>
      </c>
      <c r="D170" s="51">
        <f t="shared" si="10"/>
        <v>360</v>
      </c>
      <c r="E170" s="51" t="s">
        <v>3</v>
      </c>
      <c r="F170" s="99">
        <f t="shared" si="11"/>
        <v>1000</v>
      </c>
      <c r="G170" s="51" t="s">
        <v>3</v>
      </c>
      <c r="H170" s="48">
        <v>8</v>
      </c>
      <c r="I170" s="49" t="s">
        <v>47</v>
      </c>
      <c r="J170" s="184">
        <v>200</v>
      </c>
      <c r="K170" s="75">
        <v>360</v>
      </c>
      <c r="L170" s="75">
        <v>1000</v>
      </c>
      <c r="M170" s="193">
        <v>17.638552128241052</v>
      </c>
      <c r="N170" s="87">
        <v>1217.9855797746682</v>
      </c>
      <c r="O170" s="123">
        <v>29239.029256797006</v>
      </c>
      <c r="P170" s="121">
        <v>34724.268547533342</v>
      </c>
      <c r="Q170" s="310">
        <v>14324.890312410414</v>
      </c>
      <c r="R170" s="319">
        <v>43563.919569207421</v>
      </c>
      <c r="S170" s="315">
        <v>49049.158859943753</v>
      </c>
      <c r="U170" s="7" t="s">
        <v>3958</v>
      </c>
    </row>
    <row r="171" spans="1:21" ht="16.5" thickBot="1">
      <c r="A171" s="50" t="s">
        <v>35</v>
      </c>
      <c r="B171" s="51">
        <f t="shared" si="9"/>
        <v>200</v>
      </c>
      <c r="C171" s="51" t="s">
        <v>3</v>
      </c>
      <c r="D171" s="51">
        <f t="shared" si="10"/>
        <v>360</v>
      </c>
      <c r="E171" s="51" t="s">
        <v>3</v>
      </c>
      <c r="F171" s="99">
        <f t="shared" si="11"/>
        <v>1050</v>
      </c>
      <c r="G171" s="51" t="s">
        <v>3</v>
      </c>
      <c r="H171" s="48">
        <v>8</v>
      </c>
      <c r="I171" s="49" t="s">
        <v>47</v>
      </c>
      <c r="J171" s="184">
        <v>200</v>
      </c>
      <c r="K171" s="75">
        <v>360</v>
      </c>
      <c r="L171" s="75">
        <v>1050</v>
      </c>
      <c r="M171" s="193">
        <v>18.463500522603155</v>
      </c>
      <c r="N171" s="87">
        <v>1311.6767782188733</v>
      </c>
      <c r="O171" s="123">
        <v>30417.023210544794</v>
      </c>
      <c r="P171" s="121">
        <v>36127.905380965021</v>
      </c>
      <c r="Q171" s="310">
        <v>15109.069231696616</v>
      </c>
      <c r="R171" s="319">
        <v>45526.09244224141</v>
      </c>
      <c r="S171" s="315">
        <v>51236.974612661637</v>
      </c>
      <c r="U171" s="7" t="s">
        <v>3959</v>
      </c>
    </row>
    <row r="172" spans="1:21" ht="16.5" thickBot="1">
      <c r="A172" s="47" t="s">
        <v>35</v>
      </c>
      <c r="B172" s="48">
        <f t="shared" si="9"/>
        <v>200</v>
      </c>
      <c r="C172" s="48" t="s">
        <v>3</v>
      </c>
      <c r="D172" s="48">
        <f t="shared" si="10"/>
        <v>360</v>
      </c>
      <c r="E172" s="48" t="s">
        <v>3</v>
      </c>
      <c r="F172" s="99">
        <f t="shared" si="11"/>
        <v>1100</v>
      </c>
      <c r="G172" s="48" t="s">
        <v>3</v>
      </c>
      <c r="H172" s="48">
        <v>8</v>
      </c>
      <c r="I172" s="49" t="s">
        <v>47</v>
      </c>
      <c r="J172" s="184">
        <v>200</v>
      </c>
      <c r="K172" s="75">
        <v>360</v>
      </c>
      <c r="L172" s="75">
        <v>1100</v>
      </c>
      <c r="M172" s="193">
        <v>19.27140891696526</v>
      </c>
      <c r="N172" s="87">
        <v>1405.3679766630785</v>
      </c>
      <c r="O172" s="123">
        <v>31595.017023899218</v>
      </c>
      <c r="P172" s="121">
        <v>37531.542214396693</v>
      </c>
      <c r="Q172" s="310">
        <v>15662.66637319954</v>
      </c>
      <c r="R172" s="319">
        <v>47257.683397098757</v>
      </c>
      <c r="S172" s="315">
        <v>53194.208587596237</v>
      </c>
      <c r="U172" s="7" t="s">
        <v>3960</v>
      </c>
    </row>
    <row r="173" spans="1:21" ht="16.5" thickBot="1">
      <c r="A173" s="50" t="s">
        <v>35</v>
      </c>
      <c r="B173" s="51">
        <f t="shared" si="9"/>
        <v>200</v>
      </c>
      <c r="C173" s="51" t="s">
        <v>3</v>
      </c>
      <c r="D173" s="51">
        <f t="shared" si="10"/>
        <v>360</v>
      </c>
      <c r="E173" s="51" t="s">
        <v>3</v>
      </c>
      <c r="F173" s="99">
        <f t="shared" si="11"/>
        <v>1150</v>
      </c>
      <c r="G173" s="51" t="s">
        <v>3</v>
      </c>
      <c r="H173" s="48">
        <v>8</v>
      </c>
      <c r="I173" s="49" t="s">
        <v>47</v>
      </c>
      <c r="J173" s="184">
        <v>200</v>
      </c>
      <c r="K173" s="75">
        <v>360</v>
      </c>
      <c r="L173" s="75">
        <v>1150</v>
      </c>
      <c r="M173" s="193">
        <v>20.079317311327372</v>
      </c>
      <c r="N173" s="87">
        <v>1499.0591751072839</v>
      </c>
      <c r="O173" s="123">
        <v>32773.010977647013</v>
      </c>
      <c r="P173" s="121">
        <v>38935.179047828373</v>
      </c>
      <c r="Q173" s="310">
        <v>16216.263514702467</v>
      </c>
      <c r="R173" s="319">
        <v>48989.274492349476</v>
      </c>
      <c r="S173" s="315">
        <v>55151.442562530836</v>
      </c>
      <c r="U173" s="7" t="s">
        <v>3961</v>
      </c>
    </row>
    <row r="174" spans="1:21" ht="16.5" thickBot="1">
      <c r="A174" s="50" t="s">
        <v>35</v>
      </c>
      <c r="B174" s="51">
        <f t="shared" si="9"/>
        <v>200</v>
      </c>
      <c r="C174" s="51" t="s">
        <v>3</v>
      </c>
      <c r="D174" s="51">
        <f t="shared" si="10"/>
        <v>360</v>
      </c>
      <c r="E174" s="51" t="s">
        <v>3</v>
      </c>
      <c r="F174" s="99">
        <f t="shared" si="11"/>
        <v>1200</v>
      </c>
      <c r="G174" s="51" t="s">
        <v>3</v>
      </c>
      <c r="H174" s="48">
        <v>8</v>
      </c>
      <c r="I174" s="49" t="s">
        <v>47</v>
      </c>
      <c r="J174" s="184">
        <v>200</v>
      </c>
      <c r="K174" s="75">
        <v>360</v>
      </c>
      <c r="L174" s="75">
        <v>1200</v>
      </c>
      <c r="M174" s="193">
        <v>21.061265705689472</v>
      </c>
      <c r="N174" s="87">
        <v>1592.7503735514888</v>
      </c>
      <c r="O174" s="123">
        <v>34105.313662805711</v>
      </c>
      <c r="P174" s="121">
        <v>40494.066652133333</v>
      </c>
      <c r="Q174" s="310">
        <v>17000.442574382028</v>
      </c>
      <c r="R174" s="319">
        <v>51105.756237187743</v>
      </c>
      <c r="S174" s="315">
        <v>57494.509226515365</v>
      </c>
      <c r="U174" s="7" t="s">
        <v>3962</v>
      </c>
    </row>
    <row r="175" spans="1:21" ht="16.5" thickBot="1">
      <c r="A175" s="50" t="s">
        <v>35</v>
      </c>
      <c r="B175" s="51">
        <f t="shared" si="9"/>
        <v>200</v>
      </c>
      <c r="C175" s="51" t="s">
        <v>3</v>
      </c>
      <c r="D175" s="51">
        <f t="shared" si="10"/>
        <v>360</v>
      </c>
      <c r="E175" s="51" t="s">
        <v>3</v>
      </c>
      <c r="F175" s="99">
        <f t="shared" si="11"/>
        <v>1250</v>
      </c>
      <c r="G175" s="51" t="s">
        <v>3</v>
      </c>
      <c r="H175" s="48">
        <v>8</v>
      </c>
      <c r="I175" s="49" t="s">
        <v>47</v>
      </c>
      <c r="J175" s="184">
        <v>200</v>
      </c>
      <c r="K175" s="75">
        <v>360</v>
      </c>
      <c r="L175" s="75">
        <v>1250</v>
      </c>
      <c r="M175" s="193">
        <v>21.86917410005158</v>
      </c>
      <c r="N175" s="87">
        <v>1686.4415719956944</v>
      </c>
      <c r="O175" s="123">
        <v>35283.307616553495</v>
      </c>
      <c r="P175" s="121">
        <v>41897.703485565013</v>
      </c>
      <c r="Q175" s="310">
        <v>17554.039715884952</v>
      </c>
      <c r="R175" s="319">
        <v>52837.347332438447</v>
      </c>
      <c r="S175" s="315">
        <v>59451.743201449965</v>
      </c>
      <c r="U175" s="7" t="s">
        <v>3963</v>
      </c>
    </row>
    <row r="176" spans="1:21" ht="16.5" thickBot="1">
      <c r="A176" s="50" t="s">
        <v>35</v>
      </c>
      <c r="B176" s="51">
        <f t="shared" si="9"/>
        <v>200</v>
      </c>
      <c r="C176" s="51" t="s">
        <v>3</v>
      </c>
      <c r="D176" s="51">
        <f t="shared" si="10"/>
        <v>360</v>
      </c>
      <c r="E176" s="51" t="s">
        <v>3</v>
      </c>
      <c r="F176" s="99">
        <f t="shared" si="11"/>
        <v>1300</v>
      </c>
      <c r="G176" s="51" t="s">
        <v>3</v>
      </c>
      <c r="H176" s="48">
        <v>8</v>
      </c>
      <c r="I176" s="49" t="s">
        <v>47</v>
      </c>
      <c r="J176" s="184">
        <v>200</v>
      </c>
      <c r="K176" s="75">
        <v>360</v>
      </c>
      <c r="L176" s="75">
        <v>1300</v>
      </c>
      <c r="M176" s="193">
        <v>22.694122494413683</v>
      </c>
      <c r="N176" s="87">
        <v>1780.1327704398993</v>
      </c>
      <c r="O176" s="123">
        <v>36461.301570301286</v>
      </c>
      <c r="P176" s="121">
        <v>43301.340318996685</v>
      </c>
      <c r="Q176" s="310">
        <v>18338.218635171153</v>
      </c>
      <c r="R176" s="319">
        <v>54799.520205472436</v>
      </c>
      <c r="S176" s="315">
        <v>61639.558954167835</v>
      </c>
      <c r="U176" s="7" t="s">
        <v>3964</v>
      </c>
    </row>
    <row r="177" spans="1:21" ht="16.5" thickBot="1">
      <c r="A177" s="50" t="s">
        <v>35</v>
      </c>
      <c r="B177" s="51">
        <f t="shared" si="9"/>
        <v>200</v>
      </c>
      <c r="C177" s="51" t="s">
        <v>3</v>
      </c>
      <c r="D177" s="51">
        <f t="shared" si="10"/>
        <v>360</v>
      </c>
      <c r="E177" s="51" t="s">
        <v>3</v>
      </c>
      <c r="F177" s="99">
        <f t="shared" si="11"/>
        <v>1350</v>
      </c>
      <c r="G177" s="51" t="s">
        <v>3</v>
      </c>
      <c r="H177" s="48">
        <v>8</v>
      </c>
      <c r="I177" s="49" t="s">
        <v>47</v>
      </c>
      <c r="J177" s="184">
        <v>200</v>
      </c>
      <c r="K177" s="75">
        <v>360</v>
      </c>
      <c r="L177" s="75">
        <v>1350</v>
      </c>
      <c r="M177" s="193">
        <v>23.502030888775792</v>
      </c>
      <c r="N177" s="87">
        <v>1873.8239688841047</v>
      </c>
      <c r="O177" s="123">
        <v>37639.29552404907</v>
      </c>
      <c r="P177" s="121">
        <v>44704.977152428364</v>
      </c>
      <c r="Q177" s="310">
        <v>18891.815776674081</v>
      </c>
      <c r="R177" s="319">
        <v>56531.111300723147</v>
      </c>
      <c r="S177" s="315">
        <v>63596.792929102448</v>
      </c>
      <c r="U177" s="7" t="s">
        <v>3965</v>
      </c>
    </row>
    <row r="178" spans="1:21" ht="16.5" thickBot="1">
      <c r="A178" s="50" t="s">
        <v>35</v>
      </c>
      <c r="B178" s="51">
        <f t="shared" si="9"/>
        <v>200</v>
      </c>
      <c r="C178" s="51" t="s">
        <v>3</v>
      </c>
      <c r="D178" s="51">
        <f t="shared" si="10"/>
        <v>360</v>
      </c>
      <c r="E178" s="51" t="s">
        <v>3</v>
      </c>
      <c r="F178" s="99">
        <f t="shared" si="11"/>
        <v>1400</v>
      </c>
      <c r="G178" s="51" t="s">
        <v>3</v>
      </c>
      <c r="H178" s="48">
        <v>8</v>
      </c>
      <c r="I178" s="49" t="s">
        <v>47</v>
      </c>
      <c r="J178" s="184">
        <v>200</v>
      </c>
      <c r="K178" s="75">
        <v>360</v>
      </c>
      <c r="L178" s="75">
        <v>1400</v>
      </c>
      <c r="M178" s="193">
        <v>24.326979283137895</v>
      </c>
      <c r="N178" s="87">
        <v>1967.5151673283099</v>
      </c>
      <c r="O178" s="123">
        <v>38817.289477796854</v>
      </c>
      <c r="P178" s="121">
        <v>46108.613985860036</v>
      </c>
      <c r="Q178" s="310">
        <v>19675.994695960278</v>
      </c>
      <c r="R178" s="319">
        <v>58493.284173757129</v>
      </c>
      <c r="S178" s="315">
        <v>65784.608681820318</v>
      </c>
      <c r="U178" s="7" t="s">
        <v>3966</v>
      </c>
    </row>
    <row r="179" spans="1:21" ht="16.5" thickBot="1">
      <c r="A179" s="50" t="s">
        <v>35</v>
      </c>
      <c r="B179" s="51">
        <f t="shared" si="9"/>
        <v>200</v>
      </c>
      <c r="C179" s="51" t="s">
        <v>3</v>
      </c>
      <c r="D179" s="51">
        <f t="shared" si="10"/>
        <v>360</v>
      </c>
      <c r="E179" s="51" t="s">
        <v>3</v>
      </c>
      <c r="F179" s="99">
        <f t="shared" si="11"/>
        <v>1450</v>
      </c>
      <c r="G179" s="51" t="s">
        <v>3</v>
      </c>
      <c r="H179" s="48">
        <v>8</v>
      </c>
      <c r="I179" s="49" t="s">
        <v>47</v>
      </c>
      <c r="J179" s="184">
        <v>200</v>
      </c>
      <c r="K179" s="75">
        <v>360</v>
      </c>
      <c r="L179" s="75">
        <v>1450</v>
      </c>
      <c r="M179" s="193">
        <v>25.134887677500004</v>
      </c>
      <c r="N179" s="87">
        <v>2061.2063657725153</v>
      </c>
      <c r="O179" s="123">
        <v>39995.283291151281</v>
      </c>
      <c r="P179" s="121">
        <v>47512.250819291708</v>
      </c>
      <c r="Q179" s="310">
        <v>20229.591837463206</v>
      </c>
      <c r="R179" s="319">
        <v>60224.875128614483</v>
      </c>
      <c r="S179" s="315">
        <v>67741.842656754918</v>
      </c>
      <c r="U179" s="7" t="s">
        <v>3967</v>
      </c>
    </row>
    <row r="180" spans="1:21" ht="16.5" thickBot="1">
      <c r="A180" s="50" t="s">
        <v>35</v>
      </c>
      <c r="B180" s="51">
        <f t="shared" si="9"/>
        <v>200</v>
      </c>
      <c r="C180" s="51" t="s">
        <v>3</v>
      </c>
      <c r="D180" s="51">
        <f t="shared" si="10"/>
        <v>360</v>
      </c>
      <c r="E180" s="51" t="s">
        <v>3</v>
      </c>
      <c r="F180" s="99">
        <f t="shared" si="11"/>
        <v>1500</v>
      </c>
      <c r="G180" s="51" t="s">
        <v>3</v>
      </c>
      <c r="H180" s="48">
        <v>8</v>
      </c>
      <c r="I180" s="49" t="s">
        <v>47</v>
      </c>
      <c r="J180" s="184">
        <v>200</v>
      </c>
      <c r="K180" s="75">
        <v>360</v>
      </c>
      <c r="L180" s="75">
        <v>1500</v>
      </c>
      <c r="M180" s="193">
        <v>26.195457365822108</v>
      </c>
      <c r="N180" s="87">
        <v>2154.8975642167202</v>
      </c>
      <c r="O180" s="123">
        <v>41925.746638544297</v>
      </c>
      <c r="P180" s="121">
        <v>49654.521140100871</v>
      </c>
      <c r="Q180" s="310">
        <v>21013.770756749404</v>
      </c>
      <c r="R180" s="319">
        <v>62939.517395293704</v>
      </c>
      <c r="S180" s="315">
        <v>70668.291896850278</v>
      </c>
      <c r="U180" s="7" t="s">
        <v>3968</v>
      </c>
    </row>
    <row r="181" spans="1:21" ht="16.5" thickBot="1">
      <c r="A181" s="50" t="s">
        <v>35</v>
      </c>
      <c r="B181" s="51">
        <f t="shared" si="9"/>
        <v>200</v>
      </c>
      <c r="C181" s="51" t="s">
        <v>3</v>
      </c>
      <c r="D181" s="51">
        <f t="shared" si="10"/>
        <v>360</v>
      </c>
      <c r="E181" s="51" t="s">
        <v>3</v>
      </c>
      <c r="F181" s="99">
        <f t="shared" si="11"/>
        <v>1550</v>
      </c>
      <c r="G181" s="51" t="s">
        <v>3</v>
      </c>
      <c r="H181" s="48">
        <v>8</v>
      </c>
      <c r="I181" s="49" t="s">
        <v>47</v>
      </c>
      <c r="J181" s="184">
        <v>200</v>
      </c>
      <c r="K181" s="75">
        <v>360</v>
      </c>
      <c r="L181" s="75">
        <v>1550</v>
      </c>
      <c r="M181" s="193">
        <v>27.003365760184209</v>
      </c>
      <c r="N181" s="87">
        <v>2248.5887626609256</v>
      </c>
      <c r="O181" s="123">
        <v>43103.740592292081</v>
      </c>
      <c r="P181" s="121">
        <v>51058.157973532543</v>
      </c>
      <c r="Q181" s="310">
        <v>21567.367898252327</v>
      </c>
      <c r="R181" s="319">
        <v>64671.108490544408</v>
      </c>
      <c r="S181" s="315">
        <v>72625.525871784863</v>
      </c>
      <c r="U181" s="7" t="s">
        <v>3969</v>
      </c>
    </row>
    <row r="182" spans="1:21" ht="16.5" thickBot="1">
      <c r="A182" s="47" t="s">
        <v>35</v>
      </c>
      <c r="B182" s="48">
        <f t="shared" si="9"/>
        <v>200</v>
      </c>
      <c r="C182" s="48" t="s">
        <v>3</v>
      </c>
      <c r="D182" s="48">
        <f t="shared" si="10"/>
        <v>360</v>
      </c>
      <c r="E182" s="48" t="s">
        <v>3</v>
      </c>
      <c r="F182" s="99">
        <f t="shared" si="11"/>
        <v>1600</v>
      </c>
      <c r="G182" s="48" t="s">
        <v>3</v>
      </c>
      <c r="H182" s="48">
        <v>8</v>
      </c>
      <c r="I182" s="49" t="s">
        <v>47</v>
      </c>
      <c r="J182" s="184">
        <v>200</v>
      </c>
      <c r="K182" s="75">
        <v>360</v>
      </c>
      <c r="L182" s="75">
        <v>1600</v>
      </c>
      <c r="M182" s="193">
        <v>27.811274154546318</v>
      </c>
      <c r="N182" s="87">
        <v>2342.279961105131</v>
      </c>
      <c r="O182" s="123">
        <v>44281.734405646508</v>
      </c>
      <c r="P182" s="121">
        <v>52461.794806964215</v>
      </c>
      <c r="Q182" s="310">
        <v>22120.965039755254</v>
      </c>
      <c r="R182" s="319">
        <v>66402.699445401755</v>
      </c>
      <c r="S182" s="315">
        <v>74582.759846719477</v>
      </c>
      <c r="U182" s="7" t="s">
        <v>3970</v>
      </c>
    </row>
    <row r="183" spans="1:21" ht="16.5" thickBot="1">
      <c r="A183" s="50" t="s">
        <v>35</v>
      </c>
      <c r="B183" s="51">
        <f t="shared" si="9"/>
        <v>200</v>
      </c>
      <c r="C183" s="51" t="s">
        <v>3</v>
      </c>
      <c r="D183" s="51">
        <f t="shared" si="10"/>
        <v>360</v>
      </c>
      <c r="E183" s="51" t="s">
        <v>3</v>
      </c>
      <c r="F183" s="99">
        <f t="shared" si="11"/>
        <v>1650</v>
      </c>
      <c r="G183" s="51" t="s">
        <v>3</v>
      </c>
      <c r="H183" s="48">
        <v>8</v>
      </c>
      <c r="I183" s="49" t="s">
        <v>47</v>
      </c>
      <c r="J183" s="184">
        <v>200</v>
      </c>
      <c r="K183" s="75">
        <v>360</v>
      </c>
      <c r="L183" s="75">
        <v>1650</v>
      </c>
      <c r="M183" s="193">
        <v>28.636222548908425</v>
      </c>
      <c r="N183" s="87">
        <v>2435.9711595493363</v>
      </c>
      <c r="O183" s="123">
        <v>45459.728359394299</v>
      </c>
      <c r="P183" s="121">
        <v>53865.431640395895</v>
      </c>
      <c r="Q183" s="310">
        <v>22905.143959041456</v>
      </c>
      <c r="R183" s="319">
        <v>68364.872318435751</v>
      </c>
      <c r="S183" s="315">
        <v>76770.575599437347</v>
      </c>
      <c r="U183" s="7" t="s">
        <v>3971</v>
      </c>
    </row>
    <row r="184" spans="1:21" ht="16.5" thickBot="1">
      <c r="A184" s="50" t="s">
        <v>35</v>
      </c>
      <c r="B184" s="51">
        <f t="shared" si="9"/>
        <v>200</v>
      </c>
      <c r="C184" s="51" t="s">
        <v>3</v>
      </c>
      <c r="D184" s="51">
        <f t="shared" si="10"/>
        <v>360</v>
      </c>
      <c r="E184" s="51" t="s">
        <v>3</v>
      </c>
      <c r="F184" s="99">
        <f t="shared" si="11"/>
        <v>1700</v>
      </c>
      <c r="G184" s="51" t="s">
        <v>3</v>
      </c>
      <c r="H184" s="48">
        <v>8</v>
      </c>
      <c r="I184" s="49" t="s">
        <v>47</v>
      </c>
      <c r="J184" s="184">
        <v>200</v>
      </c>
      <c r="K184" s="75">
        <v>360</v>
      </c>
      <c r="L184" s="75">
        <v>1700</v>
      </c>
      <c r="M184" s="193">
        <v>29.444130943270526</v>
      </c>
      <c r="N184" s="87">
        <v>2529.6623579935417</v>
      </c>
      <c r="O184" s="123">
        <v>46637.722313142083</v>
      </c>
      <c r="P184" s="121">
        <v>55269.068473827581</v>
      </c>
      <c r="Q184" s="310">
        <v>23458.741100544379</v>
      </c>
      <c r="R184" s="319">
        <v>70096.463413686462</v>
      </c>
      <c r="S184" s="315">
        <v>78727.80957437196</v>
      </c>
      <c r="U184" s="7" t="s">
        <v>3972</v>
      </c>
    </row>
    <row r="185" spans="1:21" ht="16.5" thickBot="1">
      <c r="A185" s="50" t="s">
        <v>35</v>
      </c>
      <c r="B185" s="51">
        <f t="shared" si="9"/>
        <v>200</v>
      </c>
      <c r="C185" s="51" t="s">
        <v>3</v>
      </c>
      <c r="D185" s="51">
        <f t="shared" si="10"/>
        <v>360</v>
      </c>
      <c r="E185" s="51" t="s">
        <v>3</v>
      </c>
      <c r="F185" s="99">
        <f t="shared" si="11"/>
        <v>1750</v>
      </c>
      <c r="G185" s="51" t="s">
        <v>3</v>
      </c>
      <c r="H185" s="48">
        <v>8</v>
      </c>
      <c r="I185" s="49" t="s">
        <v>47</v>
      </c>
      <c r="J185" s="184">
        <v>200</v>
      </c>
      <c r="K185" s="75">
        <v>360</v>
      </c>
      <c r="L185" s="75">
        <v>1750</v>
      </c>
      <c r="M185" s="193">
        <v>30.269079337632625</v>
      </c>
      <c r="N185" s="87">
        <v>2623.3535564377466</v>
      </c>
      <c r="O185" s="123">
        <v>47815.716266889867</v>
      </c>
      <c r="P185" s="121">
        <v>56672.705307259253</v>
      </c>
      <c r="Q185" s="310">
        <v>24242.920019830581</v>
      </c>
      <c r="R185" s="319">
        <v>72058.636286720444</v>
      </c>
      <c r="S185" s="315">
        <v>80915.625327089831</v>
      </c>
      <c r="U185" s="7" t="s">
        <v>3973</v>
      </c>
    </row>
    <row r="186" spans="1:21" ht="16.5" thickBot="1">
      <c r="A186" s="50" t="s">
        <v>35</v>
      </c>
      <c r="B186" s="51">
        <f t="shared" si="9"/>
        <v>200</v>
      </c>
      <c r="C186" s="51" t="s">
        <v>3</v>
      </c>
      <c r="D186" s="51">
        <f t="shared" si="10"/>
        <v>360</v>
      </c>
      <c r="E186" s="51" t="s">
        <v>3</v>
      </c>
      <c r="F186" s="99">
        <f t="shared" si="11"/>
        <v>1800</v>
      </c>
      <c r="G186" s="51" t="s">
        <v>3</v>
      </c>
      <c r="H186" s="48">
        <v>8</v>
      </c>
      <c r="I186" s="49" t="s">
        <v>47</v>
      </c>
      <c r="J186" s="184">
        <v>200</v>
      </c>
      <c r="K186" s="75">
        <v>360</v>
      </c>
      <c r="L186" s="75">
        <v>1800</v>
      </c>
      <c r="M186" s="193">
        <v>31.076987731994734</v>
      </c>
      <c r="N186" s="87">
        <v>2717.0447548819516</v>
      </c>
      <c r="O186" s="123">
        <v>48993.710220637658</v>
      </c>
      <c r="P186" s="121">
        <v>58076.342000297562</v>
      </c>
      <c r="Q186" s="310">
        <v>24796.517161333504</v>
      </c>
      <c r="R186" s="319">
        <v>73790.22738197117</v>
      </c>
      <c r="S186" s="315">
        <v>82872.859161631059</v>
      </c>
      <c r="U186" s="7" t="s">
        <v>3974</v>
      </c>
    </row>
    <row r="187" spans="1:21" ht="16.5" thickBot="1">
      <c r="A187" s="50" t="s">
        <v>35</v>
      </c>
      <c r="B187" s="51">
        <f t="shared" si="9"/>
        <v>200</v>
      </c>
      <c r="C187" s="51" t="s">
        <v>3</v>
      </c>
      <c r="D187" s="51">
        <f t="shared" si="10"/>
        <v>360</v>
      </c>
      <c r="E187" s="51" t="s">
        <v>3</v>
      </c>
      <c r="F187" s="99">
        <f t="shared" si="11"/>
        <v>1850</v>
      </c>
      <c r="G187" s="51" t="s">
        <v>3</v>
      </c>
      <c r="H187" s="48">
        <v>8</v>
      </c>
      <c r="I187" s="49" t="s">
        <v>47</v>
      </c>
      <c r="J187" s="184">
        <v>200</v>
      </c>
      <c r="K187" s="75">
        <v>360</v>
      </c>
      <c r="L187" s="75">
        <v>1850</v>
      </c>
      <c r="M187" s="193">
        <v>31.901936126356844</v>
      </c>
      <c r="N187" s="87">
        <v>2810.735953326157</v>
      </c>
      <c r="O187" s="123">
        <v>50171.704033992086</v>
      </c>
      <c r="P187" s="121">
        <v>59479.978833729234</v>
      </c>
      <c r="Q187" s="310">
        <v>25580.69622101307</v>
      </c>
      <c r="R187" s="319">
        <v>75752.400255005152</v>
      </c>
      <c r="S187" s="315">
        <v>85060.6750547423</v>
      </c>
      <c r="U187" s="7" t="s">
        <v>3975</v>
      </c>
    </row>
    <row r="188" spans="1:21" ht="16.5" thickBot="1">
      <c r="A188" s="50" t="s">
        <v>35</v>
      </c>
      <c r="B188" s="51">
        <f t="shared" si="9"/>
        <v>200</v>
      </c>
      <c r="C188" s="51" t="s">
        <v>3</v>
      </c>
      <c r="D188" s="51">
        <f t="shared" si="10"/>
        <v>360</v>
      </c>
      <c r="E188" s="51" t="s">
        <v>3</v>
      </c>
      <c r="F188" s="99">
        <f t="shared" si="11"/>
        <v>1900</v>
      </c>
      <c r="G188" s="51" t="s">
        <v>3</v>
      </c>
      <c r="H188" s="48">
        <v>8</v>
      </c>
      <c r="I188" s="49" t="s">
        <v>47</v>
      </c>
      <c r="J188" s="184">
        <v>200</v>
      </c>
      <c r="K188" s="75">
        <v>360</v>
      </c>
      <c r="L188" s="75">
        <v>1900</v>
      </c>
      <c r="M188" s="193">
        <v>32.709844520718946</v>
      </c>
      <c r="N188" s="87">
        <v>2904.4271517703623</v>
      </c>
      <c r="O188" s="123">
        <v>51349.697987739877</v>
      </c>
      <c r="P188" s="121">
        <v>60883.615667160913</v>
      </c>
      <c r="Q188" s="310">
        <v>26134.293362515993</v>
      </c>
      <c r="R188" s="319">
        <v>77483.991350255877</v>
      </c>
      <c r="S188" s="315">
        <v>87017.909029676899</v>
      </c>
      <c r="U188" s="7" t="s">
        <v>3976</v>
      </c>
    </row>
    <row r="189" spans="1:21" ht="16.5" thickBot="1">
      <c r="A189" s="50" t="s">
        <v>35</v>
      </c>
      <c r="B189" s="51">
        <f t="shared" si="9"/>
        <v>200</v>
      </c>
      <c r="C189" s="51" t="s">
        <v>3</v>
      </c>
      <c r="D189" s="51">
        <f t="shared" si="10"/>
        <v>360</v>
      </c>
      <c r="E189" s="51" t="s">
        <v>3</v>
      </c>
      <c r="F189" s="99">
        <f t="shared" si="11"/>
        <v>1950</v>
      </c>
      <c r="G189" s="51" t="s">
        <v>3</v>
      </c>
      <c r="H189" s="48">
        <v>8</v>
      </c>
      <c r="I189" s="49" t="s">
        <v>47</v>
      </c>
      <c r="J189" s="184">
        <v>200</v>
      </c>
      <c r="K189" s="75">
        <v>360</v>
      </c>
      <c r="L189" s="75">
        <v>1950</v>
      </c>
      <c r="M189" s="193">
        <v>33.674752915081058</v>
      </c>
      <c r="N189" s="87">
        <v>2998.1183502145677</v>
      </c>
      <c r="O189" s="123">
        <v>52682.000672898575</v>
      </c>
      <c r="P189" s="121">
        <v>62442.503411859238</v>
      </c>
      <c r="Q189" s="310">
        <v>26687.890504018917</v>
      </c>
      <c r="R189" s="319">
        <v>79369.891176917488</v>
      </c>
      <c r="S189" s="315">
        <v>89130.393915878158</v>
      </c>
      <c r="U189" s="7" t="s">
        <v>3977</v>
      </c>
    </row>
    <row r="190" spans="1:21" ht="16.5" thickBot="1">
      <c r="A190" s="50" t="s">
        <v>35</v>
      </c>
      <c r="B190" s="51">
        <f t="shared" si="9"/>
        <v>200</v>
      </c>
      <c r="C190" s="51" t="s">
        <v>3</v>
      </c>
      <c r="D190" s="51">
        <f t="shared" si="10"/>
        <v>360</v>
      </c>
      <c r="E190" s="51" t="s">
        <v>3</v>
      </c>
      <c r="F190" s="99">
        <f t="shared" si="11"/>
        <v>2000</v>
      </c>
      <c r="G190" s="51" t="s">
        <v>3</v>
      </c>
      <c r="H190" s="48">
        <v>8</v>
      </c>
      <c r="I190" s="49" t="s">
        <v>47</v>
      </c>
      <c r="J190" s="184">
        <v>200</v>
      </c>
      <c r="K190" s="75">
        <v>360</v>
      </c>
      <c r="L190" s="75">
        <v>2000</v>
      </c>
      <c r="M190" s="193">
        <v>34.591263709443155</v>
      </c>
      <c r="N190" s="87">
        <v>3091.8095486587722</v>
      </c>
      <c r="O190" s="123">
        <v>54090.537655861583</v>
      </c>
      <c r="P190" s="121">
        <v>64158.820972810208</v>
      </c>
      <c r="Q190" s="310">
        <v>27472.069423305118</v>
      </c>
      <c r="R190" s="319">
        <v>81562.607079166701</v>
      </c>
      <c r="S190" s="315">
        <v>91630.890396115326</v>
      </c>
      <c r="U190" s="7" t="s">
        <v>3978</v>
      </c>
    </row>
    <row r="191" spans="1:21" ht="16.5" thickBot="1">
      <c r="A191" s="50" t="s">
        <v>35</v>
      </c>
      <c r="B191" s="51">
        <f t="shared" si="9"/>
        <v>200</v>
      </c>
      <c r="C191" s="51" t="s">
        <v>3</v>
      </c>
      <c r="D191" s="51">
        <f t="shared" si="10"/>
        <v>360</v>
      </c>
      <c r="E191" s="51" t="s">
        <v>3</v>
      </c>
      <c r="F191" s="99">
        <f t="shared" si="11"/>
        <v>2050</v>
      </c>
      <c r="G191" s="51" t="s">
        <v>3</v>
      </c>
      <c r="H191" s="48">
        <v>8</v>
      </c>
      <c r="I191" s="49" t="s">
        <v>47</v>
      </c>
      <c r="J191" s="184">
        <v>200</v>
      </c>
      <c r="K191" s="75">
        <v>360</v>
      </c>
      <c r="L191" s="75">
        <v>2050</v>
      </c>
      <c r="M191" s="193">
        <v>35.399172103805256</v>
      </c>
      <c r="N191" s="87">
        <v>3185.5007471029776</v>
      </c>
      <c r="O191" s="123">
        <v>55268.531609609374</v>
      </c>
      <c r="P191" s="121">
        <v>65562.457806241888</v>
      </c>
      <c r="Q191" s="310">
        <v>28025.666564808042</v>
      </c>
      <c r="R191" s="319">
        <v>83294.198174417412</v>
      </c>
      <c r="S191" s="315">
        <v>93588.124371049926</v>
      </c>
      <c r="U191" s="7" t="s">
        <v>3979</v>
      </c>
    </row>
    <row r="192" spans="1:21" ht="16.5" thickBot="1">
      <c r="A192" s="47" t="s">
        <v>35</v>
      </c>
      <c r="B192" s="48">
        <f t="shared" si="9"/>
        <v>200</v>
      </c>
      <c r="C192" s="48" t="s">
        <v>3</v>
      </c>
      <c r="D192" s="48">
        <f t="shared" si="10"/>
        <v>360</v>
      </c>
      <c r="E192" s="48" t="s">
        <v>3</v>
      </c>
      <c r="F192" s="99">
        <f t="shared" si="11"/>
        <v>2100</v>
      </c>
      <c r="G192" s="48" t="s">
        <v>3</v>
      </c>
      <c r="H192" s="48">
        <v>8</v>
      </c>
      <c r="I192" s="49" t="s">
        <v>47</v>
      </c>
      <c r="J192" s="184">
        <v>200</v>
      </c>
      <c r="K192" s="75">
        <v>360</v>
      </c>
      <c r="L192" s="75">
        <v>2100</v>
      </c>
      <c r="M192" s="193">
        <v>36.224120498167366</v>
      </c>
      <c r="N192" s="87">
        <v>3279.191945547183</v>
      </c>
      <c r="O192" s="123">
        <v>56446.525563357158</v>
      </c>
      <c r="P192" s="121">
        <v>66966.094639673567</v>
      </c>
      <c r="Q192" s="310">
        <v>28809.845484094247</v>
      </c>
      <c r="R192" s="319">
        <v>85256.371047451408</v>
      </c>
      <c r="S192" s="315">
        <v>95775.94012376781</v>
      </c>
      <c r="U192" s="7" t="s">
        <v>3980</v>
      </c>
    </row>
    <row r="193" spans="1:21" ht="16.5" thickBot="1">
      <c r="A193" s="50" t="s">
        <v>35</v>
      </c>
      <c r="B193" s="51">
        <f t="shared" si="9"/>
        <v>200</v>
      </c>
      <c r="C193" s="51" t="s">
        <v>3</v>
      </c>
      <c r="D193" s="51">
        <f t="shared" si="10"/>
        <v>360</v>
      </c>
      <c r="E193" s="51" t="s">
        <v>3</v>
      </c>
      <c r="F193" s="99">
        <f t="shared" si="11"/>
        <v>2150</v>
      </c>
      <c r="G193" s="51" t="s">
        <v>3</v>
      </c>
      <c r="H193" s="48">
        <v>8</v>
      </c>
      <c r="I193" s="49" t="s">
        <v>47</v>
      </c>
      <c r="J193" s="184">
        <v>200</v>
      </c>
      <c r="K193" s="75">
        <v>360</v>
      </c>
      <c r="L193" s="75">
        <v>2150</v>
      </c>
      <c r="M193" s="193">
        <v>37.032028892529475</v>
      </c>
      <c r="N193" s="87">
        <v>3372.8831439913888</v>
      </c>
      <c r="O193" s="123">
        <v>57624.519376711592</v>
      </c>
      <c r="P193" s="121">
        <v>68369.731332711875</v>
      </c>
      <c r="Q193" s="310">
        <v>29363.442625597167</v>
      </c>
      <c r="R193" s="319">
        <v>86987.962002308763</v>
      </c>
      <c r="S193" s="315">
        <v>97733.173958309038</v>
      </c>
      <c r="U193" s="7" t="s">
        <v>3981</v>
      </c>
    </row>
    <row r="194" spans="1:21" ht="16.5" thickBot="1">
      <c r="A194" s="50" t="s">
        <v>35</v>
      </c>
      <c r="B194" s="51">
        <f t="shared" si="9"/>
        <v>200</v>
      </c>
      <c r="C194" s="51" t="s">
        <v>3</v>
      </c>
      <c r="D194" s="51">
        <f t="shared" si="10"/>
        <v>360</v>
      </c>
      <c r="E194" s="51" t="s">
        <v>3</v>
      </c>
      <c r="F194" s="99">
        <f t="shared" si="11"/>
        <v>2200</v>
      </c>
      <c r="G194" s="51" t="s">
        <v>3</v>
      </c>
      <c r="H194" s="48">
        <v>8</v>
      </c>
      <c r="I194" s="49" t="s">
        <v>47</v>
      </c>
      <c r="J194" s="184">
        <v>200</v>
      </c>
      <c r="K194" s="75">
        <v>360</v>
      </c>
      <c r="L194" s="75">
        <v>2200</v>
      </c>
      <c r="M194" s="193">
        <v>37.856977286891578</v>
      </c>
      <c r="N194" s="87">
        <v>3466.5743424355942</v>
      </c>
      <c r="O194" s="123">
        <v>58802.513330459369</v>
      </c>
      <c r="P194" s="121">
        <v>69773.368166143555</v>
      </c>
      <c r="Q194" s="310">
        <v>30147.621544883372</v>
      </c>
      <c r="R194" s="319">
        <v>88950.134875342745</v>
      </c>
      <c r="S194" s="315">
        <v>99920.989711026923</v>
      </c>
      <c r="U194" s="7" t="s">
        <v>3982</v>
      </c>
    </row>
    <row r="195" spans="1:21" ht="16.5" thickBot="1">
      <c r="A195" s="50" t="s">
        <v>35</v>
      </c>
      <c r="B195" s="51">
        <f t="shared" si="9"/>
        <v>200</v>
      </c>
      <c r="C195" s="51" t="s">
        <v>3</v>
      </c>
      <c r="D195" s="51">
        <f t="shared" si="10"/>
        <v>360</v>
      </c>
      <c r="E195" s="51" t="s">
        <v>3</v>
      </c>
      <c r="F195" s="99">
        <f t="shared" si="11"/>
        <v>2250</v>
      </c>
      <c r="G195" s="51" t="s">
        <v>3</v>
      </c>
      <c r="H195" s="48">
        <v>8</v>
      </c>
      <c r="I195" s="49" t="s">
        <v>47</v>
      </c>
      <c r="J195" s="184">
        <v>200</v>
      </c>
      <c r="K195" s="75">
        <v>360</v>
      </c>
      <c r="L195" s="75">
        <v>2250</v>
      </c>
      <c r="M195" s="193">
        <v>38.664885681253686</v>
      </c>
      <c r="N195" s="87">
        <v>3560.2655408797987</v>
      </c>
      <c r="O195" s="123">
        <v>59980.507284207168</v>
      </c>
      <c r="P195" s="121">
        <v>71177.004999575234</v>
      </c>
      <c r="Q195" s="310">
        <v>30701.218686386295</v>
      </c>
      <c r="R195" s="319">
        <v>90681.725970593456</v>
      </c>
      <c r="S195" s="315">
        <v>101878.22368596154</v>
      </c>
      <c r="U195" s="7" t="s">
        <v>3983</v>
      </c>
    </row>
    <row r="196" spans="1:21" ht="16.5" thickBot="1">
      <c r="A196" s="50" t="s">
        <v>35</v>
      </c>
      <c r="B196" s="51">
        <f t="shared" si="9"/>
        <v>200</v>
      </c>
      <c r="C196" s="51" t="s">
        <v>3</v>
      </c>
      <c r="D196" s="51">
        <f t="shared" si="10"/>
        <v>360</v>
      </c>
      <c r="E196" s="51" t="s">
        <v>3</v>
      </c>
      <c r="F196" s="99">
        <f t="shared" si="11"/>
        <v>2300</v>
      </c>
      <c r="G196" s="51" t="s">
        <v>3</v>
      </c>
      <c r="H196" s="48">
        <v>8</v>
      </c>
      <c r="I196" s="49" t="s">
        <v>47</v>
      </c>
      <c r="J196" s="184">
        <v>200</v>
      </c>
      <c r="K196" s="75">
        <v>360</v>
      </c>
      <c r="L196" s="75">
        <v>2300</v>
      </c>
      <c r="M196" s="193">
        <v>39.472794075615795</v>
      </c>
      <c r="N196" s="87">
        <v>3653.956739324004</v>
      </c>
      <c r="O196" s="123">
        <v>61158.501237954944</v>
      </c>
      <c r="P196" s="121">
        <v>72580.641833006899</v>
      </c>
      <c r="Q196" s="310">
        <v>31254.815827889219</v>
      </c>
      <c r="R196" s="319">
        <v>92413.317065844167</v>
      </c>
      <c r="S196" s="315">
        <v>103835.45766089612</v>
      </c>
      <c r="U196" s="7" t="s">
        <v>3984</v>
      </c>
    </row>
    <row r="197" spans="1:21" ht="16.5" thickBot="1">
      <c r="A197" s="50" t="s">
        <v>35</v>
      </c>
      <c r="B197" s="51">
        <f t="shared" si="9"/>
        <v>200</v>
      </c>
      <c r="C197" s="51" t="s">
        <v>3</v>
      </c>
      <c r="D197" s="51">
        <f t="shared" si="10"/>
        <v>360</v>
      </c>
      <c r="E197" s="51" t="s">
        <v>3</v>
      </c>
      <c r="F197" s="99">
        <f t="shared" si="11"/>
        <v>2350</v>
      </c>
      <c r="G197" s="51" t="s">
        <v>3</v>
      </c>
      <c r="H197" s="48">
        <v>8</v>
      </c>
      <c r="I197" s="49" t="s">
        <v>47</v>
      </c>
      <c r="J197" s="184">
        <v>200</v>
      </c>
      <c r="K197" s="75">
        <v>360</v>
      </c>
      <c r="L197" s="75">
        <v>2350</v>
      </c>
      <c r="M197" s="193">
        <v>40.297742469977891</v>
      </c>
      <c r="N197" s="87">
        <v>3747.6479377682094</v>
      </c>
      <c r="O197" s="123">
        <v>62336.495191702736</v>
      </c>
      <c r="P197" s="121">
        <v>73984.278666438579</v>
      </c>
      <c r="Q197" s="310">
        <v>32038.99474717542</v>
      </c>
      <c r="R197" s="319">
        <v>94375.489938878163</v>
      </c>
      <c r="S197" s="315">
        <v>106023.27341361399</v>
      </c>
      <c r="U197" s="7" t="s">
        <v>3985</v>
      </c>
    </row>
    <row r="198" spans="1:21" ht="16.5" thickBot="1">
      <c r="A198" s="50" t="s">
        <v>35</v>
      </c>
      <c r="B198" s="51">
        <f t="shared" si="9"/>
        <v>200</v>
      </c>
      <c r="C198" s="51" t="s">
        <v>3</v>
      </c>
      <c r="D198" s="51">
        <f t="shared" si="10"/>
        <v>360</v>
      </c>
      <c r="E198" s="51" t="s">
        <v>3</v>
      </c>
      <c r="F198" s="99">
        <f t="shared" si="11"/>
        <v>2400</v>
      </c>
      <c r="G198" s="51" t="s">
        <v>3</v>
      </c>
      <c r="H198" s="48">
        <v>8</v>
      </c>
      <c r="I198" s="49" t="s">
        <v>47</v>
      </c>
      <c r="J198" s="184">
        <v>200</v>
      </c>
      <c r="K198" s="75">
        <v>360</v>
      </c>
      <c r="L198" s="75">
        <v>2400</v>
      </c>
      <c r="M198" s="193">
        <v>41.105650864339992</v>
      </c>
      <c r="N198" s="87">
        <v>3841.3391362124139</v>
      </c>
      <c r="O198" s="123">
        <v>63514.489005057163</v>
      </c>
      <c r="P198" s="121">
        <v>75387.915499870258</v>
      </c>
      <c r="Q198" s="310">
        <v>32592.591888678344</v>
      </c>
      <c r="R198" s="319">
        <v>96107.080893735503</v>
      </c>
      <c r="S198" s="315">
        <v>107980.50738854861</v>
      </c>
      <c r="U198" s="7" t="s">
        <v>3986</v>
      </c>
    </row>
    <row r="199" spans="1:21" ht="16.5" thickBot="1">
      <c r="A199" s="50" t="s">
        <v>35</v>
      </c>
      <c r="B199" s="51">
        <f t="shared" si="9"/>
        <v>200</v>
      </c>
      <c r="C199" s="51" t="s">
        <v>3</v>
      </c>
      <c r="D199" s="51">
        <f t="shared" si="10"/>
        <v>360</v>
      </c>
      <c r="E199" s="51" t="s">
        <v>3</v>
      </c>
      <c r="F199" s="99">
        <f t="shared" si="11"/>
        <v>2450</v>
      </c>
      <c r="G199" s="51" t="s">
        <v>3</v>
      </c>
      <c r="H199" s="48">
        <v>8</v>
      </c>
      <c r="I199" s="49" t="s">
        <v>47</v>
      </c>
      <c r="J199" s="184">
        <v>200</v>
      </c>
      <c r="K199" s="75">
        <v>360</v>
      </c>
      <c r="L199" s="75">
        <v>2450</v>
      </c>
      <c r="M199" s="193">
        <v>42.166220552662104</v>
      </c>
      <c r="N199" s="87">
        <v>3935.0303346566197</v>
      </c>
      <c r="O199" s="123">
        <v>65444.952352450171</v>
      </c>
      <c r="P199" s="121">
        <v>77530.185820679413</v>
      </c>
      <c r="Q199" s="310">
        <v>33376.770807964545</v>
      </c>
      <c r="R199" s="319">
        <v>98821.723160414724</v>
      </c>
      <c r="S199" s="315">
        <v>110906.95662864397</v>
      </c>
      <c r="U199" s="7" t="s">
        <v>3987</v>
      </c>
    </row>
    <row r="200" spans="1:21" ht="16.5" thickBot="1">
      <c r="A200" s="50" t="s">
        <v>35</v>
      </c>
      <c r="B200" s="51">
        <f t="shared" si="9"/>
        <v>200</v>
      </c>
      <c r="C200" s="51" t="s">
        <v>3</v>
      </c>
      <c r="D200" s="51">
        <f t="shared" si="10"/>
        <v>360</v>
      </c>
      <c r="E200" s="51" t="s">
        <v>3</v>
      </c>
      <c r="F200" s="99">
        <f t="shared" si="11"/>
        <v>2500</v>
      </c>
      <c r="G200" s="51" t="s">
        <v>3</v>
      </c>
      <c r="H200" s="48">
        <v>8</v>
      </c>
      <c r="I200" s="49" t="s">
        <v>47</v>
      </c>
      <c r="J200" s="184">
        <v>200</v>
      </c>
      <c r="K200" s="75">
        <v>360</v>
      </c>
      <c r="L200" s="75">
        <v>2500</v>
      </c>
      <c r="M200" s="193">
        <v>42.974128947024212</v>
      </c>
      <c r="N200" s="87">
        <v>4028.7215331008247</v>
      </c>
      <c r="O200" s="123">
        <v>66622.946306197962</v>
      </c>
      <c r="P200" s="121">
        <v>78933.822654111093</v>
      </c>
      <c r="Q200" s="310">
        <v>33930.367949467472</v>
      </c>
      <c r="R200" s="319">
        <v>100553.31425566543</v>
      </c>
      <c r="S200" s="315">
        <v>112864.19060357857</v>
      </c>
      <c r="U200" s="7" t="s">
        <v>3988</v>
      </c>
    </row>
    <row r="201" spans="1:21" ht="16.5" thickBot="1">
      <c r="A201" s="50" t="s">
        <v>35</v>
      </c>
      <c r="B201" s="51">
        <f t="shared" si="9"/>
        <v>200</v>
      </c>
      <c r="C201" s="51" t="s">
        <v>3</v>
      </c>
      <c r="D201" s="51">
        <f t="shared" si="10"/>
        <v>360</v>
      </c>
      <c r="E201" s="51" t="s">
        <v>3</v>
      </c>
      <c r="F201" s="99">
        <f t="shared" si="11"/>
        <v>2550</v>
      </c>
      <c r="G201" s="51" t="s">
        <v>3</v>
      </c>
      <c r="H201" s="48">
        <v>8</v>
      </c>
      <c r="I201" s="49" t="s">
        <v>47</v>
      </c>
      <c r="J201" s="184">
        <v>200</v>
      </c>
      <c r="K201" s="75">
        <v>360</v>
      </c>
      <c r="L201" s="75">
        <v>2550</v>
      </c>
      <c r="M201" s="193">
        <v>43.799077341386308</v>
      </c>
      <c r="N201" s="87">
        <v>4122.4127315450305</v>
      </c>
      <c r="O201" s="123">
        <v>67800.940119552382</v>
      </c>
      <c r="P201" s="121">
        <v>80337.459487542772</v>
      </c>
      <c r="Q201" s="310">
        <v>34714.547009147034</v>
      </c>
      <c r="R201" s="319">
        <v>102515.48712869942</v>
      </c>
      <c r="S201" s="315">
        <v>115052.00649668981</v>
      </c>
      <c r="U201" s="7" t="s">
        <v>3989</v>
      </c>
    </row>
    <row r="202" spans="1:21" ht="16.5" thickBot="1">
      <c r="A202" s="47" t="s">
        <v>35</v>
      </c>
      <c r="B202" s="48">
        <f t="shared" si="9"/>
        <v>200</v>
      </c>
      <c r="C202" s="48" t="s">
        <v>3</v>
      </c>
      <c r="D202" s="48">
        <f t="shared" si="10"/>
        <v>360</v>
      </c>
      <c r="E202" s="48" t="s">
        <v>3</v>
      </c>
      <c r="F202" s="99">
        <f t="shared" si="11"/>
        <v>2600</v>
      </c>
      <c r="G202" s="48" t="s">
        <v>3</v>
      </c>
      <c r="H202" s="48">
        <v>8</v>
      </c>
      <c r="I202" s="49" t="s">
        <v>47</v>
      </c>
      <c r="J202" s="184">
        <v>200</v>
      </c>
      <c r="K202" s="75">
        <v>360</v>
      </c>
      <c r="L202" s="75">
        <v>2600</v>
      </c>
      <c r="M202" s="193">
        <v>44.606985735748424</v>
      </c>
      <c r="N202" s="87">
        <v>4216.1039299892354</v>
      </c>
      <c r="O202" s="123">
        <v>68978.934073300174</v>
      </c>
      <c r="P202" s="121">
        <v>81741.096320974451</v>
      </c>
      <c r="Q202" s="310">
        <v>35268.144150649961</v>
      </c>
      <c r="R202" s="319">
        <v>104247.07822395014</v>
      </c>
      <c r="S202" s="315">
        <v>117009.24047162442</v>
      </c>
      <c r="U202" s="7" t="s">
        <v>3990</v>
      </c>
    </row>
    <row r="203" spans="1:21" ht="16.5" thickBot="1">
      <c r="A203" s="50" t="s">
        <v>35</v>
      </c>
      <c r="B203" s="51">
        <f t="shared" si="9"/>
        <v>200</v>
      </c>
      <c r="C203" s="51" t="s">
        <v>3</v>
      </c>
      <c r="D203" s="51">
        <f t="shared" si="10"/>
        <v>360</v>
      </c>
      <c r="E203" s="51" t="s">
        <v>3</v>
      </c>
      <c r="F203" s="99">
        <f t="shared" si="11"/>
        <v>2650</v>
      </c>
      <c r="G203" s="51" t="s">
        <v>3</v>
      </c>
      <c r="H203" s="48">
        <v>8</v>
      </c>
      <c r="I203" s="49" t="s">
        <v>47</v>
      </c>
      <c r="J203" s="184">
        <v>200</v>
      </c>
      <c r="K203" s="75">
        <v>360</v>
      </c>
      <c r="L203" s="75">
        <v>2650</v>
      </c>
      <c r="M203" s="193">
        <v>45.431934130110534</v>
      </c>
      <c r="N203" s="87">
        <v>4309.7951284334404</v>
      </c>
      <c r="O203" s="123">
        <v>70156.928027047965</v>
      </c>
      <c r="P203" s="121">
        <v>83144.733154406116</v>
      </c>
      <c r="Q203" s="310">
        <v>36052.323069936159</v>
      </c>
      <c r="R203" s="319">
        <v>106209.25109698412</v>
      </c>
      <c r="S203" s="315">
        <v>119197.05622434228</v>
      </c>
      <c r="U203" s="7" t="s">
        <v>3991</v>
      </c>
    </row>
    <row r="204" spans="1:21" ht="16.5" thickBot="1">
      <c r="A204" s="50" t="s">
        <v>35</v>
      </c>
      <c r="B204" s="51">
        <f t="shared" si="9"/>
        <v>200</v>
      </c>
      <c r="C204" s="51" t="s">
        <v>3</v>
      </c>
      <c r="D204" s="51">
        <f t="shared" si="10"/>
        <v>360</v>
      </c>
      <c r="E204" s="51" t="s">
        <v>3</v>
      </c>
      <c r="F204" s="99">
        <f t="shared" si="11"/>
        <v>2700</v>
      </c>
      <c r="G204" s="51" t="s">
        <v>3</v>
      </c>
      <c r="H204" s="48">
        <v>8</v>
      </c>
      <c r="I204" s="49" t="s">
        <v>47</v>
      </c>
      <c r="J204" s="184">
        <v>200</v>
      </c>
      <c r="K204" s="75">
        <v>360</v>
      </c>
      <c r="L204" s="75">
        <v>2700</v>
      </c>
      <c r="M204" s="193">
        <v>46.396842524472639</v>
      </c>
      <c r="N204" s="87">
        <v>4403.4863268776462</v>
      </c>
      <c r="O204" s="123">
        <v>71489.230712206656</v>
      </c>
      <c r="P204" s="121">
        <v>84703.620758711084</v>
      </c>
      <c r="Q204" s="310">
        <v>36605.920211439086</v>
      </c>
      <c r="R204" s="319">
        <v>108095.15092364574</v>
      </c>
      <c r="S204" s="315">
        <v>121309.54097015018</v>
      </c>
      <c r="U204" s="7" t="s">
        <v>3992</v>
      </c>
    </row>
    <row r="205" spans="1:21">
      <c r="A205" s="52" t="s">
        <v>35</v>
      </c>
      <c r="B205" s="53">
        <f t="shared" si="9"/>
        <v>200</v>
      </c>
      <c r="C205" s="53" t="s">
        <v>3</v>
      </c>
      <c r="D205" s="53">
        <f t="shared" si="10"/>
        <v>360</v>
      </c>
      <c r="E205" s="53" t="s">
        <v>3</v>
      </c>
      <c r="F205" s="100">
        <f t="shared" si="11"/>
        <v>2750</v>
      </c>
      <c r="G205" s="53" t="s">
        <v>3</v>
      </c>
      <c r="H205" s="55">
        <v>8</v>
      </c>
      <c r="I205" s="54" t="s">
        <v>47</v>
      </c>
      <c r="J205" s="321">
        <v>200</v>
      </c>
      <c r="K205" s="322">
        <v>360</v>
      </c>
      <c r="L205" s="322">
        <v>2750</v>
      </c>
      <c r="M205" s="341">
        <v>47.204750918834733</v>
      </c>
      <c r="N205" s="306">
        <v>4497.1775253218511</v>
      </c>
      <c r="O205" s="307">
        <v>72667.224665954462</v>
      </c>
      <c r="P205" s="336">
        <v>86107.257592142763</v>
      </c>
      <c r="Q205" s="323">
        <v>37159.517352942006</v>
      </c>
      <c r="R205" s="324">
        <v>109826.74201889648</v>
      </c>
      <c r="S205" s="325">
        <v>123266.77494508476</v>
      </c>
      <c r="U205" s="7" t="s">
        <v>3993</v>
      </c>
    </row>
    <row r="206" spans="1:21" ht="16.5" thickBot="1">
      <c r="A206" s="350" t="s">
        <v>35</v>
      </c>
      <c r="B206" s="351">
        <f t="shared" si="9"/>
        <v>200</v>
      </c>
      <c r="C206" s="351" t="s">
        <v>3</v>
      </c>
      <c r="D206" s="351">
        <f t="shared" si="10"/>
        <v>360</v>
      </c>
      <c r="E206" s="351" t="s">
        <v>3</v>
      </c>
      <c r="F206" s="352">
        <f t="shared" si="11"/>
        <v>2800</v>
      </c>
      <c r="G206" s="351" t="s">
        <v>3</v>
      </c>
      <c r="H206" s="351">
        <v>8</v>
      </c>
      <c r="I206" s="353" t="s">
        <v>47</v>
      </c>
      <c r="J206" s="184">
        <v>200</v>
      </c>
      <c r="K206" s="75">
        <v>360</v>
      </c>
      <c r="L206" s="75">
        <v>2800</v>
      </c>
      <c r="M206" s="193">
        <v>48.029699313196843</v>
      </c>
      <c r="N206" s="87">
        <v>4590.868723766057</v>
      </c>
      <c r="O206" s="123">
        <v>73845.218619702238</v>
      </c>
      <c r="P206" s="121">
        <v>87510.894425574428</v>
      </c>
      <c r="Q206" s="310">
        <v>37943.696272228204</v>
      </c>
      <c r="R206" s="319">
        <v>111788.91489193044</v>
      </c>
      <c r="S206" s="315">
        <v>125454.59069780263</v>
      </c>
      <c r="U206" s="7" t="s">
        <v>3994</v>
      </c>
    </row>
    <row r="207" spans="1:21" ht="16.5" thickBot="1">
      <c r="A207" s="50" t="s">
        <v>35</v>
      </c>
      <c r="B207" s="51">
        <f t="shared" si="9"/>
        <v>200</v>
      </c>
      <c r="C207" s="51" t="s">
        <v>3</v>
      </c>
      <c r="D207" s="51">
        <f t="shared" si="10"/>
        <v>360</v>
      </c>
      <c r="E207" s="51" t="s">
        <v>3</v>
      </c>
      <c r="F207" s="99">
        <f t="shared" si="11"/>
        <v>2850</v>
      </c>
      <c r="G207" s="51" t="s">
        <v>3</v>
      </c>
      <c r="H207" s="48">
        <v>8</v>
      </c>
      <c r="I207" s="49" t="s">
        <v>47</v>
      </c>
      <c r="J207" s="184">
        <v>200</v>
      </c>
      <c r="K207" s="75">
        <v>360</v>
      </c>
      <c r="L207" s="75">
        <v>2850</v>
      </c>
      <c r="M207" s="193">
        <v>48.837607707558945</v>
      </c>
      <c r="N207" s="87">
        <v>4684.5599222102619</v>
      </c>
      <c r="O207" s="123">
        <v>75023.212433056673</v>
      </c>
      <c r="P207" s="121">
        <v>88914.531259006108</v>
      </c>
      <c r="Q207" s="310">
        <v>38497.293413731131</v>
      </c>
      <c r="R207" s="319">
        <v>113520.5058467878</v>
      </c>
      <c r="S207" s="315">
        <v>127411.82467273725</v>
      </c>
      <c r="U207" s="7" t="s">
        <v>3995</v>
      </c>
    </row>
    <row r="208" spans="1:21" ht="16.5" thickBot="1">
      <c r="A208" s="50" t="s">
        <v>35</v>
      </c>
      <c r="B208" s="51">
        <f t="shared" si="9"/>
        <v>200</v>
      </c>
      <c r="C208" s="51" t="s">
        <v>3</v>
      </c>
      <c r="D208" s="51">
        <f t="shared" si="10"/>
        <v>360</v>
      </c>
      <c r="E208" s="51" t="s">
        <v>3</v>
      </c>
      <c r="F208" s="99">
        <f t="shared" si="11"/>
        <v>2900</v>
      </c>
      <c r="G208" s="51" t="s">
        <v>3</v>
      </c>
      <c r="H208" s="48">
        <v>8</v>
      </c>
      <c r="I208" s="49" t="s">
        <v>47</v>
      </c>
      <c r="J208" s="184">
        <v>200</v>
      </c>
      <c r="K208" s="75">
        <v>360</v>
      </c>
      <c r="L208" s="75">
        <v>2900</v>
      </c>
      <c r="M208" s="193">
        <v>49.662556101921055</v>
      </c>
      <c r="N208" s="87">
        <v>4778.2511206544668</v>
      </c>
      <c r="O208" s="123">
        <v>76201.20638680445</v>
      </c>
      <c r="P208" s="121">
        <v>90318.168092437787</v>
      </c>
      <c r="Q208" s="310">
        <v>39281.472333017329</v>
      </c>
      <c r="R208" s="319">
        <v>115482.67871982178</v>
      </c>
      <c r="S208" s="315">
        <v>129599.64042545512</v>
      </c>
      <c r="U208" s="7" t="s">
        <v>3996</v>
      </c>
    </row>
    <row r="209" spans="1:21" ht="16.5" thickBot="1">
      <c r="A209" s="50" t="s">
        <v>35</v>
      </c>
      <c r="B209" s="51">
        <f t="shared" si="9"/>
        <v>200</v>
      </c>
      <c r="C209" s="51" t="s">
        <v>3</v>
      </c>
      <c r="D209" s="51">
        <f t="shared" si="10"/>
        <v>360</v>
      </c>
      <c r="E209" s="51" t="s">
        <v>3</v>
      </c>
      <c r="F209" s="99">
        <f t="shared" si="11"/>
        <v>2950</v>
      </c>
      <c r="G209" s="51" t="s">
        <v>3</v>
      </c>
      <c r="H209" s="48">
        <v>8</v>
      </c>
      <c r="I209" s="49" t="s">
        <v>47</v>
      </c>
      <c r="J209" s="184">
        <v>200</v>
      </c>
      <c r="K209" s="75">
        <v>360</v>
      </c>
      <c r="L209" s="75">
        <v>2950</v>
      </c>
      <c r="M209" s="193">
        <v>50.470464496283157</v>
      </c>
      <c r="N209" s="87">
        <v>4871.9423190986727</v>
      </c>
      <c r="O209" s="123">
        <v>77379.200340552241</v>
      </c>
      <c r="P209" s="121">
        <v>91721.804925869452</v>
      </c>
      <c r="Q209" s="310">
        <v>39835.069474520256</v>
      </c>
      <c r="R209" s="319">
        <v>117214.2698150725</v>
      </c>
      <c r="S209" s="315">
        <v>131556.8744003897</v>
      </c>
      <c r="U209" s="7" t="s">
        <v>3997</v>
      </c>
    </row>
    <row r="210" spans="1:21" ht="16.5" thickBot="1">
      <c r="A210" s="50" t="s">
        <v>35</v>
      </c>
      <c r="B210" s="51">
        <f t="shared" si="9"/>
        <v>200</v>
      </c>
      <c r="C210" s="51" t="s">
        <v>3</v>
      </c>
      <c r="D210" s="51">
        <f t="shared" si="10"/>
        <v>360</v>
      </c>
      <c r="E210" s="51" t="s">
        <v>3</v>
      </c>
      <c r="F210" s="99">
        <f t="shared" si="11"/>
        <v>3000</v>
      </c>
      <c r="G210" s="51" t="s">
        <v>3</v>
      </c>
      <c r="H210" s="48">
        <v>8</v>
      </c>
      <c r="I210" s="49" t="s">
        <v>47</v>
      </c>
      <c r="J210" s="186">
        <v>200</v>
      </c>
      <c r="K210" s="147">
        <v>360</v>
      </c>
      <c r="L210" s="147">
        <v>3000</v>
      </c>
      <c r="M210" s="194">
        <v>51.295412890645267</v>
      </c>
      <c r="N210" s="148">
        <v>4965.6335175428767</v>
      </c>
      <c r="O210" s="149">
        <v>79732.351600158509</v>
      </c>
      <c r="P210" s="158">
        <v>93125.44161890776</v>
      </c>
      <c r="Q210" s="311">
        <v>40619.248393806454</v>
      </c>
      <c r="R210" s="320">
        <v>120351.59999396496</v>
      </c>
      <c r="S210" s="317">
        <v>133744.69001271421</v>
      </c>
      <c r="U210" s="7" t="s">
        <v>3998</v>
      </c>
    </row>
    <row r="211" spans="1:21">
      <c r="M211" s="94"/>
      <c r="P211" s="93"/>
      <c r="Q211" s="118"/>
      <c r="S211" s="93"/>
    </row>
    <row r="212" spans="1:21">
      <c r="A212" s="74"/>
      <c r="B212" s="74"/>
      <c r="C212" s="74"/>
      <c r="D212" s="74"/>
      <c r="E212" s="74"/>
      <c r="F212" s="74"/>
      <c r="G212" s="74"/>
      <c r="H212" s="74"/>
      <c r="I212" s="74"/>
      <c r="J212" s="74"/>
      <c r="K212" s="74"/>
      <c r="L212" s="74"/>
      <c r="M212" s="94"/>
      <c r="N212" s="74"/>
      <c r="O212" s="74"/>
      <c r="P212" s="93"/>
      <c r="Q212" s="118"/>
      <c r="R212" s="74"/>
      <c r="S212" s="93"/>
    </row>
    <row r="213" spans="1:21">
      <c r="A213" s="74"/>
      <c r="B213" s="74"/>
      <c r="C213" s="74"/>
      <c r="D213" s="74"/>
      <c r="E213" s="74"/>
      <c r="F213" s="74"/>
      <c r="G213" s="74"/>
      <c r="H213" s="74"/>
      <c r="I213" s="74"/>
      <c r="J213" s="74"/>
      <c r="K213" s="74"/>
      <c r="L213" s="74"/>
      <c r="M213" s="94"/>
      <c r="N213" s="74"/>
      <c r="O213" s="74"/>
      <c r="P213" s="93"/>
      <c r="Q213" s="118"/>
      <c r="R213" s="74"/>
      <c r="S213" s="93"/>
    </row>
    <row r="214" spans="1:21">
      <c r="A214" s="74"/>
      <c r="B214" s="74"/>
      <c r="C214" s="74"/>
      <c r="D214" s="74"/>
      <c r="E214" s="74"/>
      <c r="F214" s="74"/>
      <c r="G214" s="74"/>
      <c r="H214" s="74"/>
      <c r="I214" s="74"/>
      <c r="J214" s="74"/>
      <c r="K214" s="74"/>
      <c r="L214" s="74"/>
      <c r="M214" s="94"/>
      <c r="N214" s="74"/>
      <c r="O214" s="74"/>
      <c r="P214" s="93"/>
      <c r="Q214" s="118"/>
      <c r="R214" s="74"/>
      <c r="S214" s="93"/>
    </row>
    <row r="215" spans="1:21">
      <c r="A215" s="74"/>
      <c r="B215" s="74"/>
      <c r="C215" s="74"/>
      <c r="D215" s="74"/>
      <c r="E215" s="74"/>
      <c r="F215" s="74"/>
      <c r="G215" s="74"/>
      <c r="H215" s="74"/>
      <c r="I215" s="74"/>
      <c r="J215" s="74"/>
      <c r="K215" s="74"/>
      <c r="L215" s="74"/>
      <c r="M215" s="94"/>
      <c r="N215" s="74"/>
      <c r="O215" s="74"/>
      <c r="P215" s="93"/>
      <c r="Q215" s="118"/>
      <c r="R215" s="74"/>
      <c r="S215" s="93"/>
    </row>
    <row r="216" spans="1:21">
      <c r="A216" s="74"/>
      <c r="B216" s="74"/>
      <c r="C216" s="74"/>
      <c r="D216" s="74"/>
      <c r="E216" s="74"/>
      <c r="F216" s="74"/>
      <c r="G216" s="74"/>
      <c r="H216" s="74"/>
      <c r="I216" s="74"/>
      <c r="J216" s="74"/>
      <c r="K216" s="74"/>
      <c r="L216" s="74"/>
      <c r="M216" s="94"/>
      <c r="N216" s="74"/>
      <c r="O216" s="74"/>
      <c r="P216" s="93"/>
      <c r="Q216" s="118"/>
      <c r="R216" s="74"/>
      <c r="S216" s="93"/>
    </row>
    <row r="217" spans="1:21">
      <c r="A217" s="74"/>
      <c r="B217" s="74"/>
      <c r="C217" s="74"/>
      <c r="D217" s="74"/>
      <c r="E217" s="74"/>
      <c r="F217" s="74"/>
      <c r="G217" s="74"/>
      <c r="H217" s="74"/>
      <c r="I217" s="74"/>
      <c r="J217" s="74"/>
      <c r="K217" s="74"/>
      <c r="L217" s="74"/>
      <c r="M217" s="94"/>
      <c r="N217" s="74"/>
      <c r="O217" s="74"/>
      <c r="P217" s="93"/>
      <c r="Q217" s="118"/>
      <c r="R217" s="74"/>
      <c r="S217" s="93"/>
    </row>
    <row r="218" spans="1:21">
      <c r="A218" s="74"/>
      <c r="B218" s="74"/>
      <c r="C218" s="74"/>
      <c r="D218" s="74"/>
      <c r="E218" s="74"/>
      <c r="F218" s="74"/>
      <c r="G218" s="74"/>
      <c r="H218" s="74"/>
      <c r="I218" s="74"/>
      <c r="J218" s="74"/>
      <c r="K218" s="74"/>
      <c r="L218" s="74"/>
      <c r="M218" s="94"/>
      <c r="N218" s="74"/>
      <c r="O218" s="74"/>
      <c r="P218" s="93"/>
      <c r="Q218" s="118"/>
      <c r="R218" s="74"/>
      <c r="S218" s="93"/>
    </row>
    <row r="219" spans="1:21">
      <c r="A219" s="74"/>
      <c r="B219" s="74"/>
      <c r="C219" s="74"/>
      <c r="D219" s="74"/>
      <c r="E219" s="74"/>
      <c r="F219" s="74"/>
      <c r="G219" s="74"/>
      <c r="H219" s="74"/>
      <c r="I219" s="74"/>
      <c r="J219" s="74"/>
      <c r="K219" s="74"/>
      <c r="L219" s="74"/>
      <c r="M219" s="94"/>
      <c r="N219" s="74"/>
      <c r="O219" s="74"/>
      <c r="P219" s="93"/>
      <c r="Q219" s="118"/>
      <c r="R219" s="74"/>
      <c r="S219" s="93"/>
    </row>
    <row r="220" spans="1:21">
      <c r="A220" s="74"/>
      <c r="B220" s="74"/>
      <c r="C220" s="74"/>
      <c r="D220" s="74"/>
      <c r="E220" s="74"/>
      <c r="F220" s="74"/>
      <c r="G220" s="74"/>
      <c r="H220" s="74"/>
      <c r="I220" s="74"/>
      <c r="J220" s="74"/>
      <c r="K220" s="74"/>
      <c r="L220" s="74"/>
      <c r="M220" s="94"/>
      <c r="N220" s="74"/>
      <c r="O220" s="74"/>
      <c r="P220" s="93"/>
      <c r="Q220" s="118"/>
      <c r="R220" s="74"/>
      <c r="S220" s="93"/>
    </row>
    <row r="221" spans="1:21">
      <c r="A221" s="74"/>
      <c r="B221" s="74"/>
      <c r="C221" s="74"/>
      <c r="D221" s="74"/>
      <c r="E221" s="74"/>
      <c r="F221" s="74"/>
      <c r="G221" s="74"/>
      <c r="H221" s="74"/>
      <c r="I221" s="74"/>
      <c r="J221" s="74"/>
      <c r="K221" s="74"/>
      <c r="L221" s="74"/>
      <c r="M221" s="94"/>
      <c r="N221" s="74"/>
      <c r="O221" s="74"/>
      <c r="P221" s="93"/>
      <c r="Q221" s="118"/>
      <c r="R221" s="74"/>
      <c r="S221" s="93"/>
    </row>
    <row r="222" spans="1:21">
      <c r="A222" s="74"/>
      <c r="B222" s="74"/>
      <c r="C222" s="74"/>
      <c r="D222" s="74"/>
      <c r="E222" s="74"/>
      <c r="F222" s="74"/>
      <c r="G222" s="74"/>
      <c r="H222" s="74"/>
      <c r="I222" s="74"/>
      <c r="J222" s="74"/>
      <c r="K222" s="74"/>
      <c r="L222" s="74"/>
      <c r="M222" s="94"/>
      <c r="N222" s="74"/>
      <c r="O222" s="74"/>
      <c r="P222" s="93"/>
      <c r="Q222" s="118"/>
      <c r="R222" s="74"/>
      <c r="S222" s="93"/>
    </row>
    <row r="223" spans="1:21">
      <c r="A223" s="74"/>
      <c r="B223" s="74"/>
      <c r="C223" s="74"/>
      <c r="D223" s="74"/>
      <c r="E223" s="74"/>
      <c r="F223" s="74"/>
      <c r="G223" s="74"/>
      <c r="H223" s="74"/>
      <c r="I223" s="74"/>
      <c r="J223" s="74"/>
      <c r="K223" s="74"/>
      <c r="L223" s="74"/>
      <c r="M223" s="94"/>
      <c r="N223" s="74"/>
      <c r="O223" s="74"/>
      <c r="P223" s="93"/>
      <c r="Q223" s="118"/>
      <c r="R223" s="74"/>
      <c r="S223" s="93"/>
    </row>
    <row r="224" spans="1:21">
      <c r="A224" s="74"/>
      <c r="B224" s="74"/>
      <c r="C224" s="74"/>
      <c r="D224" s="74"/>
      <c r="E224" s="74"/>
      <c r="F224" s="74"/>
      <c r="G224" s="74"/>
      <c r="H224" s="74"/>
      <c r="I224" s="74"/>
      <c r="J224" s="74"/>
      <c r="K224" s="74"/>
      <c r="L224" s="74"/>
      <c r="M224" s="94"/>
      <c r="N224" s="74"/>
      <c r="O224" s="74"/>
      <c r="P224" s="93"/>
      <c r="Q224" s="118"/>
      <c r="R224" s="74"/>
      <c r="S224" s="93"/>
    </row>
    <row r="225" spans="1:19">
      <c r="A225" s="74"/>
      <c r="B225" s="74"/>
      <c r="C225" s="74"/>
      <c r="D225" s="74"/>
      <c r="E225" s="74"/>
      <c r="F225" s="74"/>
      <c r="G225" s="74"/>
      <c r="H225" s="74"/>
      <c r="I225" s="74"/>
      <c r="J225" s="74"/>
      <c r="K225" s="74"/>
      <c r="L225" s="74"/>
      <c r="M225" s="94"/>
      <c r="N225" s="74"/>
      <c r="O225" s="74"/>
      <c r="P225" s="93"/>
      <c r="Q225" s="118"/>
      <c r="R225" s="74"/>
      <c r="S225" s="93"/>
    </row>
    <row r="226" spans="1:19">
      <c r="A226" s="74"/>
      <c r="B226" s="74"/>
      <c r="C226" s="74"/>
      <c r="D226" s="74"/>
      <c r="E226" s="74"/>
      <c r="F226" s="74"/>
      <c r="G226" s="74"/>
      <c r="H226" s="74"/>
      <c r="I226" s="74"/>
      <c r="J226" s="74"/>
      <c r="K226" s="74"/>
      <c r="L226" s="74"/>
      <c r="M226" s="94"/>
      <c r="N226" s="74"/>
      <c r="O226" s="74"/>
      <c r="P226" s="93"/>
      <c r="Q226" s="118"/>
      <c r="R226" s="74"/>
      <c r="S226" s="93"/>
    </row>
    <row r="227" spans="1:19">
      <c r="A227" s="74"/>
      <c r="B227" s="74"/>
      <c r="C227" s="74"/>
      <c r="D227" s="74"/>
      <c r="E227" s="74"/>
      <c r="F227" s="74"/>
      <c r="G227" s="74"/>
      <c r="H227" s="74"/>
      <c r="I227" s="74"/>
      <c r="J227" s="74"/>
      <c r="K227" s="74"/>
      <c r="L227" s="74"/>
      <c r="M227" s="94"/>
      <c r="N227" s="74"/>
      <c r="O227" s="74"/>
      <c r="P227" s="93"/>
      <c r="Q227" s="118"/>
      <c r="R227" s="74"/>
      <c r="S227" s="93"/>
    </row>
    <row r="228" spans="1:19">
      <c r="A228" s="74"/>
      <c r="B228" s="74"/>
      <c r="C228" s="74"/>
      <c r="D228" s="74"/>
      <c r="E228" s="74"/>
      <c r="F228" s="74"/>
      <c r="G228" s="74"/>
      <c r="H228" s="74"/>
      <c r="I228" s="74"/>
      <c r="J228" s="74"/>
      <c r="K228" s="74"/>
      <c r="L228" s="74"/>
      <c r="M228" s="94"/>
      <c r="N228" s="74"/>
      <c r="O228" s="74"/>
      <c r="P228" s="93"/>
      <c r="Q228" s="118"/>
      <c r="R228" s="74"/>
      <c r="S228" s="93"/>
    </row>
    <row r="229" spans="1:19">
      <c r="A229" s="74"/>
      <c r="B229" s="74"/>
      <c r="C229" s="74"/>
      <c r="D229" s="74"/>
      <c r="E229" s="74"/>
      <c r="F229" s="74"/>
      <c r="G229" s="74"/>
      <c r="H229" s="74"/>
      <c r="I229" s="74"/>
      <c r="J229" s="74"/>
      <c r="K229" s="74"/>
      <c r="L229" s="74"/>
      <c r="M229" s="94"/>
      <c r="N229" s="74"/>
      <c r="O229" s="74"/>
      <c r="P229" s="93"/>
      <c r="Q229" s="118"/>
      <c r="R229" s="74"/>
      <c r="S229" s="93"/>
    </row>
    <row r="230" spans="1:19">
      <c r="A230" s="74"/>
      <c r="B230" s="74"/>
      <c r="C230" s="74"/>
      <c r="D230" s="74"/>
      <c r="E230" s="74"/>
      <c r="F230" s="74"/>
      <c r="G230" s="74"/>
      <c r="H230" s="74"/>
      <c r="I230" s="74"/>
      <c r="J230" s="74"/>
      <c r="K230" s="74"/>
      <c r="L230" s="74"/>
      <c r="M230" s="94"/>
      <c r="N230" s="74"/>
      <c r="O230" s="74"/>
      <c r="P230" s="93"/>
      <c r="Q230" s="118"/>
      <c r="R230" s="74"/>
      <c r="S230" s="93"/>
    </row>
    <row r="231" spans="1:19">
      <c r="A231" s="74"/>
      <c r="B231" s="74"/>
      <c r="C231" s="74"/>
      <c r="D231" s="74"/>
      <c r="E231" s="74"/>
      <c r="F231" s="74"/>
      <c r="G231" s="74"/>
      <c r="H231" s="74"/>
      <c r="I231" s="74"/>
      <c r="J231" s="74"/>
      <c r="K231" s="74"/>
      <c r="L231" s="74"/>
      <c r="M231" s="94"/>
      <c r="N231" s="74"/>
      <c r="O231" s="74"/>
      <c r="P231" s="93"/>
      <c r="Q231" s="118"/>
      <c r="R231" s="74"/>
      <c r="S231" s="93"/>
    </row>
    <row r="232" spans="1:19">
      <c r="A232" s="74"/>
      <c r="B232" s="74"/>
      <c r="C232" s="74"/>
      <c r="D232" s="74"/>
      <c r="E232" s="74"/>
      <c r="F232" s="74"/>
      <c r="G232" s="74"/>
      <c r="H232" s="74"/>
      <c r="I232" s="74"/>
      <c r="J232" s="74"/>
      <c r="K232" s="74"/>
      <c r="L232" s="74"/>
      <c r="M232" s="94"/>
      <c r="N232" s="74"/>
      <c r="O232" s="74"/>
      <c r="P232" s="93"/>
      <c r="Q232" s="118"/>
      <c r="R232" s="74"/>
      <c r="S232" s="93"/>
    </row>
    <row r="233" spans="1:19">
      <c r="A233" s="74"/>
      <c r="B233" s="74"/>
      <c r="C233" s="74"/>
      <c r="D233" s="74"/>
      <c r="E233" s="74"/>
      <c r="F233" s="74"/>
      <c r="G233" s="74"/>
      <c r="H233" s="74"/>
      <c r="I233" s="74"/>
      <c r="J233" s="74"/>
      <c r="K233" s="74"/>
      <c r="L233" s="74"/>
      <c r="M233" s="94"/>
      <c r="N233" s="74"/>
      <c r="O233" s="74"/>
      <c r="P233" s="93"/>
      <c r="Q233" s="118"/>
      <c r="R233" s="74"/>
      <c r="S233" s="93"/>
    </row>
    <row r="234" spans="1:19">
      <c r="A234" s="74"/>
      <c r="B234" s="74"/>
      <c r="C234" s="74"/>
      <c r="D234" s="74"/>
      <c r="E234" s="74"/>
      <c r="F234" s="74"/>
      <c r="G234" s="74"/>
      <c r="H234" s="74"/>
      <c r="I234" s="74"/>
      <c r="J234" s="74"/>
      <c r="K234" s="74"/>
      <c r="L234" s="74"/>
      <c r="M234" s="94"/>
      <c r="N234" s="74"/>
      <c r="O234" s="74"/>
      <c r="P234" s="93"/>
      <c r="Q234" s="118"/>
      <c r="R234" s="74"/>
      <c r="S234" s="93"/>
    </row>
    <row r="235" spans="1:19">
      <c r="A235" s="74"/>
      <c r="B235" s="74"/>
      <c r="C235" s="74"/>
      <c r="D235" s="74"/>
      <c r="E235" s="74"/>
      <c r="F235" s="74"/>
      <c r="G235" s="74"/>
      <c r="H235" s="74"/>
      <c r="I235" s="74"/>
      <c r="J235" s="74"/>
      <c r="K235" s="74"/>
      <c r="L235" s="74"/>
      <c r="M235" s="94"/>
      <c r="N235" s="74"/>
      <c r="O235" s="74"/>
      <c r="P235" s="93"/>
      <c r="Q235" s="118"/>
      <c r="R235" s="74"/>
      <c r="S235" s="93"/>
    </row>
    <row r="236" spans="1:19">
      <c r="A236" s="74"/>
      <c r="B236" s="74"/>
      <c r="C236" s="74"/>
      <c r="D236" s="74"/>
      <c r="E236" s="74"/>
      <c r="F236" s="74"/>
      <c r="G236" s="74"/>
      <c r="H236" s="74"/>
      <c r="I236" s="74"/>
      <c r="J236" s="74"/>
      <c r="K236" s="74"/>
      <c r="L236" s="74"/>
      <c r="M236" s="94"/>
      <c r="N236" s="74"/>
      <c r="O236" s="74"/>
      <c r="P236" s="93"/>
      <c r="Q236" s="118"/>
      <c r="R236" s="74"/>
      <c r="S236" s="93"/>
    </row>
    <row r="237" spans="1:19">
      <c r="M237" s="94"/>
      <c r="P237" s="93"/>
      <c r="S237" s="93"/>
    </row>
    <row r="238" spans="1:19">
      <c r="M238" s="94"/>
      <c r="P238" s="93"/>
      <c r="S238" s="93"/>
    </row>
    <row r="239" spans="1:19">
      <c r="M239" s="94"/>
      <c r="P239" s="93"/>
      <c r="S239" s="93"/>
    </row>
    <row r="240" spans="1:19">
      <c r="M240" s="94"/>
      <c r="P240" s="93"/>
      <c r="S240" s="93"/>
    </row>
    <row r="241" spans="13:19">
      <c r="M241" s="94"/>
      <c r="P241" s="93"/>
      <c r="S241" s="93"/>
    </row>
    <row r="242" spans="13:19">
      <c r="M242" s="94"/>
      <c r="P242" s="93"/>
      <c r="S242" s="93"/>
    </row>
    <row r="243" spans="13:19">
      <c r="M243" s="94"/>
      <c r="P243" s="93"/>
      <c r="S243" s="93"/>
    </row>
    <row r="244" spans="13:19">
      <c r="M244" s="94"/>
      <c r="P244" s="93"/>
      <c r="S244" s="93"/>
    </row>
    <row r="245" spans="13:19">
      <c r="M245" s="94"/>
      <c r="P245" s="93"/>
      <c r="S245" s="93"/>
    </row>
    <row r="246" spans="13:19">
      <c r="M246" s="94"/>
      <c r="P246" s="93"/>
      <c r="S246" s="93"/>
    </row>
    <row r="247" spans="13:19">
      <c r="M247" s="94"/>
      <c r="P247" s="93"/>
      <c r="S247" s="93"/>
    </row>
    <row r="248" spans="13:19">
      <c r="M248" s="94"/>
      <c r="P248" s="93"/>
      <c r="S248" s="93"/>
    </row>
    <row r="249" spans="13:19">
      <c r="M249" s="94"/>
      <c r="P249" s="93"/>
      <c r="S249" s="93"/>
    </row>
    <row r="250" spans="13:19">
      <c r="M250" s="94"/>
      <c r="P250" s="93"/>
      <c r="S250" s="93"/>
    </row>
    <row r="251" spans="13:19">
      <c r="M251" s="94"/>
      <c r="P251" s="93"/>
      <c r="S251" s="93"/>
    </row>
    <row r="252" spans="13:19">
      <c r="M252" s="94"/>
      <c r="P252" s="93"/>
      <c r="S252" s="93"/>
    </row>
    <row r="253" spans="13:19">
      <c r="M253" s="94"/>
      <c r="P253" s="93"/>
      <c r="S253" s="93"/>
    </row>
    <row r="254" spans="13:19">
      <c r="M254" s="94"/>
      <c r="P254" s="93"/>
      <c r="S254" s="93"/>
    </row>
    <row r="255" spans="13:19">
      <c r="M255" s="94"/>
      <c r="P255" s="93"/>
      <c r="S255" s="93"/>
    </row>
    <row r="256" spans="13:19">
      <c r="M256" s="94"/>
      <c r="P256" s="93"/>
      <c r="S256" s="93"/>
    </row>
    <row r="257" spans="13:19">
      <c r="M257" s="94"/>
      <c r="P257" s="93"/>
      <c r="S257" s="93"/>
    </row>
    <row r="258" spans="13:19">
      <c r="M258" s="94"/>
      <c r="P258" s="93"/>
      <c r="S258" s="93"/>
    </row>
    <row r="259" spans="13:19">
      <c r="M259" s="94"/>
      <c r="P259" s="93"/>
      <c r="S259" s="93"/>
    </row>
    <row r="260" spans="13:19">
      <c r="M260" s="94"/>
      <c r="P260" s="93"/>
      <c r="S260" s="93"/>
    </row>
    <row r="261" spans="13:19">
      <c r="M261" s="94"/>
      <c r="P261" s="93"/>
      <c r="S261" s="93"/>
    </row>
    <row r="262" spans="13:19">
      <c r="M262" s="94"/>
      <c r="P262" s="93"/>
      <c r="S262" s="93"/>
    </row>
    <row r="263" spans="13:19">
      <c r="M263" s="94"/>
      <c r="P263" s="93"/>
      <c r="S263" s="93"/>
    </row>
    <row r="264" spans="13:19">
      <c r="M264" s="94"/>
      <c r="P264" s="93"/>
      <c r="S264" s="93"/>
    </row>
    <row r="265" spans="13:19">
      <c r="M265" s="94"/>
      <c r="P265" s="93"/>
      <c r="S265" s="93"/>
    </row>
    <row r="266" spans="13:19">
      <c r="M266" s="94"/>
      <c r="P266" s="93"/>
      <c r="S266" s="93"/>
    </row>
    <row r="267" spans="13:19">
      <c r="M267" s="94"/>
      <c r="P267" s="93"/>
      <c r="S267" s="93"/>
    </row>
    <row r="268" spans="13:19">
      <c r="M268" s="94"/>
      <c r="P268" s="93"/>
      <c r="S268" s="93"/>
    </row>
    <row r="269" spans="13:19">
      <c r="M269" s="94"/>
      <c r="P269" s="93"/>
      <c r="S269" s="93"/>
    </row>
    <row r="270" spans="13:19">
      <c r="M270" s="94"/>
      <c r="P270" s="93"/>
      <c r="S270" s="93"/>
    </row>
    <row r="271" spans="13:19">
      <c r="M271" s="94"/>
      <c r="P271" s="93"/>
      <c r="S271" s="93"/>
    </row>
    <row r="272" spans="13:19">
      <c r="M272" s="94"/>
      <c r="P272" s="93"/>
      <c r="S272" s="93"/>
    </row>
    <row r="273" spans="13:19">
      <c r="M273" s="94"/>
      <c r="P273" s="93"/>
      <c r="S273" s="93"/>
    </row>
    <row r="274" spans="13:19">
      <c r="M274" s="94"/>
      <c r="P274" s="93"/>
      <c r="S274" s="93"/>
    </row>
    <row r="275" spans="13:19">
      <c r="M275" s="94"/>
      <c r="P275" s="93"/>
      <c r="S275" s="93"/>
    </row>
    <row r="276" spans="13:19">
      <c r="M276" s="94"/>
      <c r="P276" s="93"/>
      <c r="S276" s="93"/>
    </row>
    <row r="277" spans="13:19">
      <c r="M277" s="94"/>
      <c r="P277" s="93"/>
      <c r="S277" s="93"/>
    </row>
    <row r="278" spans="13:19">
      <c r="M278" s="94"/>
      <c r="P278" s="93"/>
      <c r="S278" s="93"/>
    </row>
    <row r="279" spans="13:19">
      <c r="M279" s="94"/>
      <c r="P279" s="93"/>
      <c r="S279" s="93"/>
    </row>
    <row r="280" spans="13:19">
      <c r="M280" s="94"/>
      <c r="P280" s="93"/>
      <c r="S280" s="93"/>
    </row>
    <row r="281" spans="13:19">
      <c r="M281" s="94"/>
      <c r="P281" s="93"/>
      <c r="S281" s="93"/>
    </row>
    <row r="282" spans="13:19">
      <c r="M282" s="94"/>
      <c r="P282" s="93"/>
      <c r="S282" s="93"/>
    </row>
    <row r="283" spans="13:19">
      <c r="M283" s="94"/>
      <c r="P283" s="93"/>
      <c r="S283" s="93"/>
    </row>
    <row r="284" spans="13:19">
      <c r="M284" s="94"/>
      <c r="P284" s="93"/>
      <c r="S284" s="93"/>
    </row>
    <row r="285" spans="13:19">
      <c r="M285" s="94"/>
      <c r="P285" s="93"/>
      <c r="S285" s="93"/>
    </row>
    <row r="286" spans="13:19">
      <c r="M286" s="94"/>
      <c r="P286" s="93"/>
      <c r="S286" s="93"/>
    </row>
    <row r="287" spans="13:19">
      <c r="M287" s="94"/>
      <c r="P287" s="93"/>
      <c r="S287" s="93"/>
    </row>
    <row r="288" spans="13:19">
      <c r="M288" s="94"/>
      <c r="P288" s="93"/>
      <c r="S288" s="93"/>
    </row>
    <row r="289" spans="13:19">
      <c r="M289" s="94"/>
      <c r="P289" s="93"/>
      <c r="S289" s="93"/>
    </row>
    <row r="290" spans="13:19">
      <c r="M290" s="94"/>
      <c r="P290" s="93"/>
      <c r="S290" s="93"/>
    </row>
    <row r="291" spans="13:19">
      <c r="M291" s="94"/>
      <c r="P291" s="93"/>
      <c r="S291" s="93"/>
    </row>
    <row r="292" spans="13:19">
      <c r="M292" s="94"/>
      <c r="P292" s="93"/>
      <c r="S292" s="93"/>
    </row>
    <row r="293" spans="13:19">
      <c r="M293" s="94"/>
      <c r="P293" s="93"/>
      <c r="S293" s="93"/>
    </row>
    <row r="294" spans="13:19">
      <c r="M294" s="94"/>
      <c r="P294" s="93"/>
      <c r="S294" s="93"/>
    </row>
    <row r="295" spans="13:19">
      <c r="M295" s="94"/>
      <c r="P295" s="93"/>
      <c r="S295" s="93"/>
    </row>
    <row r="296" spans="13:19">
      <c r="M296" s="94"/>
      <c r="P296" s="93"/>
      <c r="S296" s="93"/>
    </row>
    <row r="297" spans="13:19">
      <c r="M297" s="94"/>
      <c r="P297" s="93"/>
      <c r="S297" s="93"/>
    </row>
    <row r="298" spans="13:19">
      <c r="M298" s="94"/>
      <c r="P298" s="93"/>
      <c r="S298" s="93"/>
    </row>
    <row r="299" spans="13:19">
      <c r="M299" s="94"/>
      <c r="P299" s="93"/>
      <c r="S299" s="93"/>
    </row>
    <row r="300" spans="13:19">
      <c r="M300" s="94"/>
      <c r="P300" s="93"/>
      <c r="S300" s="93"/>
    </row>
    <row r="301" spans="13:19">
      <c r="M301" s="94"/>
      <c r="P301" s="93"/>
      <c r="S301" s="93"/>
    </row>
    <row r="302" spans="13:19">
      <c r="M302" s="94"/>
      <c r="P302" s="93"/>
      <c r="S302" s="93"/>
    </row>
    <row r="303" spans="13:19">
      <c r="M303" s="94"/>
      <c r="P303" s="93"/>
      <c r="S303" s="93"/>
    </row>
    <row r="304" spans="13:19">
      <c r="M304" s="94"/>
      <c r="P304" s="93"/>
      <c r="S304" s="93"/>
    </row>
    <row r="305" spans="13:19">
      <c r="M305" s="94"/>
      <c r="P305" s="93"/>
      <c r="S305" s="93"/>
    </row>
    <row r="306" spans="13:19">
      <c r="M306" s="94"/>
      <c r="P306" s="93"/>
      <c r="S306" s="93"/>
    </row>
    <row r="307" spans="13:19">
      <c r="M307" s="94"/>
      <c r="P307" s="93"/>
      <c r="S307" s="93"/>
    </row>
    <row r="308" spans="13:19">
      <c r="M308" s="94"/>
      <c r="P308" s="93"/>
      <c r="S308" s="93"/>
    </row>
    <row r="309" spans="13:19">
      <c r="M309" s="94"/>
      <c r="P309" s="93"/>
      <c r="S309" s="93"/>
    </row>
    <row r="310" spans="13:19">
      <c r="M310" s="94"/>
      <c r="P310" s="93"/>
      <c r="S310" s="93"/>
    </row>
    <row r="311" spans="13:19">
      <c r="M311" s="94"/>
      <c r="P311" s="93"/>
      <c r="S311" s="93"/>
    </row>
    <row r="312" spans="13:19">
      <c r="M312" s="94"/>
      <c r="P312" s="93"/>
      <c r="S312" s="93"/>
    </row>
    <row r="313" spans="13:19">
      <c r="M313" s="94"/>
      <c r="P313" s="93"/>
      <c r="S313" s="93"/>
    </row>
    <row r="314" spans="13:19">
      <c r="M314" s="94"/>
      <c r="P314" s="93"/>
      <c r="S314" s="93"/>
    </row>
    <row r="315" spans="13:19">
      <c r="M315" s="94"/>
      <c r="P315" s="93"/>
      <c r="S315" s="93"/>
    </row>
    <row r="316" spans="13:19">
      <c r="M316" s="94"/>
      <c r="P316" s="93"/>
      <c r="S316" s="93"/>
    </row>
    <row r="317" spans="13:19">
      <c r="M317" s="94"/>
      <c r="P317" s="93"/>
      <c r="S317" s="93"/>
    </row>
    <row r="318" spans="13:19">
      <c r="M318" s="94"/>
      <c r="P318" s="93"/>
      <c r="S318" s="93"/>
    </row>
    <row r="319" spans="13:19">
      <c r="M319" s="94"/>
      <c r="P319" s="93"/>
      <c r="S319" s="93"/>
    </row>
    <row r="320" spans="13:19">
      <c r="M320" s="94"/>
      <c r="P320" s="93"/>
      <c r="S320" s="93"/>
    </row>
    <row r="321" spans="13:19">
      <c r="M321" s="94"/>
      <c r="P321" s="93"/>
      <c r="S321" s="93"/>
    </row>
    <row r="322" spans="13:19">
      <c r="M322" s="94"/>
      <c r="P322" s="93"/>
      <c r="S322" s="93"/>
    </row>
    <row r="323" spans="13:19">
      <c r="M323" s="94"/>
      <c r="P323" s="93"/>
      <c r="S323" s="93"/>
    </row>
    <row r="324" spans="13:19">
      <c r="M324" s="94"/>
      <c r="P324" s="93"/>
      <c r="S324" s="93"/>
    </row>
    <row r="325" spans="13:19">
      <c r="M325" s="94"/>
      <c r="P325" s="93"/>
      <c r="S325" s="93"/>
    </row>
    <row r="326" spans="13:19">
      <c r="M326" s="94"/>
      <c r="P326" s="93"/>
      <c r="S326" s="93"/>
    </row>
    <row r="327" spans="13:19">
      <c r="M327" s="94"/>
      <c r="P327" s="93"/>
      <c r="S327" s="93"/>
    </row>
    <row r="328" spans="13:19">
      <c r="M328" s="94"/>
      <c r="P328" s="93"/>
      <c r="S328" s="93"/>
    </row>
    <row r="329" spans="13:19">
      <c r="M329" s="94"/>
      <c r="P329" s="93"/>
      <c r="S329" s="93"/>
    </row>
    <row r="330" spans="13:19">
      <c r="M330" s="94"/>
      <c r="P330" s="93"/>
      <c r="S330" s="93"/>
    </row>
    <row r="331" spans="13:19">
      <c r="M331" s="94"/>
      <c r="P331" s="93"/>
      <c r="S331" s="93"/>
    </row>
    <row r="332" spans="13:19">
      <c r="M332" s="94"/>
      <c r="P332" s="93"/>
      <c r="S332" s="93"/>
    </row>
    <row r="333" spans="13:19">
      <c r="M333" s="94"/>
      <c r="P333" s="93"/>
      <c r="S333" s="93"/>
    </row>
    <row r="334" spans="13:19">
      <c r="M334" s="94"/>
      <c r="P334" s="93"/>
      <c r="S334" s="93"/>
    </row>
    <row r="335" spans="13:19">
      <c r="M335" s="94"/>
      <c r="P335" s="93"/>
      <c r="S335" s="93"/>
    </row>
    <row r="336" spans="13:19">
      <c r="M336" s="94"/>
      <c r="P336" s="93"/>
      <c r="S336" s="93"/>
    </row>
    <row r="337" spans="13:19">
      <c r="M337" s="94"/>
      <c r="P337" s="93"/>
      <c r="S337" s="93"/>
    </row>
    <row r="338" spans="13:19">
      <c r="M338" s="94"/>
      <c r="P338" s="93"/>
      <c r="S338" s="93"/>
    </row>
    <row r="339" spans="13:19">
      <c r="M339" s="94"/>
      <c r="P339" s="93"/>
      <c r="S339" s="93"/>
    </row>
    <row r="340" spans="13:19">
      <c r="M340" s="94"/>
      <c r="P340" s="93"/>
      <c r="S340" s="93"/>
    </row>
    <row r="341" spans="13:19">
      <c r="M341" s="94"/>
      <c r="P341" s="93"/>
      <c r="S341" s="93"/>
    </row>
    <row r="342" spans="13:19">
      <c r="M342" s="94"/>
      <c r="P342" s="93"/>
      <c r="S342" s="93"/>
    </row>
    <row r="343" spans="13:19">
      <c r="M343" s="94"/>
      <c r="P343" s="93"/>
      <c r="S343" s="93"/>
    </row>
    <row r="344" spans="13:19">
      <c r="M344" s="94"/>
      <c r="P344" s="93"/>
      <c r="S344" s="93"/>
    </row>
    <row r="345" spans="13:19">
      <c r="M345" s="94"/>
      <c r="P345" s="93"/>
      <c r="S345" s="93"/>
    </row>
    <row r="346" spans="13:19">
      <c r="M346" s="94"/>
      <c r="P346" s="93"/>
      <c r="S346" s="93"/>
    </row>
    <row r="347" spans="13:19">
      <c r="M347" s="94"/>
      <c r="P347" s="93"/>
      <c r="S347" s="93"/>
    </row>
    <row r="348" spans="13:19">
      <c r="M348" s="94"/>
      <c r="P348" s="93"/>
      <c r="S348" s="93"/>
    </row>
    <row r="349" spans="13:19">
      <c r="M349" s="94"/>
      <c r="P349" s="93"/>
      <c r="S349" s="93"/>
    </row>
    <row r="350" spans="13:19">
      <c r="M350" s="94"/>
      <c r="P350" s="93"/>
      <c r="S350" s="93"/>
    </row>
    <row r="351" spans="13:19">
      <c r="M351" s="94"/>
      <c r="P351" s="93"/>
      <c r="S351" s="93"/>
    </row>
    <row r="352" spans="13:19">
      <c r="M352" s="94"/>
      <c r="P352" s="93"/>
      <c r="S352" s="93"/>
    </row>
    <row r="353" spans="13:19">
      <c r="M353" s="94"/>
      <c r="P353" s="93"/>
      <c r="S353" s="93"/>
    </row>
    <row r="354" spans="13:19">
      <c r="M354" s="94"/>
      <c r="P354" s="93"/>
      <c r="S354" s="93"/>
    </row>
    <row r="355" spans="13:19">
      <c r="M355" s="94"/>
      <c r="P355" s="93"/>
      <c r="S355" s="93"/>
    </row>
    <row r="356" spans="13:19">
      <c r="M356" s="94"/>
      <c r="P356" s="93"/>
      <c r="S356" s="93"/>
    </row>
    <row r="357" spans="13:19">
      <c r="M357" s="94"/>
      <c r="P357" s="93"/>
      <c r="S357" s="93"/>
    </row>
    <row r="358" spans="13:19">
      <c r="M358" s="94"/>
      <c r="P358" s="93"/>
      <c r="S358" s="93"/>
    </row>
    <row r="359" spans="13:19">
      <c r="M359" s="94"/>
      <c r="P359" s="93"/>
      <c r="S359" s="93"/>
    </row>
    <row r="360" spans="13:19">
      <c r="M360" s="94"/>
      <c r="P360" s="93"/>
      <c r="S360" s="93"/>
    </row>
    <row r="361" spans="13:19">
      <c r="M361" s="94"/>
      <c r="P361" s="93"/>
      <c r="S361" s="93"/>
    </row>
    <row r="362" spans="13:19">
      <c r="M362" s="94"/>
      <c r="P362" s="93"/>
      <c r="S362" s="93"/>
    </row>
    <row r="363" spans="13:19">
      <c r="M363" s="94"/>
      <c r="P363" s="93"/>
      <c r="S363" s="93"/>
    </row>
    <row r="364" spans="13:19">
      <c r="M364" s="94"/>
      <c r="P364" s="93"/>
      <c r="S364" s="93"/>
    </row>
    <row r="365" spans="13:19">
      <c r="M365" s="94"/>
      <c r="P365" s="93"/>
      <c r="S365" s="93"/>
    </row>
    <row r="366" spans="13:19">
      <c r="M366" s="94"/>
      <c r="P366" s="93"/>
      <c r="S366" s="93"/>
    </row>
    <row r="367" spans="13:19">
      <c r="M367" s="94"/>
      <c r="P367" s="93"/>
      <c r="S367" s="93"/>
    </row>
    <row r="368" spans="13:19">
      <c r="M368" s="94"/>
      <c r="P368" s="93"/>
      <c r="S368" s="93"/>
    </row>
    <row r="369" spans="13:19">
      <c r="M369" s="94"/>
      <c r="P369" s="93"/>
      <c r="S369" s="93"/>
    </row>
    <row r="370" spans="13:19">
      <c r="M370" s="94"/>
      <c r="P370" s="93"/>
      <c r="S370" s="93"/>
    </row>
    <row r="371" spans="13:19">
      <c r="M371" s="94"/>
      <c r="P371" s="93"/>
      <c r="S371" s="93"/>
    </row>
    <row r="372" spans="13:19">
      <c r="M372" s="94"/>
      <c r="P372" s="93"/>
      <c r="S372" s="93"/>
    </row>
    <row r="373" spans="13:19">
      <c r="M373" s="94"/>
      <c r="P373" s="93"/>
      <c r="S373" s="93"/>
    </row>
    <row r="374" spans="13:19">
      <c r="M374" s="94"/>
      <c r="P374" s="93"/>
      <c r="S374" s="93"/>
    </row>
    <row r="375" spans="13:19">
      <c r="M375" s="94"/>
      <c r="P375" s="93"/>
      <c r="S375" s="93"/>
    </row>
    <row r="376" spans="13:19">
      <c r="M376" s="94"/>
      <c r="P376" s="93"/>
      <c r="S376" s="93"/>
    </row>
    <row r="377" spans="13:19">
      <c r="M377" s="94"/>
      <c r="P377" s="93"/>
      <c r="S377" s="93"/>
    </row>
    <row r="378" spans="13:19">
      <c r="M378" s="94"/>
      <c r="P378" s="93"/>
      <c r="S378" s="93"/>
    </row>
    <row r="379" spans="13:19">
      <c r="M379" s="94"/>
      <c r="P379" s="93"/>
      <c r="S379" s="93"/>
    </row>
    <row r="380" spans="13:19">
      <c r="M380" s="94"/>
      <c r="P380" s="93"/>
      <c r="S380" s="93"/>
    </row>
    <row r="381" spans="13:19">
      <c r="M381" s="94"/>
      <c r="P381" s="93"/>
      <c r="S381" s="93"/>
    </row>
    <row r="382" spans="13:19">
      <c r="M382" s="94"/>
      <c r="P382" s="93"/>
      <c r="S382" s="93"/>
    </row>
    <row r="383" spans="13:19">
      <c r="M383" s="94"/>
      <c r="P383" s="93"/>
      <c r="S383" s="93"/>
    </row>
    <row r="384" spans="13:19">
      <c r="M384" s="94"/>
      <c r="P384" s="93"/>
      <c r="S384" s="93"/>
    </row>
    <row r="385" spans="13:19">
      <c r="M385" s="94"/>
      <c r="P385" s="93"/>
      <c r="S385" s="93"/>
    </row>
    <row r="386" spans="13:19">
      <c r="M386" s="94"/>
      <c r="P386" s="93"/>
      <c r="S386" s="93"/>
    </row>
    <row r="387" spans="13:19">
      <c r="M387" s="94"/>
      <c r="P387" s="93"/>
      <c r="S387" s="93"/>
    </row>
    <row r="388" spans="13:19">
      <c r="M388" s="94"/>
      <c r="P388" s="93"/>
      <c r="S388" s="93"/>
    </row>
    <row r="389" spans="13:19">
      <c r="M389" s="94"/>
      <c r="P389" s="93"/>
      <c r="S389" s="93"/>
    </row>
    <row r="390" spans="13:19">
      <c r="M390" s="94"/>
      <c r="P390" s="93"/>
      <c r="S390" s="93"/>
    </row>
    <row r="391" spans="13:19">
      <c r="M391" s="94"/>
      <c r="P391" s="93"/>
      <c r="S391" s="93"/>
    </row>
    <row r="392" spans="13:19">
      <c r="M392" s="94"/>
      <c r="P392" s="93"/>
      <c r="S392" s="93"/>
    </row>
    <row r="393" spans="13:19">
      <c r="M393" s="94"/>
      <c r="P393" s="93"/>
      <c r="S393" s="93"/>
    </row>
    <row r="394" spans="13:19">
      <c r="M394" s="94"/>
      <c r="P394" s="93"/>
      <c r="S394" s="93"/>
    </row>
    <row r="395" spans="13:19">
      <c r="M395" s="94"/>
      <c r="P395" s="93"/>
      <c r="S395" s="93"/>
    </row>
    <row r="396" spans="13:19">
      <c r="M396" s="94"/>
      <c r="P396" s="93"/>
      <c r="S396" s="93"/>
    </row>
    <row r="397" spans="13:19">
      <c r="M397" s="94"/>
      <c r="P397" s="93"/>
      <c r="S397" s="93"/>
    </row>
    <row r="398" spans="13:19">
      <c r="M398" s="94"/>
      <c r="P398" s="93"/>
      <c r="S398" s="93"/>
    </row>
    <row r="399" spans="13:19">
      <c r="M399" s="94"/>
      <c r="P399" s="93"/>
      <c r="S399" s="93"/>
    </row>
    <row r="400" spans="13:19">
      <c r="M400" s="94"/>
      <c r="P400" s="93"/>
      <c r="S400" s="93"/>
    </row>
    <row r="401" spans="13:19">
      <c r="M401" s="94"/>
      <c r="P401" s="93"/>
      <c r="S401" s="93"/>
    </row>
    <row r="402" spans="13:19">
      <c r="M402" s="94"/>
      <c r="P402" s="93"/>
      <c r="S402" s="93"/>
    </row>
    <row r="403" spans="13:19">
      <c r="M403" s="94"/>
      <c r="P403" s="93"/>
      <c r="S403" s="93"/>
    </row>
    <row r="404" spans="13:19">
      <c r="M404" s="94"/>
      <c r="P404" s="93"/>
      <c r="S404" s="93"/>
    </row>
    <row r="405" spans="13:19">
      <c r="M405" s="94"/>
      <c r="P405" s="93"/>
      <c r="S405" s="93"/>
    </row>
    <row r="406" spans="13:19">
      <c r="M406" s="94"/>
      <c r="P406" s="93"/>
      <c r="S406" s="93"/>
    </row>
    <row r="407" spans="13:19">
      <c r="M407" s="94"/>
      <c r="P407" s="93"/>
      <c r="S407" s="93"/>
    </row>
    <row r="408" spans="13:19">
      <c r="M408" s="94"/>
      <c r="P408" s="93"/>
      <c r="S408" s="93"/>
    </row>
    <row r="409" spans="13:19">
      <c r="M409" s="94"/>
      <c r="P409" s="93"/>
      <c r="S409" s="93"/>
    </row>
    <row r="410" spans="13:19">
      <c r="M410" s="94"/>
      <c r="P410" s="93"/>
      <c r="S410" s="93"/>
    </row>
    <row r="411" spans="13:19">
      <c r="M411" s="94"/>
      <c r="P411" s="93"/>
      <c r="S411" s="93"/>
    </row>
    <row r="412" spans="13:19">
      <c r="M412" s="94"/>
      <c r="P412" s="93"/>
      <c r="S412" s="93"/>
    </row>
    <row r="413" spans="13:19">
      <c r="M413" s="94"/>
      <c r="P413" s="93"/>
      <c r="S413" s="93"/>
    </row>
    <row r="414" spans="13:19">
      <c r="M414" s="94"/>
      <c r="P414" s="93"/>
      <c r="S414" s="93"/>
    </row>
    <row r="415" spans="13:19">
      <c r="M415" s="94"/>
      <c r="P415" s="93"/>
      <c r="S415" s="93"/>
    </row>
    <row r="416" spans="13:19">
      <c r="P416" s="93"/>
      <c r="S416" s="93"/>
    </row>
    <row r="417" spans="16:19">
      <c r="P417" s="93"/>
      <c r="S417" s="93"/>
    </row>
    <row r="418" spans="16:19">
      <c r="P418" s="93"/>
      <c r="S418" s="93"/>
    </row>
    <row r="419" spans="16:19">
      <c r="P419" s="93"/>
      <c r="S419" s="93"/>
    </row>
    <row r="420" spans="16:19">
      <c r="P420" s="93"/>
      <c r="S420" s="93"/>
    </row>
    <row r="421" spans="16:19">
      <c r="P421" s="93"/>
      <c r="S421" s="93"/>
    </row>
    <row r="422" spans="16:19">
      <c r="P422" s="93"/>
      <c r="S422" s="93"/>
    </row>
    <row r="423" spans="16:19">
      <c r="P423" s="93"/>
      <c r="S423" s="93"/>
    </row>
    <row r="424" spans="16:19">
      <c r="P424" s="93"/>
      <c r="S424" s="93"/>
    </row>
    <row r="425" spans="16:19">
      <c r="P425" s="93"/>
      <c r="S425" s="93"/>
    </row>
    <row r="426" spans="16:19">
      <c r="P426" s="93"/>
      <c r="S426" s="93"/>
    </row>
    <row r="427" spans="16:19">
      <c r="P427" s="93"/>
      <c r="S427" s="93"/>
    </row>
    <row r="428" spans="16:19">
      <c r="P428" s="93"/>
      <c r="S428" s="93"/>
    </row>
    <row r="429" spans="16:19">
      <c r="P429" s="93"/>
      <c r="S429" s="93"/>
    </row>
    <row r="430" spans="16:19">
      <c r="P430" s="93"/>
      <c r="S430" s="93"/>
    </row>
    <row r="431" spans="16:19">
      <c r="P431" s="93"/>
      <c r="S431" s="93"/>
    </row>
    <row r="432" spans="16:19">
      <c r="P432" s="93"/>
      <c r="S432" s="93"/>
    </row>
    <row r="433" spans="16:19">
      <c r="P433" s="93"/>
      <c r="S433" s="93"/>
    </row>
    <row r="434" spans="16:19">
      <c r="P434" s="93"/>
      <c r="S434" s="93"/>
    </row>
    <row r="435" spans="16:19">
      <c r="P435" s="93"/>
      <c r="S435" s="93"/>
    </row>
    <row r="436" spans="16:19">
      <c r="P436" s="93"/>
      <c r="S436" s="93"/>
    </row>
    <row r="437" spans="16:19">
      <c r="P437" s="93"/>
      <c r="S437" s="93"/>
    </row>
    <row r="438" spans="16:19">
      <c r="P438" s="93"/>
      <c r="S438" s="93"/>
    </row>
    <row r="439" spans="16:19">
      <c r="P439" s="93"/>
      <c r="S439" s="93"/>
    </row>
    <row r="440" spans="16:19">
      <c r="P440" s="93"/>
      <c r="S440" s="93"/>
    </row>
    <row r="441" spans="16:19">
      <c r="P441" s="93"/>
      <c r="S441" s="93"/>
    </row>
    <row r="442" spans="16:19">
      <c r="P442" s="93"/>
      <c r="S442" s="93"/>
    </row>
    <row r="443" spans="16:19">
      <c r="P443" s="93"/>
      <c r="S443" s="93"/>
    </row>
    <row r="444" spans="16:19">
      <c r="P444" s="93"/>
      <c r="S444" s="93"/>
    </row>
    <row r="445" spans="16:19">
      <c r="P445" s="93"/>
      <c r="S445" s="93"/>
    </row>
    <row r="446" spans="16:19">
      <c r="P446" s="93"/>
      <c r="S446" s="93"/>
    </row>
    <row r="447" spans="16:19">
      <c r="P447" s="93"/>
      <c r="S447" s="93"/>
    </row>
    <row r="448" spans="16:19">
      <c r="P448" s="93"/>
      <c r="S448" s="93"/>
    </row>
    <row r="449" spans="16:19">
      <c r="P449" s="93"/>
      <c r="S449" s="93"/>
    </row>
    <row r="450" spans="16:19">
      <c r="P450" s="93"/>
      <c r="S450" s="93"/>
    </row>
    <row r="451" spans="16:19">
      <c r="P451" s="93"/>
      <c r="S451" s="93"/>
    </row>
    <row r="452" spans="16:19">
      <c r="P452" s="93"/>
      <c r="S452" s="93"/>
    </row>
    <row r="453" spans="16:19">
      <c r="P453" s="93"/>
      <c r="S453" s="93"/>
    </row>
    <row r="454" spans="16:19">
      <c r="P454" s="93"/>
      <c r="S454" s="93"/>
    </row>
    <row r="455" spans="16:19">
      <c r="P455" s="93"/>
      <c r="S455" s="93"/>
    </row>
    <row r="456" spans="16:19">
      <c r="P456" s="93"/>
      <c r="S456" s="93"/>
    </row>
    <row r="457" spans="16:19">
      <c r="P457" s="93"/>
      <c r="S457" s="93"/>
    </row>
    <row r="458" spans="16:19">
      <c r="P458" s="93"/>
      <c r="S458" s="93"/>
    </row>
    <row r="459" spans="16:19">
      <c r="P459" s="93"/>
      <c r="S459" s="93"/>
    </row>
    <row r="460" spans="16:19">
      <c r="P460" s="93"/>
      <c r="S460" s="93"/>
    </row>
    <row r="461" spans="16:19">
      <c r="P461" s="93"/>
      <c r="S461" s="93"/>
    </row>
    <row r="462" spans="16:19">
      <c r="P462" s="93"/>
      <c r="S462" s="93"/>
    </row>
    <row r="463" spans="16:19">
      <c r="P463" s="93"/>
      <c r="S463" s="93"/>
    </row>
    <row r="464" spans="16:19">
      <c r="P464" s="93"/>
      <c r="S464" s="93"/>
    </row>
    <row r="465" spans="16:19">
      <c r="P465" s="93"/>
      <c r="S465" s="93"/>
    </row>
    <row r="466" spans="16:19">
      <c r="P466" s="93"/>
      <c r="S466" s="93"/>
    </row>
    <row r="467" spans="16:19">
      <c r="P467" s="93"/>
      <c r="S467" s="93"/>
    </row>
    <row r="468" spans="16:19">
      <c r="P468" s="93"/>
      <c r="S468" s="93"/>
    </row>
    <row r="469" spans="16:19">
      <c r="P469" s="93"/>
      <c r="S469" s="93"/>
    </row>
    <row r="470" spans="16:19">
      <c r="P470" s="93"/>
      <c r="S470" s="93"/>
    </row>
    <row r="471" spans="16:19">
      <c r="P471" s="93"/>
      <c r="S471" s="93"/>
    </row>
    <row r="472" spans="16:19">
      <c r="P472" s="93"/>
      <c r="S472" s="93"/>
    </row>
    <row r="473" spans="16:19">
      <c r="P473" s="93"/>
      <c r="S473" s="93"/>
    </row>
    <row r="474" spans="16:19">
      <c r="P474" s="93"/>
      <c r="S474" s="93"/>
    </row>
    <row r="475" spans="16:19">
      <c r="P475" s="93"/>
      <c r="S475" s="93"/>
    </row>
    <row r="476" spans="16:19">
      <c r="P476" s="93"/>
      <c r="S476" s="93"/>
    </row>
    <row r="477" spans="16:19">
      <c r="P477" s="93"/>
      <c r="S477" s="93"/>
    </row>
    <row r="478" spans="16:19">
      <c r="P478" s="93"/>
      <c r="S478" s="93"/>
    </row>
    <row r="479" spans="16:19">
      <c r="P479" s="93"/>
      <c r="S479" s="93"/>
    </row>
    <row r="480" spans="16:19">
      <c r="P480" s="93"/>
      <c r="S480" s="93"/>
    </row>
    <row r="481" spans="16:19">
      <c r="P481" s="93"/>
      <c r="S481" s="93"/>
    </row>
    <row r="482" spans="16:19">
      <c r="P482" s="93"/>
      <c r="S482" s="93"/>
    </row>
    <row r="483" spans="16:19">
      <c r="P483" s="93"/>
      <c r="S483" s="93"/>
    </row>
    <row r="484" spans="16:19">
      <c r="P484" s="93"/>
      <c r="S484" s="93"/>
    </row>
    <row r="485" spans="16:19">
      <c r="P485" s="93"/>
      <c r="S485" s="93"/>
    </row>
    <row r="486" spans="16:19">
      <c r="P486" s="93"/>
      <c r="S486" s="93"/>
    </row>
    <row r="487" spans="16:19">
      <c r="P487" s="93"/>
      <c r="S487" s="93"/>
    </row>
    <row r="488" spans="16:19">
      <c r="P488" s="93"/>
      <c r="S488" s="93"/>
    </row>
    <row r="489" spans="16:19">
      <c r="P489" s="93"/>
      <c r="S489" s="93"/>
    </row>
    <row r="490" spans="16:19">
      <c r="P490" s="93"/>
      <c r="S490" s="93"/>
    </row>
    <row r="491" spans="16:19">
      <c r="P491" s="93"/>
      <c r="S491" s="93"/>
    </row>
    <row r="492" spans="16:19">
      <c r="P492" s="93"/>
      <c r="S492" s="93"/>
    </row>
    <row r="493" spans="16:19">
      <c r="P493" s="93"/>
      <c r="S493" s="93"/>
    </row>
    <row r="494" spans="16:19">
      <c r="P494" s="93"/>
      <c r="S494" s="93"/>
    </row>
    <row r="495" spans="16:19">
      <c r="P495" s="93"/>
      <c r="S495" s="93"/>
    </row>
    <row r="496" spans="16:19">
      <c r="P496" s="93"/>
      <c r="S496" s="93"/>
    </row>
    <row r="497" spans="16:19">
      <c r="P497" s="93"/>
      <c r="S497" s="93"/>
    </row>
    <row r="498" spans="16:19">
      <c r="P498" s="93"/>
      <c r="S498" s="93"/>
    </row>
    <row r="499" spans="16:19">
      <c r="P499" s="93"/>
      <c r="S499" s="93"/>
    </row>
    <row r="500" spans="16:19">
      <c r="P500" s="93"/>
      <c r="S500" s="93"/>
    </row>
    <row r="501" spans="16:19">
      <c r="P501" s="93"/>
      <c r="S501" s="93"/>
    </row>
    <row r="502" spans="16:19">
      <c r="P502" s="93"/>
      <c r="S502" s="93"/>
    </row>
    <row r="503" spans="16:19">
      <c r="P503" s="93"/>
      <c r="S503" s="93"/>
    </row>
    <row r="504" spans="16:19">
      <c r="P504" s="93"/>
      <c r="S504" s="93"/>
    </row>
    <row r="505" spans="16:19">
      <c r="P505" s="93"/>
      <c r="S505" s="93"/>
    </row>
    <row r="506" spans="16:19">
      <c r="P506" s="93"/>
      <c r="S506" s="93"/>
    </row>
    <row r="507" spans="16:19">
      <c r="P507" s="93"/>
      <c r="S507" s="93"/>
    </row>
    <row r="508" spans="16:19">
      <c r="P508" s="93"/>
      <c r="S508" s="93"/>
    </row>
    <row r="509" spans="16:19">
      <c r="P509" s="93"/>
      <c r="S509" s="93"/>
    </row>
    <row r="510" spans="16:19">
      <c r="P510" s="93"/>
      <c r="S510" s="93"/>
    </row>
    <row r="511" spans="16:19">
      <c r="P511" s="93"/>
      <c r="S511" s="93"/>
    </row>
    <row r="512" spans="16:19">
      <c r="P512" s="93"/>
      <c r="S512" s="93"/>
    </row>
    <row r="513" spans="16:19">
      <c r="P513" s="93"/>
      <c r="S513" s="93"/>
    </row>
    <row r="514" spans="16:19">
      <c r="P514" s="93"/>
      <c r="S514" s="93"/>
    </row>
    <row r="515" spans="16:19">
      <c r="P515" s="93"/>
      <c r="S515" s="93"/>
    </row>
    <row r="516" spans="16:19">
      <c r="P516" s="93"/>
      <c r="S516" s="93"/>
    </row>
    <row r="517" spans="16:19">
      <c r="P517" s="93"/>
      <c r="S517" s="93"/>
    </row>
  </sheetData>
  <mergeCells count="17">
    <mergeCell ref="A160:S160"/>
    <mergeCell ref="A161:S161"/>
    <mergeCell ref="A58:S58"/>
    <mergeCell ref="A59:S59"/>
    <mergeCell ref="A110:S110"/>
    <mergeCell ref="Q4:Q5"/>
    <mergeCell ref="R4:R5"/>
    <mergeCell ref="S4:S5"/>
    <mergeCell ref="O6:S6"/>
    <mergeCell ref="A109:S109"/>
    <mergeCell ref="A4:I6"/>
    <mergeCell ref="J4:M5"/>
    <mergeCell ref="N4:N6"/>
    <mergeCell ref="O4:O5"/>
    <mergeCell ref="P4:P5"/>
    <mergeCell ref="A7:S7"/>
    <mergeCell ref="A8:S8"/>
  </mergeCells>
  <hyperlinks>
    <hyperlink ref="A1:I1" location="Главная!A1" display="Вернуться на главную страницу" xr:uid="{00000000-0004-0000-1800-000000000000}"/>
    <hyperlink ref="A2" location="'Калькулятор теплоотдач ВК'!R1C1" display="Вернуться Калькулятор теплоотдач ВК" xr:uid="{00000000-0004-0000-1800-000001000000}"/>
  </hyperlink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27">
    <tabColor rgb="FFFFC000"/>
  </sheetPr>
  <dimension ref="A1:U466"/>
  <sheetViews>
    <sheetView zoomScale="70" zoomScaleNormal="70" workbookViewId="0">
      <pane ySplit="6" topLeftCell="A7" activePane="bottomLeft" state="frozen"/>
      <selection activeCell="A58" sqref="A58"/>
      <selection pane="bottomLeft" activeCell="U1" sqref="U1"/>
    </sheetView>
  </sheetViews>
  <sheetFormatPr defaultRowHeight="15.75"/>
  <cols>
    <col min="1" max="1" width="3.7109375" style="7" customWidth="1"/>
    <col min="2" max="2" width="6" style="7" customWidth="1"/>
    <col min="3" max="3" width="3" style="7" customWidth="1"/>
    <col min="4" max="4" width="6" style="7" customWidth="1"/>
    <col min="5" max="5" width="3" style="7" customWidth="1"/>
    <col min="6" max="6" width="7.7109375" style="96" customWidth="1"/>
    <col min="7" max="7" width="3" style="7" customWidth="1"/>
    <col min="8" max="8" width="6" style="7" customWidth="1"/>
    <col min="9" max="9" width="4.5703125" style="7" customWidth="1"/>
    <col min="10" max="10" width="11.28515625" style="7" customWidth="1"/>
    <col min="11" max="12" width="11.28515625" style="96" customWidth="1"/>
    <col min="13" max="13" width="15.5703125" style="1" customWidth="1"/>
    <col min="14" max="14" width="19.140625" style="7" customWidth="1"/>
    <col min="15" max="15" width="27.7109375" style="122" customWidth="1"/>
    <col min="16" max="16" width="27.7109375" style="116" customWidth="1"/>
    <col min="17" max="17" width="26.28515625" style="117" customWidth="1"/>
    <col min="18" max="18" width="27.7109375" style="122" customWidth="1"/>
    <col min="19" max="19" width="27.7109375" style="117" customWidth="1"/>
    <col min="21" max="21" width="22.42578125" customWidth="1"/>
  </cols>
  <sheetData>
    <row r="1" spans="1:21" ht="16.5" customHeight="1">
      <c r="A1" s="1217" t="s">
        <v>9</v>
      </c>
      <c r="B1" s="1217"/>
      <c r="C1" s="1217"/>
      <c r="D1" s="1217"/>
      <c r="E1" s="1217"/>
      <c r="F1" s="97"/>
      <c r="G1" s="1217"/>
      <c r="H1" s="1217"/>
      <c r="I1" s="1217"/>
      <c r="M1" s="175"/>
      <c r="O1" s="117"/>
      <c r="P1" s="117"/>
      <c r="R1" s="117"/>
      <c r="U1" s="74"/>
    </row>
    <row r="2" spans="1:21" s="74" customFormat="1" ht="16.5" customHeight="1">
      <c r="A2" s="956" t="s">
        <v>378</v>
      </c>
      <c r="B2" s="1217"/>
      <c r="C2" s="1217"/>
      <c r="D2" s="1217"/>
      <c r="E2" s="1217"/>
      <c r="F2" s="97"/>
      <c r="G2" s="1217"/>
      <c r="H2" s="1217"/>
      <c r="I2" s="1217"/>
      <c r="J2" s="7"/>
      <c r="K2" s="96"/>
      <c r="L2" s="96"/>
      <c r="M2" s="175"/>
      <c r="N2" s="7"/>
      <c r="O2" s="117"/>
      <c r="P2" s="117"/>
      <c r="Q2" s="117"/>
      <c r="R2" s="117"/>
      <c r="S2" s="117"/>
    </row>
    <row r="3" spans="1:21" s="74" customFormat="1" ht="13.5" customHeight="1" thickBot="1">
      <c r="A3" s="16"/>
      <c r="B3" s="16"/>
      <c r="C3" s="16"/>
      <c r="D3" s="16"/>
      <c r="E3" s="16"/>
      <c r="F3" s="109"/>
      <c r="G3" s="16"/>
      <c r="H3" s="16"/>
      <c r="I3" s="16"/>
      <c r="J3" s="16"/>
      <c r="K3" s="108"/>
      <c r="L3" s="108"/>
      <c r="M3" s="175"/>
      <c r="N3" s="7"/>
      <c r="O3" s="116"/>
      <c r="P3" s="116"/>
      <c r="Q3" s="117"/>
      <c r="R3" s="117"/>
      <c r="S3" s="117"/>
    </row>
    <row r="4" spans="1:21" s="74" customFormat="1" ht="69" customHeight="1">
      <c r="A4" s="2643" t="s">
        <v>8</v>
      </c>
      <c r="B4" s="2644"/>
      <c r="C4" s="2644"/>
      <c r="D4" s="2644"/>
      <c r="E4" s="2644"/>
      <c r="F4" s="2644"/>
      <c r="G4" s="2644"/>
      <c r="H4" s="2644"/>
      <c r="I4" s="2645"/>
      <c r="J4" s="2637" t="s">
        <v>97</v>
      </c>
      <c r="K4" s="2638"/>
      <c r="L4" s="2638"/>
      <c r="M4" s="2639"/>
      <c r="N4" s="2652" t="s">
        <v>96</v>
      </c>
      <c r="O4" s="2655" t="s">
        <v>170</v>
      </c>
      <c r="P4" s="2617" t="s">
        <v>166</v>
      </c>
      <c r="Q4" s="2655" t="s">
        <v>171</v>
      </c>
      <c r="R4" s="2630" t="s">
        <v>460</v>
      </c>
      <c r="S4" s="2590" t="s">
        <v>461</v>
      </c>
    </row>
    <row r="5" spans="1:21" s="74" customFormat="1" ht="72.75" customHeight="1" thickBot="1">
      <c r="A5" s="2646"/>
      <c r="B5" s="2647"/>
      <c r="C5" s="2647"/>
      <c r="D5" s="2647"/>
      <c r="E5" s="2647"/>
      <c r="F5" s="2647"/>
      <c r="G5" s="2647"/>
      <c r="H5" s="2647"/>
      <c r="I5" s="2648"/>
      <c r="J5" s="2640"/>
      <c r="K5" s="2641"/>
      <c r="L5" s="2641"/>
      <c r="M5" s="2642"/>
      <c r="N5" s="2653"/>
      <c r="O5" s="2656"/>
      <c r="P5" s="2618"/>
      <c r="Q5" s="2656"/>
      <c r="R5" s="2631"/>
      <c r="S5" s="2591"/>
    </row>
    <row r="6" spans="1:21" s="74" customFormat="1" ht="61.5" customHeight="1" thickBot="1">
      <c r="A6" s="2649"/>
      <c r="B6" s="2650"/>
      <c r="C6" s="2650"/>
      <c r="D6" s="2650"/>
      <c r="E6" s="2650"/>
      <c r="F6" s="2650"/>
      <c r="G6" s="2650"/>
      <c r="H6" s="2650"/>
      <c r="I6" s="2651"/>
      <c r="J6" s="1223" t="s">
        <v>0</v>
      </c>
      <c r="K6" s="115" t="s">
        <v>1</v>
      </c>
      <c r="L6" s="115" t="s">
        <v>2</v>
      </c>
      <c r="M6" s="180" t="s">
        <v>94</v>
      </c>
      <c r="N6" s="2654"/>
      <c r="O6" s="2634" t="s">
        <v>169</v>
      </c>
      <c r="P6" s="2635"/>
      <c r="Q6" s="2635"/>
      <c r="R6" s="2635"/>
      <c r="S6" s="2636"/>
    </row>
    <row r="7" spans="1:21" s="74" customFormat="1" ht="22.5" customHeight="1" thickBot="1">
      <c r="A7" s="2580" t="s">
        <v>50</v>
      </c>
      <c r="B7" s="2581"/>
      <c r="C7" s="2581"/>
      <c r="D7" s="2581"/>
      <c r="E7" s="2581"/>
      <c r="F7" s="2581"/>
      <c r="G7" s="2581"/>
      <c r="H7" s="2581"/>
      <c r="I7" s="2581"/>
      <c r="J7" s="2581"/>
      <c r="K7" s="2581"/>
      <c r="L7" s="2581"/>
      <c r="M7" s="2581"/>
      <c r="N7" s="2581"/>
      <c r="O7" s="2581"/>
      <c r="P7" s="2581"/>
      <c r="Q7" s="2581"/>
      <c r="R7" s="2581"/>
      <c r="S7" s="2582"/>
    </row>
    <row r="8" spans="1:21" s="74" customFormat="1" ht="16.5" thickBot="1">
      <c r="A8" s="2583" t="s">
        <v>139</v>
      </c>
      <c r="B8" s="2584"/>
      <c r="C8" s="2584"/>
      <c r="D8" s="2584"/>
      <c r="E8" s="2584"/>
      <c r="F8" s="2584"/>
      <c r="G8" s="2584"/>
      <c r="H8" s="2584"/>
      <c r="I8" s="2584"/>
      <c r="J8" s="2584"/>
      <c r="K8" s="2584"/>
      <c r="L8" s="2584"/>
      <c r="M8" s="2584"/>
      <c r="N8" s="2584"/>
      <c r="O8" s="2584"/>
      <c r="P8" s="2584"/>
      <c r="Q8" s="2584"/>
      <c r="R8" s="2632"/>
      <c r="S8" s="2633"/>
    </row>
    <row r="9" spans="1:21" s="74" customFormat="1" ht="16.5" thickBot="1">
      <c r="A9" s="47" t="s">
        <v>35</v>
      </c>
      <c r="B9" s="48">
        <f>J9</f>
        <v>300</v>
      </c>
      <c r="C9" s="48" t="s">
        <v>3</v>
      </c>
      <c r="D9" s="48">
        <f>K9</f>
        <v>260</v>
      </c>
      <c r="E9" s="48" t="s">
        <v>3</v>
      </c>
      <c r="F9" s="99">
        <f>L9</f>
        <v>600</v>
      </c>
      <c r="G9" s="48" t="s">
        <v>3</v>
      </c>
      <c r="H9" s="48">
        <v>4</v>
      </c>
      <c r="I9" s="49" t="s">
        <v>46</v>
      </c>
      <c r="J9" s="181">
        <v>300</v>
      </c>
      <c r="K9" s="143">
        <v>260</v>
      </c>
      <c r="L9" s="143">
        <v>600</v>
      </c>
      <c r="M9" s="201">
        <v>10.016682100560526</v>
      </c>
      <c r="N9" s="144">
        <v>298.55476233792859</v>
      </c>
      <c r="O9" s="145">
        <v>14247.600396913465</v>
      </c>
      <c r="P9" s="198">
        <v>17172.655017170895</v>
      </c>
      <c r="Q9" s="309">
        <v>7536.0353334550891</v>
      </c>
      <c r="R9" s="318">
        <v>21783.635730368555</v>
      </c>
      <c r="S9" s="313">
        <v>24708.690350625984</v>
      </c>
      <c r="U9" s="7" t="s">
        <v>3999</v>
      </c>
    </row>
    <row r="10" spans="1:21" s="74" customFormat="1" ht="16.5" thickBot="1">
      <c r="A10" s="50" t="s">
        <v>35</v>
      </c>
      <c r="B10" s="51">
        <f t="shared" ref="B10:B57" si="0">J10</f>
        <v>300</v>
      </c>
      <c r="C10" s="51" t="s">
        <v>3</v>
      </c>
      <c r="D10" s="51">
        <f t="shared" ref="D10:D57" si="1">K10</f>
        <v>260</v>
      </c>
      <c r="E10" s="51" t="s">
        <v>3</v>
      </c>
      <c r="F10" s="99">
        <f t="shared" ref="F10:F57" si="2">L10</f>
        <v>650</v>
      </c>
      <c r="G10" s="51" t="s">
        <v>3</v>
      </c>
      <c r="H10" s="48">
        <v>4</v>
      </c>
      <c r="I10" s="49" t="s">
        <v>46</v>
      </c>
      <c r="J10" s="184">
        <v>300</v>
      </c>
      <c r="K10" s="75">
        <v>260</v>
      </c>
      <c r="L10" s="75">
        <v>650</v>
      </c>
      <c r="M10" s="202">
        <v>10.699436170425791</v>
      </c>
      <c r="N10" s="87">
        <v>358.26571480551439</v>
      </c>
      <c r="O10" s="123">
        <v>14981.18674290908</v>
      </c>
      <c r="P10" s="199">
        <v>18090.434366559402</v>
      </c>
      <c r="Q10" s="310">
        <v>7967.645945822027</v>
      </c>
      <c r="R10" s="319">
        <v>22948.832688731105</v>
      </c>
      <c r="S10" s="315">
        <v>26058.080312381429</v>
      </c>
      <c r="U10" s="7" t="s">
        <v>4000</v>
      </c>
    </row>
    <row r="11" spans="1:21" s="74" customFormat="1" ht="16.5" thickBot="1">
      <c r="A11" s="50" t="s">
        <v>35</v>
      </c>
      <c r="B11" s="51">
        <f t="shared" si="0"/>
        <v>300</v>
      </c>
      <c r="C11" s="51" t="s">
        <v>3</v>
      </c>
      <c r="D11" s="51">
        <f t="shared" si="1"/>
        <v>260</v>
      </c>
      <c r="E11" s="51" t="s">
        <v>3</v>
      </c>
      <c r="F11" s="99">
        <f t="shared" si="2"/>
        <v>700</v>
      </c>
      <c r="G11" s="51" t="s">
        <v>3</v>
      </c>
      <c r="H11" s="48">
        <v>4</v>
      </c>
      <c r="I11" s="49" t="s">
        <v>46</v>
      </c>
      <c r="J11" s="184">
        <v>300</v>
      </c>
      <c r="K11" s="75">
        <v>260</v>
      </c>
      <c r="L11" s="75">
        <v>700</v>
      </c>
      <c r="M11" s="202">
        <v>11.399230240291054</v>
      </c>
      <c r="N11" s="87">
        <v>417.97666727310008</v>
      </c>
      <c r="O11" s="123">
        <v>15714.773088904692</v>
      </c>
      <c r="P11" s="199">
        <v>19008.213715947772</v>
      </c>
      <c r="Q11" s="310">
        <v>8629.8383359722393</v>
      </c>
      <c r="R11" s="319">
        <v>24344.61142487693</v>
      </c>
      <c r="S11" s="315">
        <v>27638.052051920011</v>
      </c>
      <c r="U11" s="7" t="s">
        <v>4001</v>
      </c>
    </row>
    <row r="12" spans="1:21" s="74" customFormat="1" ht="16.5" thickBot="1">
      <c r="A12" s="50" t="s">
        <v>35</v>
      </c>
      <c r="B12" s="51">
        <f t="shared" si="0"/>
        <v>300</v>
      </c>
      <c r="C12" s="51" t="s">
        <v>3</v>
      </c>
      <c r="D12" s="51">
        <f t="shared" si="1"/>
        <v>260</v>
      </c>
      <c r="E12" s="51" t="s">
        <v>3</v>
      </c>
      <c r="F12" s="99">
        <f t="shared" si="2"/>
        <v>750</v>
      </c>
      <c r="G12" s="51" t="s">
        <v>3</v>
      </c>
      <c r="H12" s="48">
        <v>4</v>
      </c>
      <c r="I12" s="49" t="s">
        <v>46</v>
      </c>
      <c r="J12" s="184">
        <v>300</v>
      </c>
      <c r="K12" s="75">
        <v>260</v>
      </c>
      <c r="L12" s="75">
        <v>750</v>
      </c>
      <c r="M12" s="202">
        <v>12.081984310156315</v>
      </c>
      <c r="N12" s="87">
        <v>477.68761974068588</v>
      </c>
      <c r="O12" s="123">
        <v>16448.359434900303</v>
      </c>
      <c r="P12" s="199">
        <v>19925.993065336141</v>
      </c>
      <c r="Q12" s="310">
        <v>9061.4489483391772</v>
      </c>
      <c r="R12" s="319">
        <v>25509.80838323948</v>
      </c>
      <c r="S12" s="315">
        <v>28987.442013675318</v>
      </c>
      <c r="U12" s="7" t="s">
        <v>4002</v>
      </c>
    </row>
    <row r="13" spans="1:21" s="74" customFormat="1" ht="16.5" thickBot="1">
      <c r="A13" s="50" t="s">
        <v>35</v>
      </c>
      <c r="B13" s="51">
        <f t="shared" si="0"/>
        <v>300</v>
      </c>
      <c r="C13" s="51" t="s">
        <v>3</v>
      </c>
      <c r="D13" s="51">
        <f t="shared" si="1"/>
        <v>260</v>
      </c>
      <c r="E13" s="51" t="s">
        <v>3</v>
      </c>
      <c r="F13" s="99">
        <f t="shared" si="2"/>
        <v>800</v>
      </c>
      <c r="G13" s="51" t="s">
        <v>3</v>
      </c>
      <c r="H13" s="48">
        <v>4</v>
      </c>
      <c r="I13" s="49" t="s">
        <v>46</v>
      </c>
      <c r="J13" s="184">
        <v>300</v>
      </c>
      <c r="K13" s="75">
        <v>260</v>
      </c>
      <c r="L13" s="75">
        <v>800</v>
      </c>
      <c r="M13" s="202">
        <v>12.76473838002158</v>
      </c>
      <c r="N13" s="87">
        <v>537.3985722082715</v>
      </c>
      <c r="O13" s="123">
        <v>17181.945780895916</v>
      </c>
      <c r="P13" s="199">
        <v>20843.77241472451</v>
      </c>
      <c r="Q13" s="310">
        <v>9493.059560706115</v>
      </c>
      <c r="R13" s="319">
        <v>26675.005341602031</v>
      </c>
      <c r="S13" s="315">
        <v>30336.831975430625</v>
      </c>
      <c r="U13" s="7" t="s">
        <v>4003</v>
      </c>
    </row>
    <row r="14" spans="1:21" s="74" customFormat="1" ht="16.5" thickBot="1">
      <c r="A14" s="50" t="s">
        <v>35</v>
      </c>
      <c r="B14" s="51">
        <f t="shared" si="0"/>
        <v>300</v>
      </c>
      <c r="C14" s="51" t="s">
        <v>3</v>
      </c>
      <c r="D14" s="51">
        <f t="shared" si="1"/>
        <v>260</v>
      </c>
      <c r="E14" s="51" t="s">
        <v>3</v>
      </c>
      <c r="F14" s="99">
        <f t="shared" si="2"/>
        <v>850</v>
      </c>
      <c r="G14" s="51" t="s">
        <v>3</v>
      </c>
      <c r="H14" s="48">
        <v>4</v>
      </c>
      <c r="I14" s="49" t="s">
        <v>46</v>
      </c>
      <c r="J14" s="184">
        <v>300</v>
      </c>
      <c r="K14" s="75">
        <v>260</v>
      </c>
      <c r="L14" s="75">
        <v>850</v>
      </c>
      <c r="M14" s="202">
        <v>13.464532449886846</v>
      </c>
      <c r="N14" s="87">
        <v>597.10952467585719</v>
      </c>
      <c r="O14" s="123">
        <v>17915.532126891529</v>
      </c>
      <c r="P14" s="199">
        <v>21761.551764113021</v>
      </c>
      <c r="Q14" s="310">
        <v>10155.251950856327</v>
      </c>
      <c r="R14" s="319">
        <v>28070.784077747856</v>
      </c>
      <c r="S14" s="315">
        <v>31916.803714969348</v>
      </c>
      <c r="U14" s="7" t="s">
        <v>4004</v>
      </c>
    </row>
    <row r="15" spans="1:21" s="74" customFormat="1" ht="16.5" thickBot="1">
      <c r="A15" s="50" t="s">
        <v>35</v>
      </c>
      <c r="B15" s="51">
        <f t="shared" si="0"/>
        <v>300</v>
      </c>
      <c r="C15" s="51" t="s">
        <v>3</v>
      </c>
      <c r="D15" s="51">
        <f t="shared" si="1"/>
        <v>260</v>
      </c>
      <c r="E15" s="51" t="s">
        <v>3</v>
      </c>
      <c r="F15" s="99">
        <f t="shared" si="2"/>
        <v>900</v>
      </c>
      <c r="G15" s="51" t="s">
        <v>3</v>
      </c>
      <c r="H15" s="48">
        <v>4</v>
      </c>
      <c r="I15" s="49" t="s">
        <v>46</v>
      </c>
      <c r="J15" s="184">
        <v>300</v>
      </c>
      <c r="K15" s="75">
        <v>260</v>
      </c>
      <c r="L15" s="75">
        <v>900</v>
      </c>
      <c r="M15" s="202">
        <v>14.147286519752106</v>
      </c>
      <c r="N15" s="87">
        <v>656.8204771434431</v>
      </c>
      <c r="O15" s="123">
        <v>18649.118472887141</v>
      </c>
      <c r="P15" s="199">
        <v>22679.33111350139</v>
      </c>
      <c r="Q15" s="310">
        <v>10586.862563223265</v>
      </c>
      <c r="R15" s="319">
        <v>29235.981036110406</v>
      </c>
      <c r="S15" s="315">
        <v>33266.193676724652</v>
      </c>
      <c r="U15" s="7" t="s">
        <v>4005</v>
      </c>
    </row>
    <row r="16" spans="1:21" s="74" customFormat="1" ht="16.5" thickBot="1">
      <c r="A16" s="50" t="s">
        <v>35</v>
      </c>
      <c r="B16" s="51">
        <f t="shared" si="0"/>
        <v>300</v>
      </c>
      <c r="C16" s="51" t="s">
        <v>3</v>
      </c>
      <c r="D16" s="51">
        <f t="shared" si="1"/>
        <v>260</v>
      </c>
      <c r="E16" s="51" t="s">
        <v>3</v>
      </c>
      <c r="F16" s="99">
        <f t="shared" si="2"/>
        <v>950</v>
      </c>
      <c r="G16" s="51" t="s">
        <v>3</v>
      </c>
      <c r="H16" s="48">
        <v>4</v>
      </c>
      <c r="I16" s="49" t="s">
        <v>46</v>
      </c>
      <c r="J16" s="184">
        <v>300</v>
      </c>
      <c r="K16" s="75">
        <v>260</v>
      </c>
      <c r="L16" s="75">
        <v>950</v>
      </c>
      <c r="M16" s="202">
        <v>14.847080589617367</v>
      </c>
      <c r="N16" s="87">
        <v>716.53142961102878</v>
      </c>
      <c r="O16" s="123">
        <v>19382.704818882754</v>
      </c>
      <c r="P16" s="199">
        <v>23597.110462889759</v>
      </c>
      <c r="Q16" s="310">
        <v>11249.054953373477</v>
      </c>
      <c r="R16" s="319">
        <v>30631.759772256231</v>
      </c>
      <c r="S16" s="315">
        <v>34846.165416263233</v>
      </c>
      <c r="U16" s="7" t="s">
        <v>4006</v>
      </c>
    </row>
    <row r="17" spans="1:21" s="74" customFormat="1" ht="16.5" thickBot="1">
      <c r="A17" s="50" t="s">
        <v>35</v>
      </c>
      <c r="B17" s="51">
        <f t="shared" si="0"/>
        <v>300</v>
      </c>
      <c r="C17" s="51" t="s">
        <v>3</v>
      </c>
      <c r="D17" s="51">
        <f t="shared" si="1"/>
        <v>260</v>
      </c>
      <c r="E17" s="51" t="s">
        <v>3</v>
      </c>
      <c r="F17" s="99">
        <f t="shared" si="2"/>
        <v>1000</v>
      </c>
      <c r="G17" s="51" t="s">
        <v>3</v>
      </c>
      <c r="H17" s="48">
        <v>4</v>
      </c>
      <c r="I17" s="49" t="s">
        <v>46</v>
      </c>
      <c r="J17" s="184">
        <v>300</v>
      </c>
      <c r="K17" s="75">
        <v>260</v>
      </c>
      <c r="L17" s="75">
        <v>1000</v>
      </c>
      <c r="M17" s="202">
        <v>15.529834659482633</v>
      </c>
      <c r="N17" s="87">
        <v>776.24238207861447</v>
      </c>
      <c r="O17" s="123">
        <v>20116.291164878367</v>
      </c>
      <c r="P17" s="199">
        <v>24514.889812278128</v>
      </c>
      <c r="Q17" s="310">
        <v>11680.665565740415</v>
      </c>
      <c r="R17" s="319">
        <v>31796.956730618782</v>
      </c>
      <c r="S17" s="315">
        <v>36195.555378018544</v>
      </c>
      <c r="U17" s="7" t="s">
        <v>4007</v>
      </c>
    </row>
    <row r="18" spans="1:21" s="74" customFormat="1" ht="16.5" thickBot="1">
      <c r="A18" s="50" t="s">
        <v>35</v>
      </c>
      <c r="B18" s="51">
        <f t="shared" si="0"/>
        <v>300</v>
      </c>
      <c r="C18" s="51" t="s">
        <v>3</v>
      </c>
      <c r="D18" s="51">
        <f t="shared" si="1"/>
        <v>260</v>
      </c>
      <c r="E18" s="51" t="s">
        <v>3</v>
      </c>
      <c r="F18" s="99">
        <f t="shared" si="2"/>
        <v>1050</v>
      </c>
      <c r="G18" s="51" t="s">
        <v>3</v>
      </c>
      <c r="H18" s="48">
        <v>4</v>
      </c>
      <c r="I18" s="49" t="s">
        <v>46</v>
      </c>
      <c r="J18" s="184">
        <v>300</v>
      </c>
      <c r="K18" s="75">
        <v>260</v>
      </c>
      <c r="L18" s="75">
        <v>1050</v>
      </c>
      <c r="M18" s="202">
        <v>16.229628729347894</v>
      </c>
      <c r="N18" s="87">
        <v>835.95333454620015</v>
      </c>
      <c r="O18" s="123">
        <v>20849.877510873979</v>
      </c>
      <c r="P18" s="199">
        <v>25432.669161666636</v>
      </c>
      <c r="Q18" s="310">
        <v>12342.857815497266</v>
      </c>
      <c r="R18" s="319">
        <v>33192.735326371243</v>
      </c>
      <c r="S18" s="315">
        <v>37775.5269771639</v>
      </c>
      <c r="U18" s="7" t="s">
        <v>4008</v>
      </c>
    </row>
    <row r="19" spans="1:21" s="74" customFormat="1" ht="16.5" thickBot="1">
      <c r="A19" s="47" t="s">
        <v>35</v>
      </c>
      <c r="B19" s="48">
        <f t="shared" si="0"/>
        <v>300</v>
      </c>
      <c r="C19" s="48" t="s">
        <v>3</v>
      </c>
      <c r="D19" s="48">
        <f t="shared" si="1"/>
        <v>260</v>
      </c>
      <c r="E19" s="48" t="s">
        <v>3</v>
      </c>
      <c r="F19" s="99">
        <f t="shared" si="2"/>
        <v>1100</v>
      </c>
      <c r="G19" s="48" t="s">
        <v>3</v>
      </c>
      <c r="H19" s="48">
        <v>4</v>
      </c>
      <c r="I19" s="49" t="s">
        <v>46</v>
      </c>
      <c r="J19" s="184">
        <v>300</v>
      </c>
      <c r="K19" s="75">
        <v>260</v>
      </c>
      <c r="L19" s="75">
        <v>1100</v>
      </c>
      <c r="M19" s="202">
        <v>16.912382799213155</v>
      </c>
      <c r="N19" s="87">
        <v>895.66428701378595</v>
      </c>
      <c r="O19" s="123">
        <v>21583.463856869592</v>
      </c>
      <c r="P19" s="199">
        <v>26350.448511055009</v>
      </c>
      <c r="Q19" s="310">
        <v>12774.468427864203</v>
      </c>
      <c r="R19" s="319">
        <v>34357.932284733797</v>
      </c>
      <c r="S19" s="315">
        <v>39124.91693891921</v>
      </c>
      <c r="U19" s="7" t="s">
        <v>4009</v>
      </c>
    </row>
    <row r="20" spans="1:21" s="74" customFormat="1" ht="16.5" thickBot="1">
      <c r="A20" s="50" t="s">
        <v>35</v>
      </c>
      <c r="B20" s="51">
        <f t="shared" si="0"/>
        <v>300</v>
      </c>
      <c r="C20" s="51" t="s">
        <v>3</v>
      </c>
      <c r="D20" s="51">
        <f t="shared" si="1"/>
        <v>260</v>
      </c>
      <c r="E20" s="51" t="s">
        <v>3</v>
      </c>
      <c r="F20" s="99">
        <f t="shared" si="2"/>
        <v>1150</v>
      </c>
      <c r="G20" s="51" t="s">
        <v>3</v>
      </c>
      <c r="H20" s="48">
        <v>4</v>
      </c>
      <c r="I20" s="49" t="s">
        <v>46</v>
      </c>
      <c r="J20" s="184">
        <v>300</v>
      </c>
      <c r="K20" s="75">
        <v>260</v>
      </c>
      <c r="L20" s="75">
        <v>1150</v>
      </c>
      <c r="M20" s="202">
        <v>17.595136869078424</v>
      </c>
      <c r="N20" s="87">
        <v>955.37523948137175</v>
      </c>
      <c r="O20" s="123">
        <v>22317.050202865204</v>
      </c>
      <c r="P20" s="199">
        <v>27268.227860443378</v>
      </c>
      <c r="Q20" s="310">
        <v>13206.07904023114</v>
      </c>
      <c r="R20" s="319">
        <v>35523.129243096344</v>
      </c>
      <c r="S20" s="315">
        <v>40474.306900674521</v>
      </c>
      <c r="U20" s="7" t="s">
        <v>4010</v>
      </c>
    </row>
    <row r="21" spans="1:21" s="74" customFormat="1" ht="16.5" thickBot="1">
      <c r="A21" s="50" t="s">
        <v>35</v>
      </c>
      <c r="B21" s="51">
        <f t="shared" si="0"/>
        <v>300</v>
      </c>
      <c r="C21" s="51" t="s">
        <v>3</v>
      </c>
      <c r="D21" s="51">
        <f t="shared" si="1"/>
        <v>260</v>
      </c>
      <c r="E21" s="51" t="s">
        <v>3</v>
      </c>
      <c r="F21" s="99">
        <f t="shared" si="2"/>
        <v>1200</v>
      </c>
      <c r="G21" s="51" t="s">
        <v>3</v>
      </c>
      <c r="H21" s="48">
        <v>4</v>
      </c>
      <c r="I21" s="49" t="s">
        <v>46</v>
      </c>
      <c r="J21" s="184">
        <v>300</v>
      </c>
      <c r="K21" s="75">
        <v>260</v>
      </c>
      <c r="L21" s="75">
        <v>1200</v>
      </c>
      <c r="M21" s="202">
        <v>18.373430938943685</v>
      </c>
      <c r="N21" s="87">
        <v>1015.0861919489573</v>
      </c>
      <c r="O21" s="123">
        <v>23127.790984762953</v>
      </c>
      <c r="P21" s="199">
        <v>28263.632627661911</v>
      </c>
      <c r="Q21" s="310">
        <v>13868.271430381354</v>
      </c>
      <c r="R21" s="319">
        <v>36996.062415144304</v>
      </c>
      <c r="S21" s="315">
        <v>42131.904058043263</v>
      </c>
      <c r="U21" s="7" t="s">
        <v>4011</v>
      </c>
    </row>
    <row r="22" spans="1:21" s="74" customFormat="1" ht="16.5" thickBot="1">
      <c r="A22" s="50" t="s">
        <v>35</v>
      </c>
      <c r="B22" s="51">
        <f t="shared" si="0"/>
        <v>300</v>
      </c>
      <c r="C22" s="51" t="s">
        <v>3</v>
      </c>
      <c r="D22" s="51">
        <f t="shared" si="1"/>
        <v>260</v>
      </c>
      <c r="E22" s="51" t="s">
        <v>3</v>
      </c>
      <c r="F22" s="99">
        <f t="shared" si="2"/>
        <v>1250</v>
      </c>
      <c r="G22" s="51" t="s">
        <v>3</v>
      </c>
      <c r="H22" s="48">
        <v>4</v>
      </c>
      <c r="I22" s="49" t="s">
        <v>46</v>
      </c>
      <c r="J22" s="184">
        <v>300</v>
      </c>
      <c r="K22" s="75">
        <v>260</v>
      </c>
      <c r="L22" s="75">
        <v>1250</v>
      </c>
      <c r="M22" s="202">
        <v>19.056185008808946</v>
      </c>
      <c r="N22" s="87">
        <v>1074.797144416543</v>
      </c>
      <c r="O22" s="123">
        <v>23861.377330758569</v>
      </c>
      <c r="P22" s="199">
        <v>29181.41197705028</v>
      </c>
      <c r="Q22" s="310">
        <v>14299.882042748291</v>
      </c>
      <c r="R22" s="319">
        <v>38161.259373506859</v>
      </c>
      <c r="S22" s="315">
        <v>43481.294019798574</v>
      </c>
      <c r="U22" s="7" t="s">
        <v>4012</v>
      </c>
    </row>
    <row r="23" spans="1:21" s="74" customFormat="1" ht="16.5" thickBot="1">
      <c r="A23" s="50" t="s">
        <v>35</v>
      </c>
      <c r="B23" s="51">
        <f t="shared" si="0"/>
        <v>300</v>
      </c>
      <c r="C23" s="51" t="s">
        <v>3</v>
      </c>
      <c r="D23" s="51">
        <f t="shared" si="1"/>
        <v>260</v>
      </c>
      <c r="E23" s="51" t="s">
        <v>3</v>
      </c>
      <c r="F23" s="99">
        <f t="shared" si="2"/>
        <v>1300</v>
      </c>
      <c r="G23" s="51" t="s">
        <v>3</v>
      </c>
      <c r="H23" s="48">
        <v>4</v>
      </c>
      <c r="I23" s="49" t="s">
        <v>46</v>
      </c>
      <c r="J23" s="184">
        <v>300</v>
      </c>
      <c r="K23" s="75">
        <v>260</v>
      </c>
      <c r="L23" s="75">
        <v>1300</v>
      </c>
      <c r="M23" s="202">
        <v>19.755979078674208</v>
      </c>
      <c r="N23" s="87">
        <v>1134.5080968841287</v>
      </c>
      <c r="O23" s="123">
        <v>24594.963676754178</v>
      </c>
      <c r="P23" s="199">
        <v>30099.191326438795</v>
      </c>
      <c r="Q23" s="310">
        <v>14962.074432898504</v>
      </c>
      <c r="R23" s="319">
        <v>39557.038109652683</v>
      </c>
      <c r="S23" s="315">
        <v>45061.265759337301</v>
      </c>
      <c r="U23" s="7" t="s">
        <v>4013</v>
      </c>
    </row>
    <row r="24" spans="1:21" s="74" customFormat="1" ht="16.5" thickBot="1">
      <c r="A24" s="50" t="s">
        <v>35</v>
      </c>
      <c r="B24" s="51">
        <f t="shared" si="0"/>
        <v>300</v>
      </c>
      <c r="C24" s="51" t="s">
        <v>3</v>
      </c>
      <c r="D24" s="51">
        <f t="shared" si="1"/>
        <v>260</v>
      </c>
      <c r="E24" s="51" t="s">
        <v>3</v>
      </c>
      <c r="F24" s="99">
        <f t="shared" si="2"/>
        <v>1350</v>
      </c>
      <c r="G24" s="51" t="s">
        <v>3</v>
      </c>
      <c r="H24" s="48">
        <v>4</v>
      </c>
      <c r="I24" s="49" t="s">
        <v>46</v>
      </c>
      <c r="J24" s="184">
        <v>300</v>
      </c>
      <c r="K24" s="75">
        <v>260</v>
      </c>
      <c r="L24" s="75">
        <v>1350</v>
      </c>
      <c r="M24" s="202">
        <v>20.438733148539477</v>
      </c>
      <c r="N24" s="87">
        <v>1194.2190493517144</v>
      </c>
      <c r="O24" s="123">
        <v>25328.550022749794</v>
      </c>
      <c r="P24" s="199">
        <v>31016.97067582716</v>
      </c>
      <c r="Q24" s="310">
        <v>15393.685045265442</v>
      </c>
      <c r="R24" s="319">
        <v>40722.235068015238</v>
      </c>
      <c r="S24" s="315">
        <v>46410.655721092604</v>
      </c>
      <c r="U24" s="7" t="s">
        <v>4014</v>
      </c>
    </row>
    <row r="25" spans="1:21" s="74" customFormat="1" ht="16.5" thickBot="1">
      <c r="A25" s="50" t="s">
        <v>35</v>
      </c>
      <c r="B25" s="51">
        <f t="shared" si="0"/>
        <v>300</v>
      </c>
      <c r="C25" s="51" t="s">
        <v>3</v>
      </c>
      <c r="D25" s="51">
        <f t="shared" si="1"/>
        <v>260</v>
      </c>
      <c r="E25" s="51" t="s">
        <v>3</v>
      </c>
      <c r="F25" s="99">
        <f t="shared" si="2"/>
        <v>1400</v>
      </c>
      <c r="G25" s="51" t="s">
        <v>3</v>
      </c>
      <c r="H25" s="48">
        <v>4</v>
      </c>
      <c r="I25" s="49" t="s">
        <v>46</v>
      </c>
      <c r="J25" s="184">
        <v>300</v>
      </c>
      <c r="K25" s="75">
        <v>260</v>
      </c>
      <c r="L25" s="75">
        <v>1400</v>
      </c>
      <c r="M25" s="202">
        <v>21.138527218404736</v>
      </c>
      <c r="N25" s="87">
        <v>1253.9300018193001</v>
      </c>
      <c r="O25" s="123">
        <v>26062.136368745407</v>
      </c>
      <c r="P25" s="199">
        <v>31934.75002521553</v>
      </c>
      <c r="Q25" s="310">
        <v>16055.877435415654</v>
      </c>
      <c r="R25" s="319">
        <v>42118.013804161063</v>
      </c>
      <c r="S25" s="315">
        <v>47990.627460631185</v>
      </c>
      <c r="U25" s="7" t="s">
        <v>4015</v>
      </c>
    </row>
    <row r="26" spans="1:21" s="74" customFormat="1" ht="16.5" thickBot="1">
      <c r="A26" s="50" t="s">
        <v>35</v>
      </c>
      <c r="B26" s="51">
        <f t="shared" si="0"/>
        <v>300</v>
      </c>
      <c r="C26" s="51" t="s">
        <v>3</v>
      </c>
      <c r="D26" s="51">
        <f t="shared" si="1"/>
        <v>260</v>
      </c>
      <c r="E26" s="51" t="s">
        <v>3</v>
      </c>
      <c r="F26" s="99">
        <f t="shared" si="2"/>
        <v>1450</v>
      </c>
      <c r="G26" s="51" t="s">
        <v>3</v>
      </c>
      <c r="H26" s="48">
        <v>4</v>
      </c>
      <c r="I26" s="49" t="s">
        <v>46</v>
      </c>
      <c r="J26" s="184">
        <v>300</v>
      </c>
      <c r="K26" s="75">
        <v>260</v>
      </c>
      <c r="L26" s="75">
        <v>1450</v>
      </c>
      <c r="M26" s="202">
        <v>21.821281288270001</v>
      </c>
      <c r="N26" s="87">
        <v>1313.6409542868862</v>
      </c>
      <c r="O26" s="123">
        <v>26795.722714741019</v>
      </c>
      <c r="P26" s="199">
        <v>32852.529374604041</v>
      </c>
      <c r="Q26" s="310">
        <v>16487.48804778259</v>
      </c>
      <c r="R26" s="319">
        <v>43283.210762523609</v>
      </c>
      <c r="S26" s="315">
        <v>49340.017422386634</v>
      </c>
      <c r="U26" s="7" t="s">
        <v>4016</v>
      </c>
    </row>
    <row r="27" spans="1:21" s="74" customFormat="1" ht="16.5" thickBot="1">
      <c r="A27" s="50" t="s">
        <v>35</v>
      </c>
      <c r="B27" s="51">
        <f t="shared" si="0"/>
        <v>300</v>
      </c>
      <c r="C27" s="51" t="s">
        <v>3</v>
      </c>
      <c r="D27" s="51">
        <f t="shared" si="1"/>
        <v>260</v>
      </c>
      <c r="E27" s="51" t="s">
        <v>3</v>
      </c>
      <c r="F27" s="99">
        <f t="shared" si="2"/>
        <v>1500</v>
      </c>
      <c r="G27" s="51" t="s">
        <v>3</v>
      </c>
      <c r="H27" s="48">
        <v>4</v>
      </c>
      <c r="I27" s="49" t="s">
        <v>46</v>
      </c>
      <c r="J27" s="184">
        <v>300</v>
      </c>
      <c r="K27" s="75">
        <v>260</v>
      </c>
      <c r="L27" s="75">
        <v>1500</v>
      </c>
      <c r="M27" s="202">
        <v>22.686986210095263</v>
      </c>
      <c r="N27" s="87">
        <v>1373.3519067544714</v>
      </c>
      <c r="O27" s="123">
        <v>28140.646482401746</v>
      </c>
      <c r="P27" s="199">
        <v>34344.608187371727</v>
      </c>
      <c r="Q27" s="310">
        <v>17149.680437932802</v>
      </c>
      <c r="R27" s="319">
        <v>45290.326920334548</v>
      </c>
      <c r="S27" s="315">
        <v>51494.288625304529</v>
      </c>
      <c r="U27" s="7" t="s">
        <v>4017</v>
      </c>
    </row>
    <row r="28" spans="1:21" s="74" customFormat="1" ht="16.5" thickBot="1">
      <c r="A28" s="50" t="s">
        <v>35</v>
      </c>
      <c r="B28" s="51">
        <f t="shared" si="0"/>
        <v>300</v>
      </c>
      <c r="C28" s="51" t="s">
        <v>3</v>
      </c>
      <c r="D28" s="51">
        <f t="shared" si="1"/>
        <v>260</v>
      </c>
      <c r="E28" s="51" t="s">
        <v>3</v>
      </c>
      <c r="F28" s="99">
        <f t="shared" si="2"/>
        <v>1550</v>
      </c>
      <c r="G28" s="51" t="s">
        <v>3</v>
      </c>
      <c r="H28" s="48">
        <v>4</v>
      </c>
      <c r="I28" s="49" t="s">
        <v>46</v>
      </c>
      <c r="J28" s="184">
        <v>300</v>
      </c>
      <c r="K28" s="75">
        <v>260</v>
      </c>
      <c r="L28" s="75">
        <v>1550</v>
      </c>
      <c r="M28" s="202">
        <v>23.369740279960524</v>
      </c>
      <c r="N28" s="87">
        <v>1433.0628592220576</v>
      </c>
      <c r="O28" s="123">
        <v>28874.232828397355</v>
      </c>
      <c r="P28" s="199">
        <v>35262.387536760099</v>
      </c>
      <c r="Q28" s="310">
        <v>17581.29105029974</v>
      </c>
      <c r="R28" s="319">
        <v>46455.523878697095</v>
      </c>
      <c r="S28" s="315">
        <v>52843.67858705984</v>
      </c>
      <c r="U28" s="7" t="s">
        <v>4018</v>
      </c>
    </row>
    <row r="29" spans="1:21" s="74" customFormat="1" ht="16.5" thickBot="1">
      <c r="A29" s="47" t="s">
        <v>35</v>
      </c>
      <c r="B29" s="48">
        <f t="shared" si="0"/>
        <v>300</v>
      </c>
      <c r="C29" s="48" t="s">
        <v>3</v>
      </c>
      <c r="D29" s="48">
        <f t="shared" si="1"/>
        <v>260</v>
      </c>
      <c r="E29" s="48" t="s">
        <v>3</v>
      </c>
      <c r="F29" s="99">
        <f t="shared" si="2"/>
        <v>1600</v>
      </c>
      <c r="G29" s="48" t="s">
        <v>3</v>
      </c>
      <c r="H29" s="48">
        <v>4</v>
      </c>
      <c r="I29" s="49" t="s">
        <v>46</v>
      </c>
      <c r="J29" s="184">
        <v>300</v>
      </c>
      <c r="K29" s="75">
        <v>260</v>
      </c>
      <c r="L29" s="75">
        <v>1600</v>
      </c>
      <c r="M29" s="202">
        <v>24.052494349825789</v>
      </c>
      <c r="N29" s="87">
        <v>1492.7738116896433</v>
      </c>
      <c r="O29" s="123">
        <v>29607.819174392971</v>
      </c>
      <c r="P29" s="199">
        <v>36180.166886148465</v>
      </c>
      <c r="Q29" s="310">
        <v>18012.901662666678</v>
      </c>
      <c r="R29" s="319">
        <v>47620.720837059649</v>
      </c>
      <c r="S29" s="315">
        <v>54193.068548815143</v>
      </c>
      <c r="U29" s="7" t="s">
        <v>4019</v>
      </c>
    </row>
    <row r="30" spans="1:21" s="74" customFormat="1" ht="16.5" thickBot="1">
      <c r="A30" s="50" t="s">
        <v>35</v>
      </c>
      <c r="B30" s="51">
        <f t="shared" si="0"/>
        <v>300</v>
      </c>
      <c r="C30" s="51" t="s">
        <v>3</v>
      </c>
      <c r="D30" s="51">
        <f t="shared" si="1"/>
        <v>260</v>
      </c>
      <c r="E30" s="51" t="s">
        <v>3</v>
      </c>
      <c r="F30" s="99">
        <f t="shared" si="2"/>
        <v>1650</v>
      </c>
      <c r="G30" s="51" t="s">
        <v>3</v>
      </c>
      <c r="H30" s="48">
        <v>4</v>
      </c>
      <c r="I30" s="49" t="s">
        <v>46</v>
      </c>
      <c r="J30" s="184">
        <v>300</v>
      </c>
      <c r="K30" s="75">
        <v>260</v>
      </c>
      <c r="L30" s="75">
        <v>1650</v>
      </c>
      <c r="M30" s="202">
        <v>24.752288419691055</v>
      </c>
      <c r="N30" s="87">
        <v>1552.4847641572289</v>
      </c>
      <c r="O30" s="123">
        <v>30341.40552038858</v>
      </c>
      <c r="P30" s="199">
        <v>37097.946235536976</v>
      </c>
      <c r="Q30" s="310">
        <v>18675.09391242353</v>
      </c>
      <c r="R30" s="319">
        <v>49016.49943281211</v>
      </c>
      <c r="S30" s="315">
        <v>55773.040147960506</v>
      </c>
      <c r="U30" s="7" t="s">
        <v>4020</v>
      </c>
    </row>
    <row r="31" spans="1:21" s="74" customFormat="1" ht="16.5" thickBot="1">
      <c r="A31" s="50" t="s">
        <v>35</v>
      </c>
      <c r="B31" s="51">
        <f t="shared" si="0"/>
        <v>300</v>
      </c>
      <c r="C31" s="51" t="s">
        <v>3</v>
      </c>
      <c r="D31" s="51">
        <f t="shared" si="1"/>
        <v>260</v>
      </c>
      <c r="E31" s="51" t="s">
        <v>3</v>
      </c>
      <c r="F31" s="99">
        <f t="shared" si="2"/>
        <v>1700</v>
      </c>
      <c r="G31" s="51" t="s">
        <v>3</v>
      </c>
      <c r="H31" s="48">
        <v>4</v>
      </c>
      <c r="I31" s="49" t="s">
        <v>46</v>
      </c>
      <c r="J31" s="184">
        <v>300</v>
      </c>
      <c r="K31" s="75">
        <v>260</v>
      </c>
      <c r="L31" s="75">
        <v>1700</v>
      </c>
      <c r="M31" s="202">
        <v>25.435042489556317</v>
      </c>
      <c r="N31" s="87">
        <v>1612.1957166248148</v>
      </c>
      <c r="O31" s="123">
        <v>31074.991866384196</v>
      </c>
      <c r="P31" s="199">
        <v>38015.725584925349</v>
      </c>
      <c r="Q31" s="310">
        <v>19106.704524790468</v>
      </c>
      <c r="R31" s="319">
        <v>50181.696391174664</v>
      </c>
      <c r="S31" s="315">
        <v>57122.430109715817</v>
      </c>
      <c r="U31" s="7" t="s">
        <v>4021</v>
      </c>
    </row>
    <row r="32" spans="1:21" s="74" customFormat="1" ht="16.5" thickBot="1">
      <c r="A32" s="50" t="s">
        <v>35</v>
      </c>
      <c r="B32" s="51">
        <f t="shared" si="0"/>
        <v>300</v>
      </c>
      <c r="C32" s="51" t="s">
        <v>3</v>
      </c>
      <c r="D32" s="51">
        <f t="shared" si="1"/>
        <v>260</v>
      </c>
      <c r="E32" s="51" t="s">
        <v>3</v>
      </c>
      <c r="F32" s="99">
        <f t="shared" si="2"/>
        <v>1750</v>
      </c>
      <c r="G32" s="51" t="s">
        <v>3</v>
      </c>
      <c r="H32" s="48">
        <v>4</v>
      </c>
      <c r="I32" s="49" t="s">
        <v>46</v>
      </c>
      <c r="J32" s="184">
        <v>300</v>
      </c>
      <c r="K32" s="75">
        <v>260</v>
      </c>
      <c r="L32" s="75">
        <v>1750</v>
      </c>
      <c r="M32" s="202">
        <v>26.134836559421576</v>
      </c>
      <c r="N32" s="87">
        <v>1671.9066690924003</v>
      </c>
      <c r="O32" s="123">
        <v>31808.578212379805</v>
      </c>
      <c r="P32" s="199">
        <v>38933.504934313714</v>
      </c>
      <c r="Q32" s="310">
        <v>19768.89691494068</v>
      </c>
      <c r="R32" s="319">
        <v>51577.475127320489</v>
      </c>
      <c r="S32" s="315">
        <v>58702.401849254398</v>
      </c>
      <c r="U32" s="7" t="s">
        <v>4022</v>
      </c>
    </row>
    <row r="33" spans="1:21" s="74" customFormat="1" ht="16.5" thickBot="1">
      <c r="A33" s="50" t="s">
        <v>35</v>
      </c>
      <c r="B33" s="51">
        <f t="shared" si="0"/>
        <v>300</v>
      </c>
      <c r="C33" s="51" t="s">
        <v>3</v>
      </c>
      <c r="D33" s="51">
        <f t="shared" si="1"/>
        <v>260</v>
      </c>
      <c r="E33" s="51" t="s">
        <v>3</v>
      </c>
      <c r="F33" s="99">
        <f t="shared" si="2"/>
        <v>1800</v>
      </c>
      <c r="G33" s="51" t="s">
        <v>3</v>
      </c>
      <c r="H33" s="48">
        <v>4</v>
      </c>
      <c r="I33" s="49" t="s">
        <v>46</v>
      </c>
      <c r="J33" s="184">
        <v>300</v>
      </c>
      <c r="K33" s="75">
        <v>260</v>
      </c>
      <c r="L33" s="75">
        <v>1800</v>
      </c>
      <c r="M33" s="202">
        <v>26.81759062928684</v>
      </c>
      <c r="N33" s="87">
        <v>1731.6176215599862</v>
      </c>
      <c r="O33" s="123">
        <v>32542.164558375418</v>
      </c>
      <c r="P33" s="199">
        <v>39851.284283702225</v>
      </c>
      <c r="Q33" s="310">
        <v>20200.507527307618</v>
      </c>
      <c r="R33" s="319">
        <v>52742.672085683036</v>
      </c>
      <c r="S33" s="315">
        <v>60051.79181100984</v>
      </c>
      <c r="U33" s="7" t="s">
        <v>4023</v>
      </c>
    </row>
    <row r="34" spans="1:21" s="74" customFormat="1" ht="16.5" thickBot="1">
      <c r="A34" s="50" t="s">
        <v>35</v>
      </c>
      <c r="B34" s="51">
        <f t="shared" si="0"/>
        <v>300</v>
      </c>
      <c r="C34" s="51" t="s">
        <v>3</v>
      </c>
      <c r="D34" s="51">
        <f t="shared" si="1"/>
        <v>260</v>
      </c>
      <c r="E34" s="51" t="s">
        <v>3</v>
      </c>
      <c r="F34" s="99">
        <f t="shared" si="2"/>
        <v>1850</v>
      </c>
      <c r="G34" s="51" t="s">
        <v>3</v>
      </c>
      <c r="H34" s="48">
        <v>4</v>
      </c>
      <c r="I34" s="49" t="s">
        <v>46</v>
      </c>
      <c r="J34" s="184">
        <v>300</v>
      </c>
      <c r="K34" s="75">
        <v>260</v>
      </c>
      <c r="L34" s="75">
        <v>1850</v>
      </c>
      <c r="M34" s="202">
        <v>27.517384699152103</v>
      </c>
      <c r="N34" s="87">
        <v>1791.3285740275719</v>
      </c>
      <c r="O34" s="123">
        <v>33275.750904371031</v>
      </c>
      <c r="P34" s="199">
        <v>40769.063633090591</v>
      </c>
      <c r="Q34" s="310">
        <v>20862.69991745783</v>
      </c>
      <c r="R34" s="319">
        <v>54138.450821828861</v>
      </c>
      <c r="S34" s="315">
        <v>61631.763550548421</v>
      </c>
      <c r="U34" s="7" t="s">
        <v>4024</v>
      </c>
    </row>
    <row r="35" spans="1:21" s="74" customFormat="1" ht="16.5" thickBot="1">
      <c r="A35" s="50" t="s">
        <v>35</v>
      </c>
      <c r="B35" s="51">
        <f t="shared" si="0"/>
        <v>300</v>
      </c>
      <c r="C35" s="51" t="s">
        <v>3</v>
      </c>
      <c r="D35" s="51">
        <f t="shared" si="1"/>
        <v>260</v>
      </c>
      <c r="E35" s="51" t="s">
        <v>3</v>
      </c>
      <c r="F35" s="99">
        <f t="shared" si="2"/>
        <v>1900</v>
      </c>
      <c r="G35" s="51" t="s">
        <v>3</v>
      </c>
      <c r="H35" s="48">
        <v>4</v>
      </c>
      <c r="I35" s="49" t="s">
        <v>46</v>
      </c>
      <c r="J35" s="184">
        <v>300</v>
      </c>
      <c r="K35" s="75">
        <v>260</v>
      </c>
      <c r="L35" s="75">
        <v>1900</v>
      </c>
      <c r="M35" s="202">
        <v>28.200138769017364</v>
      </c>
      <c r="N35" s="87">
        <v>1851.0395264951576</v>
      </c>
      <c r="O35" s="123">
        <v>34009.337109973283</v>
      </c>
      <c r="P35" s="199">
        <v>41686.842982478964</v>
      </c>
      <c r="Q35" s="310">
        <v>21294.310529824768</v>
      </c>
      <c r="R35" s="319">
        <v>55303.647639798051</v>
      </c>
      <c r="S35" s="315">
        <v>62981.153512303732</v>
      </c>
      <c r="U35" s="7" t="s">
        <v>4025</v>
      </c>
    </row>
    <row r="36" spans="1:21" s="74" customFormat="1" ht="16.5" thickBot="1">
      <c r="A36" s="50" t="s">
        <v>35</v>
      </c>
      <c r="B36" s="51">
        <f t="shared" si="0"/>
        <v>300</v>
      </c>
      <c r="C36" s="51" t="s">
        <v>3</v>
      </c>
      <c r="D36" s="51">
        <f t="shared" si="1"/>
        <v>260</v>
      </c>
      <c r="E36" s="51" t="s">
        <v>3</v>
      </c>
      <c r="F36" s="99">
        <f t="shared" si="2"/>
        <v>1950</v>
      </c>
      <c r="G36" s="51" t="s">
        <v>3</v>
      </c>
      <c r="H36" s="48">
        <v>4</v>
      </c>
      <c r="I36" s="49" t="s">
        <v>46</v>
      </c>
      <c r="J36" s="184">
        <v>300</v>
      </c>
      <c r="K36" s="75">
        <v>260</v>
      </c>
      <c r="L36" s="75">
        <v>1950</v>
      </c>
      <c r="M36" s="202">
        <v>28.961392838882631</v>
      </c>
      <c r="N36" s="87">
        <v>1910.7504789627435</v>
      </c>
      <c r="O36" s="123">
        <v>34820.077891871035</v>
      </c>
      <c r="P36" s="199">
        <v>42682.247749697497</v>
      </c>
      <c r="Q36" s="310">
        <v>21725.921142191706</v>
      </c>
      <c r="R36" s="319">
        <v>56545.999034062741</v>
      </c>
      <c r="S36" s="315">
        <v>64408.168891889203</v>
      </c>
      <c r="U36" s="7" t="s">
        <v>4026</v>
      </c>
    </row>
    <row r="37" spans="1:21" s="74" customFormat="1" ht="16.5" thickBot="1">
      <c r="A37" s="50" t="s">
        <v>35</v>
      </c>
      <c r="B37" s="51">
        <f t="shared" si="0"/>
        <v>300</v>
      </c>
      <c r="C37" s="51" t="s">
        <v>3</v>
      </c>
      <c r="D37" s="51">
        <f t="shared" si="1"/>
        <v>260</v>
      </c>
      <c r="E37" s="51" t="s">
        <v>3</v>
      </c>
      <c r="F37" s="99">
        <f t="shared" si="2"/>
        <v>2000</v>
      </c>
      <c r="G37" s="51" t="s">
        <v>3</v>
      </c>
      <c r="H37" s="48">
        <v>4</v>
      </c>
      <c r="I37" s="49" t="s">
        <v>46</v>
      </c>
      <c r="J37" s="184">
        <v>300</v>
      </c>
      <c r="K37" s="75">
        <v>260</v>
      </c>
      <c r="L37" s="75">
        <v>2000</v>
      </c>
      <c r="M37" s="202">
        <v>29.752749308747898</v>
      </c>
      <c r="N37" s="87">
        <v>1970.461431430329</v>
      </c>
      <c r="O37" s="123">
        <v>35784.207267081867</v>
      </c>
      <c r="P37" s="199">
        <v>43912.707856972112</v>
      </c>
      <c r="Q37" s="310">
        <v>22388.113532341918</v>
      </c>
      <c r="R37" s="319">
        <v>58172.320799423789</v>
      </c>
      <c r="S37" s="315">
        <v>66300.821389314035</v>
      </c>
      <c r="U37" s="7" t="s">
        <v>4027</v>
      </c>
    </row>
    <row r="38" spans="1:21" s="74" customFormat="1" ht="16.5" thickBot="1">
      <c r="A38" s="50" t="s">
        <v>35</v>
      </c>
      <c r="B38" s="51">
        <f t="shared" si="0"/>
        <v>300</v>
      </c>
      <c r="C38" s="51" t="s">
        <v>3</v>
      </c>
      <c r="D38" s="51">
        <f t="shared" si="1"/>
        <v>260</v>
      </c>
      <c r="E38" s="51" t="s">
        <v>3</v>
      </c>
      <c r="F38" s="99">
        <f t="shared" si="2"/>
        <v>2050</v>
      </c>
      <c r="G38" s="51" t="s">
        <v>3</v>
      </c>
      <c r="H38" s="48">
        <v>4</v>
      </c>
      <c r="I38" s="49" t="s">
        <v>46</v>
      </c>
      <c r="J38" s="184">
        <v>300</v>
      </c>
      <c r="K38" s="75">
        <v>260</v>
      </c>
      <c r="L38" s="75">
        <v>2050</v>
      </c>
      <c r="M38" s="202">
        <v>30.435503378613163</v>
      </c>
      <c r="N38" s="87">
        <v>2030.1723838979146</v>
      </c>
      <c r="O38" s="123">
        <v>36517.793613077483</v>
      </c>
      <c r="P38" s="199">
        <v>44830.487206360478</v>
      </c>
      <c r="Q38" s="310">
        <v>22819.724144708856</v>
      </c>
      <c r="R38" s="319">
        <v>59337.517757786336</v>
      </c>
      <c r="S38" s="315">
        <v>67650.211351069331</v>
      </c>
      <c r="U38" s="7" t="s">
        <v>4028</v>
      </c>
    </row>
    <row r="39" spans="1:21" s="74" customFormat="1" ht="16.5" thickBot="1">
      <c r="A39" s="47" t="s">
        <v>35</v>
      </c>
      <c r="B39" s="48">
        <f t="shared" si="0"/>
        <v>300</v>
      </c>
      <c r="C39" s="48" t="s">
        <v>3</v>
      </c>
      <c r="D39" s="48">
        <f t="shared" si="1"/>
        <v>260</v>
      </c>
      <c r="E39" s="48" t="s">
        <v>3</v>
      </c>
      <c r="F39" s="99">
        <f t="shared" si="2"/>
        <v>2100</v>
      </c>
      <c r="G39" s="48" t="s">
        <v>3</v>
      </c>
      <c r="H39" s="48">
        <v>4</v>
      </c>
      <c r="I39" s="49" t="s">
        <v>46</v>
      </c>
      <c r="J39" s="184">
        <v>300</v>
      </c>
      <c r="K39" s="75">
        <v>260</v>
      </c>
      <c r="L39" s="75">
        <v>2100</v>
      </c>
      <c r="M39" s="202">
        <v>31.135297448478422</v>
      </c>
      <c r="N39" s="87">
        <v>2089.8833363655003</v>
      </c>
      <c r="O39" s="123">
        <v>37251.3799590731</v>
      </c>
      <c r="P39" s="199">
        <v>45748.266555748851</v>
      </c>
      <c r="Q39" s="310">
        <v>23481.916534859069</v>
      </c>
      <c r="R39" s="319">
        <v>60733.296493932168</v>
      </c>
      <c r="S39" s="315">
        <v>69230.183090607927</v>
      </c>
      <c r="U39" s="7" t="s">
        <v>4029</v>
      </c>
    </row>
    <row r="40" spans="1:21" s="74" customFormat="1" ht="16.5" thickBot="1">
      <c r="A40" s="50" t="s">
        <v>35</v>
      </c>
      <c r="B40" s="51">
        <f t="shared" si="0"/>
        <v>300</v>
      </c>
      <c r="C40" s="51" t="s">
        <v>3</v>
      </c>
      <c r="D40" s="51">
        <f t="shared" si="1"/>
        <v>260</v>
      </c>
      <c r="E40" s="51" t="s">
        <v>3</v>
      </c>
      <c r="F40" s="99">
        <f t="shared" si="2"/>
        <v>2150</v>
      </c>
      <c r="G40" s="51" t="s">
        <v>3</v>
      </c>
      <c r="H40" s="48">
        <v>4</v>
      </c>
      <c r="I40" s="49" t="s">
        <v>46</v>
      </c>
      <c r="J40" s="184">
        <v>300</v>
      </c>
      <c r="K40" s="75">
        <v>260</v>
      </c>
      <c r="L40" s="75">
        <v>2150</v>
      </c>
      <c r="M40" s="202">
        <v>31.818051518343687</v>
      </c>
      <c r="N40" s="87">
        <v>2149.594288833086</v>
      </c>
      <c r="O40" s="123">
        <v>37984.966305068709</v>
      </c>
      <c r="P40" s="199">
        <v>46666.045905137362</v>
      </c>
      <c r="Q40" s="310">
        <v>23913.527147226006</v>
      </c>
      <c r="R40" s="319">
        <v>61898.493452294715</v>
      </c>
      <c r="S40" s="315">
        <v>70579.573052363368</v>
      </c>
      <c r="U40" s="7" t="s">
        <v>4030</v>
      </c>
    </row>
    <row r="41" spans="1:21" s="74" customFormat="1" ht="16.5" thickBot="1">
      <c r="A41" s="50" t="s">
        <v>35</v>
      </c>
      <c r="B41" s="51">
        <f t="shared" si="0"/>
        <v>300</v>
      </c>
      <c r="C41" s="51" t="s">
        <v>3</v>
      </c>
      <c r="D41" s="51">
        <f t="shared" si="1"/>
        <v>260</v>
      </c>
      <c r="E41" s="51" t="s">
        <v>3</v>
      </c>
      <c r="F41" s="99">
        <f t="shared" si="2"/>
        <v>2200</v>
      </c>
      <c r="G41" s="51" t="s">
        <v>3</v>
      </c>
      <c r="H41" s="48">
        <v>4</v>
      </c>
      <c r="I41" s="49" t="s">
        <v>46</v>
      </c>
      <c r="J41" s="184">
        <v>300</v>
      </c>
      <c r="K41" s="75">
        <v>260</v>
      </c>
      <c r="L41" s="75">
        <v>2200</v>
      </c>
      <c r="M41" s="202">
        <v>32.517845588208949</v>
      </c>
      <c r="N41" s="87">
        <v>2209.3052413006717</v>
      </c>
      <c r="O41" s="123">
        <v>38718.552651064325</v>
      </c>
      <c r="P41" s="199">
        <v>47583.825254525735</v>
      </c>
      <c r="Q41" s="310">
        <v>24575.719537376219</v>
      </c>
      <c r="R41" s="319">
        <v>63294.272188440547</v>
      </c>
      <c r="S41" s="315">
        <v>72159.54479190195</v>
      </c>
      <c r="U41" s="7" t="s">
        <v>4031</v>
      </c>
    </row>
    <row r="42" spans="1:21" s="74" customFormat="1" ht="16.5" thickBot="1">
      <c r="A42" s="50" t="s">
        <v>35</v>
      </c>
      <c r="B42" s="51">
        <f t="shared" si="0"/>
        <v>300</v>
      </c>
      <c r="C42" s="51" t="s">
        <v>3</v>
      </c>
      <c r="D42" s="51">
        <f t="shared" si="1"/>
        <v>260</v>
      </c>
      <c r="E42" s="51" t="s">
        <v>3</v>
      </c>
      <c r="F42" s="99">
        <f t="shared" si="2"/>
        <v>2250</v>
      </c>
      <c r="G42" s="51" t="s">
        <v>3</v>
      </c>
      <c r="H42" s="48">
        <v>4</v>
      </c>
      <c r="I42" s="49" t="s">
        <v>46</v>
      </c>
      <c r="J42" s="184">
        <v>300</v>
      </c>
      <c r="K42" s="75">
        <v>260</v>
      </c>
      <c r="L42" s="75">
        <v>2250</v>
      </c>
      <c r="M42" s="202">
        <v>33.200599658074211</v>
      </c>
      <c r="N42" s="87">
        <v>2269.0161937682574</v>
      </c>
      <c r="O42" s="123">
        <v>39452.138997059934</v>
      </c>
      <c r="P42" s="199">
        <v>48501.6046039141</v>
      </c>
      <c r="Q42" s="310">
        <v>25007.330009349789</v>
      </c>
      <c r="R42" s="319">
        <v>64459.469006409723</v>
      </c>
      <c r="S42" s="315">
        <v>73508.934613263889</v>
      </c>
      <c r="U42" s="7" t="s">
        <v>4032</v>
      </c>
    </row>
    <row r="43" spans="1:21" s="74" customFormat="1" ht="16.5" thickBot="1">
      <c r="A43" s="50" t="s">
        <v>35</v>
      </c>
      <c r="B43" s="51">
        <f t="shared" si="0"/>
        <v>300</v>
      </c>
      <c r="C43" s="51" t="s">
        <v>3</v>
      </c>
      <c r="D43" s="51">
        <f t="shared" si="1"/>
        <v>260</v>
      </c>
      <c r="E43" s="51" t="s">
        <v>3</v>
      </c>
      <c r="F43" s="99">
        <f t="shared" si="2"/>
        <v>2300</v>
      </c>
      <c r="G43" s="51" t="s">
        <v>3</v>
      </c>
      <c r="H43" s="48">
        <v>4</v>
      </c>
      <c r="I43" s="49" t="s">
        <v>46</v>
      </c>
      <c r="J43" s="184">
        <v>300</v>
      </c>
      <c r="K43" s="75">
        <v>260</v>
      </c>
      <c r="L43" s="75">
        <v>2300</v>
      </c>
      <c r="M43" s="202">
        <v>33.883353727939472</v>
      </c>
      <c r="N43" s="87">
        <v>2328.7271462358431</v>
      </c>
      <c r="O43" s="123">
        <v>40185.72534305555</v>
      </c>
      <c r="P43" s="199">
        <v>49419.383953302604</v>
      </c>
      <c r="Q43" s="310">
        <v>25438.940621716731</v>
      </c>
      <c r="R43" s="319">
        <v>65624.665964772284</v>
      </c>
      <c r="S43" s="315">
        <v>74858.324575019331</v>
      </c>
      <c r="U43" s="7" t="s">
        <v>4033</v>
      </c>
    </row>
    <row r="44" spans="1:21" s="74" customFormat="1" ht="16.5" thickBot="1">
      <c r="A44" s="50" t="s">
        <v>35</v>
      </c>
      <c r="B44" s="51">
        <f t="shared" si="0"/>
        <v>300</v>
      </c>
      <c r="C44" s="51" t="s">
        <v>3</v>
      </c>
      <c r="D44" s="51">
        <f t="shared" si="1"/>
        <v>260</v>
      </c>
      <c r="E44" s="51" t="s">
        <v>3</v>
      </c>
      <c r="F44" s="99">
        <f t="shared" si="2"/>
        <v>2350</v>
      </c>
      <c r="G44" s="51" t="s">
        <v>3</v>
      </c>
      <c r="H44" s="48">
        <v>4</v>
      </c>
      <c r="I44" s="49" t="s">
        <v>46</v>
      </c>
      <c r="J44" s="184">
        <v>300</v>
      </c>
      <c r="K44" s="75">
        <v>260</v>
      </c>
      <c r="L44" s="75">
        <v>2350</v>
      </c>
      <c r="M44" s="202">
        <v>34.583147797804742</v>
      </c>
      <c r="N44" s="87">
        <v>2388.4380987034288</v>
      </c>
      <c r="O44" s="123">
        <v>40919.311689051159</v>
      </c>
      <c r="P44" s="199">
        <v>50337.163302690977</v>
      </c>
      <c r="Q44" s="310">
        <v>26101.133011866939</v>
      </c>
      <c r="R44" s="319">
        <v>67020.444700918102</v>
      </c>
      <c r="S44" s="315">
        <v>76438.296314557912</v>
      </c>
      <c r="U44" s="7" t="s">
        <v>4034</v>
      </c>
    </row>
    <row r="45" spans="1:21" s="74" customFormat="1" ht="16.5" thickBot="1">
      <c r="A45" s="50" t="s">
        <v>35</v>
      </c>
      <c r="B45" s="51">
        <f t="shared" si="0"/>
        <v>300</v>
      </c>
      <c r="C45" s="51" t="s">
        <v>3</v>
      </c>
      <c r="D45" s="51">
        <f t="shared" si="1"/>
        <v>260</v>
      </c>
      <c r="E45" s="51" t="s">
        <v>3</v>
      </c>
      <c r="F45" s="99">
        <f t="shared" si="2"/>
        <v>2400</v>
      </c>
      <c r="G45" s="51" t="s">
        <v>3</v>
      </c>
      <c r="H45" s="48">
        <v>4</v>
      </c>
      <c r="I45" s="49" t="s">
        <v>46</v>
      </c>
      <c r="J45" s="184">
        <v>300</v>
      </c>
      <c r="K45" s="75">
        <v>260</v>
      </c>
      <c r="L45" s="75">
        <v>2400</v>
      </c>
      <c r="M45" s="202">
        <v>35.265901867669996</v>
      </c>
      <c r="N45" s="87">
        <v>2448.1490511710144</v>
      </c>
      <c r="O45" s="123">
        <v>41652.898035046775</v>
      </c>
      <c r="P45" s="199">
        <v>51254.94265207935</v>
      </c>
      <c r="Q45" s="310">
        <v>26532.743624233881</v>
      </c>
      <c r="R45" s="319">
        <v>68185.641659280664</v>
      </c>
      <c r="S45" s="315">
        <v>77787.686276313238</v>
      </c>
      <c r="U45" s="7" t="s">
        <v>4035</v>
      </c>
    </row>
    <row r="46" spans="1:21" s="74" customFormat="1" ht="16.5" thickBot="1">
      <c r="A46" s="50" t="s">
        <v>35</v>
      </c>
      <c r="B46" s="51">
        <f t="shared" si="0"/>
        <v>300</v>
      </c>
      <c r="C46" s="51" t="s">
        <v>3</v>
      </c>
      <c r="D46" s="51">
        <f t="shared" si="1"/>
        <v>260</v>
      </c>
      <c r="E46" s="51" t="s">
        <v>3</v>
      </c>
      <c r="F46" s="99">
        <f t="shared" si="2"/>
        <v>2450</v>
      </c>
      <c r="G46" s="51" t="s">
        <v>3</v>
      </c>
      <c r="H46" s="48">
        <v>4</v>
      </c>
      <c r="I46" s="49" t="s">
        <v>46</v>
      </c>
      <c r="J46" s="184">
        <v>300</v>
      </c>
      <c r="K46" s="75">
        <v>260</v>
      </c>
      <c r="L46" s="75">
        <v>2450</v>
      </c>
      <c r="M46" s="202">
        <v>36.131606789495258</v>
      </c>
      <c r="N46" s="87">
        <v>2507.8600036386001</v>
      </c>
      <c r="O46" s="123">
        <v>42997.821802707498</v>
      </c>
      <c r="P46" s="199">
        <v>52747.021464847174</v>
      </c>
      <c r="Q46" s="310">
        <v>27194.936014384097</v>
      </c>
      <c r="R46" s="319">
        <v>70192.757817091595</v>
      </c>
      <c r="S46" s="315">
        <v>79941.957479231263</v>
      </c>
      <c r="U46" s="7" t="s">
        <v>4036</v>
      </c>
    </row>
    <row r="47" spans="1:21" s="74" customFormat="1" ht="16.5" thickBot="1">
      <c r="A47" s="50" t="s">
        <v>35</v>
      </c>
      <c r="B47" s="51">
        <f t="shared" si="0"/>
        <v>300</v>
      </c>
      <c r="C47" s="51" t="s">
        <v>3</v>
      </c>
      <c r="D47" s="51">
        <f t="shared" si="1"/>
        <v>260</v>
      </c>
      <c r="E47" s="51" t="s">
        <v>3</v>
      </c>
      <c r="F47" s="99">
        <f t="shared" si="2"/>
        <v>2500</v>
      </c>
      <c r="G47" s="51" t="s">
        <v>3</v>
      </c>
      <c r="H47" s="48">
        <v>4</v>
      </c>
      <c r="I47" s="49" t="s">
        <v>46</v>
      </c>
      <c r="J47" s="184">
        <v>300</v>
      </c>
      <c r="K47" s="75">
        <v>260</v>
      </c>
      <c r="L47" s="75">
        <v>2500</v>
      </c>
      <c r="M47" s="202">
        <v>36.814360859360519</v>
      </c>
      <c r="N47" s="87">
        <v>2567.5709561061863</v>
      </c>
      <c r="O47" s="123">
        <v>43731.408148703107</v>
      </c>
      <c r="P47" s="199">
        <v>53664.800814235547</v>
      </c>
      <c r="Q47" s="310">
        <v>27626.546626751031</v>
      </c>
      <c r="R47" s="319">
        <v>71357.954775454142</v>
      </c>
      <c r="S47" s="315">
        <v>81291.347440986574</v>
      </c>
      <c r="U47" s="7" t="s">
        <v>4037</v>
      </c>
    </row>
    <row r="48" spans="1:21" s="74" customFormat="1" ht="16.5" thickBot="1">
      <c r="A48" s="50" t="s">
        <v>35</v>
      </c>
      <c r="B48" s="51">
        <f t="shared" si="0"/>
        <v>300</v>
      </c>
      <c r="C48" s="51" t="s">
        <v>3</v>
      </c>
      <c r="D48" s="51">
        <f t="shared" si="1"/>
        <v>260</v>
      </c>
      <c r="E48" s="51" t="s">
        <v>3</v>
      </c>
      <c r="F48" s="99">
        <f t="shared" si="2"/>
        <v>2550</v>
      </c>
      <c r="G48" s="51" t="s">
        <v>3</v>
      </c>
      <c r="H48" s="48">
        <v>4</v>
      </c>
      <c r="I48" s="49" t="s">
        <v>46</v>
      </c>
      <c r="J48" s="184">
        <v>300</v>
      </c>
      <c r="K48" s="75">
        <v>260</v>
      </c>
      <c r="L48" s="75">
        <v>2550</v>
      </c>
      <c r="M48" s="202">
        <v>37.514154929225789</v>
      </c>
      <c r="N48" s="87">
        <v>2627.2819085737724</v>
      </c>
      <c r="O48" s="123">
        <v>44464.994494698723</v>
      </c>
      <c r="P48" s="199">
        <v>54582.580163623912</v>
      </c>
      <c r="Q48" s="310">
        <v>28288.739016901247</v>
      </c>
      <c r="R48" s="319">
        <v>72753.733511599974</v>
      </c>
      <c r="S48" s="315">
        <v>82871.319180525155</v>
      </c>
      <c r="U48" s="7" t="s">
        <v>4038</v>
      </c>
    </row>
    <row r="49" spans="1:21" s="74" customFormat="1" ht="16.5" thickBot="1">
      <c r="A49" s="47" t="s">
        <v>35</v>
      </c>
      <c r="B49" s="48">
        <f t="shared" si="0"/>
        <v>300</v>
      </c>
      <c r="C49" s="48" t="s">
        <v>3</v>
      </c>
      <c r="D49" s="48">
        <f t="shared" si="1"/>
        <v>260</v>
      </c>
      <c r="E49" s="48" t="s">
        <v>3</v>
      </c>
      <c r="F49" s="99">
        <f t="shared" si="2"/>
        <v>2600</v>
      </c>
      <c r="G49" s="48" t="s">
        <v>3</v>
      </c>
      <c r="H49" s="48">
        <v>4</v>
      </c>
      <c r="I49" s="49" t="s">
        <v>46</v>
      </c>
      <c r="J49" s="184">
        <v>300</v>
      </c>
      <c r="K49" s="75">
        <v>260</v>
      </c>
      <c r="L49" s="75">
        <v>2600</v>
      </c>
      <c r="M49" s="202">
        <v>38.19690899909105</v>
      </c>
      <c r="N49" s="87">
        <v>2686.9928610413576</v>
      </c>
      <c r="O49" s="123">
        <v>45198.580840694332</v>
      </c>
      <c r="P49" s="199">
        <v>55500.359513012285</v>
      </c>
      <c r="Q49" s="310">
        <v>28720.349629268181</v>
      </c>
      <c r="R49" s="319">
        <v>73918.930469962506</v>
      </c>
      <c r="S49" s="315">
        <v>84220.709142280466</v>
      </c>
      <c r="U49" s="7" t="s">
        <v>4039</v>
      </c>
    </row>
    <row r="50" spans="1:21" s="74" customFormat="1" ht="16.5" thickBot="1">
      <c r="A50" s="50" t="s">
        <v>35</v>
      </c>
      <c r="B50" s="51">
        <f t="shared" si="0"/>
        <v>300</v>
      </c>
      <c r="C50" s="51" t="s">
        <v>3</v>
      </c>
      <c r="D50" s="51">
        <f t="shared" si="1"/>
        <v>260</v>
      </c>
      <c r="E50" s="51" t="s">
        <v>3</v>
      </c>
      <c r="F50" s="99">
        <f t="shared" si="2"/>
        <v>2650</v>
      </c>
      <c r="G50" s="51" t="s">
        <v>3</v>
      </c>
      <c r="H50" s="48">
        <v>4</v>
      </c>
      <c r="I50" s="49" t="s">
        <v>46</v>
      </c>
      <c r="J50" s="184">
        <v>300</v>
      </c>
      <c r="K50" s="75">
        <v>260</v>
      </c>
      <c r="L50" s="75">
        <v>2650</v>
      </c>
      <c r="M50" s="202">
        <v>38.896703068956313</v>
      </c>
      <c r="N50" s="87">
        <v>2746.7038135089429</v>
      </c>
      <c r="O50" s="123">
        <v>45932.167186689949</v>
      </c>
      <c r="P50" s="199">
        <v>56418.138862400796</v>
      </c>
      <c r="Q50" s="310">
        <v>29382.542019418397</v>
      </c>
      <c r="R50" s="319">
        <v>75314.709206108353</v>
      </c>
      <c r="S50" s="315">
        <v>85800.680881819193</v>
      </c>
      <c r="U50" s="7" t="s">
        <v>4040</v>
      </c>
    </row>
    <row r="51" spans="1:21" s="74" customFormat="1" ht="16.5" thickBot="1">
      <c r="A51" s="50" t="s">
        <v>35</v>
      </c>
      <c r="B51" s="51">
        <f t="shared" si="0"/>
        <v>300</v>
      </c>
      <c r="C51" s="51" t="s">
        <v>3</v>
      </c>
      <c r="D51" s="51">
        <f t="shared" si="1"/>
        <v>260</v>
      </c>
      <c r="E51" s="51" t="s">
        <v>3</v>
      </c>
      <c r="F51" s="99">
        <f t="shared" si="2"/>
        <v>2700</v>
      </c>
      <c r="G51" s="51" t="s">
        <v>3</v>
      </c>
      <c r="H51" s="48">
        <v>4</v>
      </c>
      <c r="I51" s="49" t="s">
        <v>46</v>
      </c>
      <c r="J51" s="184">
        <v>300</v>
      </c>
      <c r="K51" s="75">
        <v>260</v>
      </c>
      <c r="L51" s="75">
        <v>2700</v>
      </c>
      <c r="M51" s="202">
        <v>39.657957138821587</v>
      </c>
      <c r="N51" s="87">
        <v>2806.414765976529</v>
      </c>
      <c r="O51" s="123">
        <v>46742.907968587693</v>
      </c>
      <c r="P51" s="199">
        <v>57413.543629619191</v>
      </c>
      <c r="Q51" s="310">
        <v>29814.152631785331</v>
      </c>
      <c r="R51" s="319">
        <v>76557.060600373021</v>
      </c>
      <c r="S51" s="315">
        <v>87227.696261404519</v>
      </c>
      <c r="U51" s="7" t="s">
        <v>4041</v>
      </c>
    </row>
    <row r="52" spans="1:21" s="74" customFormat="1" ht="16.5" thickBot="1">
      <c r="A52" s="50" t="s">
        <v>35</v>
      </c>
      <c r="B52" s="51">
        <f t="shared" si="0"/>
        <v>300</v>
      </c>
      <c r="C52" s="51" t="s">
        <v>3</v>
      </c>
      <c r="D52" s="51">
        <f t="shared" si="1"/>
        <v>260</v>
      </c>
      <c r="E52" s="51" t="s">
        <v>3</v>
      </c>
      <c r="F52" s="99">
        <f t="shared" si="2"/>
        <v>2750</v>
      </c>
      <c r="G52" s="51" t="s">
        <v>3</v>
      </c>
      <c r="H52" s="48">
        <v>4</v>
      </c>
      <c r="I52" s="49" t="s">
        <v>46</v>
      </c>
      <c r="J52" s="184">
        <v>300</v>
      </c>
      <c r="K52" s="75">
        <v>260</v>
      </c>
      <c r="L52" s="75">
        <v>2750</v>
      </c>
      <c r="M52" s="202">
        <v>40.340711208686841</v>
      </c>
      <c r="N52" s="87">
        <v>2866.1257184441151</v>
      </c>
      <c r="O52" s="123">
        <v>47476.494314583309</v>
      </c>
      <c r="P52" s="199">
        <v>58331.322979007695</v>
      </c>
      <c r="Q52" s="310">
        <v>30245.763244152273</v>
      </c>
      <c r="R52" s="319">
        <v>77722.257558735582</v>
      </c>
      <c r="S52" s="315">
        <v>88577.086223159975</v>
      </c>
      <c r="U52" s="7" t="s">
        <v>4042</v>
      </c>
    </row>
    <row r="53" spans="1:21" s="74" customFormat="1" ht="16.5" thickBot="1">
      <c r="A53" s="50" t="s">
        <v>35</v>
      </c>
      <c r="B53" s="51">
        <f t="shared" si="0"/>
        <v>300</v>
      </c>
      <c r="C53" s="51" t="s">
        <v>3</v>
      </c>
      <c r="D53" s="51">
        <f t="shared" si="1"/>
        <v>260</v>
      </c>
      <c r="E53" s="51" t="s">
        <v>3</v>
      </c>
      <c r="F53" s="99">
        <f t="shared" si="2"/>
        <v>2800</v>
      </c>
      <c r="G53" s="51" t="s">
        <v>3</v>
      </c>
      <c r="H53" s="48">
        <v>4</v>
      </c>
      <c r="I53" s="49" t="s">
        <v>46</v>
      </c>
      <c r="J53" s="184">
        <v>300</v>
      </c>
      <c r="K53" s="75">
        <v>260</v>
      </c>
      <c r="L53" s="75">
        <v>2800</v>
      </c>
      <c r="M53" s="202">
        <v>41.040505278552104</v>
      </c>
      <c r="N53" s="87">
        <v>2925.8366709117008</v>
      </c>
      <c r="O53" s="123">
        <v>48210.080660578926</v>
      </c>
      <c r="P53" s="199">
        <v>59249.102328396068</v>
      </c>
      <c r="Q53" s="310">
        <v>30907.955493909118</v>
      </c>
      <c r="R53" s="319">
        <v>79118.036154488043</v>
      </c>
      <c r="S53" s="315">
        <v>90157.057822305185</v>
      </c>
      <c r="U53" s="7" t="s">
        <v>4043</v>
      </c>
    </row>
    <row r="54" spans="1:21" s="74" customFormat="1" ht="16.5" thickBot="1">
      <c r="A54" s="50" t="s">
        <v>35</v>
      </c>
      <c r="B54" s="51">
        <f t="shared" si="0"/>
        <v>300</v>
      </c>
      <c r="C54" s="51" t="s">
        <v>3</v>
      </c>
      <c r="D54" s="51">
        <f t="shared" si="1"/>
        <v>260</v>
      </c>
      <c r="E54" s="51" t="s">
        <v>3</v>
      </c>
      <c r="F54" s="99">
        <f t="shared" si="2"/>
        <v>2850</v>
      </c>
      <c r="G54" s="51" t="s">
        <v>3</v>
      </c>
      <c r="H54" s="48">
        <v>4</v>
      </c>
      <c r="I54" s="49" t="s">
        <v>46</v>
      </c>
      <c r="J54" s="184">
        <v>300</v>
      </c>
      <c r="K54" s="75">
        <v>260</v>
      </c>
      <c r="L54" s="75">
        <v>2850</v>
      </c>
      <c r="M54" s="202">
        <v>41.723259348417372</v>
      </c>
      <c r="N54" s="87">
        <v>2985.5476233792865</v>
      </c>
      <c r="O54" s="123">
        <v>48943.667006574542</v>
      </c>
      <c r="P54" s="199">
        <v>60166.881677784433</v>
      </c>
      <c r="Q54" s="310">
        <v>31339.566106276056</v>
      </c>
      <c r="R54" s="319">
        <v>80283.233112850605</v>
      </c>
      <c r="S54" s="315">
        <v>91506.447784060496</v>
      </c>
      <c r="U54" s="7" t="s">
        <v>4044</v>
      </c>
    </row>
    <row r="55" spans="1:21" s="74" customFormat="1" ht="16.5" thickBot="1">
      <c r="A55" s="50" t="s">
        <v>35</v>
      </c>
      <c r="B55" s="51">
        <f t="shared" si="0"/>
        <v>300</v>
      </c>
      <c r="C55" s="51" t="s">
        <v>3</v>
      </c>
      <c r="D55" s="51">
        <f t="shared" si="1"/>
        <v>260</v>
      </c>
      <c r="E55" s="51" t="s">
        <v>3</v>
      </c>
      <c r="F55" s="99">
        <f t="shared" si="2"/>
        <v>2900</v>
      </c>
      <c r="G55" s="51" t="s">
        <v>3</v>
      </c>
      <c r="H55" s="48">
        <v>4</v>
      </c>
      <c r="I55" s="49" t="s">
        <v>46</v>
      </c>
      <c r="J55" s="184">
        <v>300</v>
      </c>
      <c r="K55" s="75">
        <v>260</v>
      </c>
      <c r="L55" s="75">
        <v>2900</v>
      </c>
      <c r="M55" s="202">
        <v>42.42305341828262</v>
      </c>
      <c r="N55" s="87">
        <v>3045.2585758468717</v>
      </c>
      <c r="O55" s="123">
        <v>49677.253352570144</v>
      </c>
      <c r="P55" s="199">
        <v>61084.661027172806</v>
      </c>
      <c r="Q55" s="310">
        <v>32001.758496426271</v>
      </c>
      <c r="R55" s="319">
        <v>81679.011848996422</v>
      </c>
      <c r="S55" s="315">
        <v>93086.419523599077</v>
      </c>
      <c r="U55" s="7" t="s">
        <v>4045</v>
      </c>
    </row>
    <row r="56" spans="1:21" s="74" customFormat="1" ht="16.5" thickBot="1">
      <c r="A56" s="50" t="s">
        <v>35</v>
      </c>
      <c r="B56" s="51">
        <f t="shared" si="0"/>
        <v>300</v>
      </c>
      <c r="C56" s="51" t="s">
        <v>3</v>
      </c>
      <c r="D56" s="51">
        <f t="shared" si="1"/>
        <v>260</v>
      </c>
      <c r="E56" s="51" t="s">
        <v>3</v>
      </c>
      <c r="F56" s="99">
        <f t="shared" si="2"/>
        <v>2950</v>
      </c>
      <c r="G56" s="51" t="s">
        <v>3</v>
      </c>
      <c r="H56" s="48">
        <v>4</v>
      </c>
      <c r="I56" s="49" t="s">
        <v>46</v>
      </c>
      <c r="J56" s="184">
        <v>300</v>
      </c>
      <c r="K56" s="75">
        <v>260</v>
      </c>
      <c r="L56" s="75">
        <v>2950</v>
      </c>
      <c r="M56" s="202">
        <v>43.105807488147889</v>
      </c>
      <c r="N56" s="87">
        <v>3104.9695283144579</v>
      </c>
      <c r="O56" s="123">
        <v>50410.83969856576</v>
      </c>
      <c r="P56" s="199">
        <v>62002.440376561317</v>
      </c>
      <c r="Q56" s="310">
        <v>32433.369108793206</v>
      </c>
      <c r="R56" s="319">
        <v>82844.208807358969</v>
      </c>
      <c r="S56" s="315">
        <v>94435.809485354519</v>
      </c>
      <c r="U56" s="7" t="s">
        <v>4046</v>
      </c>
    </row>
    <row r="57" spans="1:21" s="74" customFormat="1" ht="16.5" thickBot="1">
      <c r="A57" s="52" t="s">
        <v>35</v>
      </c>
      <c r="B57" s="53">
        <f t="shared" si="0"/>
        <v>300</v>
      </c>
      <c r="C57" s="53" t="s">
        <v>3</v>
      </c>
      <c r="D57" s="53">
        <f t="shared" si="1"/>
        <v>260</v>
      </c>
      <c r="E57" s="53" t="s">
        <v>3</v>
      </c>
      <c r="F57" s="100">
        <f t="shared" si="2"/>
        <v>3000</v>
      </c>
      <c r="G57" s="53" t="s">
        <v>3</v>
      </c>
      <c r="H57" s="55">
        <v>4</v>
      </c>
      <c r="I57" s="54" t="s">
        <v>46</v>
      </c>
      <c r="J57" s="321">
        <v>300</v>
      </c>
      <c r="K57" s="322">
        <v>260</v>
      </c>
      <c r="L57" s="322">
        <v>3000</v>
      </c>
      <c r="M57" s="305">
        <v>43.805601558013151</v>
      </c>
      <c r="N57" s="306">
        <v>3164.6804807820436</v>
      </c>
      <c r="O57" s="307">
        <v>52319.583350419845</v>
      </c>
      <c r="P57" s="339">
        <v>62920.21972594969</v>
      </c>
      <c r="Q57" s="323">
        <v>33095.561498943418</v>
      </c>
      <c r="R57" s="324">
        <v>85415.144849363263</v>
      </c>
      <c r="S57" s="325">
        <v>96015.781224893115</v>
      </c>
      <c r="U57" s="7" t="s">
        <v>4047</v>
      </c>
    </row>
    <row r="58" spans="1:21" ht="22.5" customHeight="1" thickBot="1">
      <c r="A58" s="2580" t="s">
        <v>50</v>
      </c>
      <c r="B58" s="2581"/>
      <c r="C58" s="2581"/>
      <c r="D58" s="2581"/>
      <c r="E58" s="2581"/>
      <c r="F58" s="2581"/>
      <c r="G58" s="2581"/>
      <c r="H58" s="2581"/>
      <c r="I58" s="2581"/>
      <c r="J58" s="2581"/>
      <c r="K58" s="2581"/>
      <c r="L58" s="2581"/>
      <c r="M58" s="2581"/>
      <c r="N58" s="2581"/>
      <c r="O58" s="2581"/>
      <c r="P58" s="2581"/>
      <c r="Q58" s="2581"/>
      <c r="R58" s="2581"/>
      <c r="S58" s="2582"/>
      <c r="U58" s="7"/>
    </row>
    <row r="59" spans="1:21" ht="16.5" thickBot="1">
      <c r="A59" s="2583" t="s">
        <v>139</v>
      </c>
      <c r="B59" s="2584"/>
      <c r="C59" s="2584"/>
      <c r="D59" s="2584"/>
      <c r="E59" s="2584"/>
      <c r="F59" s="2584"/>
      <c r="G59" s="2584"/>
      <c r="H59" s="2584"/>
      <c r="I59" s="2584"/>
      <c r="J59" s="2584"/>
      <c r="K59" s="2584"/>
      <c r="L59" s="2584"/>
      <c r="M59" s="2584"/>
      <c r="N59" s="2584"/>
      <c r="O59" s="2584"/>
      <c r="P59" s="2584"/>
      <c r="Q59" s="2584"/>
      <c r="R59" s="2584"/>
      <c r="S59" s="2585"/>
      <c r="U59" s="7"/>
    </row>
    <row r="60" spans="1:21" ht="16.5" thickBot="1">
      <c r="A60" s="47" t="s">
        <v>35</v>
      </c>
      <c r="B60" s="48">
        <f>J60</f>
        <v>300</v>
      </c>
      <c r="C60" s="48" t="s">
        <v>3</v>
      </c>
      <c r="D60" s="48">
        <f>K60</f>
        <v>300</v>
      </c>
      <c r="E60" s="48" t="s">
        <v>3</v>
      </c>
      <c r="F60" s="99">
        <f>L60</f>
        <v>600</v>
      </c>
      <c r="G60" s="48" t="s">
        <v>3</v>
      </c>
      <c r="H60" s="48">
        <v>4</v>
      </c>
      <c r="I60" s="49" t="s">
        <v>46</v>
      </c>
      <c r="J60" s="326">
        <v>300</v>
      </c>
      <c r="K60" s="327">
        <v>300</v>
      </c>
      <c r="L60" s="327">
        <v>600</v>
      </c>
      <c r="M60" s="301">
        <v>10.267099153074538</v>
      </c>
      <c r="N60" s="302">
        <v>319.68732473236855</v>
      </c>
      <c r="O60" s="303">
        <v>14959.980465896817</v>
      </c>
      <c r="P60" s="208">
        <v>18203.014318201138</v>
      </c>
      <c r="Q60" s="328">
        <v>8203.3683669666007</v>
      </c>
      <c r="R60" s="329">
        <v>23163.348832863419</v>
      </c>
      <c r="S60" s="330">
        <v>26406.382685167737</v>
      </c>
      <c r="U60" s="7" t="s">
        <v>4048</v>
      </c>
    </row>
    <row r="61" spans="1:21" ht="16.5" thickBot="1">
      <c r="A61" s="50" t="s">
        <v>35</v>
      </c>
      <c r="B61" s="51">
        <f t="shared" ref="B61:B108" si="3">J61</f>
        <v>300</v>
      </c>
      <c r="C61" s="51" t="s">
        <v>3</v>
      </c>
      <c r="D61" s="51">
        <f t="shared" ref="D61:D108" si="4">K61</f>
        <v>300</v>
      </c>
      <c r="E61" s="51" t="s">
        <v>3</v>
      </c>
      <c r="F61" s="99">
        <f t="shared" ref="F61:F108" si="5">L61</f>
        <v>650</v>
      </c>
      <c r="G61" s="51" t="s">
        <v>3</v>
      </c>
      <c r="H61" s="48">
        <v>4</v>
      </c>
      <c r="I61" s="49" t="s">
        <v>46</v>
      </c>
      <c r="J61" s="184">
        <v>300</v>
      </c>
      <c r="K61" s="75">
        <v>300</v>
      </c>
      <c r="L61" s="75">
        <v>650</v>
      </c>
      <c r="M61" s="202">
        <v>10.966922074686435</v>
      </c>
      <c r="N61" s="87">
        <v>383.62478967884226</v>
      </c>
      <c r="O61" s="123">
        <v>15730.246122172541</v>
      </c>
      <c r="P61" s="199">
        <v>19175.860428552962</v>
      </c>
      <c r="Q61" s="310">
        <v>8683.7735348305905</v>
      </c>
      <c r="R61" s="319">
        <v>24414.019657003133</v>
      </c>
      <c r="S61" s="315">
        <v>27859.633963383552</v>
      </c>
      <c r="U61" s="7" t="s">
        <v>4049</v>
      </c>
    </row>
    <row r="62" spans="1:21" ht="16.5" thickBot="1">
      <c r="A62" s="50" t="s">
        <v>35</v>
      </c>
      <c r="B62" s="51">
        <f t="shared" si="3"/>
        <v>300</v>
      </c>
      <c r="C62" s="51" t="s">
        <v>3</v>
      </c>
      <c r="D62" s="51">
        <f t="shared" si="4"/>
        <v>300</v>
      </c>
      <c r="E62" s="51" t="s">
        <v>3</v>
      </c>
      <c r="F62" s="99">
        <f t="shared" si="5"/>
        <v>700</v>
      </c>
      <c r="G62" s="51" t="s">
        <v>3</v>
      </c>
      <c r="H62" s="48">
        <v>4</v>
      </c>
      <c r="I62" s="49" t="s">
        <v>46</v>
      </c>
      <c r="J62" s="184">
        <v>300</v>
      </c>
      <c r="K62" s="75">
        <v>300</v>
      </c>
      <c r="L62" s="75">
        <v>700</v>
      </c>
      <c r="M62" s="202">
        <v>11.684210996298329</v>
      </c>
      <c r="N62" s="87">
        <v>447.56225462531597</v>
      </c>
      <c r="O62" s="123">
        <v>16500.511778448265</v>
      </c>
      <c r="P62" s="199">
        <v>20148.706538904644</v>
      </c>
      <c r="Q62" s="310">
        <v>9394.7606208712132</v>
      </c>
      <c r="R62" s="319">
        <v>25895.272399319478</v>
      </c>
      <c r="S62" s="315">
        <v>29543.467159775857</v>
      </c>
      <c r="U62" s="7" t="s">
        <v>4050</v>
      </c>
    </row>
    <row r="63" spans="1:21" ht="16.5" thickBot="1">
      <c r="A63" s="50" t="s">
        <v>35</v>
      </c>
      <c r="B63" s="51">
        <f t="shared" si="3"/>
        <v>300</v>
      </c>
      <c r="C63" s="51" t="s">
        <v>3</v>
      </c>
      <c r="D63" s="51">
        <f t="shared" si="4"/>
        <v>300</v>
      </c>
      <c r="E63" s="51" t="s">
        <v>3</v>
      </c>
      <c r="F63" s="99">
        <f t="shared" si="5"/>
        <v>750</v>
      </c>
      <c r="G63" s="51" t="s">
        <v>3</v>
      </c>
      <c r="H63" s="48">
        <v>4</v>
      </c>
      <c r="I63" s="49" t="s">
        <v>46</v>
      </c>
      <c r="J63" s="184">
        <v>300</v>
      </c>
      <c r="K63" s="75">
        <v>300</v>
      </c>
      <c r="L63" s="75">
        <v>750</v>
      </c>
      <c r="M63" s="202">
        <v>12.384033917910221</v>
      </c>
      <c r="N63" s="87">
        <v>511.49971957178968</v>
      </c>
      <c r="O63" s="123">
        <v>17270.77743472399</v>
      </c>
      <c r="P63" s="199">
        <v>21121.552649256326</v>
      </c>
      <c r="Q63" s="310">
        <v>9875.165788735203</v>
      </c>
      <c r="R63" s="319">
        <v>27145.943223459195</v>
      </c>
      <c r="S63" s="315">
        <v>30996.718437991527</v>
      </c>
      <c r="U63" s="7" t="s">
        <v>4051</v>
      </c>
    </row>
    <row r="64" spans="1:21" ht="16.5" thickBot="1">
      <c r="A64" s="50" t="s">
        <v>35</v>
      </c>
      <c r="B64" s="51">
        <f t="shared" si="3"/>
        <v>300</v>
      </c>
      <c r="C64" s="51" t="s">
        <v>3</v>
      </c>
      <c r="D64" s="51">
        <f t="shared" si="4"/>
        <v>300</v>
      </c>
      <c r="E64" s="51" t="s">
        <v>3</v>
      </c>
      <c r="F64" s="99">
        <f t="shared" si="5"/>
        <v>800</v>
      </c>
      <c r="G64" s="51" t="s">
        <v>3</v>
      </c>
      <c r="H64" s="48">
        <v>4</v>
      </c>
      <c r="I64" s="49" t="s">
        <v>46</v>
      </c>
      <c r="J64" s="184">
        <v>300</v>
      </c>
      <c r="K64" s="75">
        <v>300</v>
      </c>
      <c r="L64" s="75">
        <v>800</v>
      </c>
      <c r="M64" s="202">
        <v>13.083856839522118</v>
      </c>
      <c r="N64" s="87">
        <v>575.43718451826339</v>
      </c>
      <c r="O64" s="123">
        <v>18041.043090999716</v>
      </c>
      <c r="P64" s="199">
        <v>22094.398759608011</v>
      </c>
      <c r="Q64" s="310">
        <v>10355.570956599189</v>
      </c>
      <c r="R64" s="319">
        <v>28396.614047598905</v>
      </c>
      <c r="S64" s="315">
        <v>32449.969716207201</v>
      </c>
      <c r="U64" s="7" t="s">
        <v>4052</v>
      </c>
    </row>
    <row r="65" spans="1:21" ht="16.5" thickBot="1">
      <c r="A65" s="50" t="s">
        <v>35</v>
      </c>
      <c r="B65" s="51">
        <f t="shared" si="3"/>
        <v>300</v>
      </c>
      <c r="C65" s="51" t="s">
        <v>3</v>
      </c>
      <c r="D65" s="51">
        <f t="shared" si="4"/>
        <v>300</v>
      </c>
      <c r="E65" s="51" t="s">
        <v>3</v>
      </c>
      <c r="F65" s="99">
        <f t="shared" si="5"/>
        <v>850</v>
      </c>
      <c r="G65" s="51" t="s">
        <v>3</v>
      </c>
      <c r="H65" s="48">
        <v>4</v>
      </c>
      <c r="I65" s="49" t="s">
        <v>46</v>
      </c>
      <c r="J65" s="184">
        <v>300</v>
      </c>
      <c r="K65" s="75">
        <v>300</v>
      </c>
      <c r="L65" s="75">
        <v>850</v>
      </c>
      <c r="M65" s="202">
        <v>13.801145761134016</v>
      </c>
      <c r="N65" s="87">
        <v>639.3746494647371</v>
      </c>
      <c r="O65" s="123">
        <v>18811.308747275441</v>
      </c>
      <c r="P65" s="199">
        <v>23067.244869959693</v>
      </c>
      <c r="Q65" s="310">
        <v>11066.558042639816</v>
      </c>
      <c r="R65" s="319">
        <v>29877.866789915257</v>
      </c>
      <c r="S65" s="315">
        <v>34133.802912599509</v>
      </c>
      <c r="U65" s="7" t="s">
        <v>4053</v>
      </c>
    </row>
    <row r="66" spans="1:21" ht="16.5" thickBot="1">
      <c r="A66" s="50" t="s">
        <v>35</v>
      </c>
      <c r="B66" s="51">
        <f t="shared" si="3"/>
        <v>300</v>
      </c>
      <c r="C66" s="51" t="s">
        <v>3</v>
      </c>
      <c r="D66" s="51">
        <f t="shared" si="4"/>
        <v>300</v>
      </c>
      <c r="E66" s="51" t="s">
        <v>3</v>
      </c>
      <c r="F66" s="99">
        <f t="shared" si="5"/>
        <v>900</v>
      </c>
      <c r="G66" s="51" t="s">
        <v>3</v>
      </c>
      <c r="H66" s="48">
        <v>4</v>
      </c>
      <c r="I66" s="49" t="s">
        <v>46</v>
      </c>
      <c r="J66" s="184">
        <v>300</v>
      </c>
      <c r="K66" s="75">
        <v>300</v>
      </c>
      <c r="L66" s="75">
        <v>900</v>
      </c>
      <c r="M66" s="202">
        <v>14.500968682745906</v>
      </c>
      <c r="N66" s="87">
        <v>703.31211441121081</v>
      </c>
      <c r="O66" s="123">
        <v>19581.574403551167</v>
      </c>
      <c r="P66" s="199">
        <v>24040.090980311514</v>
      </c>
      <c r="Q66" s="310">
        <v>11546.963210503804</v>
      </c>
      <c r="R66" s="319">
        <v>31128.537614054971</v>
      </c>
      <c r="S66" s="315">
        <v>35587.054190815317</v>
      </c>
      <c r="U66" s="7" t="s">
        <v>4054</v>
      </c>
    </row>
    <row r="67" spans="1:21" ht="16.5" thickBot="1">
      <c r="A67" s="50" t="s">
        <v>35</v>
      </c>
      <c r="B67" s="51">
        <f t="shared" si="3"/>
        <v>300</v>
      </c>
      <c r="C67" s="51" t="s">
        <v>3</v>
      </c>
      <c r="D67" s="51">
        <f t="shared" si="4"/>
        <v>300</v>
      </c>
      <c r="E67" s="51" t="s">
        <v>3</v>
      </c>
      <c r="F67" s="99">
        <f t="shared" si="5"/>
        <v>950</v>
      </c>
      <c r="G67" s="51" t="s">
        <v>3</v>
      </c>
      <c r="H67" s="48">
        <v>4</v>
      </c>
      <c r="I67" s="49" t="s">
        <v>46</v>
      </c>
      <c r="J67" s="184">
        <v>300</v>
      </c>
      <c r="K67" s="75">
        <v>300</v>
      </c>
      <c r="L67" s="75">
        <v>950</v>
      </c>
      <c r="M67" s="202">
        <v>15.218257604357799</v>
      </c>
      <c r="N67" s="87">
        <v>767.24957935768452</v>
      </c>
      <c r="O67" s="123">
        <v>20351.840059826893</v>
      </c>
      <c r="P67" s="199">
        <v>25012.937090663199</v>
      </c>
      <c r="Q67" s="310">
        <v>12257.950156151066</v>
      </c>
      <c r="R67" s="319">
        <v>32609.790215977959</v>
      </c>
      <c r="S67" s="315">
        <v>37270.887246814265</v>
      </c>
      <c r="U67" s="7" t="s">
        <v>4055</v>
      </c>
    </row>
    <row r="68" spans="1:21" ht="16.5" thickBot="1">
      <c r="A68" s="50" t="s">
        <v>35</v>
      </c>
      <c r="B68" s="51">
        <f t="shared" si="3"/>
        <v>300</v>
      </c>
      <c r="C68" s="51" t="s">
        <v>3</v>
      </c>
      <c r="D68" s="51">
        <f t="shared" si="4"/>
        <v>300</v>
      </c>
      <c r="E68" s="51" t="s">
        <v>3</v>
      </c>
      <c r="F68" s="99">
        <f t="shared" si="5"/>
        <v>1000</v>
      </c>
      <c r="G68" s="51" t="s">
        <v>3</v>
      </c>
      <c r="H68" s="48">
        <v>4</v>
      </c>
      <c r="I68" s="49" t="s">
        <v>46</v>
      </c>
      <c r="J68" s="184">
        <v>300</v>
      </c>
      <c r="K68" s="75">
        <v>300</v>
      </c>
      <c r="L68" s="75">
        <v>1000</v>
      </c>
      <c r="M68" s="202">
        <v>15.918080525969698</v>
      </c>
      <c r="N68" s="87">
        <v>831.18704430415823</v>
      </c>
      <c r="O68" s="123">
        <v>21122.105716102615</v>
      </c>
      <c r="P68" s="199">
        <v>25985.783201014881</v>
      </c>
      <c r="Q68" s="310">
        <v>12738.355464408416</v>
      </c>
      <c r="R68" s="319">
        <v>33860.461180511033</v>
      </c>
      <c r="S68" s="315">
        <v>38724.138665423299</v>
      </c>
      <c r="U68" s="7" t="s">
        <v>4056</v>
      </c>
    </row>
    <row r="69" spans="1:21" ht="16.5" thickBot="1">
      <c r="A69" s="50" t="s">
        <v>35</v>
      </c>
      <c r="B69" s="51">
        <f t="shared" si="3"/>
        <v>300</v>
      </c>
      <c r="C69" s="51" t="s">
        <v>3</v>
      </c>
      <c r="D69" s="51">
        <f t="shared" si="4"/>
        <v>300</v>
      </c>
      <c r="E69" s="51" t="s">
        <v>3</v>
      </c>
      <c r="F69" s="99">
        <f t="shared" si="5"/>
        <v>1050</v>
      </c>
      <c r="G69" s="51" t="s">
        <v>3</v>
      </c>
      <c r="H69" s="48">
        <v>4</v>
      </c>
      <c r="I69" s="49" t="s">
        <v>46</v>
      </c>
      <c r="J69" s="184">
        <v>300</v>
      </c>
      <c r="K69" s="75">
        <v>300</v>
      </c>
      <c r="L69" s="75">
        <v>1050</v>
      </c>
      <c r="M69" s="202">
        <v>16.635369447581589</v>
      </c>
      <c r="N69" s="87">
        <v>895.12450925063195</v>
      </c>
      <c r="O69" s="123">
        <v>21892.371372378344</v>
      </c>
      <c r="P69" s="199">
        <v>26958.629311366567</v>
      </c>
      <c r="Q69" s="310">
        <v>13449.342410055679</v>
      </c>
      <c r="R69" s="319">
        <v>35341.713782434024</v>
      </c>
      <c r="S69" s="315">
        <v>40407.971721422247</v>
      </c>
      <c r="U69" s="7" t="s">
        <v>4057</v>
      </c>
    </row>
    <row r="70" spans="1:21" ht="16.5" thickBot="1">
      <c r="A70" s="47" t="s">
        <v>35</v>
      </c>
      <c r="B70" s="48">
        <f t="shared" si="3"/>
        <v>300</v>
      </c>
      <c r="C70" s="48" t="s">
        <v>3</v>
      </c>
      <c r="D70" s="48">
        <f t="shared" si="4"/>
        <v>300</v>
      </c>
      <c r="E70" s="48" t="s">
        <v>3</v>
      </c>
      <c r="F70" s="99">
        <f t="shared" si="5"/>
        <v>1100</v>
      </c>
      <c r="G70" s="48" t="s">
        <v>3</v>
      </c>
      <c r="H70" s="48">
        <v>4</v>
      </c>
      <c r="I70" s="49" t="s">
        <v>46</v>
      </c>
      <c r="J70" s="184">
        <v>300</v>
      </c>
      <c r="K70" s="75">
        <v>300</v>
      </c>
      <c r="L70" s="75">
        <v>1100</v>
      </c>
      <c r="M70" s="202">
        <v>17.335192369193482</v>
      </c>
      <c r="N70" s="87">
        <v>959.06197419710566</v>
      </c>
      <c r="O70" s="123">
        <v>22662.637028654066</v>
      </c>
      <c r="P70" s="199">
        <v>27931.475421718245</v>
      </c>
      <c r="Q70" s="310">
        <v>13929.747718313029</v>
      </c>
      <c r="R70" s="319">
        <v>36592.384746967095</v>
      </c>
      <c r="S70" s="315">
        <v>41861.223140031274</v>
      </c>
      <c r="U70" s="7" t="s">
        <v>4058</v>
      </c>
    </row>
    <row r="71" spans="1:21" ht="16.5" thickBot="1">
      <c r="A71" s="50" t="s">
        <v>35</v>
      </c>
      <c r="B71" s="51">
        <f t="shared" si="3"/>
        <v>300</v>
      </c>
      <c r="C71" s="51" t="s">
        <v>3</v>
      </c>
      <c r="D71" s="51">
        <f t="shared" si="4"/>
        <v>300</v>
      </c>
      <c r="E71" s="51" t="s">
        <v>3</v>
      </c>
      <c r="F71" s="99">
        <f t="shared" si="5"/>
        <v>1150</v>
      </c>
      <c r="G71" s="51" t="s">
        <v>3</v>
      </c>
      <c r="H71" s="48">
        <v>4</v>
      </c>
      <c r="I71" s="49" t="s">
        <v>46</v>
      </c>
      <c r="J71" s="184">
        <v>300</v>
      </c>
      <c r="K71" s="75">
        <v>300</v>
      </c>
      <c r="L71" s="75">
        <v>1150</v>
      </c>
      <c r="M71" s="202">
        <v>18.035015290805383</v>
      </c>
      <c r="N71" s="87">
        <v>1022.9994391435794</v>
      </c>
      <c r="O71" s="123">
        <v>23432.902684929792</v>
      </c>
      <c r="P71" s="199">
        <v>28904.321532070073</v>
      </c>
      <c r="Q71" s="310">
        <v>14410.152886177015</v>
      </c>
      <c r="R71" s="319">
        <v>37843.055571106808</v>
      </c>
      <c r="S71" s="315">
        <v>43314.474418247089</v>
      </c>
      <c r="U71" s="7" t="s">
        <v>4059</v>
      </c>
    </row>
    <row r="72" spans="1:21" ht="16.5" thickBot="1">
      <c r="A72" s="50" t="s">
        <v>35</v>
      </c>
      <c r="B72" s="51">
        <f t="shared" si="3"/>
        <v>300</v>
      </c>
      <c r="C72" s="51" t="s">
        <v>3</v>
      </c>
      <c r="D72" s="51">
        <f t="shared" si="4"/>
        <v>300</v>
      </c>
      <c r="E72" s="51" t="s">
        <v>3</v>
      </c>
      <c r="F72" s="99">
        <f t="shared" si="5"/>
        <v>1200</v>
      </c>
      <c r="G72" s="51" t="s">
        <v>3</v>
      </c>
      <c r="H72" s="48">
        <v>4</v>
      </c>
      <c r="I72" s="49" t="s">
        <v>46</v>
      </c>
      <c r="J72" s="184">
        <v>300</v>
      </c>
      <c r="K72" s="75">
        <v>300</v>
      </c>
      <c r="L72" s="75">
        <v>1200</v>
      </c>
      <c r="M72" s="202">
        <v>18.832766712417275</v>
      </c>
      <c r="N72" s="87">
        <v>1086.9369040900531</v>
      </c>
      <c r="O72" s="123">
        <v>24284.180505922432</v>
      </c>
      <c r="P72" s="199">
        <v>29959.450585321581</v>
      </c>
      <c r="Q72" s="310">
        <v>15121.139831824277</v>
      </c>
      <c r="R72" s="319">
        <v>39405.320337746707</v>
      </c>
      <c r="S72" s="315">
        <v>45080.590417145861</v>
      </c>
      <c r="U72" s="7" t="s">
        <v>4060</v>
      </c>
    </row>
    <row r="73" spans="1:21" ht="16.5" thickBot="1">
      <c r="A73" s="50" t="s">
        <v>35</v>
      </c>
      <c r="B73" s="51">
        <f t="shared" si="3"/>
        <v>300</v>
      </c>
      <c r="C73" s="51" t="s">
        <v>3</v>
      </c>
      <c r="D73" s="51">
        <f t="shared" si="4"/>
        <v>300</v>
      </c>
      <c r="E73" s="51" t="s">
        <v>3</v>
      </c>
      <c r="F73" s="99">
        <f t="shared" si="5"/>
        <v>1250</v>
      </c>
      <c r="G73" s="51" t="s">
        <v>3</v>
      </c>
      <c r="H73" s="48">
        <v>4</v>
      </c>
      <c r="I73" s="49" t="s">
        <v>46</v>
      </c>
      <c r="J73" s="184">
        <v>300</v>
      </c>
      <c r="K73" s="75">
        <v>300</v>
      </c>
      <c r="L73" s="75">
        <v>1250</v>
      </c>
      <c r="M73" s="202">
        <v>19.532589634029168</v>
      </c>
      <c r="N73" s="87">
        <v>1150.8743690365268</v>
      </c>
      <c r="O73" s="123">
        <v>25054.446162198157</v>
      </c>
      <c r="P73" s="199">
        <v>30932.296695673409</v>
      </c>
      <c r="Q73" s="310">
        <v>15601.545140081627</v>
      </c>
      <c r="R73" s="319">
        <v>40655.991302279785</v>
      </c>
      <c r="S73" s="315">
        <v>46533.84183575504</v>
      </c>
      <c r="U73" s="7" t="s">
        <v>4061</v>
      </c>
    </row>
    <row r="74" spans="1:21" ht="16.5" thickBot="1">
      <c r="A74" s="50" t="s">
        <v>35</v>
      </c>
      <c r="B74" s="51">
        <f t="shared" si="3"/>
        <v>300</v>
      </c>
      <c r="C74" s="51" t="s">
        <v>3</v>
      </c>
      <c r="D74" s="51">
        <f t="shared" si="4"/>
        <v>300</v>
      </c>
      <c r="E74" s="51" t="s">
        <v>3</v>
      </c>
      <c r="F74" s="99">
        <f t="shared" si="5"/>
        <v>1300</v>
      </c>
      <c r="G74" s="51" t="s">
        <v>3</v>
      </c>
      <c r="H74" s="48">
        <v>4</v>
      </c>
      <c r="I74" s="49" t="s">
        <v>46</v>
      </c>
      <c r="J74" s="184">
        <v>300</v>
      </c>
      <c r="K74" s="75">
        <v>300</v>
      </c>
      <c r="L74" s="75">
        <v>1300</v>
      </c>
      <c r="M74" s="202">
        <v>20.249878555641061</v>
      </c>
      <c r="N74" s="87">
        <v>1214.8118339830005</v>
      </c>
      <c r="O74" s="123">
        <v>25824.711818473883</v>
      </c>
      <c r="P74" s="199">
        <v>31905.142806025087</v>
      </c>
      <c r="Q74" s="310">
        <v>16312.53208572889</v>
      </c>
      <c r="R74" s="319">
        <v>42137.243904202769</v>
      </c>
      <c r="S74" s="315">
        <v>48217.674891753981</v>
      </c>
      <c r="U74" s="7" t="s">
        <v>4062</v>
      </c>
    </row>
    <row r="75" spans="1:21" ht="16.5" thickBot="1">
      <c r="A75" s="50" t="s">
        <v>35</v>
      </c>
      <c r="B75" s="51">
        <f t="shared" si="3"/>
        <v>300</v>
      </c>
      <c r="C75" s="51" t="s">
        <v>3</v>
      </c>
      <c r="D75" s="51">
        <f t="shared" si="4"/>
        <v>300</v>
      </c>
      <c r="E75" s="51" t="s">
        <v>3</v>
      </c>
      <c r="F75" s="99">
        <f t="shared" si="5"/>
        <v>1350</v>
      </c>
      <c r="G75" s="51" t="s">
        <v>3</v>
      </c>
      <c r="H75" s="48">
        <v>4</v>
      </c>
      <c r="I75" s="49" t="s">
        <v>46</v>
      </c>
      <c r="J75" s="184">
        <v>300</v>
      </c>
      <c r="K75" s="75">
        <v>300</v>
      </c>
      <c r="L75" s="75">
        <v>1350</v>
      </c>
      <c r="M75" s="202">
        <v>20.949701477252962</v>
      </c>
      <c r="N75" s="87">
        <v>1278.7492989294742</v>
      </c>
      <c r="O75" s="123">
        <v>26594.977474749605</v>
      </c>
      <c r="P75" s="199">
        <v>32877.988916376773</v>
      </c>
      <c r="Q75" s="310">
        <v>16792.937253592878</v>
      </c>
      <c r="R75" s="319">
        <v>43387.914728342483</v>
      </c>
      <c r="S75" s="315">
        <v>49670.926169969651</v>
      </c>
      <c r="U75" s="7" t="s">
        <v>4063</v>
      </c>
    </row>
    <row r="76" spans="1:21" ht="16.5" thickBot="1">
      <c r="A76" s="50" t="s">
        <v>35</v>
      </c>
      <c r="B76" s="51">
        <f t="shared" si="3"/>
        <v>300</v>
      </c>
      <c r="C76" s="51" t="s">
        <v>3</v>
      </c>
      <c r="D76" s="51">
        <f t="shared" si="4"/>
        <v>300</v>
      </c>
      <c r="E76" s="51" t="s">
        <v>3</v>
      </c>
      <c r="F76" s="99">
        <f t="shared" si="5"/>
        <v>1400</v>
      </c>
      <c r="G76" s="51" t="s">
        <v>3</v>
      </c>
      <c r="H76" s="48">
        <v>4</v>
      </c>
      <c r="I76" s="49" t="s">
        <v>46</v>
      </c>
      <c r="J76" s="184">
        <v>300</v>
      </c>
      <c r="K76" s="75">
        <v>300</v>
      </c>
      <c r="L76" s="75">
        <v>1400</v>
      </c>
      <c r="M76" s="202">
        <v>21.666990398864851</v>
      </c>
      <c r="N76" s="87">
        <v>1342.6867638759479</v>
      </c>
      <c r="O76" s="123">
        <v>27365.243131025331</v>
      </c>
      <c r="P76" s="199">
        <v>33850.835026728455</v>
      </c>
      <c r="Q76" s="310">
        <v>17503.924339633504</v>
      </c>
      <c r="R76" s="319">
        <v>44869.167470658838</v>
      </c>
      <c r="S76" s="315">
        <v>51354.759366361963</v>
      </c>
      <c r="U76" s="7" t="s">
        <v>4064</v>
      </c>
    </row>
    <row r="77" spans="1:21" ht="16.5" thickBot="1">
      <c r="A77" s="50" t="s">
        <v>35</v>
      </c>
      <c r="B77" s="51">
        <f t="shared" si="3"/>
        <v>300</v>
      </c>
      <c r="C77" s="51" t="s">
        <v>3</v>
      </c>
      <c r="D77" s="51">
        <f t="shared" si="4"/>
        <v>300</v>
      </c>
      <c r="E77" s="51" t="s">
        <v>3</v>
      </c>
      <c r="F77" s="99">
        <f t="shared" si="5"/>
        <v>1450</v>
      </c>
      <c r="G77" s="51" t="s">
        <v>3</v>
      </c>
      <c r="H77" s="48">
        <v>4</v>
      </c>
      <c r="I77" s="49" t="s">
        <v>46</v>
      </c>
      <c r="J77" s="184">
        <v>300</v>
      </c>
      <c r="K77" s="75">
        <v>300</v>
      </c>
      <c r="L77" s="75">
        <v>1450</v>
      </c>
      <c r="M77" s="202">
        <v>22.366813320476748</v>
      </c>
      <c r="N77" s="87">
        <v>1406.6242288224216</v>
      </c>
      <c r="O77" s="123">
        <v>28135.508787301056</v>
      </c>
      <c r="P77" s="199">
        <v>34823.681137080275</v>
      </c>
      <c r="Q77" s="310">
        <v>17984.32950749735</v>
      </c>
      <c r="R77" s="319">
        <v>46119.838294798406</v>
      </c>
      <c r="S77" s="315">
        <v>52808.010644577625</v>
      </c>
      <c r="U77" s="7" t="s">
        <v>4065</v>
      </c>
    </row>
    <row r="78" spans="1:21" ht="16.5" thickBot="1">
      <c r="A78" s="50" t="s">
        <v>35</v>
      </c>
      <c r="B78" s="51">
        <f t="shared" si="3"/>
        <v>300</v>
      </c>
      <c r="C78" s="51" t="s">
        <v>3</v>
      </c>
      <c r="D78" s="51">
        <f t="shared" si="4"/>
        <v>300</v>
      </c>
      <c r="E78" s="51" t="s">
        <v>3</v>
      </c>
      <c r="F78" s="99">
        <f t="shared" si="5"/>
        <v>1500</v>
      </c>
      <c r="G78" s="51" t="s">
        <v>3</v>
      </c>
      <c r="H78" s="48">
        <v>4</v>
      </c>
      <c r="I78" s="49" t="s">
        <v>46</v>
      </c>
      <c r="J78" s="184">
        <v>300</v>
      </c>
      <c r="K78" s="75">
        <v>300</v>
      </c>
      <c r="L78" s="75">
        <v>1500</v>
      </c>
      <c r="M78" s="202">
        <v>23.254160865347643</v>
      </c>
      <c r="N78" s="87">
        <v>1470.5616937688953</v>
      </c>
      <c r="O78" s="123">
        <v>29547.678729305484</v>
      </c>
      <c r="P78" s="199">
        <v>36405.284678613993</v>
      </c>
      <c r="Q78" s="310">
        <v>18695.316593538118</v>
      </c>
      <c r="R78" s="319">
        <v>48242.995322843606</v>
      </c>
      <c r="S78" s="315">
        <v>55100.601272152111</v>
      </c>
      <c r="U78" s="7" t="s">
        <v>4066</v>
      </c>
    </row>
    <row r="79" spans="1:21" ht="16.5" thickBot="1">
      <c r="A79" s="50" t="s">
        <v>35</v>
      </c>
      <c r="B79" s="51">
        <f t="shared" si="3"/>
        <v>300</v>
      </c>
      <c r="C79" s="51" t="s">
        <v>3</v>
      </c>
      <c r="D79" s="51">
        <f t="shared" si="4"/>
        <v>300</v>
      </c>
      <c r="E79" s="51" t="s">
        <v>3</v>
      </c>
      <c r="F79" s="99">
        <f t="shared" si="5"/>
        <v>1550</v>
      </c>
      <c r="G79" s="51" t="s">
        <v>3</v>
      </c>
      <c r="H79" s="48">
        <v>4</v>
      </c>
      <c r="I79" s="49" t="s">
        <v>46</v>
      </c>
      <c r="J79" s="184">
        <v>300</v>
      </c>
      <c r="K79" s="75">
        <v>300</v>
      </c>
      <c r="L79" s="75">
        <v>1550</v>
      </c>
      <c r="M79" s="202">
        <v>23.953983786959537</v>
      </c>
      <c r="N79" s="87">
        <v>1534.499158715369</v>
      </c>
      <c r="O79" s="123">
        <v>30317.944385581206</v>
      </c>
      <c r="P79" s="199">
        <v>37378.130788965682</v>
      </c>
      <c r="Q79" s="310">
        <v>19175.721761402103</v>
      </c>
      <c r="R79" s="319">
        <v>49493.666146983305</v>
      </c>
      <c r="S79" s="315">
        <v>56553.852550367781</v>
      </c>
      <c r="U79" s="7" t="s">
        <v>4067</v>
      </c>
    </row>
    <row r="80" spans="1:21" ht="16.5" thickBot="1">
      <c r="A80" s="47" t="s">
        <v>35</v>
      </c>
      <c r="B80" s="48">
        <f t="shared" si="3"/>
        <v>300</v>
      </c>
      <c r="C80" s="48" t="s">
        <v>3</v>
      </c>
      <c r="D80" s="48">
        <f t="shared" si="4"/>
        <v>300</v>
      </c>
      <c r="E80" s="48" t="s">
        <v>3</v>
      </c>
      <c r="F80" s="99">
        <f t="shared" si="5"/>
        <v>1600</v>
      </c>
      <c r="G80" s="48" t="s">
        <v>3</v>
      </c>
      <c r="H80" s="48">
        <v>4</v>
      </c>
      <c r="I80" s="49" t="s">
        <v>46</v>
      </c>
      <c r="J80" s="184">
        <v>300</v>
      </c>
      <c r="K80" s="75">
        <v>300</v>
      </c>
      <c r="L80" s="75">
        <v>1600</v>
      </c>
      <c r="M80" s="202">
        <v>24.65380670857143</v>
      </c>
      <c r="N80" s="87">
        <v>1598.4366236618428</v>
      </c>
      <c r="O80" s="123">
        <v>31088.210041856932</v>
      </c>
      <c r="P80" s="199">
        <v>38350.976899317502</v>
      </c>
      <c r="Q80" s="310">
        <v>19656.126929266091</v>
      </c>
      <c r="R80" s="319">
        <v>50744.336971123019</v>
      </c>
      <c r="S80" s="315">
        <v>58007.103828583597</v>
      </c>
      <c r="U80" s="7" t="s">
        <v>4068</v>
      </c>
    </row>
    <row r="81" spans="1:21" ht="16.5" thickBot="1">
      <c r="A81" s="50" t="s">
        <v>35</v>
      </c>
      <c r="B81" s="51">
        <f t="shared" si="3"/>
        <v>300</v>
      </c>
      <c r="C81" s="51" t="s">
        <v>3</v>
      </c>
      <c r="D81" s="51">
        <f t="shared" si="4"/>
        <v>300</v>
      </c>
      <c r="E81" s="51" t="s">
        <v>3</v>
      </c>
      <c r="F81" s="99">
        <f t="shared" si="5"/>
        <v>1650</v>
      </c>
      <c r="G81" s="51" t="s">
        <v>3</v>
      </c>
      <c r="H81" s="48">
        <v>4</v>
      </c>
      <c r="I81" s="49" t="s">
        <v>46</v>
      </c>
      <c r="J81" s="184">
        <v>300</v>
      </c>
      <c r="K81" s="75">
        <v>300</v>
      </c>
      <c r="L81" s="75">
        <v>1650</v>
      </c>
      <c r="M81" s="202">
        <v>25.37109563018333</v>
      </c>
      <c r="N81" s="87">
        <v>1662.3740886083165</v>
      </c>
      <c r="O81" s="123">
        <v>31858.475698132657</v>
      </c>
      <c r="P81" s="199">
        <v>39323.823009669184</v>
      </c>
      <c r="Q81" s="310">
        <v>20367.114015306717</v>
      </c>
      <c r="R81" s="319">
        <v>52225.589713439374</v>
      </c>
      <c r="S81" s="315">
        <v>59690.937024975901</v>
      </c>
      <c r="U81" s="7" t="s">
        <v>4069</v>
      </c>
    </row>
    <row r="82" spans="1:21" ht="16.5" thickBot="1">
      <c r="A82" s="50" t="s">
        <v>35</v>
      </c>
      <c r="B82" s="51">
        <f t="shared" si="3"/>
        <v>300</v>
      </c>
      <c r="C82" s="51" t="s">
        <v>3</v>
      </c>
      <c r="D82" s="51">
        <f t="shared" si="4"/>
        <v>300</v>
      </c>
      <c r="E82" s="51" t="s">
        <v>3</v>
      </c>
      <c r="F82" s="99">
        <f t="shared" si="5"/>
        <v>1700</v>
      </c>
      <c r="G82" s="51" t="s">
        <v>3</v>
      </c>
      <c r="H82" s="48">
        <v>4</v>
      </c>
      <c r="I82" s="49" t="s">
        <v>46</v>
      </c>
      <c r="J82" s="184">
        <v>300</v>
      </c>
      <c r="K82" s="75">
        <v>300</v>
      </c>
      <c r="L82" s="75">
        <v>1700</v>
      </c>
      <c r="M82" s="202">
        <v>26.070918551795224</v>
      </c>
      <c r="N82" s="87">
        <v>1726.3115535547902</v>
      </c>
      <c r="O82" s="123">
        <v>32628.741354408379</v>
      </c>
      <c r="P82" s="199">
        <v>40296.669120020866</v>
      </c>
      <c r="Q82" s="310">
        <v>20847.519183170705</v>
      </c>
      <c r="R82" s="319">
        <v>53476.260537579088</v>
      </c>
      <c r="S82" s="315">
        <v>61144.188303191571</v>
      </c>
      <c r="U82" s="7" t="s">
        <v>4070</v>
      </c>
    </row>
    <row r="83" spans="1:21" ht="16.5" thickBot="1">
      <c r="A83" s="50" t="s">
        <v>35</v>
      </c>
      <c r="B83" s="51">
        <f t="shared" si="3"/>
        <v>300</v>
      </c>
      <c r="C83" s="51" t="s">
        <v>3</v>
      </c>
      <c r="D83" s="51">
        <f t="shared" si="4"/>
        <v>300</v>
      </c>
      <c r="E83" s="51" t="s">
        <v>3</v>
      </c>
      <c r="F83" s="99">
        <f t="shared" si="5"/>
        <v>1750</v>
      </c>
      <c r="G83" s="51" t="s">
        <v>3</v>
      </c>
      <c r="H83" s="48">
        <v>4</v>
      </c>
      <c r="I83" s="49" t="s">
        <v>46</v>
      </c>
      <c r="J83" s="184">
        <v>300</v>
      </c>
      <c r="K83" s="75">
        <v>300</v>
      </c>
      <c r="L83" s="75">
        <v>1750</v>
      </c>
      <c r="M83" s="202">
        <v>26.788207473407113</v>
      </c>
      <c r="N83" s="87">
        <v>1790.2490185012639</v>
      </c>
      <c r="O83" s="123">
        <v>33399.007010684109</v>
      </c>
      <c r="P83" s="199">
        <v>41269.515230372548</v>
      </c>
      <c r="Q83" s="310">
        <v>21558.506269211328</v>
      </c>
      <c r="R83" s="319">
        <v>54957.513279895436</v>
      </c>
      <c r="S83" s="315">
        <v>62828.021499583876</v>
      </c>
      <c r="U83" s="7" t="s">
        <v>4071</v>
      </c>
    </row>
    <row r="84" spans="1:21" ht="16.5" thickBot="1">
      <c r="A84" s="50" t="s">
        <v>35</v>
      </c>
      <c r="B84" s="51">
        <f t="shared" si="3"/>
        <v>300</v>
      </c>
      <c r="C84" s="51" t="s">
        <v>3</v>
      </c>
      <c r="D84" s="51">
        <f t="shared" si="4"/>
        <v>300</v>
      </c>
      <c r="E84" s="51" t="s">
        <v>3</v>
      </c>
      <c r="F84" s="99">
        <f t="shared" si="5"/>
        <v>1800</v>
      </c>
      <c r="G84" s="51" t="s">
        <v>3</v>
      </c>
      <c r="H84" s="48">
        <v>4</v>
      </c>
      <c r="I84" s="49" t="s">
        <v>46</v>
      </c>
      <c r="J84" s="184">
        <v>300</v>
      </c>
      <c r="K84" s="75">
        <v>300</v>
      </c>
      <c r="L84" s="75">
        <v>1800</v>
      </c>
      <c r="M84" s="202">
        <v>27.48803039501901</v>
      </c>
      <c r="N84" s="87">
        <v>1854.1864834477376</v>
      </c>
      <c r="O84" s="123">
        <v>34169.272666959827</v>
      </c>
      <c r="P84" s="199">
        <v>42242.36134072423</v>
      </c>
      <c r="Q84" s="310">
        <v>22038.911437075316</v>
      </c>
      <c r="R84" s="319">
        <v>56208.184104035143</v>
      </c>
      <c r="S84" s="315">
        <v>64281.272777799546</v>
      </c>
      <c r="U84" s="7" t="s">
        <v>4072</v>
      </c>
    </row>
    <row r="85" spans="1:21" ht="16.5" thickBot="1">
      <c r="A85" s="50" t="s">
        <v>35</v>
      </c>
      <c r="B85" s="51">
        <f t="shared" si="3"/>
        <v>300</v>
      </c>
      <c r="C85" s="51" t="s">
        <v>3</v>
      </c>
      <c r="D85" s="51">
        <f t="shared" si="4"/>
        <v>300</v>
      </c>
      <c r="E85" s="51" t="s">
        <v>3</v>
      </c>
      <c r="F85" s="99">
        <f t="shared" si="5"/>
        <v>1850</v>
      </c>
      <c r="G85" s="51" t="s">
        <v>3</v>
      </c>
      <c r="H85" s="48">
        <v>4</v>
      </c>
      <c r="I85" s="49" t="s">
        <v>46</v>
      </c>
      <c r="J85" s="184">
        <v>300</v>
      </c>
      <c r="K85" s="75">
        <v>300</v>
      </c>
      <c r="L85" s="75">
        <v>1850</v>
      </c>
      <c r="M85" s="202">
        <v>28.205319316630902</v>
      </c>
      <c r="N85" s="87">
        <v>1918.1239483942113</v>
      </c>
      <c r="O85" s="123">
        <v>34939.538323235553</v>
      </c>
      <c r="P85" s="199">
        <v>43215.207451076058</v>
      </c>
      <c r="Q85" s="310">
        <v>22749.898382722578</v>
      </c>
      <c r="R85" s="319">
        <v>57689.436705958127</v>
      </c>
      <c r="S85" s="315">
        <v>65965.105833798632</v>
      </c>
      <c r="U85" s="7" t="s">
        <v>4073</v>
      </c>
    </row>
    <row r="86" spans="1:21" ht="16.5" thickBot="1">
      <c r="A86" s="50" t="s">
        <v>35</v>
      </c>
      <c r="B86" s="51">
        <f t="shared" si="3"/>
        <v>300</v>
      </c>
      <c r="C86" s="51" t="s">
        <v>3</v>
      </c>
      <c r="D86" s="51">
        <f t="shared" si="4"/>
        <v>300</v>
      </c>
      <c r="E86" s="51" t="s">
        <v>3</v>
      </c>
      <c r="F86" s="99">
        <f t="shared" si="5"/>
        <v>1900</v>
      </c>
      <c r="G86" s="51" t="s">
        <v>3</v>
      </c>
      <c r="H86" s="48">
        <v>4</v>
      </c>
      <c r="I86" s="49" t="s">
        <v>46</v>
      </c>
      <c r="J86" s="184">
        <v>300</v>
      </c>
      <c r="K86" s="75">
        <v>300</v>
      </c>
      <c r="L86" s="75">
        <v>1900</v>
      </c>
      <c r="M86" s="202">
        <v>28.905142238242796</v>
      </c>
      <c r="N86" s="87">
        <v>1982.061413340685</v>
      </c>
      <c r="O86" s="123">
        <v>35709.803979511285</v>
      </c>
      <c r="P86" s="199">
        <v>44188.05356142774</v>
      </c>
      <c r="Q86" s="310">
        <v>23230.30369097993</v>
      </c>
      <c r="R86" s="319">
        <v>58940.107670491212</v>
      </c>
      <c r="S86" s="315">
        <v>67418.357252407674</v>
      </c>
      <c r="U86" s="7" t="s">
        <v>4074</v>
      </c>
    </row>
    <row r="87" spans="1:21" ht="16.5" thickBot="1">
      <c r="A87" s="50" t="s">
        <v>35</v>
      </c>
      <c r="B87" s="51">
        <f t="shared" si="3"/>
        <v>300</v>
      </c>
      <c r="C87" s="51" t="s">
        <v>3</v>
      </c>
      <c r="D87" s="51">
        <f t="shared" si="4"/>
        <v>300</v>
      </c>
      <c r="E87" s="51" t="s">
        <v>3</v>
      </c>
      <c r="F87" s="99">
        <f t="shared" si="5"/>
        <v>1950</v>
      </c>
      <c r="G87" s="51" t="s">
        <v>3</v>
      </c>
      <c r="H87" s="48">
        <v>4</v>
      </c>
      <c r="I87" s="49" t="s">
        <v>46</v>
      </c>
      <c r="J87" s="184">
        <v>300</v>
      </c>
      <c r="K87" s="75">
        <v>300</v>
      </c>
      <c r="L87" s="75">
        <v>1950</v>
      </c>
      <c r="M87" s="202">
        <v>29.685427659854692</v>
      </c>
      <c r="N87" s="87">
        <v>2045.9988782871587</v>
      </c>
      <c r="O87" s="123">
        <v>36561.081800503918</v>
      </c>
      <c r="P87" s="199">
        <v>45243.18261467939</v>
      </c>
      <c r="Q87" s="310">
        <v>23710.708858843918</v>
      </c>
      <c r="R87" s="319">
        <v>60271.79065934784</v>
      </c>
      <c r="S87" s="315">
        <v>68953.891473523312</v>
      </c>
      <c r="U87" s="7" t="s">
        <v>4075</v>
      </c>
    </row>
    <row r="88" spans="1:21" ht="16.5" thickBot="1">
      <c r="A88" s="50" t="s">
        <v>35</v>
      </c>
      <c r="B88" s="51">
        <f t="shared" si="3"/>
        <v>300</v>
      </c>
      <c r="C88" s="51" t="s">
        <v>3</v>
      </c>
      <c r="D88" s="51">
        <f t="shared" si="4"/>
        <v>300</v>
      </c>
      <c r="E88" s="51" t="s">
        <v>3</v>
      </c>
      <c r="F88" s="99">
        <f t="shared" si="5"/>
        <v>2000</v>
      </c>
      <c r="G88" s="51" t="s">
        <v>3</v>
      </c>
      <c r="H88" s="48">
        <v>4</v>
      </c>
      <c r="I88" s="49" t="s">
        <v>46</v>
      </c>
      <c r="J88" s="184">
        <v>300</v>
      </c>
      <c r="K88" s="75">
        <v>300</v>
      </c>
      <c r="L88" s="75">
        <v>2000</v>
      </c>
      <c r="M88" s="202">
        <v>30.496568041466592</v>
      </c>
      <c r="N88" s="87">
        <v>2109.9363432336322</v>
      </c>
      <c r="O88" s="123">
        <v>37573.417623416295</v>
      </c>
      <c r="P88" s="199">
        <v>46547.470328390365</v>
      </c>
      <c r="Q88" s="310">
        <v>24421.695804491177</v>
      </c>
      <c r="R88" s="319">
        <v>61995.113427907476</v>
      </c>
      <c r="S88" s="315">
        <v>70969.166132881539</v>
      </c>
      <c r="U88" s="7" t="s">
        <v>4076</v>
      </c>
    </row>
    <row r="89" spans="1:21" ht="16.5" thickBot="1">
      <c r="A89" s="50" t="s">
        <v>35</v>
      </c>
      <c r="B89" s="51">
        <f t="shared" si="3"/>
        <v>300</v>
      </c>
      <c r="C89" s="51" t="s">
        <v>3</v>
      </c>
      <c r="D89" s="51">
        <f t="shared" si="4"/>
        <v>300</v>
      </c>
      <c r="E89" s="51" t="s">
        <v>3</v>
      </c>
      <c r="F89" s="99">
        <f t="shared" si="5"/>
        <v>2050</v>
      </c>
      <c r="G89" s="51" t="s">
        <v>3</v>
      </c>
      <c r="H89" s="48">
        <v>4</v>
      </c>
      <c r="I89" s="49" t="s">
        <v>46</v>
      </c>
      <c r="J89" s="184">
        <v>300</v>
      </c>
      <c r="K89" s="75">
        <v>300</v>
      </c>
      <c r="L89" s="75">
        <v>2050</v>
      </c>
      <c r="M89" s="202">
        <v>31.196390963078489</v>
      </c>
      <c r="N89" s="87">
        <v>2173.8738081801062</v>
      </c>
      <c r="O89" s="123">
        <v>38343.683279692021</v>
      </c>
      <c r="P89" s="199">
        <v>47520.316438742178</v>
      </c>
      <c r="Q89" s="310">
        <v>24902.101112748529</v>
      </c>
      <c r="R89" s="319">
        <v>63245.784392440546</v>
      </c>
      <c r="S89" s="315">
        <v>72422.417551490711</v>
      </c>
      <c r="U89" s="7" t="s">
        <v>4077</v>
      </c>
    </row>
    <row r="90" spans="1:21" ht="16.5" thickBot="1">
      <c r="A90" s="47" t="s">
        <v>35</v>
      </c>
      <c r="B90" s="48">
        <f t="shared" si="3"/>
        <v>300</v>
      </c>
      <c r="C90" s="48" t="s">
        <v>3</v>
      </c>
      <c r="D90" s="48">
        <f t="shared" si="4"/>
        <v>300</v>
      </c>
      <c r="E90" s="48" t="s">
        <v>3</v>
      </c>
      <c r="F90" s="99">
        <f t="shared" si="5"/>
        <v>2100</v>
      </c>
      <c r="G90" s="48" t="s">
        <v>3</v>
      </c>
      <c r="H90" s="48">
        <v>4</v>
      </c>
      <c r="I90" s="49" t="s">
        <v>46</v>
      </c>
      <c r="J90" s="184">
        <v>300</v>
      </c>
      <c r="K90" s="75">
        <v>300</v>
      </c>
      <c r="L90" s="75">
        <v>2100</v>
      </c>
      <c r="M90" s="202">
        <v>31.913679884690378</v>
      </c>
      <c r="N90" s="87">
        <v>2237.8112731265801</v>
      </c>
      <c r="O90" s="123">
        <v>39113.948935967746</v>
      </c>
      <c r="P90" s="199">
        <v>48493.162549093868</v>
      </c>
      <c r="Q90" s="310">
        <v>25613.088058395791</v>
      </c>
      <c r="R90" s="319">
        <v>64727.036994363538</v>
      </c>
      <c r="S90" s="315">
        <v>74106.250607489666</v>
      </c>
      <c r="U90" s="7" t="s">
        <v>4078</v>
      </c>
    </row>
    <row r="91" spans="1:21" ht="16.5" thickBot="1">
      <c r="A91" s="50" t="s">
        <v>35</v>
      </c>
      <c r="B91" s="51">
        <f t="shared" si="3"/>
        <v>300</v>
      </c>
      <c r="C91" s="51" t="s">
        <v>3</v>
      </c>
      <c r="D91" s="51">
        <f t="shared" si="4"/>
        <v>300</v>
      </c>
      <c r="E91" s="51" t="s">
        <v>3</v>
      </c>
      <c r="F91" s="99">
        <f t="shared" si="5"/>
        <v>2150</v>
      </c>
      <c r="G91" s="51" t="s">
        <v>3</v>
      </c>
      <c r="H91" s="48">
        <v>4</v>
      </c>
      <c r="I91" s="49" t="s">
        <v>46</v>
      </c>
      <c r="J91" s="184">
        <v>300</v>
      </c>
      <c r="K91" s="75">
        <v>300</v>
      </c>
      <c r="L91" s="75">
        <v>2150</v>
      </c>
      <c r="M91" s="202">
        <v>32.613502806302279</v>
      </c>
      <c r="N91" s="87">
        <v>2301.7487380730536</v>
      </c>
      <c r="O91" s="123">
        <v>39884.214592243472</v>
      </c>
      <c r="P91" s="199">
        <v>49466.00865944555</v>
      </c>
      <c r="Q91" s="310">
        <v>26093.493366653143</v>
      </c>
      <c r="R91" s="319">
        <v>65977.707958896615</v>
      </c>
      <c r="S91" s="315">
        <v>75559.502026098693</v>
      </c>
      <c r="U91" s="7" t="s">
        <v>4079</v>
      </c>
    </row>
    <row r="92" spans="1:21" ht="16.5" thickBot="1">
      <c r="A92" s="50" t="s">
        <v>35</v>
      </c>
      <c r="B92" s="51">
        <f t="shared" si="3"/>
        <v>300</v>
      </c>
      <c r="C92" s="51" t="s">
        <v>3</v>
      </c>
      <c r="D92" s="51">
        <f t="shared" si="4"/>
        <v>300</v>
      </c>
      <c r="E92" s="51" t="s">
        <v>3</v>
      </c>
      <c r="F92" s="99">
        <f t="shared" si="5"/>
        <v>2200</v>
      </c>
      <c r="G92" s="51" t="s">
        <v>3</v>
      </c>
      <c r="H92" s="48">
        <v>4</v>
      </c>
      <c r="I92" s="49" t="s">
        <v>46</v>
      </c>
      <c r="J92" s="184">
        <v>300</v>
      </c>
      <c r="K92" s="75">
        <v>300</v>
      </c>
      <c r="L92" s="75">
        <v>2200</v>
      </c>
      <c r="M92" s="202">
        <v>33.330791727914168</v>
      </c>
      <c r="N92" s="87">
        <v>2365.6862030195275</v>
      </c>
      <c r="O92" s="123">
        <v>40654.480248519198</v>
      </c>
      <c r="P92" s="199">
        <v>50438.854769797232</v>
      </c>
      <c r="Q92" s="310">
        <v>26804.480312300402</v>
      </c>
      <c r="R92" s="319">
        <v>67458.9605608196</v>
      </c>
      <c r="S92" s="315">
        <v>77243.335082097634</v>
      </c>
      <c r="U92" s="7" t="s">
        <v>4080</v>
      </c>
    </row>
    <row r="93" spans="1:21" ht="16.5" thickBot="1">
      <c r="A93" s="50" t="s">
        <v>35</v>
      </c>
      <c r="B93" s="51">
        <f t="shared" si="3"/>
        <v>300</v>
      </c>
      <c r="C93" s="51" t="s">
        <v>3</v>
      </c>
      <c r="D93" s="51">
        <f t="shared" si="4"/>
        <v>300</v>
      </c>
      <c r="E93" s="51" t="s">
        <v>3</v>
      </c>
      <c r="F93" s="99">
        <f t="shared" si="5"/>
        <v>2250</v>
      </c>
      <c r="G93" s="51" t="s">
        <v>3</v>
      </c>
      <c r="H93" s="48">
        <v>4</v>
      </c>
      <c r="I93" s="49" t="s">
        <v>46</v>
      </c>
      <c r="J93" s="184">
        <v>300</v>
      </c>
      <c r="K93" s="75">
        <v>300</v>
      </c>
      <c r="L93" s="75">
        <v>2250</v>
      </c>
      <c r="M93" s="202">
        <v>34.030614649526065</v>
      </c>
      <c r="N93" s="87">
        <v>2429.623667966001</v>
      </c>
      <c r="O93" s="123">
        <v>41424.745904794923</v>
      </c>
      <c r="P93" s="199">
        <v>51411.700880148921</v>
      </c>
      <c r="Q93" s="310">
        <v>27284.885480164394</v>
      </c>
      <c r="R93" s="319">
        <v>68709.631384959313</v>
      </c>
      <c r="S93" s="315">
        <v>78696.586360313318</v>
      </c>
      <c r="U93" s="7" t="s">
        <v>4081</v>
      </c>
    </row>
    <row r="94" spans="1:21" ht="16.5" thickBot="1">
      <c r="A94" s="50" t="s">
        <v>35</v>
      </c>
      <c r="B94" s="51">
        <f t="shared" si="3"/>
        <v>300</v>
      </c>
      <c r="C94" s="51" t="s">
        <v>3</v>
      </c>
      <c r="D94" s="51">
        <f t="shared" si="4"/>
        <v>300</v>
      </c>
      <c r="E94" s="51" t="s">
        <v>3</v>
      </c>
      <c r="F94" s="99">
        <f t="shared" si="5"/>
        <v>2300</v>
      </c>
      <c r="G94" s="51" t="s">
        <v>3</v>
      </c>
      <c r="H94" s="48">
        <v>4</v>
      </c>
      <c r="I94" s="49" t="s">
        <v>46</v>
      </c>
      <c r="J94" s="184">
        <v>300</v>
      </c>
      <c r="K94" s="75">
        <v>300</v>
      </c>
      <c r="L94" s="75">
        <v>2300</v>
      </c>
      <c r="M94" s="202">
        <v>34.730437571137955</v>
      </c>
      <c r="N94" s="87">
        <v>2493.5611329124745</v>
      </c>
      <c r="O94" s="123">
        <v>42195.011561070649</v>
      </c>
      <c r="P94" s="199">
        <v>52384.546990500734</v>
      </c>
      <c r="Q94" s="310">
        <v>27765.290788421746</v>
      </c>
      <c r="R94" s="319">
        <v>69960.302349492398</v>
      </c>
      <c r="S94" s="315">
        <v>80149.837778922476</v>
      </c>
      <c r="U94" s="7" t="s">
        <v>4082</v>
      </c>
    </row>
    <row r="95" spans="1:21" ht="16.5" thickBot="1">
      <c r="A95" s="50" t="s">
        <v>35</v>
      </c>
      <c r="B95" s="51">
        <f t="shared" si="3"/>
        <v>300</v>
      </c>
      <c r="C95" s="51" t="s">
        <v>3</v>
      </c>
      <c r="D95" s="51">
        <f t="shared" si="4"/>
        <v>300</v>
      </c>
      <c r="E95" s="51" t="s">
        <v>3</v>
      </c>
      <c r="F95" s="99">
        <f t="shared" si="5"/>
        <v>2350</v>
      </c>
      <c r="G95" s="51" t="s">
        <v>3</v>
      </c>
      <c r="H95" s="48">
        <v>4</v>
      </c>
      <c r="I95" s="49" t="s">
        <v>46</v>
      </c>
      <c r="J95" s="184">
        <v>300</v>
      </c>
      <c r="K95" s="75">
        <v>300</v>
      </c>
      <c r="L95" s="75">
        <v>2350</v>
      </c>
      <c r="M95" s="202">
        <v>35.447726492749858</v>
      </c>
      <c r="N95" s="87">
        <v>2557.4985978589484</v>
      </c>
      <c r="O95" s="123">
        <v>42965.277217346375</v>
      </c>
      <c r="P95" s="199">
        <v>53357.393100852416</v>
      </c>
      <c r="Q95" s="310">
        <v>28476.277734069005</v>
      </c>
      <c r="R95" s="319">
        <v>71441.554951415383</v>
      </c>
      <c r="S95" s="315">
        <v>81833.670834921417</v>
      </c>
      <c r="U95" s="7" t="s">
        <v>4083</v>
      </c>
    </row>
    <row r="96" spans="1:21" ht="16.5" thickBot="1">
      <c r="A96" s="50" t="s">
        <v>35</v>
      </c>
      <c r="B96" s="51">
        <f t="shared" si="3"/>
        <v>300</v>
      </c>
      <c r="C96" s="51" t="s">
        <v>3</v>
      </c>
      <c r="D96" s="51">
        <f t="shared" si="4"/>
        <v>300</v>
      </c>
      <c r="E96" s="51" t="s">
        <v>3</v>
      </c>
      <c r="F96" s="99">
        <f t="shared" si="5"/>
        <v>2400</v>
      </c>
      <c r="G96" s="51" t="s">
        <v>3</v>
      </c>
      <c r="H96" s="48">
        <v>4</v>
      </c>
      <c r="I96" s="49" t="s">
        <v>46</v>
      </c>
      <c r="J96" s="184">
        <v>300</v>
      </c>
      <c r="K96" s="75">
        <v>300</v>
      </c>
      <c r="L96" s="75">
        <v>2400</v>
      </c>
      <c r="M96" s="202">
        <v>36.147549414361741</v>
      </c>
      <c r="N96" s="87">
        <v>2621.4360628054219</v>
      </c>
      <c r="O96" s="123">
        <v>43735.5428736221</v>
      </c>
      <c r="P96" s="199">
        <v>54330.239211204105</v>
      </c>
      <c r="Q96" s="310">
        <v>28956.682901932996</v>
      </c>
      <c r="R96" s="319">
        <v>72692.225775555096</v>
      </c>
      <c r="S96" s="315">
        <v>83286.922113137101</v>
      </c>
      <c r="U96" s="7" t="s">
        <v>4084</v>
      </c>
    </row>
    <row r="97" spans="1:21" ht="16.5" thickBot="1">
      <c r="A97" s="50" t="s">
        <v>35</v>
      </c>
      <c r="B97" s="51">
        <f t="shared" si="3"/>
        <v>300</v>
      </c>
      <c r="C97" s="51" t="s">
        <v>3</v>
      </c>
      <c r="D97" s="51">
        <f t="shared" si="4"/>
        <v>300</v>
      </c>
      <c r="E97" s="51" t="s">
        <v>3</v>
      </c>
      <c r="F97" s="99">
        <f t="shared" si="5"/>
        <v>2450</v>
      </c>
      <c r="G97" s="51" t="s">
        <v>3</v>
      </c>
      <c r="H97" s="48">
        <v>4</v>
      </c>
      <c r="I97" s="49" t="s">
        <v>46</v>
      </c>
      <c r="J97" s="184">
        <v>300</v>
      </c>
      <c r="K97" s="75">
        <v>300</v>
      </c>
      <c r="L97" s="75">
        <v>2450</v>
      </c>
      <c r="M97" s="202">
        <v>37.03489695923264</v>
      </c>
      <c r="N97" s="87">
        <v>2685.3735277518958</v>
      </c>
      <c r="O97" s="123">
        <v>45147.712956019881</v>
      </c>
      <c r="P97" s="199">
        <v>55911.842752737961</v>
      </c>
      <c r="Q97" s="310">
        <v>29667.669987973619</v>
      </c>
      <c r="R97" s="319">
        <v>74815.382943993493</v>
      </c>
      <c r="S97" s="315">
        <v>85579.51274071158</v>
      </c>
      <c r="U97" s="7" t="s">
        <v>4085</v>
      </c>
    </row>
    <row r="98" spans="1:21" ht="16.5" thickBot="1">
      <c r="A98" s="50" t="s">
        <v>35</v>
      </c>
      <c r="B98" s="51">
        <f t="shared" si="3"/>
        <v>300</v>
      </c>
      <c r="C98" s="51" t="s">
        <v>3</v>
      </c>
      <c r="D98" s="51">
        <f t="shared" si="4"/>
        <v>300</v>
      </c>
      <c r="E98" s="51" t="s">
        <v>3</v>
      </c>
      <c r="F98" s="99">
        <f t="shared" si="5"/>
        <v>2500</v>
      </c>
      <c r="G98" s="51" t="s">
        <v>3</v>
      </c>
      <c r="H98" s="48">
        <v>4</v>
      </c>
      <c r="I98" s="49" t="s">
        <v>46</v>
      </c>
      <c r="J98" s="184">
        <v>300</v>
      </c>
      <c r="K98" s="75">
        <v>300</v>
      </c>
      <c r="L98" s="75">
        <v>2500</v>
      </c>
      <c r="M98" s="202">
        <v>37.73471988084453</v>
      </c>
      <c r="N98" s="87">
        <v>2749.3109926983693</v>
      </c>
      <c r="O98" s="123">
        <v>45917.978612295607</v>
      </c>
      <c r="P98" s="199">
        <v>56884.688863089643</v>
      </c>
      <c r="Q98" s="310">
        <v>30148.075155837607</v>
      </c>
      <c r="R98" s="319">
        <v>76066.053768133221</v>
      </c>
      <c r="S98" s="315">
        <v>87032.76401892725</v>
      </c>
      <c r="U98" s="7" t="s">
        <v>4086</v>
      </c>
    </row>
    <row r="99" spans="1:21" ht="16.5" thickBot="1">
      <c r="A99" s="50" t="s">
        <v>35</v>
      </c>
      <c r="B99" s="51">
        <f t="shared" si="3"/>
        <v>300</v>
      </c>
      <c r="C99" s="51" t="s">
        <v>3</v>
      </c>
      <c r="D99" s="51">
        <f t="shared" si="4"/>
        <v>300</v>
      </c>
      <c r="E99" s="51" t="s">
        <v>3</v>
      </c>
      <c r="F99" s="99">
        <f t="shared" si="5"/>
        <v>2550</v>
      </c>
      <c r="G99" s="51" t="s">
        <v>3</v>
      </c>
      <c r="H99" s="48">
        <v>4</v>
      </c>
      <c r="I99" s="49" t="s">
        <v>46</v>
      </c>
      <c r="J99" s="184">
        <v>300</v>
      </c>
      <c r="K99" s="75">
        <v>300</v>
      </c>
      <c r="L99" s="75">
        <v>2550</v>
      </c>
      <c r="M99" s="202">
        <v>38.452008802456433</v>
      </c>
      <c r="N99" s="87">
        <v>2813.2484576448433</v>
      </c>
      <c r="O99" s="123">
        <v>46688.244268571332</v>
      </c>
      <c r="P99" s="199">
        <v>57857.534973441325</v>
      </c>
      <c r="Q99" s="310">
        <v>30859.06224187823</v>
      </c>
      <c r="R99" s="319">
        <v>77547.306510449562</v>
      </c>
      <c r="S99" s="315">
        <v>88716.597215319547</v>
      </c>
      <c r="U99" s="7" t="s">
        <v>4087</v>
      </c>
    </row>
    <row r="100" spans="1:21" ht="16.5" thickBot="1">
      <c r="A100" s="47" t="s">
        <v>35</v>
      </c>
      <c r="B100" s="48">
        <f t="shared" si="3"/>
        <v>300</v>
      </c>
      <c r="C100" s="48" t="s">
        <v>3</v>
      </c>
      <c r="D100" s="48">
        <f t="shared" si="4"/>
        <v>300</v>
      </c>
      <c r="E100" s="48" t="s">
        <v>3</v>
      </c>
      <c r="F100" s="99">
        <f t="shared" si="5"/>
        <v>2600</v>
      </c>
      <c r="G100" s="48" t="s">
        <v>3</v>
      </c>
      <c r="H100" s="48">
        <v>4</v>
      </c>
      <c r="I100" s="49" t="s">
        <v>46</v>
      </c>
      <c r="J100" s="184">
        <v>300</v>
      </c>
      <c r="K100" s="75">
        <v>300</v>
      </c>
      <c r="L100" s="75">
        <v>2600</v>
      </c>
      <c r="M100" s="202">
        <v>39.151831724068323</v>
      </c>
      <c r="N100" s="87">
        <v>2877.1859225913167</v>
      </c>
      <c r="O100" s="123">
        <v>47458.509924847065</v>
      </c>
      <c r="P100" s="199">
        <v>58830.381083793145</v>
      </c>
      <c r="Q100" s="310">
        <v>31339.467409742221</v>
      </c>
      <c r="R100" s="319">
        <v>78797.97733458929</v>
      </c>
      <c r="S100" s="315">
        <v>90169.848493535363</v>
      </c>
      <c r="U100" s="7" t="s">
        <v>4088</v>
      </c>
    </row>
    <row r="101" spans="1:21" ht="16.5" thickBot="1">
      <c r="A101" s="50" t="s">
        <v>35</v>
      </c>
      <c r="B101" s="51">
        <f t="shared" si="3"/>
        <v>300</v>
      </c>
      <c r="C101" s="51" t="s">
        <v>3</v>
      </c>
      <c r="D101" s="51">
        <f t="shared" si="4"/>
        <v>300</v>
      </c>
      <c r="E101" s="51" t="s">
        <v>3</v>
      </c>
      <c r="F101" s="99">
        <f t="shared" si="5"/>
        <v>2650</v>
      </c>
      <c r="G101" s="51" t="s">
        <v>3</v>
      </c>
      <c r="H101" s="48">
        <v>4</v>
      </c>
      <c r="I101" s="49" t="s">
        <v>46</v>
      </c>
      <c r="J101" s="184">
        <v>300</v>
      </c>
      <c r="K101" s="75">
        <v>300</v>
      </c>
      <c r="L101" s="75">
        <v>2650</v>
      </c>
      <c r="M101" s="202">
        <v>39.869120645680219</v>
      </c>
      <c r="N101" s="87">
        <v>2941.1233875377907</v>
      </c>
      <c r="O101" s="123">
        <v>48228.775581122783</v>
      </c>
      <c r="P101" s="199">
        <v>59803.227194144827</v>
      </c>
      <c r="Q101" s="310">
        <v>32050.45435538948</v>
      </c>
      <c r="R101" s="319">
        <v>80279.22993651226</v>
      </c>
      <c r="S101" s="315">
        <v>91853.681549534303</v>
      </c>
      <c r="U101" s="7" t="s">
        <v>4089</v>
      </c>
    </row>
    <row r="102" spans="1:21" ht="16.5" thickBot="1">
      <c r="A102" s="50" t="s">
        <v>35</v>
      </c>
      <c r="B102" s="51">
        <f t="shared" si="3"/>
        <v>300</v>
      </c>
      <c r="C102" s="51" t="s">
        <v>3</v>
      </c>
      <c r="D102" s="51">
        <f t="shared" si="4"/>
        <v>300</v>
      </c>
      <c r="E102" s="51" t="s">
        <v>3</v>
      </c>
      <c r="F102" s="99">
        <f t="shared" si="5"/>
        <v>2700</v>
      </c>
      <c r="G102" s="51" t="s">
        <v>3</v>
      </c>
      <c r="H102" s="48">
        <v>4</v>
      </c>
      <c r="I102" s="49" t="s">
        <v>46</v>
      </c>
      <c r="J102" s="184">
        <v>300</v>
      </c>
      <c r="K102" s="75">
        <v>300</v>
      </c>
      <c r="L102" s="75">
        <v>2700</v>
      </c>
      <c r="M102" s="202">
        <v>40.649406067292126</v>
      </c>
      <c r="N102" s="87">
        <v>3005.0608524842646</v>
      </c>
      <c r="O102" s="123">
        <v>49080.05326172206</v>
      </c>
      <c r="P102" s="199">
        <v>60858.356247396339</v>
      </c>
      <c r="Q102" s="310">
        <v>32530.859663646832</v>
      </c>
      <c r="R102" s="319">
        <v>81610.912925368888</v>
      </c>
      <c r="S102" s="315">
        <v>93389.215911043168</v>
      </c>
      <c r="U102" s="7" t="s">
        <v>4090</v>
      </c>
    </row>
    <row r="103" spans="1:21" ht="16.5" thickBot="1">
      <c r="A103" s="50" t="s">
        <v>35</v>
      </c>
      <c r="B103" s="51">
        <f t="shared" si="3"/>
        <v>300</v>
      </c>
      <c r="C103" s="51" t="s">
        <v>3</v>
      </c>
      <c r="D103" s="51">
        <f t="shared" si="4"/>
        <v>300</v>
      </c>
      <c r="E103" s="51" t="s">
        <v>3</v>
      </c>
      <c r="F103" s="99">
        <f t="shared" si="5"/>
        <v>2750</v>
      </c>
      <c r="G103" s="51" t="s">
        <v>3</v>
      </c>
      <c r="H103" s="48">
        <v>4</v>
      </c>
      <c r="I103" s="49" t="s">
        <v>46</v>
      </c>
      <c r="J103" s="184">
        <v>300</v>
      </c>
      <c r="K103" s="75">
        <v>300</v>
      </c>
      <c r="L103" s="75">
        <v>2750</v>
      </c>
      <c r="M103" s="202">
        <v>41.349228988904009</v>
      </c>
      <c r="N103" s="87">
        <v>3068.9983174307381</v>
      </c>
      <c r="O103" s="123">
        <v>49850.318917997778</v>
      </c>
      <c r="P103" s="199">
        <v>61831.202357748167</v>
      </c>
      <c r="Q103" s="310">
        <v>33011.264831510824</v>
      </c>
      <c r="R103" s="319">
        <v>82861.583749508602</v>
      </c>
      <c r="S103" s="315">
        <v>94842.467189258983</v>
      </c>
      <c r="U103" s="7" t="s">
        <v>4091</v>
      </c>
    </row>
    <row r="104" spans="1:21" ht="16.5" thickBot="1">
      <c r="A104" s="50" t="s">
        <v>35</v>
      </c>
      <c r="B104" s="51">
        <f t="shared" si="3"/>
        <v>300</v>
      </c>
      <c r="C104" s="51" t="s">
        <v>3</v>
      </c>
      <c r="D104" s="51">
        <f t="shared" si="4"/>
        <v>300</v>
      </c>
      <c r="E104" s="51" t="s">
        <v>3</v>
      </c>
      <c r="F104" s="99">
        <f t="shared" si="5"/>
        <v>2800</v>
      </c>
      <c r="G104" s="51" t="s">
        <v>3</v>
      </c>
      <c r="H104" s="48">
        <v>4</v>
      </c>
      <c r="I104" s="49" t="s">
        <v>46</v>
      </c>
      <c r="J104" s="184">
        <v>300</v>
      </c>
      <c r="K104" s="75">
        <v>300</v>
      </c>
      <c r="L104" s="75">
        <v>2800</v>
      </c>
      <c r="M104" s="202">
        <v>42.066517910515905</v>
      </c>
      <c r="N104" s="87">
        <v>3132.935782377212</v>
      </c>
      <c r="O104" s="123">
        <v>50620.584574273511</v>
      </c>
      <c r="P104" s="199">
        <v>62804.048468099856</v>
      </c>
      <c r="Q104" s="310">
        <v>33722.251777158082</v>
      </c>
      <c r="R104" s="319">
        <v>84342.836351431586</v>
      </c>
      <c r="S104" s="315">
        <v>96526.300245257939</v>
      </c>
      <c r="U104" s="7" t="s">
        <v>4092</v>
      </c>
    </row>
    <row r="105" spans="1:21" ht="16.5" thickBot="1">
      <c r="A105" s="50" t="s">
        <v>35</v>
      </c>
      <c r="B105" s="51">
        <f t="shared" si="3"/>
        <v>300</v>
      </c>
      <c r="C105" s="51" t="s">
        <v>3</v>
      </c>
      <c r="D105" s="51">
        <f t="shared" si="4"/>
        <v>300</v>
      </c>
      <c r="E105" s="51" t="s">
        <v>3</v>
      </c>
      <c r="F105" s="99">
        <f t="shared" si="5"/>
        <v>2850</v>
      </c>
      <c r="G105" s="51" t="s">
        <v>3</v>
      </c>
      <c r="H105" s="48">
        <v>4</v>
      </c>
      <c r="I105" s="49" t="s">
        <v>46</v>
      </c>
      <c r="J105" s="184">
        <v>300</v>
      </c>
      <c r="K105" s="75">
        <v>300</v>
      </c>
      <c r="L105" s="75">
        <v>2850</v>
      </c>
      <c r="M105" s="202">
        <v>42.766340832127803</v>
      </c>
      <c r="N105" s="87">
        <v>3196.8732473236855</v>
      </c>
      <c r="O105" s="123">
        <v>51390.850230549229</v>
      </c>
      <c r="P105" s="199">
        <v>63776.894578451538</v>
      </c>
      <c r="Q105" s="310">
        <v>34202.657085415434</v>
      </c>
      <c r="R105" s="319">
        <v>85593.507315964671</v>
      </c>
      <c r="S105" s="315">
        <v>97979.551663866965</v>
      </c>
      <c r="U105" s="7" t="s">
        <v>4093</v>
      </c>
    </row>
    <row r="106" spans="1:21" ht="16.5" thickBot="1">
      <c r="A106" s="50" t="s">
        <v>35</v>
      </c>
      <c r="B106" s="51">
        <f t="shared" si="3"/>
        <v>300</v>
      </c>
      <c r="C106" s="51" t="s">
        <v>3</v>
      </c>
      <c r="D106" s="51">
        <f t="shared" si="4"/>
        <v>300</v>
      </c>
      <c r="E106" s="51" t="s">
        <v>3</v>
      </c>
      <c r="F106" s="99">
        <f t="shared" si="5"/>
        <v>2900</v>
      </c>
      <c r="G106" s="51" t="s">
        <v>3</v>
      </c>
      <c r="H106" s="48">
        <v>4</v>
      </c>
      <c r="I106" s="49" t="s">
        <v>46</v>
      </c>
      <c r="J106" s="184">
        <v>300</v>
      </c>
      <c r="K106" s="75">
        <v>300</v>
      </c>
      <c r="L106" s="75">
        <v>2900</v>
      </c>
      <c r="M106" s="202">
        <v>43.483629753739685</v>
      </c>
      <c r="N106" s="87">
        <v>3260.810712270159</v>
      </c>
      <c r="O106" s="123">
        <v>52161.116027218319</v>
      </c>
      <c r="P106" s="199">
        <v>64749.74068880322</v>
      </c>
      <c r="Q106" s="310">
        <v>34913.644031062693</v>
      </c>
      <c r="R106" s="319">
        <v>87074.760058281012</v>
      </c>
      <c r="S106" s="315">
        <v>99663.38471986592</v>
      </c>
      <c r="U106" s="7" t="s">
        <v>4094</v>
      </c>
    </row>
    <row r="107" spans="1:21" ht="16.5" thickBot="1">
      <c r="A107" s="50" t="s">
        <v>35</v>
      </c>
      <c r="B107" s="51">
        <f t="shared" si="3"/>
        <v>300</v>
      </c>
      <c r="C107" s="51" t="s">
        <v>3</v>
      </c>
      <c r="D107" s="51">
        <f t="shared" si="4"/>
        <v>300</v>
      </c>
      <c r="E107" s="51" t="s">
        <v>3</v>
      </c>
      <c r="F107" s="99">
        <f t="shared" si="5"/>
        <v>2950</v>
      </c>
      <c r="G107" s="51" t="s">
        <v>3</v>
      </c>
      <c r="H107" s="48">
        <v>4</v>
      </c>
      <c r="I107" s="49" t="s">
        <v>46</v>
      </c>
      <c r="J107" s="184">
        <v>300</v>
      </c>
      <c r="K107" s="75">
        <v>300</v>
      </c>
      <c r="L107" s="75">
        <v>2950</v>
      </c>
      <c r="M107" s="202">
        <v>44.183452675351582</v>
      </c>
      <c r="N107" s="87">
        <v>3324.7481772166329</v>
      </c>
      <c r="O107" s="123">
        <v>52931.381683494052</v>
      </c>
      <c r="P107" s="199">
        <v>65722.586799154902</v>
      </c>
      <c r="Q107" s="310">
        <v>35394.049339320045</v>
      </c>
      <c r="R107" s="319">
        <v>88325.431022814097</v>
      </c>
      <c r="S107" s="315">
        <v>101116.63613847495</v>
      </c>
      <c r="U107" s="7" t="s">
        <v>4095</v>
      </c>
    </row>
    <row r="108" spans="1:21" ht="16.5" thickBot="1">
      <c r="A108" s="52" t="s">
        <v>35</v>
      </c>
      <c r="B108" s="53">
        <f t="shared" si="3"/>
        <v>300</v>
      </c>
      <c r="C108" s="53" t="s">
        <v>3</v>
      </c>
      <c r="D108" s="53">
        <f t="shared" si="4"/>
        <v>300</v>
      </c>
      <c r="E108" s="53" t="s">
        <v>3</v>
      </c>
      <c r="F108" s="100">
        <f t="shared" si="5"/>
        <v>3000</v>
      </c>
      <c r="G108" s="53" t="s">
        <v>3</v>
      </c>
      <c r="H108" s="55">
        <v>4</v>
      </c>
      <c r="I108" s="54" t="s">
        <v>46</v>
      </c>
      <c r="J108" s="321">
        <v>300</v>
      </c>
      <c r="K108" s="322">
        <v>300</v>
      </c>
      <c r="L108" s="322">
        <v>3000</v>
      </c>
      <c r="M108" s="305">
        <v>43.805601558013151</v>
      </c>
      <c r="N108" s="306">
        <v>3388.6856421631064</v>
      </c>
      <c r="O108" s="307">
        <v>54935.562496881837</v>
      </c>
      <c r="P108" s="339">
        <v>66695.432909506722</v>
      </c>
      <c r="Q108" s="323">
        <v>36105.036284967304</v>
      </c>
      <c r="R108" s="324">
        <v>91040.598781849141</v>
      </c>
      <c r="S108" s="325">
        <v>102800.46919447402</v>
      </c>
      <c r="U108" s="7" t="s">
        <v>4096</v>
      </c>
    </row>
    <row r="109" spans="1:21" ht="19.5" thickBot="1">
      <c r="A109" s="2580" t="s">
        <v>49</v>
      </c>
      <c r="B109" s="2581"/>
      <c r="C109" s="2581"/>
      <c r="D109" s="2581"/>
      <c r="E109" s="2581"/>
      <c r="F109" s="2581"/>
      <c r="G109" s="2581"/>
      <c r="H109" s="2581"/>
      <c r="I109" s="2581"/>
      <c r="J109" s="2581"/>
      <c r="K109" s="2581"/>
      <c r="L109" s="2581"/>
      <c r="M109" s="2581"/>
      <c r="N109" s="2581"/>
      <c r="O109" s="2581"/>
      <c r="P109" s="2581"/>
      <c r="Q109" s="2581"/>
      <c r="R109" s="2581"/>
      <c r="S109" s="2582"/>
      <c r="U109" s="7"/>
    </row>
    <row r="110" spans="1:21" ht="16.5" thickBot="1">
      <c r="A110" s="2583" t="s">
        <v>140</v>
      </c>
      <c r="B110" s="2584"/>
      <c r="C110" s="2584"/>
      <c r="D110" s="2584"/>
      <c r="E110" s="2584"/>
      <c r="F110" s="2584"/>
      <c r="G110" s="2584"/>
      <c r="H110" s="2584"/>
      <c r="I110" s="2584"/>
      <c r="J110" s="2584"/>
      <c r="K110" s="2584"/>
      <c r="L110" s="2584"/>
      <c r="M110" s="2584"/>
      <c r="N110" s="2584"/>
      <c r="O110" s="2584"/>
      <c r="P110" s="2584"/>
      <c r="Q110" s="2584"/>
      <c r="R110" s="2584"/>
      <c r="S110" s="2585"/>
      <c r="U110" s="7"/>
    </row>
    <row r="111" spans="1:21" ht="16.5" thickBot="1">
      <c r="A111" s="47" t="s">
        <v>35</v>
      </c>
      <c r="B111" s="48">
        <f>J111</f>
        <v>300</v>
      </c>
      <c r="C111" s="48" t="s">
        <v>3</v>
      </c>
      <c r="D111" s="48">
        <f>K111</f>
        <v>360</v>
      </c>
      <c r="E111" s="48" t="s">
        <v>3</v>
      </c>
      <c r="F111" s="99">
        <f>L111</f>
        <v>600</v>
      </c>
      <c r="G111" s="48" t="s">
        <v>3</v>
      </c>
      <c r="H111" s="48">
        <v>8</v>
      </c>
      <c r="I111" s="49" t="s">
        <v>47</v>
      </c>
      <c r="J111" s="326">
        <v>300</v>
      </c>
      <c r="K111" s="327">
        <v>360</v>
      </c>
      <c r="L111" s="327">
        <v>600</v>
      </c>
      <c r="M111" s="301">
        <v>12.891356973344212</v>
      </c>
      <c r="N111" s="302">
        <v>536.95663259296873</v>
      </c>
      <c r="O111" s="303">
        <v>20033.915359431492</v>
      </c>
      <c r="P111" s="331">
        <v>23715.347595934283</v>
      </c>
      <c r="Q111" s="328">
        <v>9204.3678470371888</v>
      </c>
      <c r="R111" s="329">
        <v>29238.283206468681</v>
      </c>
      <c r="S111" s="330">
        <v>32919.715442971472</v>
      </c>
      <c r="U111" s="7" t="s">
        <v>4097</v>
      </c>
    </row>
    <row r="112" spans="1:21" ht="16.5" thickBot="1">
      <c r="A112" s="50" t="s">
        <v>35</v>
      </c>
      <c r="B112" s="51">
        <f t="shared" ref="B112:B159" si="6">J112</f>
        <v>300</v>
      </c>
      <c r="C112" s="51" t="s">
        <v>3</v>
      </c>
      <c r="D112" s="51">
        <f t="shared" ref="D112:D159" si="7">K112</f>
        <v>360</v>
      </c>
      <c r="E112" s="51" t="s">
        <v>3</v>
      </c>
      <c r="F112" s="99">
        <f t="shared" ref="F112:F159" si="8">L112</f>
        <v>650</v>
      </c>
      <c r="G112" s="51" t="s">
        <v>3</v>
      </c>
      <c r="H112" s="48">
        <v>8</v>
      </c>
      <c r="I112" s="49" t="s">
        <v>47</v>
      </c>
      <c r="J112" s="184">
        <v>300</v>
      </c>
      <c r="K112" s="75">
        <v>360</v>
      </c>
      <c r="L112" s="75">
        <v>650</v>
      </c>
      <c r="M112" s="202">
        <v>13.793465367706315</v>
      </c>
      <c r="N112" s="87">
        <v>644.34795911156243</v>
      </c>
      <c r="O112" s="123">
        <v>21230.145709001215</v>
      </c>
      <c r="P112" s="121">
        <v>25137.332157124354</v>
      </c>
      <c r="Q112" s="310">
        <v>9757.9649885401141</v>
      </c>
      <c r="R112" s="319">
        <v>30988.110697541328</v>
      </c>
      <c r="S112" s="315">
        <v>34895.297145664466</v>
      </c>
      <c r="U112" s="7" t="s">
        <v>4098</v>
      </c>
    </row>
    <row r="113" spans="1:21" ht="16.5" thickBot="1">
      <c r="A113" s="50" t="s">
        <v>35</v>
      </c>
      <c r="B113" s="51">
        <f t="shared" si="6"/>
        <v>300</v>
      </c>
      <c r="C113" s="51" t="s">
        <v>3</v>
      </c>
      <c r="D113" s="51">
        <f t="shared" si="7"/>
        <v>360</v>
      </c>
      <c r="E113" s="51" t="s">
        <v>3</v>
      </c>
      <c r="F113" s="99">
        <f t="shared" si="8"/>
        <v>700</v>
      </c>
      <c r="G113" s="51" t="s">
        <v>3</v>
      </c>
      <c r="H113" s="48">
        <v>8</v>
      </c>
      <c r="I113" s="49" t="s">
        <v>47</v>
      </c>
      <c r="J113" s="184">
        <v>300</v>
      </c>
      <c r="K113" s="75">
        <v>360</v>
      </c>
      <c r="L113" s="75">
        <v>700</v>
      </c>
      <c r="M113" s="202">
        <v>14.712613762068418</v>
      </c>
      <c r="N113" s="87">
        <v>751.73928563015613</v>
      </c>
      <c r="O113" s="123">
        <v>22426.376058570942</v>
      </c>
      <c r="P113" s="121">
        <v>26559.316718314429</v>
      </c>
      <c r="Q113" s="310">
        <v>10542.143907826316</v>
      </c>
      <c r="R113" s="319">
        <v>32968.51996639726</v>
      </c>
      <c r="S113" s="315">
        <v>37101.460626140746</v>
      </c>
      <c r="U113" s="7" t="s">
        <v>4099</v>
      </c>
    </row>
    <row r="114" spans="1:21" ht="16.5" thickBot="1">
      <c r="A114" s="50" t="s">
        <v>35</v>
      </c>
      <c r="B114" s="51">
        <f t="shared" si="6"/>
        <v>300</v>
      </c>
      <c r="C114" s="51" t="s">
        <v>3</v>
      </c>
      <c r="D114" s="51">
        <f t="shared" si="7"/>
        <v>360</v>
      </c>
      <c r="E114" s="51" t="s">
        <v>3</v>
      </c>
      <c r="F114" s="99">
        <f t="shared" si="8"/>
        <v>750</v>
      </c>
      <c r="G114" s="51" t="s">
        <v>3</v>
      </c>
      <c r="H114" s="48">
        <v>8</v>
      </c>
      <c r="I114" s="49" t="s">
        <v>47</v>
      </c>
      <c r="J114" s="184">
        <v>300</v>
      </c>
      <c r="K114" s="75">
        <v>360</v>
      </c>
      <c r="L114" s="75">
        <v>750</v>
      </c>
      <c r="M114" s="202">
        <v>15.614722156430526</v>
      </c>
      <c r="N114" s="87">
        <v>859.13061214874995</v>
      </c>
      <c r="O114" s="123">
        <v>23622.60654853403</v>
      </c>
      <c r="P114" s="121">
        <v>27981.301419897871</v>
      </c>
      <c r="Q114" s="310">
        <v>11095.741049329239</v>
      </c>
      <c r="R114" s="319">
        <v>34718.34759786327</v>
      </c>
      <c r="S114" s="315">
        <v>39077.042469227112</v>
      </c>
      <c r="U114" s="7" t="s">
        <v>4100</v>
      </c>
    </row>
    <row r="115" spans="1:21" ht="16.5" thickBot="1">
      <c r="A115" s="50" t="s">
        <v>35</v>
      </c>
      <c r="B115" s="51">
        <f t="shared" si="6"/>
        <v>300</v>
      </c>
      <c r="C115" s="51" t="s">
        <v>3</v>
      </c>
      <c r="D115" s="51">
        <f t="shared" si="7"/>
        <v>360</v>
      </c>
      <c r="E115" s="51" t="s">
        <v>3</v>
      </c>
      <c r="F115" s="99">
        <f t="shared" si="8"/>
        <v>800</v>
      </c>
      <c r="G115" s="51" t="s">
        <v>3</v>
      </c>
      <c r="H115" s="48">
        <v>8</v>
      </c>
      <c r="I115" s="49" t="s">
        <v>47</v>
      </c>
      <c r="J115" s="184">
        <v>300</v>
      </c>
      <c r="K115" s="75">
        <v>360</v>
      </c>
      <c r="L115" s="75">
        <v>800</v>
      </c>
      <c r="M115" s="202">
        <v>16.516830550792633</v>
      </c>
      <c r="N115" s="87">
        <v>966.52193866734365</v>
      </c>
      <c r="O115" s="123">
        <v>24818.836898103757</v>
      </c>
      <c r="P115" s="121">
        <v>29403.285981087942</v>
      </c>
      <c r="Q115" s="310">
        <v>11649.338190832164</v>
      </c>
      <c r="R115" s="319">
        <v>36468.175088935925</v>
      </c>
      <c r="S115" s="315">
        <v>41052.624171920106</v>
      </c>
      <c r="U115" s="7" t="s">
        <v>4101</v>
      </c>
    </row>
    <row r="116" spans="1:21" ht="16.5" thickBot="1">
      <c r="A116" s="50" t="s">
        <v>35</v>
      </c>
      <c r="B116" s="51">
        <f t="shared" si="6"/>
        <v>300</v>
      </c>
      <c r="C116" s="51" t="s">
        <v>3</v>
      </c>
      <c r="D116" s="51">
        <f t="shared" si="7"/>
        <v>360</v>
      </c>
      <c r="E116" s="51" t="s">
        <v>3</v>
      </c>
      <c r="F116" s="99">
        <f t="shared" si="8"/>
        <v>850</v>
      </c>
      <c r="G116" s="51" t="s">
        <v>3</v>
      </c>
      <c r="H116" s="48">
        <v>8</v>
      </c>
      <c r="I116" s="49" t="s">
        <v>47</v>
      </c>
      <c r="J116" s="184">
        <v>300</v>
      </c>
      <c r="K116" s="75">
        <v>360</v>
      </c>
      <c r="L116" s="75">
        <v>850</v>
      </c>
      <c r="M116" s="202">
        <v>17.435978945154737</v>
      </c>
      <c r="N116" s="87">
        <v>1073.9132651859375</v>
      </c>
      <c r="O116" s="123">
        <v>26015.06724767348</v>
      </c>
      <c r="P116" s="121">
        <v>30825.270542278016</v>
      </c>
      <c r="Q116" s="310">
        <v>12433.517110118366</v>
      </c>
      <c r="R116" s="319">
        <v>38448.584357791842</v>
      </c>
      <c r="S116" s="315">
        <v>43258.787652396379</v>
      </c>
      <c r="U116" s="7" t="s">
        <v>4102</v>
      </c>
    </row>
    <row r="117" spans="1:21" ht="16.5" thickBot="1">
      <c r="A117" s="50" t="s">
        <v>35</v>
      </c>
      <c r="B117" s="51">
        <f t="shared" si="6"/>
        <v>300</v>
      </c>
      <c r="C117" s="51" t="s">
        <v>3</v>
      </c>
      <c r="D117" s="51">
        <f t="shared" si="7"/>
        <v>360</v>
      </c>
      <c r="E117" s="51" t="s">
        <v>3</v>
      </c>
      <c r="F117" s="99">
        <f t="shared" si="8"/>
        <v>900</v>
      </c>
      <c r="G117" s="51" t="s">
        <v>3</v>
      </c>
      <c r="H117" s="48">
        <v>8</v>
      </c>
      <c r="I117" s="49" t="s">
        <v>47</v>
      </c>
      <c r="J117" s="184">
        <v>300</v>
      </c>
      <c r="K117" s="75">
        <v>360</v>
      </c>
      <c r="L117" s="75">
        <v>900</v>
      </c>
      <c r="M117" s="202">
        <v>18.338087339516843</v>
      </c>
      <c r="N117" s="87">
        <v>1181.3045917045313</v>
      </c>
      <c r="O117" s="123">
        <v>27211.297597243207</v>
      </c>
      <c r="P117" s="121">
        <v>32247.255243861458</v>
      </c>
      <c r="Q117" s="310">
        <v>12987.114251621291</v>
      </c>
      <c r="R117" s="319">
        <v>40198.411848864496</v>
      </c>
      <c r="S117" s="315">
        <v>45234.369495482752</v>
      </c>
      <c r="U117" s="7" t="s">
        <v>4103</v>
      </c>
    </row>
    <row r="118" spans="1:21" ht="16.5" thickBot="1">
      <c r="A118" s="50" t="s">
        <v>35</v>
      </c>
      <c r="B118" s="51">
        <f t="shared" si="6"/>
        <v>300</v>
      </c>
      <c r="C118" s="51" t="s">
        <v>3</v>
      </c>
      <c r="D118" s="51">
        <f t="shared" si="7"/>
        <v>360</v>
      </c>
      <c r="E118" s="51" t="s">
        <v>3</v>
      </c>
      <c r="F118" s="99">
        <f t="shared" si="8"/>
        <v>950</v>
      </c>
      <c r="G118" s="51" t="s">
        <v>3</v>
      </c>
      <c r="H118" s="48">
        <v>8</v>
      </c>
      <c r="I118" s="49" t="s">
        <v>47</v>
      </c>
      <c r="J118" s="184">
        <v>300</v>
      </c>
      <c r="K118" s="75">
        <v>360</v>
      </c>
      <c r="L118" s="75">
        <v>950</v>
      </c>
      <c r="M118" s="202">
        <v>19.257235733878947</v>
      </c>
      <c r="N118" s="87">
        <v>1288.6959182231249</v>
      </c>
      <c r="O118" s="123">
        <v>28407.528087206298</v>
      </c>
      <c r="P118" s="121">
        <v>33669.239805051533</v>
      </c>
      <c r="Q118" s="310">
        <v>13771.293170907491</v>
      </c>
      <c r="R118" s="319">
        <v>42178.821258113792</v>
      </c>
      <c r="S118" s="315">
        <v>47440.532975959024</v>
      </c>
      <c r="U118" s="7" t="s">
        <v>4104</v>
      </c>
    </row>
    <row r="119" spans="1:21" ht="16.5" thickBot="1">
      <c r="A119" s="50" t="s">
        <v>35</v>
      </c>
      <c r="B119" s="51">
        <f t="shared" si="6"/>
        <v>300</v>
      </c>
      <c r="C119" s="51" t="s">
        <v>3</v>
      </c>
      <c r="D119" s="51">
        <f t="shared" si="7"/>
        <v>360</v>
      </c>
      <c r="E119" s="51" t="s">
        <v>3</v>
      </c>
      <c r="F119" s="99">
        <f t="shared" si="8"/>
        <v>1000</v>
      </c>
      <c r="G119" s="51" t="s">
        <v>3</v>
      </c>
      <c r="H119" s="48">
        <v>8</v>
      </c>
      <c r="I119" s="49" t="s">
        <v>47</v>
      </c>
      <c r="J119" s="184">
        <v>300</v>
      </c>
      <c r="K119" s="75">
        <v>360</v>
      </c>
      <c r="L119" s="75">
        <v>1000</v>
      </c>
      <c r="M119" s="202">
        <v>20.159344128241056</v>
      </c>
      <c r="N119" s="87">
        <v>1396.0872447417185</v>
      </c>
      <c r="O119" s="123">
        <v>29603.758436776021</v>
      </c>
      <c r="P119" s="121">
        <v>35091.224506634971</v>
      </c>
      <c r="Q119" s="310">
        <v>14324.890312410414</v>
      </c>
      <c r="R119" s="319">
        <v>43928.648749186439</v>
      </c>
      <c r="S119" s="315">
        <v>49416.114819045382</v>
      </c>
      <c r="U119" s="7" t="s">
        <v>4105</v>
      </c>
    </row>
    <row r="120" spans="1:21" ht="16.5" thickBot="1">
      <c r="A120" s="50" t="s">
        <v>35</v>
      </c>
      <c r="B120" s="51">
        <f t="shared" si="6"/>
        <v>300</v>
      </c>
      <c r="C120" s="51" t="s">
        <v>3</v>
      </c>
      <c r="D120" s="51">
        <f t="shared" si="7"/>
        <v>360</v>
      </c>
      <c r="E120" s="51" t="s">
        <v>3</v>
      </c>
      <c r="F120" s="99">
        <f t="shared" si="8"/>
        <v>1050</v>
      </c>
      <c r="G120" s="51" t="s">
        <v>3</v>
      </c>
      <c r="H120" s="48">
        <v>8</v>
      </c>
      <c r="I120" s="49" t="s">
        <v>47</v>
      </c>
      <c r="J120" s="184">
        <v>300</v>
      </c>
      <c r="K120" s="75">
        <v>360</v>
      </c>
      <c r="L120" s="75">
        <v>1050</v>
      </c>
      <c r="M120" s="202">
        <v>21.078492522603156</v>
      </c>
      <c r="N120" s="87">
        <v>1503.4785712603123</v>
      </c>
      <c r="O120" s="123">
        <v>30799.988786345744</v>
      </c>
      <c r="P120" s="121">
        <v>36513.209067825046</v>
      </c>
      <c r="Q120" s="310">
        <v>15109.069231696616</v>
      </c>
      <c r="R120" s="319">
        <v>45909.058018042357</v>
      </c>
      <c r="S120" s="315">
        <v>51622.278299521662</v>
      </c>
      <c r="U120" s="7" t="s">
        <v>4106</v>
      </c>
    </row>
    <row r="121" spans="1:21" ht="16.5" thickBot="1">
      <c r="A121" s="47" t="s">
        <v>35</v>
      </c>
      <c r="B121" s="48">
        <f t="shared" si="6"/>
        <v>300</v>
      </c>
      <c r="C121" s="48" t="s">
        <v>3</v>
      </c>
      <c r="D121" s="48">
        <f t="shared" si="7"/>
        <v>360</v>
      </c>
      <c r="E121" s="48" t="s">
        <v>3</v>
      </c>
      <c r="F121" s="99">
        <f t="shared" si="8"/>
        <v>1100</v>
      </c>
      <c r="G121" s="48" t="s">
        <v>3</v>
      </c>
      <c r="H121" s="48">
        <v>8</v>
      </c>
      <c r="I121" s="49" t="s">
        <v>47</v>
      </c>
      <c r="J121" s="184">
        <v>300</v>
      </c>
      <c r="K121" s="75">
        <v>360</v>
      </c>
      <c r="L121" s="75">
        <v>1100</v>
      </c>
      <c r="M121" s="202">
        <v>21.980600916965265</v>
      </c>
      <c r="N121" s="87">
        <v>1610.8698977789061</v>
      </c>
      <c r="O121" s="123">
        <v>31996.219135915468</v>
      </c>
      <c r="P121" s="121">
        <v>37935.193629015121</v>
      </c>
      <c r="Q121" s="310">
        <v>15662.66637319954</v>
      </c>
      <c r="R121" s="319">
        <v>47658.885509115004</v>
      </c>
      <c r="S121" s="315">
        <v>53597.860002214657</v>
      </c>
      <c r="U121" s="7" t="s">
        <v>4107</v>
      </c>
    </row>
    <row r="122" spans="1:21" ht="16.5" thickBot="1">
      <c r="A122" s="50" t="s">
        <v>35</v>
      </c>
      <c r="B122" s="51">
        <f t="shared" si="6"/>
        <v>300</v>
      </c>
      <c r="C122" s="51" t="s">
        <v>3</v>
      </c>
      <c r="D122" s="51">
        <f t="shared" si="7"/>
        <v>360</v>
      </c>
      <c r="E122" s="51" t="s">
        <v>3</v>
      </c>
      <c r="F122" s="99">
        <f t="shared" si="8"/>
        <v>1150</v>
      </c>
      <c r="G122" s="51" t="s">
        <v>3</v>
      </c>
      <c r="H122" s="48">
        <v>8</v>
      </c>
      <c r="I122" s="49" t="s">
        <v>47</v>
      </c>
      <c r="J122" s="184">
        <v>300</v>
      </c>
      <c r="K122" s="75">
        <v>360</v>
      </c>
      <c r="L122" s="75">
        <v>1150</v>
      </c>
      <c r="M122" s="202">
        <v>22.882709311327375</v>
      </c>
      <c r="N122" s="87">
        <v>1718.2612242974999</v>
      </c>
      <c r="O122" s="123">
        <v>33192.449625878558</v>
      </c>
      <c r="P122" s="121">
        <v>39357.178330598559</v>
      </c>
      <c r="Q122" s="310">
        <v>16216.263514702467</v>
      </c>
      <c r="R122" s="319">
        <v>49408.713140581021</v>
      </c>
      <c r="S122" s="315">
        <v>55573.441845301029</v>
      </c>
      <c r="U122" s="7" t="s">
        <v>4108</v>
      </c>
    </row>
    <row r="123" spans="1:21" ht="16.5" thickBot="1">
      <c r="A123" s="50" t="s">
        <v>35</v>
      </c>
      <c r="B123" s="51">
        <f t="shared" si="6"/>
        <v>300</v>
      </c>
      <c r="C123" s="51" t="s">
        <v>3</v>
      </c>
      <c r="D123" s="51">
        <f t="shared" si="7"/>
        <v>360</v>
      </c>
      <c r="E123" s="51" t="s">
        <v>3</v>
      </c>
      <c r="F123" s="99">
        <f t="shared" si="8"/>
        <v>1200</v>
      </c>
      <c r="G123" s="51" t="s">
        <v>3</v>
      </c>
      <c r="H123" s="48">
        <v>8</v>
      </c>
      <c r="I123" s="49" t="s">
        <v>47</v>
      </c>
      <c r="J123" s="184">
        <v>300</v>
      </c>
      <c r="K123" s="75">
        <v>360</v>
      </c>
      <c r="L123" s="75">
        <v>1200</v>
      </c>
      <c r="M123" s="202">
        <v>23.958857705689475</v>
      </c>
      <c r="N123" s="87">
        <v>1825.6525508160937</v>
      </c>
      <c r="O123" s="123">
        <v>34542.988706859192</v>
      </c>
      <c r="P123" s="121">
        <v>40934.413662661922</v>
      </c>
      <c r="Q123" s="310">
        <v>17000.442574382028</v>
      </c>
      <c r="R123" s="319">
        <v>51543.431281241224</v>
      </c>
      <c r="S123" s="315">
        <v>57934.856237043947</v>
      </c>
      <c r="U123" s="7" t="s">
        <v>4109</v>
      </c>
    </row>
    <row r="124" spans="1:21" ht="16.5" thickBot="1">
      <c r="A124" s="50" t="s">
        <v>35</v>
      </c>
      <c r="B124" s="51">
        <f t="shared" si="6"/>
        <v>300</v>
      </c>
      <c r="C124" s="51" t="s">
        <v>3</v>
      </c>
      <c r="D124" s="51">
        <f t="shared" si="7"/>
        <v>360</v>
      </c>
      <c r="E124" s="51" t="s">
        <v>3</v>
      </c>
      <c r="F124" s="99">
        <f t="shared" si="8"/>
        <v>1250</v>
      </c>
      <c r="G124" s="51" t="s">
        <v>3</v>
      </c>
      <c r="H124" s="48">
        <v>8</v>
      </c>
      <c r="I124" s="49" t="s">
        <v>47</v>
      </c>
      <c r="J124" s="184">
        <v>300</v>
      </c>
      <c r="K124" s="75">
        <v>360</v>
      </c>
      <c r="L124" s="75">
        <v>1250</v>
      </c>
      <c r="M124" s="202">
        <v>24.860966100051577</v>
      </c>
      <c r="N124" s="87">
        <v>1933.0438773346873</v>
      </c>
      <c r="O124" s="123">
        <v>35739.219056428919</v>
      </c>
      <c r="P124" s="121">
        <v>42356.39836424536</v>
      </c>
      <c r="Q124" s="310">
        <v>17554.039715884952</v>
      </c>
      <c r="R124" s="319">
        <v>53293.258772313871</v>
      </c>
      <c r="S124" s="315">
        <v>59910.438080130312</v>
      </c>
      <c r="U124" s="7" t="s">
        <v>4110</v>
      </c>
    </row>
    <row r="125" spans="1:21" ht="16.5" thickBot="1">
      <c r="A125" s="50" t="s">
        <v>35</v>
      </c>
      <c r="B125" s="51">
        <f t="shared" si="6"/>
        <v>300</v>
      </c>
      <c r="C125" s="51" t="s">
        <v>3</v>
      </c>
      <c r="D125" s="51">
        <f t="shared" si="7"/>
        <v>360</v>
      </c>
      <c r="E125" s="51" t="s">
        <v>3</v>
      </c>
      <c r="F125" s="99">
        <f t="shared" si="8"/>
        <v>1300</v>
      </c>
      <c r="G125" s="51" t="s">
        <v>3</v>
      </c>
      <c r="H125" s="48">
        <v>8</v>
      </c>
      <c r="I125" s="49" t="s">
        <v>47</v>
      </c>
      <c r="J125" s="184">
        <v>300</v>
      </c>
      <c r="K125" s="75">
        <v>360</v>
      </c>
      <c r="L125" s="75">
        <v>1300</v>
      </c>
      <c r="M125" s="202">
        <v>25.780114494413688</v>
      </c>
      <c r="N125" s="87">
        <v>2040.4352038532811</v>
      </c>
      <c r="O125" s="123">
        <v>36935.44954639201</v>
      </c>
      <c r="P125" s="121">
        <v>43778.382925435435</v>
      </c>
      <c r="Q125" s="310">
        <v>18338.218635171153</v>
      </c>
      <c r="R125" s="319">
        <v>55273.66818156316</v>
      </c>
      <c r="S125" s="315">
        <v>62116.601560606592</v>
      </c>
      <c r="U125" s="7" t="s">
        <v>4111</v>
      </c>
    </row>
    <row r="126" spans="1:21" ht="16.5" thickBot="1">
      <c r="A126" s="50" t="s">
        <v>35</v>
      </c>
      <c r="B126" s="51">
        <f t="shared" si="6"/>
        <v>300</v>
      </c>
      <c r="C126" s="51" t="s">
        <v>3</v>
      </c>
      <c r="D126" s="51">
        <f t="shared" si="7"/>
        <v>360</v>
      </c>
      <c r="E126" s="51" t="s">
        <v>3</v>
      </c>
      <c r="F126" s="99">
        <f t="shared" si="8"/>
        <v>1350</v>
      </c>
      <c r="G126" s="51" t="s">
        <v>3</v>
      </c>
      <c r="H126" s="48">
        <v>8</v>
      </c>
      <c r="I126" s="49" t="s">
        <v>47</v>
      </c>
      <c r="J126" s="184">
        <v>300</v>
      </c>
      <c r="K126" s="75">
        <v>360</v>
      </c>
      <c r="L126" s="75">
        <v>1350</v>
      </c>
      <c r="M126" s="202">
        <v>26.68222288877579</v>
      </c>
      <c r="N126" s="87">
        <v>2147.8265303718749</v>
      </c>
      <c r="O126" s="123">
        <v>38131.679895961737</v>
      </c>
      <c r="P126" s="121">
        <v>45200.36748662551</v>
      </c>
      <c r="Q126" s="310">
        <v>18891.815776674081</v>
      </c>
      <c r="R126" s="319">
        <v>57023.495672635821</v>
      </c>
      <c r="S126" s="315">
        <v>64092.183263299594</v>
      </c>
      <c r="U126" s="7" t="s">
        <v>4112</v>
      </c>
    </row>
    <row r="127" spans="1:21" ht="16.5" thickBot="1">
      <c r="A127" s="50" t="s">
        <v>35</v>
      </c>
      <c r="B127" s="51">
        <f t="shared" si="6"/>
        <v>300</v>
      </c>
      <c r="C127" s="51" t="s">
        <v>3</v>
      </c>
      <c r="D127" s="51">
        <f t="shared" si="7"/>
        <v>360</v>
      </c>
      <c r="E127" s="51" t="s">
        <v>3</v>
      </c>
      <c r="F127" s="99">
        <f t="shared" si="8"/>
        <v>1400</v>
      </c>
      <c r="G127" s="51" t="s">
        <v>3</v>
      </c>
      <c r="H127" s="48">
        <v>8</v>
      </c>
      <c r="I127" s="49" t="s">
        <v>47</v>
      </c>
      <c r="J127" s="184">
        <v>300</v>
      </c>
      <c r="K127" s="75">
        <v>360</v>
      </c>
      <c r="L127" s="75">
        <v>1400</v>
      </c>
      <c r="M127" s="202">
        <v>27.601371283137894</v>
      </c>
      <c r="N127" s="87">
        <v>2255.2178568904683</v>
      </c>
      <c r="O127" s="123">
        <v>39327.910245531457</v>
      </c>
      <c r="P127" s="121">
        <v>46622.352188208948</v>
      </c>
      <c r="Q127" s="310">
        <v>19675.994695960278</v>
      </c>
      <c r="R127" s="319">
        <v>59003.904941491739</v>
      </c>
      <c r="S127" s="315">
        <v>66298.346884169223</v>
      </c>
      <c r="U127" s="7" t="s">
        <v>4113</v>
      </c>
    </row>
    <row r="128" spans="1:21" ht="16.5" thickBot="1">
      <c r="A128" s="50" t="s">
        <v>35</v>
      </c>
      <c r="B128" s="51">
        <f t="shared" si="6"/>
        <v>300</v>
      </c>
      <c r="C128" s="51" t="s">
        <v>3</v>
      </c>
      <c r="D128" s="51">
        <f t="shared" si="7"/>
        <v>360</v>
      </c>
      <c r="E128" s="51" t="s">
        <v>3</v>
      </c>
      <c r="F128" s="99">
        <f t="shared" si="8"/>
        <v>1450</v>
      </c>
      <c r="G128" s="51" t="s">
        <v>3</v>
      </c>
      <c r="H128" s="48">
        <v>8</v>
      </c>
      <c r="I128" s="49" t="s">
        <v>47</v>
      </c>
      <c r="J128" s="184">
        <v>300</v>
      </c>
      <c r="K128" s="75">
        <v>360</v>
      </c>
      <c r="L128" s="75">
        <v>1450</v>
      </c>
      <c r="M128" s="202">
        <v>28.503479677500003</v>
      </c>
      <c r="N128" s="87">
        <v>2362.6091834090626</v>
      </c>
      <c r="O128" s="123">
        <v>40524.140595101184</v>
      </c>
      <c r="P128" s="121">
        <v>48044.336749399023</v>
      </c>
      <c r="Q128" s="310">
        <v>20229.591837463206</v>
      </c>
      <c r="R128" s="319">
        <v>60753.732432564386</v>
      </c>
      <c r="S128" s="315">
        <v>68273.928586862225</v>
      </c>
      <c r="U128" s="7" t="s">
        <v>4114</v>
      </c>
    </row>
    <row r="129" spans="1:21" ht="16.5" thickBot="1">
      <c r="A129" s="50" t="s">
        <v>35</v>
      </c>
      <c r="B129" s="51">
        <f t="shared" si="6"/>
        <v>300</v>
      </c>
      <c r="C129" s="51" t="s">
        <v>3</v>
      </c>
      <c r="D129" s="51">
        <f t="shared" si="7"/>
        <v>360</v>
      </c>
      <c r="E129" s="51" t="s">
        <v>3</v>
      </c>
      <c r="F129" s="99">
        <f t="shared" si="8"/>
        <v>1500</v>
      </c>
      <c r="G129" s="51" t="s">
        <v>3</v>
      </c>
      <c r="H129" s="48">
        <v>8</v>
      </c>
      <c r="I129" s="49" t="s">
        <v>47</v>
      </c>
      <c r="J129" s="184">
        <v>300</v>
      </c>
      <c r="K129" s="75">
        <v>360</v>
      </c>
      <c r="L129" s="75">
        <v>1500</v>
      </c>
      <c r="M129" s="202">
        <v>29.658249365822108</v>
      </c>
      <c r="N129" s="87">
        <v>2470.0005099276555</v>
      </c>
      <c r="O129" s="123">
        <v>42472.840338316135</v>
      </c>
      <c r="P129" s="121">
        <v>50204.954938359944</v>
      </c>
      <c r="Q129" s="310">
        <v>21013.770756749404</v>
      </c>
      <c r="R129" s="319">
        <v>63486.611095065542</v>
      </c>
      <c r="S129" s="315">
        <v>71218.725695109344</v>
      </c>
      <c r="U129" s="7" t="s">
        <v>4115</v>
      </c>
    </row>
    <row r="130" spans="1:21" ht="16.5" thickBot="1">
      <c r="A130" s="50" t="s">
        <v>35</v>
      </c>
      <c r="B130" s="51">
        <f t="shared" si="6"/>
        <v>300</v>
      </c>
      <c r="C130" s="51" t="s">
        <v>3</v>
      </c>
      <c r="D130" s="51">
        <f t="shared" si="7"/>
        <v>360</v>
      </c>
      <c r="E130" s="51" t="s">
        <v>3</v>
      </c>
      <c r="F130" s="99">
        <f t="shared" si="8"/>
        <v>1550</v>
      </c>
      <c r="G130" s="51" t="s">
        <v>3</v>
      </c>
      <c r="H130" s="48">
        <v>8</v>
      </c>
      <c r="I130" s="49" t="s">
        <v>47</v>
      </c>
      <c r="J130" s="184">
        <v>300</v>
      </c>
      <c r="K130" s="75">
        <v>360</v>
      </c>
      <c r="L130" s="75">
        <v>1550</v>
      </c>
      <c r="M130" s="202">
        <v>30.56035776018421</v>
      </c>
      <c r="N130" s="87">
        <v>2577.3918364462497</v>
      </c>
      <c r="O130" s="123">
        <v>43669.070687885862</v>
      </c>
      <c r="P130" s="121">
        <v>51626.939499550019</v>
      </c>
      <c r="Q130" s="310">
        <v>21567.367898252327</v>
      </c>
      <c r="R130" s="319">
        <v>65236.438586138189</v>
      </c>
      <c r="S130" s="315">
        <v>73194.307397802346</v>
      </c>
      <c r="U130" s="7" t="s">
        <v>4116</v>
      </c>
    </row>
    <row r="131" spans="1:21" ht="16.5" thickBot="1">
      <c r="A131" s="47" t="s">
        <v>35</v>
      </c>
      <c r="B131" s="48">
        <f t="shared" si="6"/>
        <v>300</v>
      </c>
      <c r="C131" s="48" t="s">
        <v>3</v>
      </c>
      <c r="D131" s="48">
        <f t="shared" si="7"/>
        <v>360</v>
      </c>
      <c r="E131" s="48" t="s">
        <v>3</v>
      </c>
      <c r="F131" s="99">
        <f t="shared" si="8"/>
        <v>1600</v>
      </c>
      <c r="G131" s="48" t="s">
        <v>3</v>
      </c>
      <c r="H131" s="48">
        <v>8</v>
      </c>
      <c r="I131" s="49" t="s">
        <v>47</v>
      </c>
      <c r="J131" s="184">
        <v>300</v>
      </c>
      <c r="K131" s="75">
        <v>360</v>
      </c>
      <c r="L131" s="75">
        <v>1600</v>
      </c>
      <c r="M131" s="202">
        <v>31.462466154546313</v>
      </c>
      <c r="N131" s="87">
        <v>2684.7831629648435</v>
      </c>
      <c r="O131" s="123">
        <v>44865.301177848945</v>
      </c>
      <c r="P131" s="121">
        <v>53048.924201133465</v>
      </c>
      <c r="Q131" s="310">
        <v>22120.965039755254</v>
      </c>
      <c r="R131" s="319">
        <v>66986.266217604192</v>
      </c>
      <c r="S131" s="315">
        <v>75169.889240888719</v>
      </c>
      <c r="U131" s="7" t="s">
        <v>4117</v>
      </c>
    </row>
    <row r="132" spans="1:21" ht="16.5" thickBot="1">
      <c r="A132" s="50" t="s">
        <v>35</v>
      </c>
      <c r="B132" s="51">
        <f t="shared" si="6"/>
        <v>300</v>
      </c>
      <c r="C132" s="51" t="s">
        <v>3</v>
      </c>
      <c r="D132" s="51">
        <f t="shared" si="7"/>
        <v>360</v>
      </c>
      <c r="E132" s="51" t="s">
        <v>3</v>
      </c>
      <c r="F132" s="99">
        <f t="shared" si="8"/>
        <v>1650</v>
      </c>
      <c r="G132" s="51" t="s">
        <v>3</v>
      </c>
      <c r="H132" s="48">
        <v>8</v>
      </c>
      <c r="I132" s="49" t="s">
        <v>47</v>
      </c>
      <c r="J132" s="184">
        <v>300</v>
      </c>
      <c r="K132" s="75">
        <v>360</v>
      </c>
      <c r="L132" s="75">
        <v>1650</v>
      </c>
      <c r="M132" s="202">
        <v>32.381614548908416</v>
      </c>
      <c r="N132" s="87">
        <v>2792.1744894834369</v>
      </c>
      <c r="O132" s="123">
        <v>46061.531527418665</v>
      </c>
      <c r="P132" s="121">
        <v>54470.908762323539</v>
      </c>
      <c r="Q132" s="310">
        <v>22905.143959041456</v>
      </c>
      <c r="R132" s="319">
        <v>68966.675486460124</v>
      </c>
      <c r="S132" s="315">
        <v>77376.052721364991</v>
      </c>
      <c r="U132" s="7" t="s">
        <v>4118</v>
      </c>
    </row>
    <row r="133" spans="1:21" ht="16.5" thickBot="1">
      <c r="A133" s="50" t="s">
        <v>35</v>
      </c>
      <c r="B133" s="51">
        <f t="shared" si="6"/>
        <v>300</v>
      </c>
      <c r="C133" s="51" t="s">
        <v>3</v>
      </c>
      <c r="D133" s="51">
        <f t="shared" si="7"/>
        <v>360</v>
      </c>
      <c r="E133" s="51" t="s">
        <v>3</v>
      </c>
      <c r="F133" s="99">
        <f t="shared" si="8"/>
        <v>1700</v>
      </c>
      <c r="G133" s="51" t="s">
        <v>3</v>
      </c>
      <c r="H133" s="48">
        <v>8</v>
      </c>
      <c r="I133" s="49" t="s">
        <v>47</v>
      </c>
      <c r="J133" s="184">
        <v>300</v>
      </c>
      <c r="K133" s="75">
        <v>360</v>
      </c>
      <c r="L133" s="75">
        <v>1700</v>
      </c>
      <c r="M133" s="202">
        <v>33.283722943270526</v>
      </c>
      <c r="N133" s="87">
        <v>2899.5658160020312</v>
      </c>
      <c r="O133" s="123">
        <v>47257.761876988399</v>
      </c>
      <c r="P133" s="121">
        <v>55892.893323513606</v>
      </c>
      <c r="Q133" s="310">
        <v>23458.741100544379</v>
      </c>
      <c r="R133" s="319">
        <v>70716.502977532771</v>
      </c>
      <c r="S133" s="315">
        <v>79351.634424057993</v>
      </c>
      <c r="U133" s="7" t="s">
        <v>4119</v>
      </c>
    </row>
    <row r="134" spans="1:21" ht="16.5" thickBot="1">
      <c r="A134" s="50" t="s">
        <v>35</v>
      </c>
      <c r="B134" s="51">
        <f t="shared" si="6"/>
        <v>300</v>
      </c>
      <c r="C134" s="51" t="s">
        <v>3</v>
      </c>
      <c r="D134" s="51">
        <f t="shared" si="7"/>
        <v>360</v>
      </c>
      <c r="E134" s="51" t="s">
        <v>3</v>
      </c>
      <c r="F134" s="99">
        <f t="shared" si="8"/>
        <v>1750</v>
      </c>
      <c r="G134" s="51" t="s">
        <v>3</v>
      </c>
      <c r="H134" s="48">
        <v>8</v>
      </c>
      <c r="I134" s="49" t="s">
        <v>47</v>
      </c>
      <c r="J134" s="184">
        <v>300</v>
      </c>
      <c r="K134" s="75">
        <v>360</v>
      </c>
      <c r="L134" s="75">
        <v>1750</v>
      </c>
      <c r="M134" s="202">
        <v>34.202871337632629</v>
      </c>
      <c r="N134" s="87">
        <v>3006.9571425206245</v>
      </c>
      <c r="O134" s="123">
        <v>48453.992226558126</v>
      </c>
      <c r="P134" s="121">
        <v>57314.878025097052</v>
      </c>
      <c r="Q134" s="310">
        <v>24242.920019830581</v>
      </c>
      <c r="R134" s="319">
        <v>72696.912246388703</v>
      </c>
      <c r="S134" s="315">
        <v>81557.798044927637</v>
      </c>
      <c r="U134" s="7" t="s">
        <v>4120</v>
      </c>
    </row>
    <row r="135" spans="1:21" ht="16.5" thickBot="1">
      <c r="A135" s="50" t="s">
        <v>35</v>
      </c>
      <c r="B135" s="51">
        <f t="shared" si="6"/>
        <v>300</v>
      </c>
      <c r="C135" s="51" t="s">
        <v>3</v>
      </c>
      <c r="D135" s="51">
        <f t="shared" si="7"/>
        <v>360</v>
      </c>
      <c r="E135" s="51" t="s">
        <v>3</v>
      </c>
      <c r="F135" s="99">
        <f t="shared" si="8"/>
        <v>1800</v>
      </c>
      <c r="G135" s="51" t="s">
        <v>3</v>
      </c>
      <c r="H135" s="48">
        <v>8</v>
      </c>
      <c r="I135" s="49" t="s">
        <v>47</v>
      </c>
      <c r="J135" s="184">
        <v>300</v>
      </c>
      <c r="K135" s="75">
        <v>360</v>
      </c>
      <c r="L135" s="75">
        <v>1800</v>
      </c>
      <c r="M135" s="202">
        <v>35.104979731994732</v>
      </c>
      <c r="N135" s="87">
        <v>3114.3484690392183</v>
      </c>
      <c r="O135" s="123">
        <v>49650.222716521064</v>
      </c>
      <c r="P135" s="121">
        <v>58736.862586287127</v>
      </c>
      <c r="Q135" s="310">
        <v>24796.517161333504</v>
      </c>
      <c r="R135" s="319">
        <v>74446.739877854561</v>
      </c>
      <c r="S135" s="315">
        <v>83533.379747620638</v>
      </c>
      <c r="U135" s="7" t="s">
        <v>4121</v>
      </c>
    </row>
    <row r="136" spans="1:21" ht="16.5" thickBot="1">
      <c r="A136" s="50" t="s">
        <v>35</v>
      </c>
      <c r="B136" s="51">
        <f t="shared" si="6"/>
        <v>300</v>
      </c>
      <c r="C136" s="51" t="s">
        <v>3</v>
      </c>
      <c r="D136" s="51">
        <f t="shared" si="7"/>
        <v>360</v>
      </c>
      <c r="E136" s="51" t="s">
        <v>3</v>
      </c>
      <c r="F136" s="99">
        <f t="shared" si="8"/>
        <v>1850</v>
      </c>
      <c r="G136" s="51" t="s">
        <v>3</v>
      </c>
      <c r="H136" s="48">
        <v>8</v>
      </c>
      <c r="I136" s="49" t="s">
        <v>47</v>
      </c>
      <c r="J136" s="184">
        <v>300</v>
      </c>
      <c r="K136" s="75">
        <v>360</v>
      </c>
      <c r="L136" s="75">
        <v>1850</v>
      </c>
      <c r="M136" s="202">
        <v>36.024128126356842</v>
      </c>
      <c r="N136" s="87">
        <v>3221.7397955578122</v>
      </c>
      <c r="O136" s="123">
        <v>50846.453066090929</v>
      </c>
      <c r="P136" s="121">
        <v>60158.847147477194</v>
      </c>
      <c r="Q136" s="310">
        <v>25580.69622101307</v>
      </c>
      <c r="R136" s="319">
        <v>76427.149287103995</v>
      </c>
      <c r="S136" s="315">
        <v>85739.543368490267</v>
      </c>
      <c r="U136" s="7" t="s">
        <v>4122</v>
      </c>
    </row>
    <row r="137" spans="1:21" ht="16.5" thickBot="1">
      <c r="A137" s="50" t="s">
        <v>35</v>
      </c>
      <c r="B137" s="51">
        <f t="shared" si="6"/>
        <v>300</v>
      </c>
      <c r="C137" s="51" t="s">
        <v>3</v>
      </c>
      <c r="D137" s="51">
        <f t="shared" si="7"/>
        <v>360</v>
      </c>
      <c r="E137" s="51" t="s">
        <v>3</v>
      </c>
      <c r="F137" s="99">
        <f t="shared" si="8"/>
        <v>1900</v>
      </c>
      <c r="G137" s="51" t="s">
        <v>3</v>
      </c>
      <c r="H137" s="48">
        <v>8</v>
      </c>
      <c r="I137" s="49" t="s">
        <v>47</v>
      </c>
      <c r="J137" s="184">
        <v>300</v>
      </c>
      <c r="K137" s="75">
        <v>360</v>
      </c>
      <c r="L137" s="75">
        <v>1900</v>
      </c>
      <c r="M137" s="202">
        <v>36.926236520718945</v>
      </c>
      <c r="N137" s="87">
        <v>3329.131122076406</v>
      </c>
      <c r="O137" s="123">
        <v>52042.683415660656</v>
      </c>
      <c r="P137" s="121">
        <v>61580.83184906064</v>
      </c>
      <c r="Q137" s="310">
        <v>26134.293362515993</v>
      </c>
      <c r="R137" s="319">
        <v>78176.976778176642</v>
      </c>
      <c r="S137" s="315">
        <v>87715.12521157664</v>
      </c>
      <c r="U137" s="7" t="s">
        <v>4123</v>
      </c>
    </row>
    <row r="138" spans="1:21" ht="16.5" thickBot="1">
      <c r="A138" s="50" t="s">
        <v>35</v>
      </c>
      <c r="B138" s="51">
        <f t="shared" si="6"/>
        <v>300</v>
      </c>
      <c r="C138" s="51" t="s">
        <v>3</v>
      </c>
      <c r="D138" s="51">
        <f t="shared" si="7"/>
        <v>360</v>
      </c>
      <c r="E138" s="51" t="s">
        <v>3</v>
      </c>
      <c r="F138" s="99">
        <f t="shared" si="8"/>
        <v>1950</v>
      </c>
      <c r="G138" s="51" t="s">
        <v>3</v>
      </c>
      <c r="H138" s="48">
        <v>8</v>
      </c>
      <c r="I138" s="49" t="s">
        <v>47</v>
      </c>
      <c r="J138" s="184">
        <v>300</v>
      </c>
      <c r="K138" s="75">
        <v>360</v>
      </c>
      <c r="L138" s="75">
        <v>1950</v>
      </c>
      <c r="M138" s="202">
        <v>37.985344915081058</v>
      </c>
      <c r="N138" s="87">
        <v>3436.5224485949998</v>
      </c>
      <c r="O138" s="123">
        <v>53393.222637034654</v>
      </c>
      <c r="P138" s="121">
        <v>63158.067321517359</v>
      </c>
      <c r="Q138" s="310">
        <v>26687.890504018917</v>
      </c>
      <c r="R138" s="319">
        <v>80081.113141053575</v>
      </c>
      <c r="S138" s="315">
        <v>89845.957825536272</v>
      </c>
      <c r="U138" s="7" t="s">
        <v>4124</v>
      </c>
    </row>
    <row r="139" spans="1:21" ht="16.5" thickBot="1">
      <c r="A139" s="50" t="s">
        <v>35</v>
      </c>
      <c r="B139" s="51">
        <f t="shared" si="6"/>
        <v>300</v>
      </c>
      <c r="C139" s="51" t="s">
        <v>3</v>
      </c>
      <c r="D139" s="51">
        <f t="shared" si="7"/>
        <v>360</v>
      </c>
      <c r="E139" s="51" t="s">
        <v>3</v>
      </c>
      <c r="F139" s="99">
        <f t="shared" si="8"/>
        <v>2000</v>
      </c>
      <c r="G139" s="51" t="s">
        <v>3</v>
      </c>
      <c r="H139" s="48">
        <v>8</v>
      </c>
      <c r="I139" s="49" t="s">
        <v>47</v>
      </c>
      <c r="J139" s="184">
        <v>300</v>
      </c>
      <c r="K139" s="75">
        <v>360</v>
      </c>
      <c r="L139" s="75">
        <v>2000</v>
      </c>
      <c r="M139" s="202">
        <v>38.996055709443162</v>
      </c>
      <c r="N139" s="87">
        <v>3543.9137751135931</v>
      </c>
      <c r="O139" s="123">
        <v>54819.996015819612</v>
      </c>
      <c r="P139" s="121">
        <v>64892.732610226733</v>
      </c>
      <c r="Q139" s="310">
        <v>27472.069423305118</v>
      </c>
      <c r="R139" s="319">
        <v>82292.065439124737</v>
      </c>
      <c r="S139" s="315">
        <v>92364.802033531858</v>
      </c>
      <c r="U139" s="7" t="s">
        <v>4125</v>
      </c>
    </row>
    <row r="140" spans="1:21" ht="16.5" thickBot="1">
      <c r="A140" s="50" t="s">
        <v>35</v>
      </c>
      <c r="B140" s="51">
        <f t="shared" si="6"/>
        <v>300</v>
      </c>
      <c r="C140" s="51" t="s">
        <v>3</v>
      </c>
      <c r="D140" s="51">
        <f t="shared" si="7"/>
        <v>360</v>
      </c>
      <c r="E140" s="51" t="s">
        <v>3</v>
      </c>
      <c r="F140" s="99">
        <f t="shared" si="8"/>
        <v>2050</v>
      </c>
      <c r="G140" s="51" t="s">
        <v>3</v>
      </c>
      <c r="H140" s="48">
        <v>8</v>
      </c>
      <c r="I140" s="49" t="s">
        <v>47</v>
      </c>
      <c r="J140" s="184">
        <v>300</v>
      </c>
      <c r="K140" s="75">
        <v>360</v>
      </c>
      <c r="L140" s="75">
        <v>2050</v>
      </c>
      <c r="M140" s="202">
        <v>39.898164103805257</v>
      </c>
      <c r="N140" s="87">
        <v>3651.3051016321874</v>
      </c>
      <c r="O140" s="123">
        <v>56016.226365389331</v>
      </c>
      <c r="P140" s="121">
        <v>66314.717171416807</v>
      </c>
      <c r="Q140" s="310">
        <v>28025.666564808042</v>
      </c>
      <c r="R140" s="319">
        <v>84041.892930197369</v>
      </c>
      <c r="S140" s="315">
        <v>94340.383736224845</v>
      </c>
      <c r="U140" s="7" t="s">
        <v>4126</v>
      </c>
    </row>
    <row r="141" spans="1:21" ht="16.5" thickBot="1">
      <c r="A141" s="47" t="s">
        <v>35</v>
      </c>
      <c r="B141" s="48">
        <f t="shared" si="6"/>
        <v>300</v>
      </c>
      <c r="C141" s="48" t="s">
        <v>3</v>
      </c>
      <c r="D141" s="48">
        <f t="shared" si="7"/>
        <v>360</v>
      </c>
      <c r="E141" s="48" t="s">
        <v>3</v>
      </c>
      <c r="F141" s="99">
        <f t="shared" si="8"/>
        <v>2100</v>
      </c>
      <c r="G141" s="48" t="s">
        <v>3</v>
      </c>
      <c r="H141" s="48">
        <v>8</v>
      </c>
      <c r="I141" s="49" t="s">
        <v>47</v>
      </c>
      <c r="J141" s="184">
        <v>300</v>
      </c>
      <c r="K141" s="75">
        <v>360</v>
      </c>
      <c r="L141" s="75">
        <v>2100</v>
      </c>
      <c r="M141" s="202">
        <v>40.817312498167368</v>
      </c>
      <c r="N141" s="87">
        <v>3758.6964281507808</v>
      </c>
      <c r="O141" s="123">
        <v>57212.456714959058</v>
      </c>
      <c r="P141" s="121">
        <v>67736.70187300026</v>
      </c>
      <c r="Q141" s="310">
        <v>28809.845484094247</v>
      </c>
      <c r="R141" s="319">
        <v>86022.302199053302</v>
      </c>
      <c r="S141" s="315">
        <v>96546.547357094503</v>
      </c>
      <c r="U141" s="7" t="s">
        <v>4127</v>
      </c>
    </row>
    <row r="142" spans="1:21" ht="16.5" thickBot="1">
      <c r="A142" s="50" t="s">
        <v>35</v>
      </c>
      <c r="B142" s="51">
        <f t="shared" si="6"/>
        <v>300</v>
      </c>
      <c r="C142" s="51" t="s">
        <v>3</v>
      </c>
      <c r="D142" s="51">
        <f t="shared" si="7"/>
        <v>360</v>
      </c>
      <c r="E142" s="51" t="s">
        <v>3</v>
      </c>
      <c r="F142" s="99">
        <f t="shared" si="8"/>
        <v>2150</v>
      </c>
      <c r="G142" s="51" t="s">
        <v>3</v>
      </c>
      <c r="H142" s="48">
        <v>8</v>
      </c>
      <c r="I142" s="49" t="s">
        <v>47</v>
      </c>
      <c r="J142" s="184">
        <v>300</v>
      </c>
      <c r="K142" s="75">
        <v>360</v>
      </c>
      <c r="L142" s="75">
        <v>2150</v>
      </c>
      <c r="M142" s="202">
        <v>41.71942089252947</v>
      </c>
      <c r="N142" s="87">
        <v>3866.0877546693746</v>
      </c>
      <c r="O142" s="123">
        <v>58408.687204922149</v>
      </c>
      <c r="P142" s="121">
        <v>69158.686434190327</v>
      </c>
      <c r="Q142" s="310">
        <v>29363.442625597167</v>
      </c>
      <c r="R142" s="319">
        <v>87772.12983051932</v>
      </c>
      <c r="S142" s="315">
        <v>98522.12905978749</v>
      </c>
      <c r="U142" s="7" t="s">
        <v>4128</v>
      </c>
    </row>
    <row r="143" spans="1:21" ht="16.5" thickBot="1">
      <c r="A143" s="50" t="s">
        <v>35</v>
      </c>
      <c r="B143" s="51">
        <f t="shared" si="6"/>
        <v>300</v>
      </c>
      <c r="C143" s="51" t="s">
        <v>3</v>
      </c>
      <c r="D143" s="51">
        <f t="shared" si="7"/>
        <v>360</v>
      </c>
      <c r="E143" s="51" t="s">
        <v>3</v>
      </c>
      <c r="F143" s="99">
        <f t="shared" si="8"/>
        <v>2200</v>
      </c>
      <c r="G143" s="51" t="s">
        <v>3</v>
      </c>
      <c r="H143" s="48">
        <v>8</v>
      </c>
      <c r="I143" s="49" t="s">
        <v>47</v>
      </c>
      <c r="J143" s="184">
        <v>300</v>
      </c>
      <c r="K143" s="75">
        <v>360</v>
      </c>
      <c r="L143" s="75">
        <v>2200</v>
      </c>
      <c r="M143" s="202">
        <v>42.638569286891581</v>
      </c>
      <c r="N143" s="87">
        <v>3973.4790811879684</v>
      </c>
      <c r="O143" s="123">
        <v>59604.917554491876</v>
      </c>
      <c r="P143" s="121">
        <v>70580.671135773766</v>
      </c>
      <c r="Q143" s="310">
        <v>30147.621544883372</v>
      </c>
      <c r="R143" s="319">
        <v>89752.539099375252</v>
      </c>
      <c r="S143" s="315">
        <v>100728.29268065713</v>
      </c>
      <c r="U143" s="7" t="s">
        <v>4129</v>
      </c>
    </row>
    <row r="144" spans="1:21" ht="16.5" thickBot="1">
      <c r="A144" s="50" t="s">
        <v>35</v>
      </c>
      <c r="B144" s="51">
        <f t="shared" si="6"/>
        <v>300</v>
      </c>
      <c r="C144" s="51" t="s">
        <v>3</v>
      </c>
      <c r="D144" s="51">
        <f t="shared" si="7"/>
        <v>360</v>
      </c>
      <c r="E144" s="51" t="s">
        <v>3</v>
      </c>
      <c r="F144" s="99">
        <f t="shared" si="8"/>
        <v>2250</v>
      </c>
      <c r="G144" s="51" t="s">
        <v>3</v>
      </c>
      <c r="H144" s="48">
        <v>8</v>
      </c>
      <c r="I144" s="49" t="s">
        <v>47</v>
      </c>
      <c r="J144" s="184">
        <v>300</v>
      </c>
      <c r="K144" s="75">
        <v>360</v>
      </c>
      <c r="L144" s="75">
        <v>2250</v>
      </c>
      <c r="M144" s="202">
        <v>43.540677681253683</v>
      </c>
      <c r="N144" s="87">
        <v>4080.8704077065622</v>
      </c>
      <c r="O144" s="123">
        <v>60801.147904061596</v>
      </c>
      <c r="P144" s="121">
        <v>72002.655696963848</v>
      </c>
      <c r="Q144" s="310">
        <v>30701.218686386295</v>
      </c>
      <c r="R144" s="319">
        <v>91502.366590447898</v>
      </c>
      <c r="S144" s="315">
        <v>102703.87438335014</v>
      </c>
      <c r="U144" s="7" t="s">
        <v>4130</v>
      </c>
    </row>
    <row r="145" spans="1:21" ht="16.5" thickBot="1">
      <c r="A145" s="50" t="s">
        <v>35</v>
      </c>
      <c r="B145" s="51">
        <f t="shared" si="6"/>
        <v>300</v>
      </c>
      <c r="C145" s="51" t="s">
        <v>3</v>
      </c>
      <c r="D145" s="51">
        <f t="shared" si="7"/>
        <v>360</v>
      </c>
      <c r="E145" s="51" t="s">
        <v>3</v>
      </c>
      <c r="F145" s="99">
        <f t="shared" si="8"/>
        <v>2300</v>
      </c>
      <c r="G145" s="51" t="s">
        <v>3</v>
      </c>
      <c r="H145" s="48">
        <v>8</v>
      </c>
      <c r="I145" s="49" t="s">
        <v>47</v>
      </c>
      <c r="J145" s="184">
        <v>300</v>
      </c>
      <c r="K145" s="75">
        <v>360</v>
      </c>
      <c r="L145" s="75">
        <v>2300</v>
      </c>
      <c r="M145" s="202">
        <v>44.442786075615786</v>
      </c>
      <c r="N145" s="87">
        <v>4188.2617342251551</v>
      </c>
      <c r="O145" s="123">
        <v>61997.378253631323</v>
      </c>
      <c r="P145" s="121">
        <v>73424.640258153915</v>
      </c>
      <c r="Q145" s="310">
        <v>31254.815827889219</v>
      </c>
      <c r="R145" s="319">
        <v>93252.194081520545</v>
      </c>
      <c r="S145" s="315">
        <v>104679.45608604314</v>
      </c>
      <c r="U145" s="7" t="s">
        <v>4131</v>
      </c>
    </row>
    <row r="146" spans="1:21" ht="16.5" thickBot="1">
      <c r="A146" s="50" t="s">
        <v>35</v>
      </c>
      <c r="B146" s="51">
        <f t="shared" si="6"/>
        <v>300</v>
      </c>
      <c r="C146" s="51" t="s">
        <v>3</v>
      </c>
      <c r="D146" s="51">
        <f t="shared" si="7"/>
        <v>360</v>
      </c>
      <c r="E146" s="51" t="s">
        <v>3</v>
      </c>
      <c r="F146" s="99">
        <f t="shared" si="8"/>
        <v>2350</v>
      </c>
      <c r="G146" s="51" t="s">
        <v>3</v>
      </c>
      <c r="H146" s="48">
        <v>8</v>
      </c>
      <c r="I146" s="49" t="s">
        <v>47</v>
      </c>
      <c r="J146" s="184">
        <v>300</v>
      </c>
      <c r="K146" s="75">
        <v>360</v>
      </c>
      <c r="L146" s="75">
        <v>2350</v>
      </c>
      <c r="M146" s="202">
        <v>45.361934469977896</v>
      </c>
      <c r="N146" s="87">
        <v>4295.6530607437498</v>
      </c>
      <c r="O146" s="123">
        <v>63193.608743594414</v>
      </c>
      <c r="P146" s="121">
        <v>74846.624959737353</v>
      </c>
      <c r="Q146" s="310">
        <v>32038.99474717542</v>
      </c>
      <c r="R146" s="319">
        <v>95232.603490769834</v>
      </c>
      <c r="S146" s="315">
        <v>106885.61970691278</v>
      </c>
      <c r="U146" s="7" t="s">
        <v>4132</v>
      </c>
    </row>
    <row r="147" spans="1:21" ht="16.5" thickBot="1">
      <c r="A147" s="50" t="s">
        <v>35</v>
      </c>
      <c r="B147" s="51">
        <f t="shared" si="6"/>
        <v>300</v>
      </c>
      <c r="C147" s="51" t="s">
        <v>3</v>
      </c>
      <c r="D147" s="51">
        <f t="shared" si="7"/>
        <v>360</v>
      </c>
      <c r="E147" s="51" t="s">
        <v>3</v>
      </c>
      <c r="F147" s="99">
        <f t="shared" si="8"/>
        <v>2400</v>
      </c>
      <c r="G147" s="51" t="s">
        <v>3</v>
      </c>
      <c r="H147" s="48">
        <v>8</v>
      </c>
      <c r="I147" s="49" t="s">
        <v>47</v>
      </c>
      <c r="J147" s="184">
        <v>300</v>
      </c>
      <c r="K147" s="75">
        <v>360</v>
      </c>
      <c r="L147" s="75">
        <v>2400</v>
      </c>
      <c r="M147" s="202">
        <v>46.264042864339999</v>
      </c>
      <c r="N147" s="87">
        <v>4403.0443872623428</v>
      </c>
      <c r="O147" s="123">
        <v>64389.839093164141</v>
      </c>
      <c r="P147" s="121">
        <v>76268.609520927435</v>
      </c>
      <c r="Q147" s="310">
        <v>32592.591888678344</v>
      </c>
      <c r="R147" s="319">
        <v>96982.430981842481</v>
      </c>
      <c r="S147" s="315">
        <v>108861.20140960578</v>
      </c>
      <c r="U147" s="7" t="s">
        <v>4133</v>
      </c>
    </row>
    <row r="148" spans="1:21" ht="16.5" thickBot="1">
      <c r="A148" s="50" t="s">
        <v>35</v>
      </c>
      <c r="B148" s="51">
        <f t="shared" si="6"/>
        <v>300</v>
      </c>
      <c r="C148" s="51" t="s">
        <v>3</v>
      </c>
      <c r="D148" s="51">
        <f t="shared" si="7"/>
        <v>360</v>
      </c>
      <c r="E148" s="51" t="s">
        <v>3</v>
      </c>
      <c r="F148" s="99">
        <f t="shared" si="8"/>
        <v>2450</v>
      </c>
      <c r="G148" s="51" t="s">
        <v>3</v>
      </c>
      <c r="H148" s="48">
        <v>8</v>
      </c>
      <c r="I148" s="49" t="s">
        <v>47</v>
      </c>
      <c r="J148" s="184">
        <v>300</v>
      </c>
      <c r="K148" s="75">
        <v>360</v>
      </c>
      <c r="L148" s="75">
        <v>2450</v>
      </c>
      <c r="M148" s="202">
        <v>47.418812552662104</v>
      </c>
      <c r="N148" s="87">
        <v>4510.4357137809366</v>
      </c>
      <c r="O148" s="123">
        <v>66338.538836379099</v>
      </c>
      <c r="P148" s="121">
        <v>78429.22770988835</v>
      </c>
      <c r="Q148" s="310">
        <v>33376.770807964545</v>
      </c>
      <c r="R148" s="319">
        <v>99715.309644343652</v>
      </c>
      <c r="S148" s="315">
        <v>111805.99851785289</v>
      </c>
      <c r="U148" s="7" t="s">
        <v>4134</v>
      </c>
    </row>
    <row r="149" spans="1:21" ht="16.5" thickBot="1">
      <c r="A149" s="50" t="s">
        <v>35</v>
      </c>
      <c r="B149" s="51">
        <f t="shared" si="6"/>
        <v>300</v>
      </c>
      <c r="C149" s="51" t="s">
        <v>3</v>
      </c>
      <c r="D149" s="51">
        <f t="shared" si="7"/>
        <v>360</v>
      </c>
      <c r="E149" s="51" t="s">
        <v>3</v>
      </c>
      <c r="F149" s="99">
        <f t="shared" si="8"/>
        <v>2500</v>
      </c>
      <c r="G149" s="51" t="s">
        <v>3</v>
      </c>
      <c r="H149" s="48">
        <v>8</v>
      </c>
      <c r="I149" s="49" t="s">
        <v>47</v>
      </c>
      <c r="J149" s="184">
        <v>300</v>
      </c>
      <c r="K149" s="75">
        <v>360</v>
      </c>
      <c r="L149" s="75">
        <v>2500</v>
      </c>
      <c r="M149" s="202">
        <v>48.320920947024206</v>
      </c>
      <c r="N149" s="87">
        <v>4617.8270402995313</v>
      </c>
      <c r="O149" s="123">
        <v>67534.769185948811</v>
      </c>
      <c r="P149" s="121">
        <v>79851.212271078432</v>
      </c>
      <c r="Q149" s="310">
        <v>33930.367949467472</v>
      </c>
      <c r="R149" s="319">
        <v>101465.13713541628</v>
      </c>
      <c r="S149" s="315">
        <v>113781.5802205459</v>
      </c>
      <c r="U149" s="7" t="s">
        <v>4135</v>
      </c>
    </row>
    <row r="150" spans="1:21" ht="16.5" thickBot="1">
      <c r="A150" s="50" t="s">
        <v>35</v>
      </c>
      <c r="B150" s="51">
        <f t="shared" si="6"/>
        <v>300</v>
      </c>
      <c r="C150" s="51" t="s">
        <v>3</v>
      </c>
      <c r="D150" s="51">
        <f t="shared" si="7"/>
        <v>360</v>
      </c>
      <c r="E150" s="51" t="s">
        <v>3</v>
      </c>
      <c r="F150" s="99">
        <f t="shared" si="8"/>
        <v>2550</v>
      </c>
      <c r="G150" s="51" t="s">
        <v>3</v>
      </c>
      <c r="H150" s="48">
        <v>8</v>
      </c>
      <c r="I150" s="49" t="s">
        <v>47</v>
      </c>
      <c r="J150" s="184">
        <v>300</v>
      </c>
      <c r="K150" s="75">
        <v>360</v>
      </c>
      <c r="L150" s="75">
        <v>2550</v>
      </c>
      <c r="M150" s="202">
        <v>49.240069341386317</v>
      </c>
      <c r="N150" s="87">
        <v>4725.2183668181251</v>
      </c>
      <c r="O150" s="123">
        <v>68730.999535518538</v>
      </c>
      <c r="P150" s="121">
        <v>81273.196832268499</v>
      </c>
      <c r="Q150" s="310">
        <v>34714.547009147034</v>
      </c>
      <c r="R150" s="319">
        <v>103445.54654466557</v>
      </c>
      <c r="S150" s="315">
        <v>115987.74384141553</v>
      </c>
      <c r="U150" s="7" t="s">
        <v>4136</v>
      </c>
    </row>
    <row r="151" spans="1:21" ht="16.5" thickBot="1">
      <c r="A151" s="47" t="s">
        <v>35</v>
      </c>
      <c r="B151" s="48">
        <f t="shared" si="6"/>
        <v>300</v>
      </c>
      <c r="C151" s="48" t="s">
        <v>3</v>
      </c>
      <c r="D151" s="48">
        <f t="shared" si="7"/>
        <v>360</v>
      </c>
      <c r="E151" s="48" t="s">
        <v>3</v>
      </c>
      <c r="F151" s="99">
        <f t="shared" si="8"/>
        <v>2600</v>
      </c>
      <c r="G151" s="48" t="s">
        <v>3</v>
      </c>
      <c r="H151" s="48">
        <v>8</v>
      </c>
      <c r="I151" s="49" t="s">
        <v>47</v>
      </c>
      <c r="J151" s="184">
        <v>300</v>
      </c>
      <c r="K151" s="75">
        <v>360</v>
      </c>
      <c r="L151" s="75">
        <v>2600</v>
      </c>
      <c r="M151" s="202">
        <v>50.142177735748419</v>
      </c>
      <c r="N151" s="87">
        <v>4832.609693336718</v>
      </c>
      <c r="O151" s="123">
        <v>69927.229885088265</v>
      </c>
      <c r="P151" s="121">
        <v>82695.181533851937</v>
      </c>
      <c r="Q151" s="310">
        <v>35268.144150649961</v>
      </c>
      <c r="R151" s="319">
        <v>105195.37403573823</v>
      </c>
      <c r="S151" s="315">
        <v>117963.32568450191</v>
      </c>
      <c r="U151" s="7" t="s">
        <v>4137</v>
      </c>
    </row>
    <row r="152" spans="1:21">
      <c r="A152" s="52" t="s">
        <v>35</v>
      </c>
      <c r="B152" s="53">
        <f t="shared" si="6"/>
        <v>300</v>
      </c>
      <c r="C152" s="53" t="s">
        <v>3</v>
      </c>
      <c r="D152" s="53">
        <f t="shared" si="7"/>
        <v>360</v>
      </c>
      <c r="E152" s="53" t="s">
        <v>3</v>
      </c>
      <c r="F152" s="100">
        <f t="shared" si="8"/>
        <v>2650</v>
      </c>
      <c r="G152" s="53" t="s">
        <v>3</v>
      </c>
      <c r="H152" s="55">
        <v>8</v>
      </c>
      <c r="I152" s="54" t="s">
        <v>47</v>
      </c>
      <c r="J152" s="321">
        <v>300</v>
      </c>
      <c r="K152" s="322">
        <v>360</v>
      </c>
      <c r="L152" s="322">
        <v>2650</v>
      </c>
      <c r="M152" s="305">
        <v>51.06132613011053</v>
      </c>
      <c r="N152" s="306">
        <v>4940.0010198553109</v>
      </c>
      <c r="O152" s="307">
        <v>71123.460375051349</v>
      </c>
      <c r="P152" s="336">
        <v>84117.166095042019</v>
      </c>
      <c r="Q152" s="323">
        <v>36052.323069936159</v>
      </c>
      <c r="R152" s="324">
        <v>107175.78344498751</v>
      </c>
      <c r="S152" s="325">
        <v>120169.48916497818</v>
      </c>
      <c r="U152" s="7" t="s">
        <v>4138</v>
      </c>
    </row>
    <row r="153" spans="1:21" ht="16.5" thickBot="1">
      <c r="A153" s="350" t="s">
        <v>35</v>
      </c>
      <c r="B153" s="351">
        <f t="shared" si="6"/>
        <v>300</v>
      </c>
      <c r="C153" s="351" t="s">
        <v>3</v>
      </c>
      <c r="D153" s="351">
        <f t="shared" si="7"/>
        <v>360</v>
      </c>
      <c r="E153" s="351" t="s">
        <v>3</v>
      </c>
      <c r="F153" s="352">
        <f t="shared" si="8"/>
        <v>2700</v>
      </c>
      <c r="G153" s="351" t="s">
        <v>3</v>
      </c>
      <c r="H153" s="351">
        <v>8</v>
      </c>
      <c r="I153" s="353" t="s">
        <v>47</v>
      </c>
      <c r="J153" s="184">
        <v>300</v>
      </c>
      <c r="K153" s="75">
        <v>360</v>
      </c>
      <c r="L153" s="75">
        <v>2700</v>
      </c>
      <c r="M153" s="202">
        <v>52.120434524472643</v>
      </c>
      <c r="N153" s="87">
        <v>5047.3923463739047</v>
      </c>
      <c r="O153" s="123">
        <v>72473.99945603199</v>
      </c>
      <c r="P153" s="121">
        <v>85694.401567498746</v>
      </c>
      <c r="Q153" s="310">
        <v>36605.920211439086</v>
      </c>
      <c r="R153" s="319">
        <v>109079.91966747108</v>
      </c>
      <c r="S153" s="315">
        <v>122300.32177893783</v>
      </c>
      <c r="U153" s="7" t="s">
        <v>4139</v>
      </c>
    </row>
    <row r="154" spans="1:21" ht="16.5" thickBot="1">
      <c r="A154" s="50" t="s">
        <v>35</v>
      </c>
      <c r="B154" s="51">
        <f t="shared" si="6"/>
        <v>300</v>
      </c>
      <c r="C154" s="51" t="s">
        <v>3</v>
      </c>
      <c r="D154" s="51">
        <f t="shared" si="7"/>
        <v>360</v>
      </c>
      <c r="E154" s="51" t="s">
        <v>3</v>
      </c>
      <c r="F154" s="99">
        <f t="shared" si="8"/>
        <v>2750</v>
      </c>
      <c r="G154" s="51" t="s">
        <v>3</v>
      </c>
      <c r="H154" s="48">
        <v>8</v>
      </c>
      <c r="I154" s="49" t="s">
        <v>47</v>
      </c>
      <c r="J154" s="184">
        <v>300</v>
      </c>
      <c r="K154" s="75">
        <v>360</v>
      </c>
      <c r="L154" s="75">
        <v>2750</v>
      </c>
      <c r="M154" s="202">
        <v>53.022542918834745</v>
      </c>
      <c r="N154" s="87">
        <v>5154.7836728924995</v>
      </c>
      <c r="O154" s="123">
        <v>73670.229805601717</v>
      </c>
      <c r="P154" s="121">
        <v>87116.386128688828</v>
      </c>
      <c r="Q154" s="310">
        <v>37159.517352942006</v>
      </c>
      <c r="R154" s="319">
        <v>110829.74715854373</v>
      </c>
      <c r="S154" s="315">
        <v>124275.90348163084</v>
      </c>
      <c r="U154" s="7" t="s">
        <v>4140</v>
      </c>
    </row>
    <row r="155" spans="1:21" ht="16.5" thickBot="1">
      <c r="A155" s="50" t="s">
        <v>35</v>
      </c>
      <c r="B155" s="51">
        <f t="shared" si="6"/>
        <v>300</v>
      </c>
      <c r="C155" s="51" t="s">
        <v>3</v>
      </c>
      <c r="D155" s="51">
        <f t="shared" si="7"/>
        <v>360</v>
      </c>
      <c r="E155" s="51" t="s">
        <v>3</v>
      </c>
      <c r="F155" s="99">
        <f t="shared" si="8"/>
        <v>2800</v>
      </c>
      <c r="G155" s="51" t="s">
        <v>3</v>
      </c>
      <c r="H155" s="48">
        <v>8</v>
      </c>
      <c r="I155" s="49" t="s">
        <v>47</v>
      </c>
      <c r="J155" s="184">
        <v>300</v>
      </c>
      <c r="K155" s="75">
        <v>360</v>
      </c>
      <c r="L155" s="75">
        <v>2800</v>
      </c>
      <c r="M155" s="202">
        <v>53.941691313196841</v>
      </c>
      <c r="N155" s="87">
        <v>5262.1749994110933</v>
      </c>
      <c r="O155" s="123">
        <v>74866.460295564801</v>
      </c>
      <c r="P155" s="121">
        <v>88538.370830272252</v>
      </c>
      <c r="Q155" s="310">
        <v>37943.696272228204</v>
      </c>
      <c r="R155" s="319">
        <v>112810.156567793</v>
      </c>
      <c r="S155" s="315">
        <v>126482.06710250046</v>
      </c>
      <c r="U155" s="7" t="s">
        <v>4141</v>
      </c>
    </row>
    <row r="156" spans="1:21" ht="16.5" thickBot="1">
      <c r="A156" s="50" t="s">
        <v>35</v>
      </c>
      <c r="B156" s="51">
        <f t="shared" si="6"/>
        <v>300</v>
      </c>
      <c r="C156" s="51" t="s">
        <v>3</v>
      </c>
      <c r="D156" s="51">
        <f t="shared" si="7"/>
        <v>360</v>
      </c>
      <c r="E156" s="51" t="s">
        <v>3</v>
      </c>
      <c r="F156" s="99">
        <f t="shared" si="8"/>
        <v>2850</v>
      </c>
      <c r="G156" s="51" t="s">
        <v>3</v>
      </c>
      <c r="H156" s="48">
        <v>8</v>
      </c>
      <c r="I156" s="49" t="s">
        <v>47</v>
      </c>
      <c r="J156" s="184">
        <v>300</v>
      </c>
      <c r="K156" s="75">
        <v>360</v>
      </c>
      <c r="L156" s="75">
        <v>2850</v>
      </c>
      <c r="M156" s="202">
        <v>54.843799707558958</v>
      </c>
      <c r="N156" s="87">
        <v>5369.5663259296871</v>
      </c>
      <c r="O156" s="123">
        <v>76062.690645134528</v>
      </c>
      <c r="P156" s="121">
        <v>89960.355391462334</v>
      </c>
      <c r="Q156" s="310">
        <v>38497.293413731131</v>
      </c>
      <c r="R156" s="319">
        <v>114559.98405886567</v>
      </c>
      <c r="S156" s="315">
        <v>128457.64880519346</v>
      </c>
      <c r="U156" s="7" t="s">
        <v>4142</v>
      </c>
    </row>
    <row r="157" spans="1:21" ht="16.5" thickBot="1">
      <c r="A157" s="50" t="s">
        <v>35</v>
      </c>
      <c r="B157" s="51">
        <f t="shared" si="6"/>
        <v>300</v>
      </c>
      <c r="C157" s="51" t="s">
        <v>3</v>
      </c>
      <c r="D157" s="51">
        <f t="shared" si="7"/>
        <v>360</v>
      </c>
      <c r="E157" s="51" t="s">
        <v>3</v>
      </c>
      <c r="F157" s="99">
        <f t="shared" si="8"/>
        <v>2900</v>
      </c>
      <c r="G157" s="51" t="s">
        <v>3</v>
      </c>
      <c r="H157" s="48">
        <v>8</v>
      </c>
      <c r="I157" s="49" t="s">
        <v>47</v>
      </c>
      <c r="J157" s="184">
        <v>300</v>
      </c>
      <c r="K157" s="75">
        <v>360</v>
      </c>
      <c r="L157" s="75">
        <v>2900</v>
      </c>
      <c r="M157" s="202">
        <v>55.762948101921054</v>
      </c>
      <c r="N157" s="87">
        <v>5476.9576524482809</v>
      </c>
      <c r="O157" s="123">
        <v>77258.920994704255</v>
      </c>
      <c r="P157" s="121">
        <v>91382.339952652415</v>
      </c>
      <c r="Q157" s="310">
        <v>39281.472333017329</v>
      </c>
      <c r="R157" s="319">
        <v>116540.39332772158</v>
      </c>
      <c r="S157" s="315">
        <v>130663.81228566974</v>
      </c>
      <c r="U157" s="7" t="s">
        <v>4143</v>
      </c>
    </row>
    <row r="158" spans="1:21" ht="16.5" thickBot="1">
      <c r="A158" s="50" t="s">
        <v>35</v>
      </c>
      <c r="B158" s="51">
        <f t="shared" si="6"/>
        <v>300</v>
      </c>
      <c r="C158" s="51" t="s">
        <v>3</v>
      </c>
      <c r="D158" s="51">
        <f t="shared" si="7"/>
        <v>360</v>
      </c>
      <c r="E158" s="51" t="s">
        <v>3</v>
      </c>
      <c r="F158" s="99">
        <f t="shared" si="8"/>
        <v>2950</v>
      </c>
      <c r="G158" s="51" t="s">
        <v>3</v>
      </c>
      <c r="H158" s="48">
        <v>8</v>
      </c>
      <c r="I158" s="49" t="s">
        <v>47</v>
      </c>
      <c r="J158" s="184">
        <v>300</v>
      </c>
      <c r="K158" s="75">
        <v>360</v>
      </c>
      <c r="L158" s="75">
        <v>2950</v>
      </c>
      <c r="M158" s="202">
        <v>56.665056496283157</v>
      </c>
      <c r="N158" s="87">
        <v>5584.3489789668738</v>
      </c>
      <c r="O158" s="123">
        <v>78455.151344273982</v>
      </c>
      <c r="P158" s="121">
        <v>92804.324654235839</v>
      </c>
      <c r="Q158" s="310">
        <v>39835.069474520256</v>
      </c>
      <c r="R158" s="319">
        <v>118290.22081879425</v>
      </c>
      <c r="S158" s="315">
        <v>132639.3941287561</v>
      </c>
      <c r="U158" s="7" t="s">
        <v>4144</v>
      </c>
    </row>
    <row r="159" spans="1:21" ht="16.5" thickBot="1">
      <c r="A159" s="50" t="s">
        <v>35</v>
      </c>
      <c r="B159" s="51">
        <f t="shared" si="6"/>
        <v>300</v>
      </c>
      <c r="C159" s="51" t="s">
        <v>3</v>
      </c>
      <c r="D159" s="51">
        <f t="shared" si="7"/>
        <v>360</v>
      </c>
      <c r="E159" s="51" t="s">
        <v>3</v>
      </c>
      <c r="F159" s="99">
        <f t="shared" si="8"/>
        <v>3000</v>
      </c>
      <c r="G159" s="51" t="s">
        <v>3</v>
      </c>
      <c r="H159" s="48">
        <v>8</v>
      </c>
      <c r="I159" s="49" t="s">
        <v>47</v>
      </c>
      <c r="J159" s="186">
        <v>300</v>
      </c>
      <c r="K159" s="147">
        <v>360</v>
      </c>
      <c r="L159" s="147">
        <v>3000</v>
      </c>
      <c r="M159" s="209">
        <v>57.584204890645267</v>
      </c>
      <c r="N159" s="148">
        <v>5691.7403054854676</v>
      </c>
      <c r="O159" s="149">
        <v>80826.539140095541</v>
      </c>
      <c r="P159" s="158">
        <v>94226.309215425907</v>
      </c>
      <c r="Q159" s="311">
        <v>40619.248393806454</v>
      </c>
      <c r="R159" s="320">
        <v>121445.787533902</v>
      </c>
      <c r="S159" s="317">
        <v>134845.55760923238</v>
      </c>
      <c r="U159" s="7" t="s">
        <v>4145</v>
      </c>
    </row>
    <row r="160" spans="1:21">
      <c r="M160" s="94"/>
      <c r="P160" s="93"/>
      <c r="S160" s="93"/>
    </row>
    <row r="161" spans="13:19">
      <c r="M161" s="94"/>
      <c r="P161" s="93"/>
      <c r="S161" s="93"/>
    </row>
    <row r="162" spans="13:19">
      <c r="M162" s="94"/>
      <c r="P162" s="93"/>
      <c r="S162" s="93"/>
    </row>
    <row r="163" spans="13:19">
      <c r="M163" s="94"/>
      <c r="P163" s="93"/>
      <c r="S163" s="93"/>
    </row>
    <row r="164" spans="13:19">
      <c r="M164" s="94"/>
      <c r="P164" s="93"/>
      <c r="S164" s="93"/>
    </row>
    <row r="165" spans="13:19">
      <c r="M165" s="94"/>
      <c r="P165" s="93"/>
      <c r="S165" s="93"/>
    </row>
    <row r="166" spans="13:19">
      <c r="M166" s="94"/>
      <c r="P166" s="93"/>
      <c r="S166" s="93"/>
    </row>
    <row r="167" spans="13:19">
      <c r="M167" s="94"/>
      <c r="P167" s="93"/>
      <c r="S167" s="93"/>
    </row>
    <row r="168" spans="13:19">
      <c r="M168" s="94"/>
      <c r="P168" s="93"/>
      <c r="S168" s="93"/>
    </row>
    <row r="169" spans="13:19">
      <c r="M169" s="94"/>
      <c r="P169" s="93"/>
      <c r="S169" s="93"/>
    </row>
    <row r="170" spans="13:19">
      <c r="M170" s="94"/>
      <c r="P170" s="93"/>
      <c r="S170" s="93"/>
    </row>
    <row r="171" spans="13:19">
      <c r="M171" s="94"/>
      <c r="P171" s="93"/>
      <c r="S171" s="93"/>
    </row>
    <row r="172" spans="13:19">
      <c r="M172" s="94"/>
      <c r="P172" s="93"/>
      <c r="S172" s="93"/>
    </row>
    <row r="173" spans="13:19">
      <c r="M173" s="94"/>
      <c r="P173" s="93"/>
      <c r="S173" s="93"/>
    </row>
    <row r="174" spans="13:19">
      <c r="M174" s="94"/>
      <c r="P174" s="93"/>
      <c r="S174" s="93"/>
    </row>
    <row r="175" spans="13:19">
      <c r="M175" s="94"/>
      <c r="P175" s="93"/>
      <c r="S175" s="93"/>
    </row>
    <row r="176" spans="13:19">
      <c r="M176" s="94"/>
      <c r="P176" s="93"/>
      <c r="S176" s="93"/>
    </row>
    <row r="177" spans="13:19">
      <c r="M177" s="94"/>
      <c r="P177" s="93"/>
      <c r="S177" s="93"/>
    </row>
    <row r="178" spans="13:19">
      <c r="M178" s="94"/>
      <c r="P178" s="93"/>
      <c r="S178" s="93"/>
    </row>
    <row r="179" spans="13:19">
      <c r="M179" s="94"/>
      <c r="P179" s="93"/>
      <c r="S179" s="93"/>
    </row>
    <row r="180" spans="13:19">
      <c r="M180" s="94"/>
      <c r="P180" s="93"/>
      <c r="S180" s="93"/>
    </row>
    <row r="181" spans="13:19">
      <c r="M181" s="94"/>
      <c r="P181" s="93"/>
      <c r="S181" s="93"/>
    </row>
    <row r="182" spans="13:19">
      <c r="M182" s="94"/>
      <c r="P182" s="93"/>
      <c r="S182" s="93"/>
    </row>
    <row r="183" spans="13:19">
      <c r="M183" s="94"/>
      <c r="P183" s="93"/>
      <c r="S183" s="93"/>
    </row>
    <row r="184" spans="13:19">
      <c r="M184" s="94"/>
      <c r="P184" s="93"/>
      <c r="S184" s="93"/>
    </row>
    <row r="185" spans="13:19">
      <c r="M185" s="94"/>
      <c r="P185" s="93"/>
      <c r="S185" s="93"/>
    </row>
    <row r="186" spans="13:19">
      <c r="M186" s="94"/>
      <c r="P186" s="93"/>
      <c r="S186" s="93"/>
    </row>
    <row r="187" spans="13:19">
      <c r="M187" s="94"/>
      <c r="P187" s="93"/>
      <c r="S187" s="93"/>
    </row>
    <row r="188" spans="13:19">
      <c r="M188" s="94"/>
      <c r="P188" s="93"/>
      <c r="S188" s="93"/>
    </row>
    <row r="189" spans="13:19">
      <c r="M189" s="94"/>
      <c r="P189" s="93"/>
      <c r="S189" s="93"/>
    </row>
    <row r="190" spans="13:19">
      <c r="M190" s="94"/>
      <c r="P190" s="93"/>
      <c r="S190" s="93"/>
    </row>
    <row r="191" spans="13:19">
      <c r="M191" s="94"/>
      <c r="P191" s="93"/>
      <c r="S191" s="93"/>
    </row>
    <row r="192" spans="13:19">
      <c r="M192" s="94"/>
      <c r="P192" s="93"/>
      <c r="S192" s="93"/>
    </row>
    <row r="193" spans="13:19">
      <c r="M193" s="94"/>
      <c r="P193" s="93"/>
      <c r="S193" s="93"/>
    </row>
    <row r="194" spans="13:19">
      <c r="M194" s="94"/>
      <c r="P194" s="93"/>
      <c r="S194" s="93"/>
    </row>
    <row r="195" spans="13:19">
      <c r="M195" s="94"/>
      <c r="P195" s="93"/>
      <c r="S195" s="93"/>
    </row>
    <row r="196" spans="13:19">
      <c r="M196" s="94"/>
      <c r="P196" s="93"/>
      <c r="S196" s="93"/>
    </row>
    <row r="197" spans="13:19">
      <c r="M197" s="94"/>
      <c r="P197" s="93"/>
      <c r="S197" s="93"/>
    </row>
    <row r="198" spans="13:19">
      <c r="M198" s="94"/>
      <c r="P198" s="93"/>
      <c r="S198" s="93"/>
    </row>
    <row r="199" spans="13:19">
      <c r="M199" s="94"/>
      <c r="P199" s="93"/>
      <c r="S199" s="93"/>
    </row>
    <row r="200" spans="13:19">
      <c r="M200" s="94"/>
      <c r="P200" s="93"/>
      <c r="S200" s="93"/>
    </row>
    <row r="201" spans="13:19">
      <c r="M201" s="94"/>
      <c r="P201" s="93"/>
      <c r="S201" s="93"/>
    </row>
    <row r="202" spans="13:19">
      <c r="M202" s="94"/>
      <c r="P202" s="93"/>
      <c r="S202" s="93"/>
    </row>
    <row r="203" spans="13:19">
      <c r="M203" s="94"/>
      <c r="P203" s="93"/>
      <c r="S203" s="93"/>
    </row>
    <row r="204" spans="13:19">
      <c r="M204" s="94"/>
      <c r="P204" s="93"/>
      <c r="S204" s="93"/>
    </row>
    <row r="205" spans="13:19">
      <c r="M205" s="94"/>
      <c r="P205" s="93"/>
      <c r="S205" s="93"/>
    </row>
    <row r="206" spans="13:19">
      <c r="M206" s="94"/>
      <c r="P206" s="93"/>
      <c r="S206" s="93"/>
    </row>
    <row r="207" spans="13:19">
      <c r="M207" s="94"/>
      <c r="P207" s="93"/>
      <c r="S207" s="93"/>
    </row>
    <row r="208" spans="13:19">
      <c r="M208" s="94"/>
      <c r="P208" s="93"/>
      <c r="S208" s="93"/>
    </row>
    <row r="209" spans="13:19">
      <c r="M209" s="94"/>
      <c r="P209" s="93"/>
      <c r="S209" s="93"/>
    </row>
    <row r="210" spans="13:19">
      <c r="M210" s="94"/>
      <c r="P210" s="93"/>
      <c r="S210" s="93"/>
    </row>
    <row r="211" spans="13:19">
      <c r="M211" s="94"/>
      <c r="P211" s="93"/>
      <c r="S211" s="93"/>
    </row>
    <row r="212" spans="13:19">
      <c r="M212" s="94"/>
      <c r="P212" s="93"/>
      <c r="S212" s="93"/>
    </row>
    <row r="213" spans="13:19">
      <c r="M213" s="94"/>
      <c r="P213" s="93"/>
      <c r="S213" s="93"/>
    </row>
    <row r="214" spans="13:19">
      <c r="M214" s="94"/>
      <c r="P214" s="93"/>
      <c r="S214" s="93"/>
    </row>
    <row r="215" spans="13:19">
      <c r="M215" s="94"/>
      <c r="P215" s="93"/>
      <c r="S215" s="93"/>
    </row>
    <row r="216" spans="13:19">
      <c r="M216" s="94"/>
      <c r="P216" s="93"/>
      <c r="S216" s="93"/>
    </row>
    <row r="217" spans="13:19">
      <c r="M217" s="94"/>
      <c r="P217" s="93"/>
      <c r="S217" s="93"/>
    </row>
    <row r="218" spans="13:19">
      <c r="M218" s="94"/>
      <c r="P218" s="93"/>
      <c r="S218" s="93"/>
    </row>
    <row r="219" spans="13:19">
      <c r="M219" s="94"/>
      <c r="P219" s="93"/>
      <c r="S219" s="93"/>
    </row>
    <row r="220" spans="13:19">
      <c r="M220" s="94"/>
      <c r="P220" s="93"/>
      <c r="S220" s="93"/>
    </row>
    <row r="221" spans="13:19">
      <c r="M221" s="94"/>
      <c r="P221" s="93"/>
      <c r="S221" s="93"/>
    </row>
    <row r="222" spans="13:19">
      <c r="M222" s="94"/>
      <c r="P222" s="93"/>
      <c r="S222" s="93"/>
    </row>
    <row r="223" spans="13:19">
      <c r="M223" s="94"/>
      <c r="P223" s="93"/>
      <c r="S223" s="93"/>
    </row>
    <row r="224" spans="13:19">
      <c r="M224" s="94"/>
      <c r="P224" s="93"/>
      <c r="S224" s="93"/>
    </row>
    <row r="225" spans="13:19">
      <c r="M225" s="94"/>
      <c r="P225" s="93"/>
      <c r="S225" s="93"/>
    </row>
    <row r="226" spans="13:19">
      <c r="M226" s="94"/>
      <c r="P226" s="93"/>
      <c r="S226" s="93"/>
    </row>
    <row r="227" spans="13:19">
      <c r="M227" s="94"/>
      <c r="P227" s="93"/>
      <c r="S227" s="93"/>
    </row>
    <row r="228" spans="13:19">
      <c r="M228" s="94"/>
      <c r="P228" s="93"/>
      <c r="S228" s="93"/>
    </row>
    <row r="229" spans="13:19">
      <c r="M229" s="94"/>
      <c r="P229" s="93"/>
      <c r="S229" s="93"/>
    </row>
    <row r="230" spans="13:19">
      <c r="M230" s="94"/>
      <c r="P230" s="93"/>
      <c r="S230" s="93"/>
    </row>
    <row r="231" spans="13:19">
      <c r="M231" s="94"/>
      <c r="P231" s="93"/>
      <c r="S231" s="93"/>
    </row>
    <row r="232" spans="13:19">
      <c r="M232" s="94"/>
      <c r="P232" s="93"/>
      <c r="S232" s="93"/>
    </row>
    <row r="233" spans="13:19">
      <c r="M233" s="94"/>
      <c r="P233" s="93"/>
      <c r="S233" s="93"/>
    </row>
    <row r="234" spans="13:19">
      <c r="M234" s="94"/>
      <c r="P234" s="93"/>
      <c r="S234" s="93"/>
    </row>
    <row r="235" spans="13:19">
      <c r="M235" s="94"/>
      <c r="P235" s="93"/>
      <c r="S235" s="93"/>
    </row>
    <row r="236" spans="13:19">
      <c r="M236" s="94"/>
      <c r="P236" s="93"/>
      <c r="S236" s="93"/>
    </row>
    <row r="237" spans="13:19">
      <c r="M237" s="94"/>
      <c r="P237" s="93"/>
      <c r="S237" s="93"/>
    </row>
    <row r="238" spans="13:19">
      <c r="M238" s="94"/>
      <c r="P238" s="93"/>
      <c r="S238" s="93"/>
    </row>
    <row r="239" spans="13:19">
      <c r="M239" s="94"/>
      <c r="P239" s="93"/>
      <c r="S239" s="93"/>
    </row>
    <row r="240" spans="13:19">
      <c r="M240" s="94"/>
      <c r="P240" s="93"/>
      <c r="S240" s="93"/>
    </row>
    <row r="241" spans="13:19">
      <c r="M241" s="94"/>
      <c r="P241" s="93"/>
      <c r="S241" s="93"/>
    </row>
    <row r="242" spans="13:19">
      <c r="M242" s="94"/>
      <c r="P242" s="93"/>
      <c r="S242" s="93"/>
    </row>
    <row r="243" spans="13:19">
      <c r="M243" s="94"/>
      <c r="P243" s="93"/>
      <c r="S243" s="93"/>
    </row>
    <row r="244" spans="13:19">
      <c r="M244" s="94"/>
      <c r="P244" s="93"/>
      <c r="S244" s="93"/>
    </row>
    <row r="245" spans="13:19">
      <c r="M245" s="94"/>
      <c r="P245" s="93"/>
      <c r="S245" s="93"/>
    </row>
    <row r="246" spans="13:19">
      <c r="M246" s="94"/>
      <c r="P246" s="93"/>
      <c r="S246" s="93"/>
    </row>
    <row r="247" spans="13:19">
      <c r="M247" s="94"/>
      <c r="P247" s="93"/>
      <c r="S247" s="93"/>
    </row>
    <row r="248" spans="13:19">
      <c r="M248" s="94"/>
      <c r="P248" s="93"/>
      <c r="S248" s="93"/>
    </row>
    <row r="249" spans="13:19">
      <c r="M249" s="94"/>
      <c r="P249" s="93"/>
      <c r="S249" s="93"/>
    </row>
    <row r="250" spans="13:19">
      <c r="M250" s="94"/>
      <c r="P250" s="93"/>
      <c r="S250" s="93"/>
    </row>
    <row r="251" spans="13:19">
      <c r="M251" s="94"/>
      <c r="P251" s="93"/>
      <c r="S251" s="93"/>
    </row>
    <row r="252" spans="13:19">
      <c r="M252" s="94"/>
      <c r="P252" s="93"/>
      <c r="S252" s="93"/>
    </row>
    <row r="253" spans="13:19">
      <c r="M253" s="94"/>
      <c r="P253" s="93"/>
      <c r="S253" s="93"/>
    </row>
    <row r="254" spans="13:19">
      <c r="M254" s="94"/>
      <c r="P254" s="93"/>
      <c r="S254" s="93"/>
    </row>
    <row r="255" spans="13:19">
      <c r="M255" s="94"/>
      <c r="P255" s="93"/>
      <c r="S255" s="93"/>
    </row>
    <row r="256" spans="13:19">
      <c r="M256" s="94"/>
      <c r="P256" s="93"/>
      <c r="S256" s="93"/>
    </row>
    <row r="257" spans="13:19">
      <c r="M257" s="94"/>
      <c r="P257" s="93"/>
      <c r="S257" s="93"/>
    </row>
    <row r="258" spans="13:19">
      <c r="M258" s="94"/>
      <c r="P258" s="93"/>
      <c r="S258" s="93"/>
    </row>
    <row r="259" spans="13:19">
      <c r="M259" s="94"/>
      <c r="P259" s="93"/>
      <c r="S259" s="93"/>
    </row>
    <row r="260" spans="13:19">
      <c r="M260" s="94"/>
      <c r="P260" s="93"/>
      <c r="S260" s="93"/>
    </row>
    <row r="261" spans="13:19">
      <c r="M261" s="94"/>
      <c r="P261" s="93"/>
      <c r="S261" s="93"/>
    </row>
    <row r="262" spans="13:19">
      <c r="M262" s="94"/>
      <c r="P262" s="93"/>
      <c r="S262" s="93"/>
    </row>
    <row r="263" spans="13:19">
      <c r="M263" s="94"/>
      <c r="P263" s="93"/>
      <c r="S263" s="93"/>
    </row>
    <row r="264" spans="13:19">
      <c r="M264" s="94"/>
      <c r="P264" s="93"/>
      <c r="S264" s="93"/>
    </row>
    <row r="265" spans="13:19">
      <c r="M265" s="94"/>
      <c r="P265" s="93"/>
      <c r="S265" s="93"/>
    </row>
    <row r="266" spans="13:19">
      <c r="M266" s="94"/>
      <c r="P266" s="93"/>
      <c r="S266" s="93"/>
    </row>
    <row r="267" spans="13:19">
      <c r="M267" s="94"/>
      <c r="P267" s="93"/>
      <c r="S267" s="93"/>
    </row>
    <row r="268" spans="13:19">
      <c r="M268" s="94"/>
      <c r="P268" s="93"/>
      <c r="S268" s="93"/>
    </row>
    <row r="269" spans="13:19">
      <c r="M269" s="94"/>
      <c r="P269" s="93"/>
      <c r="S269" s="93"/>
    </row>
    <row r="270" spans="13:19">
      <c r="M270" s="94"/>
      <c r="P270" s="93"/>
      <c r="S270" s="93"/>
    </row>
    <row r="271" spans="13:19">
      <c r="M271" s="94"/>
      <c r="P271" s="93"/>
      <c r="S271" s="93"/>
    </row>
    <row r="272" spans="13:19">
      <c r="M272" s="94"/>
      <c r="P272" s="93"/>
      <c r="S272" s="93"/>
    </row>
    <row r="273" spans="13:19">
      <c r="M273" s="94"/>
      <c r="P273" s="93"/>
      <c r="S273" s="93"/>
    </row>
    <row r="274" spans="13:19">
      <c r="M274" s="94"/>
      <c r="P274" s="93"/>
      <c r="S274" s="93"/>
    </row>
    <row r="275" spans="13:19">
      <c r="M275" s="94"/>
      <c r="P275" s="93"/>
      <c r="S275" s="93"/>
    </row>
    <row r="276" spans="13:19">
      <c r="M276" s="94"/>
      <c r="P276" s="93"/>
      <c r="S276" s="93"/>
    </row>
    <row r="277" spans="13:19">
      <c r="M277" s="94"/>
      <c r="P277" s="93"/>
      <c r="S277" s="93"/>
    </row>
    <row r="278" spans="13:19">
      <c r="M278" s="94"/>
      <c r="P278" s="93"/>
      <c r="S278" s="93"/>
    </row>
    <row r="279" spans="13:19">
      <c r="M279" s="94"/>
      <c r="P279" s="93"/>
      <c r="S279" s="93"/>
    </row>
    <row r="280" spans="13:19">
      <c r="M280" s="94"/>
      <c r="P280" s="93"/>
      <c r="S280" s="93"/>
    </row>
    <row r="281" spans="13:19">
      <c r="M281" s="94"/>
      <c r="P281" s="93"/>
      <c r="S281" s="93"/>
    </row>
    <row r="282" spans="13:19">
      <c r="M282" s="94"/>
      <c r="P282" s="93"/>
      <c r="S282" s="93"/>
    </row>
    <row r="283" spans="13:19">
      <c r="M283" s="94"/>
      <c r="P283" s="93"/>
      <c r="S283" s="93"/>
    </row>
    <row r="284" spans="13:19">
      <c r="M284" s="94"/>
      <c r="P284" s="93"/>
      <c r="S284" s="93"/>
    </row>
    <row r="285" spans="13:19">
      <c r="M285" s="94"/>
      <c r="P285" s="93"/>
      <c r="S285" s="93"/>
    </row>
    <row r="286" spans="13:19">
      <c r="M286" s="94"/>
      <c r="P286" s="93"/>
      <c r="S286" s="93"/>
    </row>
    <row r="287" spans="13:19">
      <c r="M287" s="94"/>
      <c r="P287" s="93"/>
      <c r="S287" s="93"/>
    </row>
    <row r="288" spans="13:19">
      <c r="M288" s="94"/>
      <c r="P288" s="93"/>
      <c r="S288" s="93"/>
    </row>
    <row r="289" spans="13:19">
      <c r="M289" s="94"/>
      <c r="P289" s="93"/>
      <c r="S289" s="93"/>
    </row>
    <row r="290" spans="13:19">
      <c r="M290" s="94"/>
      <c r="P290" s="93"/>
      <c r="S290" s="93"/>
    </row>
    <row r="291" spans="13:19">
      <c r="M291" s="94"/>
      <c r="P291" s="93"/>
      <c r="S291" s="93"/>
    </row>
    <row r="292" spans="13:19">
      <c r="M292" s="94"/>
      <c r="P292" s="93"/>
      <c r="S292" s="93"/>
    </row>
    <row r="293" spans="13:19">
      <c r="M293" s="94"/>
      <c r="P293" s="93"/>
      <c r="S293" s="93"/>
    </row>
    <row r="294" spans="13:19">
      <c r="M294" s="94"/>
      <c r="P294" s="93"/>
      <c r="S294" s="93"/>
    </row>
    <row r="295" spans="13:19">
      <c r="M295" s="94"/>
      <c r="P295" s="93"/>
      <c r="S295" s="93"/>
    </row>
    <row r="296" spans="13:19">
      <c r="M296" s="94"/>
      <c r="P296" s="93"/>
      <c r="S296" s="93"/>
    </row>
    <row r="297" spans="13:19">
      <c r="M297" s="94"/>
      <c r="P297" s="93"/>
      <c r="S297" s="93"/>
    </row>
    <row r="298" spans="13:19">
      <c r="M298" s="94"/>
      <c r="P298" s="93"/>
      <c r="S298" s="93"/>
    </row>
    <row r="299" spans="13:19">
      <c r="M299" s="94"/>
      <c r="P299" s="93"/>
      <c r="S299" s="93"/>
    </row>
    <row r="300" spans="13:19">
      <c r="M300" s="94"/>
      <c r="P300" s="93"/>
      <c r="S300" s="93"/>
    </row>
    <row r="301" spans="13:19">
      <c r="M301" s="94"/>
      <c r="P301" s="93"/>
      <c r="S301" s="93"/>
    </row>
    <row r="302" spans="13:19">
      <c r="M302" s="94"/>
      <c r="P302" s="93"/>
      <c r="S302" s="93"/>
    </row>
    <row r="303" spans="13:19">
      <c r="M303" s="94"/>
      <c r="P303" s="93"/>
      <c r="S303" s="93"/>
    </row>
    <row r="304" spans="13:19">
      <c r="M304" s="94"/>
      <c r="P304" s="93"/>
      <c r="S304" s="93"/>
    </row>
    <row r="305" spans="13:19">
      <c r="M305" s="94"/>
      <c r="P305" s="93"/>
      <c r="S305" s="93"/>
    </row>
    <row r="306" spans="13:19">
      <c r="M306" s="94"/>
      <c r="P306" s="93"/>
      <c r="S306" s="93"/>
    </row>
    <row r="307" spans="13:19">
      <c r="M307" s="94"/>
      <c r="P307" s="93"/>
      <c r="S307" s="93"/>
    </row>
    <row r="308" spans="13:19">
      <c r="M308" s="94"/>
      <c r="P308" s="93"/>
      <c r="S308" s="93"/>
    </row>
    <row r="309" spans="13:19">
      <c r="M309" s="94"/>
      <c r="P309" s="93"/>
      <c r="S309" s="93"/>
    </row>
    <row r="310" spans="13:19">
      <c r="M310" s="94"/>
      <c r="P310" s="93"/>
      <c r="S310" s="93"/>
    </row>
    <row r="311" spans="13:19">
      <c r="M311" s="94"/>
      <c r="P311" s="93"/>
      <c r="S311" s="93"/>
    </row>
    <row r="312" spans="13:19">
      <c r="M312" s="94"/>
      <c r="P312" s="93"/>
      <c r="S312" s="93"/>
    </row>
    <row r="313" spans="13:19">
      <c r="M313" s="94"/>
      <c r="P313" s="93"/>
      <c r="S313" s="93"/>
    </row>
    <row r="314" spans="13:19">
      <c r="M314" s="94"/>
      <c r="P314" s="93"/>
      <c r="S314" s="93"/>
    </row>
    <row r="315" spans="13:19">
      <c r="M315" s="94"/>
      <c r="P315" s="93"/>
      <c r="S315" s="93"/>
    </row>
    <row r="316" spans="13:19">
      <c r="M316" s="94"/>
      <c r="P316" s="93"/>
      <c r="S316" s="93"/>
    </row>
    <row r="317" spans="13:19">
      <c r="M317" s="94"/>
      <c r="P317" s="93"/>
      <c r="S317" s="93"/>
    </row>
    <row r="318" spans="13:19">
      <c r="M318" s="94"/>
      <c r="P318" s="93"/>
      <c r="S318" s="93"/>
    </row>
    <row r="319" spans="13:19">
      <c r="M319" s="94"/>
      <c r="P319" s="93"/>
      <c r="S319" s="93"/>
    </row>
    <row r="320" spans="13:19">
      <c r="M320" s="94"/>
      <c r="P320" s="93"/>
      <c r="S320" s="93"/>
    </row>
    <row r="321" spans="13:19">
      <c r="M321" s="94"/>
      <c r="P321" s="93"/>
      <c r="S321" s="93"/>
    </row>
    <row r="322" spans="13:19">
      <c r="M322" s="94"/>
      <c r="P322" s="93"/>
      <c r="S322" s="93"/>
    </row>
    <row r="323" spans="13:19">
      <c r="M323" s="94"/>
      <c r="P323" s="93"/>
      <c r="S323" s="93"/>
    </row>
    <row r="324" spans="13:19">
      <c r="M324" s="94"/>
      <c r="P324" s="93"/>
      <c r="S324" s="93"/>
    </row>
    <row r="325" spans="13:19">
      <c r="M325" s="94"/>
      <c r="P325" s="93"/>
      <c r="S325" s="93"/>
    </row>
    <row r="326" spans="13:19">
      <c r="M326" s="94"/>
      <c r="P326" s="93"/>
      <c r="S326" s="93"/>
    </row>
    <row r="327" spans="13:19">
      <c r="M327" s="94"/>
      <c r="P327" s="93"/>
      <c r="S327" s="93"/>
    </row>
    <row r="328" spans="13:19">
      <c r="M328" s="94"/>
      <c r="P328" s="93"/>
      <c r="S328" s="93"/>
    </row>
    <row r="329" spans="13:19">
      <c r="M329" s="94"/>
      <c r="P329" s="93"/>
      <c r="S329" s="93"/>
    </row>
    <row r="330" spans="13:19">
      <c r="M330" s="94"/>
      <c r="P330" s="93"/>
      <c r="S330" s="93"/>
    </row>
    <row r="331" spans="13:19">
      <c r="M331" s="94"/>
      <c r="P331" s="93"/>
      <c r="S331" s="93"/>
    </row>
    <row r="332" spans="13:19">
      <c r="M332" s="94"/>
      <c r="P332" s="93"/>
      <c r="S332" s="93"/>
    </row>
    <row r="333" spans="13:19">
      <c r="M333" s="94"/>
      <c r="P333" s="93"/>
      <c r="S333" s="93"/>
    </row>
    <row r="334" spans="13:19">
      <c r="M334" s="94"/>
      <c r="P334" s="93"/>
      <c r="S334" s="93"/>
    </row>
    <row r="335" spans="13:19">
      <c r="M335" s="94"/>
      <c r="P335" s="93"/>
      <c r="S335" s="93"/>
    </row>
    <row r="336" spans="13:19">
      <c r="M336" s="94"/>
      <c r="P336" s="93"/>
      <c r="S336" s="93"/>
    </row>
    <row r="337" spans="13:19">
      <c r="M337" s="94"/>
      <c r="P337" s="93"/>
      <c r="S337" s="93"/>
    </row>
    <row r="338" spans="13:19">
      <c r="M338" s="94"/>
      <c r="P338" s="93"/>
      <c r="S338" s="93"/>
    </row>
    <row r="339" spans="13:19">
      <c r="M339" s="94"/>
      <c r="P339" s="93"/>
      <c r="S339" s="93"/>
    </row>
    <row r="340" spans="13:19">
      <c r="M340" s="94"/>
      <c r="P340" s="93"/>
      <c r="S340" s="93"/>
    </row>
    <row r="341" spans="13:19">
      <c r="M341" s="94"/>
      <c r="P341" s="93"/>
      <c r="S341" s="93"/>
    </row>
    <row r="342" spans="13:19">
      <c r="M342" s="94"/>
      <c r="P342" s="93"/>
      <c r="S342" s="93"/>
    </row>
    <row r="343" spans="13:19">
      <c r="M343" s="94"/>
      <c r="P343" s="93"/>
      <c r="S343" s="93"/>
    </row>
    <row r="344" spans="13:19">
      <c r="M344" s="94"/>
      <c r="P344" s="93"/>
      <c r="S344" s="93"/>
    </row>
    <row r="345" spans="13:19">
      <c r="M345" s="94"/>
      <c r="P345" s="93"/>
      <c r="S345" s="93"/>
    </row>
    <row r="346" spans="13:19">
      <c r="M346" s="94"/>
      <c r="P346" s="93"/>
      <c r="S346" s="93"/>
    </row>
    <row r="347" spans="13:19">
      <c r="M347" s="94"/>
      <c r="P347" s="93"/>
      <c r="S347" s="93"/>
    </row>
    <row r="348" spans="13:19">
      <c r="M348" s="94"/>
      <c r="P348" s="93"/>
      <c r="S348" s="93"/>
    </row>
    <row r="349" spans="13:19">
      <c r="M349" s="94"/>
      <c r="P349" s="93"/>
      <c r="S349" s="93"/>
    </row>
    <row r="350" spans="13:19">
      <c r="M350" s="94"/>
      <c r="P350" s="93"/>
      <c r="S350" s="93"/>
    </row>
    <row r="351" spans="13:19">
      <c r="M351" s="94"/>
      <c r="P351" s="93"/>
      <c r="S351" s="93"/>
    </row>
    <row r="352" spans="13:19">
      <c r="M352" s="94"/>
      <c r="P352" s="93"/>
      <c r="S352" s="93"/>
    </row>
    <row r="353" spans="13:19">
      <c r="M353" s="94"/>
      <c r="P353" s="93"/>
      <c r="S353" s="93"/>
    </row>
    <row r="354" spans="13:19">
      <c r="M354" s="94"/>
      <c r="P354" s="93"/>
      <c r="S354" s="93"/>
    </row>
    <row r="355" spans="13:19">
      <c r="M355" s="94"/>
      <c r="P355" s="93"/>
      <c r="S355" s="93"/>
    </row>
    <row r="356" spans="13:19">
      <c r="M356" s="94"/>
      <c r="P356" s="93"/>
      <c r="S356" s="93"/>
    </row>
    <row r="357" spans="13:19">
      <c r="M357" s="94"/>
      <c r="P357" s="93"/>
      <c r="S357" s="93"/>
    </row>
    <row r="358" spans="13:19">
      <c r="M358" s="94"/>
      <c r="P358" s="93"/>
      <c r="S358" s="93"/>
    </row>
    <row r="359" spans="13:19">
      <c r="M359" s="94"/>
      <c r="P359" s="93"/>
      <c r="S359" s="93"/>
    </row>
    <row r="360" spans="13:19">
      <c r="M360" s="94"/>
      <c r="P360" s="93"/>
      <c r="S360" s="93"/>
    </row>
    <row r="361" spans="13:19">
      <c r="M361" s="94"/>
      <c r="P361" s="93"/>
      <c r="S361" s="93"/>
    </row>
    <row r="362" spans="13:19">
      <c r="M362" s="94"/>
      <c r="P362" s="93"/>
      <c r="S362" s="93"/>
    </row>
    <row r="363" spans="13:19">
      <c r="M363" s="94"/>
      <c r="P363" s="93"/>
      <c r="S363" s="93"/>
    </row>
    <row r="364" spans="13:19">
      <c r="M364" s="94"/>
      <c r="P364" s="93"/>
      <c r="S364" s="93"/>
    </row>
    <row r="365" spans="13:19">
      <c r="P365" s="93"/>
      <c r="S365" s="93"/>
    </row>
    <row r="366" spans="13:19">
      <c r="P366" s="93"/>
      <c r="S366" s="93"/>
    </row>
    <row r="367" spans="13:19">
      <c r="P367" s="93"/>
      <c r="S367" s="93"/>
    </row>
    <row r="368" spans="13:19">
      <c r="P368" s="93"/>
      <c r="S368" s="93"/>
    </row>
    <row r="369" spans="16:19">
      <c r="P369" s="93"/>
      <c r="S369" s="93"/>
    </row>
    <row r="370" spans="16:19">
      <c r="P370" s="93"/>
      <c r="S370" s="93"/>
    </row>
    <row r="371" spans="16:19">
      <c r="P371" s="93"/>
      <c r="S371" s="93"/>
    </row>
    <row r="372" spans="16:19">
      <c r="P372" s="93"/>
      <c r="S372" s="93"/>
    </row>
    <row r="373" spans="16:19">
      <c r="P373" s="93"/>
      <c r="S373" s="93"/>
    </row>
    <row r="374" spans="16:19">
      <c r="P374" s="93"/>
      <c r="S374" s="93"/>
    </row>
    <row r="375" spans="16:19">
      <c r="P375" s="93"/>
      <c r="S375" s="93"/>
    </row>
    <row r="376" spans="16:19">
      <c r="P376" s="93"/>
      <c r="S376" s="93"/>
    </row>
    <row r="377" spans="16:19">
      <c r="P377" s="93"/>
      <c r="S377" s="93"/>
    </row>
    <row r="378" spans="16:19">
      <c r="P378" s="93"/>
      <c r="S378" s="93"/>
    </row>
    <row r="379" spans="16:19">
      <c r="P379" s="93"/>
      <c r="S379" s="93"/>
    </row>
    <row r="380" spans="16:19">
      <c r="P380" s="93"/>
      <c r="S380" s="93"/>
    </row>
    <row r="381" spans="16:19">
      <c r="P381" s="93"/>
      <c r="S381" s="93"/>
    </row>
    <row r="382" spans="16:19">
      <c r="P382" s="93"/>
      <c r="S382" s="93"/>
    </row>
    <row r="383" spans="16:19">
      <c r="P383" s="93"/>
      <c r="S383" s="93"/>
    </row>
    <row r="384" spans="16:19">
      <c r="P384" s="93"/>
      <c r="S384" s="93"/>
    </row>
    <row r="385" spans="16:19">
      <c r="P385" s="93"/>
      <c r="S385" s="93"/>
    </row>
    <row r="386" spans="16:19">
      <c r="P386" s="93"/>
      <c r="S386" s="93"/>
    </row>
    <row r="387" spans="16:19">
      <c r="P387" s="93"/>
      <c r="S387" s="93"/>
    </row>
    <row r="388" spans="16:19">
      <c r="P388" s="93"/>
      <c r="S388" s="93"/>
    </row>
    <row r="389" spans="16:19">
      <c r="P389" s="93"/>
      <c r="S389" s="93"/>
    </row>
    <row r="390" spans="16:19">
      <c r="P390" s="93"/>
      <c r="S390" s="93"/>
    </row>
    <row r="391" spans="16:19">
      <c r="P391" s="93"/>
      <c r="S391" s="93"/>
    </row>
    <row r="392" spans="16:19">
      <c r="P392" s="93"/>
      <c r="S392" s="93"/>
    </row>
    <row r="393" spans="16:19">
      <c r="P393" s="93"/>
      <c r="S393" s="93"/>
    </row>
    <row r="394" spans="16:19">
      <c r="P394" s="93"/>
      <c r="S394" s="93"/>
    </row>
    <row r="395" spans="16:19">
      <c r="P395" s="93"/>
      <c r="S395" s="93"/>
    </row>
    <row r="396" spans="16:19">
      <c r="P396" s="93"/>
      <c r="S396" s="93"/>
    </row>
    <row r="397" spans="16:19">
      <c r="P397" s="93"/>
      <c r="S397" s="93"/>
    </row>
    <row r="398" spans="16:19">
      <c r="P398" s="93"/>
      <c r="S398" s="93"/>
    </row>
    <row r="399" spans="16:19">
      <c r="P399" s="93"/>
      <c r="S399" s="93"/>
    </row>
    <row r="400" spans="16:19">
      <c r="P400" s="93"/>
      <c r="S400" s="93"/>
    </row>
    <row r="401" spans="16:19">
      <c r="P401" s="93"/>
      <c r="S401" s="93"/>
    </row>
    <row r="402" spans="16:19">
      <c r="P402" s="93"/>
      <c r="S402" s="93"/>
    </row>
    <row r="403" spans="16:19">
      <c r="P403" s="93"/>
      <c r="S403" s="93"/>
    </row>
    <row r="404" spans="16:19">
      <c r="P404" s="93"/>
      <c r="S404" s="93"/>
    </row>
    <row r="405" spans="16:19">
      <c r="P405" s="93"/>
      <c r="S405" s="93"/>
    </row>
    <row r="406" spans="16:19">
      <c r="P406" s="93"/>
      <c r="S406" s="93"/>
    </row>
    <row r="407" spans="16:19">
      <c r="P407" s="93"/>
      <c r="S407" s="93"/>
    </row>
    <row r="408" spans="16:19">
      <c r="P408" s="93"/>
      <c r="S408" s="93"/>
    </row>
    <row r="409" spans="16:19">
      <c r="P409" s="93"/>
      <c r="S409" s="93"/>
    </row>
    <row r="410" spans="16:19">
      <c r="P410" s="93"/>
      <c r="S410" s="93"/>
    </row>
    <row r="411" spans="16:19">
      <c r="P411" s="93"/>
      <c r="S411" s="93"/>
    </row>
    <row r="412" spans="16:19">
      <c r="P412" s="93"/>
      <c r="S412" s="93"/>
    </row>
    <row r="413" spans="16:19">
      <c r="P413" s="93"/>
      <c r="S413" s="93"/>
    </row>
    <row r="414" spans="16:19">
      <c r="P414" s="93"/>
      <c r="S414" s="93"/>
    </row>
    <row r="415" spans="16:19">
      <c r="P415" s="93"/>
      <c r="S415" s="93"/>
    </row>
    <row r="416" spans="16:19">
      <c r="P416" s="93"/>
      <c r="S416" s="93"/>
    </row>
    <row r="417" spans="16:19">
      <c r="P417" s="93"/>
      <c r="S417" s="93"/>
    </row>
    <row r="418" spans="16:19">
      <c r="P418" s="93"/>
      <c r="S418" s="93"/>
    </row>
    <row r="419" spans="16:19">
      <c r="P419" s="93"/>
      <c r="S419" s="93"/>
    </row>
    <row r="420" spans="16:19">
      <c r="P420" s="93"/>
      <c r="S420" s="93"/>
    </row>
    <row r="421" spans="16:19">
      <c r="P421" s="93"/>
      <c r="S421" s="93"/>
    </row>
    <row r="422" spans="16:19">
      <c r="P422" s="93"/>
      <c r="S422" s="93"/>
    </row>
    <row r="423" spans="16:19">
      <c r="P423" s="93"/>
      <c r="S423" s="93"/>
    </row>
    <row r="424" spans="16:19">
      <c r="P424" s="93"/>
      <c r="S424" s="93"/>
    </row>
    <row r="425" spans="16:19">
      <c r="P425" s="93"/>
      <c r="S425" s="93"/>
    </row>
    <row r="426" spans="16:19">
      <c r="P426" s="93"/>
      <c r="S426" s="93"/>
    </row>
    <row r="427" spans="16:19">
      <c r="P427" s="93"/>
      <c r="S427" s="93"/>
    </row>
    <row r="428" spans="16:19">
      <c r="P428" s="93"/>
      <c r="S428" s="93"/>
    </row>
    <row r="429" spans="16:19">
      <c r="P429" s="93"/>
      <c r="S429" s="93"/>
    </row>
    <row r="430" spans="16:19">
      <c r="P430" s="93"/>
      <c r="S430" s="93"/>
    </row>
    <row r="431" spans="16:19">
      <c r="P431" s="93"/>
      <c r="S431" s="93"/>
    </row>
    <row r="432" spans="16:19">
      <c r="P432" s="93"/>
      <c r="S432" s="93"/>
    </row>
    <row r="433" spans="16:19">
      <c r="P433" s="93"/>
      <c r="S433" s="93"/>
    </row>
    <row r="434" spans="16:19">
      <c r="P434" s="93"/>
      <c r="S434" s="93"/>
    </row>
    <row r="435" spans="16:19">
      <c r="P435" s="93"/>
      <c r="S435" s="93"/>
    </row>
    <row r="436" spans="16:19">
      <c r="P436" s="93"/>
      <c r="S436" s="93"/>
    </row>
    <row r="437" spans="16:19">
      <c r="P437" s="93"/>
      <c r="S437" s="93"/>
    </row>
    <row r="438" spans="16:19">
      <c r="P438" s="93"/>
      <c r="S438" s="93"/>
    </row>
    <row r="439" spans="16:19">
      <c r="P439" s="93"/>
      <c r="S439" s="93"/>
    </row>
    <row r="440" spans="16:19">
      <c r="P440" s="93"/>
      <c r="S440" s="93"/>
    </row>
    <row r="441" spans="16:19">
      <c r="P441" s="93"/>
      <c r="S441" s="93"/>
    </row>
    <row r="442" spans="16:19">
      <c r="P442" s="93"/>
      <c r="S442" s="93"/>
    </row>
    <row r="443" spans="16:19">
      <c r="P443" s="93"/>
      <c r="S443" s="93"/>
    </row>
    <row r="444" spans="16:19">
      <c r="P444" s="93"/>
      <c r="S444" s="93"/>
    </row>
    <row r="445" spans="16:19">
      <c r="P445" s="93"/>
      <c r="S445" s="93"/>
    </row>
    <row r="446" spans="16:19">
      <c r="P446" s="93"/>
      <c r="S446" s="93"/>
    </row>
    <row r="447" spans="16:19">
      <c r="P447" s="93"/>
      <c r="S447" s="93"/>
    </row>
    <row r="448" spans="16:19">
      <c r="P448" s="93"/>
      <c r="S448" s="93"/>
    </row>
    <row r="449" spans="16:19">
      <c r="P449" s="93"/>
      <c r="S449" s="93"/>
    </row>
    <row r="450" spans="16:19">
      <c r="P450" s="93"/>
      <c r="S450" s="93"/>
    </row>
    <row r="451" spans="16:19">
      <c r="P451" s="93"/>
      <c r="S451" s="93"/>
    </row>
    <row r="452" spans="16:19">
      <c r="P452" s="93"/>
      <c r="S452" s="93"/>
    </row>
    <row r="453" spans="16:19">
      <c r="P453" s="93"/>
      <c r="S453" s="93"/>
    </row>
    <row r="454" spans="16:19">
      <c r="P454" s="93"/>
      <c r="S454" s="93"/>
    </row>
    <row r="455" spans="16:19">
      <c r="P455" s="93"/>
      <c r="S455" s="93"/>
    </row>
    <row r="456" spans="16:19">
      <c r="P456" s="93"/>
      <c r="S456" s="93"/>
    </row>
    <row r="457" spans="16:19">
      <c r="P457" s="93"/>
      <c r="S457" s="93"/>
    </row>
    <row r="458" spans="16:19">
      <c r="P458" s="93"/>
      <c r="S458" s="93"/>
    </row>
    <row r="459" spans="16:19">
      <c r="P459" s="93"/>
      <c r="S459" s="93"/>
    </row>
    <row r="460" spans="16:19">
      <c r="P460" s="93"/>
      <c r="S460" s="93"/>
    </row>
    <row r="461" spans="16:19">
      <c r="P461" s="93"/>
      <c r="S461" s="93"/>
    </row>
    <row r="462" spans="16:19">
      <c r="P462" s="93"/>
      <c r="S462" s="93"/>
    </row>
    <row r="463" spans="16:19">
      <c r="P463" s="93"/>
      <c r="S463" s="93"/>
    </row>
    <row r="464" spans="16:19">
      <c r="P464" s="93"/>
      <c r="S464" s="93"/>
    </row>
    <row r="465" spans="16:19">
      <c r="P465" s="93"/>
      <c r="S465" s="93"/>
    </row>
    <row r="466" spans="16:19">
      <c r="P466" s="93"/>
      <c r="S466" s="93"/>
    </row>
  </sheetData>
  <mergeCells count="15">
    <mergeCell ref="A109:S109"/>
    <mergeCell ref="A110:S110"/>
    <mergeCell ref="A7:S7"/>
    <mergeCell ref="A8:S8"/>
    <mergeCell ref="A59:S59"/>
    <mergeCell ref="Q4:Q5"/>
    <mergeCell ref="R4:R5"/>
    <mergeCell ref="S4:S5"/>
    <mergeCell ref="O6:S6"/>
    <mergeCell ref="A58:S58"/>
    <mergeCell ref="A4:I6"/>
    <mergeCell ref="J4:M5"/>
    <mergeCell ref="N4:N6"/>
    <mergeCell ref="O4:O5"/>
    <mergeCell ref="P4:P5"/>
  </mergeCells>
  <hyperlinks>
    <hyperlink ref="A1:I1" location="Главная!A1" display="Вернуться на главную страницу" xr:uid="{00000000-0004-0000-1900-000000000000}"/>
    <hyperlink ref="A2" location="'Калькулятор теплоотдач ВК'!R1C1" display="Вернуться Калькулятор теплоотдач ВК" xr:uid="{00000000-0004-0000-1900-000001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Лист28">
    <tabColor rgb="FFFFC000"/>
  </sheetPr>
  <dimension ref="A1:U466"/>
  <sheetViews>
    <sheetView zoomScale="70" zoomScaleNormal="70" workbookViewId="0">
      <pane ySplit="6" topLeftCell="A7" activePane="bottomLeft" state="frozen"/>
      <selection pane="bottomLeft" activeCell="U2" sqref="U2"/>
    </sheetView>
  </sheetViews>
  <sheetFormatPr defaultRowHeight="15.75"/>
  <cols>
    <col min="1" max="1" width="3.7109375" style="7" customWidth="1"/>
    <col min="2" max="2" width="6" style="7" customWidth="1"/>
    <col min="3" max="3" width="3" style="7" customWidth="1"/>
    <col min="4" max="4" width="6" style="7" customWidth="1"/>
    <col min="5" max="5" width="3" style="7" customWidth="1"/>
    <col min="6" max="6" width="7.7109375" style="96" customWidth="1"/>
    <col min="7" max="7" width="3" style="7" customWidth="1"/>
    <col min="8" max="8" width="6" style="7" customWidth="1"/>
    <col min="9" max="9" width="4.5703125" style="7" customWidth="1"/>
    <col min="10" max="10" width="11.28515625" style="7" customWidth="1"/>
    <col min="11" max="12" width="11.28515625" style="96" customWidth="1"/>
    <col min="13" max="13" width="15.5703125" style="1" customWidth="1"/>
    <col min="14" max="14" width="19.140625" style="7" customWidth="1"/>
    <col min="15" max="15" width="27.7109375" style="122" customWidth="1"/>
    <col min="16" max="16" width="27.7109375" style="116" customWidth="1"/>
    <col min="17" max="17" width="26.28515625" style="117" customWidth="1"/>
    <col min="18" max="18" width="27.7109375" style="122" customWidth="1"/>
    <col min="19" max="19" width="27.7109375" style="117" customWidth="1"/>
    <col min="21" max="21" width="22.42578125" customWidth="1"/>
  </cols>
  <sheetData>
    <row r="1" spans="1:21" ht="16.5" customHeight="1">
      <c r="A1" s="1217" t="s">
        <v>9</v>
      </c>
      <c r="B1" s="1217"/>
      <c r="C1" s="1217"/>
      <c r="D1" s="1217"/>
      <c r="E1" s="1217"/>
      <c r="F1" s="97"/>
      <c r="G1" s="1217"/>
      <c r="H1" s="1217"/>
      <c r="I1" s="1217"/>
      <c r="M1" s="175"/>
      <c r="O1" s="117"/>
      <c r="P1" s="117"/>
      <c r="R1" s="117"/>
    </row>
    <row r="2" spans="1:21" s="74" customFormat="1" ht="16.5" customHeight="1">
      <c r="A2" s="956" t="s">
        <v>378</v>
      </c>
      <c r="B2" s="1217"/>
      <c r="C2" s="1217"/>
      <c r="D2" s="1217"/>
      <c r="E2" s="1217"/>
      <c r="F2" s="97"/>
      <c r="G2" s="1217"/>
      <c r="H2" s="1217"/>
      <c r="I2" s="1217"/>
      <c r="J2" s="7"/>
      <c r="K2" s="96"/>
      <c r="L2" s="96"/>
      <c r="M2" s="175"/>
      <c r="N2" s="7"/>
      <c r="O2" s="117"/>
      <c r="P2" s="117"/>
      <c r="Q2" s="117"/>
      <c r="R2" s="117"/>
      <c r="S2" s="117"/>
    </row>
    <row r="3" spans="1:21" s="74" customFormat="1" ht="13.5" customHeight="1" thickBot="1">
      <c r="A3" s="16"/>
      <c r="B3" s="16"/>
      <c r="C3" s="16"/>
      <c r="D3" s="16"/>
      <c r="E3" s="16"/>
      <c r="F3" s="109"/>
      <c r="G3" s="16"/>
      <c r="H3" s="16"/>
      <c r="I3" s="16"/>
      <c r="J3" s="16"/>
      <c r="K3" s="108"/>
      <c r="L3" s="108"/>
      <c r="M3" s="175"/>
      <c r="N3" s="7"/>
      <c r="O3" s="116"/>
      <c r="P3" s="116"/>
      <c r="Q3" s="117"/>
      <c r="R3" s="117"/>
      <c r="S3" s="117"/>
    </row>
    <row r="4" spans="1:21" s="74" customFormat="1" ht="69" customHeight="1">
      <c r="A4" s="2643" t="s">
        <v>8</v>
      </c>
      <c r="B4" s="2644"/>
      <c r="C4" s="2644"/>
      <c r="D4" s="2644"/>
      <c r="E4" s="2644"/>
      <c r="F4" s="2644"/>
      <c r="G4" s="2644"/>
      <c r="H4" s="2644"/>
      <c r="I4" s="2645"/>
      <c r="J4" s="2637" t="s">
        <v>97</v>
      </c>
      <c r="K4" s="2638"/>
      <c r="L4" s="2638"/>
      <c r="M4" s="2639"/>
      <c r="N4" s="2652" t="s">
        <v>96</v>
      </c>
      <c r="O4" s="2655" t="s">
        <v>170</v>
      </c>
      <c r="P4" s="2617" t="s">
        <v>166</v>
      </c>
      <c r="Q4" s="2655" t="s">
        <v>171</v>
      </c>
      <c r="R4" s="2630" t="s">
        <v>460</v>
      </c>
      <c r="S4" s="2590" t="s">
        <v>461</v>
      </c>
    </row>
    <row r="5" spans="1:21" s="74" customFormat="1" ht="72.75" customHeight="1" thickBot="1">
      <c r="A5" s="2646"/>
      <c r="B5" s="2647"/>
      <c r="C5" s="2647"/>
      <c r="D5" s="2647"/>
      <c r="E5" s="2647"/>
      <c r="F5" s="2647"/>
      <c r="G5" s="2647"/>
      <c r="H5" s="2647"/>
      <c r="I5" s="2648"/>
      <c r="J5" s="2640"/>
      <c r="K5" s="2641"/>
      <c r="L5" s="2641"/>
      <c r="M5" s="2642"/>
      <c r="N5" s="2653"/>
      <c r="O5" s="2656"/>
      <c r="P5" s="2618"/>
      <c r="Q5" s="2656"/>
      <c r="R5" s="2631"/>
      <c r="S5" s="2591"/>
    </row>
    <row r="6" spans="1:21" s="74" customFormat="1" ht="61.5" customHeight="1" thickBot="1">
      <c r="A6" s="2649"/>
      <c r="B6" s="2650"/>
      <c r="C6" s="2650"/>
      <c r="D6" s="2650"/>
      <c r="E6" s="2650"/>
      <c r="F6" s="2650"/>
      <c r="G6" s="2650"/>
      <c r="H6" s="2650"/>
      <c r="I6" s="2651"/>
      <c r="J6" s="1223" t="s">
        <v>0</v>
      </c>
      <c r="K6" s="115" t="s">
        <v>1</v>
      </c>
      <c r="L6" s="115" t="s">
        <v>2</v>
      </c>
      <c r="M6" s="180" t="s">
        <v>94</v>
      </c>
      <c r="N6" s="2654"/>
      <c r="O6" s="2634" t="s">
        <v>169</v>
      </c>
      <c r="P6" s="2635"/>
      <c r="Q6" s="2635"/>
      <c r="R6" s="2635"/>
      <c r="S6" s="2636"/>
    </row>
    <row r="7" spans="1:21" ht="22.5" customHeight="1" thickBot="1">
      <c r="A7" s="2580" t="s">
        <v>50</v>
      </c>
      <c r="B7" s="2581"/>
      <c r="C7" s="2581"/>
      <c r="D7" s="2581"/>
      <c r="E7" s="2581"/>
      <c r="F7" s="2581"/>
      <c r="G7" s="2581"/>
      <c r="H7" s="2581"/>
      <c r="I7" s="2581"/>
      <c r="J7" s="2581"/>
      <c r="K7" s="2581"/>
      <c r="L7" s="2581"/>
      <c r="M7" s="2581"/>
      <c r="N7" s="2581"/>
      <c r="O7" s="2581"/>
      <c r="P7" s="2581"/>
      <c r="Q7" s="2581"/>
      <c r="R7" s="2581"/>
      <c r="S7" s="2582"/>
    </row>
    <row r="8" spans="1:21" ht="16.5" thickBot="1">
      <c r="A8" s="2583" t="s">
        <v>139</v>
      </c>
      <c r="B8" s="2584"/>
      <c r="C8" s="2584"/>
      <c r="D8" s="2584"/>
      <c r="E8" s="2584"/>
      <c r="F8" s="2584"/>
      <c r="G8" s="2584"/>
      <c r="H8" s="2584"/>
      <c r="I8" s="2584"/>
      <c r="J8" s="2584"/>
      <c r="K8" s="2584"/>
      <c r="L8" s="2584"/>
      <c r="M8" s="2584"/>
      <c r="N8" s="2584"/>
      <c r="O8" s="2584"/>
      <c r="P8" s="2584"/>
      <c r="Q8" s="2584"/>
      <c r="R8" s="2632"/>
      <c r="S8" s="2633"/>
    </row>
    <row r="9" spans="1:21" ht="16.5" thickBot="1">
      <c r="A9" s="47" t="s">
        <v>35</v>
      </c>
      <c r="B9" s="48">
        <f>J9</f>
        <v>400</v>
      </c>
      <c r="C9" s="48" t="s">
        <v>3</v>
      </c>
      <c r="D9" s="48">
        <f>K9</f>
        <v>260</v>
      </c>
      <c r="E9" s="48" t="s">
        <v>3</v>
      </c>
      <c r="F9" s="99">
        <f>L9</f>
        <v>600</v>
      </c>
      <c r="G9" s="48" t="s">
        <v>3</v>
      </c>
      <c r="H9" s="48">
        <v>4</v>
      </c>
      <c r="I9" s="49" t="s">
        <v>46</v>
      </c>
      <c r="J9" s="181">
        <v>400</v>
      </c>
      <c r="K9" s="143">
        <v>260</v>
      </c>
      <c r="L9" s="143">
        <v>600</v>
      </c>
      <c r="M9" s="201">
        <v>11.595474100560526</v>
      </c>
      <c r="N9" s="144">
        <v>348.88677408075375</v>
      </c>
      <c r="O9" s="145">
        <v>14466.437848743528</v>
      </c>
      <c r="P9" s="198">
        <v>17392.828525243054</v>
      </c>
      <c r="Q9" s="309">
        <v>7536.0353334550891</v>
      </c>
      <c r="R9" s="318">
        <v>22002.473182198617</v>
      </c>
      <c r="S9" s="313">
        <v>24928.863858698143</v>
      </c>
      <c r="U9" s="7" t="s">
        <v>4146</v>
      </c>
    </row>
    <row r="10" spans="1:21" ht="16.5" thickBot="1">
      <c r="A10" s="50" t="s">
        <v>35</v>
      </c>
      <c r="B10" s="51">
        <f t="shared" ref="B10:B57" si="0">J10</f>
        <v>400</v>
      </c>
      <c r="C10" s="51" t="s">
        <v>3</v>
      </c>
      <c r="D10" s="51">
        <f t="shared" ref="D10:D57" si="1">K10</f>
        <v>260</v>
      </c>
      <c r="E10" s="51" t="s">
        <v>3</v>
      </c>
      <c r="F10" s="99">
        <f t="shared" ref="F10:F57" si="2">L10</f>
        <v>650</v>
      </c>
      <c r="G10" s="51" t="s">
        <v>3</v>
      </c>
      <c r="H10" s="48">
        <v>4</v>
      </c>
      <c r="I10" s="49" t="s">
        <v>46</v>
      </c>
      <c r="J10" s="184">
        <v>400</v>
      </c>
      <c r="K10" s="75">
        <v>260</v>
      </c>
      <c r="L10" s="75">
        <v>650</v>
      </c>
      <c r="M10" s="202">
        <v>12.372428170425788</v>
      </c>
      <c r="N10" s="87">
        <v>418.66412889690457</v>
      </c>
      <c r="O10" s="123">
        <v>15218.26073095444</v>
      </c>
      <c r="P10" s="199">
        <v>18328.955666970909</v>
      </c>
      <c r="Q10" s="310">
        <v>7967.645945822027</v>
      </c>
      <c r="R10" s="319">
        <v>23185.906676776467</v>
      </c>
      <c r="S10" s="315">
        <v>26296.601612792936</v>
      </c>
      <c r="U10" s="7" t="s">
        <v>4147</v>
      </c>
    </row>
    <row r="11" spans="1:21" ht="16.5" thickBot="1">
      <c r="A11" s="50" t="s">
        <v>35</v>
      </c>
      <c r="B11" s="51">
        <f t="shared" si="0"/>
        <v>400</v>
      </c>
      <c r="C11" s="51" t="s">
        <v>3</v>
      </c>
      <c r="D11" s="51">
        <f t="shared" si="1"/>
        <v>260</v>
      </c>
      <c r="E11" s="51" t="s">
        <v>3</v>
      </c>
      <c r="F11" s="99">
        <f t="shared" si="2"/>
        <v>700</v>
      </c>
      <c r="G11" s="51" t="s">
        <v>3</v>
      </c>
      <c r="H11" s="48">
        <v>4</v>
      </c>
      <c r="I11" s="49" t="s">
        <v>46</v>
      </c>
      <c r="J11" s="184">
        <v>400</v>
      </c>
      <c r="K11" s="75">
        <v>260</v>
      </c>
      <c r="L11" s="75">
        <v>700</v>
      </c>
      <c r="M11" s="202">
        <v>13.166422240291052</v>
      </c>
      <c r="N11" s="87">
        <v>488.44148371305522</v>
      </c>
      <c r="O11" s="123">
        <v>15970.08347277199</v>
      </c>
      <c r="P11" s="199">
        <v>19265.082808698626</v>
      </c>
      <c r="Q11" s="310">
        <v>8629.8383359722393</v>
      </c>
      <c r="R11" s="319">
        <v>24599.921808744228</v>
      </c>
      <c r="S11" s="315">
        <v>27894.921144670865</v>
      </c>
      <c r="U11" s="7" t="s">
        <v>4148</v>
      </c>
    </row>
    <row r="12" spans="1:21" ht="16.5" thickBot="1">
      <c r="A12" s="50" t="s">
        <v>35</v>
      </c>
      <c r="B12" s="51">
        <f t="shared" si="0"/>
        <v>400</v>
      </c>
      <c r="C12" s="51" t="s">
        <v>3</v>
      </c>
      <c r="D12" s="51">
        <f t="shared" si="1"/>
        <v>260</v>
      </c>
      <c r="E12" s="51" t="s">
        <v>3</v>
      </c>
      <c r="F12" s="99">
        <f t="shared" si="2"/>
        <v>750</v>
      </c>
      <c r="G12" s="51" t="s">
        <v>3</v>
      </c>
      <c r="H12" s="48">
        <v>4</v>
      </c>
      <c r="I12" s="49" t="s">
        <v>46</v>
      </c>
      <c r="J12" s="184">
        <v>400</v>
      </c>
      <c r="K12" s="75">
        <v>260</v>
      </c>
      <c r="L12" s="75">
        <v>750</v>
      </c>
      <c r="M12" s="202">
        <v>13.943376310156316</v>
      </c>
      <c r="N12" s="87">
        <v>558.21883852920598</v>
      </c>
      <c r="O12" s="123">
        <v>16721.906354982904</v>
      </c>
      <c r="P12" s="199">
        <v>20201.209950426342</v>
      </c>
      <c r="Q12" s="310">
        <v>9061.4489483391772</v>
      </c>
      <c r="R12" s="319">
        <v>25783.355303322081</v>
      </c>
      <c r="S12" s="315">
        <v>29262.65889876552</v>
      </c>
      <c r="U12" s="7" t="s">
        <v>4149</v>
      </c>
    </row>
    <row r="13" spans="1:21" ht="16.5" thickBot="1">
      <c r="A13" s="50" t="s">
        <v>35</v>
      </c>
      <c r="B13" s="51">
        <f t="shared" si="0"/>
        <v>400</v>
      </c>
      <c r="C13" s="51" t="s">
        <v>3</v>
      </c>
      <c r="D13" s="51">
        <f t="shared" si="1"/>
        <v>260</v>
      </c>
      <c r="E13" s="51" t="s">
        <v>3</v>
      </c>
      <c r="F13" s="99">
        <f t="shared" si="2"/>
        <v>800</v>
      </c>
      <c r="G13" s="51" t="s">
        <v>3</v>
      </c>
      <c r="H13" s="48">
        <v>4</v>
      </c>
      <c r="I13" s="49" t="s">
        <v>46</v>
      </c>
      <c r="J13" s="184">
        <v>400</v>
      </c>
      <c r="K13" s="75">
        <v>260</v>
      </c>
      <c r="L13" s="75">
        <v>800</v>
      </c>
      <c r="M13" s="202">
        <v>14.720330380021579</v>
      </c>
      <c r="N13" s="87">
        <v>627.9961933453568</v>
      </c>
      <c r="O13" s="123">
        <v>17473.729096800453</v>
      </c>
      <c r="P13" s="199">
        <v>21137.337092154059</v>
      </c>
      <c r="Q13" s="310">
        <v>9493.059560706115</v>
      </c>
      <c r="R13" s="319">
        <v>26966.788657506568</v>
      </c>
      <c r="S13" s="315">
        <v>30630.396652860174</v>
      </c>
      <c r="U13" s="7" t="s">
        <v>4150</v>
      </c>
    </row>
    <row r="14" spans="1:21" ht="16.5" thickBot="1">
      <c r="A14" s="50" t="s">
        <v>35</v>
      </c>
      <c r="B14" s="51">
        <f t="shared" si="0"/>
        <v>400</v>
      </c>
      <c r="C14" s="51" t="s">
        <v>3</v>
      </c>
      <c r="D14" s="51">
        <f t="shared" si="1"/>
        <v>260</v>
      </c>
      <c r="E14" s="51" t="s">
        <v>3</v>
      </c>
      <c r="F14" s="99">
        <f t="shared" si="2"/>
        <v>850</v>
      </c>
      <c r="G14" s="51" t="s">
        <v>3</v>
      </c>
      <c r="H14" s="48">
        <v>4</v>
      </c>
      <c r="I14" s="49" t="s">
        <v>46</v>
      </c>
      <c r="J14" s="184">
        <v>400</v>
      </c>
      <c r="K14" s="75">
        <v>260</v>
      </c>
      <c r="L14" s="75">
        <v>850</v>
      </c>
      <c r="M14" s="202">
        <v>15.514324449886839</v>
      </c>
      <c r="N14" s="87">
        <v>697.77354816150751</v>
      </c>
      <c r="O14" s="123">
        <v>18225.551979011365</v>
      </c>
      <c r="P14" s="199">
        <v>22073.464233881918</v>
      </c>
      <c r="Q14" s="310">
        <v>10155.251950856327</v>
      </c>
      <c r="R14" s="319">
        <v>28380.803929867692</v>
      </c>
      <c r="S14" s="315">
        <v>32228.716184738245</v>
      </c>
      <c r="U14" s="7" t="s">
        <v>4151</v>
      </c>
    </row>
    <row r="15" spans="1:21" ht="16.5" thickBot="1">
      <c r="A15" s="50" t="s">
        <v>35</v>
      </c>
      <c r="B15" s="51">
        <f t="shared" si="0"/>
        <v>400</v>
      </c>
      <c r="C15" s="51" t="s">
        <v>3</v>
      </c>
      <c r="D15" s="51">
        <f t="shared" si="1"/>
        <v>260</v>
      </c>
      <c r="E15" s="51" t="s">
        <v>3</v>
      </c>
      <c r="F15" s="99">
        <f t="shared" si="2"/>
        <v>900</v>
      </c>
      <c r="G15" s="51" t="s">
        <v>3</v>
      </c>
      <c r="H15" s="48">
        <v>4</v>
      </c>
      <c r="I15" s="49" t="s">
        <v>46</v>
      </c>
      <c r="J15" s="184">
        <v>400</v>
      </c>
      <c r="K15" s="75">
        <v>260</v>
      </c>
      <c r="L15" s="75">
        <v>900</v>
      </c>
      <c r="M15" s="202">
        <v>16.291278519752105</v>
      </c>
      <c r="N15" s="87">
        <v>767.55090297765832</v>
      </c>
      <c r="O15" s="123">
        <v>18977.374720828917</v>
      </c>
      <c r="P15" s="199">
        <v>23009.591375609631</v>
      </c>
      <c r="Q15" s="310">
        <v>10586.862563223265</v>
      </c>
      <c r="R15" s="319">
        <v>29564.237284052182</v>
      </c>
      <c r="S15" s="315">
        <v>33596.453938832899</v>
      </c>
      <c r="U15" s="7" t="s">
        <v>4152</v>
      </c>
    </row>
    <row r="16" spans="1:21" ht="16.5" thickBot="1">
      <c r="A16" s="50" t="s">
        <v>35</v>
      </c>
      <c r="B16" s="51">
        <f t="shared" si="0"/>
        <v>400</v>
      </c>
      <c r="C16" s="51" t="s">
        <v>3</v>
      </c>
      <c r="D16" s="51">
        <f t="shared" si="1"/>
        <v>260</v>
      </c>
      <c r="E16" s="51" t="s">
        <v>3</v>
      </c>
      <c r="F16" s="99">
        <f t="shared" si="2"/>
        <v>950</v>
      </c>
      <c r="G16" s="51" t="s">
        <v>3</v>
      </c>
      <c r="H16" s="48">
        <v>4</v>
      </c>
      <c r="I16" s="49" t="s">
        <v>46</v>
      </c>
      <c r="J16" s="184">
        <v>400</v>
      </c>
      <c r="K16" s="75">
        <v>260</v>
      </c>
      <c r="L16" s="75">
        <v>950</v>
      </c>
      <c r="M16" s="202">
        <v>17.085272589617368</v>
      </c>
      <c r="N16" s="87">
        <v>837.32825779380914</v>
      </c>
      <c r="O16" s="123">
        <v>19729.197462646469</v>
      </c>
      <c r="P16" s="199">
        <v>23945.718517337351</v>
      </c>
      <c r="Q16" s="310">
        <v>11249.054953373477</v>
      </c>
      <c r="R16" s="319">
        <v>30978.252416019946</v>
      </c>
      <c r="S16" s="315">
        <v>35194.773470710832</v>
      </c>
      <c r="U16" s="7" t="s">
        <v>4153</v>
      </c>
    </row>
    <row r="17" spans="1:21" ht="16.5" thickBot="1">
      <c r="A17" s="50" t="s">
        <v>35</v>
      </c>
      <c r="B17" s="51">
        <f t="shared" si="0"/>
        <v>400</v>
      </c>
      <c r="C17" s="51" t="s">
        <v>3</v>
      </c>
      <c r="D17" s="51">
        <f t="shared" si="1"/>
        <v>260</v>
      </c>
      <c r="E17" s="51" t="s">
        <v>3</v>
      </c>
      <c r="F17" s="99">
        <f t="shared" si="2"/>
        <v>1000</v>
      </c>
      <c r="G17" s="51" t="s">
        <v>3</v>
      </c>
      <c r="H17" s="48">
        <v>4</v>
      </c>
      <c r="I17" s="49" t="s">
        <v>46</v>
      </c>
      <c r="J17" s="184">
        <v>400</v>
      </c>
      <c r="K17" s="75">
        <v>260</v>
      </c>
      <c r="L17" s="75">
        <v>1000</v>
      </c>
      <c r="M17" s="202">
        <v>17.862226659482634</v>
      </c>
      <c r="N17" s="87">
        <v>907.10561260995985</v>
      </c>
      <c r="O17" s="123">
        <v>20481.020344857377</v>
      </c>
      <c r="P17" s="199">
        <v>24881.845659065064</v>
      </c>
      <c r="Q17" s="310">
        <v>11680.665565740415</v>
      </c>
      <c r="R17" s="319">
        <v>32161.685910597793</v>
      </c>
      <c r="S17" s="315">
        <v>36562.511224805479</v>
      </c>
      <c r="U17" s="7" t="s">
        <v>4154</v>
      </c>
    </row>
    <row r="18" spans="1:21" ht="16.5" thickBot="1">
      <c r="A18" s="50" t="s">
        <v>35</v>
      </c>
      <c r="B18" s="51">
        <f t="shared" si="0"/>
        <v>400</v>
      </c>
      <c r="C18" s="51" t="s">
        <v>3</v>
      </c>
      <c r="D18" s="51">
        <f t="shared" si="1"/>
        <v>260</v>
      </c>
      <c r="E18" s="51" t="s">
        <v>3</v>
      </c>
      <c r="F18" s="99">
        <f t="shared" si="2"/>
        <v>1050</v>
      </c>
      <c r="G18" s="51" t="s">
        <v>3</v>
      </c>
      <c r="H18" s="48">
        <v>4</v>
      </c>
      <c r="I18" s="49" t="s">
        <v>46</v>
      </c>
      <c r="J18" s="184">
        <v>400</v>
      </c>
      <c r="K18" s="75">
        <v>260</v>
      </c>
      <c r="L18" s="75">
        <v>1050</v>
      </c>
      <c r="M18" s="202">
        <v>18.656220729347893</v>
      </c>
      <c r="N18" s="87">
        <v>976.88296742611044</v>
      </c>
      <c r="O18" s="123">
        <v>21232.84308667493</v>
      </c>
      <c r="P18" s="199">
        <v>25817.972800792919</v>
      </c>
      <c r="Q18" s="310">
        <v>12342.857815497266</v>
      </c>
      <c r="R18" s="319">
        <v>33575.700902172197</v>
      </c>
      <c r="S18" s="315">
        <v>38160.830616290186</v>
      </c>
      <c r="U18" s="7" t="s">
        <v>4155</v>
      </c>
    </row>
    <row r="19" spans="1:21" ht="16.5" thickBot="1">
      <c r="A19" s="47" t="s">
        <v>35</v>
      </c>
      <c r="B19" s="48">
        <f t="shared" si="0"/>
        <v>400</v>
      </c>
      <c r="C19" s="48" t="s">
        <v>3</v>
      </c>
      <c r="D19" s="48">
        <f t="shared" si="1"/>
        <v>260</v>
      </c>
      <c r="E19" s="48" t="s">
        <v>3</v>
      </c>
      <c r="F19" s="99">
        <f t="shared" si="2"/>
        <v>1100</v>
      </c>
      <c r="G19" s="48" t="s">
        <v>3</v>
      </c>
      <c r="H19" s="48">
        <v>4</v>
      </c>
      <c r="I19" s="49" t="s">
        <v>46</v>
      </c>
      <c r="J19" s="184">
        <v>400</v>
      </c>
      <c r="K19" s="75">
        <v>260</v>
      </c>
      <c r="L19" s="75">
        <v>1100</v>
      </c>
      <c r="M19" s="202">
        <v>19.433174799213159</v>
      </c>
      <c r="N19" s="87">
        <v>1046.6603222422614</v>
      </c>
      <c r="O19" s="123">
        <v>21984.665968885842</v>
      </c>
      <c r="P19" s="199">
        <v>26754.099942520636</v>
      </c>
      <c r="Q19" s="310">
        <v>12774.468427864203</v>
      </c>
      <c r="R19" s="319">
        <v>34759.134396750043</v>
      </c>
      <c r="S19" s="315">
        <v>39528.568370384841</v>
      </c>
      <c r="U19" s="7" t="s">
        <v>4156</v>
      </c>
    </row>
    <row r="20" spans="1:21" ht="16.5" thickBot="1">
      <c r="A20" s="50" t="s">
        <v>35</v>
      </c>
      <c r="B20" s="51">
        <f t="shared" si="0"/>
        <v>400</v>
      </c>
      <c r="C20" s="51" t="s">
        <v>3</v>
      </c>
      <c r="D20" s="51">
        <f t="shared" si="1"/>
        <v>260</v>
      </c>
      <c r="E20" s="51" t="s">
        <v>3</v>
      </c>
      <c r="F20" s="99">
        <f t="shared" si="2"/>
        <v>1150</v>
      </c>
      <c r="G20" s="51" t="s">
        <v>3</v>
      </c>
      <c r="H20" s="48">
        <v>4</v>
      </c>
      <c r="I20" s="49" t="s">
        <v>46</v>
      </c>
      <c r="J20" s="184">
        <v>400</v>
      </c>
      <c r="K20" s="75">
        <v>260</v>
      </c>
      <c r="L20" s="75">
        <v>1150</v>
      </c>
      <c r="M20" s="202">
        <v>20.210128869078424</v>
      </c>
      <c r="N20" s="87">
        <v>1116.437677058412</v>
      </c>
      <c r="O20" s="123">
        <v>22736.488710703394</v>
      </c>
      <c r="P20" s="199">
        <v>27690.227084248349</v>
      </c>
      <c r="Q20" s="310">
        <v>13206.07904023114</v>
      </c>
      <c r="R20" s="319">
        <v>35942.567750934533</v>
      </c>
      <c r="S20" s="315">
        <v>40896.306124479488</v>
      </c>
      <c r="U20" s="7" t="s">
        <v>4157</v>
      </c>
    </row>
    <row r="21" spans="1:21" ht="16.5" thickBot="1">
      <c r="A21" s="50" t="s">
        <v>35</v>
      </c>
      <c r="B21" s="51">
        <f t="shared" si="0"/>
        <v>400</v>
      </c>
      <c r="C21" s="51" t="s">
        <v>3</v>
      </c>
      <c r="D21" s="51">
        <f t="shared" si="1"/>
        <v>260</v>
      </c>
      <c r="E21" s="51" t="s">
        <v>3</v>
      </c>
      <c r="F21" s="99">
        <f t="shared" si="2"/>
        <v>1200</v>
      </c>
      <c r="G21" s="51" t="s">
        <v>3</v>
      </c>
      <c r="H21" s="48">
        <v>4</v>
      </c>
      <c r="I21" s="49" t="s">
        <v>46</v>
      </c>
      <c r="J21" s="184">
        <v>400</v>
      </c>
      <c r="K21" s="75">
        <v>260</v>
      </c>
      <c r="L21" s="75">
        <v>1200</v>
      </c>
      <c r="M21" s="202">
        <v>21.082622938943686</v>
      </c>
      <c r="N21" s="87">
        <v>1186.2150318745628</v>
      </c>
      <c r="O21" s="123">
        <v>23565.465888423078</v>
      </c>
      <c r="P21" s="199">
        <v>28703.979643806233</v>
      </c>
      <c r="Q21" s="310">
        <v>13868.271430381354</v>
      </c>
      <c r="R21" s="319">
        <v>37433.737318804429</v>
      </c>
      <c r="S21" s="315">
        <v>42572.251074187589</v>
      </c>
      <c r="U21" s="7" t="s">
        <v>4158</v>
      </c>
    </row>
    <row r="22" spans="1:21" ht="16.5" thickBot="1">
      <c r="A22" s="50" t="s">
        <v>35</v>
      </c>
      <c r="B22" s="51">
        <f t="shared" si="0"/>
        <v>400</v>
      </c>
      <c r="C22" s="51" t="s">
        <v>3</v>
      </c>
      <c r="D22" s="51">
        <f t="shared" si="1"/>
        <v>260</v>
      </c>
      <c r="E22" s="51" t="s">
        <v>3</v>
      </c>
      <c r="F22" s="99">
        <f t="shared" si="2"/>
        <v>1250</v>
      </c>
      <c r="G22" s="51" t="s">
        <v>3</v>
      </c>
      <c r="H22" s="48">
        <v>4</v>
      </c>
      <c r="I22" s="49" t="s">
        <v>46</v>
      </c>
      <c r="J22" s="184">
        <v>400</v>
      </c>
      <c r="K22" s="75">
        <v>260</v>
      </c>
      <c r="L22" s="75">
        <v>1250</v>
      </c>
      <c r="M22" s="202">
        <v>21.859577008808948</v>
      </c>
      <c r="N22" s="87">
        <v>1255.9923866907136</v>
      </c>
      <c r="O22" s="123">
        <v>24317.28877063399</v>
      </c>
      <c r="P22" s="199">
        <v>29640.106785533953</v>
      </c>
      <c r="Q22" s="310">
        <v>14299.882042748291</v>
      </c>
      <c r="R22" s="319">
        <v>38617.170813382283</v>
      </c>
      <c r="S22" s="315">
        <v>43939.988828282243</v>
      </c>
      <c r="U22" s="7" t="s">
        <v>4159</v>
      </c>
    </row>
    <row r="23" spans="1:21" ht="16.5" thickBot="1">
      <c r="A23" s="50" t="s">
        <v>35</v>
      </c>
      <c r="B23" s="51">
        <f t="shared" si="0"/>
        <v>400</v>
      </c>
      <c r="C23" s="51" t="s">
        <v>3</v>
      </c>
      <c r="D23" s="51">
        <f t="shared" si="1"/>
        <v>260</v>
      </c>
      <c r="E23" s="51" t="s">
        <v>3</v>
      </c>
      <c r="F23" s="99">
        <f t="shared" si="2"/>
        <v>1300</v>
      </c>
      <c r="G23" s="51" t="s">
        <v>3</v>
      </c>
      <c r="H23" s="48">
        <v>4</v>
      </c>
      <c r="I23" s="49" t="s">
        <v>46</v>
      </c>
      <c r="J23" s="184">
        <v>400</v>
      </c>
      <c r="K23" s="75">
        <v>260</v>
      </c>
      <c r="L23" s="75">
        <v>1300</v>
      </c>
      <c r="M23" s="202">
        <v>22.653571078674211</v>
      </c>
      <c r="N23" s="87">
        <v>1325.7697415068644</v>
      </c>
      <c r="O23" s="123">
        <v>25069.111512451542</v>
      </c>
      <c r="P23" s="199">
        <v>30576.233927261808</v>
      </c>
      <c r="Q23" s="310">
        <v>14962.074432898504</v>
      </c>
      <c r="R23" s="319">
        <v>40031.185945350044</v>
      </c>
      <c r="S23" s="315">
        <v>45538.308360160314</v>
      </c>
      <c r="U23" s="7" t="s">
        <v>4160</v>
      </c>
    </row>
    <row r="24" spans="1:21" ht="16.5" thickBot="1">
      <c r="A24" s="50" t="s">
        <v>35</v>
      </c>
      <c r="B24" s="51">
        <f t="shared" si="0"/>
        <v>400</v>
      </c>
      <c r="C24" s="51" t="s">
        <v>3</v>
      </c>
      <c r="D24" s="51">
        <f t="shared" si="1"/>
        <v>260</v>
      </c>
      <c r="E24" s="51" t="s">
        <v>3</v>
      </c>
      <c r="F24" s="99">
        <f t="shared" si="2"/>
        <v>1350</v>
      </c>
      <c r="G24" s="51" t="s">
        <v>3</v>
      </c>
      <c r="H24" s="48">
        <v>4</v>
      </c>
      <c r="I24" s="49" t="s">
        <v>46</v>
      </c>
      <c r="J24" s="184">
        <v>400</v>
      </c>
      <c r="K24" s="75">
        <v>260</v>
      </c>
      <c r="L24" s="75">
        <v>1350</v>
      </c>
      <c r="M24" s="202">
        <v>23.430525148539473</v>
      </c>
      <c r="N24" s="87">
        <v>1395.547096323015</v>
      </c>
      <c r="O24" s="123">
        <v>25820.934394662454</v>
      </c>
      <c r="P24" s="199">
        <v>31512.361068989521</v>
      </c>
      <c r="Q24" s="310">
        <v>15393.685045265442</v>
      </c>
      <c r="R24" s="319">
        <v>41214.619439927897</v>
      </c>
      <c r="S24" s="315">
        <v>46906.046114254961</v>
      </c>
      <c r="U24" s="7" t="s">
        <v>4161</v>
      </c>
    </row>
    <row r="25" spans="1:21" ht="16.5" thickBot="1">
      <c r="A25" s="50" t="s">
        <v>35</v>
      </c>
      <c r="B25" s="51">
        <f t="shared" si="0"/>
        <v>400</v>
      </c>
      <c r="C25" s="51" t="s">
        <v>3</v>
      </c>
      <c r="D25" s="51">
        <f t="shared" si="1"/>
        <v>260</v>
      </c>
      <c r="E25" s="51" t="s">
        <v>3</v>
      </c>
      <c r="F25" s="99">
        <f t="shared" si="2"/>
        <v>1400</v>
      </c>
      <c r="G25" s="51" t="s">
        <v>3</v>
      </c>
      <c r="H25" s="48">
        <v>4</v>
      </c>
      <c r="I25" s="49" t="s">
        <v>46</v>
      </c>
      <c r="J25" s="184">
        <v>400</v>
      </c>
      <c r="K25" s="75">
        <v>260</v>
      </c>
      <c r="L25" s="75">
        <v>1400</v>
      </c>
      <c r="M25" s="202">
        <v>24.224519218404737</v>
      </c>
      <c r="N25" s="87">
        <v>1465.3244511391658</v>
      </c>
      <c r="O25" s="123">
        <v>26572.757136480006</v>
      </c>
      <c r="P25" s="199">
        <v>32448.488210717238</v>
      </c>
      <c r="Q25" s="310">
        <v>16055.877435415654</v>
      </c>
      <c r="R25" s="319">
        <v>42628.634571895658</v>
      </c>
      <c r="S25" s="315">
        <v>48504.365646132894</v>
      </c>
      <c r="U25" s="7" t="s">
        <v>4162</v>
      </c>
    </row>
    <row r="26" spans="1:21" ht="16.5" thickBot="1">
      <c r="A26" s="50" t="s">
        <v>35</v>
      </c>
      <c r="B26" s="51">
        <f t="shared" si="0"/>
        <v>400</v>
      </c>
      <c r="C26" s="51" t="s">
        <v>3</v>
      </c>
      <c r="D26" s="51">
        <f t="shared" si="1"/>
        <v>260</v>
      </c>
      <c r="E26" s="51" t="s">
        <v>3</v>
      </c>
      <c r="F26" s="99">
        <f t="shared" si="2"/>
        <v>1450</v>
      </c>
      <c r="G26" s="51" t="s">
        <v>3</v>
      </c>
      <c r="H26" s="48">
        <v>4</v>
      </c>
      <c r="I26" s="49" t="s">
        <v>46</v>
      </c>
      <c r="J26" s="184">
        <v>400</v>
      </c>
      <c r="K26" s="75">
        <v>260</v>
      </c>
      <c r="L26" s="75">
        <v>1450</v>
      </c>
      <c r="M26" s="202">
        <v>25.001473288269999</v>
      </c>
      <c r="N26" s="87">
        <v>1535.1018059553166</v>
      </c>
      <c r="O26" s="123">
        <v>27324.579878297554</v>
      </c>
      <c r="P26" s="199">
        <v>33384.615352444955</v>
      </c>
      <c r="Q26" s="310">
        <v>16487.48804778259</v>
      </c>
      <c r="R26" s="319">
        <v>43812.067926080141</v>
      </c>
      <c r="S26" s="315">
        <v>49872.103400227541</v>
      </c>
      <c r="U26" s="7" t="s">
        <v>4163</v>
      </c>
    </row>
    <row r="27" spans="1:21" ht="16.5" thickBot="1">
      <c r="A27" s="50" t="s">
        <v>35</v>
      </c>
      <c r="B27" s="51">
        <f t="shared" si="0"/>
        <v>400</v>
      </c>
      <c r="C27" s="51" t="s">
        <v>3</v>
      </c>
      <c r="D27" s="51">
        <f t="shared" si="1"/>
        <v>260</v>
      </c>
      <c r="E27" s="51" t="s">
        <v>3</v>
      </c>
      <c r="F27" s="99">
        <f t="shared" si="2"/>
        <v>1500</v>
      </c>
      <c r="G27" s="51" t="s">
        <v>3</v>
      </c>
      <c r="H27" s="48">
        <v>4</v>
      </c>
      <c r="I27" s="49" t="s">
        <v>46</v>
      </c>
      <c r="J27" s="184">
        <v>400</v>
      </c>
      <c r="K27" s="75">
        <v>260</v>
      </c>
      <c r="L27" s="75">
        <v>1500</v>
      </c>
      <c r="M27" s="202">
        <v>25.961378210095265</v>
      </c>
      <c r="N27" s="87">
        <v>1604.8791607714672</v>
      </c>
      <c r="O27" s="123">
        <v>28687.74018217358</v>
      </c>
      <c r="P27" s="199">
        <v>34895.04195755213</v>
      </c>
      <c r="Q27" s="310">
        <v>17149.680437932802</v>
      </c>
      <c r="R27" s="319">
        <v>45837.420620106379</v>
      </c>
      <c r="S27" s="315">
        <v>52044.722395484932</v>
      </c>
      <c r="U27" s="7" t="s">
        <v>4164</v>
      </c>
    </row>
    <row r="28" spans="1:21" ht="16.5" thickBot="1">
      <c r="A28" s="50" t="s">
        <v>35</v>
      </c>
      <c r="B28" s="51">
        <f t="shared" si="0"/>
        <v>400</v>
      </c>
      <c r="C28" s="51" t="s">
        <v>3</v>
      </c>
      <c r="D28" s="51">
        <f t="shared" si="1"/>
        <v>260</v>
      </c>
      <c r="E28" s="51" t="s">
        <v>3</v>
      </c>
      <c r="F28" s="99">
        <f t="shared" si="2"/>
        <v>1550</v>
      </c>
      <c r="G28" s="51" t="s">
        <v>3</v>
      </c>
      <c r="H28" s="48">
        <v>4</v>
      </c>
      <c r="I28" s="49" t="s">
        <v>46</v>
      </c>
      <c r="J28" s="184">
        <v>400</v>
      </c>
      <c r="K28" s="75">
        <v>260</v>
      </c>
      <c r="L28" s="75">
        <v>1550</v>
      </c>
      <c r="M28" s="202">
        <v>26.738332279960531</v>
      </c>
      <c r="N28" s="87">
        <v>1674.6565155876183</v>
      </c>
      <c r="O28" s="123">
        <v>29439.562923991132</v>
      </c>
      <c r="P28" s="199">
        <v>35831.169099279847</v>
      </c>
      <c r="Q28" s="310">
        <v>17581.29105029974</v>
      </c>
      <c r="R28" s="319">
        <v>47020.853974290876</v>
      </c>
      <c r="S28" s="315">
        <v>53412.460149579587</v>
      </c>
      <c r="U28" s="7" t="s">
        <v>4165</v>
      </c>
    </row>
    <row r="29" spans="1:21" ht="16.5" thickBot="1">
      <c r="A29" s="47" t="s">
        <v>35</v>
      </c>
      <c r="B29" s="48">
        <f t="shared" si="0"/>
        <v>400</v>
      </c>
      <c r="C29" s="48" t="s">
        <v>3</v>
      </c>
      <c r="D29" s="48">
        <f t="shared" si="1"/>
        <v>260</v>
      </c>
      <c r="E29" s="48" t="s">
        <v>3</v>
      </c>
      <c r="F29" s="99">
        <f t="shared" si="2"/>
        <v>1600</v>
      </c>
      <c r="G29" s="48" t="s">
        <v>3</v>
      </c>
      <c r="H29" s="48">
        <v>4</v>
      </c>
      <c r="I29" s="49" t="s">
        <v>46</v>
      </c>
      <c r="J29" s="184">
        <v>400</v>
      </c>
      <c r="K29" s="75">
        <v>260</v>
      </c>
      <c r="L29" s="75">
        <v>1600</v>
      </c>
      <c r="M29" s="202">
        <v>27.515286349825786</v>
      </c>
      <c r="N29" s="87">
        <v>1744.4338704037689</v>
      </c>
      <c r="O29" s="123">
        <v>30191.385806202044</v>
      </c>
      <c r="P29" s="199">
        <v>36767.296241007702</v>
      </c>
      <c r="Q29" s="310">
        <v>18012.901662666678</v>
      </c>
      <c r="R29" s="319">
        <v>48204.287468868722</v>
      </c>
      <c r="S29" s="315">
        <v>54780.19790367438</v>
      </c>
      <c r="U29" s="7" t="s">
        <v>4166</v>
      </c>
    </row>
    <row r="30" spans="1:21" ht="16.5" thickBot="1">
      <c r="A30" s="50" t="s">
        <v>35</v>
      </c>
      <c r="B30" s="51">
        <f t="shared" si="0"/>
        <v>400</v>
      </c>
      <c r="C30" s="51" t="s">
        <v>3</v>
      </c>
      <c r="D30" s="51">
        <f t="shared" si="1"/>
        <v>260</v>
      </c>
      <c r="E30" s="51" t="s">
        <v>3</v>
      </c>
      <c r="F30" s="99">
        <f t="shared" si="2"/>
        <v>1650</v>
      </c>
      <c r="G30" s="51" t="s">
        <v>3</v>
      </c>
      <c r="H30" s="48">
        <v>4</v>
      </c>
      <c r="I30" s="49" t="s">
        <v>46</v>
      </c>
      <c r="J30" s="184">
        <v>400</v>
      </c>
      <c r="K30" s="75">
        <v>260</v>
      </c>
      <c r="L30" s="75">
        <v>1650</v>
      </c>
      <c r="M30" s="202">
        <v>28.309280419691053</v>
      </c>
      <c r="N30" s="87">
        <v>1814.2112252199197</v>
      </c>
      <c r="O30" s="123">
        <v>30943.208548019596</v>
      </c>
      <c r="P30" s="199">
        <v>37703.423382735418</v>
      </c>
      <c r="Q30" s="310">
        <v>18675.09391242353</v>
      </c>
      <c r="R30" s="319">
        <v>49618.302460443127</v>
      </c>
      <c r="S30" s="315">
        <v>56378.517295158948</v>
      </c>
      <c r="U30" s="7" t="s">
        <v>4167</v>
      </c>
    </row>
    <row r="31" spans="1:21" ht="16.5" thickBot="1">
      <c r="A31" s="50" t="s">
        <v>35</v>
      </c>
      <c r="B31" s="51">
        <f t="shared" si="0"/>
        <v>400</v>
      </c>
      <c r="C31" s="51" t="s">
        <v>3</v>
      </c>
      <c r="D31" s="51">
        <f t="shared" si="1"/>
        <v>260</v>
      </c>
      <c r="E31" s="51" t="s">
        <v>3</v>
      </c>
      <c r="F31" s="99">
        <f t="shared" si="2"/>
        <v>1700</v>
      </c>
      <c r="G31" s="51" t="s">
        <v>3</v>
      </c>
      <c r="H31" s="48">
        <v>4</v>
      </c>
      <c r="I31" s="49" t="s">
        <v>46</v>
      </c>
      <c r="J31" s="184">
        <v>400</v>
      </c>
      <c r="K31" s="75">
        <v>260</v>
      </c>
      <c r="L31" s="75">
        <v>1700</v>
      </c>
      <c r="M31" s="202">
        <v>29.086234489556318</v>
      </c>
      <c r="N31" s="87">
        <v>1883.9885800360703</v>
      </c>
      <c r="O31" s="123">
        <v>31695.031430230509</v>
      </c>
      <c r="P31" s="199">
        <v>38639.550524463135</v>
      </c>
      <c r="Q31" s="310">
        <v>19106.704524790468</v>
      </c>
      <c r="R31" s="319">
        <v>50801.73595502098</v>
      </c>
      <c r="S31" s="315">
        <v>57746.255049253603</v>
      </c>
      <c r="U31" s="7" t="s">
        <v>4168</v>
      </c>
    </row>
    <row r="32" spans="1:21" ht="16.5" thickBot="1">
      <c r="A32" s="50" t="s">
        <v>35</v>
      </c>
      <c r="B32" s="51">
        <f t="shared" si="0"/>
        <v>400</v>
      </c>
      <c r="C32" s="51" t="s">
        <v>3</v>
      </c>
      <c r="D32" s="51">
        <f t="shared" si="1"/>
        <v>260</v>
      </c>
      <c r="E32" s="51" t="s">
        <v>3</v>
      </c>
      <c r="F32" s="99">
        <f t="shared" si="2"/>
        <v>1750</v>
      </c>
      <c r="G32" s="51" t="s">
        <v>3</v>
      </c>
      <c r="H32" s="48">
        <v>4</v>
      </c>
      <c r="I32" s="49" t="s">
        <v>46</v>
      </c>
      <c r="J32" s="184">
        <v>400</v>
      </c>
      <c r="K32" s="75">
        <v>260</v>
      </c>
      <c r="L32" s="75">
        <v>1750</v>
      </c>
      <c r="M32" s="202">
        <v>29.880228559421578</v>
      </c>
      <c r="N32" s="87">
        <v>1953.7659348522209</v>
      </c>
      <c r="O32" s="123">
        <v>32446.854172048053</v>
      </c>
      <c r="P32" s="199">
        <v>39575.677666190852</v>
      </c>
      <c r="Q32" s="310">
        <v>19768.89691494068</v>
      </c>
      <c r="R32" s="319">
        <v>52215.751086988734</v>
      </c>
      <c r="S32" s="315">
        <v>59344.574581131528</v>
      </c>
      <c r="U32" s="7" t="s">
        <v>4169</v>
      </c>
    </row>
    <row r="33" spans="1:21" ht="16.5" thickBot="1">
      <c r="A33" s="50" t="s">
        <v>35</v>
      </c>
      <c r="B33" s="51">
        <f t="shared" si="0"/>
        <v>400</v>
      </c>
      <c r="C33" s="51" t="s">
        <v>3</v>
      </c>
      <c r="D33" s="51">
        <f t="shared" si="1"/>
        <v>260</v>
      </c>
      <c r="E33" s="51" t="s">
        <v>3</v>
      </c>
      <c r="F33" s="99">
        <f t="shared" si="2"/>
        <v>1800</v>
      </c>
      <c r="G33" s="51" t="s">
        <v>3</v>
      </c>
      <c r="H33" s="48">
        <v>4</v>
      </c>
      <c r="I33" s="49" t="s">
        <v>46</v>
      </c>
      <c r="J33" s="184">
        <v>400</v>
      </c>
      <c r="K33" s="75">
        <v>260</v>
      </c>
      <c r="L33" s="75">
        <v>1800</v>
      </c>
      <c r="M33" s="202">
        <v>30.657182629286844</v>
      </c>
      <c r="N33" s="87">
        <v>2023.5432896683717</v>
      </c>
      <c r="O33" s="123">
        <v>33198.677054258973</v>
      </c>
      <c r="P33" s="199">
        <v>40511.804807918707</v>
      </c>
      <c r="Q33" s="310">
        <v>20200.507527307618</v>
      </c>
      <c r="R33" s="319">
        <v>53399.184581566587</v>
      </c>
      <c r="S33" s="315">
        <v>60712.312335226321</v>
      </c>
      <c r="U33" s="7" t="s">
        <v>4170</v>
      </c>
    </row>
    <row r="34" spans="1:21" ht="16.5" thickBot="1">
      <c r="A34" s="50" t="s">
        <v>35</v>
      </c>
      <c r="B34" s="51">
        <f t="shared" si="0"/>
        <v>400</v>
      </c>
      <c r="C34" s="51" t="s">
        <v>3</v>
      </c>
      <c r="D34" s="51">
        <f t="shared" si="1"/>
        <v>260</v>
      </c>
      <c r="E34" s="51" t="s">
        <v>3</v>
      </c>
      <c r="F34" s="99">
        <f t="shared" si="2"/>
        <v>1850</v>
      </c>
      <c r="G34" s="51" t="s">
        <v>3</v>
      </c>
      <c r="H34" s="48">
        <v>4</v>
      </c>
      <c r="I34" s="49" t="s">
        <v>46</v>
      </c>
      <c r="J34" s="184">
        <v>400</v>
      </c>
      <c r="K34" s="75">
        <v>260</v>
      </c>
      <c r="L34" s="75">
        <v>1850</v>
      </c>
      <c r="M34" s="202">
        <v>31.451176699152107</v>
      </c>
      <c r="N34" s="87">
        <v>2093.3206444845227</v>
      </c>
      <c r="O34" s="123">
        <v>33950.499796076518</v>
      </c>
      <c r="P34" s="199">
        <v>41447.931949646423</v>
      </c>
      <c r="Q34" s="310">
        <v>20862.69991745783</v>
      </c>
      <c r="R34" s="319">
        <v>54813.199713534348</v>
      </c>
      <c r="S34" s="315">
        <v>62310.631867104254</v>
      </c>
      <c r="U34" s="7" t="s">
        <v>4171</v>
      </c>
    </row>
    <row r="35" spans="1:21" ht="16.5" thickBot="1">
      <c r="A35" s="50" t="s">
        <v>35</v>
      </c>
      <c r="B35" s="51">
        <f t="shared" si="0"/>
        <v>400</v>
      </c>
      <c r="C35" s="51" t="s">
        <v>3</v>
      </c>
      <c r="D35" s="51">
        <f t="shared" si="1"/>
        <v>260</v>
      </c>
      <c r="E35" s="51" t="s">
        <v>3</v>
      </c>
      <c r="F35" s="99">
        <f t="shared" si="2"/>
        <v>1900</v>
      </c>
      <c r="G35" s="51" t="s">
        <v>3</v>
      </c>
      <c r="H35" s="48">
        <v>4</v>
      </c>
      <c r="I35" s="49" t="s">
        <v>46</v>
      </c>
      <c r="J35" s="184">
        <v>400</v>
      </c>
      <c r="K35" s="75">
        <v>260</v>
      </c>
      <c r="L35" s="75">
        <v>1900</v>
      </c>
      <c r="M35" s="202">
        <v>32.228130769017376</v>
      </c>
      <c r="N35" s="87">
        <v>2163.0979993006736</v>
      </c>
      <c r="O35" s="123">
        <v>34702.322678287434</v>
      </c>
      <c r="P35" s="199">
        <v>42384.05909137414</v>
      </c>
      <c r="Q35" s="310">
        <v>21294.310529824768</v>
      </c>
      <c r="R35" s="319">
        <v>55996.633208112202</v>
      </c>
      <c r="S35" s="315">
        <v>63678.369621198908</v>
      </c>
      <c r="U35" s="7" t="s">
        <v>4172</v>
      </c>
    </row>
    <row r="36" spans="1:21" ht="16.5" thickBot="1">
      <c r="A36" s="50" t="s">
        <v>35</v>
      </c>
      <c r="B36" s="51">
        <f t="shared" si="0"/>
        <v>400</v>
      </c>
      <c r="C36" s="51" t="s">
        <v>3</v>
      </c>
      <c r="D36" s="51">
        <f t="shared" si="1"/>
        <v>260</v>
      </c>
      <c r="E36" s="51" t="s">
        <v>3</v>
      </c>
      <c r="F36" s="99">
        <f t="shared" si="2"/>
        <v>1950</v>
      </c>
      <c r="G36" s="51" t="s">
        <v>3</v>
      </c>
      <c r="H36" s="48">
        <v>4</v>
      </c>
      <c r="I36" s="49" t="s">
        <v>46</v>
      </c>
      <c r="J36" s="184">
        <v>400</v>
      </c>
      <c r="K36" s="75">
        <v>260</v>
      </c>
      <c r="L36" s="75">
        <v>1950</v>
      </c>
      <c r="M36" s="202">
        <v>33.083584838882629</v>
      </c>
      <c r="N36" s="87">
        <v>2232.8753541168239</v>
      </c>
      <c r="O36" s="123">
        <v>35531.299856007121</v>
      </c>
      <c r="P36" s="199">
        <v>43397.811650932017</v>
      </c>
      <c r="Q36" s="310">
        <v>21725.921142191706</v>
      </c>
      <c r="R36" s="319">
        <v>57257.220998198827</v>
      </c>
      <c r="S36" s="315">
        <v>65123.732793123723</v>
      </c>
      <c r="U36" s="7" t="s">
        <v>4173</v>
      </c>
    </row>
    <row r="37" spans="1:21" ht="16.5" thickBot="1">
      <c r="A37" s="50" t="s">
        <v>35</v>
      </c>
      <c r="B37" s="51">
        <f t="shared" si="0"/>
        <v>400</v>
      </c>
      <c r="C37" s="51" t="s">
        <v>3</v>
      </c>
      <c r="D37" s="51">
        <f t="shared" si="1"/>
        <v>260</v>
      </c>
      <c r="E37" s="51" t="s">
        <v>3</v>
      </c>
      <c r="F37" s="99">
        <f t="shared" si="2"/>
        <v>2000</v>
      </c>
      <c r="G37" s="51" t="s">
        <v>3</v>
      </c>
      <c r="H37" s="48">
        <v>4</v>
      </c>
      <c r="I37" s="49" t="s">
        <v>46</v>
      </c>
      <c r="J37" s="184">
        <v>400</v>
      </c>
      <c r="K37" s="75">
        <v>260</v>
      </c>
      <c r="L37" s="75">
        <v>2000</v>
      </c>
      <c r="M37" s="202">
        <v>33.969141308747894</v>
      </c>
      <c r="N37" s="87">
        <v>2302.6527089329752</v>
      </c>
      <c r="O37" s="123">
        <v>36513.665627039896</v>
      </c>
      <c r="P37" s="199">
        <v>44646.619550545984</v>
      </c>
      <c r="Q37" s="310">
        <v>22388.113532341918</v>
      </c>
      <c r="R37" s="319">
        <v>58901.779159381811</v>
      </c>
      <c r="S37" s="315">
        <v>67034.733082887906</v>
      </c>
      <c r="U37" s="7" t="s">
        <v>4174</v>
      </c>
    </row>
    <row r="38" spans="1:21" ht="16.5" thickBot="1">
      <c r="A38" s="50" t="s">
        <v>35</v>
      </c>
      <c r="B38" s="51">
        <f t="shared" si="0"/>
        <v>400</v>
      </c>
      <c r="C38" s="51" t="s">
        <v>3</v>
      </c>
      <c r="D38" s="51">
        <f t="shared" si="1"/>
        <v>260</v>
      </c>
      <c r="E38" s="51" t="s">
        <v>3</v>
      </c>
      <c r="F38" s="99">
        <f t="shared" si="2"/>
        <v>2050</v>
      </c>
      <c r="G38" s="51" t="s">
        <v>3</v>
      </c>
      <c r="H38" s="48">
        <v>4</v>
      </c>
      <c r="I38" s="49" t="s">
        <v>46</v>
      </c>
      <c r="J38" s="184">
        <v>400</v>
      </c>
      <c r="K38" s="75">
        <v>260</v>
      </c>
      <c r="L38" s="75">
        <v>2050</v>
      </c>
      <c r="M38" s="202">
        <v>34.746095378613163</v>
      </c>
      <c r="N38" s="87">
        <v>2372.4300637491256</v>
      </c>
      <c r="O38" s="123">
        <v>37265.488368857441</v>
      </c>
      <c r="P38" s="199">
        <v>45582.7466922737</v>
      </c>
      <c r="Q38" s="310">
        <v>22819.724144708856</v>
      </c>
      <c r="R38" s="319">
        <v>60085.212513566294</v>
      </c>
      <c r="S38" s="315">
        <v>68402.470836982553</v>
      </c>
      <c r="U38" s="7" t="s">
        <v>4175</v>
      </c>
    </row>
    <row r="39" spans="1:21" ht="16.5" thickBot="1">
      <c r="A39" s="47" t="s">
        <v>35</v>
      </c>
      <c r="B39" s="48">
        <f t="shared" si="0"/>
        <v>400</v>
      </c>
      <c r="C39" s="48" t="s">
        <v>3</v>
      </c>
      <c r="D39" s="48">
        <f t="shared" si="1"/>
        <v>260</v>
      </c>
      <c r="E39" s="48" t="s">
        <v>3</v>
      </c>
      <c r="F39" s="99">
        <f t="shared" si="2"/>
        <v>2100</v>
      </c>
      <c r="G39" s="48" t="s">
        <v>3</v>
      </c>
      <c r="H39" s="48">
        <v>4</v>
      </c>
      <c r="I39" s="49" t="s">
        <v>46</v>
      </c>
      <c r="J39" s="184">
        <v>400</v>
      </c>
      <c r="K39" s="75">
        <v>260</v>
      </c>
      <c r="L39" s="75">
        <v>2100</v>
      </c>
      <c r="M39" s="202">
        <v>35.540089448478426</v>
      </c>
      <c r="N39" s="87">
        <v>2442.2074185652764</v>
      </c>
      <c r="O39" s="123">
        <v>38017.311251068357</v>
      </c>
      <c r="P39" s="199">
        <v>46518.87383400141</v>
      </c>
      <c r="Q39" s="310">
        <v>23481.916534859069</v>
      </c>
      <c r="R39" s="319">
        <v>61499.227785927425</v>
      </c>
      <c r="S39" s="315">
        <v>70000.790368860471</v>
      </c>
      <c r="U39" s="7" t="s">
        <v>4176</v>
      </c>
    </row>
    <row r="40" spans="1:21" ht="16.5" thickBot="1">
      <c r="A40" s="50" t="s">
        <v>35</v>
      </c>
      <c r="B40" s="51">
        <f t="shared" si="0"/>
        <v>400</v>
      </c>
      <c r="C40" s="51" t="s">
        <v>3</v>
      </c>
      <c r="D40" s="51">
        <f t="shared" si="1"/>
        <v>260</v>
      </c>
      <c r="E40" s="51" t="s">
        <v>3</v>
      </c>
      <c r="F40" s="99">
        <f t="shared" si="2"/>
        <v>2150</v>
      </c>
      <c r="G40" s="51" t="s">
        <v>3</v>
      </c>
      <c r="H40" s="48">
        <v>4</v>
      </c>
      <c r="I40" s="49" t="s">
        <v>46</v>
      </c>
      <c r="J40" s="184">
        <v>400</v>
      </c>
      <c r="K40" s="75">
        <v>260</v>
      </c>
      <c r="L40" s="75">
        <v>2150</v>
      </c>
      <c r="M40" s="202">
        <v>36.317043518343688</v>
      </c>
      <c r="N40" s="87">
        <v>2511.9847733814272</v>
      </c>
      <c r="O40" s="123">
        <v>38769.133992885909</v>
      </c>
      <c r="P40" s="199">
        <v>47455.000975729265</v>
      </c>
      <c r="Q40" s="310">
        <v>23913.527147226006</v>
      </c>
      <c r="R40" s="319">
        <v>62682.661140111915</v>
      </c>
      <c r="S40" s="315">
        <v>71368.528122955264</v>
      </c>
      <c r="U40" s="7" t="s">
        <v>4177</v>
      </c>
    </row>
    <row r="41" spans="1:21" ht="16.5" thickBot="1">
      <c r="A41" s="50" t="s">
        <v>35</v>
      </c>
      <c r="B41" s="51">
        <f t="shared" si="0"/>
        <v>400</v>
      </c>
      <c r="C41" s="51" t="s">
        <v>3</v>
      </c>
      <c r="D41" s="51">
        <f t="shared" si="1"/>
        <v>260</v>
      </c>
      <c r="E41" s="51" t="s">
        <v>3</v>
      </c>
      <c r="F41" s="99">
        <f t="shared" si="2"/>
        <v>2200</v>
      </c>
      <c r="G41" s="51" t="s">
        <v>3</v>
      </c>
      <c r="H41" s="48">
        <v>4</v>
      </c>
      <c r="I41" s="49" t="s">
        <v>46</v>
      </c>
      <c r="J41" s="184">
        <v>400</v>
      </c>
      <c r="K41" s="75">
        <v>260</v>
      </c>
      <c r="L41" s="75">
        <v>2200</v>
      </c>
      <c r="M41" s="202">
        <v>37.111037588208951</v>
      </c>
      <c r="N41" s="87">
        <v>2581.7621281975776</v>
      </c>
      <c r="O41" s="123">
        <v>39520.956875096825</v>
      </c>
      <c r="P41" s="199">
        <v>48391.128117456989</v>
      </c>
      <c r="Q41" s="310">
        <v>24575.719537376219</v>
      </c>
      <c r="R41" s="319">
        <v>64096.67641247304</v>
      </c>
      <c r="S41" s="315">
        <v>72966.847654833211</v>
      </c>
      <c r="U41" s="7" t="s">
        <v>4178</v>
      </c>
    </row>
    <row r="42" spans="1:21" ht="16.5" thickBot="1">
      <c r="A42" s="50" t="s">
        <v>35</v>
      </c>
      <c r="B42" s="51">
        <f t="shared" si="0"/>
        <v>400</v>
      </c>
      <c r="C42" s="51" t="s">
        <v>3</v>
      </c>
      <c r="D42" s="51">
        <f t="shared" si="1"/>
        <v>260</v>
      </c>
      <c r="E42" s="51" t="s">
        <v>3</v>
      </c>
      <c r="F42" s="99">
        <f t="shared" si="2"/>
        <v>2250</v>
      </c>
      <c r="G42" s="51" t="s">
        <v>3</v>
      </c>
      <c r="H42" s="48">
        <v>4</v>
      </c>
      <c r="I42" s="49" t="s">
        <v>46</v>
      </c>
      <c r="J42" s="184">
        <v>400</v>
      </c>
      <c r="K42" s="75">
        <v>260</v>
      </c>
      <c r="L42" s="75">
        <v>2250</v>
      </c>
      <c r="M42" s="202">
        <v>37.887991658074213</v>
      </c>
      <c r="N42" s="87">
        <v>2651.5394830137288</v>
      </c>
      <c r="O42" s="123">
        <v>40272.779616914369</v>
      </c>
      <c r="P42" s="199">
        <v>49327.255259184705</v>
      </c>
      <c r="Q42" s="310">
        <v>25007.330009349789</v>
      </c>
      <c r="R42" s="319">
        <v>65280.109626264159</v>
      </c>
      <c r="S42" s="315">
        <v>74334.585268534487</v>
      </c>
      <c r="U42" s="7" t="s">
        <v>4179</v>
      </c>
    </row>
    <row r="43" spans="1:21" ht="16.5" thickBot="1">
      <c r="A43" s="50" t="s">
        <v>35</v>
      </c>
      <c r="B43" s="51">
        <f t="shared" si="0"/>
        <v>400</v>
      </c>
      <c r="C43" s="51" t="s">
        <v>3</v>
      </c>
      <c r="D43" s="51">
        <f t="shared" si="1"/>
        <v>260</v>
      </c>
      <c r="E43" s="51" t="s">
        <v>3</v>
      </c>
      <c r="F43" s="99">
        <f t="shared" si="2"/>
        <v>2300</v>
      </c>
      <c r="G43" s="51" t="s">
        <v>3</v>
      </c>
      <c r="H43" s="48">
        <v>4</v>
      </c>
      <c r="I43" s="49" t="s">
        <v>46</v>
      </c>
      <c r="J43" s="184">
        <v>400</v>
      </c>
      <c r="K43" s="75">
        <v>260</v>
      </c>
      <c r="L43" s="75">
        <v>2300</v>
      </c>
      <c r="M43" s="202">
        <v>38.664945727939475</v>
      </c>
      <c r="N43" s="87">
        <v>2721.3168378298792</v>
      </c>
      <c r="O43" s="123">
        <v>41024.602499125147</v>
      </c>
      <c r="P43" s="199">
        <v>50263.38240091256</v>
      </c>
      <c r="Q43" s="310">
        <v>25438.940621716731</v>
      </c>
      <c r="R43" s="319">
        <v>66463.543120841874</v>
      </c>
      <c r="S43" s="315">
        <v>75702.323022629294</v>
      </c>
      <c r="U43" s="7" t="s">
        <v>4180</v>
      </c>
    </row>
    <row r="44" spans="1:21" ht="16.5" thickBot="1">
      <c r="A44" s="50" t="s">
        <v>35</v>
      </c>
      <c r="B44" s="51">
        <f t="shared" si="0"/>
        <v>400</v>
      </c>
      <c r="C44" s="51" t="s">
        <v>3</v>
      </c>
      <c r="D44" s="51">
        <f t="shared" si="1"/>
        <v>260</v>
      </c>
      <c r="E44" s="51" t="s">
        <v>3</v>
      </c>
      <c r="F44" s="99">
        <f t="shared" si="2"/>
        <v>2350</v>
      </c>
      <c r="G44" s="51" t="s">
        <v>3</v>
      </c>
      <c r="H44" s="48">
        <v>4</v>
      </c>
      <c r="I44" s="49" t="s">
        <v>46</v>
      </c>
      <c r="J44" s="184">
        <v>400</v>
      </c>
      <c r="K44" s="75">
        <v>260</v>
      </c>
      <c r="L44" s="75">
        <v>2350</v>
      </c>
      <c r="M44" s="202">
        <v>39.458939797804746</v>
      </c>
      <c r="N44" s="87">
        <v>2791.09419264603</v>
      </c>
      <c r="O44" s="123">
        <v>41776.425240942837</v>
      </c>
      <c r="P44" s="199">
        <v>51199.50954264027</v>
      </c>
      <c r="Q44" s="310">
        <v>26101.133011866939</v>
      </c>
      <c r="R44" s="319">
        <v>67877.558252809773</v>
      </c>
      <c r="S44" s="315">
        <v>77300.642554507212</v>
      </c>
      <c r="U44" s="7" t="s">
        <v>4181</v>
      </c>
    </row>
    <row r="45" spans="1:21" ht="16.5" thickBot="1">
      <c r="A45" s="50" t="s">
        <v>35</v>
      </c>
      <c r="B45" s="51">
        <f t="shared" si="0"/>
        <v>400</v>
      </c>
      <c r="C45" s="51" t="s">
        <v>3</v>
      </c>
      <c r="D45" s="51">
        <f t="shared" si="1"/>
        <v>260</v>
      </c>
      <c r="E45" s="51" t="s">
        <v>3</v>
      </c>
      <c r="F45" s="99">
        <f t="shared" si="2"/>
        <v>2400</v>
      </c>
      <c r="G45" s="51" t="s">
        <v>3</v>
      </c>
      <c r="H45" s="48">
        <v>4</v>
      </c>
      <c r="I45" s="49" t="s">
        <v>46</v>
      </c>
      <c r="J45" s="184">
        <v>400</v>
      </c>
      <c r="K45" s="75">
        <v>260</v>
      </c>
      <c r="L45" s="75">
        <v>2400</v>
      </c>
      <c r="M45" s="202">
        <v>40.235893867670001</v>
      </c>
      <c r="N45" s="87">
        <v>2860.8715474621804</v>
      </c>
      <c r="O45" s="123">
        <v>42528.247982760382</v>
      </c>
      <c r="P45" s="199">
        <v>52135.636684367993</v>
      </c>
      <c r="Q45" s="310">
        <v>26532.743624233881</v>
      </c>
      <c r="R45" s="319">
        <v>69060.99160699427</v>
      </c>
      <c r="S45" s="315">
        <v>78668.380308601874</v>
      </c>
      <c r="U45" s="7" t="s">
        <v>4182</v>
      </c>
    </row>
    <row r="46" spans="1:21" ht="16.5" thickBot="1">
      <c r="A46" s="50" t="s">
        <v>35</v>
      </c>
      <c r="B46" s="51">
        <f t="shared" si="0"/>
        <v>400</v>
      </c>
      <c r="C46" s="51" t="s">
        <v>3</v>
      </c>
      <c r="D46" s="51">
        <f t="shared" si="1"/>
        <v>260</v>
      </c>
      <c r="E46" s="51" t="s">
        <v>3</v>
      </c>
      <c r="F46" s="99">
        <f t="shared" si="2"/>
        <v>2450</v>
      </c>
      <c r="G46" s="51" t="s">
        <v>3</v>
      </c>
      <c r="H46" s="48">
        <v>4</v>
      </c>
      <c r="I46" s="49" t="s">
        <v>46</v>
      </c>
      <c r="J46" s="184">
        <v>400</v>
      </c>
      <c r="K46" s="75">
        <v>260</v>
      </c>
      <c r="L46" s="75">
        <v>2450</v>
      </c>
      <c r="M46" s="202">
        <v>41.195798789495264</v>
      </c>
      <c r="N46" s="87">
        <v>2930.6489022783317</v>
      </c>
      <c r="O46" s="123">
        <v>43891.408286636404</v>
      </c>
      <c r="P46" s="199">
        <v>53646.063289475169</v>
      </c>
      <c r="Q46" s="310">
        <v>27194.936014384097</v>
      </c>
      <c r="R46" s="319">
        <v>71086.344301020494</v>
      </c>
      <c r="S46" s="315">
        <v>80840.999303859266</v>
      </c>
      <c r="U46" s="7" t="s">
        <v>4183</v>
      </c>
    </row>
    <row r="47" spans="1:21" ht="16.5" thickBot="1">
      <c r="A47" s="50" t="s">
        <v>35</v>
      </c>
      <c r="B47" s="51">
        <f t="shared" si="0"/>
        <v>400</v>
      </c>
      <c r="C47" s="51" t="s">
        <v>3</v>
      </c>
      <c r="D47" s="51">
        <f t="shared" si="1"/>
        <v>260</v>
      </c>
      <c r="E47" s="51" t="s">
        <v>3</v>
      </c>
      <c r="F47" s="99">
        <f t="shared" si="2"/>
        <v>2500</v>
      </c>
      <c r="G47" s="51" t="s">
        <v>3</v>
      </c>
      <c r="H47" s="48">
        <v>4</v>
      </c>
      <c r="I47" s="49" t="s">
        <v>46</v>
      </c>
      <c r="J47" s="184">
        <v>400</v>
      </c>
      <c r="K47" s="75">
        <v>260</v>
      </c>
      <c r="L47" s="75">
        <v>2500</v>
      </c>
      <c r="M47" s="202">
        <v>41.972752859360526</v>
      </c>
      <c r="N47" s="87">
        <v>3000.4262570944825</v>
      </c>
      <c r="O47" s="123">
        <v>44643.231028453956</v>
      </c>
      <c r="P47" s="199">
        <v>54582.190431202878</v>
      </c>
      <c r="Q47" s="310">
        <v>27626.546626751031</v>
      </c>
      <c r="R47" s="319">
        <v>72269.777655204991</v>
      </c>
      <c r="S47" s="315">
        <v>82208.737057953913</v>
      </c>
      <c r="U47" s="7" t="s">
        <v>4184</v>
      </c>
    </row>
    <row r="48" spans="1:21" ht="16.5" thickBot="1">
      <c r="A48" s="50" t="s">
        <v>35</v>
      </c>
      <c r="B48" s="51">
        <f t="shared" si="0"/>
        <v>400</v>
      </c>
      <c r="C48" s="51" t="s">
        <v>3</v>
      </c>
      <c r="D48" s="51">
        <f t="shared" si="1"/>
        <v>260</v>
      </c>
      <c r="E48" s="51" t="s">
        <v>3</v>
      </c>
      <c r="F48" s="99">
        <f t="shared" si="2"/>
        <v>2550</v>
      </c>
      <c r="G48" s="51" t="s">
        <v>3</v>
      </c>
      <c r="H48" s="48">
        <v>4</v>
      </c>
      <c r="I48" s="49" t="s">
        <v>46</v>
      </c>
      <c r="J48" s="184">
        <v>400</v>
      </c>
      <c r="K48" s="75">
        <v>260</v>
      </c>
      <c r="L48" s="75">
        <v>2550</v>
      </c>
      <c r="M48" s="202">
        <v>42.766746929225789</v>
      </c>
      <c r="N48" s="87">
        <v>3070.2036119106333</v>
      </c>
      <c r="O48" s="123">
        <v>45395.053910664872</v>
      </c>
      <c r="P48" s="199">
        <v>55518.317572930602</v>
      </c>
      <c r="Q48" s="310">
        <v>28288.739016901247</v>
      </c>
      <c r="R48" s="319">
        <v>73683.792927566115</v>
      </c>
      <c r="S48" s="315">
        <v>83807.056589831845</v>
      </c>
      <c r="U48" s="7" t="s">
        <v>4185</v>
      </c>
    </row>
    <row r="49" spans="1:21" ht="16.5" thickBot="1">
      <c r="A49" s="47" t="s">
        <v>35</v>
      </c>
      <c r="B49" s="48">
        <f t="shared" si="0"/>
        <v>400</v>
      </c>
      <c r="C49" s="48" t="s">
        <v>3</v>
      </c>
      <c r="D49" s="48">
        <f t="shared" si="1"/>
        <v>260</v>
      </c>
      <c r="E49" s="48" t="s">
        <v>3</v>
      </c>
      <c r="F49" s="99">
        <f t="shared" si="2"/>
        <v>2600</v>
      </c>
      <c r="G49" s="48" t="s">
        <v>3</v>
      </c>
      <c r="H49" s="48">
        <v>4</v>
      </c>
      <c r="I49" s="49" t="s">
        <v>46</v>
      </c>
      <c r="J49" s="184">
        <v>400</v>
      </c>
      <c r="K49" s="75">
        <v>260</v>
      </c>
      <c r="L49" s="75">
        <v>2600</v>
      </c>
      <c r="M49" s="202">
        <v>43.543700999091058</v>
      </c>
      <c r="N49" s="87">
        <v>3139.9809667267837</v>
      </c>
      <c r="O49" s="123">
        <v>46146.876652482286</v>
      </c>
      <c r="P49" s="199">
        <v>56454.444714658319</v>
      </c>
      <c r="Q49" s="310">
        <v>28720.349629268181</v>
      </c>
      <c r="R49" s="319">
        <v>74867.226281750467</v>
      </c>
      <c r="S49" s="315">
        <v>85174.794343926507</v>
      </c>
      <c r="U49" s="7" t="s">
        <v>4186</v>
      </c>
    </row>
    <row r="50" spans="1:21" ht="16.5" thickBot="1">
      <c r="A50" s="50" t="s">
        <v>35</v>
      </c>
      <c r="B50" s="51">
        <f t="shared" si="0"/>
        <v>400</v>
      </c>
      <c r="C50" s="51" t="s">
        <v>3</v>
      </c>
      <c r="D50" s="51">
        <f t="shared" si="1"/>
        <v>260</v>
      </c>
      <c r="E50" s="51" t="s">
        <v>3</v>
      </c>
      <c r="F50" s="99">
        <f t="shared" si="2"/>
        <v>2650</v>
      </c>
      <c r="G50" s="51" t="s">
        <v>3</v>
      </c>
      <c r="H50" s="48">
        <v>4</v>
      </c>
      <c r="I50" s="49" t="s">
        <v>46</v>
      </c>
      <c r="J50" s="184">
        <v>400</v>
      </c>
      <c r="K50" s="75">
        <v>260</v>
      </c>
      <c r="L50" s="75">
        <v>2650</v>
      </c>
      <c r="M50" s="202">
        <v>44.337695068956322</v>
      </c>
      <c r="N50" s="87">
        <v>3209.7583215429345</v>
      </c>
      <c r="O50" s="123">
        <v>46898.699534693333</v>
      </c>
      <c r="P50" s="199">
        <v>57390.571856386174</v>
      </c>
      <c r="Q50" s="310">
        <v>29382.542019418397</v>
      </c>
      <c r="R50" s="319">
        <v>76281.241554111737</v>
      </c>
      <c r="S50" s="315">
        <v>86773.113875804571</v>
      </c>
      <c r="U50" s="7" t="s">
        <v>4187</v>
      </c>
    </row>
    <row r="51" spans="1:21" ht="16.5" thickBot="1">
      <c r="A51" s="50" t="s">
        <v>35</v>
      </c>
      <c r="B51" s="51">
        <f t="shared" si="0"/>
        <v>400</v>
      </c>
      <c r="C51" s="51" t="s">
        <v>3</v>
      </c>
      <c r="D51" s="51">
        <f t="shared" si="1"/>
        <v>260</v>
      </c>
      <c r="E51" s="51" t="s">
        <v>3</v>
      </c>
      <c r="F51" s="99">
        <f t="shared" si="2"/>
        <v>2700</v>
      </c>
      <c r="G51" s="51" t="s">
        <v>3</v>
      </c>
      <c r="H51" s="48">
        <v>4</v>
      </c>
      <c r="I51" s="49" t="s">
        <v>46</v>
      </c>
      <c r="J51" s="184">
        <v>400</v>
      </c>
      <c r="K51" s="75">
        <v>260</v>
      </c>
      <c r="L51" s="75">
        <v>2700</v>
      </c>
      <c r="M51" s="202">
        <v>45.193149138821582</v>
      </c>
      <c r="N51" s="87">
        <v>3279.5356763590853</v>
      </c>
      <c r="O51" s="123">
        <v>47727.67671241302</v>
      </c>
      <c r="P51" s="199">
        <v>58404.324415943905</v>
      </c>
      <c r="Q51" s="310">
        <v>29814.152631785331</v>
      </c>
      <c r="R51" s="319">
        <v>77541.829344198355</v>
      </c>
      <c r="S51" s="315">
        <v>88218.477047729233</v>
      </c>
      <c r="U51" s="7" t="s">
        <v>4188</v>
      </c>
    </row>
    <row r="52" spans="1:21" ht="16.5" thickBot="1">
      <c r="A52" s="50" t="s">
        <v>35</v>
      </c>
      <c r="B52" s="51">
        <f t="shared" si="0"/>
        <v>400</v>
      </c>
      <c r="C52" s="51" t="s">
        <v>3</v>
      </c>
      <c r="D52" s="51">
        <f t="shared" si="1"/>
        <v>260</v>
      </c>
      <c r="E52" s="51" t="s">
        <v>3</v>
      </c>
      <c r="F52" s="99">
        <f t="shared" si="2"/>
        <v>2750</v>
      </c>
      <c r="G52" s="51" t="s">
        <v>3</v>
      </c>
      <c r="H52" s="48">
        <v>4</v>
      </c>
      <c r="I52" s="49" t="s">
        <v>46</v>
      </c>
      <c r="J52" s="184">
        <v>400</v>
      </c>
      <c r="K52" s="75">
        <v>260</v>
      </c>
      <c r="L52" s="75">
        <v>2750</v>
      </c>
      <c r="M52" s="202">
        <v>45.970103208686837</v>
      </c>
      <c r="N52" s="87">
        <v>3349.3130311752366</v>
      </c>
      <c r="O52" s="123">
        <v>48479.499454230565</v>
      </c>
      <c r="P52" s="199">
        <v>59340.451557671775</v>
      </c>
      <c r="Q52" s="310">
        <v>30245.763244152273</v>
      </c>
      <c r="R52" s="319">
        <v>78725.262698382838</v>
      </c>
      <c r="S52" s="315">
        <v>89586.21480182404</v>
      </c>
      <c r="U52" s="7" t="s">
        <v>4189</v>
      </c>
    </row>
    <row r="53" spans="1:21" ht="16.5" thickBot="1">
      <c r="A53" s="50" t="s">
        <v>35</v>
      </c>
      <c r="B53" s="51">
        <f t="shared" si="0"/>
        <v>400</v>
      </c>
      <c r="C53" s="51" t="s">
        <v>3</v>
      </c>
      <c r="D53" s="51">
        <f t="shared" si="1"/>
        <v>260</v>
      </c>
      <c r="E53" s="51" t="s">
        <v>3</v>
      </c>
      <c r="F53" s="99">
        <f t="shared" si="2"/>
        <v>2800</v>
      </c>
      <c r="G53" s="51" t="s">
        <v>3</v>
      </c>
      <c r="H53" s="48">
        <v>4</v>
      </c>
      <c r="I53" s="49" t="s">
        <v>46</v>
      </c>
      <c r="J53" s="184">
        <v>400</v>
      </c>
      <c r="K53" s="75">
        <v>260</v>
      </c>
      <c r="L53" s="75">
        <v>2800</v>
      </c>
      <c r="M53" s="202">
        <v>46.7640972785521</v>
      </c>
      <c r="N53" s="87">
        <v>3419.0903859913869</v>
      </c>
      <c r="O53" s="123">
        <v>49231.322336441488</v>
      </c>
      <c r="P53" s="199">
        <v>60276.578699399484</v>
      </c>
      <c r="Q53" s="310">
        <v>30907.955493909118</v>
      </c>
      <c r="R53" s="319">
        <v>80139.277830350606</v>
      </c>
      <c r="S53" s="315">
        <v>91184.534193308602</v>
      </c>
      <c r="U53" s="7" t="s">
        <v>4190</v>
      </c>
    </row>
    <row r="54" spans="1:21" ht="16.5" thickBot="1">
      <c r="A54" s="50" t="s">
        <v>35</v>
      </c>
      <c r="B54" s="51">
        <f t="shared" si="0"/>
        <v>400</v>
      </c>
      <c r="C54" s="51" t="s">
        <v>3</v>
      </c>
      <c r="D54" s="51">
        <f t="shared" si="1"/>
        <v>260</v>
      </c>
      <c r="E54" s="51" t="s">
        <v>3</v>
      </c>
      <c r="F54" s="99">
        <f t="shared" si="2"/>
        <v>2850</v>
      </c>
      <c r="G54" s="51" t="s">
        <v>3</v>
      </c>
      <c r="H54" s="48">
        <v>4</v>
      </c>
      <c r="I54" s="49" t="s">
        <v>46</v>
      </c>
      <c r="J54" s="184">
        <v>400</v>
      </c>
      <c r="K54" s="75">
        <v>260</v>
      </c>
      <c r="L54" s="75">
        <v>2850</v>
      </c>
      <c r="M54" s="202">
        <v>47.541051348417369</v>
      </c>
      <c r="N54" s="87">
        <v>3488.8677408075378</v>
      </c>
      <c r="O54" s="123">
        <v>49983.145078259033</v>
      </c>
      <c r="P54" s="199">
        <v>61212.705841127201</v>
      </c>
      <c r="Q54" s="310">
        <v>31339.566106276056</v>
      </c>
      <c r="R54" s="319">
        <v>81322.711184535088</v>
      </c>
      <c r="S54" s="315">
        <v>92552.271947403264</v>
      </c>
      <c r="U54" s="7" t="s">
        <v>4191</v>
      </c>
    </row>
    <row r="55" spans="1:21" ht="16.5" thickBot="1">
      <c r="A55" s="50" t="s">
        <v>35</v>
      </c>
      <c r="B55" s="51">
        <f t="shared" si="0"/>
        <v>400</v>
      </c>
      <c r="C55" s="51" t="s">
        <v>3</v>
      </c>
      <c r="D55" s="51">
        <f t="shared" si="1"/>
        <v>260</v>
      </c>
      <c r="E55" s="51" t="s">
        <v>3</v>
      </c>
      <c r="F55" s="99">
        <f t="shared" si="2"/>
        <v>2900</v>
      </c>
      <c r="G55" s="51" t="s">
        <v>3</v>
      </c>
      <c r="H55" s="48">
        <v>4</v>
      </c>
      <c r="I55" s="49" t="s">
        <v>46</v>
      </c>
      <c r="J55" s="184">
        <v>400</v>
      </c>
      <c r="K55" s="75">
        <v>260</v>
      </c>
      <c r="L55" s="75">
        <v>2900</v>
      </c>
      <c r="M55" s="202">
        <v>48.335045418282633</v>
      </c>
      <c r="N55" s="87">
        <v>3558.6450956236881</v>
      </c>
      <c r="O55" s="123">
        <v>50734.967960469949</v>
      </c>
      <c r="P55" s="199">
        <v>62148.83298285491</v>
      </c>
      <c r="Q55" s="310">
        <v>32001.758496426271</v>
      </c>
      <c r="R55" s="319">
        <v>82736.726456896227</v>
      </c>
      <c r="S55" s="315">
        <v>94150.591479281182</v>
      </c>
      <c r="U55" s="7" t="s">
        <v>4192</v>
      </c>
    </row>
    <row r="56" spans="1:21" ht="16.5" thickBot="1">
      <c r="A56" s="50" t="s">
        <v>35</v>
      </c>
      <c r="B56" s="51">
        <f t="shared" si="0"/>
        <v>400</v>
      </c>
      <c r="C56" s="51" t="s">
        <v>3</v>
      </c>
      <c r="D56" s="51">
        <f t="shared" si="1"/>
        <v>260</v>
      </c>
      <c r="E56" s="51" t="s">
        <v>3</v>
      </c>
      <c r="F56" s="99">
        <f t="shared" si="2"/>
        <v>2950</v>
      </c>
      <c r="G56" s="51" t="s">
        <v>3</v>
      </c>
      <c r="H56" s="48">
        <v>4</v>
      </c>
      <c r="I56" s="49" t="s">
        <v>46</v>
      </c>
      <c r="J56" s="184">
        <v>400</v>
      </c>
      <c r="K56" s="75">
        <v>260</v>
      </c>
      <c r="L56" s="75">
        <v>2950</v>
      </c>
      <c r="M56" s="202">
        <v>49.111999488147895</v>
      </c>
      <c r="N56" s="87">
        <v>3628.4224504398394</v>
      </c>
      <c r="O56" s="123">
        <v>51486.790702287493</v>
      </c>
      <c r="P56" s="199">
        <v>63084.960124582773</v>
      </c>
      <c r="Q56" s="310">
        <v>32433.369108793206</v>
      </c>
      <c r="R56" s="319">
        <v>83920.159811080695</v>
      </c>
      <c r="S56" s="315">
        <v>95518.329233375975</v>
      </c>
      <c r="U56" s="7" t="s">
        <v>4193</v>
      </c>
    </row>
    <row r="57" spans="1:21" ht="16.5" thickBot="1">
      <c r="A57" s="52" t="s">
        <v>35</v>
      </c>
      <c r="B57" s="53">
        <f t="shared" si="0"/>
        <v>400</v>
      </c>
      <c r="C57" s="53" t="s">
        <v>3</v>
      </c>
      <c r="D57" s="53">
        <f t="shared" si="1"/>
        <v>260</v>
      </c>
      <c r="E57" s="53" t="s">
        <v>3</v>
      </c>
      <c r="F57" s="100">
        <f t="shared" si="2"/>
        <v>3000</v>
      </c>
      <c r="G57" s="53" t="s">
        <v>3</v>
      </c>
      <c r="H57" s="55">
        <v>4</v>
      </c>
      <c r="I57" s="54" t="s">
        <v>46</v>
      </c>
      <c r="J57" s="321">
        <v>400</v>
      </c>
      <c r="K57" s="322">
        <v>260</v>
      </c>
      <c r="L57" s="322">
        <v>3000</v>
      </c>
      <c r="M57" s="305">
        <v>49.905993558013151</v>
      </c>
      <c r="N57" s="306">
        <v>3698.1998052559902</v>
      </c>
      <c r="O57" s="307">
        <v>53413.770890356886</v>
      </c>
      <c r="P57" s="339">
        <v>64021.087266310496</v>
      </c>
      <c r="Q57" s="323">
        <v>33095.561498943418</v>
      </c>
      <c r="R57" s="324">
        <v>86509.332389300311</v>
      </c>
      <c r="S57" s="325">
        <v>97116.648765253922</v>
      </c>
      <c r="U57" s="7" t="s">
        <v>4194</v>
      </c>
    </row>
    <row r="58" spans="1:21" ht="22.5" customHeight="1" thickBot="1">
      <c r="A58" s="2580" t="s">
        <v>48</v>
      </c>
      <c r="B58" s="2581"/>
      <c r="C58" s="2581"/>
      <c r="D58" s="2581"/>
      <c r="E58" s="2581"/>
      <c r="F58" s="2581"/>
      <c r="G58" s="2581"/>
      <c r="H58" s="2581"/>
      <c r="I58" s="2581"/>
      <c r="J58" s="2581"/>
      <c r="K58" s="2581"/>
      <c r="L58" s="2581"/>
      <c r="M58" s="2581"/>
      <c r="N58" s="2581"/>
      <c r="O58" s="2581"/>
      <c r="P58" s="2581"/>
      <c r="Q58" s="2581"/>
      <c r="R58" s="2581"/>
      <c r="S58" s="2582"/>
      <c r="U58" s="7"/>
    </row>
    <row r="59" spans="1:21" ht="16.5" thickBot="1">
      <c r="A59" s="2583" t="s">
        <v>139</v>
      </c>
      <c r="B59" s="2584"/>
      <c r="C59" s="2584"/>
      <c r="D59" s="2584"/>
      <c r="E59" s="2584"/>
      <c r="F59" s="2584"/>
      <c r="G59" s="2584"/>
      <c r="H59" s="2584"/>
      <c r="I59" s="2584"/>
      <c r="J59" s="2584"/>
      <c r="K59" s="2584"/>
      <c r="L59" s="2584"/>
      <c r="M59" s="2584"/>
      <c r="N59" s="2584"/>
      <c r="O59" s="2584"/>
      <c r="P59" s="2584"/>
      <c r="Q59" s="2584"/>
      <c r="R59" s="2584"/>
      <c r="S59" s="2585"/>
      <c r="U59" s="7"/>
    </row>
    <row r="60" spans="1:21" ht="16.5" thickBot="1">
      <c r="A60" s="47" t="s">
        <v>35</v>
      </c>
      <c r="B60" s="48">
        <f>J60</f>
        <v>400</v>
      </c>
      <c r="C60" s="48" t="s">
        <v>3</v>
      </c>
      <c r="D60" s="48">
        <f>K60</f>
        <v>300</v>
      </c>
      <c r="E60" s="48" t="s">
        <v>3</v>
      </c>
      <c r="F60" s="99">
        <f>L60</f>
        <v>600</v>
      </c>
      <c r="G60" s="48" t="s">
        <v>3</v>
      </c>
      <c r="H60" s="48">
        <v>4</v>
      </c>
      <c r="I60" s="49" t="s">
        <v>46</v>
      </c>
      <c r="J60" s="326">
        <v>400</v>
      </c>
      <c r="K60" s="327">
        <v>300</v>
      </c>
      <c r="L60" s="327">
        <v>600</v>
      </c>
      <c r="M60" s="301">
        <v>11.885360953074539</v>
      </c>
      <c r="N60" s="302">
        <v>373.77178000534883</v>
      </c>
      <c r="O60" s="303">
        <v>15189.75975522004</v>
      </c>
      <c r="P60" s="208">
        <v>18436.398236757628</v>
      </c>
      <c r="Q60" s="328">
        <v>8203.3683669666007</v>
      </c>
      <c r="R60" s="329">
        <v>23393.128122186641</v>
      </c>
      <c r="S60" s="330">
        <v>26639.766603724231</v>
      </c>
      <c r="U60" s="7" t="s">
        <v>4195</v>
      </c>
    </row>
    <row r="61" spans="1:21" ht="16.5" thickBot="1">
      <c r="A61" s="50" t="s">
        <v>35</v>
      </c>
      <c r="B61" s="51">
        <f t="shared" ref="B61:B108" si="3">J61</f>
        <v>400</v>
      </c>
      <c r="C61" s="51" t="s">
        <v>3</v>
      </c>
      <c r="D61" s="51">
        <f t="shared" ref="D61:D108" si="4">K61</f>
        <v>300</v>
      </c>
      <c r="E61" s="51" t="s">
        <v>3</v>
      </c>
      <c r="F61" s="99">
        <f t="shared" ref="F61:F108" si="5">L61</f>
        <v>650</v>
      </c>
      <c r="G61" s="51" t="s">
        <v>3</v>
      </c>
      <c r="H61" s="48">
        <v>4</v>
      </c>
      <c r="I61" s="49" t="s">
        <v>46</v>
      </c>
      <c r="J61" s="184">
        <v>400</v>
      </c>
      <c r="K61" s="75">
        <v>300</v>
      </c>
      <c r="L61" s="75">
        <v>650</v>
      </c>
      <c r="M61" s="202">
        <v>12.681738874686433</v>
      </c>
      <c r="N61" s="87">
        <v>448.5261360064186</v>
      </c>
      <c r="O61" s="123">
        <v>15979.17366220714</v>
      </c>
      <c r="P61" s="199">
        <v>19428.69300698916</v>
      </c>
      <c r="Q61" s="310">
        <v>8683.7735348305905</v>
      </c>
      <c r="R61" s="319">
        <v>24662.947197037731</v>
      </c>
      <c r="S61" s="315">
        <v>28112.466541819751</v>
      </c>
      <c r="U61" s="7" t="s">
        <v>4196</v>
      </c>
    </row>
    <row r="62" spans="1:21" ht="16.5" thickBot="1">
      <c r="A62" s="50" t="s">
        <v>35</v>
      </c>
      <c r="B62" s="51">
        <f t="shared" si="3"/>
        <v>400</v>
      </c>
      <c r="C62" s="51" t="s">
        <v>3</v>
      </c>
      <c r="D62" s="51">
        <f t="shared" si="4"/>
        <v>300</v>
      </c>
      <c r="E62" s="51" t="s">
        <v>3</v>
      </c>
      <c r="F62" s="99">
        <f t="shared" si="5"/>
        <v>700</v>
      </c>
      <c r="G62" s="51" t="s">
        <v>3</v>
      </c>
      <c r="H62" s="48">
        <v>4</v>
      </c>
      <c r="I62" s="49" t="s">
        <v>46</v>
      </c>
      <c r="J62" s="184">
        <v>400</v>
      </c>
      <c r="K62" s="75">
        <v>300</v>
      </c>
      <c r="L62" s="75">
        <v>700</v>
      </c>
      <c r="M62" s="202">
        <v>13.495582796298327</v>
      </c>
      <c r="N62" s="87">
        <v>523.28049200748831</v>
      </c>
      <c r="O62" s="123">
        <v>16768.587709587602</v>
      </c>
      <c r="P62" s="199">
        <v>20420.987777220547</v>
      </c>
      <c r="Q62" s="310">
        <v>9394.7606208712132</v>
      </c>
      <c r="R62" s="319">
        <v>26163.348330458815</v>
      </c>
      <c r="S62" s="315">
        <v>29815.74839809176</v>
      </c>
      <c r="U62" s="7" t="s">
        <v>4197</v>
      </c>
    </row>
    <row r="63" spans="1:21" ht="16.5" thickBot="1">
      <c r="A63" s="50" t="s">
        <v>35</v>
      </c>
      <c r="B63" s="51">
        <f t="shared" si="3"/>
        <v>400</v>
      </c>
      <c r="C63" s="51" t="s">
        <v>3</v>
      </c>
      <c r="D63" s="51">
        <f t="shared" si="4"/>
        <v>300</v>
      </c>
      <c r="E63" s="51" t="s">
        <v>3</v>
      </c>
      <c r="F63" s="99">
        <f t="shared" si="5"/>
        <v>750</v>
      </c>
      <c r="G63" s="51" t="s">
        <v>3</v>
      </c>
      <c r="H63" s="48">
        <v>4</v>
      </c>
      <c r="I63" s="49" t="s">
        <v>46</v>
      </c>
      <c r="J63" s="184">
        <v>400</v>
      </c>
      <c r="K63" s="75">
        <v>300</v>
      </c>
      <c r="L63" s="75">
        <v>750</v>
      </c>
      <c r="M63" s="202">
        <v>14.291960717910221</v>
      </c>
      <c r="N63" s="87">
        <v>598.03484800855813</v>
      </c>
      <c r="O63" s="123">
        <v>17558.001616574704</v>
      </c>
      <c r="P63" s="199">
        <v>21413.282547451938</v>
      </c>
      <c r="Q63" s="310">
        <v>9875.165788735203</v>
      </c>
      <c r="R63" s="319">
        <v>27433.167405309905</v>
      </c>
      <c r="S63" s="315">
        <v>31288.448336187139</v>
      </c>
      <c r="U63" s="7" t="s">
        <v>4198</v>
      </c>
    </row>
    <row r="64" spans="1:21" ht="16.5" thickBot="1">
      <c r="A64" s="50" t="s">
        <v>35</v>
      </c>
      <c r="B64" s="51">
        <f t="shared" si="3"/>
        <v>400</v>
      </c>
      <c r="C64" s="51" t="s">
        <v>3</v>
      </c>
      <c r="D64" s="51">
        <f t="shared" si="4"/>
        <v>300</v>
      </c>
      <c r="E64" s="51" t="s">
        <v>3</v>
      </c>
      <c r="F64" s="99">
        <f t="shared" si="5"/>
        <v>800</v>
      </c>
      <c r="G64" s="51" t="s">
        <v>3</v>
      </c>
      <c r="H64" s="48">
        <v>4</v>
      </c>
      <c r="I64" s="49" t="s">
        <v>46</v>
      </c>
      <c r="J64" s="184">
        <v>400</v>
      </c>
      <c r="K64" s="75">
        <v>300</v>
      </c>
      <c r="L64" s="75">
        <v>800</v>
      </c>
      <c r="M64" s="202">
        <v>15.088338639522117</v>
      </c>
      <c r="N64" s="87">
        <v>672.78920400962795</v>
      </c>
      <c r="O64" s="123">
        <v>18347.415523561805</v>
      </c>
      <c r="P64" s="199">
        <v>22405.577317683332</v>
      </c>
      <c r="Q64" s="310">
        <v>10355.570956599189</v>
      </c>
      <c r="R64" s="319">
        <v>28702.986480160995</v>
      </c>
      <c r="S64" s="315">
        <v>32761.148274282521</v>
      </c>
      <c r="U64" s="7" t="s">
        <v>4199</v>
      </c>
    </row>
    <row r="65" spans="1:21" ht="16.5" thickBot="1">
      <c r="A65" s="50" t="s">
        <v>35</v>
      </c>
      <c r="B65" s="51">
        <f t="shared" si="3"/>
        <v>400</v>
      </c>
      <c r="C65" s="51" t="s">
        <v>3</v>
      </c>
      <c r="D65" s="51">
        <f t="shared" si="4"/>
        <v>300</v>
      </c>
      <c r="E65" s="51" t="s">
        <v>3</v>
      </c>
      <c r="F65" s="99">
        <f t="shared" si="5"/>
        <v>850</v>
      </c>
      <c r="G65" s="51" t="s">
        <v>3</v>
      </c>
      <c r="H65" s="48">
        <v>4</v>
      </c>
      <c r="I65" s="49" t="s">
        <v>46</v>
      </c>
      <c r="J65" s="184">
        <v>400</v>
      </c>
      <c r="K65" s="75">
        <v>300</v>
      </c>
      <c r="L65" s="75">
        <v>850</v>
      </c>
      <c r="M65" s="202">
        <v>15.902182561134008</v>
      </c>
      <c r="N65" s="87">
        <v>747.54356001069766</v>
      </c>
      <c r="O65" s="123">
        <v>19136.829570942267</v>
      </c>
      <c r="P65" s="199">
        <v>23397.872087914722</v>
      </c>
      <c r="Q65" s="310">
        <v>11066.558042639816</v>
      </c>
      <c r="R65" s="319">
        <v>30203.387613582083</v>
      </c>
      <c r="S65" s="315">
        <v>34464.430130554538</v>
      </c>
      <c r="U65" s="7" t="s">
        <v>4200</v>
      </c>
    </row>
    <row r="66" spans="1:21" ht="16.5" thickBot="1">
      <c r="A66" s="50" t="s">
        <v>35</v>
      </c>
      <c r="B66" s="51">
        <f t="shared" si="3"/>
        <v>400</v>
      </c>
      <c r="C66" s="51" t="s">
        <v>3</v>
      </c>
      <c r="D66" s="51">
        <f t="shared" si="4"/>
        <v>300</v>
      </c>
      <c r="E66" s="51" t="s">
        <v>3</v>
      </c>
      <c r="F66" s="99">
        <f t="shared" si="5"/>
        <v>900</v>
      </c>
      <c r="G66" s="51" t="s">
        <v>3</v>
      </c>
      <c r="H66" s="48">
        <v>4</v>
      </c>
      <c r="I66" s="49" t="s">
        <v>46</v>
      </c>
      <c r="J66" s="184">
        <v>400</v>
      </c>
      <c r="K66" s="75">
        <v>300</v>
      </c>
      <c r="L66" s="75">
        <v>900</v>
      </c>
      <c r="M66" s="202">
        <v>16.698560482745904</v>
      </c>
      <c r="N66" s="87">
        <v>822.29791601176748</v>
      </c>
      <c r="O66" s="123">
        <v>19926.243477929365</v>
      </c>
      <c r="P66" s="199">
        <v>24390.166858146251</v>
      </c>
      <c r="Q66" s="310">
        <v>11546.963210503804</v>
      </c>
      <c r="R66" s="319">
        <v>31473.206688433169</v>
      </c>
      <c r="S66" s="315">
        <v>35937.130068650054</v>
      </c>
      <c r="U66" s="7" t="s">
        <v>4201</v>
      </c>
    </row>
    <row r="67" spans="1:21" ht="16.5" thickBot="1">
      <c r="A67" s="50" t="s">
        <v>35</v>
      </c>
      <c r="B67" s="51">
        <f t="shared" si="3"/>
        <v>400</v>
      </c>
      <c r="C67" s="51" t="s">
        <v>3</v>
      </c>
      <c r="D67" s="51">
        <f t="shared" si="4"/>
        <v>300</v>
      </c>
      <c r="E67" s="51" t="s">
        <v>3</v>
      </c>
      <c r="F67" s="99">
        <f t="shared" si="5"/>
        <v>950</v>
      </c>
      <c r="G67" s="51" t="s">
        <v>3</v>
      </c>
      <c r="H67" s="48">
        <v>4</v>
      </c>
      <c r="I67" s="49" t="s">
        <v>46</v>
      </c>
      <c r="J67" s="184">
        <v>400</v>
      </c>
      <c r="K67" s="75">
        <v>300</v>
      </c>
      <c r="L67" s="75">
        <v>950</v>
      </c>
      <c r="M67" s="202">
        <v>17.512404404357802</v>
      </c>
      <c r="N67" s="87">
        <v>897.05227201283719</v>
      </c>
      <c r="O67" s="123">
        <v>20715.657384916467</v>
      </c>
      <c r="P67" s="199">
        <v>25382.461628377641</v>
      </c>
      <c r="Q67" s="310">
        <v>12257.950156151066</v>
      </c>
      <c r="R67" s="319">
        <v>32973.607541067533</v>
      </c>
      <c r="S67" s="315">
        <v>37640.411784528711</v>
      </c>
      <c r="U67" s="7" t="s">
        <v>4202</v>
      </c>
    </row>
    <row r="68" spans="1:21" ht="16.5" thickBot="1">
      <c r="A68" s="50" t="s">
        <v>35</v>
      </c>
      <c r="B68" s="51">
        <f t="shared" si="3"/>
        <v>400</v>
      </c>
      <c r="C68" s="51" t="s">
        <v>3</v>
      </c>
      <c r="D68" s="51">
        <f t="shared" si="4"/>
        <v>300</v>
      </c>
      <c r="E68" s="51" t="s">
        <v>3</v>
      </c>
      <c r="F68" s="99">
        <f t="shared" si="5"/>
        <v>1000</v>
      </c>
      <c r="G68" s="51" t="s">
        <v>3</v>
      </c>
      <c r="H68" s="48">
        <v>4</v>
      </c>
      <c r="I68" s="49" t="s">
        <v>46</v>
      </c>
      <c r="J68" s="184">
        <v>400</v>
      </c>
      <c r="K68" s="75">
        <v>300</v>
      </c>
      <c r="L68" s="75">
        <v>1000</v>
      </c>
      <c r="M68" s="202">
        <v>18.308782325969698</v>
      </c>
      <c r="N68" s="87">
        <v>971.80662801390702</v>
      </c>
      <c r="O68" s="123">
        <v>21505.071291903569</v>
      </c>
      <c r="P68" s="199">
        <v>26374.756398608894</v>
      </c>
      <c r="Q68" s="310">
        <v>12738.355464408416</v>
      </c>
      <c r="R68" s="319">
        <v>34243.426756311987</v>
      </c>
      <c r="S68" s="315">
        <v>39113.111863017308</v>
      </c>
      <c r="U68" s="7" t="s">
        <v>4203</v>
      </c>
    </row>
    <row r="69" spans="1:21" ht="16.5" thickBot="1">
      <c r="A69" s="50" t="s">
        <v>35</v>
      </c>
      <c r="B69" s="51">
        <f t="shared" si="3"/>
        <v>400</v>
      </c>
      <c r="C69" s="51" t="s">
        <v>3</v>
      </c>
      <c r="D69" s="51">
        <f t="shared" si="4"/>
        <v>300</v>
      </c>
      <c r="E69" s="51" t="s">
        <v>3</v>
      </c>
      <c r="F69" s="99">
        <f t="shared" si="5"/>
        <v>1050</v>
      </c>
      <c r="G69" s="51" t="s">
        <v>3</v>
      </c>
      <c r="H69" s="48">
        <v>4</v>
      </c>
      <c r="I69" s="49" t="s">
        <v>46</v>
      </c>
      <c r="J69" s="184">
        <v>400</v>
      </c>
      <c r="K69" s="75">
        <v>300</v>
      </c>
      <c r="L69" s="75">
        <v>1050</v>
      </c>
      <c r="M69" s="202">
        <v>19.122626247581589</v>
      </c>
      <c r="N69" s="87">
        <v>1046.5609840149766</v>
      </c>
      <c r="O69" s="123">
        <v>22294.48533928403</v>
      </c>
      <c r="P69" s="199">
        <v>27367.051168840422</v>
      </c>
      <c r="Q69" s="310">
        <v>13449.342410055679</v>
      </c>
      <c r="R69" s="319">
        <v>35743.827749339711</v>
      </c>
      <c r="S69" s="315">
        <v>40816.393578896103</v>
      </c>
      <c r="U69" s="7" t="s">
        <v>4204</v>
      </c>
    </row>
    <row r="70" spans="1:21" ht="16.5" thickBot="1">
      <c r="A70" s="47" t="s">
        <v>35</v>
      </c>
      <c r="B70" s="48">
        <f t="shared" si="3"/>
        <v>400</v>
      </c>
      <c r="C70" s="48" t="s">
        <v>3</v>
      </c>
      <c r="D70" s="48">
        <f t="shared" si="4"/>
        <v>300</v>
      </c>
      <c r="E70" s="48" t="s">
        <v>3</v>
      </c>
      <c r="F70" s="99">
        <f t="shared" si="5"/>
        <v>1100</v>
      </c>
      <c r="G70" s="48" t="s">
        <v>3</v>
      </c>
      <c r="H70" s="48">
        <v>4</v>
      </c>
      <c r="I70" s="49" t="s">
        <v>46</v>
      </c>
      <c r="J70" s="184">
        <v>400</v>
      </c>
      <c r="K70" s="75">
        <v>300</v>
      </c>
      <c r="L70" s="75">
        <v>1100</v>
      </c>
      <c r="M70" s="202">
        <v>19.919004169193485</v>
      </c>
      <c r="N70" s="87">
        <v>1121.3153400160465</v>
      </c>
      <c r="O70" s="123">
        <v>23083.899246271129</v>
      </c>
      <c r="P70" s="199">
        <v>28359.345939071954</v>
      </c>
      <c r="Q70" s="310">
        <v>13929.747718313029</v>
      </c>
      <c r="R70" s="319">
        <v>37013.646964584157</v>
      </c>
      <c r="S70" s="315">
        <v>42289.093657384983</v>
      </c>
      <c r="U70" s="7" t="s">
        <v>4205</v>
      </c>
    </row>
    <row r="71" spans="1:21" ht="16.5" thickBot="1">
      <c r="A71" s="50" t="s">
        <v>35</v>
      </c>
      <c r="B71" s="51">
        <f t="shared" si="3"/>
        <v>400</v>
      </c>
      <c r="C71" s="51" t="s">
        <v>3</v>
      </c>
      <c r="D71" s="51">
        <f t="shared" si="4"/>
        <v>300</v>
      </c>
      <c r="E71" s="51" t="s">
        <v>3</v>
      </c>
      <c r="F71" s="99">
        <f t="shared" si="5"/>
        <v>1150</v>
      </c>
      <c r="G71" s="51" t="s">
        <v>3</v>
      </c>
      <c r="H71" s="48">
        <v>4</v>
      </c>
      <c r="I71" s="49" t="s">
        <v>46</v>
      </c>
      <c r="J71" s="184">
        <v>400</v>
      </c>
      <c r="K71" s="75">
        <v>300</v>
      </c>
      <c r="L71" s="75">
        <v>1150</v>
      </c>
      <c r="M71" s="202">
        <v>20.715382090805385</v>
      </c>
      <c r="N71" s="87">
        <v>1196.0696960171163</v>
      </c>
      <c r="O71" s="123">
        <v>23873.313153258227</v>
      </c>
      <c r="P71" s="199">
        <v>29351.640709303341</v>
      </c>
      <c r="Q71" s="310">
        <v>14410.152886177015</v>
      </c>
      <c r="R71" s="319">
        <v>38283.46603943524</v>
      </c>
      <c r="S71" s="315">
        <v>43761.793595480354</v>
      </c>
      <c r="U71" s="7" t="s">
        <v>4206</v>
      </c>
    </row>
    <row r="72" spans="1:21" ht="16.5" thickBot="1">
      <c r="A72" s="50" t="s">
        <v>35</v>
      </c>
      <c r="B72" s="51">
        <f t="shared" si="3"/>
        <v>400</v>
      </c>
      <c r="C72" s="51" t="s">
        <v>3</v>
      </c>
      <c r="D72" s="51">
        <f t="shared" si="4"/>
        <v>300</v>
      </c>
      <c r="E72" s="51" t="s">
        <v>3</v>
      </c>
      <c r="F72" s="99">
        <f t="shared" si="5"/>
        <v>1200</v>
      </c>
      <c r="G72" s="51" t="s">
        <v>3</v>
      </c>
      <c r="H72" s="48">
        <v>4</v>
      </c>
      <c r="I72" s="49" t="s">
        <v>46</v>
      </c>
      <c r="J72" s="184">
        <v>400</v>
      </c>
      <c r="K72" s="75">
        <v>300</v>
      </c>
      <c r="L72" s="75">
        <v>1200</v>
      </c>
      <c r="M72" s="202">
        <v>21.609688512417275</v>
      </c>
      <c r="N72" s="87">
        <v>1270.824052018186</v>
      </c>
      <c r="O72" s="123">
        <v>24743.739224962243</v>
      </c>
      <c r="P72" s="199">
        <v>30426.218422434566</v>
      </c>
      <c r="Q72" s="310">
        <v>15121.139831824277</v>
      </c>
      <c r="R72" s="319">
        <v>39864.879056786522</v>
      </c>
      <c r="S72" s="315">
        <v>45547.358254258841</v>
      </c>
      <c r="U72" s="7" t="s">
        <v>4207</v>
      </c>
    </row>
    <row r="73" spans="1:21" ht="16.5" thickBot="1">
      <c r="A73" s="50" t="s">
        <v>35</v>
      </c>
      <c r="B73" s="51">
        <f t="shared" si="3"/>
        <v>400</v>
      </c>
      <c r="C73" s="51" t="s">
        <v>3</v>
      </c>
      <c r="D73" s="51">
        <f t="shared" si="4"/>
        <v>300</v>
      </c>
      <c r="E73" s="51" t="s">
        <v>3</v>
      </c>
      <c r="F73" s="99">
        <f t="shared" si="5"/>
        <v>1250</v>
      </c>
      <c r="G73" s="51" t="s">
        <v>3</v>
      </c>
      <c r="H73" s="48">
        <v>4</v>
      </c>
      <c r="I73" s="49" t="s">
        <v>46</v>
      </c>
      <c r="J73" s="184">
        <v>400</v>
      </c>
      <c r="K73" s="75">
        <v>300</v>
      </c>
      <c r="L73" s="75">
        <v>1250</v>
      </c>
      <c r="M73" s="202">
        <v>22.406066434029171</v>
      </c>
      <c r="N73" s="87">
        <v>1345.5784080192559</v>
      </c>
      <c r="O73" s="123">
        <v>25533.153131949344</v>
      </c>
      <c r="P73" s="199">
        <v>31418.513192666091</v>
      </c>
      <c r="Q73" s="310">
        <v>15601.545140081627</v>
      </c>
      <c r="R73" s="319">
        <v>41134.698272030975</v>
      </c>
      <c r="S73" s="315">
        <v>47020.058332747722</v>
      </c>
      <c r="U73" s="7" t="s">
        <v>4208</v>
      </c>
    </row>
    <row r="74" spans="1:21" ht="16.5" thickBot="1">
      <c r="A74" s="50" t="s">
        <v>35</v>
      </c>
      <c r="B74" s="51">
        <f t="shared" si="3"/>
        <v>400</v>
      </c>
      <c r="C74" s="51" t="s">
        <v>3</v>
      </c>
      <c r="D74" s="51">
        <f t="shared" si="4"/>
        <v>300</v>
      </c>
      <c r="E74" s="51" t="s">
        <v>3</v>
      </c>
      <c r="F74" s="99">
        <f t="shared" si="5"/>
        <v>1300</v>
      </c>
      <c r="G74" s="51" t="s">
        <v>3</v>
      </c>
      <c r="H74" s="48">
        <v>4</v>
      </c>
      <c r="I74" s="49" t="s">
        <v>46</v>
      </c>
      <c r="J74" s="184">
        <v>400</v>
      </c>
      <c r="K74" s="75">
        <v>300</v>
      </c>
      <c r="L74" s="75">
        <v>1300</v>
      </c>
      <c r="M74" s="202">
        <v>23.219910355641066</v>
      </c>
      <c r="N74" s="87">
        <v>1420.3327640203254</v>
      </c>
      <c r="O74" s="123">
        <v>26322.567179329806</v>
      </c>
      <c r="P74" s="199">
        <v>32410.807962897485</v>
      </c>
      <c r="Q74" s="310">
        <v>16312.53208572889</v>
      </c>
      <c r="R74" s="319">
        <v>42635.0992650587</v>
      </c>
      <c r="S74" s="315">
        <v>48723.340048626371</v>
      </c>
      <c r="U74" s="7" t="s">
        <v>4209</v>
      </c>
    </row>
    <row r="75" spans="1:21" ht="16.5" thickBot="1">
      <c r="A75" s="50" t="s">
        <v>35</v>
      </c>
      <c r="B75" s="51">
        <f t="shared" si="3"/>
        <v>400</v>
      </c>
      <c r="C75" s="51" t="s">
        <v>3</v>
      </c>
      <c r="D75" s="51">
        <f t="shared" si="4"/>
        <v>300</v>
      </c>
      <c r="E75" s="51" t="s">
        <v>3</v>
      </c>
      <c r="F75" s="99">
        <f t="shared" si="5"/>
        <v>1350</v>
      </c>
      <c r="G75" s="51" t="s">
        <v>3</v>
      </c>
      <c r="H75" s="48">
        <v>4</v>
      </c>
      <c r="I75" s="49" t="s">
        <v>46</v>
      </c>
      <c r="J75" s="184">
        <v>400</v>
      </c>
      <c r="K75" s="75">
        <v>300</v>
      </c>
      <c r="L75" s="75">
        <v>1350</v>
      </c>
      <c r="M75" s="202">
        <v>24.016288277252958</v>
      </c>
      <c r="N75" s="87">
        <v>1495.0871200213953</v>
      </c>
      <c r="O75" s="123">
        <v>27111.981086316908</v>
      </c>
      <c r="P75" s="199">
        <v>33403.102733128871</v>
      </c>
      <c r="Q75" s="310">
        <v>16792.937253592878</v>
      </c>
      <c r="R75" s="319">
        <v>43904.918339909782</v>
      </c>
      <c r="S75" s="315">
        <v>50196.039986721749</v>
      </c>
      <c r="U75" s="7" t="s">
        <v>4210</v>
      </c>
    </row>
    <row r="76" spans="1:21" ht="16.5" thickBot="1">
      <c r="A76" s="50" t="s">
        <v>35</v>
      </c>
      <c r="B76" s="51">
        <f t="shared" si="3"/>
        <v>400</v>
      </c>
      <c r="C76" s="51" t="s">
        <v>3</v>
      </c>
      <c r="D76" s="51">
        <f t="shared" si="4"/>
        <v>300</v>
      </c>
      <c r="E76" s="51" t="s">
        <v>3</v>
      </c>
      <c r="F76" s="99">
        <f t="shared" si="5"/>
        <v>1400</v>
      </c>
      <c r="G76" s="51" t="s">
        <v>3</v>
      </c>
      <c r="H76" s="48">
        <v>4</v>
      </c>
      <c r="I76" s="49" t="s">
        <v>46</v>
      </c>
      <c r="J76" s="184">
        <v>400</v>
      </c>
      <c r="K76" s="75">
        <v>300</v>
      </c>
      <c r="L76" s="75">
        <v>1400</v>
      </c>
      <c r="M76" s="202">
        <v>24.830132198864852</v>
      </c>
      <c r="N76" s="87">
        <v>1569.8414760224653</v>
      </c>
      <c r="O76" s="123">
        <v>27901.394993304006</v>
      </c>
      <c r="P76" s="199">
        <v>34395.397503360269</v>
      </c>
      <c r="Q76" s="310">
        <v>17503.924339633504</v>
      </c>
      <c r="R76" s="319">
        <v>45405.319332937506</v>
      </c>
      <c r="S76" s="315">
        <v>51899.32184299377</v>
      </c>
      <c r="U76" s="7" t="s">
        <v>4211</v>
      </c>
    </row>
    <row r="77" spans="1:21" ht="16.5" thickBot="1">
      <c r="A77" s="50" t="s">
        <v>35</v>
      </c>
      <c r="B77" s="51">
        <f t="shared" si="3"/>
        <v>400</v>
      </c>
      <c r="C77" s="51" t="s">
        <v>3</v>
      </c>
      <c r="D77" s="51">
        <f t="shared" si="4"/>
        <v>300</v>
      </c>
      <c r="E77" s="51" t="s">
        <v>3</v>
      </c>
      <c r="F77" s="99">
        <f t="shared" si="5"/>
        <v>1450</v>
      </c>
      <c r="G77" s="51" t="s">
        <v>3</v>
      </c>
      <c r="H77" s="48">
        <v>4</v>
      </c>
      <c r="I77" s="49" t="s">
        <v>46</v>
      </c>
      <c r="J77" s="184">
        <v>400</v>
      </c>
      <c r="K77" s="75">
        <v>300</v>
      </c>
      <c r="L77" s="75">
        <v>1450</v>
      </c>
      <c r="M77" s="202">
        <v>25.626510120476748</v>
      </c>
      <c r="N77" s="87">
        <v>1644.595832023535</v>
      </c>
      <c r="O77" s="123">
        <v>28690.808900291107</v>
      </c>
      <c r="P77" s="199">
        <v>35387.692273591652</v>
      </c>
      <c r="Q77" s="310">
        <v>17984.32950749735</v>
      </c>
      <c r="R77" s="319">
        <v>46675.138407788458</v>
      </c>
      <c r="S77" s="315">
        <v>53372.021781089003</v>
      </c>
      <c r="U77" s="7" t="s">
        <v>4212</v>
      </c>
    </row>
    <row r="78" spans="1:21" ht="16.5" thickBot="1">
      <c r="A78" s="50" t="s">
        <v>35</v>
      </c>
      <c r="B78" s="51">
        <f t="shared" si="3"/>
        <v>400</v>
      </c>
      <c r="C78" s="51" t="s">
        <v>3</v>
      </c>
      <c r="D78" s="51">
        <f t="shared" si="4"/>
        <v>300</v>
      </c>
      <c r="E78" s="51" t="s">
        <v>3</v>
      </c>
      <c r="F78" s="99">
        <f t="shared" si="5"/>
        <v>1500</v>
      </c>
      <c r="G78" s="51" t="s">
        <v>3</v>
      </c>
      <c r="H78" s="48">
        <v>4</v>
      </c>
      <c r="I78" s="49" t="s">
        <v>46</v>
      </c>
      <c r="J78" s="184">
        <v>400</v>
      </c>
      <c r="K78" s="75">
        <v>300</v>
      </c>
      <c r="L78" s="75">
        <v>1500</v>
      </c>
      <c r="M78" s="202">
        <v>26.610412665347646</v>
      </c>
      <c r="N78" s="87">
        <v>1719.3501880246044</v>
      </c>
      <c r="O78" s="123">
        <v>30122.127233400268</v>
      </c>
      <c r="P78" s="199">
        <v>36988.744475005224</v>
      </c>
      <c r="Q78" s="310">
        <v>18695.316593538118</v>
      </c>
      <c r="R78" s="319">
        <v>48817.443826938383</v>
      </c>
      <c r="S78" s="315">
        <v>55684.061068543342</v>
      </c>
      <c r="U78" s="7" t="s">
        <v>4213</v>
      </c>
    </row>
    <row r="79" spans="1:21" ht="16.5" thickBot="1">
      <c r="A79" s="50" t="s">
        <v>35</v>
      </c>
      <c r="B79" s="51">
        <f t="shared" si="3"/>
        <v>400</v>
      </c>
      <c r="C79" s="51" t="s">
        <v>3</v>
      </c>
      <c r="D79" s="51">
        <f t="shared" si="4"/>
        <v>300</v>
      </c>
      <c r="E79" s="51" t="s">
        <v>3</v>
      </c>
      <c r="F79" s="99">
        <f t="shared" si="5"/>
        <v>1550</v>
      </c>
      <c r="G79" s="51" t="s">
        <v>3</v>
      </c>
      <c r="H79" s="48">
        <v>4</v>
      </c>
      <c r="I79" s="49" t="s">
        <v>46</v>
      </c>
      <c r="J79" s="184">
        <v>400</v>
      </c>
      <c r="K79" s="75">
        <v>300</v>
      </c>
      <c r="L79" s="75">
        <v>1550</v>
      </c>
      <c r="M79" s="202">
        <v>27.406790586959541</v>
      </c>
      <c r="N79" s="87">
        <v>1794.1045440256744</v>
      </c>
      <c r="O79" s="123">
        <v>30911.541140387366</v>
      </c>
      <c r="P79" s="199">
        <v>37981.039245236607</v>
      </c>
      <c r="Q79" s="310">
        <v>19175.721761402103</v>
      </c>
      <c r="R79" s="319">
        <v>50087.262901789465</v>
      </c>
      <c r="S79" s="315">
        <v>57156.761006638713</v>
      </c>
      <c r="U79" s="7" t="s">
        <v>4214</v>
      </c>
    </row>
    <row r="80" spans="1:21" ht="16.5" thickBot="1">
      <c r="A80" s="47" t="s">
        <v>35</v>
      </c>
      <c r="B80" s="48">
        <f t="shared" si="3"/>
        <v>400</v>
      </c>
      <c r="C80" s="48" t="s">
        <v>3</v>
      </c>
      <c r="D80" s="48">
        <f t="shared" si="4"/>
        <v>300</v>
      </c>
      <c r="E80" s="48" t="s">
        <v>3</v>
      </c>
      <c r="F80" s="99">
        <f t="shared" si="5"/>
        <v>1600</v>
      </c>
      <c r="G80" s="48" t="s">
        <v>3</v>
      </c>
      <c r="H80" s="48">
        <v>4</v>
      </c>
      <c r="I80" s="49" t="s">
        <v>46</v>
      </c>
      <c r="J80" s="184">
        <v>400</v>
      </c>
      <c r="K80" s="75">
        <v>300</v>
      </c>
      <c r="L80" s="75">
        <v>1600</v>
      </c>
      <c r="M80" s="202">
        <v>28.203168508571427</v>
      </c>
      <c r="N80" s="87">
        <v>1868.8589000267441</v>
      </c>
      <c r="O80" s="123">
        <v>31700.955047374471</v>
      </c>
      <c r="P80" s="199">
        <v>38973.334015468143</v>
      </c>
      <c r="Q80" s="310">
        <v>19656.126929266091</v>
      </c>
      <c r="R80" s="319">
        <v>51357.081976640562</v>
      </c>
      <c r="S80" s="315">
        <v>58629.460944734237</v>
      </c>
      <c r="U80" s="7" t="s">
        <v>4215</v>
      </c>
    </row>
    <row r="81" spans="1:21" ht="16.5" thickBot="1">
      <c r="A81" s="50" t="s">
        <v>35</v>
      </c>
      <c r="B81" s="51">
        <f t="shared" si="3"/>
        <v>400</v>
      </c>
      <c r="C81" s="51" t="s">
        <v>3</v>
      </c>
      <c r="D81" s="51">
        <f t="shared" si="4"/>
        <v>300</v>
      </c>
      <c r="E81" s="51" t="s">
        <v>3</v>
      </c>
      <c r="F81" s="99">
        <f t="shared" si="5"/>
        <v>1650</v>
      </c>
      <c r="G81" s="51" t="s">
        <v>3</v>
      </c>
      <c r="H81" s="48">
        <v>4</v>
      </c>
      <c r="I81" s="49" t="s">
        <v>46</v>
      </c>
      <c r="J81" s="184">
        <v>400</v>
      </c>
      <c r="K81" s="75">
        <v>300</v>
      </c>
      <c r="L81" s="75">
        <v>1650</v>
      </c>
      <c r="M81" s="202">
        <v>29.017012430183328</v>
      </c>
      <c r="N81" s="87">
        <v>1943.613256027814</v>
      </c>
      <c r="O81" s="123">
        <v>32490.368954361569</v>
      </c>
      <c r="P81" s="199">
        <v>39965.628785699533</v>
      </c>
      <c r="Q81" s="310">
        <v>20367.114015306717</v>
      </c>
      <c r="R81" s="319">
        <v>52857.482969668286</v>
      </c>
      <c r="S81" s="315">
        <v>60332.74280100625</v>
      </c>
      <c r="U81" s="7" t="s">
        <v>4216</v>
      </c>
    </row>
    <row r="82" spans="1:21" ht="16.5" thickBot="1">
      <c r="A82" s="50" t="s">
        <v>35</v>
      </c>
      <c r="B82" s="51">
        <f t="shared" si="3"/>
        <v>400</v>
      </c>
      <c r="C82" s="51" t="s">
        <v>3</v>
      </c>
      <c r="D82" s="51">
        <f t="shared" si="4"/>
        <v>300</v>
      </c>
      <c r="E82" s="51" t="s">
        <v>3</v>
      </c>
      <c r="F82" s="99">
        <f t="shared" si="5"/>
        <v>1700</v>
      </c>
      <c r="G82" s="51" t="s">
        <v>3</v>
      </c>
      <c r="H82" s="48">
        <v>4</v>
      </c>
      <c r="I82" s="49" t="s">
        <v>46</v>
      </c>
      <c r="J82" s="184">
        <v>400</v>
      </c>
      <c r="K82" s="75">
        <v>300</v>
      </c>
      <c r="L82" s="75">
        <v>1700</v>
      </c>
      <c r="M82" s="202">
        <v>29.813390351795224</v>
      </c>
      <c r="N82" s="87">
        <v>2018.3676120288837</v>
      </c>
      <c r="O82" s="123">
        <v>33279.783001742035</v>
      </c>
      <c r="P82" s="199">
        <v>40957.923555930924</v>
      </c>
      <c r="Q82" s="310">
        <v>20847.519183170705</v>
      </c>
      <c r="R82" s="319">
        <v>54127.30218491274</v>
      </c>
      <c r="S82" s="315">
        <v>61805.442739101629</v>
      </c>
      <c r="U82" s="7" t="s">
        <v>4217</v>
      </c>
    </row>
    <row r="83" spans="1:21" ht="16.5" thickBot="1">
      <c r="A83" s="50" t="s">
        <v>35</v>
      </c>
      <c r="B83" s="51">
        <f t="shared" si="3"/>
        <v>400</v>
      </c>
      <c r="C83" s="51" t="s">
        <v>3</v>
      </c>
      <c r="D83" s="51">
        <f t="shared" si="4"/>
        <v>300</v>
      </c>
      <c r="E83" s="51" t="s">
        <v>3</v>
      </c>
      <c r="F83" s="99">
        <f t="shared" si="5"/>
        <v>1750</v>
      </c>
      <c r="G83" s="51" t="s">
        <v>3</v>
      </c>
      <c r="H83" s="48">
        <v>4</v>
      </c>
      <c r="I83" s="49" t="s">
        <v>46</v>
      </c>
      <c r="J83" s="184">
        <v>400</v>
      </c>
      <c r="K83" s="75">
        <v>300</v>
      </c>
      <c r="L83" s="75">
        <v>1750</v>
      </c>
      <c r="M83" s="202">
        <v>30.627234273407115</v>
      </c>
      <c r="N83" s="87">
        <v>2093.1219680299532</v>
      </c>
      <c r="O83" s="123">
        <v>34069.196908729129</v>
      </c>
      <c r="P83" s="199">
        <v>41950.218326162314</v>
      </c>
      <c r="Q83" s="310">
        <v>21558.506269211328</v>
      </c>
      <c r="R83" s="319">
        <v>55627.703177940457</v>
      </c>
      <c r="S83" s="315">
        <v>63508.724595373642</v>
      </c>
      <c r="U83" s="7" t="s">
        <v>4218</v>
      </c>
    </row>
    <row r="84" spans="1:21" ht="16.5" thickBot="1">
      <c r="A84" s="50" t="s">
        <v>35</v>
      </c>
      <c r="B84" s="51">
        <f t="shared" si="3"/>
        <v>400</v>
      </c>
      <c r="C84" s="51" t="s">
        <v>3</v>
      </c>
      <c r="D84" s="51">
        <f t="shared" si="4"/>
        <v>300</v>
      </c>
      <c r="E84" s="51" t="s">
        <v>3</v>
      </c>
      <c r="F84" s="99">
        <f t="shared" si="5"/>
        <v>1800</v>
      </c>
      <c r="G84" s="51" t="s">
        <v>3</v>
      </c>
      <c r="H84" s="48">
        <v>4</v>
      </c>
      <c r="I84" s="49" t="s">
        <v>46</v>
      </c>
      <c r="J84" s="184">
        <v>400</v>
      </c>
      <c r="K84" s="75">
        <v>300</v>
      </c>
      <c r="L84" s="75">
        <v>1800</v>
      </c>
      <c r="M84" s="202">
        <v>31.423612195019011</v>
      </c>
      <c r="N84" s="87">
        <v>2167.8763240310232</v>
      </c>
      <c r="O84" s="123">
        <v>34858.610815716231</v>
      </c>
      <c r="P84" s="199">
        <v>42942.51309639385</v>
      </c>
      <c r="Q84" s="310">
        <v>22038.911437075316</v>
      </c>
      <c r="R84" s="319">
        <v>56897.522252791547</v>
      </c>
      <c r="S84" s="315">
        <v>64981.424533469166</v>
      </c>
      <c r="U84" s="7" t="s">
        <v>4219</v>
      </c>
    </row>
    <row r="85" spans="1:21" ht="16.5" thickBot="1">
      <c r="A85" s="50" t="s">
        <v>35</v>
      </c>
      <c r="B85" s="51">
        <f t="shared" si="3"/>
        <v>400</v>
      </c>
      <c r="C85" s="51" t="s">
        <v>3</v>
      </c>
      <c r="D85" s="51">
        <f t="shared" si="4"/>
        <v>300</v>
      </c>
      <c r="E85" s="51" t="s">
        <v>3</v>
      </c>
      <c r="F85" s="99">
        <f t="shared" si="5"/>
        <v>1850</v>
      </c>
      <c r="G85" s="51" t="s">
        <v>3</v>
      </c>
      <c r="H85" s="48">
        <v>4</v>
      </c>
      <c r="I85" s="49" t="s">
        <v>46</v>
      </c>
      <c r="J85" s="184">
        <v>400</v>
      </c>
      <c r="K85" s="75">
        <v>300</v>
      </c>
      <c r="L85" s="75">
        <v>1850</v>
      </c>
      <c r="M85" s="202">
        <v>32.237456116630909</v>
      </c>
      <c r="N85" s="87">
        <v>2242.6306800320931</v>
      </c>
      <c r="O85" s="123">
        <v>35648.024863096696</v>
      </c>
      <c r="P85" s="199">
        <v>43934.807866625233</v>
      </c>
      <c r="Q85" s="310">
        <v>22749.898382722578</v>
      </c>
      <c r="R85" s="319">
        <v>58397.923245819271</v>
      </c>
      <c r="S85" s="315">
        <v>66684.706249347815</v>
      </c>
      <c r="U85" s="7" t="s">
        <v>4220</v>
      </c>
    </row>
    <row r="86" spans="1:21" ht="16.5" thickBot="1">
      <c r="A86" s="50" t="s">
        <v>35</v>
      </c>
      <c r="B86" s="51">
        <f t="shared" si="3"/>
        <v>400</v>
      </c>
      <c r="C86" s="51" t="s">
        <v>3</v>
      </c>
      <c r="D86" s="51">
        <f t="shared" si="4"/>
        <v>300</v>
      </c>
      <c r="E86" s="51" t="s">
        <v>3</v>
      </c>
      <c r="F86" s="99">
        <f t="shared" si="5"/>
        <v>1900</v>
      </c>
      <c r="G86" s="51" t="s">
        <v>3</v>
      </c>
      <c r="H86" s="48">
        <v>4</v>
      </c>
      <c r="I86" s="49" t="s">
        <v>46</v>
      </c>
      <c r="J86" s="184">
        <v>400</v>
      </c>
      <c r="K86" s="75">
        <v>300</v>
      </c>
      <c r="L86" s="75">
        <v>1900</v>
      </c>
      <c r="M86" s="202">
        <v>33.033834038242809</v>
      </c>
      <c r="N86" s="87">
        <v>2317.385036033163</v>
      </c>
      <c r="O86" s="123">
        <v>36437.438770083798</v>
      </c>
      <c r="P86" s="199">
        <v>44927.102636856624</v>
      </c>
      <c r="Q86" s="310">
        <v>23230.30369097993</v>
      </c>
      <c r="R86" s="319">
        <v>59667.742461063724</v>
      </c>
      <c r="S86" s="315">
        <v>68157.40632783655</v>
      </c>
      <c r="U86" s="7" t="s">
        <v>4221</v>
      </c>
    </row>
    <row r="87" spans="1:21" ht="16.5" thickBot="1">
      <c r="A87" s="50" t="s">
        <v>35</v>
      </c>
      <c r="B87" s="51">
        <f t="shared" si="3"/>
        <v>400</v>
      </c>
      <c r="C87" s="51" t="s">
        <v>3</v>
      </c>
      <c r="D87" s="51">
        <f t="shared" si="4"/>
        <v>300</v>
      </c>
      <c r="E87" s="51" t="s">
        <v>3</v>
      </c>
      <c r="F87" s="99">
        <f t="shared" si="5"/>
        <v>1950</v>
      </c>
      <c r="G87" s="51" t="s">
        <v>3</v>
      </c>
      <c r="H87" s="48">
        <v>4</v>
      </c>
      <c r="I87" s="49" t="s">
        <v>46</v>
      </c>
      <c r="J87" s="184">
        <v>400</v>
      </c>
      <c r="K87" s="75">
        <v>300</v>
      </c>
      <c r="L87" s="75">
        <v>1950</v>
      </c>
      <c r="M87" s="202">
        <v>33.91067445985469</v>
      </c>
      <c r="N87" s="87">
        <v>2392.1393920342325</v>
      </c>
      <c r="O87" s="123">
        <v>37307.864841787807</v>
      </c>
      <c r="P87" s="199">
        <v>46001.680349987982</v>
      </c>
      <c r="Q87" s="310">
        <v>23710.708858843918</v>
      </c>
      <c r="R87" s="319">
        <v>61018.573700631721</v>
      </c>
      <c r="S87" s="315">
        <v>69712.389208831897</v>
      </c>
      <c r="U87" s="7" t="s">
        <v>4222</v>
      </c>
    </row>
    <row r="88" spans="1:21" ht="16.5" thickBot="1">
      <c r="A88" s="50" t="s">
        <v>35</v>
      </c>
      <c r="B88" s="51">
        <f t="shared" si="3"/>
        <v>400</v>
      </c>
      <c r="C88" s="51" t="s">
        <v>3</v>
      </c>
      <c r="D88" s="51">
        <f t="shared" si="4"/>
        <v>300</v>
      </c>
      <c r="E88" s="51" t="s">
        <v>3</v>
      </c>
      <c r="F88" s="99">
        <f t="shared" si="5"/>
        <v>2000</v>
      </c>
      <c r="G88" s="51" t="s">
        <v>3</v>
      </c>
      <c r="H88" s="48">
        <v>4</v>
      </c>
      <c r="I88" s="49" t="s">
        <v>46</v>
      </c>
      <c r="J88" s="184">
        <v>400</v>
      </c>
      <c r="K88" s="75">
        <v>300</v>
      </c>
      <c r="L88" s="75">
        <v>2000</v>
      </c>
      <c r="M88" s="202">
        <v>34.818369841466591</v>
      </c>
      <c r="N88" s="87">
        <v>2466.893748035302</v>
      </c>
      <c r="O88" s="123">
        <v>38339.348915411421</v>
      </c>
      <c r="P88" s="199">
        <v>47325.416723578659</v>
      </c>
      <c r="Q88" s="310">
        <v>24421.695804491177</v>
      </c>
      <c r="R88" s="319">
        <v>62761.044719902595</v>
      </c>
      <c r="S88" s="315">
        <v>71747.112528069832</v>
      </c>
      <c r="U88" s="7" t="s">
        <v>4223</v>
      </c>
    </row>
    <row r="89" spans="1:21" ht="16.5" thickBot="1">
      <c r="A89" s="50" t="s">
        <v>35</v>
      </c>
      <c r="B89" s="51">
        <f t="shared" si="3"/>
        <v>400</v>
      </c>
      <c r="C89" s="51" t="s">
        <v>3</v>
      </c>
      <c r="D89" s="51">
        <f t="shared" si="4"/>
        <v>300</v>
      </c>
      <c r="E89" s="51" t="s">
        <v>3</v>
      </c>
      <c r="F89" s="99">
        <f t="shared" si="5"/>
        <v>2050</v>
      </c>
      <c r="G89" s="51" t="s">
        <v>3</v>
      </c>
      <c r="H89" s="48">
        <v>4</v>
      </c>
      <c r="I89" s="49" t="s">
        <v>46</v>
      </c>
      <c r="J89" s="184">
        <v>400</v>
      </c>
      <c r="K89" s="75">
        <v>300</v>
      </c>
      <c r="L89" s="75">
        <v>2050</v>
      </c>
      <c r="M89" s="202">
        <v>35.614747763078491</v>
      </c>
      <c r="N89" s="87">
        <v>2541.6481040363719</v>
      </c>
      <c r="O89" s="123">
        <v>39128.762822398654</v>
      </c>
      <c r="P89" s="199">
        <v>48317.711493810195</v>
      </c>
      <c r="Q89" s="310">
        <v>24902.101112748529</v>
      </c>
      <c r="R89" s="319">
        <v>64030.863935147179</v>
      </c>
      <c r="S89" s="315">
        <v>73219.812606558728</v>
      </c>
      <c r="U89" s="7" t="s">
        <v>4224</v>
      </c>
    </row>
    <row r="90" spans="1:21" ht="16.5" thickBot="1">
      <c r="A90" s="47" t="s">
        <v>35</v>
      </c>
      <c r="B90" s="48">
        <f t="shared" si="3"/>
        <v>400</v>
      </c>
      <c r="C90" s="48" t="s">
        <v>3</v>
      </c>
      <c r="D90" s="48">
        <f t="shared" si="4"/>
        <v>300</v>
      </c>
      <c r="E90" s="48" t="s">
        <v>3</v>
      </c>
      <c r="F90" s="99">
        <f t="shared" si="5"/>
        <v>2100</v>
      </c>
      <c r="G90" s="48" t="s">
        <v>3</v>
      </c>
      <c r="H90" s="48">
        <v>4</v>
      </c>
      <c r="I90" s="49" t="s">
        <v>46</v>
      </c>
      <c r="J90" s="184">
        <v>400</v>
      </c>
      <c r="K90" s="75">
        <v>300</v>
      </c>
      <c r="L90" s="75">
        <v>2100</v>
      </c>
      <c r="M90" s="202">
        <v>36.428591684690382</v>
      </c>
      <c r="N90" s="87">
        <v>2616.4024600374419</v>
      </c>
      <c r="O90" s="123">
        <v>39918.176729385763</v>
      </c>
      <c r="P90" s="199">
        <v>49310.006264041578</v>
      </c>
      <c r="Q90" s="310">
        <v>25613.088058395791</v>
      </c>
      <c r="R90" s="319">
        <v>65531.264787781554</v>
      </c>
      <c r="S90" s="315">
        <v>74923.094322437362</v>
      </c>
      <c r="U90" s="7" t="s">
        <v>4225</v>
      </c>
    </row>
    <row r="91" spans="1:21" ht="16.5" thickBot="1">
      <c r="A91" s="50" t="s">
        <v>35</v>
      </c>
      <c r="B91" s="51">
        <f t="shared" si="3"/>
        <v>400</v>
      </c>
      <c r="C91" s="51" t="s">
        <v>3</v>
      </c>
      <c r="D91" s="51">
        <f t="shared" si="4"/>
        <v>300</v>
      </c>
      <c r="E91" s="51" t="s">
        <v>3</v>
      </c>
      <c r="F91" s="99">
        <f t="shared" si="5"/>
        <v>2150</v>
      </c>
      <c r="G91" s="51" t="s">
        <v>3</v>
      </c>
      <c r="H91" s="48">
        <v>4</v>
      </c>
      <c r="I91" s="49" t="s">
        <v>46</v>
      </c>
      <c r="J91" s="184">
        <v>400</v>
      </c>
      <c r="K91" s="75">
        <v>300</v>
      </c>
      <c r="L91" s="75">
        <v>2150</v>
      </c>
      <c r="M91" s="202">
        <v>37.224969606302274</v>
      </c>
      <c r="N91" s="87">
        <v>2691.1568160385118</v>
      </c>
      <c r="O91" s="123">
        <v>40707.590776766221</v>
      </c>
      <c r="P91" s="199">
        <v>50302.301034272969</v>
      </c>
      <c r="Q91" s="310">
        <v>26093.493366653143</v>
      </c>
      <c r="R91" s="319">
        <v>66801.084143419372</v>
      </c>
      <c r="S91" s="315">
        <v>76395.794400926112</v>
      </c>
      <c r="U91" s="7" t="s">
        <v>4226</v>
      </c>
    </row>
    <row r="92" spans="1:21" ht="16.5" thickBot="1">
      <c r="A92" s="50" t="s">
        <v>35</v>
      </c>
      <c r="B92" s="51">
        <f t="shared" si="3"/>
        <v>400</v>
      </c>
      <c r="C92" s="51" t="s">
        <v>3</v>
      </c>
      <c r="D92" s="51">
        <f t="shared" si="4"/>
        <v>300</v>
      </c>
      <c r="E92" s="51" t="s">
        <v>3</v>
      </c>
      <c r="F92" s="99">
        <f t="shared" si="5"/>
        <v>2200</v>
      </c>
      <c r="G92" s="51" t="s">
        <v>3</v>
      </c>
      <c r="H92" s="48">
        <v>4</v>
      </c>
      <c r="I92" s="49" t="s">
        <v>46</v>
      </c>
      <c r="J92" s="184">
        <v>400</v>
      </c>
      <c r="K92" s="75">
        <v>300</v>
      </c>
      <c r="L92" s="75">
        <v>2200</v>
      </c>
      <c r="M92" s="202">
        <v>38.038813527914172</v>
      </c>
      <c r="N92" s="87">
        <v>2765.9111720395813</v>
      </c>
      <c r="O92" s="123">
        <v>41497.004683753323</v>
      </c>
      <c r="P92" s="199">
        <v>51294.595804504366</v>
      </c>
      <c r="Q92" s="310">
        <v>26804.480312300402</v>
      </c>
      <c r="R92" s="319">
        <v>68301.484996053725</v>
      </c>
      <c r="S92" s="315">
        <v>78099.076116804761</v>
      </c>
      <c r="U92" s="7" t="s">
        <v>4227</v>
      </c>
    </row>
    <row r="93" spans="1:21" ht="16.5" thickBot="1">
      <c r="A93" s="50" t="s">
        <v>35</v>
      </c>
      <c r="B93" s="51">
        <f t="shared" si="3"/>
        <v>400</v>
      </c>
      <c r="C93" s="51" t="s">
        <v>3</v>
      </c>
      <c r="D93" s="51">
        <f t="shared" si="4"/>
        <v>300</v>
      </c>
      <c r="E93" s="51" t="s">
        <v>3</v>
      </c>
      <c r="F93" s="99">
        <f t="shared" si="5"/>
        <v>2250</v>
      </c>
      <c r="G93" s="51" t="s">
        <v>3</v>
      </c>
      <c r="H93" s="48">
        <v>4</v>
      </c>
      <c r="I93" s="49" t="s">
        <v>46</v>
      </c>
      <c r="J93" s="184">
        <v>400</v>
      </c>
      <c r="K93" s="75">
        <v>300</v>
      </c>
      <c r="L93" s="75">
        <v>2250</v>
      </c>
      <c r="M93" s="202">
        <v>38.835191449526064</v>
      </c>
      <c r="N93" s="87">
        <v>2840.6655280406508</v>
      </c>
      <c r="O93" s="123">
        <v>42286.418590740417</v>
      </c>
      <c r="P93" s="199">
        <v>52286.890574735757</v>
      </c>
      <c r="Q93" s="310">
        <v>27284.885480164394</v>
      </c>
      <c r="R93" s="319">
        <v>69571.304070904807</v>
      </c>
      <c r="S93" s="315">
        <v>79571.776054900154</v>
      </c>
      <c r="U93" s="7" t="s">
        <v>4228</v>
      </c>
    </row>
    <row r="94" spans="1:21" ht="16.5" thickBot="1">
      <c r="A94" s="50" t="s">
        <v>35</v>
      </c>
      <c r="B94" s="51">
        <f t="shared" si="3"/>
        <v>400</v>
      </c>
      <c r="C94" s="51" t="s">
        <v>3</v>
      </c>
      <c r="D94" s="51">
        <f t="shared" si="4"/>
        <v>300</v>
      </c>
      <c r="E94" s="51" t="s">
        <v>3</v>
      </c>
      <c r="F94" s="99">
        <f t="shared" si="5"/>
        <v>2300</v>
      </c>
      <c r="G94" s="51" t="s">
        <v>3</v>
      </c>
      <c r="H94" s="48">
        <v>4</v>
      </c>
      <c r="I94" s="49" t="s">
        <v>46</v>
      </c>
      <c r="J94" s="184">
        <v>400</v>
      </c>
      <c r="K94" s="75">
        <v>300</v>
      </c>
      <c r="L94" s="75">
        <v>2300</v>
      </c>
      <c r="M94" s="202">
        <v>39.631569371137957</v>
      </c>
      <c r="N94" s="87">
        <v>2915.4198840417207</v>
      </c>
      <c r="O94" s="123">
        <v>43075.832497727526</v>
      </c>
      <c r="P94" s="199">
        <v>53279.185344967285</v>
      </c>
      <c r="Q94" s="310">
        <v>27765.290788421746</v>
      </c>
      <c r="R94" s="319">
        <v>70841.123286149275</v>
      </c>
      <c r="S94" s="315">
        <v>81044.476133389035</v>
      </c>
      <c r="U94" s="7" t="s">
        <v>4229</v>
      </c>
    </row>
    <row r="95" spans="1:21" ht="16.5" thickBot="1">
      <c r="A95" s="50" t="s">
        <v>35</v>
      </c>
      <c r="B95" s="51">
        <f t="shared" si="3"/>
        <v>400</v>
      </c>
      <c r="C95" s="51" t="s">
        <v>3</v>
      </c>
      <c r="D95" s="51">
        <f t="shared" si="4"/>
        <v>300</v>
      </c>
      <c r="E95" s="51" t="s">
        <v>3</v>
      </c>
      <c r="F95" s="99">
        <f t="shared" si="5"/>
        <v>2350</v>
      </c>
      <c r="G95" s="51" t="s">
        <v>3</v>
      </c>
      <c r="H95" s="48">
        <v>4</v>
      </c>
      <c r="I95" s="49" t="s">
        <v>46</v>
      </c>
      <c r="J95" s="184">
        <v>400</v>
      </c>
      <c r="K95" s="75">
        <v>300</v>
      </c>
      <c r="L95" s="75">
        <v>2350</v>
      </c>
      <c r="M95" s="202">
        <v>40.445413292749862</v>
      </c>
      <c r="N95" s="87">
        <v>2990.1742400427906</v>
      </c>
      <c r="O95" s="123">
        <v>43865.246545107984</v>
      </c>
      <c r="P95" s="199">
        <v>54271.480115198676</v>
      </c>
      <c r="Q95" s="310">
        <v>28476.277734069005</v>
      </c>
      <c r="R95" s="319">
        <v>72341.524279176985</v>
      </c>
      <c r="S95" s="315">
        <v>82747.757849267684</v>
      </c>
      <c r="U95" s="7" t="s">
        <v>4230</v>
      </c>
    </row>
    <row r="96" spans="1:21" ht="16.5" thickBot="1">
      <c r="A96" s="50" t="s">
        <v>35</v>
      </c>
      <c r="B96" s="51">
        <f t="shared" si="3"/>
        <v>400</v>
      </c>
      <c r="C96" s="51" t="s">
        <v>3</v>
      </c>
      <c r="D96" s="51">
        <f t="shared" si="4"/>
        <v>300</v>
      </c>
      <c r="E96" s="51" t="s">
        <v>3</v>
      </c>
      <c r="F96" s="99">
        <f t="shared" si="5"/>
        <v>2400</v>
      </c>
      <c r="G96" s="51" t="s">
        <v>3</v>
      </c>
      <c r="H96" s="48">
        <v>4</v>
      </c>
      <c r="I96" s="49" t="s">
        <v>46</v>
      </c>
      <c r="J96" s="184">
        <v>400</v>
      </c>
      <c r="K96" s="75">
        <v>300</v>
      </c>
      <c r="L96" s="75">
        <v>2400</v>
      </c>
      <c r="M96" s="202">
        <v>41.241791214361747</v>
      </c>
      <c r="N96" s="87">
        <v>3064.9285960438601</v>
      </c>
      <c r="O96" s="123">
        <v>44654.660452095086</v>
      </c>
      <c r="P96" s="199">
        <v>55263.774885430066</v>
      </c>
      <c r="Q96" s="310">
        <v>28956.682901932996</v>
      </c>
      <c r="R96" s="319">
        <v>73611.343354028082</v>
      </c>
      <c r="S96" s="315">
        <v>84220.457787363062</v>
      </c>
      <c r="U96" s="7" t="s">
        <v>4231</v>
      </c>
    </row>
    <row r="97" spans="1:21" ht="16.5" thickBot="1">
      <c r="A97" s="50" t="s">
        <v>35</v>
      </c>
      <c r="B97" s="51">
        <f t="shared" si="3"/>
        <v>400</v>
      </c>
      <c r="C97" s="51" t="s">
        <v>3</v>
      </c>
      <c r="D97" s="51">
        <f t="shared" si="4"/>
        <v>300</v>
      </c>
      <c r="E97" s="51" t="s">
        <v>3</v>
      </c>
      <c r="F97" s="99">
        <f t="shared" si="5"/>
        <v>2450</v>
      </c>
      <c r="G97" s="51" t="s">
        <v>3</v>
      </c>
      <c r="H97" s="48">
        <v>4</v>
      </c>
      <c r="I97" s="49" t="s">
        <v>46</v>
      </c>
      <c r="J97" s="184">
        <v>400</v>
      </c>
      <c r="K97" s="75">
        <v>300</v>
      </c>
      <c r="L97" s="75">
        <v>2450</v>
      </c>
      <c r="M97" s="202">
        <v>42.225693759232641</v>
      </c>
      <c r="N97" s="87">
        <v>3139.6829520449305</v>
      </c>
      <c r="O97" s="123">
        <v>46085.978644810879</v>
      </c>
      <c r="P97" s="199">
        <v>56864.827086843638</v>
      </c>
      <c r="Q97" s="310">
        <v>29667.669987973619</v>
      </c>
      <c r="R97" s="319">
        <v>75753.64863278449</v>
      </c>
      <c r="S97" s="315">
        <v>86532.497074817249</v>
      </c>
      <c r="U97" s="7" t="s">
        <v>4232</v>
      </c>
    </row>
    <row r="98" spans="1:21" ht="16.5" thickBot="1">
      <c r="A98" s="50" t="s">
        <v>35</v>
      </c>
      <c r="B98" s="51">
        <f t="shared" si="3"/>
        <v>400</v>
      </c>
      <c r="C98" s="51" t="s">
        <v>3</v>
      </c>
      <c r="D98" s="51">
        <f t="shared" si="4"/>
        <v>300</v>
      </c>
      <c r="E98" s="51" t="s">
        <v>3</v>
      </c>
      <c r="F98" s="99">
        <f t="shared" si="5"/>
        <v>2500</v>
      </c>
      <c r="G98" s="51" t="s">
        <v>3</v>
      </c>
      <c r="H98" s="48">
        <v>4</v>
      </c>
      <c r="I98" s="49" t="s">
        <v>46</v>
      </c>
      <c r="J98" s="184">
        <v>400</v>
      </c>
      <c r="K98" s="75">
        <v>300</v>
      </c>
      <c r="L98" s="75">
        <v>2500</v>
      </c>
      <c r="M98" s="202">
        <v>43.022071680844533</v>
      </c>
      <c r="N98" s="87">
        <v>3214.437308046</v>
      </c>
      <c r="O98" s="123">
        <v>46875.392692191344</v>
      </c>
      <c r="P98" s="199">
        <v>57857.121857075021</v>
      </c>
      <c r="Q98" s="310">
        <v>30148.075155837607</v>
      </c>
      <c r="R98" s="319">
        <v>77023.467848028959</v>
      </c>
      <c r="S98" s="315">
        <v>88005.197012912628</v>
      </c>
      <c r="U98" s="7" t="s">
        <v>4233</v>
      </c>
    </row>
    <row r="99" spans="1:21" ht="16.5" thickBot="1">
      <c r="A99" s="50" t="s">
        <v>35</v>
      </c>
      <c r="B99" s="51">
        <f t="shared" si="3"/>
        <v>400</v>
      </c>
      <c r="C99" s="51" t="s">
        <v>3</v>
      </c>
      <c r="D99" s="51">
        <f t="shared" si="4"/>
        <v>300</v>
      </c>
      <c r="E99" s="51" t="s">
        <v>3</v>
      </c>
      <c r="F99" s="99">
        <f t="shared" si="5"/>
        <v>2550</v>
      </c>
      <c r="G99" s="51" t="s">
        <v>3</v>
      </c>
      <c r="H99" s="48">
        <v>4</v>
      </c>
      <c r="I99" s="49" t="s">
        <v>46</v>
      </c>
      <c r="J99" s="184">
        <v>400</v>
      </c>
      <c r="K99" s="75">
        <v>300</v>
      </c>
      <c r="L99" s="75">
        <v>2550</v>
      </c>
      <c r="M99" s="202">
        <v>43.835915602456431</v>
      </c>
      <c r="N99" s="87">
        <v>3289.1916640470699</v>
      </c>
      <c r="O99" s="123">
        <v>47664.806599178446</v>
      </c>
      <c r="P99" s="199">
        <v>58849.416627306411</v>
      </c>
      <c r="Q99" s="310">
        <v>30859.06224187823</v>
      </c>
      <c r="R99" s="319">
        <v>78523.868841056683</v>
      </c>
      <c r="S99" s="315">
        <v>89708.478869184648</v>
      </c>
      <c r="U99" s="7" t="s">
        <v>4234</v>
      </c>
    </row>
    <row r="100" spans="1:21" ht="16.5" thickBot="1">
      <c r="A100" s="47" t="s">
        <v>35</v>
      </c>
      <c r="B100" s="48">
        <f t="shared" si="3"/>
        <v>400</v>
      </c>
      <c r="C100" s="48" t="s">
        <v>3</v>
      </c>
      <c r="D100" s="48">
        <f t="shared" si="4"/>
        <v>300</v>
      </c>
      <c r="E100" s="48" t="s">
        <v>3</v>
      </c>
      <c r="F100" s="99">
        <f t="shared" si="5"/>
        <v>2600</v>
      </c>
      <c r="G100" s="48" t="s">
        <v>3</v>
      </c>
      <c r="H100" s="48">
        <v>4</v>
      </c>
      <c r="I100" s="49" t="s">
        <v>46</v>
      </c>
      <c r="J100" s="184">
        <v>400</v>
      </c>
      <c r="K100" s="75">
        <v>300</v>
      </c>
      <c r="L100" s="75">
        <v>2600</v>
      </c>
      <c r="M100" s="202">
        <v>44.632293524068331</v>
      </c>
      <c r="N100" s="87">
        <v>3363.9460200481394</v>
      </c>
      <c r="O100" s="123">
        <v>48454.220506165548</v>
      </c>
      <c r="P100" s="199">
        <v>59841.71139753794</v>
      </c>
      <c r="Q100" s="310">
        <v>31339.467409742221</v>
      </c>
      <c r="R100" s="319">
        <v>79793.687915907765</v>
      </c>
      <c r="S100" s="315">
        <v>91181.178807280157</v>
      </c>
      <c r="U100" s="7" t="s">
        <v>4235</v>
      </c>
    </row>
    <row r="101" spans="1:21" ht="16.5" thickBot="1">
      <c r="A101" s="50" t="s">
        <v>35</v>
      </c>
      <c r="B101" s="51">
        <f t="shared" si="3"/>
        <v>400</v>
      </c>
      <c r="C101" s="51" t="s">
        <v>3</v>
      </c>
      <c r="D101" s="51">
        <f t="shared" si="4"/>
        <v>300</v>
      </c>
      <c r="E101" s="51" t="s">
        <v>3</v>
      </c>
      <c r="F101" s="99">
        <f t="shared" si="5"/>
        <v>2650</v>
      </c>
      <c r="G101" s="51" t="s">
        <v>3</v>
      </c>
      <c r="H101" s="48">
        <v>4</v>
      </c>
      <c r="I101" s="49" t="s">
        <v>46</v>
      </c>
      <c r="J101" s="184">
        <v>400</v>
      </c>
      <c r="K101" s="75">
        <v>300</v>
      </c>
      <c r="L101" s="75">
        <v>2650</v>
      </c>
      <c r="M101" s="202">
        <v>45.446137445680229</v>
      </c>
      <c r="N101" s="87">
        <v>3438.7003760492089</v>
      </c>
      <c r="O101" s="123">
        <v>49243.634413152642</v>
      </c>
      <c r="P101" s="199">
        <v>60834.00616776933</v>
      </c>
      <c r="Q101" s="310">
        <v>32050.45435538948</v>
      </c>
      <c r="R101" s="319">
        <v>81294.088768542118</v>
      </c>
      <c r="S101" s="315">
        <v>92884.460523158807</v>
      </c>
      <c r="U101" s="7" t="s">
        <v>4236</v>
      </c>
    </row>
    <row r="102" spans="1:21" ht="16.5" thickBot="1">
      <c r="A102" s="50" t="s">
        <v>35</v>
      </c>
      <c r="B102" s="51">
        <f t="shared" si="3"/>
        <v>400</v>
      </c>
      <c r="C102" s="51" t="s">
        <v>3</v>
      </c>
      <c r="D102" s="51">
        <f t="shared" si="4"/>
        <v>300</v>
      </c>
      <c r="E102" s="51" t="s">
        <v>3</v>
      </c>
      <c r="F102" s="99">
        <f t="shared" si="5"/>
        <v>2700</v>
      </c>
      <c r="G102" s="51" t="s">
        <v>3</v>
      </c>
      <c r="H102" s="48">
        <v>4</v>
      </c>
      <c r="I102" s="49" t="s">
        <v>46</v>
      </c>
      <c r="J102" s="184">
        <v>400</v>
      </c>
      <c r="K102" s="75">
        <v>300</v>
      </c>
      <c r="L102" s="75">
        <v>2700</v>
      </c>
      <c r="M102" s="202">
        <v>46.322977867292117</v>
      </c>
      <c r="N102" s="87">
        <v>3513.4547320502793</v>
      </c>
      <c r="O102" s="123">
        <v>50114.060484856665</v>
      </c>
      <c r="P102" s="199">
        <v>61908.583880900551</v>
      </c>
      <c r="Q102" s="310">
        <v>32530.859663646832</v>
      </c>
      <c r="R102" s="319">
        <v>82644.920148503501</v>
      </c>
      <c r="S102" s="315">
        <v>94439.443544547379</v>
      </c>
      <c r="U102" s="7" t="s">
        <v>4237</v>
      </c>
    </row>
    <row r="103" spans="1:21" ht="16.5" thickBot="1">
      <c r="A103" s="50" t="s">
        <v>35</v>
      </c>
      <c r="B103" s="51">
        <f t="shared" si="3"/>
        <v>400</v>
      </c>
      <c r="C103" s="51" t="s">
        <v>3</v>
      </c>
      <c r="D103" s="51">
        <f t="shared" si="4"/>
        <v>300</v>
      </c>
      <c r="E103" s="51" t="s">
        <v>3</v>
      </c>
      <c r="F103" s="99">
        <f t="shared" si="5"/>
        <v>2750</v>
      </c>
      <c r="G103" s="51" t="s">
        <v>3</v>
      </c>
      <c r="H103" s="48">
        <v>4</v>
      </c>
      <c r="I103" s="49" t="s">
        <v>46</v>
      </c>
      <c r="J103" s="184">
        <v>400</v>
      </c>
      <c r="K103" s="75">
        <v>300</v>
      </c>
      <c r="L103" s="75">
        <v>2750</v>
      </c>
      <c r="M103" s="202">
        <v>47.119355788904002</v>
      </c>
      <c r="N103" s="87">
        <v>3588.2090880513488</v>
      </c>
      <c r="O103" s="123">
        <v>50903.47439184376</v>
      </c>
      <c r="P103" s="199">
        <v>62900.87865113208</v>
      </c>
      <c r="Q103" s="310">
        <v>33011.264831510824</v>
      </c>
      <c r="R103" s="319">
        <v>83914.739223354583</v>
      </c>
      <c r="S103" s="315">
        <v>95912.143482642903</v>
      </c>
      <c r="U103" s="7" t="s">
        <v>4238</v>
      </c>
    </row>
    <row r="104" spans="1:21" ht="16.5" thickBot="1">
      <c r="A104" s="50" t="s">
        <v>35</v>
      </c>
      <c r="B104" s="51">
        <f t="shared" si="3"/>
        <v>400</v>
      </c>
      <c r="C104" s="51" t="s">
        <v>3</v>
      </c>
      <c r="D104" s="51">
        <f t="shared" si="4"/>
        <v>300</v>
      </c>
      <c r="E104" s="51" t="s">
        <v>3</v>
      </c>
      <c r="F104" s="99">
        <f t="shared" si="5"/>
        <v>2800</v>
      </c>
      <c r="G104" s="51" t="s">
        <v>3</v>
      </c>
      <c r="H104" s="48">
        <v>4</v>
      </c>
      <c r="I104" s="49" t="s">
        <v>46</v>
      </c>
      <c r="J104" s="184">
        <v>400</v>
      </c>
      <c r="K104" s="75">
        <v>300</v>
      </c>
      <c r="L104" s="75">
        <v>2800</v>
      </c>
      <c r="M104" s="202">
        <v>47.9331997105159</v>
      </c>
      <c r="N104" s="87">
        <v>3662.9634440524187</v>
      </c>
      <c r="O104" s="123">
        <v>51692.888439224225</v>
      </c>
      <c r="P104" s="199">
        <v>63893.173421363477</v>
      </c>
      <c r="Q104" s="310">
        <v>33722.251777158082</v>
      </c>
      <c r="R104" s="319">
        <v>85415.140216382308</v>
      </c>
      <c r="S104" s="315">
        <v>97615.425198521552</v>
      </c>
      <c r="U104" s="7" t="s">
        <v>4239</v>
      </c>
    </row>
    <row r="105" spans="1:21" ht="16.5" thickBot="1">
      <c r="A105" s="50" t="s">
        <v>35</v>
      </c>
      <c r="B105" s="51">
        <f t="shared" si="3"/>
        <v>400</v>
      </c>
      <c r="C105" s="51" t="s">
        <v>3</v>
      </c>
      <c r="D105" s="51">
        <f t="shared" si="4"/>
        <v>300</v>
      </c>
      <c r="E105" s="51" t="s">
        <v>3</v>
      </c>
      <c r="F105" s="99">
        <f t="shared" si="5"/>
        <v>2850</v>
      </c>
      <c r="G105" s="51" t="s">
        <v>3</v>
      </c>
      <c r="H105" s="48">
        <v>4</v>
      </c>
      <c r="I105" s="49" t="s">
        <v>46</v>
      </c>
      <c r="J105" s="184">
        <v>400</v>
      </c>
      <c r="K105" s="75">
        <v>300</v>
      </c>
      <c r="L105" s="75">
        <v>2850</v>
      </c>
      <c r="M105" s="202">
        <v>48.7295776321278</v>
      </c>
      <c r="N105" s="87">
        <v>3737.7178000534882</v>
      </c>
      <c r="O105" s="123">
        <v>52482.302346211327</v>
      </c>
      <c r="P105" s="199">
        <v>64885.468191594868</v>
      </c>
      <c r="Q105" s="310">
        <v>34202.657085415434</v>
      </c>
      <c r="R105" s="319">
        <v>86684.959431626761</v>
      </c>
      <c r="S105" s="315">
        <v>99088.125277010302</v>
      </c>
      <c r="U105" s="7" t="s">
        <v>4240</v>
      </c>
    </row>
    <row r="106" spans="1:21" ht="16.5" thickBot="1">
      <c r="A106" s="50" t="s">
        <v>35</v>
      </c>
      <c r="B106" s="51">
        <f t="shared" si="3"/>
        <v>400</v>
      </c>
      <c r="C106" s="51" t="s">
        <v>3</v>
      </c>
      <c r="D106" s="51">
        <f t="shared" si="4"/>
        <v>300</v>
      </c>
      <c r="E106" s="51" t="s">
        <v>3</v>
      </c>
      <c r="F106" s="99">
        <f t="shared" si="5"/>
        <v>2900</v>
      </c>
      <c r="G106" s="51" t="s">
        <v>3</v>
      </c>
      <c r="H106" s="48">
        <v>4</v>
      </c>
      <c r="I106" s="49" t="s">
        <v>46</v>
      </c>
      <c r="J106" s="184">
        <v>400</v>
      </c>
      <c r="K106" s="75">
        <v>300</v>
      </c>
      <c r="L106" s="75">
        <v>2900</v>
      </c>
      <c r="M106" s="202">
        <v>49.543421553739691</v>
      </c>
      <c r="N106" s="87">
        <v>3812.4721560545577</v>
      </c>
      <c r="O106" s="123">
        <v>53271.716253198429</v>
      </c>
      <c r="P106" s="199">
        <v>65877.762961826258</v>
      </c>
      <c r="Q106" s="310">
        <v>34913.644031062693</v>
      </c>
      <c r="R106" s="319">
        <v>88185.360284261114</v>
      </c>
      <c r="S106" s="315">
        <v>100791.40699288895</v>
      </c>
      <c r="U106" s="7" t="s">
        <v>4241</v>
      </c>
    </row>
    <row r="107" spans="1:21" ht="16.5" thickBot="1">
      <c r="A107" s="50" t="s">
        <v>35</v>
      </c>
      <c r="B107" s="51">
        <f t="shared" si="3"/>
        <v>400</v>
      </c>
      <c r="C107" s="51" t="s">
        <v>3</v>
      </c>
      <c r="D107" s="51">
        <f t="shared" si="4"/>
        <v>300</v>
      </c>
      <c r="E107" s="51" t="s">
        <v>3</v>
      </c>
      <c r="F107" s="99">
        <f t="shared" si="5"/>
        <v>2950</v>
      </c>
      <c r="G107" s="51" t="s">
        <v>3</v>
      </c>
      <c r="H107" s="48">
        <v>4</v>
      </c>
      <c r="I107" s="49" t="s">
        <v>46</v>
      </c>
      <c r="J107" s="184">
        <v>400</v>
      </c>
      <c r="K107" s="75">
        <v>300</v>
      </c>
      <c r="L107" s="75">
        <v>2950</v>
      </c>
      <c r="M107" s="202">
        <v>50.33979947535159</v>
      </c>
      <c r="N107" s="87">
        <v>3887.2265120556281</v>
      </c>
      <c r="O107" s="123">
        <v>54061.13030057888</v>
      </c>
      <c r="P107" s="199">
        <v>66870.057732057641</v>
      </c>
      <c r="Q107" s="310">
        <v>35394.049339320045</v>
      </c>
      <c r="R107" s="319">
        <v>89455.179639898925</v>
      </c>
      <c r="S107" s="315">
        <v>102264.10707137769</v>
      </c>
      <c r="U107" s="7" t="s">
        <v>4242</v>
      </c>
    </row>
    <row r="108" spans="1:21" ht="16.5" thickBot="1">
      <c r="A108" s="52" t="s">
        <v>35</v>
      </c>
      <c r="B108" s="53">
        <f t="shared" si="3"/>
        <v>400</v>
      </c>
      <c r="C108" s="53" t="s">
        <v>3</v>
      </c>
      <c r="D108" s="53">
        <f t="shared" si="4"/>
        <v>300</v>
      </c>
      <c r="E108" s="53" t="s">
        <v>3</v>
      </c>
      <c r="F108" s="100">
        <f t="shared" si="5"/>
        <v>3000</v>
      </c>
      <c r="G108" s="53" t="s">
        <v>3</v>
      </c>
      <c r="H108" s="55">
        <v>4</v>
      </c>
      <c r="I108" s="54" t="s">
        <v>46</v>
      </c>
      <c r="J108" s="321">
        <v>400</v>
      </c>
      <c r="K108" s="322">
        <v>300</v>
      </c>
      <c r="L108" s="322">
        <v>3000</v>
      </c>
      <c r="M108" s="305">
        <v>49.905993558013151</v>
      </c>
      <c r="N108" s="306">
        <v>3961.9808680566975</v>
      </c>
      <c r="O108" s="307">
        <v>56084.459505071405</v>
      </c>
      <c r="P108" s="339">
        <v>67862.35250228917</v>
      </c>
      <c r="Q108" s="323">
        <v>36105.036284967304</v>
      </c>
      <c r="R108" s="324">
        <v>92189.495790038709</v>
      </c>
      <c r="S108" s="325">
        <v>103967.38878725647</v>
      </c>
      <c r="U108" s="7" t="s">
        <v>4243</v>
      </c>
    </row>
    <row r="109" spans="1:21" ht="19.5" thickBot="1">
      <c r="A109" s="2580" t="s">
        <v>49</v>
      </c>
      <c r="B109" s="2581"/>
      <c r="C109" s="2581"/>
      <c r="D109" s="2581"/>
      <c r="E109" s="2581"/>
      <c r="F109" s="2581"/>
      <c r="G109" s="2581"/>
      <c r="H109" s="2581"/>
      <c r="I109" s="2581"/>
      <c r="J109" s="2581"/>
      <c r="K109" s="2581"/>
      <c r="L109" s="2581"/>
      <c r="M109" s="2581"/>
      <c r="N109" s="2581"/>
      <c r="O109" s="2581"/>
      <c r="P109" s="2581"/>
      <c r="Q109" s="2581"/>
      <c r="R109" s="2581"/>
      <c r="S109" s="2582"/>
      <c r="U109" s="7"/>
    </row>
    <row r="110" spans="1:21" ht="16.5" thickBot="1">
      <c r="A110" s="2583" t="s">
        <v>140</v>
      </c>
      <c r="B110" s="2584"/>
      <c r="C110" s="2584"/>
      <c r="D110" s="2584"/>
      <c r="E110" s="2584"/>
      <c r="F110" s="2584"/>
      <c r="G110" s="2584"/>
      <c r="H110" s="2584"/>
      <c r="I110" s="2584"/>
      <c r="J110" s="2584"/>
      <c r="K110" s="2584"/>
      <c r="L110" s="2584"/>
      <c r="M110" s="2584"/>
      <c r="N110" s="2584"/>
      <c r="O110" s="2584"/>
      <c r="P110" s="2584"/>
      <c r="Q110" s="2584"/>
      <c r="R110" s="2584"/>
      <c r="S110" s="2585"/>
      <c r="U110" s="7"/>
    </row>
    <row r="111" spans="1:21" ht="16.5" thickBot="1">
      <c r="A111" s="47" t="s">
        <v>35</v>
      </c>
      <c r="B111" s="48">
        <f>J111</f>
        <v>400</v>
      </c>
      <c r="C111" s="48" t="s">
        <v>3</v>
      </c>
      <c r="D111" s="48">
        <f>K111</f>
        <v>360</v>
      </c>
      <c r="E111" s="48" t="s">
        <v>3</v>
      </c>
      <c r="F111" s="99">
        <f>L111</f>
        <v>600</v>
      </c>
      <c r="G111" s="48" t="s">
        <v>3</v>
      </c>
      <c r="H111" s="48">
        <v>8</v>
      </c>
      <c r="I111" s="49" t="s">
        <v>47</v>
      </c>
      <c r="J111" s="326">
        <v>400</v>
      </c>
      <c r="K111" s="327">
        <v>360</v>
      </c>
      <c r="L111" s="327">
        <v>600</v>
      </c>
      <c r="M111" s="301">
        <v>14.65854897334421</v>
      </c>
      <c r="N111" s="302">
        <v>629.02738578106334</v>
      </c>
      <c r="O111" s="303">
        <v>20252.752811261555</v>
      </c>
      <c r="P111" s="331">
        <v>23935.521031001892</v>
      </c>
      <c r="Q111" s="328">
        <v>9204.3678470371888</v>
      </c>
      <c r="R111" s="329">
        <v>29457.120658298743</v>
      </c>
      <c r="S111" s="330">
        <v>33139.888878039084</v>
      </c>
      <c r="U111" s="7" t="s">
        <v>4244</v>
      </c>
    </row>
    <row r="112" spans="1:21" ht="16.5" thickBot="1">
      <c r="A112" s="50" t="s">
        <v>35</v>
      </c>
      <c r="B112" s="51">
        <f t="shared" ref="B112:B159" si="6">J112</f>
        <v>400</v>
      </c>
      <c r="C112" s="51" t="s">
        <v>3</v>
      </c>
      <c r="D112" s="51">
        <f t="shared" ref="D112:D159" si="7">K112</f>
        <v>360</v>
      </c>
      <c r="E112" s="51" t="s">
        <v>3</v>
      </c>
      <c r="F112" s="99">
        <f t="shared" ref="F112:F159" si="8">L112</f>
        <v>650</v>
      </c>
      <c r="G112" s="51" t="s">
        <v>3</v>
      </c>
      <c r="H112" s="48">
        <v>8</v>
      </c>
      <c r="I112" s="49" t="s">
        <v>47</v>
      </c>
      <c r="J112" s="184">
        <v>400</v>
      </c>
      <c r="K112" s="75">
        <v>360</v>
      </c>
      <c r="L112" s="75">
        <v>650</v>
      </c>
      <c r="M112" s="202">
        <v>15.654857367706315</v>
      </c>
      <c r="N112" s="87">
        <v>754.8328629372761</v>
      </c>
      <c r="O112" s="123">
        <v>21467.219697046581</v>
      </c>
      <c r="P112" s="121">
        <v>25375.853460343729</v>
      </c>
      <c r="Q112" s="310">
        <v>9757.9649885401141</v>
      </c>
      <c r="R112" s="319">
        <v>31225.184685586697</v>
      </c>
      <c r="S112" s="315">
        <v>35133.818448883845</v>
      </c>
      <c r="U112" s="7" t="s">
        <v>4245</v>
      </c>
    </row>
    <row r="113" spans="1:21" ht="16.5" thickBot="1">
      <c r="A113" s="50" t="s">
        <v>35</v>
      </c>
      <c r="B113" s="51">
        <f t="shared" si="6"/>
        <v>400</v>
      </c>
      <c r="C113" s="51" t="s">
        <v>3</v>
      </c>
      <c r="D113" s="51">
        <f t="shared" si="7"/>
        <v>360</v>
      </c>
      <c r="E113" s="51" t="s">
        <v>3</v>
      </c>
      <c r="F113" s="99">
        <f t="shared" si="8"/>
        <v>700</v>
      </c>
      <c r="G113" s="51" t="s">
        <v>3</v>
      </c>
      <c r="H113" s="48">
        <v>8</v>
      </c>
      <c r="I113" s="49" t="s">
        <v>47</v>
      </c>
      <c r="J113" s="184">
        <v>400</v>
      </c>
      <c r="K113" s="75">
        <v>360</v>
      </c>
      <c r="L113" s="75">
        <v>700</v>
      </c>
      <c r="M113" s="202">
        <v>16.668205762068418</v>
      </c>
      <c r="N113" s="87">
        <v>880.63834009348875</v>
      </c>
      <c r="O113" s="123">
        <v>22681.686582831604</v>
      </c>
      <c r="P113" s="121">
        <v>26816.185889685567</v>
      </c>
      <c r="Q113" s="310">
        <v>10542.143907826316</v>
      </c>
      <c r="R113" s="319">
        <v>33223.830490657921</v>
      </c>
      <c r="S113" s="315">
        <v>37358.329797511884</v>
      </c>
      <c r="U113" s="7" t="s">
        <v>4246</v>
      </c>
    </row>
    <row r="114" spans="1:21" ht="16.5" thickBot="1">
      <c r="A114" s="50" t="s">
        <v>35</v>
      </c>
      <c r="B114" s="51">
        <f t="shared" si="6"/>
        <v>400</v>
      </c>
      <c r="C114" s="51" t="s">
        <v>3</v>
      </c>
      <c r="D114" s="51">
        <f t="shared" si="7"/>
        <v>360</v>
      </c>
      <c r="E114" s="51" t="s">
        <v>3</v>
      </c>
      <c r="F114" s="99">
        <f t="shared" si="8"/>
        <v>750</v>
      </c>
      <c r="G114" s="51" t="s">
        <v>3</v>
      </c>
      <c r="H114" s="48">
        <v>8</v>
      </c>
      <c r="I114" s="49" t="s">
        <v>47</v>
      </c>
      <c r="J114" s="184">
        <v>400</v>
      </c>
      <c r="K114" s="75">
        <v>360</v>
      </c>
      <c r="L114" s="75">
        <v>750</v>
      </c>
      <c r="M114" s="202">
        <v>17.664514156430528</v>
      </c>
      <c r="N114" s="87">
        <v>1006.4438172497014</v>
      </c>
      <c r="O114" s="123">
        <v>23896.153328223267</v>
      </c>
      <c r="P114" s="121">
        <v>28256.518319027407</v>
      </c>
      <c r="Q114" s="310">
        <v>11095.741049329239</v>
      </c>
      <c r="R114" s="319">
        <v>34991.894377552504</v>
      </c>
      <c r="S114" s="315">
        <v>39352.259368356645</v>
      </c>
      <c r="U114" s="7" t="s">
        <v>4247</v>
      </c>
    </row>
    <row r="115" spans="1:21" ht="16.5" thickBot="1">
      <c r="A115" s="50" t="s">
        <v>35</v>
      </c>
      <c r="B115" s="51">
        <f t="shared" si="6"/>
        <v>400</v>
      </c>
      <c r="C115" s="51" t="s">
        <v>3</v>
      </c>
      <c r="D115" s="51">
        <f t="shared" si="7"/>
        <v>360</v>
      </c>
      <c r="E115" s="51" t="s">
        <v>3</v>
      </c>
      <c r="F115" s="99">
        <f t="shared" si="8"/>
        <v>800</v>
      </c>
      <c r="G115" s="51" t="s">
        <v>3</v>
      </c>
      <c r="H115" s="48">
        <v>8</v>
      </c>
      <c r="I115" s="49" t="s">
        <v>47</v>
      </c>
      <c r="J115" s="184">
        <v>400</v>
      </c>
      <c r="K115" s="75">
        <v>360</v>
      </c>
      <c r="L115" s="75">
        <v>800</v>
      </c>
      <c r="M115" s="202">
        <v>18.660822550792631</v>
      </c>
      <c r="N115" s="87">
        <v>1132.2492944059143</v>
      </c>
      <c r="O115" s="123">
        <v>25110.62021400829</v>
      </c>
      <c r="P115" s="121">
        <v>29696.850607975881</v>
      </c>
      <c r="Q115" s="310">
        <v>11649.338190832164</v>
      </c>
      <c r="R115" s="319">
        <v>36759.95840484045</v>
      </c>
      <c r="S115" s="315">
        <v>41346.188798808042</v>
      </c>
      <c r="U115" s="7" t="s">
        <v>4248</v>
      </c>
    </row>
    <row r="116" spans="1:21" ht="16.5" thickBot="1">
      <c r="A116" s="50" t="s">
        <v>35</v>
      </c>
      <c r="B116" s="51">
        <f t="shared" si="6"/>
        <v>400</v>
      </c>
      <c r="C116" s="51" t="s">
        <v>3</v>
      </c>
      <c r="D116" s="51">
        <f t="shared" si="7"/>
        <v>360</v>
      </c>
      <c r="E116" s="51" t="s">
        <v>3</v>
      </c>
      <c r="F116" s="99">
        <f t="shared" si="8"/>
        <v>850</v>
      </c>
      <c r="G116" s="51" t="s">
        <v>3</v>
      </c>
      <c r="H116" s="48">
        <v>8</v>
      </c>
      <c r="I116" s="49" t="s">
        <v>47</v>
      </c>
      <c r="J116" s="184">
        <v>400</v>
      </c>
      <c r="K116" s="75">
        <v>360</v>
      </c>
      <c r="L116" s="75">
        <v>850</v>
      </c>
      <c r="M116" s="202">
        <v>19.674170945154735</v>
      </c>
      <c r="N116" s="87">
        <v>1258.0547715621267</v>
      </c>
      <c r="O116" s="123">
        <v>26325.087099793316</v>
      </c>
      <c r="P116" s="121">
        <v>31137.183037317718</v>
      </c>
      <c r="Q116" s="310">
        <v>12433.517110118366</v>
      </c>
      <c r="R116" s="319">
        <v>38758.604209911682</v>
      </c>
      <c r="S116" s="315">
        <v>43570.700147436088</v>
      </c>
      <c r="U116" s="7" t="s">
        <v>4249</v>
      </c>
    </row>
    <row r="117" spans="1:21" ht="16.5" thickBot="1">
      <c r="A117" s="50" t="s">
        <v>35</v>
      </c>
      <c r="B117" s="51">
        <f t="shared" si="6"/>
        <v>400</v>
      </c>
      <c r="C117" s="51" t="s">
        <v>3</v>
      </c>
      <c r="D117" s="51">
        <f t="shared" si="7"/>
        <v>360</v>
      </c>
      <c r="E117" s="51" t="s">
        <v>3</v>
      </c>
      <c r="F117" s="99">
        <f t="shared" si="8"/>
        <v>900</v>
      </c>
      <c r="G117" s="51" t="s">
        <v>3</v>
      </c>
      <c r="H117" s="48">
        <v>8</v>
      </c>
      <c r="I117" s="49" t="s">
        <v>47</v>
      </c>
      <c r="J117" s="184">
        <v>400</v>
      </c>
      <c r="K117" s="75">
        <v>360</v>
      </c>
      <c r="L117" s="75">
        <v>900</v>
      </c>
      <c r="M117" s="202">
        <v>20.670479339516842</v>
      </c>
      <c r="N117" s="87">
        <v>1383.8602487183396</v>
      </c>
      <c r="O117" s="123">
        <v>27539.553845184982</v>
      </c>
      <c r="P117" s="121">
        <v>32577.515466659559</v>
      </c>
      <c r="Q117" s="310">
        <v>12987.114251621291</v>
      </c>
      <c r="R117" s="319">
        <v>40526.668096806272</v>
      </c>
      <c r="S117" s="315">
        <v>45564.629718280848</v>
      </c>
      <c r="U117" s="7" t="s">
        <v>4250</v>
      </c>
    </row>
    <row r="118" spans="1:21" ht="16.5" thickBot="1">
      <c r="A118" s="50" t="s">
        <v>35</v>
      </c>
      <c r="B118" s="51">
        <f t="shared" si="6"/>
        <v>400</v>
      </c>
      <c r="C118" s="51" t="s">
        <v>3</v>
      </c>
      <c r="D118" s="51">
        <f t="shared" si="7"/>
        <v>360</v>
      </c>
      <c r="E118" s="51" t="s">
        <v>3</v>
      </c>
      <c r="F118" s="99">
        <f t="shared" si="8"/>
        <v>950</v>
      </c>
      <c r="G118" s="51" t="s">
        <v>3</v>
      </c>
      <c r="H118" s="48">
        <v>8</v>
      </c>
      <c r="I118" s="49" t="s">
        <v>47</v>
      </c>
      <c r="J118" s="184">
        <v>400</v>
      </c>
      <c r="K118" s="75">
        <v>360</v>
      </c>
      <c r="L118" s="75">
        <v>950</v>
      </c>
      <c r="M118" s="202">
        <v>21.683827733878946</v>
      </c>
      <c r="N118" s="87">
        <v>1509.6657258745522</v>
      </c>
      <c r="O118" s="123">
        <v>28754.020730970009</v>
      </c>
      <c r="P118" s="121">
        <v>34017.847896001396</v>
      </c>
      <c r="Q118" s="310">
        <v>13771.293170907491</v>
      </c>
      <c r="R118" s="319">
        <v>42525.313901877496</v>
      </c>
      <c r="S118" s="315">
        <v>47789.141066908887</v>
      </c>
      <c r="U118" s="7" t="s">
        <v>4251</v>
      </c>
    </row>
    <row r="119" spans="1:21" ht="16.5" thickBot="1">
      <c r="A119" s="50" t="s">
        <v>35</v>
      </c>
      <c r="B119" s="51">
        <f t="shared" si="6"/>
        <v>400</v>
      </c>
      <c r="C119" s="51" t="s">
        <v>3</v>
      </c>
      <c r="D119" s="51">
        <f t="shared" si="7"/>
        <v>360</v>
      </c>
      <c r="E119" s="51" t="s">
        <v>3</v>
      </c>
      <c r="F119" s="99">
        <f t="shared" si="8"/>
        <v>1000</v>
      </c>
      <c r="G119" s="51" t="s">
        <v>3</v>
      </c>
      <c r="H119" s="48">
        <v>8</v>
      </c>
      <c r="I119" s="49" t="s">
        <v>47</v>
      </c>
      <c r="J119" s="184">
        <v>400</v>
      </c>
      <c r="K119" s="75">
        <v>360</v>
      </c>
      <c r="L119" s="75">
        <v>1000</v>
      </c>
      <c r="M119" s="202">
        <v>22.680136128241056</v>
      </c>
      <c r="N119" s="87">
        <v>1635.4712030307649</v>
      </c>
      <c r="O119" s="123">
        <v>29968.487616755032</v>
      </c>
      <c r="P119" s="121">
        <v>35458.18032534323</v>
      </c>
      <c r="Q119" s="310">
        <v>14324.890312410414</v>
      </c>
      <c r="R119" s="319">
        <v>44293.37792916545</v>
      </c>
      <c r="S119" s="315">
        <v>49783.070637753641</v>
      </c>
      <c r="U119" s="7" t="s">
        <v>4252</v>
      </c>
    </row>
    <row r="120" spans="1:21" ht="16.5" thickBot="1">
      <c r="A120" s="50" t="s">
        <v>35</v>
      </c>
      <c r="B120" s="51">
        <f t="shared" si="6"/>
        <v>400</v>
      </c>
      <c r="C120" s="51" t="s">
        <v>3</v>
      </c>
      <c r="D120" s="51">
        <f t="shared" si="7"/>
        <v>360</v>
      </c>
      <c r="E120" s="51" t="s">
        <v>3</v>
      </c>
      <c r="F120" s="99">
        <f t="shared" si="8"/>
        <v>1050</v>
      </c>
      <c r="G120" s="51" t="s">
        <v>3</v>
      </c>
      <c r="H120" s="48">
        <v>8</v>
      </c>
      <c r="I120" s="49" t="s">
        <v>47</v>
      </c>
      <c r="J120" s="184">
        <v>400</v>
      </c>
      <c r="K120" s="75">
        <v>360</v>
      </c>
      <c r="L120" s="75">
        <v>1050</v>
      </c>
      <c r="M120" s="202">
        <v>23.693484522603157</v>
      </c>
      <c r="N120" s="87">
        <v>1761.2766801869775</v>
      </c>
      <c r="O120" s="123">
        <v>31182.954362146695</v>
      </c>
      <c r="P120" s="121">
        <v>36898.512754685071</v>
      </c>
      <c r="Q120" s="310">
        <v>15109.069231696616</v>
      </c>
      <c r="R120" s="319">
        <v>46292.023593843311</v>
      </c>
      <c r="S120" s="315">
        <v>52007.581986381687</v>
      </c>
      <c r="U120" s="7" t="s">
        <v>4253</v>
      </c>
    </row>
    <row r="121" spans="1:21" ht="16.5" thickBot="1">
      <c r="A121" s="47" t="s">
        <v>35</v>
      </c>
      <c r="B121" s="48">
        <f t="shared" si="6"/>
        <v>400</v>
      </c>
      <c r="C121" s="48" t="s">
        <v>3</v>
      </c>
      <c r="D121" s="48">
        <f t="shared" si="7"/>
        <v>360</v>
      </c>
      <c r="E121" s="48" t="s">
        <v>3</v>
      </c>
      <c r="F121" s="99">
        <f t="shared" si="8"/>
        <v>1100</v>
      </c>
      <c r="G121" s="48" t="s">
        <v>3</v>
      </c>
      <c r="H121" s="48">
        <v>8</v>
      </c>
      <c r="I121" s="49" t="s">
        <v>47</v>
      </c>
      <c r="J121" s="184">
        <v>400</v>
      </c>
      <c r="K121" s="75">
        <v>360</v>
      </c>
      <c r="L121" s="75">
        <v>1100</v>
      </c>
      <c r="M121" s="202">
        <v>24.68979291696526</v>
      </c>
      <c r="N121" s="87">
        <v>1887.0821573431904</v>
      </c>
      <c r="O121" s="123">
        <v>32397.421247931718</v>
      </c>
      <c r="P121" s="121">
        <v>38338.845043633548</v>
      </c>
      <c r="Q121" s="310">
        <v>15662.66637319954</v>
      </c>
      <c r="R121" s="319">
        <v>48060.087621131257</v>
      </c>
      <c r="S121" s="315">
        <v>54001.511416833091</v>
      </c>
      <c r="U121" s="7" t="s">
        <v>4254</v>
      </c>
    </row>
    <row r="122" spans="1:21" ht="16.5" thickBot="1">
      <c r="A122" s="50" t="s">
        <v>35</v>
      </c>
      <c r="B122" s="51">
        <f t="shared" si="6"/>
        <v>400</v>
      </c>
      <c r="C122" s="51" t="s">
        <v>3</v>
      </c>
      <c r="D122" s="51">
        <f t="shared" si="7"/>
        <v>360</v>
      </c>
      <c r="E122" s="51" t="s">
        <v>3</v>
      </c>
      <c r="F122" s="99">
        <f t="shared" si="8"/>
        <v>1150</v>
      </c>
      <c r="G122" s="51" t="s">
        <v>3</v>
      </c>
      <c r="H122" s="48">
        <v>8</v>
      </c>
      <c r="I122" s="49" t="s">
        <v>47</v>
      </c>
      <c r="J122" s="184">
        <v>400</v>
      </c>
      <c r="K122" s="75">
        <v>360</v>
      </c>
      <c r="L122" s="75">
        <v>1150</v>
      </c>
      <c r="M122" s="202">
        <v>25.68610131132737</v>
      </c>
      <c r="N122" s="87">
        <v>2012.8876344994028</v>
      </c>
      <c r="O122" s="123">
        <v>33611.88813371674</v>
      </c>
      <c r="P122" s="121">
        <v>39779.177472975382</v>
      </c>
      <c r="Q122" s="310">
        <v>16216.263514702467</v>
      </c>
      <c r="R122" s="319">
        <v>49828.151648419211</v>
      </c>
      <c r="S122" s="315">
        <v>55995.440987677852</v>
      </c>
      <c r="U122" s="7" t="s">
        <v>4255</v>
      </c>
    </row>
    <row r="123" spans="1:21" ht="16.5" thickBot="1">
      <c r="A123" s="50" t="s">
        <v>35</v>
      </c>
      <c r="B123" s="51">
        <f t="shared" si="6"/>
        <v>400</v>
      </c>
      <c r="C123" s="51" t="s">
        <v>3</v>
      </c>
      <c r="D123" s="51">
        <f t="shared" si="7"/>
        <v>360</v>
      </c>
      <c r="E123" s="51" t="s">
        <v>3</v>
      </c>
      <c r="F123" s="99">
        <f t="shared" si="8"/>
        <v>1200</v>
      </c>
      <c r="G123" s="51" t="s">
        <v>3</v>
      </c>
      <c r="H123" s="48">
        <v>8</v>
      </c>
      <c r="I123" s="49" t="s">
        <v>47</v>
      </c>
      <c r="J123" s="184">
        <v>400</v>
      </c>
      <c r="K123" s="75">
        <v>360</v>
      </c>
      <c r="L123" s="75">
        <v>1200</v>
      </c>
      <c r="M123" s="202">
        <v>26.856449705689471</v>
      </c>
      <c r="N123" s="87">
        <v>2138.6931116556157</v>
      </c>
      <c r="O123" s="123">
        <v>34980.663750912681</v>
      </c>
      <c r="P123" s="121">
        <v>41374.760673190511</v>
      </c>
      <c r="Q123" s="310">
        <v>17000.442574382028</v>
      </c>
      <c r="R123" s="319">
        <v>51981.106325294706</v>
      </c>
      <c r="S123" s="315">
        <v>58375.203247572543</v>
      </c>
      <c r="U123" s="7" t="s">
        <v>4256</v>
      </c>
    </row>
    <row r="124" spans="1:21" ht="16.5" thickBot="1">
      <c r="A124" s="50" t="s">
        <v>35</v>
      </c>
      <c r="B124" s="51">
        <f t="shared" si="6"/>
        <v>400</v>
      </c>
      <c r="C124" s="51" t="s">
        <v>3</v>
      </c>
      <c r="D124" s="51">
        <f t="shared" si="7"/>
        <v>360</v>
      </c>
      <c r="E124" s="51" t="s">
        <v>3</v>
      </c>
      <c r="F124" s="99">
        <f t="shared" si="8"/>
        <v>1250</v>
      </c>
      <c r="G124" s="51" t="s">
        <v>3</v>
      </c>
      <c r="H124" s="48">
        <v>8</v>
      </c>
      <c r="I124" s="49" t="s">
        <v>47</v>
      </c>
      <c r="J124" s="184">
        <v>400</v>
      </c>
      <c r="K124" s="75">
        <v>360</v>
      </c>
      <c r="L124" s="75">
        <v>1250</v>
      </c>
      <c r="M124" s="202">
        <v>27.852758100051581</v>
      </c>
      <c r="N124" s="87">
        <v>2264.4985888118285</v>
      </c>
      <c r="O124" s="123">
        <v>36195.130636697708</v>
      </c>
      <c r="P124" s="121">
        <v>42815.093102532344</v>
      </c>
      <c r="Q124" s="310">
        <v>17554.039715884952</v>
      </c>
      <c r="R124" s="319">
        <v>53749.17035258266</v>
      </c>
      <c r="S124" s="315">
        <v>60369.132818417296</v>
      </c>
      <c r="U124" s="7" t="s">
        <v>4257</v>
      </c>
    </row>
    <row r="125" spans="1:21" ht="16.5" thickBot="1">
      <c r="A125" s="50" t="s">
        <v>35</v>
      </c>
      <c r="B125" s="51">
        <f t="shared" si="6"/>
        <v>400</v>
      </c>
      <c r="C125" s="51" t="s">
        <v>3</v>
      </c>
      <c r="D125" s="51">
        <f t="shared" si="7"/>
        <v>360</v>
      </c>
      <c r="E125" s="51" t="s">
        <v>3</v>
      </c>
      <c r="F125" s="99">
        <f t="shared" si="8"/>
        <v>1300</v>
      </c>
      <c r="G125" s="51" t="s">
        <v>3</v>
      </c>
      <c r="H125" s="48">
        <v>8</v>
      </c>
      <c r="I125" s="49" t="s">
        <v>47</v>
      </c>
      <c r="J125" s="184">
        <v>400</v>
      </c>
      <c r="K125" s="75">
        <v>360</v>
      </c>
      <c r="L125" s="75">
        <v>1300</v>
      </c>
      <c r="M125" s="202">
        <v>28.866106494413682</v>
      </c>
      <c r="N125" s="87">
        <v>2390.3040659680414</v>
      </c>
      <c r="O125" s="123">
        <v>37409.597382089371</v>
      </c>
      <c r="P125" s="121">
        <v>44255.425531874185</v>
      </c>
      <c r="Q125" s="310">
        <v>18338.218635171153</v>
      </c>
      <c r="R125" s="319">
        <v>55747.816017260528</v>
      </c>
      <c r="S125" s="315">
        <v>62593.644167045335</v>
      </c>
      <c r="U125" s="7" t="s">
        <v>4258</v>
      </c>
    </row>
    <row r="126" spans="1:21" ht="16.5" thickBot="1">
      <c r="A126" s="50" t="s">
        <v>35</v>
      </c>
      <c r="B126" s="51">
        <f t="shared" si="6"/>
        <v>400</v>
      </c>
      <c r="C126" s="51" t="s">
        <v>3</v>
      </c>
      <c r="D126" s="51">
        <f t="shared" si="7"/>
        <v>360</v>
      </c>
      <c r="E126" s="51" t="s">
        <v>3</v>
      </c>
      <c r="F126" s="99">
        <f t="shared" si="8"/>
        <v>1350</v>
      </c>
      <c r="G126" s="51" t="s">
        <v>3</v>
      </c>
      <c r="H126" s="48">
        <v>8</v>
      </c>
      <c r="I126" s="49" t="s">
        <v>47</v>
      </c>
      <c r="J126" s="184">
        <v>400</v>
      </c>
      <c r="K126" s="75">
        <v>360</v>
      </c>
      <c r="L126" s="75">
        <v>1350</v>
      </c>
      <c r="M126" s="202">
        <v>29.862414888775788</v>
      </c>
      <c r="N126" s="87">
        <v>2516.1095431242534</v>
      </c>
      <c r="O126" s="123">
        <v>38624.06426787439</v>
      </c>
      <c r="P126" s="121">
        <v>45695.757961216019</v>
      </c>
      <c r="Q126" s="310">
        <v>18891.815776674081</v>
      </c>
      <c r="R126" s="319">
        <v>57515.880044548467</v>
      </c>
      <c r="S126" s="315">
        <v>64587.573737890096</v>
      </c>
      <c r="U126" s="7" t="s">
        <v>4259</v>
      </c>
    </row>
    <row r="127" spans="1:21" ht="16.5" thickBot="1">
      <c r="A127" s="50" t="s">
        <v>35</v>
      </c>
      <c r="B127" s="51">
        <f t="shared" si="6"/>
        <v>400</v>
      </c>
      <c r="C127" s="51" t="s">
        <v>3</v>
      </c>
      <c r="D127" s="51">
        <f t="shared" si="7"/>
        <v>360</v>
      </c>
      <c r="E127" s="51" t="s">
        <v>3</v>
      </c>
      <c r="F127" s="99">
        <f t="shared" si="8"/>
        <v>1400</v>
      </c>
      <c r="G127" s="51" t="s">
        <v>3</v>
      </c>
      <c r="H127" s="48">
        <v>8</v>
      </c>
      <c r="I127" s="49" t="s">
        <v>47</v>
      </c>
      <c r="J127" s="184">
        <v>400</v>
      </c>
      <c r="K127" s="75">
        <v>360</v>
      </c>
      <c r="L127" s="75">
        <v>1400</v>
      </c>
      <c r="M127" s="202">
        <v>30.875763283137893</v>
      </c>
      <c r="N127" s="87">
        <v>2641.9150202804663</v>
      </c>
      <c r="O127" s="123">
        <v>39838.531153659424</v>
      </c>
      <c r="P127" s="121">
        <v>47136.09039055786</v>
      </c>
      <c r="Q127" s="310">
        <v>19675.994695960278</v>
      </c>
      <c r="R127" s="319">
        <v>59514.525849619706</v>
      </c>
      <c r="S127" s="315">
        <v>66812.085086518142</v>
      </c>
      <c r="U127" s="7" t="s">
        <v>4260</v>
      </c>
    </row>
    <row r="128" spans="1:21" ht="16.5" thickBot="1">
      <c r="A128" s="50" t="s">
        <v>35</v>
      </c>
      <c r="B128" s="51">
        <f t="shared" si="6"/>
        <v>400</v>
      </c>
      <c r="C128" s="51" t="s">
        <v>3</v>
      </c>
      <c r="D128" s="51">
        <f t="shared" si="7"/>
        <v>360</v>
      </c>
      <c r="E128" s="51" t="s">
        <v>3</v>
      </c>
      <c r="F128" s="99">
        <f t="shared" si="8"/>
        <v>1450</v>
      </c>
      <c r="G128" s="51" t="s">
        <v>3</v>
      </c>
      <c r="H128" s="48">
        <v>8</v>
      </c>
      <c r="I128" s="49" t="s">
        <v>47</v>
      </c>
      <c r="J128" s="184">
        <v>400</v>
      </c>
      <c r="K128" s="75">
        <v>360</v>
      </c>
      <c r="L128" s="75">
        <v>1450</v>
      </c>
      <c r="M128" s="202">
        <v>31.872071677499999</v>
      </c>
      <c r="N128" s="87">
        <v>2767.7204974366791</v>
      </c>
      <c r="O128" s="123">
        <v>41052.997899051086</v>
      </c>
      <c r="P128" s="121">
        <v>48576.422819899701</v>
      </c>
      <c r="Q128" s="310">
        <v>20229.591837463206</v>
      </c>
      <c r="R128" s="319">
        <v>61282.589736514288</v>
      </c>
      <c r="S128" s="315">
        <v>68806.014657362903</v>
      </c>
      <c r="U128" s="7" t="s">
        <v>4261</v>
      </c>
    </row>
    <row r="129" spans="1:21" ht="16.5" thickBot="1">
      <c r="A129" s="50" t="s">
        <v>35</v>
      </c>
      <c r="B129" s="51">
        <f t="shared" si="6"/>
        <v>400</v>
      </c>
      <c r="C129" s="51" t="s">
        <v>3</v>
      </c>
      <c r="D129" s="51">
        <f t="shared" si="7"/>
        <v>360</v>
      </c>
      <c r="E129" s="51" t="s">
        <v>3</v>
      </c>
      <c r="F129" s="99">
        <f t="shared" si="8"/>
        <v>1500</v>
      </c>
      <c r="G129" s="51" t="s">
        <v>3</v>
      </c>
      <c r="H129" s="48">
        <v>8</v>
      </c>
      <c r="I129" s="49" t="s">
        <v>47</v>
      </c>
      <c r="J129" s="184">
        <v>400</v>
      </c>
      <c r="K129" s="75">
        <v>360</v>
      </c>
      <c r="L129" s="75">
        <v>1500</v>
      </c>
      <c r="M129" s="202">
        <v>33.121041365822109</v>
      </c>
      <c r="N129" s="87">
        <v>2893.5259745928915</v>
      </c>
      <c r="O129" s="123">
        <v>43019.934178481337</v>
      </c>
      <c r="P129" s="121">
        <v>50755.388736619025</v>
      </c>
      <c r="Q129" s="310">
        <v>21013.770756749404</v>
      </c>
      <c r="R129" s="319">
        <v>64033.704935230737</v>
      </c>
      <c r="S129" s="315">
        <v>71769.159493368425</v>
      </c>
      <c r="U129" s="7" t="s">
        <v>4262</v>
      </c>
    </row>
    <row r="130" spans="1:21" ht="16.5" thickBot="1">
      <c r="A130" s="50" t="s">
        <v>35</v>
      </c>
      <c r="B130" s="51">
        <f t="shared" si="6"/>
        <v>400</v>
      </c>
      <c r="C130" s="51" t="s">
        <v>3</v>
      </c>
      <c r="D130" s="51">
        <f t="shared" si="7"/>
        <v>360</v>
      </c>
      <c r="E130" s="51" t="s">
        <v>3</v>
      </c>
      <c r="F130" s="99">
        <f t="shared" si="8"/>
        <v>1550</v>
      </c>
      <c r="G130" s="51" t="s">
        <v>3</v>
      </c>
      <c r="H130" s="48">
        <v>8</v>
      </c>
      <c r="I130" s="49" t="s">
        <v>47</v>
      </c>
      <c r="J130" s="184">
        <v>400</v>
      </c>
      <c r="K130" s="75">
        <v>360</v>
      </c>
      <c r="L130" s="75">
        <v>1550</v>
      </c>
      <c r="M130" s="202">
        <v>34.117349760184212</v>
      </c>
      <c r="N130" s="87">
        <v>3019.3314517491044</v>
      </c>
      <c r="O130" s="123">
        <v>44234.400923872992</v>
      </c>
      <c r="P130" s="121">
        <v>52195.721165960866</v>
      </c>
      <c r="Q130" s="310">
        <v>21567.367898252327</v>
      </c>
      <c r="R130" s="319">
        <v>65801.768822125319</v>
      </c>
      <c r="S130" s="315">
        <v>73763.089064213185</v>
      </c>
      <c r="U130" s="7" t="s">
        <v>4263</v>
      </c>
    </row>
    <row r="131" spans="1:21" ht="16.5" thickBot="1">
      <c r="A131" s="47" t="s">
        <v>35</v>
      </c>
      <c r="B131" s="48">
        <f t="shared" si="6"/>
        <v>400</v>
      </c>
      <c r="C131" s="48" t="s">
        <v>3</v>
      </c>
      <c r="D131" s="48">
        <f t="shared" si="7"/>
        <v>360</v>
      </c>
      <c r="E131" s="48" t="s">
        <v>3</v>
      </c>
      <c r="F131" s="99">
        <f t="shared" si="8"/>
        <v>1600</v>
      </c>
      <c r="G131" s="48" t="s">
        <v>3</v>
      </c>
      <c r="H131" s="48">
        <v>8</v>
      </c>
      <c r="I131" s="49" t="s">
        <v>47</v>
      </c>
      <c r="J131" s="184">
        <v>400</v>
      </c>
      <c r="K131" s="75">
        <v>360</v>
      </c>
      <c r="L131" s="75">
        <v>1600</v>
      </c>
      <c r="M131" s="202">
        <v>35.113658154546307</v>
      </c>
      <c r="N131" s="87">
        <v>3145.1369289053173</v>
      </c>
      <c r="O131" s="123">
        <v>45448.867809658019</v>
      </c>
      <c r="P131" s="121">
        <v>53636.053454909328</v>
      </c>
      <c r="Q131" s="310">
        <v>22120.965039755254</v>
      </c>
      <c r="R131" s="319">
        <v>67569.832849413273</v>
      </c>
      <c r="S131" s="315">
        <v>75757.018494664575</v>
      </c>
      <c r="U131" s="7" t="s">
        <v>4264</v>
      </c>
    </row>
    <row r="132" spans="1:21" ht="16.5" thickBot="1">
      <c r="A132" s="50" t="s">
        <v>35</v>
      </c>
      <c r="B132" s="51">
        <f t="shared" si="6"/>
        <v>400</v>
      </c>
      <c r="C132" s="51" t="s">
        <v>3</v>
      </c>
      <c r="D132" s="51">
        <f t="shared" si="7"/>
        <v>360</v>
      </c>
      <c r="E132" s="51" t="s">
        <v>3</v>
      </c>
      <c r="F132" s="99">
        <f t="shared" si="8"/>
        <v>1650</v>
      </c>
      <c r="G132" s="51" t="s">
        <v>3</v>
      </c>
      <c r="H132" s="48">
        <v>8</v>
      </c>
      <c r="I132" s="49" t="s">
        <v>47</v>
      </c>
      <c r="J132" s="184">
        <v>400</v>
      </c>
      <c r="K132" s="75">
        <v>360</v>
      </c>
      <c r="L132" s="75">
        <v>1650</v>
      </c>
      <c r="M132" s="202">
        <v>36.127006548908419</v>
      </c>
      <c r="N132" s="87">
        <v>3270.9424060615297</v>
      </c>
      <c r="O132" s="123">
        <v>46663.334695443053</v>
      </c>
      <c r="P132" s="121">
        <v>55076.385884251176</v>
      </c>
      <c r="Q132" s="310">
        <v>22905.143959041456</v>
      </c>
      <c r="R132" s="319">
        <v>69568.478654484512</v>
      </c>
      <c r="S132" s="315">
        <v>77981.529843292636</v>
      </c>
      <c r="U132" s="7" t="s">
        <v>4265</v>
      </c>
    </row>
    <row r="133" spans="1:21" ht="16.5" thickBot="1">
      <c r="A133" s="50" t="s">
        <v>35</v>
      </c>
      <c r="B133" s="51">
        <f t="shared" si="6"/>
        <v>400</v>
      </c>
      <c r="C133" s="51" t="s">
        <v>3</v>
      </c>
      <c r="D133" s="51">
        <f t="shared" si="7"/>
        <v>360</v>
      </c>
      <c r="E133" s="51" t="s">
        <v>3</v>
      </c>
      <c r="F133" s="99">
        <f t="shared" si="8"/>
        <v>1700</v>
      </c>
      <c r="G133" s="51" t="s">
        <v>3</v>
      </c>
      <c r="H133" s="48">
        <v>8</v>
      </c>
      <c r="I133" s="49" t="s">
        <v>47</v>
      </c>
      <c r="J133" s="184">
        <v>400</v>
      </c>
      <c r="K133" s="75">
        <v>360</v>
      </c>
      <c r="L133" s="75">
        <v>1700</v>
      </c>
      <c r="M133" s="202">
        <v>37.123314943270529</v>
      </c>
      <c r="N133" s="87">
        <v>3396.747883217743</v>
      </c>
      <c r="O133" s="123">
        <v>47877.801440834708</v>
      </c>
      <c r="P133" s="121">
        <v>56516.718313593017</v>
      </c>
      <c r="Q133" s="310">
        <v>23458.741100544379</v>
      </c>
      <c r="R133" s="319">
        <v>71336.54254137908</v>
      </c>
      <c r="S133" s="315">
        <v>79975.459414137396</v>
      </c>
      <c r="U133" s="7" t="s">
        <v>4266</v>
      </c>
    </row>
    <row r="134" spans="1:21" ht="16.5" thickBot="1">
      <c r="A134" s="50" t="s">
        <v>35</v>
      </c>
      <c r="B134" s="51">
        <f t="shared" si="6"/>
        <v>400</v>
      </c>
      <c r="C134" s="51" t="s">
        <v>3</v>
      </c>
      <c r="D134" s="51">
        <f t="shared" si="7"/>
        <v>360</v>
      </c>
      <c r="E134" s="51" t="s">
        <v>3</v>
      </c>
      <c r="F134" s="99">
        <f t="shared" si="8"/>
        <v>1750</v>
      </c>
      <c r="G134" s="51" t="s">
        <v>3</v>
      </c>
      <c r="H134" s="48">
        <v>8</v>
      </c>
      <c r="I134" s="49" t="s">
        <v>47</v>
      </c>
      <c r="J134" s="184">
        <v>400</v>
      </c>
      <c r="K134" s="75">
        <v>360</v>
      </c>
      <c r="L134" s="75">
        <v>1750</v>
      </c>
      <c r="M134" s="202">
        <v>38.136663337632626</v>
      </c>
      <c r="N134" s="87">
        <v>3522.553360373955</v>
      </c>
      <c r="O134" s="123">
        <v>49092.268326619735</v>
      </c>
      <c r="P134" s="121">
        <v>57957.050742934851</v>
      </c>
      <c r="Q134" s="310">
        <v>24242.920019830581</v>
      </c>
      <c r="R134" s="319">
        <v>73335.188346450319</v>
      </c>
      <c r="S134" s="315">
        <v>82199.970762765428</v>
      </c>
      <c r="U134" s="7" t="s">
        <v>4267</v>
      </c>
    </row>
    <row r="135" spans="1:21" ht="16.5" thickBot="1">
      <c r="A135" s="50" t="s">
        <v>35</v>
      </c>
      <c r="B135" s="51">
        <f t="shared" si="6"/>
        <v>400</v>
      </c>
      <c r="C135" s="51" t="s">
        <v>3</v>
      </c>
      <c r="D135" s="51">
        <f t="shared" si="7"/>
        <v>360</v>
      </c>
      <c r="E135" s="51" t="s">
        <v>3</v>
      </c>
      <c r="F135" s="99">
        <f t="shared" si="8"/>
        <v>1800</v>
      </c>
      <c r="G135" s="51" t="s">
        <v>3</v>
      </c>
      <c r="H135" s="48">
        <v>8</v>
      </c>
      <c r="I135" s="49" t="s">
        <v>47</v>
      </c>
      <c r="J135" s="184">
        <v>400</v>
      </c>
      <c r="K135" s="75">
        <v>360</v>
      </c>
      <c r="L135" s="75">
        <v>1800</v>
      </c>
      <c r="M135" s="202">
        <v>39.132971731994729</v>
      </c>
      <c r="N135" s="87">
        <v>3648.3588375301683</v>
      </c>
      <c r="O135" s="123">
        <v>50306.735212404754</v>
      </c>
      <c r="P135" s="121">
        <v>59397.383172276692</v>
      </c>
      <c r="Q135" s="310">
        <v>24796.517161333504</v>
      </c>
      <c r="R135" s="319">
        <v>75103.252373738258</v>
      </c>
      <c r="S135" s="315">
        <v>84193.900333610189</v>
      </c>
      <c r="U135" s="7" t="s">
        <v>4268</v>
      </c>
    </row>
    <row r="136" spans="1:21" ht="16.5" thickBot="1">
      <c r="A136" s="50" t="s">
        <v>35</v>
      </c>
      <c r="B136" s="51">
        <f t="shared" si="6"/>
        <v>400</v>
      </c>
      <c r="C136" s="51" t="s">
        <v>3</v>
      </c>
      <c r="D136" s="51">
        <f t="shared" si="7"/>
        <v>360</v>
      </c>
      <c r="E136" s="51" t="s">
        <v>3</v>
      </c>
      <c r="F136" s="99">
        <f t="shared" si="8"/>
        <v>1850</v>
      </c>
      <c r="G136" s="51" t="s">
        <v>3</v>
      </c>
      <c r="H136" s="48">
        <v>8</v>
      </c>
      <c r="I136" s="49" t="s">
        <v>47</v>
      </c>
      <c r="J136" s="184">
        <v>400</v>
      </c>
      <c r="K136" s="75">
        <v>360</v>
      </c>
      <c r="L136" s="75">
        <v>1850</v>
      </c>
      <c r="M136" s="202">
        <v>40.146320126356841</v>
      </c>
      <c r="N136" s="87">
        <v>3774.1643146863807</v>
      </c>
      <c r="O136" s="123">
        <v>51521.201957796424</v>
      </c>
      <c r="P136" s="121">
        <v>60837.715461225169</v>
      </c>
      <c r="Q136" s="310">
        <v>25580.69622101307</v>
      </c>
      <c r="R136" s="319">
        <v>77101.898178809497</v>
      </c>
      <c r="S136" s="315">
        <v>86418.411682238235</v>
      </c>
      <c r="U136" s="7" t="s">
        <v>4269</v>
      </c>
    </row>
    <row r="137" spans="1:21" ht="16.5" thickBot="1">
      <c r="A137" s="50" t="s">
        <v>35</v>
      </c>
      <c r="B137" s="51">
        <f t="shared" si="6"/>
        <v>400</v>
      </c>
      <c r="C137" s="51" t="s">
        <v>3</v>
      </c>
      <c r="D137" s="51">
        <f t="shared" si="7"/>
        <v>360</v>
      </c>
      <c r="E137" s="51" t="s">
        <v>3</v>
      </c>
      <c r="F137" s="99">
        <f t="shared" si="8"/>
        <v>1900</v>
      </c>
      <c r="G137" s="51" t="s">
        <v>3</v>
      </c>
      <c r="H137" s="48">
        <v>8</v>
      </c>
      <c r="I137" s="49" t="s">
        <v>47</v>
      </c>
      <c r="J137" s="184">
        <v>400</v>
      </c>
      <c r="K137" s="75">
        <v>360</v>
      </c>
      <c r="L137" s="75">
        <v>1900</v>
      </c>
      <c r="M137" s="202">
        <v>41.142628520718944</v>
      </c>
      <c r="N137" s="87">
        <v>3899.9697918425936</v>
      </c>
      <c r="O137" s="123">
        <v>52735.66884358145</v>
      </c>
      <c r="P137" s="121">
        <v>62278.047890567002</v>
      </c>
      <c r="Q137" s="310">
        <v>26134.293362515993</v>
      </c>
      <c r="R137" s="319">
        <v>78869.962206097436</v>
      </c>
      <c r="S137" s="315">
        <v>88412.341253082996</v>
      </c>
      <c r="U137" s="7" t="s">
        <v>4270</v>
      </c>
    </row>
    <row r="138" spans="1:21" ht="16.5" thickBot="1">
      <c r="A138" s="50" t="s">
        <v>35</v>
      </c>
      <c r="B138" s="51">
        <f t="shared" si="6"/>
        <v>400</v>
      </c>
      <c r="C138" s="51" t="s">
        <v>3</v>
      </c>
      <c r="D138" s="51">
        <f t="shared" si="7"/>
        <v>360</v>
      </c>
      <c r="E138" s="51" t="s">
        <v>3</v>
      </c>
      <c r="F138" s="99">
        <f t="shared" si="8"/>
        <v>1950</v>
      </c>
      <c r="G138" s="51" t="s">
        <v>3</v>
      </c>
      <c r="H138" s="48">
        <v>8</v>
      </c>
      <c r="I138" s="49" t="s">
        <v>47</v>
      </c>
      <c r="J138" s="184">
        <v>400</v>
      </c>
      <c r="K138" s="75">
        <v>360</v>
      </c>
      <c r="L138" s="75">
        <v>1950</v>
      </c>
      <c r="M138" s="202">
        <v>42.29593691508105</v>
      </c>
      <c r="N138" s="87">
        <v>4025.7752689988056</v>
      </c>
      <c r="O138" s="123">
        <v>54104.444460777384</v>
      </c>
      <c r="P138" s="121">
        <v>63873.631231175488</v>
      </c>
      <c r="Q138" s="310">
        <v>26687.890504018917</v>
      </c>
      <c r="R138" s="319">
        <v>80792.334964796304</v>
      </c>
      <c r="S138" s="315">
        <v>90561.521735194401</v>
      </c>
      <c r="U138" s="7" t="s">
        <v>4271</v>
      </c>
    </row>
    <row r="139" spans="1:21" ht="16.5" thickBot="1">
      <c r="A139" s="50" t="s">
        <v>35</v>
      </c>
      <c r="B139" s="51">
        <f t="shared" si="6"/>
        <v>400</v>
      </c>
      <c r="C139" s="51" t="s">
        <v>3</v>
      </c>
      <c r="D139" s="51">
        <f t="shared" si="7"/>
        <v>360</v>
      </c>
      <c r="E139" s="51" t="s">
        <v>3</v>
      </c>
      <c r="F139" s="99">
        <f t="shared" si="8"/>
        <v>2000</v>
      </c>
      <c r="G139" s="51" t="s">
        <v>3</v>
      </c>
      <c r="H139" s="48">
        <v>8</v>
      </c>
      <c r="I139" s="49" t="s">
        <v>47</v>
      </c>
      <c r="J139" s="184">
        <v>400</v>
      </c>
      <c r="K139" s="75">
        <v>360</v>
      </c>
      <c r="L139" s="75">
        <v>2000</v>
      </c>
      <c r="M139" s="202">
        <v>43.400847709443156</v>
      </c>
      <c r="N139" s="87">
        <v>4151.5807461550185</v>
      </c>
      <c r="O139" s="123">
        <v>55549.454375777634</v>
      </c>
      <c r="P139" s="121">
        <v>65626.644388036628</v>
      </c>
      <c r="Q139" s="310">
        <v>27472.069423305118</v>
      </c>
      <c r="R139" s="319">
        <v>83021.523799082759</v>
      </c>
      <c r="S139" s="315">
        <v>93098.713811341746</v>
      </c>
      <c r="U139" s="7" t="s">
        <v>4272</v>
      </c>
    </row>
    <row r="140" spans="1:21" ht="16.5" thickBot="1">
      <c r="A140" s="50" t="s">
        <v>35</v>
      </c>
      <c r="B140" s="51">
        <f t="shared" si="6"/>
        <v>400</v>
      </c>
      <c r="C140" s="51" t="s">
        <v>3</v>
      </c>
      <c r="D140" s="51">
        <f t="shared" si="7"/>
        <v>360</v>
      </c>
      <c r="E140" s="51" t="s">
        <v>3</v>
      </c>
      <c r="F140" s="99">
        <f t="shared" si="8"/>
        <v>2050</v>
      </c>
      <c r="G140" s="51" t="s">
        <v>3</v>
      </c>
      <c r="H140" s="48">
        <v>8</v>
      </c>
      <c r="I140" s="49" t="s">
        <v>47</v>
      </c>
      <c r="J140" s="184">
        <v>400</v>
      </c>
      <c r="K140" s="75">
        <v>360</v>
      </c>
      <c r="L140" s="75">
        <v>2050</v>
      </c>
      <c r="M140" s="202">
        <v>44.397156103805258</v>
      </c>
      <c r="N140" s="87">
        <v>4277.3862233112313</v>
      </c>
      <c r="O140" s="123">
        <v>56763.921121169304</v>
      </c>
      <c r="P140" s="121">
        <v>67066.976676985098</v>
      </c>
      <c r="Q140" s="310">
        <v>28025.666564808042</v>
      </c>
      <c r="R140" s="319">
        <v>84789.587685977342</v>
      </c>
      <c r="S140" s="315">
        <v>95092.643241793136</v>
      </c>
      <c r="U140" s="7" t="s">
        <v>4273</v>
      </c>
    </row>
    <row r="141" spans="1:21" ht="16.5" thickBot="1">
      <c r="A141" s="47" t="s">
        <v>35</v>
      </c>
      <c r="B141" s="48">
        <f t="shared" si="6"/>
        <v>400</v>
      </c>
      <c r="C141" s="48" t="s">
        <v>3</v>
      </c>
      <c r="D141" s="48">
        <f t="shared" si="7"/>
        <v>360</v>
      </c>
      <c r="E141" s="48" t="s">
        <v>3</v>
      </c>
      <c r="F141" s="99">
        <f t="shared" si="8"/>
        <v>2100</v>
      </c>
      <c r="G141" s="48" t="s">
        <v>3</v>
      </c>
      <c r="H141" s="48">
        <v>8</v>
      </c>
      <c r="I141" s="49" t="s">
        <v>47</v>
      </c>
      <c r="J141" s="184">
        <v>400</v>
      </c>
      <c r="K141" s="75">
        <v>360</v>
      </c>
      <c r="L141" s="75">
        <v>2100</v>
      </c>
      <c r="M141" s="202">
        <v>45.410504498167363</v>
      </c>
      <c r="N141" s="87">
        <v>4403.1917004674442</v>
      </c>
      <c r="O141" s="123">
        <v>57978.388006954323</v>
      </c>
      <c r="P141" s="121">
        <v>68507.309106326938</v>
      </c>
      <c r="Q141" s="310">
        <v>28809.845484094247</v>
      </c>
      <c r="R141" s="319">
        <v>86788.233491048566</v>
      </c>
      <c r="S141" s="315">
        <v>97317.154590421182</v>
      </c>
      <c r="U141" s="7" t="s">
        <v>4274</v>
      </c>
    </row>
    <row r="142" spans="1:21" ht="16.5" thickBot="1">
      <c r="A142" s="50" t="s">
        <v>35</v>
      </c>
      <c r="B142" s="51">
        <f t="shared" si="6"/>
        <v>400</v>
      </c>
      <c r="C142" s="51" t="s">
        <v>3</v>
      </c>
      <c r="D142" s="51">
        <f t="shared" si="7"/>
        <v>360</v>
      </c>
      <c r="E142" s="51" t="s">
        <v>3</v>
      </c>
      <c r="F142" s="99">
        <f t="shared" si="8"/>
        <v>2150</v>
      </c>
      <c r="G142" s="51" t="s">
        <v>3</v>
      </c>
      <c r="H142" s="48">
        <v>8</v>
      </c>
      <c r="I142" s="49" t="s">
        <v>47</v>
      </c>
      <c r="J142" s="184">
        <v>400</v>
      </c>
      <c r="K142" s="75">
        <v>360</v>
      </c>
      <c r="L142" s="75">
        <v>2150</v>
      </c>
      <c r="M142" s="202">
        <v>46.406812892529473</v>
      </c>
      <c r="N142" s="87">
        <v>4528.9971776236571</v>
      </c>
      <c r="O142" s="123">
        <v>59192.854892739349</v>
      </c>
      <c r="P142" s="121">
        <v>69947.641535668779</v>
      </c>
      <c r="Q142" s="310">
        <v>29363.442625597167</v>
      </c>
      <c r="R142" s="319">
        <v>88556.29751833652</v>
      </c>
      <c r="S142" s="315">
        <v>99311.084161265942</v>
      </c>
      <c r="U142" s="7" t="s">
        <v>4275</v>
      </c>
    </row>
    <row r="143" spans="1:21" ht="16.5" thickBot="1">
      <c r="A143" s="50" t="s">
        <v>35</v>
      </c>
      <c r="B143" s="51">
        <f t="shared" si="6"/>
        <v>400</v>
      </c>
      <c r="C143" s="51" t="s">
        <v>3</v>
      </c>
      <c r="D143" s="51">
        <f t="shared" si="7"/>
        <v>360</v>
      </c>
      <c r="E143" s="51" t="s">
        <v>3</v>
      </c>
      <c r="F143" s="99">
        <f t="shared" si="8"/>
        <v>2200</v>
      </c>
      <c r="G143" s="51" t="s">
        <v>3</v>
      </c>
      <c r="H143" s="48">
        <v>8</v>
      </c>
      <c r="I143" s="49" t="s">
        <v>47</v>
      </c>
      <c r="J143" s="184">
        <v>400</v>
      </c>
      <c r="K143" s="75">
        <v>360</v>
      </c>
      <c r="L143" s="75">
        <v>2200</v>
      </c>
      <c r="M143" s="202">
        <v>47.420161286891577</v>
      </c>
      <c r="N143" s="87">
        <v>4654.802654779869</v>
      </c>
      <c r="O143" s="123">
        <v>60407.321638131019</v>
      </c>
      <c r="P143" s="121">
        <v>71387.973965010475</v>
      </c>
      <c r="Q143" s="310">
        <v>30147.621544883372</v>
      </c>
      <c r="R143" s="319">
        <v>90554.943183014388</v>
      </c>
      <c r="S143" s="315">
        <v>101535.59550989384</v>
      </c>
      <c r="U143" s="7" t="s">
        <v>4276</v>
      </c>
    </row>
    <row r="144" spans="1:21" ht="16.5" thickBot="1">
      <c r="A144" s="50" t="s">
        <v>35</v>
      </c>
      <c r="B144" s="51">
        <f t="shared" si="6"/>
        <v>400</v>
      </c>
      <c r="C144" s="51" t="s">
        <v>3</v>
      </c>
      <c r="D144" s="51">
        <f t="shared" si="7"/>
        <v>360</v>
      </c>
      <c r="E144" s="51" t="s">
        <v>3</v>
      </c>
      <c r="F144" s="99">
        <f t="shared" si="8"/>
        <v>2250</v>
      </c>
      <c r="G144" s="51" t="s">
        <v>3</v>
      </c>
      <c r="H144" s="48">
        <v>8</v>
      </c>
      <c r="I144" s="49" t="s">
        <v>47</v>
      </c>
      <c r="J144" s="184">
        <v>400</v>
      </c>
      <c r="K144" s="75">
        <v>360</v>
      </c>
      <c r="L144" s="75">
        <v>2250</v>
      </c>
      <c r="M144" s="202">
        <v>48.41646968125368</v>
      </c>
      <c r="N144" s="87">
        <v>4780.6081319360828</v>
      </c>
      <c r="O144" s="123">
        <v>61621.788523916039</v>
      </c>
      <c r="P144" s="121">
        <v>72828.306394352447</v>
      </c>
      <c r="Q144" s="310">
        <v>30701.218686386295</v>
      </c>
      <c r="R144" s="319">
        <v>92323.007210302341</v>
      </c>
      <c r="S144" s="315">
        <v>103529.52508073873</v>
      </c>
      <c r="U144" s="7" t="s">
        <v>4277</v>
      </c>
    </row>
    <row r="145" spans="1:21" ht="16.5" thickBot="1">
      <c r="A145" s="50" t="s">
        <v>35</v>
      </c>
      <c r="B145" s="51">
        <f t="shared" si="6"/>
        <v>400</v>
      </c>
      <c r="C145" s="51" t="s">
        <v>3</v>
      </c>
      <c r="D145" s="51">
        <f t="shared" si="7"/>
        <v>360</v>
      </c>
      <c r="E145" s="51" t="s">
        <v>3</v>
      </c>
      <c r="F145" s="99">
        <f t="shared" si="8"/>
        <v>2300</v>
      </c>
      <c r="G145" s="51" t="s">
        <v>3</v>
      </c>
      <c r="H145" s="48">
        <v>8</v>
      </c>
      <c r="I145" s="49" t="s">
        <v>47</v>
      </c>
      <c r="J145" s="184">
        <v>400</v>
      </c>
      <c r="K145" s="75">
        <v>360</v>
      </c>
      <c r="L145" s="75">
        <v>2300</v>
      </c>
      <c r="M145" s="202">
        <v>49.41277807561579</v>
      </c>
      <c r="N145" s="87">
        <v>4906.4136090922939</v>
      </c>
      <c r="O145" s="123">
        <v>62836.255409701065</v>
      </c>
      <c r="P145" s="121">
        <v>74268.638683300931</v>
      </c>
      <c r="Q145" s="310">
        <v>31254.815827889219</v>
      </c>
      <c r="R145" s="319">
        <v>94091.07123759028</v>
      </c>
      <c r="S145" s="315">
        <v>105523.45451119015</v>
      </c>
      <c r="U145" s="7" t="s">
        <v>4278</v>
      </c>
    </row>
    <row r="146" spans="1:21" ht="16.5" thickBot="1">
      <c r="A146" s="50" t="s">
        <v>35</v>
      </c>
      <c r="B146" s="51">
        <f t="shared" si="6"/>
        <v>400</v>
      </c>
      <c r="C146" s="51" t="s">
        <v>3</v>
      </c>
      <c r="D146" s="51">
        <f t="shared" si="7"/>
        <v>360</v>
      </c>
      <c r="E146" s="51" t="s">
        <v>3</v>
      </c>
      <c r="F146" s="99">
        <f t="shared" si="8"/>
        <v>2350</v>
      </c>
      <c r="G146" s="51" t="s">
        <v>3</v>
      </c>
      <c r="H146" s="48">
        <v>8</v>
      </c>
      <c r="I146" s="49" t="s">
        <v>47</v>
      </c>
      <c r="J146" s="184">
        <v>400</v>
      </c>
      <c r="K146" s="75">
        <v>360</v>
      </c>
      <c r="L146" s="75">
        <v>2350</v>
      </c>
      <c r="M146" s="202">
        <v>50.426126469977895</v>
      </c>
      <c r="N146" s="87">
        <v>5032.2190862485068</v>
      </c>
      <c r="O146" s="123">
        <v>64050.722295486092</v>
      </c>
      <c r="P146" s="121">
        <v>75708.971112642772</v>
      </c>
      <c r="Q146" s="310">
        <v>32038.99474717542</v>
      </c>
      <c r="R146" s="319">
        <v>96089.717042661505</v>
      </c>
      <c r="S146" s="315">
        <v>107747.96585981818</v>
      </c>
      <c r="U146" s="7" t="s">
        <v>4279</v>
      </c>
    </row>
    <row r="147" spans="1:21" ht="16.5" thickBot="1">
      <c r="A147" s="50" t="s">
        <v>35</v>
      </c>
      <c r="B147" s="51">
        <f t="shared" si="6"/>
        <v>400</v>
      </c>
      <c r="C147" s="51" t="s">
        <v>3</v>
      </c>
      <c r="D147" s="51">
        <f t="shared" si="7"/>
        <v>360</v>
      </c>
      <c r="E147" s="51" t="s">
        <v>3</v>
      </c>
      <c r="F147" s="99">
        <f t="shared" si="8"/>
        <v>2400</v>
      </c>
      <c r="G147" s="51" t="s">
        <v>3</v>
      </c>
      <c r="H147" s="48">
        <v>8</v>
      </c>
      <c r="I147" s="49" t="s">
        <v>47</v>
      </c>
      <c r="J147" s="184">
        <v>400</v>
      </c>
      <c r="K147" s="75">
        <v>360</v>
      </c>
      <c r="L147" s="75">
        <v>2400</v>
      </c>
      <c r="M147" s="202">
        <v>51.422434864339991</v>
      </c>
      <c r="N147" s="87">
        <v>5158.0245634047196</v>
      </c>
      <c r="O147" s="123">
        <v>65265.189040877747</v>
      </c>
      <c r="P147" s="121">
        <v>77149.303541984598</v>
      </c>
      <c r="Q147" s="310">
        <v>32592.591888678344</v>
      </c>
      <c r="R147" s="319">
        <v>97857.780929556087</v>
      </c>
      <c r="S147" s="315">
        <v>109741.89543066295</v>
      </c>
      <c r="U147" s="7" t="s">
        <v>4280</v>
      </c>
    </row>
    <row r="148" spans="1:21" ht="16.5" thickBot="1">
      <c r="A148" s="50" t="s">
        <v>35</v>
      </c>
      <c r="B148" s="51">
        <f t="shared" si="6"/>
        <v>400</v>
      </c>
      <c r="C148" s="51" t="s">
        <v>3</v>
      </c>
      <c r="D148" s="51">
        <f t="shared" si="7"/>
        <v>360</v>
      </c>
      <c r="E148" s="51" t="s">
        <v>3</v>
      </c>
      <c r="F148" s="99">
        <f t="shared" si="8"/>
        <v>2450</v>
      </c>
      <c r="G148" s="51" t="s">
        <v>3</v>
      </c>
      <c r="H148" s="48">
        <v>8</v>
      </c>
      <c r="I148" s="49" t="s">
        <v>47</v>
      </c>
      <c r="J148" s="184">
        <v>400</v>
      </c>
      <c r="K148" s="75">
        <v>360</v>
      </c>
      <c r="L148" s="75">
        <v>2450</v>
      </c>
      <c r="M148" s="202">
        <v>52.671404552662111</v>
      </c>
      <c r="N148" s="87">
        <v>5283.8300405609325</v>
      </c>
      <c r="O148" s="123">
        <v>67232.125320307998</v>
      </c>
      <c r="P148" s="121">
        <v>79328.26945870393</v>
      </c>
      <c r="Q148" s="310">
        <v>33376.770807964545</v>
      </c>
      <c r="R148" s="319">
        <v>100608.89612827255</v>
      </c>
      <c r="S148" s="315">
        <v>112705.04026666848</v>
      </c>
      <c r="U148" s="7" t="s">
        <v>4281</v>
      </c>
    </row>
    <row r="149" spans="1:21" ht="16.5" thickBot="1">
      <c r="A149" s="50" t="s">
        <v>35</v>
      </c>
      <c r="B149" s="51">
        <f t="shared" si="6"/>
        <v>400</v>
      </c>
      <c r="C149" s="51" t="s">
        <v>3</v>
      </c>
      <c r="D149" s="51">
        <f t="shared" si="7"/>
        <v>360</v>
      </c>
      <c r="E149" s="51" t="s">
        <v>3</v>
      </c>
      <c r="F149" s="99">
        <f t="shared" si="8"/>
        <v>2500</v>
      </c>
      <c r="G149" s="51" t="s">
        <v>3</v>
      </c>
      <c r="H149" s="48">
        <v>8</v>
      </c>
      <c r="I149" s="49" t="s">
        <v>47</v>
      </c>
      <c r="J149" s="184">
        <v>400</v>
      </c>
      <c r="K149" s="75">
        <v>360</v>
      </c>
      <c r="L149" s="75">
        <v>2500</v>
      </c>
      <c r="M149" s="202">
        <v>53.667712947024199</v>
      </c>
      <c r="N149" s="87">
        <v>5409.6355177171454</v>
      </c>
      <c r="O149" s="123">
        <v>68446.592065699675</v>
      </c>
      <c r="P149" s="121">
        <v>80768.60188804577</v>
      </c>
      <c r="Q149" s="310">
        <v>33930.367949467472</v>
      </c>
      <c r="R149" s="319">
        <v>102376.96001516715</v>
      </c>
      <c r="S149" s="315">
        <v>114698.96983751324</v>
      </c>
      <c r="U149" s="7" t="s">
        <v>4282</v>
      </c>
    </row>
    <row r="150" spans="1:21" ht="16.5" thickBot="1">
      <c r="A150" s="50" t="s">
        <v>35</v>
      </c>
      <c r="B150" s="51">
        <f t="shared" si="6"/>
        <v>400</v>
      </c>
      <c r="C150" s="51" t="s">
        <v>3</v>
      </c>
      <c r="D150" s="51">
        <f t="shared" si="7"/>
        <v>360</v>
      </c>
      <c r="E150" s="51" t="s">
        <v>3</v>
      </c>
      <c r="F150" s="99">
        <f t="shared" si="8"/>
        <v>2550</v>
      </c>
      <c r="G150" s="51" t="s">
        <v>3</v>
      </c>
      <c r="H150" s="48">
        <v>8</v>
      </c>
      <c r="I150" s="49" t="s">
        <v>47</v>
      </c>
      <c r="J150" s="184">
        <v>400</v>
      </c>
      <c r="K150" s="75">
        <v>360</v>
      </c>
      <c r="L150" s="75">
        <v>2550</v>
      </c>
      <c r="M150" s="202">
        <v>54.681061341386311</v>
      </c>
      <c r="N150" s="87">
        <v>5535.4409948733582</v>
      </c>
      <c r="O150" s="123">
        <v>69661.058951484694</v>
      </c>
      <c r="P150" s="121">
        <v>82208.934317387597</v>
      </c>
      <c r="Q150" s="310">
        <v>34714.547009147034</v>
      </c>
      <c r="R150" s="319">
        <v>104375.60596063173</v>
      </c>
      <c r="S150" s="315">
        <v>116923.48132653463</v>
      </c>
      <c r="U150" s="7" t="s">
        <v>4283</v>
      </c>
    </row>
    <row r="151" spans="1:21" ht="16.5" thickBot="1">
      <c r="A151" s="47" t="s">
        <v>35</v>
      </c>
      <c r="B151" s="48">
        <f t="shared" si="6"/>
        <v>400</v>
      </c>
      <c r="C151" s="48" t="s">
        <v>3</v>
      </c>
      <c r="D151" s="48">
        <f t="shared" si="7"/>
        <v>360</v>
      </c>
      <c r="E151" s="48" t="s">
        <v>3</v>
      </c>
      <c r="F151" s="99">
        <f t="shared" si="8"/>
        <v>2600</v>
      </c>
      <c r="G151" s="48" t="s">
        <v>3</v>
      </c>
      <c r="H151" s="48">
        <v>8</v>
      </c>
      <c r="I151" s="49" t="s">
        <v>47</v>
      </c>
      <c r="J151" s="184">
        <v>400</v>
      </c>
      <c r="K151" s="75">
        <v>360</v>
      </c>
      <c r="L151" s="75">
        <v>2600</v>
      </c>
      <c r="M151" s="202">
        <v>55.677369735748421</v>
      </c>
      <c r="N151" s="87">
        <v>5661.2464720295711</v>
      </c>
      <c r="O151" s="123">
        <v>70875.525837269714</v>
      </c>
      <c r="P151" s="121">
        <v>83649.266746729438</v>
      </c>
      <c r="Q151" s="310">
        <v>35268.144150649961</v>
      </c>
      <c r="R151" s="319">
        <v>106143.66998791968</v>
      </c>
      <c r="S151" s="315">
        <v>118917.41089737939</v>
      </c>
      <c r="U151" s="7" t="s">
        <v>4284</v>
      </c>
    </row>
    <row r="152" spans="1:21" ht="16.5" thickBot="1">
      <c r="A152" s="50" t="s">
        <v>35</v>
      </c>
      <c r="B152" s="51">
        <f t="shared" si="6"/>
        <v>400</v>
      </c>
      <c r="C152" s="51" t="s">
        <v>3</v>
      </c>
      <c r="D152" s="51">
        <f t="shared" si="7"/>
        <v>360</v>
      </c>
      <c r="E152" s="51" t="s">
        <v>3</v>
      </c>
      <c r="F152" s="99">
        <f t="shared" si="8"/>
        <v>2650</v>
      </c>
      <c r="G152" s="51" t="s">
        <v>3</v>
      </c>
      <c r="H152" s="48">
        <v>8</v>
      </c>
      <c r="I152" s="49" t="s">
        <v>47</v>
      </c>
      <c r="J152" s="184">
        <v>400</v>
      </c>
      <c r="K152" s="75">
        <v>360</v>
      </c>
      <c r="L152" s="75">
        <v>2650</v>
      </c>
      <c r="M152" s="202">
        <v>56.690718130110533</v>
      </c>
      <c r="N152" s="87">
        <v>5787.0519491857831</v>
      </c>
      <c r="O152" s="123">
        <v>72089.992582661376</v>
      </c>
      <c r="P152" s="121">
        <v>85089.599176071279</v>
      </c>
      <c r="Q152" s="310">
        <v>36052.323069936159</v>
      </c>
      <c r="R152" s="319">
        <v>108142.31565259754</v>
      </c>
      <c r="S152" s="315">
        <v>121141.92224600744</v>
      </c>
      <c r="U152" s="7" t="s">
        <v>4285</v>
      </c>
    </row>
    <row r="153" spans="1:21">
      <c r="A153" s="52" t="s">
        <v>35</v>
      </c>
      <c r="B153" s="53">
        <f t="shared" si="6"/>
        <v>400</v>
      </c>
      <c r="C153" s="53" t="s">
        <v>3</v>
      </c>
      <c r="D153" s="53">
        <f t="shared" si="7"/>
        <v>360</v>
      </c>
      <c r="E153" s="53" t="s">
        <v>3</v>
      </c>
      <c r="F153" s="100">
        <f t="shared" si="8"/>
        <v>2700</v>
      </c>
      <c r="G153" s="53" t="s">
        <v>3</v>
      </c>
      <c r="H153" s="55">
        <v>8</v>
      </c>
      <c r="I153" s="54" t="s">
        <v>47</v>
      </c>
      <c r="J153" s="321">
        <v>400</v>
      </c>
      <c r="K153" s="322">
        <v>360</v>
      </c>
      <c r="L153" s="322">
        <v>2700</v>
      </c>
      <c r="M153" s="305">
        <v>57.844026524472639</v>
      </c>
      <c r="N153" s="306">
        <v>5912.857426341996</v>
      </c>
      <c r="O153" s="307">
        <v>73458.768199857324</v>
      </c>
      <c r="P153" s="336">
        <v>86685.182376286408</v>
      </c>
      <c r="Q153" s="323">
        <v>36605.920211439086</v>
      </c>
      <c r="R153" s="324">
        <v>110064.6884112964</v>
      </c>
      <c r="S153" s="325">
        <v>123291.1025877255</v>
      </c>
      <c r="U153" s="7" t="s">
        <v>4286</v>
      </c>
    </row>
    <row r="154" spans="1:21" ht="16.5" thickBot="1">
      <c r="A154" s="350" t="s">
        <v>35</v>
      </c>
      <c r="B154" s="351">
        <f t="shared" si="6"/>
        <v>400</v>
      </c>
      <c r="C154" s="351" t="s">
        <v>3</v>
      </c>
      <c r="D154" s="351">
        <f t="shared" si="7"/>
        <v>360</v>
      </c>
      <c r="E154" s="351" t="s">
        <v>3</v>
      </c>
      <c r="F154" s="352">
        <f t="shared" si="8"/>
        <v>2750</v>
      </c>
      <c r="G154" s="351" t="s">
        <v>3</v>
      </c>
      <c r="H154" s="351">
        <v>8</v>
      </c>
      <c r="I154" s="353" t="s">
        <v>47</v>
      </c>
      <c r="J154" s="184">
        <v>400</v>
      </c>
      <c r="K154" s="75">
        <v>360</v>
      </c>
      <c r="L154" s="75">
        <v>2750</v>
      </c>
      <c r="M154" s="202">
        <v>58.840334918834742</v>
      </c>
      <c r="N154" s="87">
        <v>6038.6629034982088</v>
      </c>
      <c r="O154" s="123">
        <v>74673.235085642344</v>
      </c>
      <c r="P154" s="121">
        <v>88125.514805628249</v>
      </c>
      <c r="Q154" s="310">
        <v>37159.517352942006</v>
      </c>
      <c r="R154" s="319">
        <v>111832.75243858434</v>
      </c>
      <c r="S154" s="315">
        <v>125285.03215857025</v>
      </c>
      <c r="U154" s="7" t="s">
        <v>4287</v>
      </c>
    </row>
    <row r="155" spans="1:21" ht="16.5" thickBot="1">
      <c r="A155" s="50" t="s">
        <v>35</v>
      </c>
      <c r="B155" s="51">
        <f t="shared" si="6"/>
        <v>400</v>
      </c>
      <c r="C155" s="51" t="s">
        <v>3</v>
      </c>
      <c r="D155" s="51">
        <f t="shared" si="7"/>
        <v>360</v>
      </c>
      <c r="E155" s="51" t="s">
        <v>3</v>
      </c>
      <c r="F155" s="99">
        <f t="shared" si="8"/>
        <v>2800</v>
      </c>
      <c r="G155" s="51" t="s">
        <v>3</v>
      </c>
      <c r="H155" s="48">
        <v>8</v>
      </c>
      <c r="I155" s="49" t="s">
        <v>47</v>
      </c>
      <c r="J155" s="184">
        <v>400</v>
      </c>
      <c r="K155" s="75">
        <v>360</v>
      </c>
      <c r="L155" s="75">
        <v>2800</v>
      </c>
      <c r="M155" s="202">
        <v>59.853683313196839</v>
      </c>
      <c r="N155" s="87">
        <v>6164.4683806544217</v>
      </c>
      <c r="O155" s="123">
        <v>75887.701971427363</v>
      </c>
      <c r="P155" s="121">
        <v>89565.847094576719</v>
      </c>
      <c r="Q155" s="310">
        <v>37943.696272228204</v>
      </c>
      <c r="R155" s="319">
        <v>113831.39824365557</v>
      </c>
      <c r="S155" s="315">
        <v>127509.54336680492</v>
      </c>
      <c r="U155" s="7" t="s">
        <v>4288</v>
      </c>
    </row>
    <row r="156" spans="1:21" ht="16.5" thickBot="1">
      <c r="A156" s="50" t="s">
        <v>35</v>
      </c>
      <c r="B156" s="51">
        <f t="shared" si="6"/>
        <v>400</v>
      </c>
      <c r="C156" s="51" t="s">
        <v>3</v>
      </c>
      <c r="D156" s="51">
        <f t="shared" si="7"/>
        <v>360</v>
      </c>
      <c r="E156" s="51" t="s">
        <v>3</v>
      </c>
      <c r="F156" s="99">
        <f t="shared" si="8"/>
        <v>2850</v>
      </c>
      <c r="G156" s="51" t="s">
        <v>3</v>
      </c>
      <c r="H156" s="48">
        <v>8</v>
      </c>
      <c r="I156" s="49" t="s">
        <v>47</v>
      </c>
      <c r="J156" s="184">
        <v>400</v>
      </c>
      <c r="K156" s="75">
        <v>360</v>
      </c>
      <c r="L156" s="75">
        <v>2850</v>
      </c>
      <c r="M156" s="202">
        <v>60.849991707558949</v>
      </c>
      <c r="N156" s="87">
        <v>6290.2738578106346</v>
      </c>
      <c r="O156" s="123">
        <v>77102.168716819026</v>
      </c>
      <c r="P156" s="121">
        <v>91006.179523918559</v>
      </c>
      <c r="Q156" s="310">
        <v>38497.293413731131</v>
      </c>
      <c r="R156" s="319">
        <v>115599.46213055015</v>
      </c>
      <c r="S156" s="315">
        <v>129503.4729376497</v>
      </c>
      <c r="U156" s="7" t="s">
        <v>4289</v>
      </c>
    </row>
    <row r="157" spans="1:21" ht="16.5" thickBot="1">
      <c r="A157" s="50" t="s">
        <v>35</v>
      </c>
      <c r="B157" s="51">
        <f t="shared" si="6"/>
        <v>400</v>
      </c>
      <c r="C157" s="51" t="s">
        <v>3</v>
      </c>
      <c r="D157" s="51">
        <f t="shared" si="7"/>
        <v>360</v>
      </c>
      <c r="E157" s="51" t="s">
        <v>3</v>
      </c>
      <c r="F157" s="99">
        <f t="shared" si="8"/>
        <v>2900</v>
      </c>
      <c r="G157" s="51" t="s">
        <v>3</v>
      </c>
      <c r="H157" s="48">
        <v>8</v>
      </c>
      <c r="I157" s="49" t="s">
        <v>47</v>
      </c>
      <c r="J157" s="184">
        <v>400</v>
      </c>
      <c r="K157" s="75">
        <v>360</v>
      </c>
      <c r="L157" s="75">
        <v>2900</v>
      </c>
      <c r="M157" s="202">
        <v>61.863340101921054</v>
      </c>
      <c r="N157" s="87">
        <v>6416.0793349668465</v>
      </c>
      <c r="O157" s="123">
        <v>78316.635602604045</v>
      </c>
      <c r="P157" s="121">
        <v>92446.511953260386</v>
      </c>
      <c r="Q157" s="310">
        <v>39281.472333017329</v>
      </c>
      <c r="R157" s="319">
        <v>117598.10793562137</v>
      </c>
      <c r="S157" s="315">
        <v>131727.98428627773</v>
      </c>
      <c r="U157" s="7" t="s">
        <v>4290</v>
      </c>
    </row>
    <row r="158" spans="1:21" ht="16.5" thickBot="1">
      <c r="A158" s="50" t="s">
        <v>35</v>
      </c>
      <c r="B158" s="51">
        <f t="shared" si="6"/>
        <v>400</v>
      </c>
      <c r="C158" s="51" t="s">
        <v>3</v>
      </c>
      <c r="D158" s="51">
        <f t="shared" si="7"/>
        <v>360</v>
      </c>
      <c r="E158" s="51" t="s">
        <v>3</v>
      </c>
      <c r="F158" s="99">
        <f t="shared" si="8"/>
        <v>2950</v>
      </c>
      <c r="G158" s="51" t="s">
        <v>3</v>
      </c>
      <c r="H158" s="48">
        <v>8</v>
      </c>
      <c r="I158" s="49" t="s">
        <v>47</v>
      </c>
      <c r="J158" s="184">
        <v>400</v>
      </c>
      <c r="K158" s="75">
        <v>360</v>
      </c>
      <c r="L158" s="75">
        <v>2950</v>
      </c>
      <c r="M158" s="202">
        <v>62.859648496283164</v>
      </c>
      <c r="N158" s="87">
        <v>6541.8848121230594</v>
      </c>
      <c r="O158" s="123">
        <v>79531.102488389079</v>
      </c>
      <c r="P158" s="121">
        <v>93886.844382602241</v>
      </c>
      <c r="Q158" s="310">
        <v>39835.069474520256</v>
      </c>
      <c r="R158" s="319">
        <v>119366.17196290934</v>
      </c>
      <c r="S158" s="315">
        <v>133721.9138571225</v>
      </c>
      <c r="U158" s="7" t="s">
        <v>4291</v>
      </c>
    </row>
    <row r="159" spans="1:21" ht="16.5" thickBot="1">
      <c r="A159" s="50" t="s">
        <v>35</v>
      </c>
      <c r="B159" s="51">
        <f t="shared" si="6"/>
        <v>400</v>
      </c>
      <c r="C159" s="51" t="s">
        <v>3</v>
      </c>
      <c r="D159" s="51">
        <f t="shared" si="7"/>
        <v>360</v>
      </c>
      <c r="E159" s="51" t="s">
        <v>3</v>
      </c>
      <c r="F159" s="99">
        <f t="shared" si="8"/>
        <v>3000</v>
      </c>
      <c r="G159" s="51" t="s">
        <v>3</v>
      </c>
      <c r="H159" s="48">
        <v>8</v>
      </c>
      <c r="I159" s="49" t="s">
        <v>47</v>
      </c>
      <c r="J159" s="186">
        <v>400</v>
      </c>
      <c r="K159" s="147">
        <v>360</v>
      </c>
      <c r="L159" s="147">
        <v>3000</v>
      </c>
      <c r="M159" s="209">
        <v>63.872996890645261</v>
      </c>
      <c r="N159" s="148">
        <v>6667.6902892792723</v>
      </c>
      <c r="O159" s="149">
        <v>81920.726680032589</v>
      </c>
      <c r="P159" s="158">
        <v>95327.176811944068</v>
      </c>
      <c r="Q159" s="311">
        <v>40619.248393806454</v>
      </c>
      <c r="R159" s="320">
        <v>122539.97507383904</v>
      </c>
      <c r="S159" s="317">
        <v>135946.42520575051</v>
      </c>
      <c r="U159" s="7" t="s">
        <v>4292</v>
      </c>
    </row>
    <row r="160" spans="1:21">
      <c r="M160" s="94"/>
      <c r="P160" s="93"/>
      <c r="S160" s="93"/>
    </row>
    <row r="161" spans="13:19">
      <c r="M161" s="94"/>
      <c r="P161" s="93"/>
      <c r="S161" s="93"/>
    </row>
    <row r="162" spans="13:19">
      <c r="M162" s="94"/>
      <c r="P162" s="93"/>
      <c r="S162" s="93"/>
    </row>
    <row r="163" spans="13:19">
      <c r="M163" s="94"/>
      <c r="P163" s="93"/>
      <c r="S163" s="93"/>
    </row>
    <row r="164" spans="13:19">
      <c r="M164" s="94"/>
      <c r="P164" s="93"/>
      <c r="S164" s="93"/>
    </row>
    <row r="165" spans="13:19">
      <c r="M165" s="94"/>
      <c r="P165" s="93"/>
      <c r="S165" s="93"/>
    </row>
    <row r="166" spans="13:19">
      <c r="M166" s="94"/>
      <c r="P166" s="93"/>
      <c r="S166" s="93"/>
    </row>
    <row r="167" spans="13:19">
      <c r="M167" s="94"/>
      <c r="P167" s="93"/>
      <c r="S167" s="93"/>
    </row>
    <row r="168" spans="13:19">
      <c r="M168" s="94"/>
      <c r="P168" s="93"/>
      <c r="S168" s="93"/>
    </row>
    <row r="169" spans="13:19">
      <c r="M169" s="94"/>
      <c r="P169" s="93"/>
      <c r="S169" s="93"/>
    </row>
    <row r="170" spans="13:19">
      <c r="M170" s="94"/>
      <c r="P170" s="93"/>
      <c r="S170" s="93"/>
    </row>
    <row r="171" spans="13:19">
      <c r="M171" s="94"/>
      <c r="P171" s="93"/>
      <c r="S171" s="93"/>
    </row>
    <row r="172" spans="13:19">
      <c r="M172" s="94"/>
      <c r="P172" s="93"/>
      <c r="S172" s="93"/>
    </row>
    <row r="173" spans="13:19">
      <c r="M173" s="94"/>
      <c r="P173" s="93"/>
      <c r="S173" s="93"/>
    </row>
    <row r="174" spans="13:19">
      <c r="M174" s="94"/>
      <c r="P174" s="93"/>
      <c r="S174" s="93"/>
    </row>
    <row r="175" spans="13:19">
      <c r="M175" s="94"/>
      <c r="P175" s="93"/>
      <c r="S175" s="93"/>
    </row>
    <row r="176" spans="13:19">
      <c r="M176" s="94"/>
      <c r="P176" s="93"/>
      <c r="S176" s="93"/>
    </row>
    <row r="177" spans="13:19">
      <c r="M177" s="94"/>
      <c r="P177" s="93"/>
      <c r="S177" s="93"/>
    </row>
    <row r="178" spans="13:19">
      <c r="M178" s="94"/>
      <c r="P178" s="93"/>
      <c r="S178" s="93"/>
    </row>
    <row r="179" spans="13:19">
      <c r="M179" s="94"/>
      <c r="P179" s="93"/>
      <c r="S179" s="93"/>
    </row>
    <row r="180" spans="13:19">
      <c r="M180" s="94"/>
      <c r="P180" s="93"/>
      <c r="S180" s="93"/>
    </row>
    <row r="181" spans="13:19">
      <c r="M181" s="94"/>
      <c r="P181" s="93"/>
      <c r="S181" s="93"/>
    </row>
    <row r="182" spans="13:19">
      <c r="M182" s="94"/>
      <c r="P182" s="93"/>
      <c r="S182" s="93"/>
    </row>
    <row r="183" spans="13:19">
      <c r="M183" s="94"/>
      <c r="P183" s="93"/>
      <c r="S183" s="93"/>
    </row>
    <row r="184" spans="13:19">
      <c r="M184" s="94"/>
      <c r="P184" s="93"/>
      <c r="S184" s="93"/>
    </row>
    <row r="185" spans="13:19">
      <c r="M185" s="94"/>
      <c r="P185" s="93"/>
      <c r="S185" s="93"/>
    </row>
    <row r="186" spans="13:19">
      <c r="M186" s="94"/>
      <c r="P186" s="93"/>
      <c r="S186" s="93"/>
    </row>
    <row r="187" spans="13:19">
      <c r="M187" s="94"/>
      <c r="P187" s="93"/>
      <c r="S187" s="93"/>
    </row>
    <row r="188" spans="13:19">
      <c r="M188" s="94"/>
      <c r="P188" s="93"/>
      <c r="S188" s="93"/>
    </row>
    <row r="189" spans="13:19">
      <c r="M189" s="94"/>
      <c r="P189" s="93"/>
      <c r="S189" s="93"/>
    </row>
    <row r="190" spans="13:19">
      <c r="M190" s="94"/>
      <c r="P190" s="93"/>
      <c r="S190" s="93"/>
    </row>
    <row r="191" spans="13:19">
      <c r="M191" s="94"/>
      <c r="P191" s="93"/>
      <c r="S191" s="93"/>
    </row>
    <row r="192" spans="13:19">
      <c r="M192" s="94"/>
      <c r="P192" s="93"/>
      <c r="S192" s="93"/>
    </row>
    <row r="193" spans="13:19">
      <c r="M193" s="94"/>
      <c r="P193" s="93"/>
      <c r="S193" s="93"/>
    </row>
    <row r="194" spans="13:19">
      <c r="M194" s="94"/>
      <c r="P194" s="93"/>
      <c r="S194" s="93"/>
    </row>
    <row r="195" spans="13:19">
      <c r="M195" s="94"/>
      <c r="P195" s="93"/>
      <c r="S195" s="93"/>
    </row>
    <row r="196" spans="13:19">
      <c r="M196" s="94"/>
      <c r="P196" s="93"/>
      <c r="S196" s="93"/>
    </row>
    <row r="197" spans="13:19">
      <c r="M197" s="94"/>
      <c r="P197" s="93"/>
      <c r="S197" s="93"/>
    </row>
    <row r="198" spans="13:19">
      <c r="M198" s="94"/>
      <c r="P198" s="93"/>
      <c r="S198" s="93"/>
    </row>
    <row r="199" spans="13:19">
      <c r="M199" s="94"/>
      <c r="P199" s="93"/>
      <c r="S199" s="93"/>
    </row>
    <row r="200" spans="13:19">
      <c r="M200" s="94"/>
      <c r="P200" s="93"/>
      <c r="S200" s="93"/>
    </row>
    <row r="201" spans="13:19">
      <c r="M201" s="94"/>
      <c r="P201" s="93"/>
      <c r="S201" s="93"/>
    </row>
    <row r="202" spans="13:19">
      <c r="M202" s="94"/>
      <c r="P202" s="93"/>
      <c r="S202" s="93"/>
    </row>
    <row r="203" spans="13:19">
      <c r="M203" s="94"/>
      <c r="P203" s="93"/>
      <c r="S203" s="93"/>
    </row>
    <row r="204" spans="13:19">
      <c r="M204" s="94"/>
      <c r="P204" s="93"/>
      <c r="S204" s="93"/>
    </row>
    <row r="205" spans="13:19">
      <c r="M205" s="94"/>
      <c r="P205" s="93"/>
      <c r="S205" s="93"/>
    </row>
    <row r="206" spans="13:19">
      <c r="M206" s="94"/>
      <c r="P206" s="93"/>
      <c r="S206" s="93"/>
    </row>
    <row r="207" spans="13:19">
      <c r="M207" s="94"/>
      <c r="P207" s="93"/>
      <c r="S207" s="93"/>
    </row>
    <row r="208" spans="13:19">
      <c r="M208" s="94"/>
      <c r="P208" s="93"/>
      <c r="S208" s="93"/>
    </row>
    <row r="209" spans="13:19">
      <c r="M209" s="94"/>
      <c r="P209" s="93"/>
      <c r="S209" s="93"/>
    </row>
    <row r="210" spans="13:19">
      <c r="M210" s="94"/>
      <c r="P210" s="93"/>
      <c r="S210" s="93"/>
    </row>
    <row r="211" spans="13:19">
      <c r="M211" s="94"/>
      <c r="P211" s="93"/>
      <c r="S211" s="93"/>
    </row>
    <row r="212" spans="13:19">
      <c r="M212" s="94"/>
      <c r="P212" s="93"/>
      <c r="S212" s="93"/>
    </row>
    <row r="213" spans="13:19">
      <c r="M213" s="94"/>
      <c r="P213" s="93"/>
      <c r="S213" s="93"/>
    </row>
    <row r="214" spans="13:19">
      <c r="M214" s="94"/>
      <c r="P214" s="93"/>
      <c r="S214" s="93"/>
    </row>
    <row r="215" spans="13:19">
      <c r="M215" s="94"/>
      <c r="P215" s="93"/>
      <c r="S215" s="93"/>
    </row>
    <row r="216" spans="13:19">
      <c r="M216" s="94"/>
      <c r="P216" s="93"/>
      <c r="S216" s="93"/>
    </row>
    <row r="217" spans="13:19">
      <c r="M217" s="94"/>
      <c r="P217" s="93"/>
      <c r="S217" s="93"/>
    </row>
    <row r="218" spans="13:19">
      <c r="M218" s="94"/>
      <c r="P218" s="93"/>
      <c r="S218" s="93"/>
    </row>
    <row r="219" spans="13:19">
      <c r="M219" s="94"/>
      <c r="P219" s="93"/>
      <c r="S219" s="93"/>
    </row>
    <row r="220" spans="13:19">
      <c r="M220" s="94"/>
      <c r="P220" s="93"/>
      <c r="S220" s="93"/>
    </row>
    <row r="221" spans="13:19">
      <c r="M221" s="94"/>
      <c r="P221" s="93"/>
      <c r="S221" s="93"/>
    </row>
    <row r="222" spans="13:19">
      <c r="M222" s="94"/>
      <c r="P222" s="93"/>
      <c r="S222" s="93"/>
    </row>
    <row r="223" spans="13:19">
      <c r="M223" s="94"/>
      <c r="P223" s="93"/>
      <c r="S223" s="93"/>
    </row>
    <row r="224" spans="13:19">
      <c r="M224" s="94"/>
      <c r="P224" s="93"/>
      <c r="S224" s="93"/>
    </row>
    <row r="225" spans="13:19">
      <c r="M225" s="94"/>
      <c r="P225" s="93"/>
      <c r="S225" s="93"/>
    </row>
    <row r="226" spans="13:19">
      <c r="M226" s="94"/>
      <c r="P226" s="93"/>
      <c r="S226" s="93"/>
    </row>
    <row r="227" spans="13:19">
      <c r="M227" s="94"/>
      <c r="P227" s="93"/>
      <c r="S227" s="93"/>
    </row>
    <row r="228" spans="13:19">
      <c r="M228" s="94"/>
      <c r="P228" s="93"/>
      <c r="S228" s="93"/>
    </row>
    <row r="229" spans="13:19">
      <c r="M229" s="94"/>
      <c r="P229" s="93"/>
      <c r="S229" s="93"/>
    </row>
    <row r="230" spans="13:19">
      <c r="M230" s="94"/>
      <c r="P230" s="93"/>
      <c r="S230" s="93"/>
    </row>
    <row r="231" spans="13:19">
      <c r="M231" s="94"/>
      <c r="P231" s="93"/>
      <c r="S231" s="93"/>
    </row>
    <row r="232" spans="13:19">
      <c r="M232" s="94"/>
      <c r="P232" s="93"/>
      <c r="S232" s="93"/>
    </row>
    <row r="233" spans="13:19">
      <c r="M233" s="94"/>
      <c r="P233" s="93"/>
      <c r="S233" s="93"/>
    </row>
    <row r="234" spans="13:19">
      <c r="M234" s="94"/>
      <c r="P234" s="93"/>
      <c r="S234" s="93"/>
    </row>
    <row r="235" spans="13:19">
      <c r="M235" s="94"/>
      <c r="P235" s="93"/>
      <c r="S235" s="93"/>
    </row>
    <row r="236" spans="13:19">
      <c r="M236" s="94"/>
      <c r="P236" s="93"/>
      <c r="S236" s="93"/>
    </row>
    <row r="237" spans="13:19">
      <c r="M237" s="94"/>
      <c r="P237" s="93"/>
      <c r="S237" s="93"/>
    </row>
    <row r="238" spans="13:19">
      <c r="M238" s="94"/>
      <c r="P238" s="93"/>
      <c r="S238" s="93"/>
    </row>
    <row r="239" spans="13:19">
      <c r="M239" s="94"/>
      <c r="P239" s="93"/>
      <c r="S239" s="93"/>
    </row>
    <row r="240" spans="13:19">
      <c r="M240" s="94"/>
      <c r="P240" s="93"/>
      <c r="S240" s="93"/>
    </row>
    <row r="241" spans="13:19">
      <c r="M241" s="94"/>
      <c r="P241" s="93"/>
      <c r="S241" s="93"/>
    </row>
    <row r="242" spans="13:19">
      <c r="M242" s="94"/>
      <c r="P242" s="93"/>
      <c r="S242" s="93"/>
    </row>
    <row r="243" spans="13:19">
      <c r="M243" s="94"/>
      <c r="P243" s="93"/>
      <c r="S243" s="93"/>
    </row>
    <row r="244" spans="13:19">
      <c r="M244" s="94"/>
      <c r="P244" s="93"/>
      <c r="S244" s="93"/>
    </row>
    <row r="245" spans="13:19">
      <c r="M245" s="94"/>
      <c r="P245" s="93"/>
      <c r="S245" s="93"/>
    </row>
    <row r="246" spans="13:19">
      <c r="M246" s="94"/>
      <c r="P246" s="93"/>
      <c r="S246" s="93"/>
    </row>
    <row r="247" spans="13:19">
      <c r="M247" s="94"/>
      <c r="P247" s="93"/>
      <c r="S247" s="93"/>
    </row>
    <row r="248" spans="13:19">
      <c r="M248" s="94"/>
      <c r="P248" s="93"/>
      <c r="S248" s="93"/>
    </row>
    <row r="249" spans="13:19">
      <c r="M249" s="94"/>
      <c r="P249" s="93"/>
      <c r="S249" s="93"/>
    </row>
    <row r="250" spans="13:19">
      <c r="M250" s="94"/>
      <c r="P250" s="93"/>
      <c r="S250" s="93"/>
    </row>
    <row r="251" spans="13:19">
      <c r="M251" s="94"/>
      <c r="P251" s="93"/>
      <c r="S251" s="93"/>
    </row>
    <row r="252" spans="13:19">
      <c r="M252" s="94"/>
      <c r="P252" s="93"/>
      <c r="S252" s="93"/>
    </row>
    <row r="253" spans="13:19">
      <c r="M253" s="94"/>
      <c r="P253" s="93"/>
      <c r="S253" s="93"/>
    </row>
    <row r="254" spans="13:19">
      <c r="M254" s="94"/>
      <c r="P254" s="93"/>
      <c r="S254" s="93"/>
    </row>
    <row r="255" spans="13:19">
      <c r="M255" s="94"/>
      <c r="P255" s="93"/>
      <c r="S255" s="93"/>
    </row>
    <row r="256" spans="13:19">
      <c r="M256" s="94"/>
      <c r="P256" s="93"/>
      <c r="S256" s="93"/>
    </row>
    <row r="257" spans="13:19">
      <c r="M257" s="94"/>
      <c r="P257" s="93"/>
      <c r="S257" s="93"/>
    </row>
    <row r="258" spans="13:19">
      <c r="M258" s="94"/>
      <c r="P258" s="93"/>
      <c r="S258" s="93"/>
    </row>
    <row r="259" spans="13:19">
      <c r="M259" s="94"/>
      <c r="P259" s="93"/>
      <c r="S259" s="93"/>
    </row>
    <row r="260" spans="13:19">
      <c r="M260" s="94"/>
      <c r="P260" s="93"/>
      <c r="S260" s="93"/>
    </row>
    <row r="261" spans="13:19">
      <c r="M261" s="94"/>
      <c r="P261" s="93"/>
      <c r="S261" s="93"/>
    </row>
    <row r="262" spans="13:19">
      <c r="M262" s="94"/>
      <c r="P262" s="93"/>
      <c r="S262" s="93"/>
    </row>
    <row r="263" spans="13:19">
      <c r="M263" s="94"/>
      <c r="P263" s="93"/>
      <c r="S263" s="93"/>
    </row>
    <row r="264" spans="13:19">
      <c r="M264" s="94"/>
      <c r="P264" s="93"/>
      <c r="S264" s="93"/>
    </row>
    <row r="265" spans="13:19">
      <c r="M265" s="94"/>
      <c r="P265" s="93"/>
      <c r="S265" s="93"/>
    </row>
    <row r="266" spans="13:19">
      <c r="M266" s="94"/>
      <c r="P266" s="93"/>
      <c r="S266" s="93"/>
    </row>
    <row r="267" spans="13:19">
      <c r="M267" s="94"/>
      <c r="P267" s="93"/>
      <c r="S267" s="93"/>
    </row>
    <row r="268" spans="13:19">
      <c r="M268" s="94"/>
      <c r="P268" s="93"/>
      <c r="S268" s="93"/>
    </row>
    <row r="269" spans="13:19">
      <c r="M269" s="94"/>
      <c r="P269" s="93"/>
      <c r="S269" s="93"/>
    </row>
    <row r="270" spans="13:19">
      <c r="M270" s="94"/>
      <c r="P270" s="93"/>
      <c r="S270" s="93"/>
    </row>
    <row r="271" spans="13:19">
      <c r="M271" s="94"/>
      <c r="P271" s="93"/>
      <c r="S271" s="93"/>
    </row>
    <row r="272" spans="13:19">
      <c r="M272" s="94"/>
      <c r="P272" s="93"/>
      <c r="S272" s="93"/>
    </row>
    <row r="273" spans="13:19">
      <c r="M273" s="94"/>
      <c r="P273" s="93"/>
      <c r="S273" s="93"/>
    </row>
    <row r="274" spans="13:19">
      <c r="M274" s="94"/>
      <c r="P274" s="93"/>
      <c r="S274" s="93"/>
    </row>
    <row r="275" spans="13:19">
      <c r="M275" s="94"/>
      <c r="P275" s="93"/>
      <c r="S275" s="93"/>
    </row>
    <row r="276" spans="13:19">
      <c r="M276" s="94"/>
      <c r="P276" s="93"/>
      <c r="S276" s="93"/>
    </row>
    <row r="277" spans="13:19">
      <c r="M277" s="94"/>
      <c r="P277" s="93"/>
      <c r="S277" s="93"/>
    </row>
    <row r="278" spans="13:19">
      <c r="M278" s="94"/>
      <c r="P278" s="93"/>
      <c r="S278" s="93"/>
    </row>
    <row r="279" spans="13:19">
      <c r="M279" s="94"/>
      <c r="P279" s="93"/>
      <c r="S279" s="93"/>
    </row>
    <row r="280" spans="13:19">
      <c r="M280" s="94"/>
      <c r="P280" s="93"/>
      <c r="S280" s="93"/>
    </row>
    <row r="281" spans="13:19">
      <c r="M281" s="94"/>
      <c r="P281" s="93"/>
      <c r="S281" s="93"/>
    </row>
    <row r="282" spans="13:19">
      <c r="M282" s="94"/>
      <c r="P282" s="93"/>
      <c r="S282" s="93"/>
    </row>
    <row r="283" spans="13:19">
      <c r="M283" s="94"/>
      <c r="P283" s="93"/>
      <c r="S283" s="93"/>
    </row>
    <row r="284" spans="13:19">
      <c r="M284" s="94"/>
      <c r="P284" s="93"/>
      <c r="S284" s="93"/>
    </row>
    <row r="285" spans="13:19">
      <c r="M285" s="94"/>
      <c r="P285" s="93"/>
      <c r="S285" s="93"/>
    </row>
    <row r="286" spans="13:19">
      <c r="M286" s="94"/>
      <c r="P286" s="93"/>
      <c r="S286" s="93"/>
    </row>
    <row r="287" spans="13:19">
      <c r="M287" s="94"/>
      <c r="P287" s="93"/>
      <c r="S287" s="93"/>
    </row>
    <row r="288" spans="13:19">
      <c r="M288" s="94"/>
      <c r="P288" s="93"/>
      <c r="S288" s="93"/>
    </row>
    <row r="289" spans="13:19">
      <c r="M289" s="94"/>
      <c r="P289" s="93"/>
      <c r="S289" s="93"/>
    </row>
    <row r="290" spans="13:19">
      <c r="M290" s="94"/>
      <c r="P290" s="93"/>
      <c r="S290" s="93"/>
    </row>
    <row r="291" spans="13:19">
      <c r="M291" s="94"/>
      <c r="P291" s="93"/>
      <c r="S291" s="93"/>
    </row>
    <row r="292" spans="13:19">
      <c r="M292" s="94"/>
      <c r="P292" s="93"/>
      <c r="S292" s="93"/>
    </row>
    <row r="293" spans="13:19">
      <c r="M293" s="94"/>
      <c r="P293" s="93"/>
      <c r="S293" s="93"/>
    </row>
    <row r="294" spans="13:19">
      <c r="M294" s="94"/>
      <c r="P294" s="93"/>
      <c r="S294" s="93"/>
    </row>
    <row r="295" spans="13:19">
      <c r="M295" s="94"/>
      <c r="P295" s="93"/>
      <c r="S295" s="93"/>
    </row>
    <row r="296" spans="13:19">
      <c r="M296" s="94"/>
      <c r="P296" s="93"/>
      <c r="S296" s="93"/>
    </row>
    <row r="297" spans="13:19">
      <c r="M297" s="94"/>
      <c r="P297" s="93"/>
      <c r="S297" s="93"/>
    </row>
    <row r="298" spans="13:19">
      <c r="M298" s="94"/>
      <c r="P298" s="93"/>
      <c r="S298" s="93"/>
    </row>
    <row r="299" spans="13:19">
      <c r="M299" s="94"/>
      <c r="P299" s="93"/>
      <c r="S299" s="93"/>
    </row>
    <row r="300" spans="13:19">
      <c r="M300" s="94"/>
      <c r="P300" s="93"/>
      <c r="S300" s="93"/>
    </row>
    <row r="301" spans="13:19">
      <c r="M301" s="94"/>
      <c r="P301" s="93"/>
      <c r="S301" s="93"/>
    </row>
    <row r="302" spans="13:19">
      <c r="M302" s="94"/>
      <c r="P302" s="93"/>
      <c r="S302" s="93"/>
    </row>
    <row r="303" spans="13:19">
      <c r="M303" s="94"/>
      <c r="P303" s="93"/>
      <c r="S303" s="93"/>
    </row>
    <row r="304" spans="13:19">
      <c r="M304" s="94"/>
      <c r="P304" s="93"/>
      <c r="S304" s="93"/>
    </row>
    <row r="305" spans="13:19">
      <c r="M305" s="94"/>
      <c r="P305" s="93"/>
      <c r="S305" s="93"/>
    </row>
    <row r="306" spans="13:19">
      <c r="M306" s="94"/>
      <c r="P306" s="93"/>
      <c r="S306" s="93"/>
    </row>
    <row r="307" spans="13:19">
      <c r="M307" s="94"/>
      <c r="P307" s="93"/>
      <c r="S307" s="93"/>
    </row>
    <row r="308" spans="13:19">
      <c r="M308" s="94"/>
      <c r="P308" s="93"/>
      <c r="S308" s="93"/>
    </row>
    <row r="309" spans="13:19">
      <c r="M309" s="94"/>
      <c r="P309" s="93"/>
      <c r="S309" s="93"/>
    </row>
    <row r="310" spans="13:19">
      <c r="M310" s="94"/>
      <c r="P310" s="93"/>
      <c r="S310" s="93"/>
    </row>
    <row r="311" spans="13:19">
      <c r="M311" s="94"/>
      <c r="P311" s="93"/>
      <c r="S311" s="93"/>
    </row>
    <row r="312" spans="13:19">
      <c r="M312" s="94"/>
      <c r="P312" s="93"/>
      <c r="S312" s="93"/>
    </row>
    <row r="313" spans="13:19">
      <c r="M313" s="94"/>
      <c r="P313" s="93"/>
      <c r="S313" s="93"/>
    </row>
    <row r="314" spans="13:19">
      <c r="M314" s="94"/>
      <c r="P314" s="93"/>
      <c r="S314" s="93"/>
    </row>
    <row r="315" spans="13:19">
      <c r="M315" s="94"/>
      <c r="P315" s="93"/>
      <c r="S315" s="93"/>
    </row>
    <row r="316" spans="13:19">
      <c r="M316" s="94"/>
      <c r="P316" s="93"/>
      <c r="S316" s="93"/>
    </row>
    <row r="317" spans="13:19">
      <c r="M317" s="94"/>
      <c r="P317" s="93"/>
      <c r="S317" s="93"/>
    </row>
    <row r="318" spans="13:19">
      <c r="M318" s="94"/>
      <c r="P318" s="93"/>
      <c r="S318" s="93"/>
    </row>
    <row r="319" spans="13:19">
      <c r="M319" s="94"/>
      <c r="P319" s="93"/>
      <c r="S319" s="93"/>
    </row>
    <row r="320" spans="13:19">
      <c r="M320" s="94"/>
      <c r="P320" s="93"/>
      <c r="S320" s="93"/>
    </row>
    <row r="321" spans="13:19">
      <c r="M321" s="94"/>
      <c r="P321" s="93"/>
      <c r="S321" s="93"/>
    </row>
    <row r="322" spans="13:19">
      <c r="M322" s="94"/>
      <c r="P322" s="93"/>
      <c r="S322" s="93"/>
    </row>
    <row r="323" spans="13:19">
      <c r="M323" s="94"/>
      <c r="P323" s="93"/>
      <c r="S323" s="93"/>
    </row>
    <row r="324" spans="13:19">
      <c r="M324" s="94"/>
      <c r="P324" s="93"/>
      <c r="S324" s="93"/>
    </row>
    <row r="325" spans="13:19">
      <c r="M325" s="94"/>
      <c r="P325" s="93"/>
      <c r="S325" s="93"/>
    </row>
    <row r="326" spans="13:19">
      <c r="M326" s="94"/>
      <c r="P326" s="93"/>
      <c r="S326" s="93"/>
    </row>
    <row r="327" spans="13:19">
      <c r="M327" s="94"/>
      <c r="P327" s="93"/>
      <c r="S327" s="93"/>
    </row>
    <row r="328" spans="13:19">
      <c r="M328" s="94"/>
      <c r="P328" s="93"/>
      <c r="S328" s="93"/>
    </row>
    <row r="329" spans="13:19">
      <c r="M329" s="94"/>
      <c r="P329" s="93"/>
      <c r="S329" s="93"/>
    </row>
    <row r="330" spans="13:19">
      <c r="M330" s="94"/>
      <c r="P330" s="93"/>
      <c r="S330" s="93"/>
    </row>
    <row r="331" spans="13:19">
      <c r="M331" s="94"/>
      <c r="P331" s="93"/>
      <c r="S331" s="93"/>
    </row>
    <row r="332" spans="13:19">
      <c r="M332" s="94"/>
      <c r="P332" s="93"/>
      <c r="S332" s="93"/>
    </row>
    <row r="333" spans="13:19">
      <c r="M333" s="94"/>
      <c r="P333" s="93"/>
      <c r="S333" s="93"/>
    </row>
    <row r="334" spans="13:19">
      <c r="M334" s="94"/>
      <c r="P334" s="93"/>
      <c r="S334" s="93"/>
    </row>
    <row r="335" spans="13:19">
      <c r="M335" s="94"/>
      <c r="P335" s="93"/>
      <c r="S335" s="93"/>
    </row>
    <row r="336" spans="13:19">
      <c r="M336" s="94"/>
      <c r="P336" s="93"/>
      <c r="S336" s="93"/>
    </row>
    <row r="337" spans="13:19">
      <c r="M337" s="94"/>
      <c r="P337" s="93"/>
      <c r="S337" s="93"/>
    </row>
    <row r="338" spans="13:19">
      <c r="M338" s="94"/>
      <c r="P338" s="93"/>
      <c r="S338" s="93"/>
    </row>
    <row r="339" spans="13:19">
      <c r="M339" s="94"/>
      <c r="P339" s="93"/>
      <c r="S339" s="93"/>
    </row>
    <row r="340" spans="13:19">
      <c r="M340" s="94"/>
      <c r="P340" s="93"/>
      <c r="S340" s="93"/>
    </row>
    <row r="341" spans="13:19">
      <c r="M341" s="94"/>
      <c r="P341" s="93"/>
      <c r="S341" s="93"/>
    </row>
    <row r="342" spans="13:19">
      <c r="M342" s="94"/>
      <c r="P342" s="93"/>
      <c r="S342" s="93"/>
    </row>
    <row r="343" spans="13:19">
      <c r="M343" s="94"/>
      <c r="P343" s="93"/>
      <c r="S343" s="93"/>
    </row>
    <row r="344" spans="13:19">
      <c r="M344" s="94"/>
      <c r="P344" s="93"/>
      <c r="S344" s="93"/>
    </row>
    <row r="345" spans="13:19">
      <c r="M345" s="94"/>
      <c r="P345" s="93"/>
      <c r="S345" s="93"/>
    </row>
    <row r="346" spans="13:19">
      <c r="M346" s="94"/>
      <c r="P346" s="93"/>
      <c r="S346" s="93"/>
    </row>
    <row r="347" spans="13:19">
      <c r="M347" s="94"/>
      <c r="P347" s="93"/>
      <c r="S347" s="93"/>
    </row>
    <row r="348" spans="13:19">
      <c r="M348" s="94"/>
      <c r="P348" s="93"/>
      <c r="S348" s="93"/>
    </row>
    <row r="349" spans="13:19">
      <c r="M349" s="94"/>
      <c r="P349" s="93"/>
      <c r="S349" s="93"/>
    </row>
    <row r="350" spans="13:19">
      <c r="M350" s="94"/>
      <c r="P350" s="93"/>
      <c r="S350" s="93"/>
    </row>
    <row r="351" spans="13:19">
      <c r="M351" s="94"/>
      <c r="P351" s="93"/>
      <c r="S351" s="93"/>
    </row>
    <row r="352" spans="13:19">
      <c r="M352" s="94"/>
      <c r="P352" s="93"/>
      <c r="S352" s="93"/>
    </row>
    <row r="353" spans="13:19">
      <c r="M353" s="94"/>
      <c r="P353" s="93"/>
      <c r="S353" s="93"/>
    </row>
    <row r="354" spans="13:19">
      <c r="M354" s="94"/>
      <c r="P354" s="93"/>
      <c r="S354" s="93"/>
    </row>
    <row r="355" spans="13:19">
      <c r="M355" s="94"/>
      <c r="P355" s="93"/>
      <c r="S355" s="93"/>
    </row>
    <row r="356" spans="13:19">
      <c r="M356" s="94"/>
      <c r="P356" s="93"/>
      <c r="S356" s="93"/>
    </row>
    <row r="357" spans="13:19">
      <c r="M357" s="94"/>
      <c r="P357" s="93"/>
      <c r="S357" s="93"/>
    </row>
    <row r="358" spans="13:19">
      <c r="M358" s="94"/>
      <c r="P358" s="93"/>
      <c r="S358" s="93"/>
    </row>
    <row r="359" spans="13:19">
      <c r="M359" s="94"/>
      <c r="P359" s="93"/>
      <c r="S359" s="93"/>
    </row>
    <row r="360" spans="13:19">
      <c r="M360" s="94"/>
      <c r="P360" s="93"/>
      <c r="S360" s="93"/>
    </row>
    <row r="361" spans="13:19">
      <c r="M361" s="94"/>
      <c r="P361" s="93"/>
      <c r="S361" s="93"/>
    </row>
    <row r="362" spans="13:19">
      <c r="M362" s="94"/>
      <c r="P362" s="93"/>
      <c r="S362" s="93"/>
    </row>
    <row r="363" spans="13:19">
      <c r="M363" s="94"/>
      <c r="P363" s="93"/>
      <c r="S363" s="93"/>
    </row>
    <row r="364" spans="13:19">
      <c r="M364" s="94"/>
      <c r="P364" s="93"/>
      <c r="S364" s="93"/>
    </row>
    <row r="365" spans="13:19">
      <c r="P365" s="93"/>
      <c r="S365" s="93"/>
    </row>
    <row r="366" spans="13:19">
      <c r="P366" s="93"/>
      <c r="S366" s="93"/>
    </row>
    <row r="367" spans="13:19">
      <c r="P367" s="93"/>
      <c r="S367" s="93"/>
    </row>
    <row r="368" spans="13:19">
      <c r="P368" s="93"/>
      <c r="S368" s="93"/>
    </row>
    <row r="369" spans="16:19">
      <c r="P369" s="93"/>
      <c r="S369" s="93"/>
    </row>
    <row r="370" spans="16:19">
      <c r="P370" s="93"/>
      <c r="S370" s="93"/>
    </row>
    <row r="371" spans="16:19">
      <c r="P371" s="93"/>
      <c r="S371" s="93"/>
    </row>
    <row r="372" spans="16:19">
      <c r="P372" s="93"/>
      <c r="S372" s="93"/>
    </row>
    <row r="373" spans="16:19">
      <c r="P373" s="93"/>
      <c r="S373" s="93"/>
    </row>
    <row r="374" spans="16:19">
      <c r="P374" s="93"/>
      <c r="S374" s="93"/>
    </row>
    <row r="375" spans="16:19">
      <c r="P375" s="93"/>
      <c r="S375" s="93"/>
    </row>
    <row r="376" spans="16:19">
      <c r="P376" s="93"/>
      <c r="S376" s="93"/>
    </row>
    <row r="377" spans="16:19">
      <c r="P377" s="93"/>
      <c r="S377" s="93"/>
    </row>
    <row r="378" spans="16:19">
      <c r="P378" s="93"/>
      <c r="S378" s="93"/>
    </row>
    <row r="379" spans="16:19">
      <c r="P379" s="93"/>
      <c r="S379" s="93"/>
    </row>
    <row r="380" spans="16:19">
      <c r="P380" s="93"/>
      <c r="S380" s="93"/>
    </row>
    <row r="381" spans="16:19">
      <c r="P381" s="93"/>
      <c r="S381" s="93"/>
    </row>
    <row r="382" spans="16:19">
      <c r="P382" s="93"/>
      <c r="S382" s="93"/>
    </row>
    <row r="383" spans="16:19">
      <c r="P383" s="93"/>
      <c r="S383" s="93"/>
    </row>
    <row r="384" spans="16:19">
      <c r="P384" s="93"/>
      <c r="S384" s="93"/>
    </row>
    <row r="385" spans="16:19">
      <c r="P385" s="93"/>
      <c r="S385" s="93"/>
    </row>
    <row r="386" spans="16:19">
      <c r="P386" s="93"/>
      <c r="S386" s="93"/>
    </row>
    <row r="387" spans="16:19">
      <c r="P387" s="93"/>
      <c r="S387" s="93"/>
    </row>
    <row r="388" spans="16:19">
      <c r="P388" s="93"/>
      <c r="S388" s="93"/>
    </row>
    <row r="389" spans="16:19">
      <c r="P389" s="93"/>
      <c r="S389" s="93"/>
    </row>
    <row r="390" spans="16:19">
      <c r="P390" s="93"/>
      <c r="S390" s="93"/>
    </row>
    <row r="391" spans="16:19">
      <c r="P391" s="93"/>
      <c r="S391" s="93"/>
    </row>
    <row r="392" spans="16:19">
      <c r="P392" s="93"/>
      <c r="S392" s="93"/>
    </row>
    <row r="393" spans="16:19">
      <c r="P393" s="93"/>
      <c r="S393" s="93"/>
    </row>
    <row r="394" spans="16:19">
      <c r="P394" s="93"/>
      <c r="S394" s="93"/>
    </row>
    <row r="395" spans="16:19">
      <c r="P395" s="93"/>
      <c r="S395" s="93"/>
    </row>
    <row r="396" spans="16:19">
      <c r="P396" s="93"/>
      <c r="S396" s="93"/>
    </row>
    <row r="397" spans="16:19">
      <c r="P397" s="93"/>
      <c r="S397" s="93"/>
    </row>
    <row r="398" spans="16:19">
      <c r="P398" s="93"/>
      <c r="S398" s="93"/>
    </row>
    <row r="399" spans="16:19">
      <c r="P399" s="93"/>
      <c r="S399" s="93"/>
    </row>
    <row r="400" spans="16:19">
      <c r="P400" s="93"/>
      <c r="S400" s="93"/>
    </row>
    <row r="401" spans="16:19">
      <c r="P401" s="93"/>
      <c r="S401" s="93"/>
    </row>
    <row r="402" spans="16:19">
      <c r="P402" s="93"/>
      <c r="S402" s="93"/>
    </row>
    <row r="403" spans="16:19">
      <c r="P403" s="93"/>
      <c r="S403" s="93"/>
    </row>
    <row r="404" spans="16:19">
      <c r="P404" s="93"/>
      <c r="S404" s="93"/>
    </row>
    <row r="405" spans="16:19">
      <c r="P405" s="93"/>
      <c r="S405" s="93"/>
    </row>
    <row r="406" spans="16:19">
      <c r="P406" s="93"/>
      <c r="S406" s="93"/>
    </row>
    <row r="407" spans="16:19">
      <c r="P407" s="93"/>
      <c r="S407" s="93"/>
    </row>
    <row r="408" spans="16:19">
      <c r="P408" s="93"/>
      <c r="S408" s="93"/>
    </row>
    <row r="409" spans="16:19">
      <c r="P409" s="93"/>
      <c r="S409" s="93"/>
    </row>
    <row r="410" spans="16:19">
      <c r="P410" s="93"/>
      <c r="S410" s="93"/>
    </row>
    <row r="411" spans="16:19">
      <c r="P411" s="93"/>
      <c r="S411" s="93"/>
    </row>
    <row r="412" spans="16:19">
      <c r="P412" s="93"/>
      <c r="S412" s="93"/>
    </row>
    <row r="413" spans="16:19">
      <c r="P413" s="93"/>
      <c r="S413" s="93"/>
    </row>
    <row r="414" spans="16:19">
      <c r="P414" s="93"/>
      <c r="S414" s="93"/>
    </row>
    <row r="415" spans="16:19">
      <c r="P415" s="93"/>
      <c r="S415" s="93"/>
    </row>
    <row r="416" spans="16:19">
      <c r="P416" s="93"/>
      <c r="S416" s="93"/>
    </row>
    <row r="417" spans="16:19">
      <c r="P417" s="93"/>
      <c r="S417" s="93"/>
    </row>
    <row r="418" spans="16:19">
      <c r="P418" s="93"/>
      <c r="S418" s="93"/>
    </row>
    <row r="419" spans="16:19">
      <c r="P419" s="93"/>
      <c r="S419" s="93"/>
    </row>
    <row r="420" spans="16:19">
      <c r="P420" s="93"/>
      <c r="S420" s="93"/>
    </row>
    <row r="421" spans="16:19">
      <c r="P421" s="93"/>
      <c r="S421" s="93"/>
    </row>
    <row r="422" spans="16:19">
      <c r="P422" s="93"/>
      <c r="S422" s="93"/>
    </row>
    <row r="423" spans="16:19">
      <c r="P423" s="93"/>
      <c r="S423" s="93"/>
    </row>
    <row r="424" spans="16:19">
      <c r="P424" s="93"/>
      <c r="S424" s="93"/>
    </row>
    <row r="425" spans="16:19">
      <c r="P425" s="93"/>
      <c r="S425" s="93"/>
    </row>
    <row r="426" spans="16:19">
      <c r="P426" s="93"/>
      <c r="S426" s="93"/>
    </row>
    <row r="427" spans="16:19">
      <c r="P427" s="93"/>
      <c r="S427" s="93"/>
    </row>
    <row r="428" spans="16:19">
      <c r="P428" s="93"/>
      <c r="S428" s="93"/>
    </row>
    <row r="429" spans="16:19">
      <c r="P429" s="93"/>
      <c r="S429" s="93"/>
    </row>
    <row r="430" spans="16:19">
      <c r="P430" s="93"/>
      <c r="S430" s="93"/>
    </row>
    <row r="431" spans="16:19">
      <c r="P431" s="93"/>
      <c r="S431" s="93"/>
    </row>
    <row r="432" spans="16:19">
      <c r="P432" s="93"/>
      <c r="S432" s="93"/>
    </row>
    <row r="433" spans="16:19">
      <c r="P433" s="93"/>
      <c r="S433" s="93"/>
    </row>
    <row r="434" spans="16:19">
      <c r="P434" s="93"/>
      <c r="S434" s="93"/>
    </row>
    <row r="435" spans="16:19">
      <c r="P435" s="93"/>
      <c r="S435" s="93"/>
    </row>
    <row r="436" spans="16:19">
      <c r="P436" s="93"/>
      <c r="S436" s="93"/>
    </row>
    <row r="437" spans="16:19">
      <c r="P437" s="93"/>
      <c r="S437" s="93"/>
    </row>
    <row r="438" spans="16:19">
      <c r="P438" s="93"/>
      <c r="S438" s="93"/>
    </row>
    <row r="439" spans="16:19">
      <c r="P439" s="93"/>
      <c r="S439" s="93"/>
    </row>
    <row r="440" spans="16:19">
      <c r="P440" s="93"/>
      <c r="S440" s="93"/>
    </row>
    <row r="441" spans="16:19">
      <c r="P441" s="93"/>
      <c r="S441" s="93"/>
    </row>
    <row r="442" spans="16:19">
      <c r="P442" s="93"/>
      <c r="S442" s="93"/>
    </row>
    <row r="443" spans="16:19">
      <c r="P443" s="93"/>
      <c r="S443" s="93"/>
    </row>
    <row r="444" spans="16:19">
      <c r="P444" s="93"/>
      <c r="S444" s="93"/>
    </row>
    <row r="445" spans="16:19">
      <c r="P445" s="93"/>
      <c r="S445" s="93"/>
    </row>
    <row r="446" spans="16:19">
      <c r="P446" s="93"/>
      <c r="S446" s="93"/>
    </row>
    <row r="447" spans="16:19">
      <c r="P447" s="93"/>
      <c r="S447" s="93"/>
    </row>
    <row r="448" spans="16:19">
      <c r="P448" s="93"/>
      <c r="S448" s="93"/>
    </row>
    <row r="449" spans="16:19">
      <c r="P449" s="93"/>
      <c r="S449" s="93"/>
    </row>
    <row r="450" spans="16:19">
      <c r="P450" s="93"/>
      <c r="S450" s="93"/>
    </row>
    <row r="451" spans="16:19">
      <c r="P451" s="93"/>
      <c r="S451" s="93"/>
    </row>
    <row r="452" spans="16:19">
      <c r="P452" s="93"/>
      <c r="S452" s="93"/>
    </row>
    <row r="453" spans="16:19">
      <c r="P453" s="93"/>
      <c r="S453" s="93"/>
    </row>
    <row r="454" spans="16:19">
      <c r="P454" s="93"/>
      <c r="S454" s="93"/>
    </row>
    <row r="455" spans="16:19">
      <c r="P455" s="93"/>
      <c r="S455" s="93"/>
    </row>
    <row r="456" spans="16:19">
      <c r="P456" s="93"/>
      <c r="S456" s="93"/>
    </row>
    <row r="457" spans="16:19">
      <c r="P457" s="93"/>
      <c r="S457" s="93"/>
    </row>
    <row r="458" spans="16:19">
      <c r="P458" s="93"/>
      <c r="S458" s="93"/>
    </row>
    <row r="459" spans="16:19">
      <c r="P459" s="93"/>
      <c r="S459" s="93"/>
    </row>
    <row r="460" spans="16:19">
      <c r="P460" s="93"/>
      <c r="S460" s="93"/>
    </row>
    <row r="461" spans="16:19">
      <c r="P461" s="93"/>
      <c r="S461" s="93"/>
    </row>
    <row r="462" spans="16:19">
      <c r="P462" s="93"/>
      <c r="S462" s="93"/>
    </row>
    <row r="463" spans="16:19">
      <c r="P463" s="93"/>
      <c r="S463" s="93"/>
    </row>
    <row r="464" spans="16:19">
      <c r="P464" s="93"/>
      <c r="S464" s="93"/>
    </row>
    <row r="465" spans="16:19">
      <c r="P465" s="93"/>
      <c r="S465" s="93"/>
    </row>
    <row r="466" spans="16:19">
      <c r="P466" s="93"/>
      <c r="S466" s="93"/>
    </row>
  </sheetData>
  <mergeCells count="15">
    <mergeCell ref="A109:S109"/>
    <mergeCell ref="A110:S110"/>
    <mergeCell ref="A7:S7"/>
    <mergeCell ref="A8:S8"/>
    <mergeCell ref="A59:S59"/>
    <mergeCell ref="Q4:Q5"/>
    <mergeCell ref="R4:R5"/>
    <mergeCell ref="S4:S5"/>
    <mergeCell ref="O6:S6"/>
    <mergeCell ref="A58:S58"/>
    <mergeCell ref="A4:I6"/>
    <mergeCell ref="J4:M5"/>
    <mergeCell ref="N4:N6"/>
    <mergeCell ref="O4:O5"/>
    <mergeCell ref="P4:P5"/>
  </mergeCells>
  <hyperlinks>
    <hyperlink ref="A1:I1" location="Главная!A1" display="Вернуться на главную страницу" xr:uid="{00000000-0004-0000-1A00-000000000000}"/>
    <hyperlink ref="A2" location="'Калькулятор теплоотдач ВК'!R1C1" display="Вернуться Калькулятор теплоотдач ВК" xr:uid="{00000000-0004-0000-1A00-000001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Лист29">
    <tabColor rgb="FFFFC000"/>
  </sheetPr>
  <dimension ref="A1:U466"/>
  <sheetViews>
    <sheetView zoomScale="70" zoomScaleNormal="70" workbookViewId="0">
      <pane ySplit="6" topLeftCell="A7" activePane="bottomLeft" state="frozen"/>
      <selection pane="bottomLeft" activeCell="U2" sqref="U2"/>
    </sheetView>
  </sheetViews>
  <sheetFormatPr defaultRowHeight="15.75"/>
  <cols>
    <col min="1" max="1" width="3.7109375" style="7" customWidth="1"/>
    <col min="2" max="2" width="6" style="7" customWidth="1"/>
    <col min="3" max="3" width="3" style="7" customWidth="1"/>
    <col min="4" max="4" width="6" style="7" customWidth="1"/>
    <col min="5" max="5" width="3" style="7" customWidth="1"/>
    <col min="6" max="6" width="7.7109375" style="96" customWidth="1"/>
    <col min="7" max="7" width="3" style="7" customWidth="1"/>
    <col min="8" max="8" width="6" style="7" customWidth="1"/>
    <col min="9" max="9" width="4.5703125" style="7" customWidth="1"/>
    <col min="10" max="10" width="11.28515625" style="7" customWidth="1"/>
    <col min="11" max="12" width="11.28515625" style="96" customWidth="1"/>
    <col min="13" max="13" width="15.5703125" style="1" customWidth="1"/>
    <col min="14" max="14" width="19.140625" style="7" customWidth="1"/>
    <col min="15" max="15" width="27.7109375" style="122" customWidth="1"/>
    <col min="16" max="16" width="27.7109375" style="116" customWidth="1"/>
    <col min="17" max="17" width="26.28515625" style="117" customWidth="1"/>
    <col min="18" max="18" width="27.7109375" style="122" customWidth="1"/>
    <col min="19" max="19" width="27.7109375" style="117" customWidth="1"/>
    <col min="21" max="21" width="22.42578125" customWidth="1"/>
  </cols>
  <sheetData>
    <row r="1" spans="1:21" ht="16.5" customHeight="1">
      <c r="A1" s="1217" t="s">
        <v>9</v>
      </c>
      <c r="B1" s="1217"/>
      <c r="C1" s="1217"/>
      <c r="D1" s="1217"/>
      <c r="E1" s="1217"/>
      <c r="F1" s="97"/>
      <c r="G1" s="1217"/>
      <c r="H1" s="1217"/>
      <c r="I1" s="1217"/>
      <c r="M1" s="175"/>
      <c r="O1" s="117"/>
      <c r="P1" s="117"/>
      <c r="R1" s="117"/>
    </row>
    <row r="2" spans="1:21" s="74" customFormat="1" ht="16.5" customHeight="1">
      <c r="A2" s="956" t="s">
        <v>378</v>
      </c>
      <c r="B2" s="1217"/>
      <c r="C2" s="1217"/>
      <c r="D2" s="1217"/>
      <c r="E2" s="1217"/>
      <c r="F2" s="97"/>
      <c r="G2" s="1217"/>
      <c r="H2" s="1217"/>
      <c r="I2" s="1217"/>
      <c r="J2" s="7"/>
      <c r="K2" s="96"/>
      <c r="L2" s="96"/>
      <c r="M2" s="175"/>
      <c r="N2" s="7"/>
      <c r="O2" s="117"/>
      <c r="P2" s="117"/>
      <c r="Q2" s="117"/>
      <c r="R2" s="117"/>
      <c r="S2" s="117"/>
    </row>
    <row r="3" spans="1:21" s="74" customFormat="1" ht="13.5" customHeight="1" thickBot="1">
      <c r="A3" s="16"/>
      <c r="B3" s="16"/>
      <c r="C3" s="16"/>
      <c r="D3" s="16"/>
      <c r="E3" s="16"/>
      <c r="F3" s="109"/>
      <c r="G3" s="16"/>
      <c r="H3" s="16"/>
      <c r="I3" s="16"/>
      <c r="J3" s="16"/>
      <c r="K3" s="108"/>
      <c r="L3" s="108"/>
      <c r="M3" s="175"/>
      <c r="N3" s="7"/>
      <c r="O3" s="116"/>
      <c r="P3" s="116"/>
      <c r="Q3" s="117"/>
      <c r="R3" s="117"/>
      <c r="S3" s="117"/>
    </row>
    <row r="4" spans="1:21" s="74" customFormat="1" ht="69" customHeight="1">
      <c r="A4" s="2643" t="s">
        <v>8</v>
      </c>
      <c r="B4" s="2644"/>
      <c r="C4" s="2644"/>
      <c r="D4" s="2644"/>
      <c r="E4" s="2644"/>
      <c r="F4" s="2644"/>
      <c r="G4" s="2644"/>
      <c r="H4" s="2644"/>
      <c r="I4" s="2645"/>
      <c r="J4" s="2637" t="s">
        <v>97</v>
      </c>
      <c r="K4" s="2638"/>
      <c r="L4" s="2638"/>
      <c r="M4" s="2639"/>
      <c r="N4" s="2652" t="s">
        <v>96</v>
      </c>
      <c r="O4" s="2655" t="s">
        <v>170</v>
      </c>
      <c r="P4" s="2617" t="s">
        <v>166</v>
      </c>
      <c r="Q4" s="2655" t="s">
        <v>171</v>
      </c>
      <c r="R4" s="2630" t="s">
        <v>460</v>
      </c>
      <c r="S4" s="2590" t="s">
        <v>461</v>
      </c>
    </row>
    <row r="5" spans="1:21" s="74" customFormat="1" ht="72.75" customHeight="1" thickBot="1">
      <c r="A5" s="2646"/>
      <c r="B5" s="2647"/>
      <c r="C5" s="2647"/>
      <c r="D5" s="2647"/>
      <c r="E5" s="2647"/>
      <c r="F5" s="2647"/>
      <c r="G5" s="2647"/>
      <c r="H5" s="2647"/>
      <c r="I5" s="2648"/>
      <c r="J5" s="2640"/>
      <c r="K5" s="2641"/>
      <c r="L5" s="2641"/>
      <c r="M5" s="2642"/>
      <c r="N5" s="2653"/>
      <c r="O5" s="2656"/>
      <c r="P5" s="2618"/>
      <c r="Q5" s="2656"/>
      <c r="R5" s="2631"/>
      <c r="S5" s="2591"/>
    </row>
    <row r="6" spans="1:21" s="74" customFormat="1" ht="61.5" customHeight="1" thickBot="1">
      <c r="A6" s="2649"/>
      <c r="B6" s="2650"/>
      <c r="C6" s="2650"/>
      <c r="D6" s="2650"/>
      <c r="E6" s="2650"/>
      <c r="F6" s="2650"/>
      <c r="G6" s="2650"/>
      <c r="H6" s="2650"/>
      <c r="I6" s="2651"/>
      <c r="J6" s="1223" t="s">
        <v>0</v>
      </c>
      <c r="K6" s="115" t="s">
        <v>1</v>
      </c>
      <c r="L6" s="115" t="s">
        <v>2</v>
      </c>
      <c r="M6" s="180" t="s">
        <v>94</v>
      </c>
      <c r="N6" s="2654"/>
      <c r="O6" s="2634" t="s">
        <v>169</v>
      </c>
      <c r="P6" s="2635"/>
      <c r="Q6" s="2635"/>
      <c r="R6" s="2635"/>
      <c r="S6" s="2636"/>
    </row>
    <row r="7" spans="1:21" s="74" customFormat="1" ht="22.5" customHeight="1" thickBot="1">
      <c r="A7" s="2580" t="s">
        <v>50</v>
      </c>
      <c r="B7" s="2581"/>
      <c r="C7" s="2581"/>
      <c r="D7" s="2581"/>
      <c r="E7" s="2581"/>
      <c r="F7" s="2581"/>
      <c r="G7" s="2581"/>
      <c r="H7" s="2581"/>
      <c r="I7" s="2581"/>
      <c r="J7" s="2581"/>
      <c r="K7" s="2581"/>
      <c r="L7" s="2581"/>
      <c r="M7" s="2581"/>
      <c r="N7" s="2581"/>
      <c r="O7" s="2581"/>
      <c r="P7" s="2581"/>
      <c r="Q7" s="2581"/>
      <c r="R7" s="2581"/>
      <c r="S7" s="2582"/>
    </row>
    <row r="8" spans="1:21" s="74" customFormat="1" ht="16.5" thickBot="1">
      <c r="A8" s="2583" t="s">
        <v>139</v>
      </c>
      <c r="B8" s="2584"/>
      <c r="C8" s="2584"/>
      <c r="D8" s="2584"/>
      <c r="E8" s="2584"/>
      <c r="F8" s="2584"/>
      <c r="G8" s="2584"/>
      <c r="H8" s="2584"/>
      <c r="I8" s="2584"/>
      <c r="J8" s="2584"/>
      <c r="K8" s="2584"/>
      <c r="L8" s="2584"/>
      <c r="M8" s="2584"/>
      <c r="N8" s="2584"/>
      <c r="O8" s="2584"/>
      <c r="P8" s="2584"/>
      <c r="Q8" s="2584"/>
      <c r="R8" s="2632"/>
      <c r="S8" s="2633"/>
    </row>
    <row r="9" spans="1:21" s="74" customFormat="1" ht="16.5" thickBot="1">
      <c r="A9" s="47" t="s">
        <v>35</v>
      </c>
      <c r="B9" s="48">
        <f>J9</f>
        <v>500</v>
      </c>
      <c r="C9" s="48" t="s">
        <v>3</v>
      </c>
      <c r="D9" s="48">
        <f>K9</f>
        <v>260</v>
      </c>
      <c r="E9" s="48" t="s">
        <v>3</v>
      </c>
      <c r="F9" s="99">
        <f>L9</f>
        <v>600</v>
      </c>
      <c r="G9" s="48" t="s">
        <v>3</v>
      </c>
      <c r="H9" s="48">
        <v>4</v>
      </c>
      <c r="I9" s="49" t="s">
        <v>46</v>
      </c>
      <c r="J9" s="181">
        <v>500</v>
      </c>
      <c r="K9" s="143">
        <v>260</v>
      </c>
      <c r="L9" s="143">
        <v>600</v>
      </c>
      <c r="M9" s="201">
        <v>13.174266100560526</v>
      </c>
      <c r="N9" s="144">
        <v>401.42848390009317</v>
      </c>
      <c r="O9" s="145">
        <v>14685.275440966952</v>
      </c>
      <c r="P9" s="198">
        <v>17613.002033315213</v>
      </c>
      <c r="Q9" s="309">
        <v>7536.0353334550891</v>
      </c>
      <c r="R9" s="318">
        <v>22221.31077442204</v>
      </c>
      <c r="S9" s="313">
        <v>25149.037366770302</v>
      </c>
      <c r="U9" s="7" t="s">
        <v>4293</v>
      </c>
    </row>
    <row r="10" spans="1:21" s="74" customFormat="1" ht="16.5" thickBot="1">
      <c r="A10" s="50" t="s">
        <v>35</v>
      </c>
      <c r="B10" s="51">
        <f t="shared" ref="B10:B57" si="0">J10</f>
        <v>500</v>
      </c>
      <c r="C10" s="51" t="s">
        <v>3</v>
      </c>
      <c r="D10" s="51">
        <f t="shared" ref="D10:D57" si="1">K10</f>
        <v>260</v>
      </c>
      <c r="E10" s="51" t="s">
        <v>3</v>
      </c>
      <c r="F10" s="99">
        <f t="shared" ref="F10:F57" si="2">L10</f>
        <v>650</v>
      </c>
      <c r="G10" s="51" t="s">
        <v>3</v>
      </c>
      <c r="H10" s="48">
        <v>4</v>
      </c>
      <c r="I10" s="49" t="s">
        <v>46</v>
      </c>
      <c r="J10" s="184">
        <v>500</v>
      </c>
      <c r="K10" s="75">
        <v>260</v>
      </c>
      <c r="L10" s="75">
        <v>650</v>
      </c>
      <c r="M10" s="202">
        <v>14.045420170425789</v>
      </c>
      <c r="N10" s="87">
        <v>481.71418068011178</v>
      </c>
      <c r="O10" s="123">
        <v>15455.334718999804</v>
      </c>
      <c r="P10" s="199">
        <v>18567.476967382419</v>
      </c>
      <c r="Q10" s="310">
        <v>7967.645945822027</v>
      </c>
      <c r="R10" s="319">
        <v>23422.980664821829</v>
      </c>
      <c r="S10" s="315">
        <v>26535.122913204446</v>
      </c>
      <c r="U10" s="7" t="s">
        <v>4294</v>
      </c>
    </row>
    <row r="11" spans="1:21" s="74" customFormat="1" ht="16.5" thickBot="1">
      <c r="A11" s="50" t="s">
        <v>35</v>
      </c>
      <c r="B11" s="51">
        <f t="shared" si="0"/>
        <v>500</v>
      </c>
      <c r="C11" s="51" t="s">
        <v>3</v>
      </c>
      <c r="D11" s="51">
        <f t="shared" si="1"/>
        <v>260</v>
      </c>
      <c r="E11" s="51" t="s">
        <v>3</v>
      </c>
      <c r="F11" s="99">
        <f t="shared" si="2"/>
        <v>700</v>
      </c>
      <c r="G11" s="51" t="s">
        <v>3</v>
      </c>
      <c r="H11" s="48">
        <v>4</v>
      </c>
      <c r="I11" s="49" t="s">
        <v>46</v>
      </c>
      <c r="J11" s="184">
        <v>500</v>
      </c>
      <c r="K11" s="75">
        <v>260</v>
      </c>
      <c r="L11" s="75">
        <v>700</v>
      </c>
      <c r="M11" s="202">
        <v>14.93361424029105</v>
      </c>
      <c r="N11" s="87">
        <v>561.99987746013051</v>
      </c>
      <c r="O11" s="123">
        <v>16225.39385663929</v>
      </c>
      <c r="P11" s="199">
        <v>19521.95190144948</v>
      </c>
      <c r="Q11" s="310">
        <v>8629.8383359722393</v>
      </c>
      <c r="R11" s="319">
        <v>24855.232192611529</v>
      </c>
      <c r="S11" s="315">
        <v>28151.790237421719</v>
      </c>
      <c r="U11" s="7" t="s">
        <v>4295</v>
      </c>
    </row>
    <row r="12" spans="1:21" s="74" customFormat="1" ht="16.5" thickBot="1">
      <c r="A12" s="50" t="s">
        <v>35</v>
      </c>
      <c r="B12" s="51">
        <f t="shared" si="0"/>
        <v>500</v>
      </c>
      <c r="C12" s="51" t="s">
        <v>3</v>
      </c>
      <c r="D12" s="51">
        <f t="shared" si="1"/>
        <v>260</v>
      </c>
      <c r="E12" s="51" t="s">
        <v>3</v>
      </c>
      <c r="F12" s="99">
        <f t="shared" si="2"/>
        <v>750</v>
      </c>
      <c r="G12" s="51" t="s">
        <v>3</v>
      </c>
      <c r="H12" s="48">
        <v>4</v>
      </c>
      <c r="I12" s="49" t="s">
        <v>46</v>
      </c>
      <c r="J12" s="184">
        <v>500</v>
      </c>
      <c r="K12" s="75">
        <v>260</v>
      </c>
      <c r="L12" s="75">
        <v>750</v>
      </c>
      <c r="M12" s="202">
        <v>15.804768310156314</v>
      </c>
      <c r="N12" s="87">
        <v>642.28557424014912</v>
      </c>
      <c r="O12" s="123">
        <v>16995.453134672141</v>
      </c>
      <c r="P12" s="199">
        <v>20476.426835516544</v>
      </c>
      <c r="Q12" s="310">
        <v>9061.4489483391772</v>
      </c>
      <c r="R12" s="319">
        <v>26056.902083011319</v>
      </c>
      <c r="S12" s="315">
        <v>29537.875783855721</v>
      </c>
      <c r="U12" s="7" t="s">
        <v>4296</v>
      </c>
    </row>
    <row r="13" spans="1:21" s="74" customFormat="1" ht="16.5" thickBot="1">
      <c r="A13" s="50" t="s">
        <v>35</v>
      </c>
      <c r="B13" s="51">
        <f t="shared" si="0"/>
        <v>500</v>
      </c>
      <c r="C13" s="51" t="s">
        <v>3</v>
      </c>
      <c r="D13" s="51">
        <f t="shared" si="1"/>
        <v>260</v>
      </c>
      <c r="E13" s="51" t="s">
        <v>3</v>
      </c>
      <c r="F13" s="99">
        <f t="shared" si="2"/>
        <v>800</v>
      </c>
      <c r="G13" s="51" t="s">
        <v>3</v>
      </c>
      <c r="H13" s="48">
        <v>4</v>
      </c>
      <c r="I13" s="49" t="s">
        <v>46</v>
      </c>
      <c r="J13" s="184">
        <v>500</v>
      </c>
      <c r="K13" s="75">
        <v>260</v>
      </c>
      <c r="L13" s="75">
        <v>800</v>
      </c>
      <c r="M13" s="202">
        <v>16.675922380021582</v>
      </c>
      <c r="N13" s="87">
        <v>722.57127102016773</v>
      </c>
      <c r="O13" s="123">
        <v>17765.512412704993</v>
      </c>
      <c r="P13" s="199">
        <v>21430.901769583608</v>
      </c>
      <c r="Q13" s="310">
        <v>9493.059560706115</v>
      </c>
      <c r="R13" s="319">
        <v>27258.571973411108</v>
      </c>
      <c r="S13" s="315">
        <v>30923.961330289723</v>
      </c>
      <c r="U13" s="7" t="s">
        <v>4297</v>
      </c>
    </row>
    <row r="14" spans="1:21" s="74" customFormat="1" ht="16.5" thickBot="1">
      <c r="A14" s="50" t="s">
        <v>35</v>
      </c>
      <c r="B14" s="51">
        <f t="shared" si="0"/>
        <v>500</v>
      </c>
      <c r="C14" s="51" t="s">
        <v>3</v>
      </c>
      <c r="D14" s="51">
        <f t="shared" si="1"/>
        <v>260</v>
      </c>
      <c r="E14" s="51" t="s">
        <v>3</v>
      </c>
      <c r="F14" s="99">
        <f t="shared" si="2"/>
        <v>850</v>
      </c>
      <c r="G14" s="51" t="s">
        <v>3</v>
      </c>
      <c r="H14" s="48">
        <v>4</v>
      </c>
      <c r="I14" s="49" t="s">
        <v>46</v>
      </c>
      <c r="J14" s="184">
        <v>500</v>
      </c>
      <c r="K14" s="75">
        <v>260</v>
      </c>
      <c r="L14" s="75">
        <v>850</v>
      </c>
      <c r="M14" s="202">
        <v>17.564116449886843</v>
      </c>
      <c r="N14" s="87">
        <v>802.85696780018634</v>
      </c>
      <c r="O14" s="123">
        <v>18535.571690737841</v>
      </c>
      <c r="P14" s="199">
        <v>22385.376703650811</v>
      </c>
      <c r="Q14" s="310">
        <v>10155.251950856327</v>
      </c>
      <c r="R14" s="319">
        <v>28690.823641594168</v>
      </c>
      <c r="S14" s="315">
        <v>32540.628654507138</v>
      </c>
      <c r="U14" s="7" t="s">
        <v>4298</v>
      </c>
    </row>
    <row r="15" spans="1:21" s="74" customFormat="1" ht="16.5" thickBot="1">
      <c r="A15" s="50" t="s">
        <v>35</v>
      </c>
      <c r="B15" s="51">
        <f t="shared" si="0"/>
        <v>500</v>
      </c>
      <c r="C15" s="51" t="s">
        <v>3</v>
      </c>
      <c r="D15" s="51">
        <f t="shared" si="1"/>
        <v>260</v>
      </c>
      <c r="E15" s="51" t="s">
        <v>3</v>
      </c>
      <c r="F15" s="99">
        <f t="shared" si="2"/>
        <v>900</v>
      </c>
      <c r="G15" s="51" t="s">
        <v>3</v>
      </c>
      <c r="H15" s="48">
        <v>4</v>
      </c>
      <c r="I15" s="49" t="s">
        <v>46</v>
      </c>
      <c r="J15" s="184">
        <v>500</v>
      </c>
      <c r="K15" s="75">
        <v>260</v>
      </c>
      <c r="L15" s="75">
        <v>900</v>
      </c>
      <c r="M15" s="202">
        <v>18.435270519752105</v>
      </c>
      <c r="N15" s="87">
        <v>883.14266458020518</v>
      </c>
      <c r="O15" s="123">
        <v>19305.630968770693</v>
      </c>
      <c r="P15" s="199">
        <v>23339.851637717871</v>
      </c>
      <c r="Q15" s="310">
        <v>10586.862563223265</v>
      </c>
      <c r="R15" s="319">
        <v>29892.493531993958</v>
      </c>
      <c r="S15" s="315">
        <v>33926.714200941133</v>
      </c>
      <c r="U15" s="7" t="s">
        <v>4299</v>
      </c>
    </row>
    <row r="16" spans="1:21" s="74" customFormat="1" ht="16.5" thickBot="1">
      <c r="A16" s="50" t="s">
        <v>35</v>
      </c>
      <c r="B16" s="51">
        <f t="shared" si="0"/>
        <v>500</v>
      </c>
      <c r="C16" s="51" t="s">
        <v>3</v>
      </c>
      <c r="D16" s="51">
        <f t="shared" si="1"/>
        <v>260</v>
      </c>
      <c r="E16" s="51" t="s">
        <v>3</v>
      </c>
      <c r="F16" s="99">
        <f t="shared" si="2"/>
        <v>950</v>
      </c>
      <c r="G16" s="51" t="s">
        <v>3</v>
      </c>
      <c r="H16" s="48">
        <v>4</v>
      </c>
      <c r="I16" s="49" t="s">
        <v>46</v>
      </c>
      <c r="J16" s="184">
        <v>500</v>
      </c>
      <c r="K16" s="75">
        <v>260</v>
      </c>
      <c r="L16" s="75">
        <v>950</v>
      </c>
      <c r="M16" s="202">
        <v>19.323464589617366</v>
      </c>
      <c r="N16" s="87">
        <v>963.42836136022356</v>
      </c>
      <c r="O16" s="123">
        <v>20075.690246803544</v>
      </c>
      <c r="P16" s="199">
        <v>24294.326571784935</v>
      </c>
      <c r="Q16" s="310">
        <v>11249.054953373477</v>
      </c>
      <c r="R16" s="319">
        <v>31324.745200177022</v>
      </c>
      <c r="S16" s="315">
        <v>35543.381525158416</v>
      </c>
      <c r="U16" s="7" t="s">
        <v>4300</v>
      </c>
    </row>
    <row r="17" spans="1:21" s="74" customFormat="1" ht="16.5" thickBot="1">
      <c r="A17" s="50" t="s">
        <v>35</v>
      </c>
      <c r="B17" s="51">
        <f t="shared" si="0"/>
        <v>500</v>
      </c>
      <c r="C17" s="51" t="s">
        <v>3</v>
      </c>
      <c r="D17" s="51">
        <f t="shared" si="1"/>
        <v>260</v>
      </c>
      <c r="E17" s="51" t="s">
        <v>3</v>
      </c>
      <c r="F17" s="99">
        <f t="shared" si="2"/>
        <v>1000</v>
      </c>
      <c r="G17" s="51" t="s">
        <v>3</v>
      </c>
      <c r="H17" s="48">
        <v>4</v>
      </c>
      <c r="I17" s="49" t="s">
        <v>46</v>
      </c>
      <c r="J17" s="184">
        <v>500</v>
      </c>
      <c r="K17" s="75">
        <v>260</v>
      </c>
      <c r="L17" s="75">
        <v>1000</v>
      </c>
      <c r="M17" s="202">
        <v>20.194618659482629</v>
      </c>
      <c r="N17" s="87">
        <v>1043.7140581402423</v>
      </c>
      <c r="O17" s="123">
        <v>20845.749524836392</v>
      </c>
      <c r="P17" s="199">
        <v>25248.801505852</v>
      </c>
      <c r="Q17" s="310">
        <v>11680.665565740415</v>
      </c>
      <c r="R17" s="319">
        <v>32526.415090576807</v>
      </c>
      <c r="S17" s="315">
        <v>36929.467071592415</v>
      </c>
      <c r="U17" s="7" t="s">
        <v>4301</v>
      </c>
    </row>
    <row r="18" spans="1:21" s="74" customFormat="1" ht="16.5" thickBot="1">
      <c r="A18" s="50" t="s">
        <v>35</v>
      </c>
      <c r="B18" s="51">
        <f t="shared" si="0"/>
        <v>500</v>
      </c>
      <c r="C18" s="51" t="s">
        <v>3</v>
      </c>
      <c r="D18" s="51">
        <f t="shared" si="1"/>
        <v>260</v>
      </c>
      <c r="E18" s="51" t="s">
        <v>3</v>
      </c>
      <c r="F18" s="99">
        <f t="shared" si="2"/>
        <v>1050</v>
      </c>
      <c r="G18" s="51" t="s">
        <v>3</v>
      </c>
      <c r="H18" s="48">
        <v>4</v>
      </c>
      <c r="I18" s="49" t="s">
        <v>46</v>
      </c>
      <c r="J18" s="184">
        <v>500</v>
      </c>
      <c r="K18" s="75">
        <v>260</v>
      </c>
      <c r="L18" s="75">
        <v>1050</v>
      </c>
      <c r="M18" s="202">
        <v>21.082812729347893</v>
      </c>
      <c r="N18" s="87">
        <v>1123.999754920261</v>
      </c>
      <c r="O18" s="123">
        <v>21615.808802869244</v>
      </c>
      <c r="P18" s="199">
        <v>26203.276439919202</v>
      </c>
      <c r="Q18" s="310">
        <v>12342.857815497266</v>
      </c>
      <c r="R18" s="319">
        <v>33958.666618366507</v>
      </c>
      <c r="S18" s="315">
        <v>38546.134255416466</v>
      </c>
      <c r="U18" s="7" t="s">
        <v>4302</v>
      </c>
    </row>
    <row r="19" spans="1:21" s="74" customFormat="1" ht="16.5" thickBot="1">
      <c r="A19" s="47" t="s">
        <v>35</v>
      </c>
      <c r="B19" s="48">
        <f t="shared" si="0"/>
        <v>500</v>
      </c>
      <c r="C19" s="48" t="s">
        <v>3</v>
      </c>
      <c r="D19" s="48">
        <f t="shared" si="1"/>
        <v>260</v>
      </c>
      <c r="E19" s="48" t="s">
        <v>3</v>
      </c>
      <c r="F19" s="99">
        <f t="shared" si="2"/>
        <v>1100</v>
      </c>
      <c r="G19" s="48" t="s">
        <v>3</v>
      </c>
      <c r="H19" s="48">
        <v>4</v>
      </c>
      <c r="I19" s="49" t="s">
        <v>46</v>
      </c>
      <c r="J19" s="184">
        <v>500</v>
      </c>
      <c r="K19" s="75">
        <v>260</v>
      </c>
      <c r="L19" s="75">
        <v>1100</v>
      </c>
      <c r="M19" s="202">
        <v>21.953966799213156</v>
      </c>
      <c r="N19" s="87">
        <v>1204.2854517002795</v>
      </c>
      <c r="O19" s="123">
        <v>22385.868080902095</v>
      </c>
      <c r="P19" s="199">
        <v>27157.751373986262</v>
      </c>
      <c r="Q19" s="310">
        <v>12774.468427864203</v>
      </c>
      <c r="R19" s="319">
        <v>35160.336508766297</v>
      </c>
      <c r="S19" s="315">
        <v>39932.219801850464</v>
      </c>
      <c r="U19" s="7" t="s">
        <v>4303</v>
      </c>
    </row>
    <row r="20" spans="1:21" s="74" customFormat="1" ht="16.5" thickBot="1">
      <c r="A20" s="50" t="s">
        <v>35</v>
      </c>
      <c r="B20" s="51">
        <f t="shared" si="0"/>
        <v>500</v>
      </c>
      <c r="C20" s="51" t="s">
        <v>3</v>
      </c>
      <c r="D20" s="51">
        <f t="shared" si="1"/>
        <v>260</v>
      </c>
      <c r="E20" s="51" t="s">
        <v>3</v>
      </c>
      <c r="F20" s="99">
        <f t="shared" si="2"/>
        <v>1150</v>
      </c>
      <c r="G20" s="51" t="s">
        <v>3</v>
      </c>
      <c r="H20" s="48">
        <v>4</v>
      </c>
      <c r="I20" s="49" t="s">
        <v>46</v>
      </c>
      <c r="J20" s="184">
        <v>500</v>
      </c>
      <c r="K20" s="75">
        <v>260</v>
      </c>
      <c r="L20" s="75">
        <v>1150</v>
      </c>
      <c r="M20" s="202">
        <v>22.825120869078418</v>
      </c>
      <c r="N20" s="87">
        <v>1284.5711484802982</v>
      </c>
      <c r="O20" s="123">
        <v>23155.927218541579</v>
      </c>
      <c r="P20" s="199">
        <v>28112.226308053327</v>
      </c>
      <c r="Q20" s="310">
        <v>13206.07904023114</v>
      </c>
      <c r="R20" s="319">
        <v>36362.006258772715</v>
      </c>
      <c r="S20" s="315">
        <v>41318.30534828447</v>
      </c>
      <c r="U20" s="7" t="s">
        <v>4304</v>
      </c>
    </row>
    <row r="21" spans="1:21" s="74" customFormat="1" ht="16.5" thickBot="1">
      <c r="A21" s="50" t="s">
        <v>35</v>
      </c>
      <c r="B21" s="51">
        <f t="shared" si="0"/>
        <v>500</v>
      </c>
      <c r="C21" s="51" t="s">
        <v>3</v>
      </c>
      <c r="D21" s="51">
        <f t="shared" si="1"/>
        <v>260</v>
      </c>
      <c r="E21" s="51" t="s">
        <v>3</v>
      </c>
      <c r="F21" s="99">
        <f t="shared" si="2"/>
        <v>1200</v>
      </c>
      <c r="G21" s="51" t="s">
        <v>3</v>
      </c>
      <c r="H21" s="48">
        <v>4</v>
      </c>
      <c r="I21" s="49" t="s">
        <v>46</v>
      </c>
      <c r="J21" s="184">
        <v>500</v>
      </c>
      <c r="K21" s="75">
        <v>260</v>
      </c>
      <c r="L21" s="75">
        <v>1200</v>
      </c>
      <c r="M21" s="202">
        <v>23.791814938943681</v>
      </c>
      <c r="N21" s="87">
        <v>1364.856845260317</v>
      </c>
      <c r="O21" s="123">
        <v>24003.140932476566</v>
      </c>
      <c r="P21" s="199">
        <v>29144.326659950555</v>
      </c>
      <c r="Q21" s="310">
        <v>13868.271430381354</v>
      </c>
      <c r="R21" s="319">
        <v>37871.412362857918</v>
      </c>
      <c r="S21" s="315">
        <v>43012.598090331907</v>
      </c>
      <c r="U21" s="7" t="s">
        <v>4305</v>
      </c>
    </row>
    <row r="22" spans="1:21" s="74" customFormat="1" ht="16.5" thickBot="1">
      <c r="A22" s="50" t="s">
        <v>35</v>
      </c>
      <c r="B22" s="51">
        <f t="shared" si="0"/>
        <v>500</v>
      </c>
      <c r="C22" s="51" t="s">
        <v>3</v>
      </c>
      <c r="D22" s="51">
        <f t="shared" si="1"/>
        <v>260</v>
      </c>
      <c r="E22" s="51" t="s">
        <v>3</v>
      </c>
      <c r="F22" s="99">
        <f t="shared" si="2"/>
        <v>1250</v>
      </c>
      <c r="G22" s="51" t="s">
        <v>3</v>
      </c>
      <c r="H22" s="48">
        <v>4</v>
      </c>
      <c r="I22" s="49" t="s">
        <v>46</v>
      </c>
      <c r="J22" s="184">
        <v>500</v>
      </c>
      <c r="K22" s="75">
        <v>260</v>
      </c>
      <c r="L22" s="75">
        <v>1250</v>
      </c>
      <c r="M22" s="202">
        <v>24.662969008808947</v>
      </c>
      <c r="N22" s="87">
        <v>1445.1425420403355</v>
      </c>
      <c r="O22" s="123">
        <v>24773.200210509414</v>
      </c>
      <c r="P22" s="199">
        <v>30098.801594017619</v>
      </c>
      <c r="Q22" s="310">
        <v>14299.882042748291</v>
      </c>
      <c r="R22" s="319">
        <v>39073.082253257708</v>
      </c>
      <c r="S22" s="315">
        <v>44398.683636765913</v>
      </c>
      <c r="U22" s="7" t="s">
        <v>4306</v>
      </c>
    </row>
    <row r="23" spans="1:21" s="74" customFormat="1" ht="16.5" thickBot="1">
      <c r="A23" s="50" t="s">
        <v>35</v>
      </c>
      <c r="B23" s="51">
        <f t="shared" si="0"/>
        <v>500</v>
      </c>
      <c r="C23" s="51" t="s">
        <v>3</v>
      </c>
      <c r="D23" s="51">
        <f t="shared" si="1"/>
        <v>260</v>
      </c>
      <c r="E23" s="51" t="s">
        <v>3</v>
      </c>
      <c r="F23" s="99">
        <f t="shared" si="2"/>
        <v>1300</v>
      </c>
      <c r="G23" s="51" t="s">
        <v>3</v>
      </c>
      <c r="H23" s="48">
        <v>4</v>
      </c>
      <c r="I23" s="49" t="s">
        <v>46</v>
      </c>
      <c r="J23" s="184">
        <v>500</v>
      </c>
      <c r="K23" s="75">
        <v>260</v>
      </c>
      <c r="L23" s="75">
        <v>1300</v>
      </c>
      <c r="M23" s="202">
        <v>25.551163078674207</v>
      </c>
      <c r="N23" s="87">
        <v>1525.428238820354</v>
      </c>
      <c r="O23" s="123">
        <v>25543.25948854227</v>
      </c>
      <c r="P23" s="199">
        <v>31053.276528084822</v>
      </c>
      <c r="Q23" s="310">
        <v>14962.074432898504</v>
      </c>
      <c r="R23" s="319">
        <v>40505.333921440775</v>
      </c>
      <c r="S23" s="315">
        <v>46015.350960983327</v>
      </c>
      <c r="U23" s="7" t="s">
        <v>4307</v>
      </c>
    </row>
    <row r="24" spans="1:21" s="74" customFormat="1" ht="16.5" thickBot="1">
      <c r="A24" s="50" t="s">
        <v>35</v>
      </c>
      <c r="B24" s="51">
        <f t="shared" si="0"/>
        <v>500</v>
      </c>
      <c r="C24" s="51" t="s">
        <v>3</v>
      </c>
      <c r="D24" s="51">
        <f t="shared" si="1"/>
        <v>260</v>
      </c>
      <c r="E24" s="51" t="s">
        <v>3</v>
      </c>
      <c r="F24" s="99">
        <f t="shared" si="2"/>
        <v>1350</v>
      </c>
      <c r="G24" s="51" t="s">
        <v>3</v>
      </c>
      <c r="H24" s="48">
        <v>4</v>
      </c>
      <c r="I24" s="49" t="s">
        <v>46</v>
      </c>
      <c r="J24" s="184">
        <v>500</v>
      </c>
      <c r="K24" s="75">
        <v>260</v>
      </c>
      <c r="L24" s="75">
        <v>1350</v>
      </c>
      <c r="M24" s="202">
        <v>26.422317148539477</v>
      </c>
      <c r="N24" s="87">
        <v>1605.7139356003727</v>
      </c>
      <c r="O24" s="123">
        <v>26313.318766575117</v>
      </c>
      <c r="P24" s="199">
        <v>32007.751462151886</v>
      </c>
      <c r="Q24" s="310">
        <v>15393.685045265442</v>
      </c>
      <c r="R24" s="319">
        <v>41707.003811840557</v>
      </c>
      <c r="S24" s="315">
        <v>47401.436507417326</v>
      </c>
      <c r="U24" s="7" t="s">
        <v>4308</v>
      </c>
    </row>
    <row r="25" spans="1:21" s="74" customFormat="1" ht="16.5" thickBot="1">
      <c r="A25" s="50" t="s">
        <v>35</v>
      </c>
      <c r="B25" s="51">
        <f t="shared" si="0"/>
        <v>500</v>
      </c>
      <c r="C25" s="51" t="s">
        <v>3</v>
      </c>
      <c r="D25" s="51">
        <f t="shared" si="1"/>
        <v>260</v>
      </c>
      <c r="E25" s="51" t="s">
        <v>3</v>
      </c>
      <c r="F25" s="99">
        <f t="shared" si="2"/>
        <v>1400</v>
      </c>
      <c r="G25" s="51" t="s">
        <v>3</v>
      </c>
      <c r="H25" s="48">
        <v>4</v>
      </c>
      <c r="I25" s="49" t="s">
        <v>46</v>
      </c>
      <c r="J25" s="184">
        <v>500</v>
      </c>
      <c r="K25" s="75">
        <v>260</v>
      </c>
      <c r="L25" s="75">
        <v>1400</v>
      </c>
      <c r="M25" s="202">
        <v>27.310511218404738</v>
      </c>
      <c r="N25" s="87">
        <v>1685.9996323803914</v>
      </c>
      <c r="O25" s="123">
        <v>27083.378044607965</v>
      </c>
      <c r="P25" s="199">
        <v>32962.226396218946</v>
      </c>
      <c r="Q25" s="310">
        <v>16055.877435415654</v>
      </c>
      <c r="R25" s="319">
        <v>43139.255480023618</v>
      </c>
      <c r="S25" s="315">
        <v>49018.103831634602</v>
      </c>
      <c r="U25" s="7" t="s">
        <v>4309</v>
      </c>
    </row>
    <row r="26" spans="1:21" s="74" customFormat="1" ht="16.5" thickBot="1">
      <c r="A26" s="50" t="s">
        <v>35</v>
      </c>
      <c r="B26" s="51">
        <f t="shared" si="0"/>
        <v>500</v>
      </c>
      <c r="C26" s="51" t="s">
        <v>3</v>
      </c>
      <c r="D26" s="51">
        <f t="shared" si="1"/>
        <v>260</v>
      </c>
      <c r="E26" s="51" t="s">
        <v>3</v>
      </c>
      <c r="F26" s="99">
        <f t="shared" si="2"/>
        <v>1450</v>
      </c>
      <c r="G26" s="51" t="s">
        <v>3</v>
      </c>
      <c r="H26" s="48">
        <v>4</v>
      </c>
      <c r="I26" s="49" t="s">
        <v>46</v>
      </c>
      <c r="J26" s="184">
        <v>500</v>
      </c>
      <c r="K26" s="75">
        <v>260</v>
      </c>
      <c r="L26" s="75">
        <v>1450</v>
      </c>
      <c r="M26" s="202">
        <v>28.181665288270001</v>
      </c>
      <c r="N26" s="87">
        <v>1766.2853291604104</v>
      </c>
      <c r="O26" s="123">
        <v>27853.437182247457</v>
      </c>
      <c r="P26" s="199">
        <v>33916.701330286014</v>
      </c>
      <c r="Q26" s="310">
        <v>16487.48804778259</v>
      </c>
      <c r="R26" s="319">
        <v>44340.925230030043</v>
      </c>
      <c r="S26" s="315">
        <v>50404.189378068608</v>
      </c>
      <c r="U26" s="7" t="s">
        <v>4310</v>
      </c>
    </row>
    <row r="27" spans="1:21" s="74" customFormat="1" ht="16.5" thickBot="1">
      <c r="A27" s="50" t="s">
        <v>35</v>
      </c>
      <c r="B27" s="51">
        <f t="shared" si="0"/>
        <v>500</v>
      </c>
      <c r="C27" s="51" t="s">
        <v>3</v>
      </c>
      <c r="D27" s="51">
        <f t="shared" si="1"/>
        <v>260</v>
      </c>
      <c r="E27" s="51" t="s">
        <v>3</v>
      </c>
      <c r="F27" s="99">
        <f t="shared" si="2"/>
        <v>1500</v>
      </c>
      <c r="G27" s="51" t="s">
        <v>3</v>
      </c>
      <c r="H27" s="48">
        <v>4</v>
      </c>
      <c r="I27" s="49" t="s">
        <v>46</v>
      </c>
      <c r="J27" s="184">
        <v>500</v>
      </c>
      <c r="K27" s="75">
        <v>260</v>
      </c>
      <c r="L27" s="75">
        <v>1500</v>
      </c>
      <c r="M27" s="202">
        <v>29.235770210095264</v>
      </c>
      <c r="N27" s="87">
        <v>1846.5710259404284</v>
      </c>
      <c r="O27" s="123">
        <v>29234.833881945418</v>
      </c>
      <c r="P27" s="199">
        <v>35445.475727732533</v>
      </c>
      <c r="Q27" s="310">
        <v>17149.680437932802</v>
      </c>
      <c r="R27" s="319">
        <v>46384.514319878217</v>
      </c>
      <c r="S27" s="315">
        <v>52595.156165665336</v>
      </c>
      <c r="U27" s="7" t="s">
        <v>4311</v>
      </c>
    </row>
    <row r="28" spans="1:21" s="74" customFormat="1" ht="16.5" thickBot="1">
      <c r="A28" s="50" t="s">
        <v>35</v>
      </c>
      <c r="B28" s="51">
        <f t="shared" si="0"/>
        <v>500</v>
      </c>
      <c r="C28" s="51" t="s">
        <v>3</v>
      </c>
      <c r="D28" s="51">
        <f t="shared" si="1"/>
        <v>260</v>
      </c>
      <c r="E28" s="51" t="s">
        <v>3</v>
      </c>
      <c r="F28" s="99">
        <f t="shared" si="2"/>
        <v>1550</v>
      </c>
      <c r="G28" s="51" t="s">
        <v>3</v>
      </c>
      <c r="H28" s="48">
        <v>4</v>
      </c>
      <c r="I28" s="49" t="s">
        <v>46</v>
      </c>
      <c r="J28" s="184">
        <v>500</v>
      </c>
      <c r="K28" s="75">
        <v>260</v>
      </c>
      <c r="L28" s="75">
        <v>1550</v>
      </c>
      <c r="M28" s="202">
        <v>30.106924279960531</v>
      </c>
      <c r="N28" s="87">
        <v>1926.8567227204471</v>
      </c>
      <c r="O28" s="123">
        <v>30004.893159978266</v>
      </c>
      <c r="P28" s="199">
        <v>36399.950661799594</v>
      </c>
      <c r="Q28" s="310">
        <v>17581.29105029974</v>
      </c>
      <c r="R28" s="319">
        <v>47586.184210278007</v>
      </c>
      <c r="S28" s="315">
        <v>53981.241712099334</v>
      </c>
      <c r="U28" s="7" t="s">
        <v>4312</v>
      </c>
    </row>
    <row r="29" spans="1:21" s="74" customFormat="1" ht="16.5" thickBot="1">
      <c r="A29" s="47" t="s">
        <v>35</v>
      </c>
      <c r="B29" s="48">
        <f t="shared" si="0"/>
        <v>500</v>
      </c>
      <c r="C29" s="48" t="s">
        <v>3</v>
      </c>
      <c r="D29" s="48">
        <f t="shared" si="1"/>
        <v>260</v>
      </c>
      <c r="E29" s="48" t="s">
        <v>3</v>
      </c>
      <c r="F29" s="99">
        <f t="shared" si="2"/>
        <v>1600</v>
      </c>
      <c r="G29" s="48" t="s">
        <v>3</v>
      </c>
      <c r="H29" s="48">
        <v>4</v>
      </c>
      <c r="I29" s="49" t="s">
        <v>46</v>
      </c>
      <c r="J29" s="184">
        <v>500</v>
      </c>
      <c r="K29" s="75">
        <v>260</v>
      </c>
      <c r="L29" s="75">
        <v>1600</v>
      </c>
      <c r="M29" s="202">
        <v>30.978078349825793</v>
      </c>
      <c r="N29" s="87">
        <v>2007.1424195004658</v>
      </c>
      <c r="O29" s="123">
        <v>30774.952438011122</v>
      </c>
      <c r="P29" s="199">
        <v>37354.4255958668</v>
      </c>
      <c r="Q29" s="310">
        <v>18012.901662666678</v>
      </c>
      <c r="R29" s="319">
        <v>48787.854100677796</v>
      </c>
      <c r="S29" s="315">
        <v>55367.327258533478</v>
      </c>
      <c r="U29" s="7" t="s">
        <v>4313</v>
      </c>
    </row>
    <row r="30" spans="1:21" s="74" customFormat="1" ht="16.5" thickBot="1">
      <c r="A30" s="50" t="s">
        <v>35</v>
      </c>
      <c r="B30" s="51">
        <f t="shared" si="0"/>
        <v>500</v>
      </c>
      <c r="C30" s="51" t="s">
        <v>3</v>
      </c>
      <c r="D30" s="51">
        <f t="shared" si="1"/>
        <v>260</v>
      </c>
      <c r="E30" s="51" t="s">
        <v>3</v>
      </c>
      <c r="F30" s="99">
        <f t="shared" si="2"/>
        <v>1650</v>
      </c>
      <c r="G30" s="51" t="s">
        <v>3</v>
      </c>
      <c r="H30" s="48">
        <v>4</v>
      </c>
      <c r="I30" s="49" t="s">
        <v>46</v>
      </c>
      <c r="J30" s="184">
        <v>500</v>
      </c>
      <c r="K30" s="75">
        <v>260</v>
      </c>
      <c r="L30" s="75">
        <v>1650</v>
      </c>
      <c r="M30" s="202">
        <v>31.866272419691057</v>
      </c>
      <c r="N30" s="87">
        <v>2087.4281162804846</v>
      </c>
      <c r="O30" s="123">
        <v>31545.011716043969</v>
      </c>
      <c r="P30" s="199">
        <v>38308.900529933861</v>
      </c>
      <c r="Q30" s="310">
        <v>18675.09391242353</v>
      </c>
      <c r="R30" s="319">
        <v>50220.1056284675</v>
      </c>
      <c r="S30" s="315">
        <v>56983.994442357391</v>
      </c>
      <c r="U30" s="7" t="s">
        <v>4314</v>
      </c>
    </row>
    <row r="31" spans="1:21" s="74" customFormat="1" ht="16.5" thickBot="1">
      <c r="A31" s="50" t="s">
        <v>35</v>
      </c>
      <c r="B31" s="51">
        <f t="shared" si="0"/>
        <v>500</v>
      </c>
      <c r="C31" s="51" t="s">
        <v>3</v>
      </c>
      <c r="D31" s="51">
        <f t="shared" si="1"/>
        <v>260</v>
      </c>
      <c r="E31" s="51" t="s">
        <v>3</v>
      </c>
      <c r="F31" s="99">
        <f t="shared" si="2"/>
        <v>1700</v>
      </c>
      <c r="G31" s="51" t="s">
        <v>3</v>
      </c>
      <c r="H31" s="48">
        <v>4</v>
      </c>
      <c r="I31" s="49" t="s">
        <v>46</v>
      </c>
      <c r="J31" s="184">
        <v>500</v>
      </c>
      <c r="K31" s="75">
        <v>260</v>
      </c>
      <c r="L31" s="75">
        <v>1700</v>
      </c>
      <c r="M31" s="202">
        <v>32.73742648955632</v>
      </c>
      <c r="N31" s="87">
        <v>2167.7138130605031</v>
      </c>
      <c r="O31" s="123">
        <v>32315.070994076817</v>
      </c>
      <c r="P31" s="199">
        <v>39263.375464000928</v>
      </c>
      <c r="Q31" s="310">
        <v>19106.704524790468</v>
      </c>
      <c r="R31" s="319">
        <v>51421.775518867289</v>
      </c>
      <c r="S31" s="315">
        <v>58370.079988791396</v>
      </c>
      <c r="U31" s="7" t="s">
        <v>4315</v>
      </c>
    </row>
    <row r="32" spans="1:21" s="74" customFormat="1" ht="16.5" thickBot="1">
      <c r="A32" s="50" t="s">
        <v>35</v>
      </c>
      <c r="B32" s="51">
        <f t="shared" si="0"/>
        <v>500</v>
      </c>
      <c r="C32" s="51" t="s">
        <v>3</v>
      </c>
      <c r="D32" s="51">
        <f t="shared" si="1"/>
        <v>260</v>
      </c>
      <c r="E32" s="51" t="s">
        <v>3</v>
      </c>
      <c r="F32" s="99">
        <f t="shared" si="2"/>
        <v>1750</v>
      </c>
      <c r="G32" s="51" t="s">
        <v>3</v>
      </c>
      <c r="H32" s="48">
        <v>4</v>
      </c>
      <c r="I32" s="49" t="s">
        <v>46</v>
      </c>
      <c r="J32" s="184">
        <v>500</v>
      </c>
      <c r="K32" s="75">
        <v>260</v>
      </c>
      <c r="L32" s="75">
        <v>1750</v>
      </c>
      <c r="M32" s="202">
        <v>33.625620559421577</v>
      </c>
      <c r="N32" s="87">
        <v>2247.999509840522</v>
      </c>
      <c r="O32" s="123">
        <v>33085.130272109673</v>
      </c>
      <c r="P32" s="199">
        <v>40217.850398067989</v>
      </c>
      <c r="Q32" s="310">
        <v>19768.89691494068</v>
      </c>
      <c r="R32" s="319">
        <v>52854.027187050349</v>
      </c>
      <c r="S32" s="315">
        <v>59986.747313008673</v>
      </c>
      <c r="U32" s="7" t="s">
        <v>4316</v>
      </c>
    </row>
    <row r="33" spans="1:21" s="74" customFormat="1" ht="16.5" thickBot="1">
      <c r="A33" s="50" t="s">
        <v>35</v>
      </c>
      <c r="B33" s="51">
        <f t="shared" si="0"/>
        <v>500</v>
      </c>
      <c r="C33" s="51" t="s">
        <v>3</v>
      </c>
      <c r="D33" s="51">
        <f t="shared" si="1"/>
        <v>260</v>
      </c>
      <c r="E33" s="51" t="s">
        <v>3</v>
      </c>
      <c r="F33" s="99">
        <f t="shared" si="2"/>
        <v>1800</v>
      </c>
      <c r="G33" s="51" t="s">
        <v>3</v>
      </c>
      <c r="H33" s="48">
        <v>4</v>
      </c>
      <c r="I33" s="49" t="s">
        <v>46</v>
      </c>
      <c r="J33" s="184">
        <v>500</v>
      </c>
      <c r="K33" s="75">
        <v>260</v>
      </c>
      <c r="L33" s="75">
        <v>1800</v>
      </c>
      <c r="M33" s="202">
        <v>34.496774629286847</v>
      </c>
      <c r="N33" s="87">
        <v>2328.2852066205405</v>
      </c>
      <c r="O33" s="123">
        <v>33855.189550142517</v>
      </c>
      <c r="P33" s="199">
        <v>41172.325332135188</v>
      </c>
      <c r="Q33" s="310">
        <v>20200.507527307618</v>
      </c>
      <c r="R33" s="319">
        <v>54055.697077450139</v>
      </c>
      <c r="S33" s="315">
        <v>61372.832859442802</v>
      </c>
      <c r="U33" s="7" t="s">
        <v>4317</v>
      </c>
    </row>
    <row r="34" spans="1:21" s="74" customFormat="1" ht="16.5" thickBot="1">
      <c r="A34" s="50" t="s">
        <v>35</v>
      </c>
      <c r="B34" s="51">
        <f t="shared" si="0"/>
        <v>500</v>
      </c>
      <c r="C34" s="51" t="s">
        <v>3</v>
      </c>
      <c r="D34" s="51">
        <f t="shared" si="1"/>
        <v>260</v>
      </c>
      <c r="E34" s="51" t="s">
        <v>3</v>
      </c>
      <c r="F34" s="99">
        <f t="shared" si="2"/>
        <v>1850</v>
      </c>
      <c r="G34" s="51" t="s">
        <v>3</v>
      </c>
      <c r="H34" s="48">
        <v>4</v>
      </c>
      <c r="I34" s="49" t="s">
        <v>46</v>
      </c>
      <c r="J34" s="184">
        <v>500</v>
      </c>
      <c r="K34" s="75">
        <v>260</v>
      </c>
      <c r="L34" s="75">
        <v>1850</v>
      </c>
      <c r="M34" s="202">
        <v>35.384968699152111</v>
      </c>
      <c r="N34" s="87">
        <v>2408.570903400559</v>
      </c>
      <c r="O34" s="123">
        <v>34625.248828175369</v>
      </c>
      <c r="P34" s="199">
        <v>42126.800266202248</v>
      </c>
      <c r="Q34" s="310">
        <v>20862.69991745783</v>
      </c>
      <c r="R34" s="319">
        <v>55487.948745633199</v>
      </c>
      <c r="S34" s="315">
        <v>62989.500183660079</v>
      </c>
      <c r="U34" s="7" t="s">
        <v>4318</v>
      </c>
    </row>
    <row r="35" spans="1:21" s="74" customFormat="1" ht="16.5" thickBot="1">
      <c r="A35" s="50" t="s">
        <v>35</v>
      </c>
      <c r="B35" s="51">
        <f t="shared" si="0"/>
        <v>500</v>
      </c>
      <c r="C35" s="51" t="s">
        <v>3</v>
      </c>
      <c r="D35" s="51">
        <f t="shared" si="1"/>
        <v>260</v>
      </c>
      <c r="E35" s="51" t="s">
        <v>3</v>
      </c>
      <c r="F35" s="99">
        <f t="shared" si="2"/>
        <v>1900</v>
      </c>
      <c r="G35" s="51" t="s">
        <v>3</v>
      </c>
      <c r="H35" s="48">
        <v>4</v>
      </c>
      <c r="I35" s="49" t="s">
        <v>46</v>
      </c>
      <c r="J35" s="184">
        <v>500</v>
      </c>
      <c r="K35" s="75">
        <v>260</v>
      </c>
      <c r="L35" s="75">
        <v>1900</v>
      </c>
      <c r="M35" s="202">
        <v>36.256122769017374</v>
      </c>
      <c r="N35" s="87">
        <v>2488.8566001805775</v>
      </c>
      <c r="O35" s="123">
        <v>35395.30810620822</v>
      </c>
      <c r="P35" s="199">
        <v>43081.275200269316</v>
      </c>
      <c r="Q35" s="310">
        <v>21294.310529824768</v>
      </c>
      <c r="R35" s="319">
        <v>56689.618636032988</v>
      </c>
      <c r="S35" s="315">
        <v>64375.585730094084</v>
      </c>
      <c r="U35" s="7" t="s">
        <v>4319</v>
      </c>
    </row>
    <row r="36" spans="1:21" s="74" customFormat="1" ht="16.5" thickBot="1">
      <c r="A36" s="50" t="s">
        <v>35</v>
      </c>
      <c r="B36" s="51">
        <f t="shared" si="0"/>
        <v>500</v>
      </c>
      <c r="C36" s="51" t="s">
        <v>3</v>
      </c>
      <c r="D36" s="51">
        <f t="shared" si="1"/>
        <v>260</v>
      </c>
      <c r="E36" s="51" t="s">
        <v>3</v>
      </c>
      <c r="F36" s="99">
        <f t="shared" si="2"/>
        <v>1950</v>
      </c>
      <c r="G36" s="51" t="s">
        <v>3</v>
      </c>
      <c r="H36" s="48">
        <v>4</v>
      </c>
      <c r="I36" s="49" t="s">
        <v>46</v>
      </c>
      <c r="J36" s="184">
        <v>500</v>
      </c>
      <c r="K36" s="75">
        <v>260</v>
      </c>
      <c r="L36" s="75">
        <v>1950</v>
      </c>
      <c r="M36" s="202">
        <v>37.205776838882635</v>
      </c>
      <c r="N36" s="87">
        <v>2569.1422969605965</v>
      </c>
      <c r="O36" s="123">
        <v>36242.521679749843</v>
      </c>
      <c r="P36" s="199">
        <v>44113.375552166544</v>
      </c>
      <c r="Q36" s="310">
        <v>21725.921142191706</v>
      </c>
      <c r="R36" s="319">
        <v>57968.442821941549</v>
      </c>
      <c r="S36" s="315">
        <v>65839.296694358258</v>
      </c>
      <c r="U36" s="7" t="s">
        <v>4320</v>
      </c>
    </row>
    <row r="37" spans="1:21" s="74" customFormat="1" ht="16.5" thickBot="1">
      <c r="A37" s="50" t="s">
        <v>35</v>
      </c>
      <c r="B37" s="51">
        <f t="shared" si="0"/>
        <v>500</v>
      </c>
      <c r="C37" s="51" t="s">
        <v>3</v>
      </c>
      <c r="D37" s="51">
        <f t="shared" si="1"/>
        <v>260</v>
      </c>
      <c r="E37" s="51" t="s">
        <v>3</v>
      </c>
      <c r="F37" s="99">
        <f t="shared" si="2"/>
        <v>2000</v>
      </c>
      <c r="G37" s="51" t="s">
        <v>3</v>
      </c>
      <c r="H37" s="48">
        <v>4</v>
      </c>
      <c r="I37" s="49" t="s">
        <v>46</v>
      </c>
      <c r="J37" s="184">
        <v>500</v>
      </c>
      <c r="K37" s="75">
        <v>260</v>
      </c>
      <c r="L37" s="75">
        <v>2000</v>
      </c>
      <c r="M37" s="202">
        <v>38.185533308747893</v>
      </c>
      <c r="N37" s="87">
        <v>2649.427993740615</v>
      </c>
      <c r="O37" s="123">
        <v>37243.123986997918</v>
      </c>
      <c r="P37" s="199">
        <v>45380.531244119848</v>
      </c>
      <c r="Q37" s="310">
        <v>22388.113532341918</v>
      </c>
      <c r="R37" s="319">
        <v>59631.237519339833</v>
      </c>
      <c r="S37" s="315">
        <v>67768.644776461762</v>
      </c>
      <c r="U37" s="7" t="s">
        <v>4321</v>
      </c>
    </row>
    <row r="38" spans="1:21" s="74" customFormat="1" ht="16.5" thickBot="1">
      <c r="A38" s="50" t="s">
        <v>35</v>
      </c>
      <c r="B38" s="51">
        <f t="shared" si="0"/>
        <v>500</v>
      </c>
      <c r="C38" s="51" t="s">
        <v>3</v>
      </c>
      <c r="D38" s="51">
        <f t="shared" si="1"/>
        <v>260</v>
      </c>
      <c r="E38" s="51" t="s">
        <v>3</v>
      </c>
      <c r="F38" s="99">
        <f t="shared" si="2"/>
        <v>2050</v>
      </c>
      <c r="G38" s="51" t="s">
        <v>3</v>
      </c>
      <c r="H38" s="48">
        <v>4</v>
      </c>
      <c r="I38" s="49" t="s">
        <v>46</v>
      </c>
      <c r="J38" s="184">
        <v>500</v>
      </c>
      <c r="K38" s="75">
        <v>260</v>
      </c>
      <c r="L38" s="75">
        <v>2050</v>
      </c>
      <c r="M38" s="202">
        <v>39.056687378613162</v>
      </c>
      <c r="N38" s="87">
        <v>2729.7136905206339</v>
      </c>
      <c r="O38" s="123">
        <v>38013.18326503077</v>
      </c>
      <c r="P38" s="199">
        <v>46335.006178186915</v>
      </c>
      <c r="Q38" s="310">
        <v>22819.724144708856</v>
      </c>
      <c r="R38" s="319">
        <v>60832.907409739622</v>
      </c>
      <c r="S38" s="315">
        <v>69154.730322895775</v>
      </c>
      <c r="U38" s="7" t="s">
        <v>4322</v>
      </c>
    </row>
    <row r="39" spans="1:21" s="74" customFormat="1" ht="16.5" thickBot="1">
      <c r="A39" s="47" t="s">
        <v>35</v>
      </c>
      <c r="B39" s="48">
        <f t="shared" si="0"/>
        <v>500</v>
      </c>
      <c r="C39" s="48" t="s">
        <v>3</v>
      </c>
      <c r="D39" s="48">
        <f t="shared" si="1"/>
        <v>260</v>
      </c>
      <c r="E39" s="48" t="s">
        <v>3</v>
      </c>
      <c r="F39" s="99">
        <f t="shared" si="2"/>
        <v>2100</v>
      </c>
      <c r="G39" s="48" t="s">
        <v>3</v>
      </c>
      <c r="H39" s="48">
        <v>4</v>
      </c>
      <c r="I39" s="49" t="s">
        <v>46</v>
      </c>
      <c r="J39" s="184">
        <v>500</v>
      </c>
      <c r="K39" s="75">
        <v>260</v>
      </c>
      <c r="L39" s="75">
        <v>2100</v>
      </c>
      <c r="M39" s="202">
        <v>39.944881448478426</v>
      </c>
      <c r="N39" s="87">
        <v>2809.9993873006524</v>
      </c>
      <c r="O39" s="123">
        <v>38783.242543063621</v>
      </c>
      <c r="P39" s="199">
        <v>47289.481112253976</v>
      </c>
      <c r="Q39" s="310">
        <v>23481.916534859069</v>
      </c>
      <c r="R39" s="319">
        <v>62265.15907792269</v>
      </c>
      <c r="S39" s="315">
        <v>70771.397647113045</v>
      </c>
      <c r="U39" s="7" t="s">
        <v>4323</v>
      </c>
    </row>
    <row r="40" spans="1:21" s="74" customFormat="1" ht="16.5" thickBot="1">
      <c r="A40" s="50" t="s">
        <v>35</v>
      </c>
      <c r="B40" s="51">
        <f t="shared" si="0"/>
        <v>500</v>
      </c>
      <c r="C40" s="51" t="s">
        <v>3</v>
      </c>
      <c r="D40" s="51">
        <f t="shared" si="1"/>
        <v>260</v>
      </c>
      <c r="E40" s="51" t="s">
        <v>3</v>
      </c>
      <c r="F40" s="99">
        <f t="shared" si="2"/>
        <v>2150</v>
      </c>
      <c r="G40" s="51" t="s">
        <v>3</v>
      </c>
      <c r="H40" s="48">
        <v>4</v>
      </c>
      <c r="I40" s="49" t="s">
        <v>46</v>
      </c>
      <c r="J40" s="184">
        <v>500</v>
      </c>
      <c r="K40" s="75">
        <v>260</v>
      </c>
      <c r="L40" s="75">
        <v>2150</v>
      </c>
      <c r="M40" s="202">
        <v>40.816035518343689</v>
      </c>
      <c r="N40" s="87">
        <v>2890.2850840806709</v>
      </c>
      <c r="O40" s="123">
        <v>39553.301680703109</v>
      </c>
      <c r="P40" s="199">
        <v>48243.956046321182</v>
      </c>
      <c r="Q40" s="310">
        <v>23913.527147226006</v>
      </c>
      <c r="R40" s="319">
        <v>63466.828827929116</v>
      </c>
      <c r="S40" s="315">
        <v>72157.483193547188</v>
      </c>
      <c r="U40" s="7" t="s">
        <v>4324</v>
      </c>
    </row>
    <row r="41" spans="1:21" s="74" customFormat="1" ht="16.5" thickBot="1">
      <c r="A41" s="50" t="s">
        <v>35</v>
      </c>
      <c r="B41" s="51">
        <f t="shared" si="0"/>
        <v>500</v>
      </c>
      <c r="C41" s="51" t="s">
        <v>3</v>
      </c>
      <c r="D41" s="51">
        <f t="shared" si="1"/>
        <v>260</v>
      </c>
      <c r="E41" s="51" t="s">
        <v>3</v>
      </c>
      <c r="F41" s="99">
        <f t="shared" si="2"/>
        <v>2200</v>
      </c>
      <c r="G41" s="51" t="s">
        <v>3</v>
      </c>
      <c r="H41" s="48">
        <v>4</v>
      </c>
      <c r="I41" s="49" t="s">
        <v>46</v>
      </c>
      <c r="J41" s="184">
        <v>500</v>
      </c>
      <c r="K41" s="75">
        <v>260</v>
      </c>
      <c r="L41" s="75">
        <v>2200</v>
      </c>
      <c r="M41" s="202">
        <v>41.704229588208946</v>
      </c>
      <c r="N41" s="87">
        <v>2970.5707808606899</v>
      </c>
      <c r="O41" s="123">
        <v>40323.360958735961</v>
      </c>
      <c r="P41" s="199">
        <v>49198.430980388242</v>
      </c>
      <c r="Q41" s="310">
        <v>24575.719537376219</v>
      </c>
      <c r="R41" s="319">
        <v>64899.080496112176</v>
      </c>
      <c r="S41" s="315">
        <v>73774.150517764458</v>
      </c>
      <c r="U41" s="7" t="s">
        <v>4325</v>
      </c>
    </row>
    <row r="42" spans="1:21" s="74" customFormat="1" ht="16.5" thickBot="1">
      <c r="A42" s="50" t="s">
        <v>35</v>
      </c>
      <c r="B42" s="51">
        <f t="shared" si="0"/>
        <v>500</v>
      </c>
      <c r="C42" s="51" t="s">
        <v>3</v>
      </c>
      <c r="D42" s="51">
        <f t="shared" si="1"/>
        <v>260</v>
      </c>
      <c r="E42" s="51" t="s">
        <v>3</v>
      </c>
      <c r="F42" s="99">
        <f t="shared" si="2"/>
        <v>2250</v>
      </c>
      <c r="G42" s="51" t="s">
        <v>3</v>
      </c>
      <c r="H42" s="48">
        <v>4</v>
      </c>
      <c r="I42" s="49" t="s">
        <v>46</v>
      </c>
      <c r="J42" s="184">
        <v>500</v>
      </c>
      <c r="K42" s="75">
        <v>260</v>
      </c>
      <c r="L42" s="75">
        <v>2250</v>
      </c>
      <c r="M42" s="202">
        <v>42.575383658074209</v>
      </c>
      <c r="N42" s="87">
        <v>3050.8564776407079</v>
      </c>
      <c r="O42" s="123">
        <v>41093.420236768812</v>
      </c>
      <c r="P42" s="199">
        <v>50152.905914455303</v>
      </c>
      <c r="Q42" s="310">
        <v>25007.330009349789</v>
      </c>
      <c r="R42" s="319">
        <v>66100.750246118609</v>
      </c>
      <c r="S42" s="315">
        <v>75160.235923805099</v>
      </c>
      <c r="U42" s="7" t="s">
        <v>4326</v>
      </c>
    </row>
    <row r="43" spans="1:21" s="74" customFormat="1" ht="16.5" thickBot="1">
      <c r="A43" s="50" t="s">
        <v>35</v>
      </c>
      <c r="B43" s="51">
        <f t="shared" si="0"/>
        <v>500</v>
      </c>
      <c r="C43" s="51" t="s">
        <v>3</v>
      </c>
      <c r="D43" s="51">
        <f t="shared" si="1"/>
        <v>260</v>
      </c>
      <c r="E43" s="51" t="s">
        <v>3</v>
      </c>
      <c r="F43" s="99">
        <f t="shared" si="2"/>
        <v>2300</v>
      </c>
      <c r="G43" s="51" t="s">
        <v>3</v>
      </c>
      <c r="H43" s="48">
        <v>4</v>
      </c>
      <c r="I43" s="49" t="s">
        <v>46</v>
      </c>
      <c r="J43" s="184">
        <v>500</v>
      </c>
      <c r="K43" s="75">
        <v>260</v>
      </c>
      <c r="L43" s="75">
        <v>2300</v>
      </c>
      <c r="M43" s="202">
        <v>43.446537727939472</v>
      </c>
      <c r="N43" s="87">
        <v>3131.1421744207269</v>
      </c>
      <c r="O43" s="123">
        <v>41863.479514801656</v>
      </c>
      <c r="P43" s="199">
        <v>51107.380848522371</v>
      </c>
      <c r="Q43" s="310">
        <v>25438.940621716731</v>
      </c>
      <c r="R43" s="319">
        <v>67302.420136518384</v>
      </c>
      <c r="S43" s="315">
        <v>76546.321470239098</v>
      </c>
      <c r="U43" s="7" t="s">
        <v>4327</v>
      </c>
    </row>
    <row r="44" spans="1:21" s="74" customFormat="1" ht="16.5" thickBot="1">
      <c r="A44" s="50" t="s">
        <v>35</v>
      </c>
      <c r="B44" s="51">
        <f t="shared" si="0"/>
        <v>500</v>
      </c>
      <c r="C44" s="51" t="s">
        <v>3</v>
      </c>
      <c r="D44" s="51">
        <f t="shared" si="1"/>
        <v>260</v>
      </c>
      <c r="E44" s="51" t="s">
        <v>3</v>
      </c>
      <c r="F44" s="99">
        <f t="shared" si="2"/>
        <v>2350</v>
      </c>
      <c r="G44" s="51" t="s">
        <v>3</v>
      </c>
      <c r="H44" s="48">
        <v>4</v>
      </c>
      <c r="I44" s="49" t="s">
        <v>46</v>
      </c>
      <c r="J44" s="184">
        <v>500</v>
      </c>
      <c r="K44" s="75">
        <v>260</v>
      </c>
      <c r="L44" s="75">
        <v>2350</v>
      </c>
      <c r="M44" s="202">
        <v>44.334731797804736</v>
      </c>
      <c r="N44" s="87">
        <v>3211.4278712007454</v>
      </c>
      <c r="O44" s="123">
        <v>42633.538792834508</v>
      </c>
      <c r="P44" s="199">
        <v>52061.855782589577</v>
      </c>
      <c r="Q44" s="310">
        <v>26101.133011866939</v>
      </c>
      <c r="R44" s="319">
        <v>68734.671804701444</v>
      </c>
      <c r="S44" s="315">
        <v>78162.988794456513</v>
      </c>
      <c r="U44" s="7" t="s">
        <v>4328</v>
      </c>
    </row>
    <row r="45" spans="1:21" s="74" customFormat="1" ht="16.5" thickBot="1">
      <c r="A45" s="50" t="s">
        <v>35</v>
      </c>
      <c r="B45" s="51">
        <f t="shared" si="0"/>
        <v>500</v>
      </c>
      <c r="C45" s="51" t="s">
        <v>3</v>
      </c>
      <c r="D45" s="51">
        <f t="shared" si="1"/>
        <v>260</v>
      </c>
      <c r="E45" s="51" t="s">
        <v>3</v>
      </c>
      <c r="F45" s="99">
        <f t="shared" si="2"/>
        <v>2400</v>
      </c>
      <c r="G45" s="51" t="s">
        <v>3</v>
      </c>
      <c r="H45" s="48">
        <v>4</v>
      </c>
      <c r="I45" s="49" t="s">
        <v>46</v>
      </c>
      <c r="J45" s="184">
        <v>500</v>
      </c>
      <c r="K45" s="75">
        <v>260</v>
      </c>
      <c r="L45" s="75">
        <v>2400</v>
      </c>
      <c r="M45" s="202">
        <v>45.205885867670005</v>
      </c>
      <c r="N45" s="87">
        <v>3291.7135679807639</v>
      </c>
      <c r="O45" s="123">
        <v>43403.59807086736</v>
      </c>
      <c r="P45" s="199">
        <v>53016.330716656637</v>
      </c>
      <c r="Q45" s="310">
        <v>26532.743624233881</v>
      </c>
      <c r="R45" s="319">
        <v>69936.341695101233</v>
      </c>
      <c r="S45" s="315">
        <v>79549.074340890511</v>
      </c>
      <c r="U45" s="7" t="s">
        <v>4329</v>
      </c>
    </row>
    <row r="46" spans="1:21" s="74" customFormat="1" ht="16.5" thickBot="1">
      <c r="A46" s="50" t="s">
        <v>35</v>
      </c>
      <c r="B46" s="51">
        <f t="shared" si="0"/>
        <v>500</v>
      </c>
      <c r="C46" s="51" t="s">
        <v>3</v>
      </c>
      <c r="D46" s="51">
        <f t="shared" si="1"/>
        <v>260</v>
      </c>
      <c r="E46" s="51" t="s">
        <v>3</v>
      </c>
      <c r="F46" s="99">
        <f t="shared" si="2"/>
        <v>2450</v>
      </c>
      <c r="G46" s="51" t="s">
        <v>3</v>
      </c>
      <c r="H46" s="48">
        <v>4</v>
      </c>
      <c r="I46" s="49" t="s">
        <v>46</v>
      </c>
      <c r="J46" s="184">
        <v>500</v>
      </c>
      <c r="K46" s="75">
        <v>260</v>
      </c>
      <c r="L46" s="75">
        <v>2450</v>
      </c>
      <c r="M46" s="202">
        <v>46.259990789495262</v>
      </c>
      <c r="N46" s="87">
        <v>3371.9992647607828</v>
      </c>
      <c r="O46" s="123">
        <v>44784.994770565325</v>
      </c>
      <c r="P46" s="199">
        <v>54545.105114103157</v>
      </c>
      <c r="Q46" s="310">
        <v>27194.936014384097</v>
      </c>
      <c r="R46" s="319">
        <v>71979.930784949422</v>
      </c>
      <c r="S46" s="315">
        <v>81740.041128487253</v>
      </c>
      <c r="U46" s="7" t="s">
        <v>4330</v>
      </c>
    </row>
    <row r="47" spans="1:21" s="74" customFormat="1" ht="16.5" thickBot="1">
      <c r="A47" s="50" t="s">
        <v>35</v>
      </c>
      <c r="B47" s="51">
        <f t="shared" si="0"/>
        <v>500</v>
      </c>
      <c r="C47" s="51" t="s">
        <v>3</v>
      </c>
      <c r="D47" s="51">
        <f t="shared" si="1"/>
        <v>260</v>
      </c>
      <c r="E47" s="51" t="s">
        <v>3</v>
      </c>
      <c r="F47" s="99">
        <f t="shared" si="2"/>
        <v>2500</v>
      </c>
      <c r="G47" s="51" t="s">
        <v>3</v>
      </c>
      <c r="H47" s="48">
        <v>4</v>
      </c>
      <c r="I47" s="49" t="s">
        <v>46</v>
      </c>
      <c r="J47" s="184">
        <v>500</v>
      </c>
      <c r="K47" s="75">
        <v>260</v>
      </c>
      <c r="L47" s="75">
        <v>2500</v>
      </c>
      <c r="M47" s="202">
        <v>47.131144859360525</v>
      </c>
      <c r="N47" s="87">
        <v>3452.2849615408013</v>
      </c>
      <c r="O47" s="123">
        <v>45555.054048598169</v>
      </c>
      <c r="P47" s="199">
        <v>55499.580048170224</v>
      </c>
      <c r="Q47" s="310">
        <v>27626.546626751031</v>
      </c>
      <c r="R47" s="319">
        <v>73181.600675349197</v>
      </c>
      <c r="S47" s="315">
        <v>83126.126674921252</v>
      </c>
      <c r="U47" s="7" t="s">
        <v>4331</v>
      </c>
    </row>
    <row r="48" spans="1:21" s="74" customFormat="1" ht="16.5" thickBot="1">
      <c r="A48" s="50" t="s">
        <v>35</v>
      </c>
      <c r="B48" s="51">
        <f t="shared" si="0"/>
        <v>500</v>
      </c>
      <c r="C48" s="51" t="s">
        <v>3</v>
      </c>
      <c r="D48" s="51">
        <f t="shared" si="1"/>
        <v>260</v>
      </c>
      <c r="E48" s="51" t="s">
        <v>3</v>
      </c>
      <c r="F48" s="99">
        <f t="shared" si="2"/>
        <v>2550</v>
      </c>
      <c r="G48" s="51" t="s">
        <v>3</v>
      </c>
      <c r="H48" s="48">
        <v>4</v>
      </c>
      <c r="I48" s="49" t="s">
        <v>46</v>
      </c>
      <c r="J48" s="184">
        <v>500</v>
      </c>
      <c r="K48" s="75">
        <v>260</v>
      </c>
      <c r="L48" s="75">
        <v>2550</v>
      </c>
      <c r="M48" s="202">
        <v>48.019338929225789</v>
      </c>
      <c r="N48" s="87">
        <v>3532.5706583208207</v>
      </c>
      <c r="O48" s="123">
        <v>46325.113326631021</v>
      </c>
      <c r="P48" s="199">
        <v>56454.054982237285</v>
      </c>
      <c r="Q48" s="310">
        <v>28288.739016901247</v>
      </c>
      <c r="R48" s="319">
        <v>74613.852343532271</v>
      </c>
      <c r="S48" s="315">
        <v>84742.793999138536</v>
      </c>
      <c r="U48" s="7" t="s">
        <v>4332</v>
      </c>
    </row>
    <row r="49" spans="1:21" s="74" customFormat="1" ht="16.5" thickBot="1">
      <c r="A49" s="47" t="s">
        <v>35</v>
      </c>
      <c r="B49" s="48">
        <f t="shared" si="0"/>
        <v>500</v>
      </c>
      <c r="C49" s="48" t="s">
        <v>3</v>
      </c>
      <c r="D49" s="48">
        <f t="shared" si="1"/>
        <v>260</v>
      </c>
      <c r="E49" s="48" t="s">
        <v>3</v>
      </c>
      <c r="F49" s="99">
        <f t="shared" si="2"/>
        <v>2600</v>
      </c>
      <c r="G49" s="48" t="s">
        <v>3</v>
      </c>
      <c r="H49" s="48">
        <v>4</v>
      </c>
      <c r="I49" s="49" t="s">
        <v>46</v>
      </c>
      <c r="J49" s="184">
        <v>500</v>
      </c>
      <c r="K49" s="75">
        <v>260</v>
      </c>
      <c r="L49" s="75">
        <v>2600</v>
      </c>
      <c r="M49" s="202">
        <v>48.890492999091052</v>
      </c>
      <c r="N49" s="87">
        <v>3612.8563551008388</v>
      </c>
      <c r="O49" s="123">
        <v>47095.172464270516</v>
      </c>
      <c r="P49" s="199">
        <v>57408.529916304491</v>
      </c>
      <c r="Q49" s="310">
        <v>28720.349629268181</v>
      </c>
      <c r="R49" s="319">
        <v>75815.52209353869</v>
      </c>
      <c r="S49" s="315">
        <v>86128.879545572679</v>
      </c>
      <c r="U49" s="7" t="s">
        <v>4333</v>
      </c>
    </row>
    <row r="50" spans="1:21" s="74" customFormat="1" ht="16.5" thickBot="1">
      <c r="A50" s="50" t="s">
        <v>35</v>
      </c>
      <c r="B50" s="51">
        <f t="shared" si="0"/>
        <v>500</v>
      </c>
      <c r="C50" s="51" t="s">
        <v>3</v>
      </c>
      <c r="D50" s="51">
        <f t="shared" si="1"/>
        <v>260</v>
      </c>
      <c r="E50" s="51" t="s">
        <v>3</v>
      </c>
      <c r="F50" s="99">
        <f t="shared" si="2"/>
        <v>2650</v>
      </c>
      <c r="G50" s="51" t="s">
        <v>3</v>
      </c>
      <c r="H50" s="48">
        <v>4</v>
      </c>
      <c r="I50" s="49" t="s">
        <v>46</v>
      </c>
      <c r="J50" s="184">
        <v>500</v>
      </c>
      <c r="K50" s="75">
        <v>260</v>
      </c>
      <c r="L50" s="75">
        <v>2650</v>
      </c>
      <c r="M50" s="202">
        <v>49.778687068956323</v>
      </c>
      <c r="N50" s="87">
        <v>3693.1420518808568</v>
      </c>
      <c r="O50" s="123">
        <v>47865.23174230336</v>
      </c>
      <c r="P50" s="199">
        <v>58363.004850371552</v>
      </c>
      <c r="Q50" s="310">
        <v>29382.542019418397</v>
      </c>
      <c r="R50" s="319">
        <v>77247.773761721764</v>
      </c>
      <c r="S50" s="315">
        <v>87745.546869789949</v>
      </c>
      <c r="U50" s="7" t="s">
        <v>4334</v>
      </c>
    </row>
    <row r="51" spans="1:21" s="74" customFormat="1" ht="16.5" thickBot="1">
      <c r="A51" s="50" t="s">
        <v>35</v>
      </c>
      <c r="B51" s="51">
        <f t="shared" si="0"/>
        <v>500</v>
      </c>
      <c r="C51" s="51" t="s">
        <v>3</v>
      </c>
      <c r="D51" s="51">
        <f t="shared" si="1"/>
        <v>260</v>
      </c>
      <c r="E51" s="51" t="s">
        <v>3</v>
      </c>
      <c r="F51" s="99">
        <f t="shared" si="2"/>
        <v>2700</v>
      </c>
      <c r="G51" s="51" t="s">
        <v>3</v>
      </c>
      <c r="H51" s="48">
        <v>4</v>
      </c>
      <c r="I51" s="49" t="s">
        <v>46</v>
      </c>
      <c r="J51" s="184">
        <v>500</v>
      </c>
      <c r="K51" s="75">
        <v>260</v>
      </c>
      <c r="L51" s="75">
        <v>2700</v>
      </c>
      <c r="M51" s="202">
        <v>50.728341138821584</v>
      </c>
      <c r="N51" s="87">
        <v>3773.4277486608757</v>
      </c>
      <c r="O51" s="123">
        <v>48712.445456238347</v>
      </c>
      <c r="P51" s="199">
        <v>59395.105202268634</v>
      </c>
      <c r="Q51" s="310">
        <v>29814.152631785331</v>
      </c>
      <c r="R51" s="319">
        <v>78526.598088023675</v>
      </c>
      <c r="S51" s="315">
        <v>89209.257834053962</v>
      </c>
      <c r="U51" s="7" t="s">
        <v>4335</v>
      </c>
    </row>
    <row r="52" spans="1:21" s="74" customFormat="1" ht="16.5" thickBot="1">
      <c r="A52" s="50" t="s">
        <v>35</v>
      </c>
      <c r="B52" s="51">
        <f t="shared" si="0"/>
        <v>500</v>
      </c>
      <c r="C52" s="51" t="s">
        <v>3</v>
      </c>
      <c r="D52" s="51">
        <f t="shared" si="1"/>
        <v>260</v>
      </c>
      <c r="E52" s="51" t="s">
        <v>3</v>
      </c>
      <c r="F52" s="99">
        <f t="shared" si="2"/>
        <v>2750</v>
      </c>
      <c r="G52" s="51" t="s">
        <v>3</v>
      </c>
      <c r="H52" s="48">
        <v>4</v>
      </c>
      <c r="I52" s="49" t="s">
        <v>46</v>
      </c>
      <c r="J52" s="184">
        <v>500</v>
      </c>
      <c r="K52" s="75">
        <v>260</v>
      </c>
      <c r="L52" s="75">
        <v>2750</v>
      </c>
      <c r="M52" s="202">
        <v>51.599495208686847</v>
      </c>
      <c r="N52" s="87">
        <v>3853.7134454408942</v>
      </c>
      <c r="O52" s="123">
        <v>49482.504734271199</v>
      </c>
      <c r="P52" s="199">
        <v>60349.580136335841</v>
      </c>
      <c r="Q52" s="310">
        <v>30245.763244152273</v>
      </c>
      <c r="R52" s="319">
        <v>79728.267978423479</v>
      </c>
      <c r="S52" s="315">
        <v>90595.343380488106</v>
      </c>
      <c r="U52" s="7" t="s">
        <v>4336</v>
      </c>
    </row>
    <row r="53" spans="1:21" s="74" customFormat="1" ht="16.5" thickBot="1">
      <c r="A53" s="50" t="s">
        <v>35</v>
      </c>
      <c r="B53" s="51">
        <f t="shared" si="0"/>
        <v>500</v>
      </c>
      <c r="C53" s="51" t="s">
        <v>3</v>
      </c>
      <c r="D53" s="51">
        <f t="shared" si="1"/>
        <v>260</v>
      </c>
      <c r="E53" s="51" t="s">
        <v>3</v>
      </c>
      <c r="F53" s="99">
        <f t="shared" si="2"/>
        <v>2800</v>
      </c>
      <c r="G53" s="51" t="s">
        <v>3</v>
      </c>
      <c r="H53" s="48">
        <v>4</v>
      </c>
      <c r="I53" s="49" t="s">
        <v>46</v>
      </c>
      <c r="J53" s="184">
        <v>500</v>
      </c>
      <c r="K53" s="75">
        <v>260</v>
      </c>
      <c r="L53" s="75">
        <v>2800</v>
      </c>
      <c r="M53" s="202">
        <v>52.487689278552104</v>
      </c>
      <c r="N53" s="87">
        <v>3933.9991422209137</v>
      </c>
      <c r="O53" s="123">
        <v>50252.564012304043</v>
      </c>
      <c r="P53" s="199">
        <v>61304.055070402908</v>
      </c>
      <c r="Q53" s="310">
        <v>30907.955493909118</v>
      </c>
      <c r="R53" s="319">
        <v>81160.519506213168</v>
      </c>
      <c r="S53" s="315">
        <v>92212.010564312019</v>
      </c>
      <c r="U53" s="7" t="s">
        <v>4337</v>
      </c>
    </row>
    <row r="54" spans="1:21" s="74" customFormat="1" ht="16.5" thickBot="1">
      <c r="A54" s="50" t="s">
        <v>35</v>
      </c>
      <c r="B54" s="51">
        <f t="shared" si="0"/>
        <v>500</v>
      </c>
      <c r="C54" s="51" t="s">
        <v>3</v>
      </c>
      <c r="D54" s="51">
        <f t="shared" si="1"/>
        <v>260</v>
      </c>
      <c r="E54" s="51" t="s">
        <v>3</v>
      </c>
      <c r="F54" s="99">
        <f t="shared" si="2"/>
        <v>2850</v>
      </c>
      <c r="G54" s="51" t="s">
        <v>3</v>
      </c>
      <c r="H54" s="48">
        <v>4</v>
      </c>
      <c r="I54" s="49" t="s">
        <v>46</v>
      </c>
      <c r="J54" s="184">
        <v>500</v>
      </c>
      <c r="K54" s="75">
        <v>260</v>
      </c>
      <c r="L54" s="75">
        <v>2850</v>
      </c>
      <c r="M54" s="202">
        <v>53.358843348417381</v>
      </c>
      <c r="N54" s="87">
        <v>4014.2848390009317</v>
      </c>
      <c r="O54" s="123">
        <v>51022.623290336895</v>
      </c>
      <c r="P54" s="199">
        <v>62258.530004469969</v>
      </c>
      <c r="Q54" s="310">
        <v>31339.566106276056</v>
      </c>
      <c r="R54" s="319">
        <v>82362.189396612957</v>
      </c>
      <c r="S54" s="315">
        <v>93598.096110746032</v>
      </c>
      <c r="U54" s="7" t="s">
        <v>4338</v>
      </c>
    </row>
    <row r="55" spans="1:21" s="74" customFormat="1" ht="16.5" thickBot="1">
      <c r="A55" s="50" t="s">
        <v>35</v>
      </c>
      <c r="B55" s="51">
        <f t="shared" si="0"/>
        <v>500</v>
      </c>
      <c r="C55" s="51" t="s">
        <v>3</v>
      </c>
      <c r="D55" s="51">
        <f t="shared" si="1"/>
        <v>260</v>
      </c>
      <c r="E55" s="51" t="s">
        <v>3</v>
      </c>
      <c r="F55" s="99">
        <f t="shared" si="2"/>
        <v>2900</v>
      </c>
      <c r="G55" s="51" t="s">
        <v>3</v>
      </c>
      <c r="H55" s="48">
        <v>4</v>
      </c>
      <c r="I55" s="49" t="s">
        <v>46</v>
      </c>
      <c r="J55" s="184">
        <v>500</v>
      </c>
      <c r="K55" s="75">
        <v>260</v>
      </c>
      <c r="L55" s="75">
        <v>2900</v>
      </c>
      <c r="M55" s="202">
        <v>54.24703741828263</v>
      </c>
      <c r="N55" s="87">
        <v>4094.5705357809506</v>
      </c>
      <c r="O55" s="123">
        <v>51792.682427976382</v>
      </c>
      <c r="P55" s="199">
        <v>63213.004938537029</v>
      </c>
      <c r="Q55" s="310">
        <v>32001.758496426271</v>
      </c>
      <c r="R55" s="319">
        <v>83794.440924402646</v>
      </c>
      <c r="S55" s="315">
        <v>95214.763434963301</v>
      </c>
      <c r="U55" s="7" t="s">
        <v>4339</v>
      </c>
    </row>
    <row r="56" spans="1:21" s="74" customFormat="1" ht="16.5" thickBot="1">
      <c r="A56" s="50" t="s">
        <v>35</v>
      </c>
      <c r="B56" s="51">
        <f t="shared" si="0"/>
        <v>500</v>
      </c>
      <c r="C56" s="51" t="s">
        <v>3</v>
      </c>
      <c r="D56" s="51">
        <f t="shared" si="1"/>
        <v>260</v>
      </c>
      <c r="E56" s="51" t="s">
        <v>3</v>
      </c>
      <c r="F56" s="99">
        <f t="shared" si="2"/>
        <v>2950</v>
      </c>
      <c r="G56" s="51" t="s">
        <v>3</v>
      </c>
      <c r="H56" s="48">
        <v>4</v>
      </c>
      <c r="I56" s="49" t="s">
        <v>46</v>
      </c>
      <c r="J56" s="184">
        <v>500</v>
      </c>
      <c r="K56" s="75">
        <v>260</v>
      </c>
      <c r="L56" s="75">
        <v>2950</v>
      </c>
      <c r="M56" s="202">
        <v>55.118191488147893</v>
      </c>
      <c r="N56" s="87">
        <v>4174.8562325609691</v>
      </c>
      <c r="O56" s="123">
        <v>52562.741706009234</v>
      </c>
      <c r="P56" s="199">
        <v>64167.479872604235</v>
      </c>
      <c r="Q56" s="310">
        <v>32433.369108793206</v>
      </c>
      <c r="R56" s="319">
        <v>84996.110814802436</v>
      </c>
      <c r="S56" s="315">
        <v>96600.848981397445</v>
      </c>
      <c r="U56" s="7" t="s">
        <v>4340</v>
      </c>
    </row>
    <row r="57" spans="1:21" s="74" customFormat="1" ht="16.5" thickBot="1">
      <c r="A57" s="52" t="s">
        <v>35</v>
      </c>
      <c r="B57" s="53">
        <f t="shared" si="0"/>
        <v>500</v>
      </c>
      <c r="C57" s="53" t="s">
        <v>3</v>
      </c>
      <c r="D57" s="53">
        <f t="shared" si="1"/>
        <v>260</v>
      </c>
      <c r="E57" s="53" t="s">
        <v>3</v>
      </c>
      <c r="F57" s="100">
        <f t="shared" si="2"/>
        <v>3000</v>
      </c>
      <c r="G57" s="53" t="s">
        <v>3</v>
      </c>
      <c r="H57" s="55">
        <v>4</v>
      </c>
      <c r="I57" s="54" t="s">
        <v>46</v>
      </c>
      <c r="J57" s="321">
        <v>500</v>
      </c>
      <c r="K57" s="322">
        <v>260</v>
      </c>
      <c r="L57" s="322">
        <v>3000</v>
      </c>
      <c r="M57" s="305">
        <v>56.006385558013164</v>
      </c>
      <c r="N57" s="306">
        <v>4255.1419293409881</v>
      </c>
      <c r="O57" s="307">
        <v>54507.958430293918</v>
      </c>
      <c r="P57" s="339">
        <v>65121.954806671296</v>
      </c>
      <c r="Q57" s="323">
        <v>33095.561498943418</v>
      </c>
      <c r="R57" s="324">
        <v>87603.519929237344</v>
      </c>
      <c r="S57" s="325">
        <v>98217.516305614714</v>
      </c>
      <c r="U57" s="7" t="s">
        <v>4341</v>
      </c>
    </row>
    <row r="58" spans="1:21" ht="22.5" customHeight="1" thickBot="1">
      <c r="A58" s="2580" t="s">
        <v>48</v>
      </c>
      <c r="B58" s="2581"/>
      <c r="C58" s="2581"/>
      <c r="D58" s="2581"/>
      <c r="E58" s="2581"/>
      <c r="F58" s="2581"/>
      <c r="G58" s="2581"/>
      <c r="H58" s="2581"/>
      <c r="I58" s="2581"/>
      <c r="J58" s="2581"/>
      <c r="K58" s="2581"/>
      <c r="L58" s="2581"/>
      <c r="M58" s="2581"/>
      <c r="N58" s="2581"/>
      <c r="O58" s="2581"/>
      <c r="P58" s="2581"/>
      <c r="Q58" s="2581"/>
      <c r="R58" s="2581"/>
      <c r="S58" s="2582"/>
      <c r="U58" s="7"/>
    </row>
    <row r="59" spans="1:21" ht="16.5" thickBot="1">
      <c r="A59" s="2583" t="s">
        <v>139</v>
      </c>
      <c r="B59" s="2584"/>
      <c r="C59" s="2584"/>
      <c r="D59" s="2584"/>
      <c r="E59" s="2584"/>
      <c r="F59" s="2584"/>
      <c r="G59" s="2584"/>
      <c r="H59" s="2584"/>
      <c r="I59" s="2584"/>
      <c r="J59" s="2584"/>
      <c r="K59" s="2584"/>
      <c r="L59" s="2584"/>
      <c r="M59" s="2584"/>
      <c r="N59" s="2584"/>
      <c r="O59" s="2584"/>
      <c r="P59" s="2584"/>
      <c r="Q59" s="2584"/>
      <c r="R59" s="2584"/>
      <c r="S59" s="2585"/>
      <c r="U59" s="7"/>
    </row>
    <row r="60" spans="1:21" ht="16.5" thickBot="1">
      <c r="A60" s="47" t="s">
        <v>35</v>
      </c>
      <c r="B60" s="48">
        <f>J60</f>
        <v>500</v>
      </c>
      <c r="C60" s="48" t="s">
        <v>3</v>
      </c>
      <c r="D60" s="48">
        <f>K60</f>
        <v>300</v>
      </c>
      <c r="E60" s="48" t="s">
        <v>3</v>
      </c>
      <c r="F60" s="99">
        <f>L60</f>
        <v>600</v>
      </c>
      <c r="G60" s="48" t="s">
        <v>3</v>
      </c>
      <c r="H60" s="48">
        <v>4</v>
      </c>
      <c r="I60" s="49" t="s">
        <v>46</v>
      </c>
      <c r="J60" s="326">
        <v>500</v>
      </c>
      <c r="K60" s="327">
        <v>300</v>
      </c>
      <c r="L60" s="327">
        <v>600</v>
      </c>
      <c r="M60" s="301">
        <v>13.503622753074538</v>
      </c>
      <c r="N60" s="302">
        <v>429.99819390300161</v>
      </c>
      <c r="O60" s="303">
        <v>15419.539184936628</v>
      </c>
      <c r="P60" s="208">
        <v>18669.782155314118</v>
      </c>
      <c r="Q60" s="328">
        <v>8203.3683669666007</v>
      </c>
      <c r="R60" s="329">
        <v>23622.907551903227</v>
      </c>
      <c r="S60" s="330">
        <v>26873.150522280717</v>
      </c>
      <c r="U60" s="7" t="s">
        <v>4342</v>
      </c>
    </row>
    <row r="61" spans="1:21" ht="16.5" thickBot="1">
      <c r="A61" s="50" t="s">
        <v>35</v>
      </c>
      <c r="B61" s="51">
        <f t="shared" ref="B61:B108" si="3">J61</f>
        <v>500</v>
      </c>
      <c r="C61" s="51" t="s">
        <v>3</v>
      </c>
      <c r="D61" s="51">
        <f t="shared" ref="D61:D108" si="4">K61</f>
        <v>300</v>
      </c>
      <c r="E61" s="51" t="s">
        <v>3</v>
      </c>
      <c r="F61" s="99">
        <f t="shared" ref="F61:F108" si="5">L61</f>
        <v>650</v>
      </c>
      <c r="G61" s="51" t="s">
        <v>3</v>
      </c>
      <c r="H61" s="48">
        <v>4</v>
      </c>
      <c r="I61" s="49" t="s">
        <v>46</v>
      </c>
      <c r="J61" s="184">
        <v>500</v>
      </c>
      <c r="K61" s="75">
        <v>300</v>
      </c>
      <c r="L61" s="75">
        <v>650</v>
      </c>
      <c r="M61" s="202">
        <v>14.396555674686432</v>
      </c>
      <c r="N61" s="87">
        <v>515.99783268360193</v>
      </c>
      <c r="O61" s="123">
        <v>16228.101342635104</v>
      </c>
      <c r="P61" s="199">
        <v>19681.525585425359</v>
      </c>
      <c r="Q61" s="310">
        <v>8683.7735348305905</v>
      </c>
      <c r="R61" s="319">
        <v>24911.874877465692</v>
      </c>
      <c r="S61" s="315">
        <v>28365.29912025595</v>
      </c>
      <c r="U61" s="7" t="s">
        <v>4343</v>
      </c>
    </row>
    <row r="62" spans="1:21" ht="16.5" thickBot="1">
      <c r="A62" s="50" t="s">
        <v>35</v>
      </c>
      <c r="B62" s="51">
        <f t="shared" si="3"/>
        <v>500</v>
      </c>
      <c r="C62" s="51" t="s">
        <v>3</v>
      </c>
      <c r="D62" s="51">
        <f t="shared" si="4"/>
        <v>300</v>
      </c>
      <c r="E62" s="51" t="s">
        <v>3</v>
      </c>
      <c r="F62" s="99">
        <f t="shared" si="5"/>
        <v>700</v>
      </c>
      <c r="G62" s="51" t="s">
        <v>3</v>
      </c>
      <c r="H62" s="48">
        <v>4</v>
      </c>
      <c r="I62" s="49" t="s">
        <v>46</v>
      </c>
      <c r="J62" s="184">
        <v>500</v>
      </c>
      <c r="K62" s="75">
        <v>300</v>
      </c>
      <c r="L62" s="75">
        <v>700</v>
      </c>
      <c r="M62" s="202">
        <v>15.306954596298324</v>
      </c>
      <c r="N62" s="87">
        <v>601.99747146420225</v>
      </c>
      <c r="O62" s="123">
        <v>17036.663640726943</v>
      </c>
      <c r="P62" s="199">
        <v>20693.269015536454</v>
      </c>
      <c r="Q62" s="310">
        <v>9394.7606208712132</v>
      </c>
      <c r="R62" s="319">
        <v>26431.424261598157</v>
      </c>
      <c r="S62" s="315">
        <v>30088.029636407668</v>
      </c>
      <c r="U62" s="7" t="s">
        <v>4344</v>
      </c>
    </row>
    <row r="63" spans="1:21" ht="16.5" thickBot="1">
      <c r="A63" s="50" t="s">
        <v>35</v>
      </c>
      <c r="B63" s="51">
        <f t="shared" si="3"/>
        <v>500</v>
      </c>
      <c r="C63" s="51" t="s">
        <v>3</v>
      </c>
      <c r="D63" s="51">
        <f t="shared" si="4"/>
        <v>300</v>
      </c>
      <c r="E63" s="51" t="s">
        <v>3</v>
      </c>
      <c r="F63" s="99">
        <f t="shared" si="5"/>
        <v>750</v>
      </c>
      <c r="G63" s="51" t="s">
        <v>3</v>
      </c>
      <c r="H63" s="48">
        <v>4</v>
      </c>
      <c r="I63" s="49" t="s">
        <v>46</v>
      </c>
      <c r="J63" s="184">
        <v>500</v>
      </c>
      <c r="K63" s="75">
        <v>300</v>
      </c>
      <c r="L63" s="75">
        <v>750</v>
      </c>
      <c r="M63" s="202">
        <v>16.19988751791022</v>
      </c>
      <c r="N63" s="87">
        <v>687.99711024480257</v>
      </c>
      <c r="O63" s="123">
        <v>17845.225798425417</v>
      </c>
      <c r="P63" s="199">
        <v>21705.012445647553</v>
      </c>
      <c r="Q63" s="310">
        <v>9875.165788735203</v>
      </c>
      <c r="R63" s="319">
        <v>27720.391587160622</v>
      </c>
      <c r="S63" s="315">
        <v>31580.178234382758</v>
      </c>
      <c r="U63" s="7" t="s">
        <v>4345</v>
      </c>
    </row>
    <row r="64" spans="1:21" ht="16.5" thickBot="1">
      <c r="A64" s="50" t="s">
        <v>35</v>
      </c>
      <c r="B64" s="51">
        <f t="shared" si="3"/>
        <v>500</v>
      </c>
      <c r="C64" s="51" t="s">
        <v>3</v>
      </c>
      <c r="D64" s="51">
        <f t="shared" si="4"/>
        <v>300</v>
      </c>
      <c r="E64" s="51" t="s">
        <v>3</v>
      </c>
      <c r="F64" s="99">
        <f t="shared" si="5"/>
        <v>800</v>
      </c>
      <c r="G64" s="51" t="s">
        <v>3</v>
      </c>
      <c r="H64" s="48">
        <v>4</v>
      </c>
      <c r="I64" s="49" t="s">
        <v>46</v>
      </c>
      <c r="J64" s="184">
        <v>500</v>
      </c>
      <c r="K64" s="75">
        <v>300</v>
      </c>
      <c r="L64" s="75">
        <v>800</v>
      </c>
      <c r="M64" s="202">
        <v>17.092820439522121</v>
      </c>
      <c r="N64" s="87">
        <v>773.99674902540289</v>
      </c>
      <c r="O64" s="123">
        <v>18653.788096517252</v>
      </c>
      <c r="P64" s="199">
        <v>22716.755875758652</v>
      </c>
      <c r="Q64" s="310">
        <v>10355.570956599189</v>
      </c>
      <c r="R64" s="319">
        <v>29009.359053116441</v>
      </c>
      <c r="S64" s="315">
        <v>33072.326832357838</v>
      </c>
      <c r="U64" s="7" t="s">
        <v>4346</v>
      </c>
    </row>
    <row r="65" spans="1:21" ht="16.5" thickBot="1">
      <c r="A65" s="50" t="s">
        <v>35</v>
      </c>
      <c r="B65" s="51">
        <f t="shared" si="3"/>
        <v>500</v>
      </c>
      <c r="C65" s="51" t="s">
        <v>3</v>
      </c>
      <c r="D65" s="51">
        <f t="shared" si="4"/>
        <v>300</v>
      </c>
      <c r="E65" s="51" t="s">
        <v>3</v>
      </c>
      <c r="F65" s="99">
        <f t="shared" si="5"/>
        <v>850</v>
      </c>
      <c r="G65" s="51" t="s">
        <v>3</v>
      </c>
      <c r="H65" s="48">
        <v>4</v>
      </c>
      <c r="I65" s="49" t="s">
        <v>46</v>
      </c>
      <c r="J65" s="184">
        <v>500</v>
      </c>
      <c r="K65" s="75">
        <v>300</v>
      </c>
      <c r="L65" s="75">
        <v>850</v>
      </c>
      <c r="M65" s="202">
        <v>18.003219361134011</v>
      </c>
      <c r="N65" s="87">
        <v>859.99638780600321</v>
      </c>
      <c r="O65" s="123">
        <v>19462.350254215729</v>
      </c>
      <c r="P65" s="199">
        <v>23728.499305869751</v>
      </c>
      <c r="Q65" s="310">
        <v>11066.558042639816</v>
      </c>
      <c r="R65" s="319">
        <v>30528.908296855545</v>
      </c>
      <c r="S65" s="315">
        <v>34795.057348509567</v>
      </c>
      <c r="U65" s="7" t="s">
        <v>4347</v>
      </c>
    </row>
    <row r="66" spans="1:21" ht="16.5" thickBot="1">
      <c r="A66" s="50" t="s">
        <v>35</v>
      </c>
      <c r="B66" s="51">
        <f t="shared" si="3"/>
        <v>500</v>
      </c>
      <c r="C66" s="51" t="s">
        <v>3</v>
      </c>
      <c r="D66" s="51">
        <f t="shared" si="4"/>
        <v>300</v>
      </c>
      <c r="E66" s="51" t="s">
        <v>3</v>
      </c>
      <c r="F66" s="99">
        <f t="shared" si="5"/>
        <v>900</v>
      </c>
      <c r="G66" s="51" t="s">
        <v>3</v>
      </c>
      <c r="H66" s="48">
        <v>4</v>
      </c>
      <c r="I66" s="49" t="s">
        <v>46</v>
      </c>
      <c r="J66" s="184">
        <v>500</v>
      </c>
      <c r="K66" s="75">
        <v>300</v>
      </c>
      <c r="L66" s="75">
        <v>900</v>
      </c>
      <c r="M66" s="202">
        <v>18.896152282745906</v>
      </c>
      <c r="N66" s="87">
        <v>945.99602658660365</v>
      </c>
      <c r="O66" s="123">
        <v>20270.912552307567</v>
      </c>
      <c r="P66" s="199">
        <v>24740.242735980988</v>
      </c>
      <c r="Q66" s="310">
        <v>11546.963210503804</v>
      </c>
      <c r="R66" s="319">
        <v>31817.875762811371</v>
      </c>
      <c r="S66" s="315">
        <v>36287.205946484792</v>
      </c>
      <c r="U66" s="7" t="s">
        <v>4348</v>
      </c>
    </row>
    <row r="67" spans="1:21" ht="16.5" thickBot="1">
      <c r="A67" s="50" t="s">
        <v>35</v>
      </c>
      <c r="B67" s="51">
        <f t="shared" si="3"/>
        <v>500</v>
      </c>
      <c r="C67" s="51" t="s">
        <v>3</v>
      </c>
      <c r="D67" s="51">
        <f t="shared" si="4"/>
        <v>300</v>
      </c>
      <c r="E67" s="51" t="s">
        <v>3</v>
      </c>
      <c r="F67" s="99">
        <f t="shared" si="5"/>
        <v>950</v>
      </c>
      <c r="G67" s="51" t="s">
        <v>3</v>
      </c>
      <c r="H67" s="48">
        <v>4</v>
      </c>
      <c r="I67" s="49" t="s">
        <v>46</v>
      </c>
      <c r="J67" s="184">
        <v>500</v>
      </c>
      <c r="K67" s="75">
        <v>300</v>
      </c>
      <c r="L67" s="75">
        <v>950</v>
      </c>
      <c r="M67" s="202">
        <v>19.806551204357799</v>
      </c>
      <c r="N67" s="87">
        <v>1031.9956653672039</v>
      </c>
      <c r="O67" s="123">
        <v>21079.474710006041</v>
      </c>
      <c r="P67" s="199">
        <v>25751.986166092087</v>
      </c>
      <c r="Q67" s="310">
        <v>12257.950156151066</v>
      </c>
      <c r="R67" s="319">
        <v>33337.424866157104</v>
      </c>
      <c r="S67" s="315">
        <v>38009.936322243157</v>
      </c>
      <c r="U67" s="7" t="s">
        <v>4349</v>
      </c>
    </row>
    <row r="68" spans="1:21" ht="16.5" thickBot="1">
      <c r="A68" s="50" t="s">
        <v>35</v>
      </c>
      <c r="B68" s="51">
        <f t="shared" si="3"/>
        <v>500</v>
      </c>
      <c r="C68" s="51" t="s">
        <v>3</v>
      </c>
      <c r="D68" s="51">
        <f t="shared" si="4"/>
        <v>300</v>
      </c>
      <c r="E68" s="51" t="s">
        <v>3</v>
      </c>
      <c r="F68" s="99">
        <f t="shared" si="5"/>
        <v>1000</v>
      </c>
      <c r="G68" s="51" t="s">
        <v>3</v>
      </c>
      <c r="H68" s="48">
        <v>4</v>
      </c>
      <c r="I68" s="49" t="s">
        <v>46</v>
      </c>
      <c r="J68" s="184">
        <v>500</v>
      </c>
      <c r="K68" s="75">
        <v>300</v>
      </c>
      <c r="L68" s="75">
        <v>1000</v>
      </c>
      <c r="M68" s="202">
        <v>20.699484125969693</v>
      </c>
      <c r="N68" s="87">
        <v>1117.9953041478043</v>
      </c>
      <c r="O68" s="123">
        <v>21888.037008097879</v>
      </c>
      <c r="P68" s="199">
        <v>26763.729596203186</v>
      </c>
      <c r="Q68" s="310">
        <v>12738.355464408416</v>
      </c>
      <c r="R68" s="319">
        <v>34626.392472506297</v>
      </c>
      <c r="S68" s="315">
        <v>39502.0850606116</v>
      </c>
      <c r="U68" s="7" t="s">
        <v>4350</v>
      </c>
    </row>
    <row r="69" spans="1:21" ht="16.5" thickBot="1">
      <c r="A69" s="50" t="s">
        <v>35</v>
      </c>
      <c r="B69" s="51">
        <f t="shared" si="3"/>
        <v>500</v>
      </c>
      <c r="C69" s="51" t="s">
        <v>3</v>
      </c>
      <c r="D69" s="51">
        <f t="shared" si="4"/>
        <v>300</v>
      </c>
      <c r="E69" s="51" t="s">
        <v>3</v>
      </c>
      <c r="F69" s="99">
        <f t="shared" si="5"/>
        <v>1050</v>
      </c>
      <c r="G69" s="51" t="s">
        <v>3</v>
      </c>
      <c r="H69" s="48">
        <v>4</v>
      </c>
      <c r="I69" s="49" t="s">
        <v>46</v>
      </c>
      <c r="J69" s="184">
        <v>500</v>
      </c>
      <c r="K69" s="75">
        <v>300</v>
      </c>
      <c r="L69" s="75">
        <v>1050</v>
      </c>
      <c r="M69" s="202">
        <v>21.609883047581587</v>
      </c>
      <c r="N69" s="87">
        <v>1203.9949429284045</v>
      </c>
      <c r="O69" s="123">
        <v>22696.599165796353</v>
      </c>
      <c r="P69" s="199">
        <v>27775.473026314281</v>
      </c>
      <c r="Q69" s="310">
        <v>13449.342410055679</v>
      </c>
      <c r="R69" s="319">
        <v>36145.941575852034</v>
      </c>
      <c r="S69" s="315">
        <v>41224.815436369958</v>
      </c>
      <c r="U69" s="7" t="s">
        <v>4351</v>
      </c>
    </row>
    <row r="70" spans="1:21" ht="16.5" thickBot="1">
      <c r="A70" s="47" t="s">
        <v>35</v>
      </c>
      <c r="B70" s="48">
        <f t="shared" si="3"/>
        <v>500</v>
      </c>
      <c r="C70" s="48" t="s">
        <v>3</v>
      </c>
      <c r="D70" s="48">
        <f t="shared" si="4"/>
        <v>300</v>
      </c>
      <c r="E70" s="48" t="s">
        <v>3</v>
      </c>
      <c r="F70" s="99">
        <f t="shared" si="5"/>
        <v>1100</v>
      </c>
      <c r="G70" s="48" t="s">
        <v>3</v>
      </c>
      <c r="H70" s="48">
        <v>4</v>
      </c>
      <c r="I70" s="49" t="s">
        <v>46</v>
      </c>
      <c r="J70" s="184">
        <v>500</v>
      </c>
      <c r="K70" s="75">
        <v>300</v>
      </c>
      <c r="L70" s="75">
        <v>1100</v>
      </c>
      <c r="M70" s="202">
        <v>22.502815969193481</v>
      </c>
      <c r="N70" s="87">
        <v>1289.9945817090047</v>
      </c>
      <c r="O70" s="123">
        <v>23505.161463888191</v>
      </c>
      <c r="P70" s="199">
        <v>28787.216456425522</v>
      </c>
      <c r="Q70" s="310">
        <v>13929.747718313029</v>
      </c>
      <c r="R70" s="319">
        <v>37434.90918220122</v>
      </c>
      <c r="S70" s="315">
        <v>42716.964174738547</v>
      </c>
      <c r="U70" s="7" t="s">
        <v>4352</v>
      </c>
    </row>
    <row r="71" spans="1:21" ht="16.5" thickBot="1">
      <c r="A71" s="50" t="s">
        <v>35</v>
      </c>
      <c r="B71" s="51">
        <f t="shared" si="3"/>
        <v>500</v>
      </c>
      <c r="C71" s="51" t="s">
        <v>3</v>
      </c>
      <c r="D71" s="51">
        <f t="shared" si="4"/>
        <v>300</v>
      </c>
      <c r="E71" s="51" t="s">
        <v>3</v>
      </c>
      <c r="F71" s="99">
        <f t="shared" si="5"/>
        <v>1150</v>
      </c>
      <c r="G71" s="51" t="s">
        <v>3</v>
      </c>
      <c r="H71" s="48">
        <v>4</v>
      </c>
      <c r="I71" s="49" t="s">
        <v>46</v>
      </c>
      <c r="J71" s="184">
        <v>500</v>
      </c>
      <c r="K71" s="75">
        <v>300</v>
      </c>
      <c r="L71" s="75">
        <v>1150</v>
      </c>
      <c r="M71" s="202">
        <v>23.395748890805375</v>
      </c>
      <c r="N71" s="87">
        <v>1375.9942204896051</v>
      </c>
      <c r="O71" s="123">
        <v>24313.723621586669</v>
      </c>
      <c r="P71" s="199">
        <v>29798.959886536621</v>
      </c>
      <c r="Q71" s="310">
        <v>14410.152886177015</v>
      </c>
      <c r="R71" s="319">
        <v>38723.876507763685</v>
      </c>
      <c r="S71" s="315">
        <v>44209.112772713634</v>
      </c>
      <c r="U71" s="7" t="s">
        <v>4353</v>
      </c>
    </row>
    <row r="72" spans="1:21" ht="16.5" thickBot="1">
      <c r="A72" s="50" t="s">
        <v>35</v>
      </c>
      <c r="B72" s="51">
        <f t="shared" si="3"/>
        <v>500</v>
      </c>
      <c r="C72" s="51" t="s">
        <v>3</v>
      </c>
      <c r="D72" s="51">
        <f t="shared" si="4"/>
        <v>300</v>
      </c>
      <c r="E72" s="51" t="s">
        <v>3</v>
      </c>
      <c r="F72" s="99">
        <f t="shared" si="5"/>
        <v>1200</v>
      </c>
      <c r="G72" s="51" t="s">
        <v>3</v>
      </c>
      <c r="H72" s="48">
        <v>4</v>
      </c>
      <c r="I72" s="49" t="s">
        <v>46</v>
      </c>
      <c r="J72" s="184">
        <v>500</v>
      </c>
      <c r="K72" s="75">
        <v>300</v>
      </c>
      <c r="L72" s="75">
        <v>1200</v>
      </c>
      <c r="M72" s="202">
        <v>24.386610312417272</v>
      </c>
      <c r="N72" s="87">
        <v>1461.9938592702053</v>
      </c>
      <c r="O72" s="123">
        <v>25203.297944002057</v>
      </c>
      <c r="P72" s="199">
        <v>30892.986259547546</v>
      </c>
      <c r="Q72" s="310">
        <v>15121.139831824277</v>
      </c>
      <c r="R72" s="319">
        <v>40324.437775826336</v>
      </c>
      <c r="S72" s="315">
        <v>46014.126091371822</v>
      </c>
      <c r="U72" s="7" t="s">
        <v>4354</v>
      </c>
    </row>
    <row r="73" spans="1:21" ht="16.5" thickBot="1">
      <c r="A73" s="50" t="s">
        <v>35</v>
      </c>
      <c r="B73" s="51">
        <f t="shared" si="3"/>
        <v>500</v>
      </c>
      <c r="C73" s="51" t="s">
        <v>3</v>
      </c>
      <c r="D73" s="51">
        <f t="shared" si="4"/>
        <v>300</v>
      </c>
      <c r="E73" s="51" t="s">
        <v>3</v>
      </c>
      <c r="F73" s="99">
        <f t="shared" si="5"/>
        <v>1250</v>
      </c>
      <c r="G73" s="51" t="s">
        <v>3</v>
      </c>
      <c r="H73" s="48">
        <v>4</v>
      </c>
      <c r="I73" s="49" t="s">
        <v>46</v>
      </c>
      <c r="J73" s="184">
        <v>500</v>
      </c>
      <c r="K73" s="75">
        <v>300</v>
      </c>
      <c r="L73" s="75">
        <v>1250</v>
      </c>
      <c r="M73" s="202">
        <v>25.27954323402917</v>
      </c>
      <c r="N73" s="87">
        <v>1547.9934980508058</v>
      </c>
      <c r="O73" s="123">
        <v>26011.860242093891</v>
      </c>
      <c r="P73" s="199">
        <v>31904.729689658783</v>
      </c>
      <c r="Q73" s="310">
        <v>15601.545140081627</v>
      </c>
      <c r="R73" s="319">
        <v>41613.405382175522</v>
      </c>
      <c r="S73" s="315">
        <v>47506.27482974041</v>
      </c>
      <c r="U73" s="7" t="s">
        <v>4355</v>
      </c>
    </row>
    <row r="74" spans="1:21" ht="16.5" thickBot="1">
      <c r="A74" s="50" t="s">
        <v>35</v>
      </c>
      <c r="B74" s="51">
        <f t="shared" si="3"/>
        <v>500</v>
      </c>
      <c r="C74" s="51" t="s">
        <v>3</v>
      </c>
      <c r="D74" s="51">
        <f t="shared" si="4"/>
        <v>300</v>
      </c>
      <c r="E74" s="51" t="s">
        <v>3</v>
      </c>
      <c r="F74" s="99">
        <f t="shared" si="5"/>
        <v>1300</v>
      </c>
      <c r="G74" s="51" t="s">
        <v>3</v>
      </c>
      <c r="H74" s="48">
        <v>4</v>
      </c>
      <c r="I74" s="49" t="s">
        <v>46</v>
      </c>
      <c r="J74" s="184">
        <v>500</v>
      </c>
      <c r="K74" s="75">
        <v>300</v>
      </c>
      <c r="L74" s="75">
        <v>1300</v>
      </c>
      <c r="M74" s="202">
        <v>26.189942155641059</v>
      </c>
      <c r="N74" s="87">
        <v>1633.993136831406</v>
      </c>
      <c r="O74" s="123">
        <v>26820.422399792369</v>
      </c>
      <c r="P74" s="199">
        <v>32916.473119769878</v>
      </c>
      <c r="Q74" s="310">
        <v>16312.53208572889</v>
      </c>
      <c r="R74" s="319">
        <v>43132.954485521259</v>
      </c>
      <c r="S74" s="315">
        <v>49229.005205498768</v>
      </c>
      <c r="U74" s="7" t="s">
        <v>4356</v>
      </c>
    </row>
    <row r="75" spans="1:21" ht="16.5" thickBot="1">
      <c r="A75" s="50" t="s">
        <v>35</v>
      </c>
      <c r="B75" s="51">
        <f t="shared" si="3"/>
        <v>500</v>
      </c>
      <c r="C75" s="51" t="s">
        <v>3</v>
      </c>
      <c r="D75" s="51">
        <f t="shared" si="4"/>
        <v>300</v>
      </c>
      <c r="E75" s="51" t="s">
        <v>3</v>
      </c>
      <c r="F75" s="99">
        <f t="shared" si="5"/>
        <v>1350</v>
      </c>
      <c r="G75" s="51" t="s">
        <v>3</v>
      </c>
      <c r="H75" s="48">
        <v>4</v>
      </c>
      <c r="I75" s="49" t="s">
        <v>46</v>
      </c>
      <c r="J75" s="184">
        <v>500</v>
      </c>
      <c r="K75" s="75">
        <v>300</v>
      </c>
      <c r="L75" s="75">
        <v>1350</v>
      </c>
      <c r="M75" s="202">
        <v>27.082875077252961</v>
      </c>
      <c r="N75" s="87">
        <v>1719.9927756120064</v>
      </c>
      <c r="O75" s="123">
        <v>27628.984697884207</v>
      </c>
      <c r="P75" s="199">
        <v>33928.216549880985</v>
      </c>
      <c r="Q75" s="310">
        <v>16792.937253592878</v>
      </c>
      <c r="R75" s="319">
        <v>44421.921951477081</v>
      </c>
      <c r="S75" s="315">
        <v>50721.153803473862</v>
      </c>
      <c r="U75" s="7" t="s">
        <v>4357</v>
      </c>
    </row>
    <row r="76" spans="1:21" ht="16.5" thickBot="1">
      <c r="A76" s="50" t="s">
        <v>35</v>
      </c>
      <c r="B76" s="51">
        <f t="shared" si="3"/>
        <v>500</v>
      </c>
      <c r="C76" s="51" t="s">
        <v>3</v>
      </c>
      <c r="D76" s="51">
        <f t="shared" si="4"/>
        <v>300</v>
      </c>
      <c r="E76" s="51" t="s">
        <v>3</v>
      </c>
      <c r="F76" s="99">
        <f t="shared" si="5"/>
        <v>1400</v>
      </c>
      <c r="G76" s="51" t="s">
        <v>3</v>
      </c>
      <c r="H76" s="48">
        <v>4</v>
      </c>
      <c r="I76" s="49" t="s">
        <v>46</v>
      </c>
      <c r="J76" s="184">
        <v>500</v>
      </c>
      <c r="K76" s="75">
        <v>300</v>
      </c>
      <c r="L76" s="75">
        <v>1400</v>
      </c>
      <c r="M76" s="202">
        <v>27.993273998864854</v>
      </c>
      <c r="N76" s="87">
        <v>1805.9924143926069</v>
      </c>
      <c r="O76" s="123">
        <v>28437.546855582677</v>
      </c>
      <c r="P76" s="199">
        <v>34939.959979992076</v>
      </c>
      <c r="Q76" s="310">
        <v>17503.924339633504</v>
      </c>
      <c r="R76" s="319">
        <v>45941.471195216182</v>
      </c>
      <c r="S76" s="315">
        <v>52443.884319625577</v>
      </c>
      <c r="U76" s="7" t="s">
        <v>4358</v>
      </c>
    </row>
    <row r="77" spans="1:21" ht="16.5" thickBot="1">
      <c r="A77" s="50" t="s">
        <v>35</v>
      </c>
      <c r="B77" s="51">
        <f t="shared" si="3"/>
        <v>500</v>
      </c>
      <c r="C77" s="51" t="s">
        <v>3</v>
      </c>
      <c r="D77" s="51">
        <f t="shared" si="4"/>
        <v>300</v>
      </c>
      <c r="E77" s="51" t="s">
        <v>3</v>
      </c>
      <c r="F77" s="99">
        <f t="shared" si="5"/>
        <v>1450</v>
      </c>
      <c r="G77" s="51" t="s">
        <v>3</v>
      </c>
      <c r="H77" s="48">
        <v>4</v>
      </c>
      <c r="I77" s="49" t="s">
        <v>46</v>
      </c>
      <c r="J77" s="184">
        <v>500</v>
      </c>
      <c r="K77" s="75">
        <v>300</v>
      </c>
      <c r="L77" s="75">
        <v>1450</v>
      </c>
      <c r="M77" s="202">
        <v>28.886206920476749</v>
      </c>
      <c r="N77" s="87">
        <v>1891.9920531732073</v>
      </c>
      <c r="O77" s="123">
        <v>29246.109153674519</v>
      </c>
      <c r="P77" s="199">
        <v>35951.703410103175</v>
      </c>
      <c r="Q77" s="310">
        <v>17984.32950749735</v>
      </c>
      <c r="R77" s="319">
        <v>47230.438661171866</v>
      </c>
      <c r="S77" s="315">
        <v>53936.032917600525</v>
      </c>
      <c r="U77" s="7" t="s">
        <v>4359</v>
      </c>
    </row>
    <row r="78" spans="1:21" ht="16.5" thickBot="1">
      <c r="A78" s="50" t="s">
        <v>35</v>
      </c>
      <c r="B78" s="51">
        <f t="shared" si="3"/>
        <v>500</v>
      </c>
      <c r="C78" s="51" t="s">
        <v>3</v>
      </c>
      <c r="D78" s="51">
        <f t="shared" si="4"/>
        <v>300</v>
      </c>
      <c r="E78" s="51" t="s">
        <v>3</v>
      </c>
      <c r="F78" s="99">
        <f t="shared" si="5"/>
        <v>1500</v>
      </c>
      <c r="G78" s="51" t="s">
        <v>3</v>
      </c>
      <c r="H78" s="48">
        <v>4</v>
      </c>
      <c r="I78" s="49" t="s">
        <v>46</v>
      </c>
      <c r="J78" s="184">
        <v>500</v>
      </c>
      <c r="K78" s="75">
        <v>300</v>
      </c>
      <c r="L78" s="75">
        <v>1500</v>
      </c>
      <c r="M78" s="202">
        <v>29.966664465347645</v>
      </c>
      <c r="N78" s="87">
        <v>1977.9916919538073</v>
      </c>
      <c r="O78" s="123">
        <v>30696.575597101695</v>
      </c>
      <c r="P78" s="199">
        <v>37572.204271396447</v>
      </c>
      <c r="Q78" s="310">
        <v>18695.316593538118</v>
      </c>
      <c r="R78" s="319">
        <v>49391.892190639817</v>
      </c>
      <c r="S78" s="315">
        <v>56267.520864934566</v>
      </c>
      <c r="U78" s="7" t="s">
        <v>4360</v>
      </c>
    </row>
    <row r="79" spans="1:21" ht="16.5" thickBot="1">
      <c r="A79" s="50" t="s">
        <v>35</v>
      </c>
      <c r="B79" s="51">
        <f t="shared" si="3"/>
        <v>500</v>
      </c>
      <c r="C79" s="51" t="s">
        <v>3</v>
      </c>
      <c r="D79" s="51">
        <f t="shared" si="4"/>
        <v>300</v>
      </c>
      <c r="E79" s="51" t="s">
        <v>3</v>
      </c>
      <c r="F79" s="99">
        <f t="shared" si="5"/>
        <v>1550</v>
      </c>
      <c r="G79" s="51" t="s">
        <v>3</v>
      </c>
      <c r="H79" s="48">
        <v>4</v>
      </c>
      <c r="I79" s="49" t="s">
        <v>46</v>
      </c>
      <c r="J79" s="184">
        <v>500</v>
      </c>
      <c r="K79" s="75">
        <v>300</v>
      </c>
      <c r="L79" s="75">
        <v>1550</v>
      </c>
      <c r="M79" s="202">
        <v>30.859597386959543</v>
      </c>
      <c r="N79" s="87">
        <v>2063.9913307344077</v>
      </c>
      <c r="O79" s="123">
        <v>31505.137895193533</v>
      </c>
      <c r="P79" s="199">
        <v>38583.947701507546</v>
      </c>
      <c r="Q79" s="310">
        <v>19175.721761402103</v>
      </c>
      <c r="R79" s="319">
        <v>50680.85965659564</v>
      </c>
      <c r="S79" s="315">
        <v>57759.669462909646</v>
      </c>
      <c r="U79" s="7" t="s">
        <v>4361</v>
      </c>
    </row>
    <row r="80" spans="1:21" ht="16.5" thickBot="1">
      <c r="A80" s="47" t="s">
        <v>35</v>
      </c>
      <c r="B80" s="48">
        <f t="shared" si="3"/>
        <v>500</v>
      </c>
      <c r="C80" s="48" t="s">
        <v>3</v>
      </c>
      <c r="D80" s="48">
        <f t="shared" si="4"/>
        <v>300</v>
      </c>
      <c r="E80" s="48" t="s">
        <v>3</v>
      </c>
      <c r="F80" s="99">
        <f t="shared" si="5"/>
        <v>1600</v>
      </c>
      <c r="G80" s="48" t="s">
        <v>3</v>
      </c>
      <c r="H80" s="48">
        <v>4</v>
      </c>
      <c r="I80" s="49" t="s">
        <v>46</v>
      </c>
      <c r="J80" s="184">
        <v>500</v>
      </c>
      <c r="K80" s="75">
        <v>300</v>
      </c>
      <c r="L80" s="75">
        <v>1600</v>
      </c>
      <c r="M80" s="202">
        <v>31.752530308571437</v>
      </c>
      <c r="N80" s="87">
        <v>2149.9909695150081</v>
      </c>
      <c r="O80" s="123">
        <v>32313.700052892011</v>
      </c>
      <c r="P80" s="199">
        <v>39595.691131618783</v>
      </c>
      <c r="Q80" s="310">
        <v>19656.126929266091</v>
      </c>
      <c r="R80" s="319">
        <v>51969.826982158105</v>
      </c>
      <c r="S80" s="315">
        <v>59251.818060884878</v>
      </c>
      <c r="U80" s="7" t="s">
        <v>4362</v>
      </c>
    </row>
    <row r="81" spans="1:21" ht="16.5" thickBot="1">
      <c r="A81" s="50" t="s">
        <v>35</v>
      </c>
      <c r="B81" s="51">
        <f t="shared" si="3"/>
        <v>500</v>
      </c>
      <c r="C81" s="51" t="s">
        <v>3</v>
      </c>
      <c r="D81" s="51">
        <f t="shared" si="4"/>
        <v>300</v>
      </c>
      <c r="E81" s="51" t="s">
        <v>3</v>
      </c>
      <c r="F81" s="99">
        <f t="shared" si="5"/>
        <v>1650</v>
      </c>
      <c r="G81" s="51" t="s">
        <v>3</v>
      </c>
      <c r="H81" s="48">
        <v>4</v>
      </c>
      <c r="I81" s="49" t="s">
        <v>46</v>
      </c>
      <c r="J81" s="184">
        <v>500</v>
      </c>
      <c r="K81" s="75">
        <v>300</v>
      </c>
      <c r="L81" s="75">
        <v>1650</v>
      </c>
      <c r="M81" s="202">
        <v>32.66292923018333</v>
      </c>
      <c r="N81" s="87">
        <v>2235.9906082956086</v>
      </c>
      <c r="O81" s="123">
        <v>33122.262350983845</v>
      </c>
      <c r="P81" s="199">
        <v>40607.434561729882</v>
      </c>
      <c r="Q81" s="310">
        <v>20367.114015306717</v>
      </c>
      <c r="R81" s="319">
        <v>53489.376366290562</v>
      </c>
      <c r="S81" s="315">
        <v>60974.548577036599</v>
      </c>
      <c r="U81" s="7" t="s">
        <v>4363</v>
      </c>
    </row>
    <row r="82" spans="1:21" ht="16.5" thickBot="1">
      <c r="A82" s="50" t="s">
        <v>35</v>
      </c>
      <c r="B82" s="51">
        <f t="shared" si="3"/>
        <v>500</v>
      </c>
      <c r="C82" s="51" t="s">
        <v>3</v>
      </c>
      <c r="D82" s="51">
        <f t="shared" si="4"/>
        <v>300</v>
      </c>
      <c r="E82" s="51" t="s">
        <v>3</v>
      </c>
      <c r="F82" s="99">
        <f t="shared" si="5"/>
        <v>1700</v>
      </c>
      <c r="G82" s="51" t="s">
        <v>3</v>
      </c>
      <c r="H82" s="48">
        <v>4</v>
      </c>
      <c r="I82" s="49" t="s">
        <v>46</v>
      </c>
      <c r="J82" s="184">
        <v>500</v>
      </c>
      <c r="K82" s="75">
        <v>300</v>
      </c>
      <c r="L82" s="75">
        <v>1700</v>
      </c>
      <c r="M82" s="202">
        <v>33.555862151795225</v>
      </c>
      <c r="N82" s="87">
        <v>2321.990247076209</v>
      </c>
      <c r="O82" s="123">
        <v>33930.824508682315</v>
      </c>
      <c r="P82" s="199">
        <v>41619.177991840981</v>
      </c>
      <c r="Q82" s="310">
        <v>20847.519183170705</v>
      </c>
      <c r="R82" s="319">
        <v>54778.343691853021</v>
      </c>
      <c r="S82" s="315">
        <v>62466.697175011686</v>
      </c>
      <c r="U82" s="7" t="s">
        <v>4364</v>
      </c>
    </row>
    <row r="83" spans="1:21" ht="16.5" thickBot="1">
      <c r="A83" s="50" t="s">
        <v>35</v>
      </c>
      <c r="B83" s="51">
        <f t="shared" si="3"/>
        <v>500</v>
      </c>
      <c r="C83" s="51" t="s">
        <v>3</v>
      </c>
      <c r="D83" s="51">
        <f t="shared" si="4"/>
        <v>300</v>
      </c>
      <c r="E83" s="51" t="s">
        <v>3</v>
      </c>
      <c r="F83" s="99">
        <f t="shared" si="5"/>
        <v>1750</v>
      </c>
      <c r="G83" s="51" t="s">
        <v>3</v>
      </c>
      <c r="H83" s="48">
        <v>4</v>
      </c>
      <c r="I83" s="49" t="s">
        <v>46</v>
      </c>
      <c r="J83" s="184">
        <v>500</v>
      </c>
      <c r="K83" s="75">
        <v>300</v>
      </c>
      <c r="L83" s="75">
        <v>1750</v>
      </c>
      <c r="M83" s="202">
        <v>34.466261073407111</v>
      </c>
      <c r="N83" s="87">
        <v>2407.989885856809</v>
      </c>
      <c r="O83" s="123">
        <v>34739.386806774157</v>
      </c>
      <c r="P83" s="199">
        <v>42630.92142195208</v>
      </c>
      <c r="Q83" s="310">
        <v>21558.506269211328</v>
      </c>
      <c r="R83" s="319">
        <v>56297.893075985485</v>
      </c>
      <c r="S83" s="315">
        <v>64189.427691163408</v>
      </c>
      <c r="U83" s="7" t="s">
        <v>4365</v>
      </c>
    </row>
    <row r="84" spans="1:21" ht="16.5" thickBot="1">
      <c r="A84" s="50" t="s">
        <v>35</v>
      </c>
      <c r="B84" s="51">
        <f t="shared" si="3"/>
        <v>500</v>
      </c>
      <c r="C84" s="51" t="s">
        <v>3</v>
      </c>
      <c r="D84" s="51">
        <f t="shared" si="4"/>
        <v>300</v>
      </c>
      <c r="E84" s="51" t="s">
        <v>3</v>
      </c>
      <c r="F84" s="99">
        <f t="shared" si="5"/>
        <v>1800</v>
      </c>
      <c r="G84" s="51" t="s">
        <v>3</v>
      </c>
      <c r="H84" s="48">
        <v>4</v>
      </c>
      <c r="I84" s="49" t="s">
        <v>46</v>
      </c>
      <c r="J84" s="184">
        <v>500</v>
      </c>
      <c r="K84" s="75">
        <v>300</v>
      </c>
      <c r="L84" s="75">
        <v>1800</v>
      </c>
      <c r="M84" s="202">
        <v>35.359193995019012</v>
      </c>
      <c r="N84" s="87">
        <v>2493.9895246374094</v>
      </c>
      <c r="O84" s="123">
        <v>35547.948964472635</v>
      </c>
      <c r="P84" s="199">
        <v>43642.664852063172</v>
      </c>
      <c r="Q84" s="310">
        <v>22038.911437075316</v>
      </c>
      <c r="R84" s="319">
        <v>57586.86040154795</v>
      </c>
      <c r="S84" s="315">
        <v>65681.576289138495</v>
      </c>
      <c r="U84" s="7" t="s">
        <v>4366</v>
      </c>
    </row>
    <row r="85" spans="1:21" ht="16.5" thickBot="1">
      <c r="A85" s="50" t="s">
        <v>35</v>
      </c>
      <c r="B85" s="51">
        <f t="shared" si="3"/>
        <v>500</v>
      </c>
      <c r="C85" s="51" t="s">
        <v>3</v>
      </c>
      <c r="D85" s="51">
        <f t="shared" si="4"/>
        <v>300</v>
      </c>
      <c r="E85" s="51" t="s">
        <v>3</v>
      </c>
      <c r="F85" s="99">
        <f t="shared" si="5"/>
        <v>1850</v>
      </c>
      <c r="G85" s="51" t="s">
        <v>3</v>
      </c>
      <c r="H85" s="48">
        <v>4</v>
      </c>
      <c r="I85" s="49" t="s">
        <v>46</v>
      </c>
      <c r="J85" s="184">
        <v>500</v>
      </c>
      <c r="K85" s="75">
        <v>300</v>
      </c>
      <c r="L85" s="75">
        <v>1850</v>
      </c>
      <c r="M85" s="202">
        <v>36.269592916630913</v>
      </c>
      <c r="N85" s="87">
        <v>2579.9891634180094</v>
      </c>
      <c r="O85" s="123">
        <v>36356.511262564469</v>
      </c>
      <c r="P85" s="199">
        <v>44654.408282174416</v>
      </c>
      <c r="Q85" s="310">
        <v>22749.898382722578</v>
      </c>
      <c r="R85" s="319">
        <v>59106.409645287044</v>
      </c>
      <c r="S85" s="315">
        <v>67404.306664896998</v>
      </c>
      <c r="U85" s="7" t="s">
        <v>4367</v>
      </c>
    </row>
    <row r="86" spans="1:21" ht="16.5" thickBot="1">
      <c r="A86" s="50" t="s">
        <v>35</v>
      </c>
      <c r="B86" s="51">
        <f t="shared" si="3"/>
        <v>500</v>
      </c>
      <c r="C86" s="51" t="s">
        <v>3</v>
      </c>
      <c r="D86" s="51">
        <f t="shared" si="4"/>
        <v>300</v>
      </c>
      <c r="E86" s="51" t="s">
        <v>3</v>
      </c>
      <c r="F86" s="99">
        <f t="shared" si="5"/>
        <v>1900</v>
      </c>
      <c r="G86" s="51" t="s">
        <v>3</v>
      </c>
      <c r="H86" s="48">
        <v>4</v>
      </c>
      <c r="I86" s="49" t="s">
        <v>46</v>
      </c>
      <c r="J86" s="184">
        <v>500</v>
      </c>
      <c r="K86" s="75">
        <v>300</v>
      </c>
      <c r="L86" s="75">
        <v>1900</v>
      </c>
      <c r="M86" s="202">
        <v>37.162525838242807</v>
      </c>
      <c r="N86" s="87">
        <v>2665.9888021986098</v>
      </c>
      <c r="O86" s="123">
        <v>37165.073420262946</v>
      </c>
      <c r="P86" s="199">
        <v>45666.151712285515</v>
      </c>
      <c r="Q86" s="310">
        <v>23230.30369097993</v>
      </c>
      <c r="R86" s="319">
        <v>60395.37711124288</v>
      </c>
      <c r="S86" s="315">
        <v>68896.455403265441</v>
      </c>
      <c r="U86" s="7" t="s">
        <v>4368</v>
      </c>
    </row>
    <row r="87" spans="1:21" ht="16.5" thickBot="1">
      <c r="A87" s="50" t="s">
        <v>35</v>
      </c>
      <c r="B87" s="51">
        <f t="shared" si="3"/>
        <v>500</v>
      </c>
      <c r="C87" s="51" t="s">
        <v>3</v>
      </c>
      <c r="D87" s="51">
        <f t="shared" si="4"/>
        <v>300</v>
      </c>
      <c r="E87" s="51" t="s">
        <v>3</v>
      </c>
      <c r="F87" s="99">
        <f t="shared" si="5"/>
        <v>1950</v>
      </c>
      <c r="G87" s="51" t="s">
        <v>3</v>
      </c>
      <c r="H87" s="48">
        <v>4</v>
      </c>
      <c r="I87" s="49" t="s">
        <v>46</v>
      </c>
      <c r="J87" s="184">
        <v>500</v>
      </c>
      <c r="K87" s="75">
        <v>300</v>
      </c>
      <c r="L87" s="75">
        <v>1950</v>
      </c>
      <c r="M87" s="202">
        <v>38.135921259854697</v>
      </c>
      <c r="N87" s="87">
        <v>2751.9884409792103</v>
      </c>
      <c r="O87" s="123">
        <v>38054.647742678331</v>
      </c>
      <c r="P87" s="199">
        <v>46760.178085296575</v>
      </c>
      <c r="Q87" s="310">
        <v>23710.708858843918</v>
      </c>
      <c r="R87" s="319">
        <v>61765.356601522246</v>
      </c>
      <c r="S87" s="315">
        <v>70470.886944140497</v>
      </c>
      <c r="U87" s="7" t="s">
        <v>4369</v>
      </c>
    </row>
    <row r="88" spans="1:21" ht="16.5" thickBot="1">
      <c r="A88" s="50" t="s">
        <v>35</v>
      </c>
      <c r="B88" s="51">
        <f t="shared" si="3"/>
        <v>500</v>
      </c>
      <c r="C88" s="51" t="s">
        <v>3</v>
      </c>
      <c r="D88" s="51">
        <f t="shared" si="4"/>
        <v>300</v>
      </c>
      <c r="E88" s="51" t="s">
        <v>3</v>
      </c>
      <c r="F88" s="99">
        <f t="shared" si="5"/>
        <v>2000</v>
      </c>
      <c r="G88" s="51" t="s">
        <v>3</v>
      </c>
      <c r="H88" s="48">
        <v>4</v>
      </c>
      <c r="I88" s="49" t="s">
        <v>46</v>
      </c>
      <c r="J88" s="184">
        <v>500</v>
      </c>
      <c r="K88" s="75">
        <v>300</v>
      </c>
      <c r="L88" s="75">
        <v>2000</v>
      </c>
      <c r="M88" s="202">
        <v>39.140171641466587</v>
      </c>
      <c r="N88" s="87">
        <v>2837.9880797598103</v>
      </c>
      <c r="O88" s="123">
        <v>39105.280207406824</v>
      </c>
      <c r="P88" s="199">
        <v>48103.36311876696</v>
      </c>
      <c r="Q88" s="310">
        <v>24421.695804491177</v>
      </c>
      <c r="R88" s="319">
        <v>63526.976011898005</v>
      </c>
      <c r="S88" s="315">
        <v>72525.058923258141</v>
      </c>
      <c r="U88" s="7" t="s">
        <v>4370</v>
      </c>
    </row>
    <row r="89" spans="1:21" ht="16.5" thickBot="1">
      <c r="A89" s="50" t="s">
        <v>35</v>
      </c>
      <c r="B89" s="51">
        <f t="shared" si="3"/>
        <v>500</v>
      </c>
      <c r="C89" s="51" t="s">
        <v>3</v>
      </c>
      <c r="D89" s="51">
        <f t="shared" si="4"/>
        <v>300</v>
      </c>
      <c r="E89" s="51" t="s">
        <v>3</v>
      </c>
      <c r="F89" s="99">
        <f t="shared" si="5"/>
        <v>2050</v>
      </c>
      <c r="G89" s="51" t="s">
        <v>3</v>
      </c>
      <c r="H89" s="48">
        <v>4</v>
      </c>
      <c r="I89" s="49" t="s">
        <v>46</v>
      </c>
      <c r="J89" s="184">
        <v>500</v>
      </c>
      <c r="K89" s="75">
        <v>300</v>
      </c>
      <c r="L89" s="75">
        <v>2050</v>
      </c>
      <c r="M89" s="202">
        <v>40.033104563078489</v>
      </c>
      <c r="N89" s="87">
        <v>2923.9877185404107</v>
      </c>
      <c r="O89" s="123">
        <v>39913.842365105302</v>
      </c>
      <c r="P89" s="199">
        <v>49115.106548878204</v>
      </c>
      <c r="Q89" s="310">
        <v>24902.101112748529</v>
      </c>
      <c r="R89" s="319">
        <v>64815.943477853827</v>
      </c>
      <c r="S89" s="315">
        <v>74017.20766162673</v>
      </c>
      <c r="U89" s="7" t="s">
        <v>4371</v>
      </c>
    </row>
    <row r="90" spans="1:21" ht="16.5" thickBot="1">
      <c r="A90" s="47" t="s">
        <v>35</v>
      </c>
      <c r="B90" s="48">
        <f t="shared" si="3"/>
        <v>500</v>
      </c>
      <c r="C90" s="48" t="s">
        <v>3</v>
      </c>
      <c r="D90" s="48">
        <f t="shared" si="4"/>
        <v>300</v>
      </c>
      <c r="E90" s="48" t="s">
        <v>3</v>
      </c>
      <c r="F90" s="99">
        <f t="shared" si="5"/>
        <v>2100</v>
      </c>
      <c r="G90" s="48" t="s">
        <v>3</v>
      </c>
      <c r="H90" s="48">
        <v>4</v>
      </c>
      <c r="I90" s="49" t="s">
        <v>46</v>
      </c>
      <c r="J90" s="184">
        <v>500</v>
      </c>
      <c r="K90" s="75">
        <v>300</v>
      </c>
      <c r="L90" s="75">
        <v>2100</v>
      </c>
      <c r="M90" s="202">
        <v>40.943503484690382</v>
      </c>
      <c r="N90" s="87">
        <v>3009.9873573210111</v>
      </c>
      <c r="O90" s="123">
        <v>40722.404663197136</v>
      </c>
      <c r="P90" s="199">
        <v>50126.849978989296</v>
      </c>
      <c r="Q90" s="310">
        <v>25613.088058395791</v>
      </c>
      <c r="R90" s="319">
        <v>66335.49272159292</v>
      </c>
      <c r="S90" s="315">
        <v>75739.938037385087</v>
      </c>
      <c r="U90" s="7" t="s">
        <v>4372</v>
      </c>
    </row>
    <row r="91" spans="1:21" ht="16.5" thickBot="1">
      <c r="A91" s="50" t="s">
        <v>35</v>
      </c>
      <c r="B91" s="51">
        <f t="shared" si="3"/>
        <v>500</v>
      </c>
      <c r="C91" s="51" t="s">
        <v>3</v>
      </c>
      <c r="D91" s="51">
        <f t="shared" si="4"/>
        <v>300</v>
      </c>
      <c r="E91" s="51" t="s">
        <v>3</v>
      </c>
      <c r="F91" s="99">
        <f t="shared" si="5"/>
        <v>2150</v>
      </c>
      <c r="G91" s="51" t="s">
        <v>3</v>
      </c>
      <c r="H91" s="48">
        <v>4</v>
      </c>
      <c r="I91" s="49" t="s">
        <v>46</v>
      </c>
      <c r="J91" s="184">
        <v>500</v>
      </c>
      <c r="K91" s="75">
        <v>300</v>
      </c>
      <c r="L91" s="75">
        <v>2150</v>
      </c>
      <c r="M91" s="202">
        <v>41.836436406302276</v>
      </c>
      <c r="N91" s="87">
        <v>3095.9869961016116</v>
      </c>
      <c r="O91" s="123">
        <v>41530.966820895606</v>
      </c>
      <c r="P91" s="199">
        <v>51138.593409100402</v>
      </c>
      <c r="Q91" s="310">
        <v>26093.493366653143</v>
      </c>
      <c r="R91" s="319">
        <v>67624.460187548742</v>
      </c>
      <c r="S91" s="315">
        <v>77232.086775753545</v>
      </c>
      <c r="U91" s="7" t="s">
        <v>4373</v>
      </c>
    </row>
    <row r="92" spans="1:21" ht="16.5" thickBot="1">
      <c r="A92" s="50" t="s">
        <v>35</v>
      </c>
      <c r="B92" s="51">
        <f t="shared" si="3"/>
        <v>500</v>
      </c>
      <c r="C92" s="51" t="s">
        <v>3</v>
      </c>
      <c r="D92" s="51">
        <f t="shared" si="4"/>
        <v>300</v>
      </c>
      <c r="E92" s="51" t="s">
        <v>3</v>
      </c>
      <c r="F92" s="99">
        <f t="shared" si="5"/>
        <v>2200</v>
      </c>
      <c r="G92" s="51" t="s">
        <v>3</v>
      </c>
      <c r="H92" s="48">
        <v>4</v>
      </c>
      <c r="I92" s="49" t="s">
        <v>46</v>
      </c>
      <c r="J92" s="184">
        <v>500</v>
      </c>
      <c r="K92" s="75">
        <v>300</v>
      </c>
      <c r="L92" s="75">
        <v>2200</v>
      </c>
      <c r="M92" s="202">
        <v>42.74683532791417</v>
      </c>
      <c r="N92" s="87">
        <v>3181.986634882212</v>
      </c>
      <c r="O92" s="123">
        <v>42339.529118987448</v>
      </c>
      <c r="P92" s="199">
        <v>52150.336839211493</v>
      </c>
      <c r="Q92" s="310">
        <v>26804.480312300402</v>
      </c>
      <c r="R92" s="319">
        <v>69144.00943128785</v>
      </c>
      <c r="S92" s="315">
        <v>78954.817151511903</v>
      </c>
      <c r="U92" s="7" t="s">
        <v>4374</v>
      </c>
    </row>
    <row r="93" spans="1:21" ht="16.5" thickBot="1">
      <c r="A93" s="50" t="s">
        <v>35</v>
      </c>
      <c r="B93" s="51">
        <f t="shared" si="3"/>
        <v>500</v>
      </c>
      <c r="C93" s="51" t="s">
        <v>3</v>
      </c>
      <c r="D93" s="51">
        <f t="shared" si="4"/>
        <v>300</v>
      </c>
      <c r="E93" s="51" t="s">
        <v>3</v>
      </c>
      <c r="F93" s="99">
        <f t="shared" si="5"/>
        <v>2250</v>
      </c>
      <c r="G93" s="51" t="s">
        <v>3</v>
      </c>
      <c r="H93" s="48">
        <v>4</v>
      </c>
      <c r="I93" s="49" t="s">
        <v>46</v>
      </c>
      <c r="J93" s="184">
        <v>500</v>
      </c>
      <c r="K93" s="75">
        <v>300</v>
      </c>
      <c r="L93" s="75">
        <v>2250</v>
      </c>
      <c r="M93" s="202">
        <v>43.639768249526057</v>
      </c>
      <c r="N93" s="87">
        <v>3267.986273662812</v>
      </c>
      <c r="O93" s="123">
        <v>43148.091276685918</v>
      </c>
      <c r="P93" s="199">
        <v>53162.080269322592</v>
      </c>
      <c r="Q93" s="310">
        <v>27284.885480164394</v>
      </c>
      <c r="R93" s="319">
        <v>70432.976756850316</v>
      </c>
      <c r="S93" s="315">
        <v>80446.96574948699</v>
      </c>
      <c r="U93" s="7" t="s">
        <v>4375</v>
      </c>
    </row>
    <row r="94" spans="1:21" ht="16.5" thickBot="1">
      <c r="A94" s="50" t="s">
        <v>35</v>
      </c>
      <c r="B94" s="51">
        <f t="shared" si="3"/>
        <v>500</v>
      </c>
      <c r="C94" s="51" t="s">
        <v>3</v>
      </c>
      <c r="D94" s="51">
        <f t="shared" si="4"/>
        <v>300</v>
      </c>
      <c r="E94" s="51" t="s">
        <v>3</v>
      </c>
      <c r="F94" s="99">
        <f t="shared" si="5"/>
        <v>2300</v>
      </c>
      <c r="G94" s="51" t="s">
        <v>3</v>
      </c>
      <c r="H94" s="48">
        <v>4</v>
      </c>
      <c r="I94" s="49" t="s">
        <v>46</v>
      </c>
      <c r="J94" s="184">
        <v>500</v>
      </c>
      <c r="K94" s="75">
        <v>300</v>
      </c>
      <c r="L94" s="75">
        <v>2300</v>
      </c>
      <c r="M94" s="202">
        <v>44.532701171137951</v>
      </c>
      <c r="N94" s="87">
        <v>3353.9859124434124</v>
      </c>
      <c r="O94" s="123">
        <v>43956.65357477776</v>
      </c>
      <c r="P94" s="199">
        <v>54173.823699433829</v>
      </c>
      <c r="Q94" s="310">
        <v>27765.290788421746</v>
      </c>
      <c r="R94" s="319">
        <v>71721.944363199509</v>
      </c>
      <c r="S94" s="315">
        <v>81939.114487855579</v>
      </c>
      <c r="U94" s="7" t="s">
        <v>4376</v>
      </c>
    </row>
    <row r="95" spans="1:21" ht="16.5" thickBot="1">
      <c r="A95" s="50" t="s">
        <v>35</v>
      </c>
      <c r="B95" s="51">
        <f t="shared" si="3"/>
        <v>500</v>
      </c>
      <c r="C95" s="51" t="s">
        <v>3</v>
      </c>
      <c r="D95" s="51">
        <f t="shared" si="4"/>
        <v>300</v>
      </c>
      <c r="E95" s="51" t="s">
        <v>3</v>
      </c>
      <c r="F95" s="99">
        <f t="shared" si="5"/>
        <v>2350</v>
      </c>
      <c r="G95" s="51" t="s">
        <v>3</v>
      </c>
      <c r="H95" s="48">
        <v>4</v>
      </c>
      <c r="I95" s="49" t="s">
        <v>46</v>
      </c>
      <c r="J95" s="184">
        <v>500</v>
      </c>
      <c r="K95" s="75">
        <v>300</v>
      </c>
      <c r="L95" s="75">
        <v>2350</v>
      </c>
      <c r="M95" s="202">
        <v>45.443100092749852</v>
      </c>
      <c r="N95" s="87">
        <v>3439.9855512240129</v>
      </c>
      <c r="O95" s="123">
        <v>44765.215732476237</v>
      </c>
      <c r="P95" s="199">
        <v>55185.567129544936</v>
      </c>
      <c r="Q95" s="310">
        <v>28476.277734069005</v>
      </c>
      <c r="R95" s="319">
        <v>73241.493466545246</v>
      </c>
      <c r="S95" s="315">
        <v>83661.844863613936</v>
      </c>
      <c r="U95" s="7" t="s">
        <v>4377</v>
      </c>
    </row>
    <row r="96" spans="1:21" ht="16.5" thickBot="1">
      <c r="A96" s="50" t="s">
        <v>35</v>
      </c>
      <c r="B96" s="51">
        <f t="shared" si="3"/>
        <v>500</v>
      </c>
      <c r="C96" s="51" t="s">
        <v>3</v>
      </c>
      <c r="D96" s="51">
        <f t="shared" si="4"/>
        <v>300</v>
      </c>
      <c r="E96" s="51" t="s">
        <v>3</v>
      </c>
      <c r="F96" s="99">
        <f t="shared" si="5"/>
        <v>2400</v>
      </c>
      <c r="G96" s="51" t="s">
        <v>3</v>
      </c>
      <c r="H96" s="48">
        <v>4</v>
      </c>
      <c r="I96" s="49" t="s">
        <v>46</v>
      </c>
      <c r="J96" s="184">
        <v>500</v>
      </c>
      <c r="K96" s="75">
        <v>300</v>
      </c>
      <c r="L96" s="75">
        <v>2400</v>
      </c>
      <c r="M96" s="202">
        <v>46.336033014361753</v>
      </c>
      <c r="N96" s="87">
        <v>3525.9851900046128</v>
      </c>
      <c r="O96" s="123">
        <v>45573.777890174708</v>
      </c>
      <c r="P96" s="199">
        <v>56197.310559656027</v>
      </c>
      <c r="Q96" s="310">
        <v>28956.682901932996</v>
      </c>
      <c r="R96" s="319">
        <v>74530.460792107711</v>
      </c>
      <c r="S96" s="315">
        <v>85153.993461589023</v>
      </c>
      <c r="U96" s="7" t="s">
        <v>4378</v>
      </c>
    </row>
    <row r="97" spans="1:21" ht="16.5" thickBot="1">
      <c r="A97" s="50" t="s">
        <v>35</v>
      </c>
      <c r="B97" s="51">
        <f t="shared" si="3"/>
        <v>500</v>
      </c>
      <c r="C97" s="51" t="s">
        <v>3</v>
      </c>
      <c r="D97" s="51">
        <f t="shared" si="4"/>
        <v>300</v>
      </c>
      <c r="E97" s="51" t="s">
        <v>3</v>
      </c>
      <c r="F97" s="99">
        <f t="shared" si="5"/>
        <v>2450</v>
      </c>
      <c r="G97" s="51" t="s">
        <v>3</v>
      </c>
      <c r="H97" s="48">
        <v>4</v>
      </c>
      <c r="I97" s="49" t="s">
        <v>46</v>
      </c>
      <c r="J97" s="184">
        <v>500</v>
      </c>
      <c r="K97" s="75">
        <v>300</v>
      </c>
      <c r="L97" s="75">
        <v>2450</v>
      </c>
      <c r="M97" s="202">
        <v>47.416490559232642</v>
      </c>
      <c r="N97" s="87">
        <v>3611.9848287852137</v>
      </c>
      <c r="O97" s="123">
        <v>47024.244473995248</v>
      </c>
      <c r="P97" s="199">
        <v>57817.8114209493</v>
      </c>
      <c r="Q97" s="310">
        <v>29667.669987973619</v>
      </c>
      <c r="R97" s="319">
        <v>76691.914461968874</v>
      </c>
      <c r="S97" s="315">
        <v>87485.481408922918</v>
      </c>
      <c r="U97" s="7" t="s">
        <v>4379</v>
      </c>
    </row>
    <row r="98" spans="1:21" ht="16.5" thickBot="1">
      <c r="A98" s="50" t="s">
        <v>35</v>
      </c>
      <c r="B98" s="51">
        <f t="shared" si="3"/>
        <v>500</v>
      </c>
      <c r="C98" s="51" t="s">
        <v>3</v>
      </c>
      <c r="D98" s="51">
        <f t="shared" si="4"/>
        <v>300</v>
      </c>
      <c r="E98" s="51" t="s">
        <v>3</v>
      </c>
      <c r="F98" s="99">
        <f t="shared" si="5"/>
        <v>2500</v>
      </c>
      <c r="G98" s="51" t="s">
        <v>3</v>
      </c>
      <c r="H98" s="48">
        <v>4</v>
      </c>
      <c r="I98" s="49" t="s">
        <v>46</v>
      </c>
      <c r="J98" s="184">
        <v>500</v>
      </c>
      <c r="K98" s="75">
        <v>300</v>
      </c>
      <c r="L98" s="75">
        <v>2500</v>
      </c>
      <c r="M98" s="202">
        <v>48.309423480844536</v>
      </c>
      <c r="N98" s="87">
        <v>3697.9844675658137</v>
      </c>
      <c r="O98" s="123">
        <v>47832.806772087082</v>
      </c>
      <c r="P98" s="199">
        <v>58829.554851060406</v>
      </c>
      <c r="Q98" s="310">
        <v>30148.075155837607</v>
      </c>
      <c r="R98" s="319">
        <v>77980.881927924696</v>
      </c>
      <c r="S98" s="315">
        <v>88977.63000689802</v>
      </c>
      <c r="U98" s="7" t="s">
        <v>4380</v>
      </c>
    </row>
    <row r="99" spans="1:21" ht="16.5" thickBot="1">
      <c r="A99" s="50" t="s">
        <v>35</v>
      </c>
      <c r="B99" s="51">
        <f t="shared" si="3"/>
        <v>500</v>
      </c>
      <c r="C99" s="51" t="s">
        <v>3</v>
      </c>
      <c r="D99" s="51">
        <f t="shared" si="4"/>
        <v>300</v>
      </c>
      <c r="E99" s="51" t="s">
        <v>3</v>
      </c>
      <c r="F99" s="99">
        <f t="shared" si="5"/>
        <v>2550</v>
      </c>
      <c r="G99" s="51" t="s">
        <v>3</v>
      </c>
      <c r="H99" s="48">
        <v>4</v>
      </c>
      <c r="I99" s="49" t="s">
        <v>46</v>
      </c>
      <c r="J99" s="184">
        <v>500</v>
      </c>
      <c r="K99" s="75">
        <v>300</v>
      </c>
      <c r="L99" s="75">
        <v>2550</v>
      </c>
      <c r="M99" s="202">
        <v>49.21982240245643</v>
      </c>
      <c r="N99" s="87">
        <v>3783.9841063464146</v>
      </c>
      <c r="O99" s="123">
        <v>48641.36892978556</v>
      </c>
      <c r="P99" s="199">
        <v>59841.298281171497</v>
      </c>
      <c r="Q99" s="310">
        <v>30859.06224187823</v>
      </c>
      <c r="R99" s="319">
        <v>79500.431171663789</v>
      </c>
      <c r="S99" s="315">
        <v>90700.36052304972</v>
      </c>
      <c r="U99" s="7" t="s">
        <v>4381</v>
      </c>
    </row>
    <row r="100" spans="1:21" ht="16.5" thickBot="1">
      <c r="A100" s="47" t="s">
        <v>35</v>
      </c>
      <c r="B100" s="48">
        <f t="shared" si="3"/>
        <v>500</v>
      </c>
      <c r="C100" s="48" t="s">
        <v>3</v>
      </c>
      <c r="D100" s="48">
        <f t="shared" si="4"/>
        <v>300</v>
      </c>
      <c r="E100" s="48" t="s">
        <v>3</v>
      </c>
      <c r="F100" s="99">
        <f t="shared" si="5"/>
        <v>2600</v>
      </c>
      <c r="G100" s="48" t="s">
        <v>3</v>
      </c>
      <c r="H100" s="48">
        <v>4</v>
      </c>
      <c r="I100" s="49" t="s">
        <v>46</v>
      </c>
      <c r="J100" s="184">
        <v>500</v>
      </c>
      <c r="K100" s="75">
        <v>300</v>
      </c>
      <c r="L100" s="75">
        <v>2600</v>
      </c>
      <c r="M100" s="202">
        <v>50.112755324068324</v>
      </c>
      <c r="N100" s="87">
        <v>3869.9837451270146</v>
      </c>
      <c r="O100" s="123">
        <v>49449.931227877394</v>
      </c>
      <c r="P100" s="199">
        <v>60853.041711282742</v>
      </c>
      <c r="Q100" s="310">
        <v>31339.467409742221</v>
      </c>
      <c r="R100" s="319">
        <v>80789.398637619612</v>
      </c>
      <c r="S100" s="315">
        <v>92192.509121024967</v>
      </c>
      <c r="U100" s="7" t="s">
        <v>4382</v>
      </c>
    </row>
    <row r="101" spans="1:21" ht="16.5" thickBot="1">
      <c r="A101" s="50" t="s">
        <v>35</v>
      </c>
      <c r="B101" s="51">
        <f t="shared" si="3"/>
        <v>500</v>
      </c>
      <c r="C101" s="51" t="s">
        <v>3</v>
      </c>
      <c r="D101" s="51">
        <f t="shared" si="4"/>
        <v>300</v>
      </c>
      <c r="E101" s="51" t="s">
        <v>3</v>
      </c>
      <c r="F101" s="99">
        <f t="shared" si="5"/>
        <v>2650</v>
      </c>
      <c r="G101" s="51" t="s">
        <v>3</v>
      </c>
      <c r="H101" s="48">
        <v>4</v>
      </c>
      <c r="I101" s="49" t="s">
        <v>46</v>
      </c>
      <c r="J101" s="184">
        <v>500</v>
      </c>
      <c r="K101" s="75">
        <v>300</v>
      </c>
      <c r="L101" s="75">
        <v>2650</v>
      </c>
      <c r="M101" s="202">
        <v>51.023154245680225</v>
      </c>
      <c r="N101" s="87">
        <v>3955.9833839076146</v>
      </c>
      <c r="O101" s="123">
        <v>50258.493385575872</v>
      </c>
      <c r="P101" s="199">
        <v>61864.785141393833</v>
      </c>
      <c r="Q101" s="310">
        <v>32050.45435538948</v>
      </c>
      <c r="R101" s="319">
        <v>82308.947740965348</v>
      </c>
      <c r="S101" s="315">
        <v>93915.23949678331</v>
      </c>
      <c r="U101" s="7" t="s">
        <v>4383</v>
      </c>
    </row>
    <row r="102" spans="1:21" ht="16.5" thickBot="1">
      <c r="A102" s="50" t="s">
        <v>35</v>
      </c>
      <c r="B102" s="51">
        <f t="shared" si="3"/>
        <v>500</v>
      </c>
      <c r="C102" s="51" t="s">
        <v>3</v>
      </c>
      <c r="D102" s="51">
        <f t="shared" si="4"/>
        <v>300</v>
      </c>
      <c r="E102" s="51" t="s">
        <v>3</v>
      </c>
      <c r="F102" s="99">
        <f t="shared" si="5"/>
        <v>2700</v>
      </c>
      <c r="G102" s="51" t="s">
        <v>3</v>
      </c>
      <c r="H102" s="48">
        <v>4</v>
      </c>
      <c r="I102" s="49" t="s">
        <v>46</v>
      </c>
      <c r="J102" s="184">
        <v>500</v>
      </c>
      <c r="K102" s="75">
        <v>300</v>
      </c>
      <c r="L102" s="75">
        <v>2700</v>
      </c>
      <c r="M102" s="202">
        <v>51.996549667292122</v>
      </c>
      <c r="N102" s="87">
        <v>4041.9830226882154</v>
      </c>
      <c r="O102" s="123">
        <v>51148.067707991264</v>
      </c>
      <c r="P102" s="199">
        <v>62958.811514404762</v>
      </c>
      <c r="Q102" s="310">
        <v>32530.859663646832</v>
      </c>
      <c r="R102" s="319">
        <v>83678.927371638099</v>
      </c>
      <c r="S102" s="315">
        <v>95489.671178051591</v>
      </c>
      <c r="U102" s="7" t="s">
        <v>4384</v>
      </c>
    </row>
    <row r="103" spans="1:21" ht="16.5" thickBot="1">
      <c r="A103" s="50" t="s">
        <v>35</v>
      </c>
      <c r="B103" s="51">
        <f t="shared" si="3"/>
        <v>500</v>
      </c>
      <c r="C103" s="51" t="s">
        <v>3</v>
      </c>
      <c r="D103" s="51">
        <f t="shared" si="4"/>
        <v>300</v>
      </c>
      <c r="E103" s="51" t="s">
        <v>3</v>
      </c>
      <c r="F103" s="99">
        <f t="shared" si="5"/>
        <v>2750</v>
      </c>
      <c r="G103" s="51" t="s">
        <v>3</v>
      </c>
      <c r="H103" s="48">
        <v>4</v>
      </c>
      <c r="I103" s="49" t="s">
        <v>46</v>
      </c>
      <c r="J103" s="184">
        <v>500</v>
      </c>
      <c r="K103" s="75">
        <v>300</v>
      </c>
      <c r="L103" s="75">
        <v>2750</v>
      </c>
      <c r="M103" s="202">
        <v>52.889482588904016</v>
      </c>
      <c r="N103" s="87">
        <v>4127.9826614688154</v>
      </c>
      <c r="O103" s="123">
        <v>51956.630006083098</v>
      </c>
      <c r="P103" s="199">
        <v>63970.554944515854</v>
      </c>
      <c r="Q103" s="310">
        <v>33011.264831510824</v>
      </c>
      <c r="R103" s="319">
        <v>84967.894837593922</v>
      </c>
      <c r="S103" s="315">
        <v>96981.819776026678</v>
      </c>
      <c r="U103" s="7" t="s">
        <v>4385</v>
      </c>
    </row>
    <row r="104" spans="1:21" ht="16.5" thickBot="1">
      <c r="A104" s="50" t="s">
        <v>35</v>
      </c>
      <c r="B104" s="51">
        <f t="shared" si="3"/>
        <v>500</v>
      </c>
      <c r="C104" s="51" t="s">
        <v>3</v>
      </c>
      <c r="D104" s="51">
        <f t="shared" si="4"/>
        <v>300</v>
      </c>
      <c r="E104" s="51" t="s">
        <v>3</v>
      </c>
      <c r="F104" s="99">
        <f t="shared" si="5"/>
        <v>2800</v>
      </c>
      <c r="G104" s="51" t="s">
        <v>3</v>
      </c>
      <c r="H104" s="48">
        <v>4</v>
      </c>
      <c r="I104" s="49" t="s">
        <v>46</v>
      </c>
      <c r="J104" s="184">
        <v>500</v>
      </c>
      <c r="K104" s="75">
        <v>300</v>
      </c>
      <c r="L104" s="75">
        <v>2800</v>
      </c>
      <c r="M104" s="202">
        <v>53.799881510515903</v>
      </c>
      <c r="N104" s="87">
        <v>4213.9823002494159</v>
      </c>
      <c r="O104" s="123">
        <v>52765.192163781576</v>
      </c>
      <c r="P104" s="199">
        <v>64982.298374627106</v>
      </c>
      <c r="Q104" s="310">
        <v>33722.251777158082</v>
      </c>
      <c r="R104" s="319">
        <v>86487.443940939658</v>
      </c>
      <c r="S104" s="315">
        <v>98704.550151785195</v>
      </c>
      <c r="U104" s="7" t="s">
        <v>4386</v>
      </c>
    </row>
    <row r="105" spans="1:21" ht="16.5" thickBot="1">
      <c r="A105" s="50" t="s">
        <v>35</v>
      </c>
      <c r="B105" s="51">
        <f t="shared" si="3"/>
        <v>500</v>
      </c>
      <c r="C105" s="51" t="s">
        <v>3</v>
      </c>
      <c r="D105" s="51">
        <f t="shared" si="4"/>
        <v>300</v>
      </c>
      <c r="E105" s="51" t="s">
        <v>3</v>
      </c>
      <c r="F105" s="99">
        <f t="shared" si="5"/>
        <v>2850</v>
      </c>
      <c r="G105" s="51" t="s">
        <v>3</v>
      </c>
      <c r="H105" s="48">
        <v>4</v>
      </c>
      <c r="I105" s="49" t="s">
        <v>46</v>
      </c>
      <c r="J105" s="184">
        <v>500</v>
      </c>
      <c r="K105" s="75">
        <v>300</v>
      </c>
      <c r="L105" s="75">
        <v>2850</v>
      </c>
      <c r="M105" s="202">
        <v>54.692814432127811</v>
      </c>
      <c r="N105" s="87">
        <v>4299.9819390300163</v>
      </c>
      <c r="O105" s="123">
        <v>53573.75446187341</v>
      </c>
      <c r="P105" s="199">
        <v>65994.041804738197</v>
      </c>
      <c r="Q105" s="310">
        <v>34202.657085415434</v>
      </c>
      <c r="R105" s="319">
        <v>87776.411547288852</v>
      </c>
      <c r="S105" s="315">
        <v>100196.69889015364</v>
      </c>
      <c r="U105" s="7" t="s">
        <v>4387</v>
      </c>
    </row>
    <row r="106" spans="1:21" ht="16.5" thickBot="1">
      <c r="A106" s="50" t="s">
        <v>35</v>
      </c>
      <c r="B106" s="51">
        <f t="shared" si="3"/>
        <v>500</v>
      </c>
      <c r="C106" s="51" t="s">
        <v>3</v>
      </c>
      <c r="D106" s="51">
        <f t="shared" si="4"/>
        <v>300</v>
      </c>
      <c r="E106" s="51" t="s">
        <v>3</v>
      </c>
      <c r="F106" s="99">
        <f t="shared" si="5"/>
        <v>2900</v>
      </c>
      <c r="G106" s="51" t="s">
        <v>3</v>
      </c>
      <c r="H106" s="48">
        <v>4</v>
      </c>
      <c r="I106" s="49" t="s">
        <v>46</v>
      </c>
      <c r="J106" s="184">
        <v>500</v>
      </c>
      <c r="K106" s="75">
        <v>300</v>
      </c>
      <c r="L106" s="75">
        <v>2900</v>
      </c>
      <c r="M106" s="202">
        <v>55.60321335373969</v>
      </c>
      <c r="N106" s="87">
        <v>4385.9815778106158</v>
      </c>
      <c r="O106" s="123">
        <v>54382.316619571888</v>
      </c>
      <c r="P106" s="199">
        <v>67005.785234849303</v>
      </c>
      <c r="Q106" s="310">
        <v>34913.644031062693</v>
      </c>
      <c r="R106" s="319">
        <v>89295.960650634574</v>
      </c>
      <c r="S106" s="315">
        <v>101919.429265912</v>
      </c>
      <c r="U106" s="7" t="s">
        <v>4388</v>
      </c>
    </row>
    <row r="107" spans="1:21" ht="16.5" thickBot="1">
      <c r="A107" s="50" t="s">
        <v>35</v>
      </c>
      <c r="B107" s="51">
        <f t="shared" si="3"/>
        <v>500</v>
      </c>
      <c r="C107" s="51" t="s">
        <v>3</v>
      </c>
      <c r="D107" s="51">
        <f t="shared" si="4"/>
        <v>300</v>
      </c>
      <c r="E107" s="51" t="s">
        <v>3</v>
      </c>
      <c r="F107" s="99">
        <f t="shared" si="5"/>
        <v>2950</v>
      </c>
      <c r="G107" s="51" t="s">
        <v>3</v>
      </c>
      <c r="H107" s="48">
        <v>4</v>
      </c>
      <c r="I107" s="49" t="s">
        <v>46</v>
      </c>
      <c r="J107" s="184">
        <v>500</v>
      </c>
      <c r="K107" s="75">
        <v>300</v>
      </c>
      <c r="L107" s="75">
        <v>2950</v>
      </c>
      <c r="M107" s="202">
        <v>56.496146275351585</v>
      </c>
      <c r="N107" s="87">
        <v>4471.9812165912172</v>
      </c>
      <c r="O107" s="123">
        <v>55190.878917663729</v>
      </c>
      <c r="P107" s="199">
        <v>68017.528664960395</v>
      </c>
      <c r="Q107" s="310">
        <v>35394.049339320045</v>
      </c>
      <c r="R107" s="319">
        <v>90584.928256983781</v>
      </c>
      <c r="S107" s="315">
        <v>103411.57800428044</v>
      </c>
      <c r="U107" s="7" t="s">
        <v>4389</v>
      </c>
    </row>
    <row r="108" spans="1:21" ht="16.5" thickBot="1">
      <c r="A108" s="52" t="s">
        <v>35</v>
      </c>
      <c r="B108" s="53">
        <f t="shared" si="3"/>
        <v>500</v>
      </c>
      <c r="C108" s="53" t="s">
        <v>3</v>
      </c>
      <c r="D108" s="53">
        <f t="shared" si="4"/>
        <v>300</v>
      </c>
      <c r="E108" s="53" t="s">
        <v>3</v>
      </c>
      <c r="F108" s="100">
        <f t="shared" si="5"/>
        <v>3000</v>
      </c>
      <c r="G108" s="53" t="s">
        <v>3</v>
      </c>
      <c r="H108" s="55">
        <v>4</v>
      </c>
      <c r="I108" s="54" t="s">
        <v>46</v>
      </c>
      <c r="J108" s="321">
        <v>500</v>
      </c>
      <c r="K108" s="322">
        <v>300</v>
      </c>
      <c r="L108" s="322">
        <v>3000</v>
      </c>
      <c r="M108" s="305">
        <v>56.006385558013164</v>
      </c>
      <c r="N108" s="306">
        <v>4557.9808553718167</v>
      </c>
      <c r="O108" s="307">
        <v>57233.356372867624</v>
      </c>
      <c r="P108" s="339">
        <v>69029.272095071618</v>
      </c>
      <c r="Q108" s="323">
        <v>36105.036284967304</v>
      </c>
      <c r="R108" s="324">
        <v>93338.39265783492</v>
      </c>
      <c r="S108" s="325">
        <v>105134.30838003891</v>
      </c>
      <c r="U108" s="7" t="s">
        <v>4390</v>
      </c>
    </row>
    <row r="109" spans="1:21" ht="19.5" thickBot="1">
      <c r="A109" s="2580" t="s">
        <v>49</v>
      </c>
      <c r="B109" s="2581"/>
      <c r="C109" s="2581"/>
      <c r="D109" s="2581"/>
      <c r="E109" s="2581"/>
      <c r="F109" s="2581"/>
      <c r="G109" s="2581"/>
      <c r="H109" s="2581"/>
      <c r="I109" s="2581"/>
      <c r="J109" s="2581"/>
      <c r="K109" s="2581"/>
      <c r="L109" s="2581"/>
      <c r="M109" s="2581"/>
      <c r="N109" s="2581"/>
      <c r="O109" s="2581"/>
      <c r="P109" s="2581"/>
      <c r="Q109" s="2581"/>
      <c r="R109" s="2581"/>
      <c r="S109" s="2582"/>
      <c r="U109" s="7"/>
    </row>
    <row r="110" spans="1:21" ht="16.5" thickBot="1">
      <c r="A110" s="2583" t="s">
        <v>140</v>
      </c>
      <c r="B110" s="2584"/>
      <c r="C110" s="2584"/>
      <c r="D110" s="2584"/>
      <c r="E110" s="2584"/>
      <c r="F110" s="2584"/>
      <c r="G110" s="2584"/>
      <c r="H110" s="2584"/>
      <c r="I110" s="2584"/>
      <c r="J110" s="2584"/>
      <c r="K110" s="2584"/>
      <c r="L110" s="2584"/>
      <c r="M110" s="2584"/>
      <c r="N110" s="2584"/>
      <c r="O110" s="2584"/>
      <c r="P110" s="2584"/>
      <c r="Q110" s="2584"/>
      <c r="R110" s="2584"/>
      <c r="S110" s="2585"/>
      <c r="U110" s="7"/>
    </row>
    <row r="111" spans="1:21" ht="16.5" thickBot="1">
      <c r="A111" s="47" t="s">
        <v>35</v>
      </c>
      <c r="B111" s="48">
        <f>J111</f>
        <v>500</v>
      </c>
      <c r="C111" s="48" t="s">
        <v>3</v>
      </c>
      <c r="D111" s="48">
        <f>K111</f>
        <v>360</v>
      </c>
      <c r="E111" s="48" t="s">
        <v>3</v>
      </c>
      <c r="F111" s="99">
        <f>L111</f>
        <v>600</v>
      </c>
      <c r="G111" s="48" t="s">
        <v>3</v>
      </c>
      <c r="H111" s="48">
        <v>8</v>
      </c>
      <c r="I111" s="49" t="s">
        <v>47</v>
      </c>
      <c r="J111" s="326">
        <v>500</v>
      </c>
      <c r="K111" s="327">
        <v>360</v>
      </c>
      <c r="L111" s="327">
        <v>600</v>
      </c>
      <c r="M111" s="301">
        <v>18.192932973344213</v>
      </c>
      <c r="N111" s="302">
        <v>722.81679302866928</v>
      </c>
      <c r="O111" s="303">
        <v>20471.590403484977</v>
      </c>
      <c r="P111" s="331">
        <v>24155.694606462868</v>
      </c>
      <c r="Q111" s="328">
        <v>9204.3678470371888</v>
      </c>
      <c r="R111" s="329">
        <v>29675.958250522166</v>
      </c>
      <c r="S111" s="330">
        <v>33360.062453500053</v>
      </c>
      <c r="U111" s="7" t="s">
        <v>4391</v>
      </c>
    </row>
    <row r="112" spans="1:21" ht="16.5" thickBot="1">
      <c r="A112" s="50" t="s">
        <v>35</v>
      </c>
      <c r="B112" s="51">
        <f t="shared" ref="B112:B159" si="6">J112</f>
        <v>500</v>
      </c>
      <c r="C112" s="51" t="s">
        <v>3</v>
      </c>
      <c r="D112" s="51">
        <f t="shared" ref="D112:D159" si="7">K112</f>
        <v>360</v>
      </c>
      <c r="E112" s="51" t="s">
        <v>3</v>
      </c>
      <c r="F112" s="99">
        <f t="shared" ref="F112:F159" si="8">L112</f>
        <v>650</v>
      </c>
      <c r="G112" s="51" t="s">
        <v>3</v>
      </c>
      <c r="H112" s="48">
        <v>8</v>
      </c>
      <c r="I112" s="49" t="s">
        <v>47</v>
      </c>
      <c r="J112" s="184">
        <v>500</v>
      </c>
      <c r="K112" s="75">
        <v>360</v>
      </c>
      <c r="L112" s="75">
        <v>650</v>
      </c>
      <c r="M112" s="202">
        <v>19.377641367706314</v>
      </c>
      <c r="N112" s="87">
        <v>867.38015163440309</v>
      </c>
      <c r="O112" s="123">
        <v>21704.29368509194</v>
      </c>
      <c r="P112" s="121">
        <v>25614.374763563104</v>
      </c>
      <c r="Q112" s="310">
        <v>9757.9649885401141</v>
      </c>
      <c r="R112" s="319">
        <v>31462.258673632052</v>
      </c>
      <c r="S112" s="315">
        <v>35372.339752103217</v>
      </c>
      <c r="U112" s="7" t="s">
        <v>4392</v>
      </c>
    </row>
    <row r="113" spans="1:21" ht="16.5" thickBot="1">
      <c r="A113" s="50" t="s">
        <v>35</v>
      </c>
      <c r="B113" s="51">
        <f t="shared" si="6"/>
        <v>500</v>
      </c>
      <c r="C113" s="51" t="s">
        <v>3</v>
      </c>
      <c r="D113" s="51">
        <f t="shared" si="7"/>
        <v>360</v>
      </c>
      <c r="E113" s="51" t="s">
        <v>3</v>
      </c>
      <c r="F113" s="99">
        <f t="shared" si="8"/>
        <v>700</v>
      </c>
      <c r="G113" s="51" t="s">
        <v>3</v>
      </c>
      <c r="H113" s="48">
        <v>8</v>
      </c>
      <c r="I113" s="49" t="s">
        <v>47</v>
      </c>
      <c r="J113" s="184">
        <v>500</v>
      </c>
      <c r="K113" s="75">
        <v>360</v>
      </c>
      <c r="L113" s="75">
        <v>700</v>
      </c>
      <c r="M113" s="202">
        <v>20.57938976206842</v>
      </c>
      <c r="N113" s="87">
        <v>1011.9435102401369</v>
      </c>
      <c r="O113" s="123">
        <v>22936.996966698905</v>
      </c>
      <c r="P113" s="121">
        <v>27073.054920663344</v>
      </c>
      <c r="Q113" s="310">
        <v>10542.143907826316</v>
      </c>
      <c r="R113" s="319">
        <v>33479.140874525219</v>
      </c>
      <c r="S113" s="315">
        <v>37615.198828489658</v>
      </c>
      <c r="U113" s="7" t="s">
        <v>4393</v>
      </c>
    </row>
    <row r="114" spans="1:21" ht="16.5" thickBot="1">
      <c r="A114" s="50" t="s">
        <v>35</v>
      </c>
      <c r="B114" s="51">
        <f t="shared" si="6"/>
        <v>500</v>
      </c>
      <c r="C114" s="51" t="s">
        <v>3</v>
      </c>
      <c r="D114" s="51">
        <f t="shared" si="7"/>
        <v>360</v>
      </c>
      <c r="E114" s="51" t="s">
        <v>3</v>
      </c>
      <c r="F114" s="99">
        <f t="shared" si="8"/>
        <v>750</v>
      </c>
      <c r="G114" s="51" t="s">
        <v>3</v>
      </c>
      <c r="H114" s="48">
        <v>8</v>
      </c>
      <c r="I114" s="49" t="s">
        <v>47</v>
      </c>
      <c r="J114" s="184">
        <v>500</v>
      </c>
      <c r="K114" s="75">
        <v>360</v>
      </c>
      <c r="L114" s="75">
        <v>750</v>
      </c>
      <c r="M114" s="202">
        <v>21.764098156430528</v>
      </c>
      <c r="N114" s="87">
        <v>1156.5068688458712</v>
      </c>
      <c r="O114" s="123">
        <v>24169.700248305864</v>
      </c>
      <c r="P114" s="121">
        <v>28531.735218156944</v>
      </c>
      <c r="Q114" s="310">
        <v>11095.741049329239</v>
      </c>
      <c r="R114" s="319">
        <v>35265.441297635101</v>
      </c>
      <c r="S114" s="315">
        <v>39627.476267486185</v>
      </c>
      <c r="U114" s="7" t="s">
        <v>4394</v>
      </c>
    </row>
    <row r="115" spans="1:21" ht="16.5" thickBot="1">
      <c r="A115" s="50" t="s">
        <v>35</v>
      </c>
      <c r="B115" s="51">
        <f t="shared" si="6"/>
        <v>500</v>
      </c>
      <c r="C115" s="51" t="s">
        <v>3</v>
      </c>
      <c r="D115" s="51">
        <f t="shared" si="7"/>
        <v>360</v>
      </c>
      <c r="E115" s="51" t="s">
        <v>3</v>
      </c>
      <c r="F115" s="99">
        <f t="shared" si="8"/>
        <v>800</v>
      </c>
      <c r="G115" s="51" t="s">
        <v>3</v>
      </c>
      <c r="H115" s="48">
        <v>8</v>
      </c>
      <c r="I115" s="49" t="s">
        <v>47</v>
      </c>
      <c r="J115" s="184">
        <v>500</v>
      </c>
      <c r="K115" s="75">
        <v>360</v>
      </c>
      <c r="L115" s="75">
        <v>800</v>
      </c>
      <c r="M115" s="202">
        <v>22.948806550792632</v>
      </c>
      <c r="N115" s="87">
        <v>1301.0702274516048</v>
      </c>
      <c r="O115" s="123">
        <v>25402.403529912834</v>
      </c>
      <c r="P115" s="121">
        <v>29990.415375257184</v>
      </c>
      <c r="Q115" s="310">
        <v>11649.338190832164</v>
      </c>
      <c r="R115" s="319">
        <v>37051.741720744998</v>
      </c>
      <c r="S115" s="315">
        <v>41639.753566089348</v>
      </c>
      <c r="U115" s="7" t="s">
        <v>4395</v>
      </c>
    </row>
    <row r="116" spans="1:21" ht="16.5" thickBot="1">
      <c r="A116" s="50" t="s">
        <v>35</v>
      </c>
      <c r="B116" s="51">
        <f t="shared" si="6"/>
        <v>500</v>
      </c>
      <c r="C116" s="51" t="s">
        <v>3</v>
      </c>
      <c r="D116" s="51">
        <f t="shared" si="7"/>
        <v>360</v>
      </c>
      <c r="E116" s="51" t="s">
        <v>3</v>
      </c>
      <c r="F116" s="99">
        <f t="shared" si="8"/>
        <v>850</v>
      </c>
      <c r="G116" s="51" t="s">
        <v>3</v>
      </c>
      <c r="H116" s="48">
        <v>8</v>
      </c>
      <c r="I116" s="49" t="s">
        <v>47</v>
      </c>
      <c r="J116" s="184">
        <v>500</v>
      </c>
      <c r="K116" s="75">
        <v>360</v>
      </c>
      <c r="L116" s="75">
        <v>850</v>
      </c>
      <c r="M116" s="202">
        <v>24.150554945154738</v>
      </c>
      <c r="N116" s="87">
        <v>1445.6335860573386</v>
      </c>
      <c r="O116" s="123">
        <v>26635.106811519796</v>
      </c>
      <c r="P116" s="121">
        <v>31449.09553235742</v>
      </c>
      <c r="Q116" s="310">
        <v>12433.517110118366</v>
      </c>
      <c r="R116" s="319">
        <v>39068.623921638165</v>
      </c>
      <c r="S116" s="315">
        <v>43882.612642475782</v>
      </c>
      <c r="U116" s="7" t="s">
        <v>4396</v>
      </c>
    </row>
    <row r="117" spans="1:21" ht="16.5" thickBot="1">
      <c r="A117" s="50" t="s">
        <v>35</v>
      </c>
      <c r="B117" s="51">
        <f t="shared" si="6"/>
        <v>500</v>
      </c>
      <c r="C117" s="51" t="s">
        <v>3</v>
      </c>
      <c r="D117" s="51">
        <f t="shared" si="7"/>
        <v>360</v>
      </c>
      <c r="E117" s="51" t="s">
        <v>3</v>
      </c>
      <c r="F117" s="99">
        <f t="shared" si="8"/>
        <v>900</v>
      </c>
      <c r="G117" s="51" t="s">
        <v>3</v>
      </c>
      <c r="H117" s="48">
        <v>8</v>
      </c>
      <c r="I117" s="49" t="s">
        <v>47</v>
      </c>
      <c r="J117" s="184">
        <v>500</v>
      </c>
      <c r="K117" s="75">
        <v>360</v>
      </c>
      <c r="L117" s="75">
        <v>900</v>
      </c>
      <c r="M117" s="202">
        <v>25.335263339516843</v>
      </c>
      <c r="N117" s="87">
        <v>1590.1969446630726</v>
      </c>
      <c r="O117" s="123">
        <v>27867.810093126758</v>
      </c>
      <c r="P117" s="121">
        <v>32907.77568945766</v>
      </c>
      <c r="Q117" s="310">
        <v>12987.114251621291</v>
      </c>
      <c r="R117" s="319">
        <v>40854.924344748048</v>
      </c>
      <c r="S117" s="315">
        <v>45894.889941078953</v>
      </c>
      <c r="U117" s="7" t="s">
        <v>4397</v>
      </c>
    </row>
    <row r="118" spans="1:21" ht="16.5" thickBot="1">
      <c r="A118" s="50" t="s">
        <v>35</v>
      </c>
      <c r="B118" s="51">
        <f t="shared" si="6"/>
        <v>500</v>
      </c>
      <c r="C118" s="51" t="s">
        <v>3</v>
      </c>
      <c r="D118" s="51">
        <f t="shared" si="7"/>
        <v>360</v>
      </c>
      <c r="E118" s="51" t="s">
        <v>3</v>
      </c>
      <c r="F118" s="99">
        <f t="shared" si="8"/>
        <v>950</v>
      </c>
      <c r="G118" s="51" t="s">
        <v>3</v>
      </c>
      <c r="H118" s="48">
        <v>8</v>
      </c>
      <c r="I118" s="49" t="s">
        <v>47</v>
      </c>
      <c r="J118" s="184">
        <v>500</v>
      </c>
      <c r="K118" s="75">
        <v>360</v>
      </c>
      <c r="L118" s="75">
        <v>950</v>
      </c>
      <c r="M118" s="202">
        <v>26.537011733878945</v>
      </c>
      <c r="N118" s="87">
        <v>1734.7603032688062</v>
      </c>
      <c r="O118" s="123">
        <v>29100.513515127084</v>
      </c>
      <c r="P118" s="121">
        <v>34366.455986951252</v>
      </c>
      <c r="Q118" s="310">
        <v>13771.293170907491</v>
      </c>
      <c r="R118" s="319">
        <v>42871.806686034572</v>
      </c>
      <c r="S118" s="315">
        <v>48137.749157858743</v>
      </c>
      <c r="U118" s="7" t="s">
        <v>4398</v>
      </c>
    </row>
    <row r="119" spans="1:21" ht="16.5" thickBot="1">
      <c r="A119" s="50" t="s">
        <v>35</v>
      </c>
      <c r="B119" s="51">
        <f t="shared" si="6"/>
        <v>500</v>
      </c>
      <c r="C119" s="51" t="s">
        <v>3</v>
      </c>
      <c r="D119" s="51">
        <f t="shared" si="7"/>
        <v>360</v>
      </c>
      <c r="E119" s="51" t="s">
        <v>3</v>
      </c>
      <c r="F119" s="99">
        <f t="shared" si="8"/>
        <v>1000</v>
      </c>
      <c r="G119" s="51" t="s">
        <v>3</v>
      </c>
      <c r="H119" s="48">
        <v>8</v>
      </c>
      <c r="I119" s="49" t="s">
        <v>47</v>
      </c>
      <c r="J119" s="184">
        <v>500</v>
      </c>
      <c r="K119" s="75">
        <v>360</v>
      </c>
      <c r="L119" s="75">
        <v>1000</v>
      </c>
      <c r="M119" s="202">
        <v>27.721720128241056</v>
      </c>
      <c r="N119" s="87">
        <v>1879.3236618745404</v>
      </c>
      <c r="O119" s="123">
        <v>30333.216796734047</v>
      </c>
      <c r="P119" s="121">
        <v>35825.136144051496</v>
      </c>
      <c r="Q119" s="310">
        <v>14324.890312410414</v>
      </c>
      <c r="R119" s="319">
        <v>44658.107109144461</v>
      </c>
      <c r="S119" s="315">
        <v>50150.026456461914</v>
      </c>
      <c r="U119" s="7" t="s">
        <v>4399</v>
      </c>
    </row>
    <row r="120" spans="1:21" ht="16.5" thickBot="1">
      <c r="A120" s="50" t="s">
        <v>35</v>
      </c>
      <c r="B120" s="51">
        <f t="shared" si="6"/>
        <v>500</v>
      </c>
      <c r="C120" s="51" t="s">
        <v>3</v>
      </c>
      <c r="D120" s="51">
        <f t="shared" si="7"/>
        <v>360</v>
      </c>
      <c r="E120" s="51" t="s">
        <v>3</v>
      </c>
      <c r="F120" s="99">
        <f t="shared" si="8"/>
        <v>1050</v>
      </c>
      <c r="G120" s="51" t="s">
        <v>3</v>
      </c>
      <c r="H120" s="48">
        <v>8</v>
      </c>
      <c r="I120" s="49" t="s">
        <v>47</v>
      </c>
      <c r="J120" s="184">
        <v>500</v>
      </c>
      <c r="K120" s="75">
        <v>360</v>
      </c>
      <c r="L120" s="75">
        <v>1050</v>
      </c>
      <c r="M120" s="202">
        <v>28.923468522603159</v>
      </c>
      <c r="N120" s="87">
        <v>2023.8870204802738</v>
      </c>
      <c r="O120" s="123">
        <v>31565.920078341009</v>
      </c>
      <c r="P120" s="121">
        <v>37283.816301151732</v>
      </c>
      <c r="Q120" s="310">
        <v>15109.069231696616</v>
      </c>
      <c r="R120" s="319">
        <v>46674.989310037621</v>
      </c>
      <c r="S120" s="315">
        <v>52392.885532848348</v>
      </c>
      <c r="U120" s="7" t="s">
        <v>4400</v>
      </c>
    </row>
    <row r="121" spans="1:21" ht="16.5" thickBot="1">
      <c r="A121" s="47" t="s">
        <v>35</v>
      </c>
      <c r="B121" s="48">
        <f t="shared" si="6"/>
        <v>500</v>
      </c>
      <c r="C121" s="48" t="s">
        <v>3</v>
      </c>
      <c r="D121" s="48">
        <f t="shared" si="7"/>
        <v>360</v>
      </c>
      <c r="E121" s="48" t="s">
        <v>3</v>
      </c>
      <c r="F121" s="99">
        <f t="shared" si="8"/>
        <v>1100</v>
      </c>
      <c r="G121" s="48" t="s">
        <v>3</v>
      </c>
      <c r="H121" s="48">
        <v>8</v>
      </c>
      <c r="I121" s="49" t="s">
        <v>47</v>
      </c>
      <c r="J121" s="184">
        <v>500</v>
      </c>
      <c r="K121" s="75">
        <v>360</v>
      </c>
      <c r="L121" s="75">
        <v>1100</v>
      </c>
      <c r="M121" s="202">
        <v>30.10817691696526</v>
      </c>
      <c r="N121" s="87">
        <v>2168.4503790860081</v>
      </c>
      <c r="O121" s="123">
        <v>32798.623359947967</v>
      </c>
      <c r="P121" s="121">
        <v>38742.496458251968</v>
      </c>
      <c r="Q121" s="310">
        <v>15662.66637319954</v>
      </c>
      <c r="R121" s="319">
        <v>48461.289733147511</v>
      </c>
      <c r="S121" s="315">
        <v>54405.162831451511</v>
      </c>
      <c r="U121" s="7" t="s">
        <v>4401</v>
      </c>
    </row>
    <row r="122" spans="1:21" ht="16.5" thickBot="1">
      <c r="A122" s="50" t="s">
        <v>35</v>
      </c>
      <c r="B122" s="51">
        <f t="shared" si="6"/>
        <v>500</v>
      </c>
      <c r="C122" s="51" t="s">
        <v>3</v>
      </c>
      <c r="D122" s="51">
        <f t="shared" si="7"/>
        <v>360</v>
      </c>
      <c r="E122" s="51" t="s">
        <v>3</v>
      </c>
      <c r="F122" s="99">
        <f t="shared" si="8"/>
        <v>1150</v>
      </c>
      <c r="G122" s="51" t="s">
        <v>3</v>
      </c>
      <c r="H122" s="48">
        <v>8</v>
      </c>
      <c r="I122" s="49" t="s">
        <v>47</v>
      </c>
      <c r="J122" s="184">
        <v>500</v>
      </c>
      <c r="K122" s="75">
        <v>360</v>
      </c>
      <c r="L122" s="75">
        <v>1150</v>
      </c>
      <c r="M122" s="202">
        <v>31.292885311327371</v>
      </c>
      <c r="N122" s="87">
        <v>2313.0137376917423</v>
      </c>
      <c r="O122" s="123">
        <v>34031.32664155493</v>
      </c>
      <c r="P122" s="121">
        <v>40201.176755745568</v>
      </c>
      <c r="Q122" s="310">
        <v>16216.263514702467</v>
      </c>
      <c r="R122" s="319">
        <v>50247.5901562574</v>
      </c>
      <c r="S122" s="315">
        <v>56417.440270448031</v>
      </c>
      <c r="U122" s="7" t="s">
        <v>4402</v>
      </c>
    </row>
    <row r="123" spans="1:21" ht="16.5" thickBot="1">
      <c r="A123" s="50" t="s">
        <v>35</v>
      </c>
      <c r="B123" s="51">
        <f t="shared" si="6"/>
        <v>500</v>
      </c>
      <c r="C123" s="51" t="s">
        <v>3</v>
      </c>
      <c r="D123" s="51">
        <f t="shared" si="7"/>
        <v>360</v>
      </c>
      <c r="E123" s="51" t="s">
        <v>3</v>
      </c>
      <c r="F123" s="99">
        <f t="shared" si="8"/>
        <v>1200</v>
      </c>
      <c r="G123" s="51" t="s">
        <v>3</v>
      </c>
      <c r="H123" s="48">
        <v>8</v>
      </c>
      <c r="I123" s="49" t="s">
        <v>47</v>
      </c>
      <c r="J123" s="184">
        <v>500</v>
      </c>
      <c r="K123" s="75">
        <v>360</v>
      </c>
      <c r="L123" s="75">
        <v>1200</v>
      </c>
      <c r="M123" s="202">
        <v>32.651633705689477</v>
      </c>
      <c r="N123" s="87">
        <v>2457.5770962974757</v>
      </c>
      <c r="O123" s="123">
        <v>35418.33879496617</v>
      </c>
      <c r="P123" s="121">
        <v>41815.107683719092</v>
      </c>
      <c r="Q123" s="310">
        <v>17000.442574382028</v>
      </c>
      <c r="R123" s="319">
        <v>52418.781369348202</v>
      </c>
      <c r="S123" s="315">
        <v>58815.550258101124</v>
      </c>
      <c r="U123" s="7" t="s">
        <v>4403</v>
      </c>
    </row>
    <row r="124" spans="1:21" ht="16.5" thickBot="1">
      <c r="A124" s="50" t="s">
        <v>35</v>
      </c>
      <c r="B124" s="51">
        <f t="shared" si="6"/>
        <v>500</v>
      </c>
      <c r="C124" s="51" t="s">
        <v>3</v>
      </c>
      <c r="D124" s="51">
        <f t="shared" si="7"/>
        <v>360</v>
      </c>
      <c r="E124" s="51" t="s">
        <v>3</v>
      </c>
      <c r="F124" s="99">
        <f t="shared" si="8"/>
        <v>1250</v>
      </c>
      <c r="G124" s="51" t="s">
        <v>3</v>
      </c>
      <c r="H124" s="48">
        <v>8</v>
      </c>
      <c r="I124" s="49" t="s">
        <v>47</v>
      </c>
      <c r="J124" s="184">
        <v>500</v>
      </c>
      <c r="K124" s="75">
        <v>360</v>
      </c>
      <c r="L124" s="75">
        <v>1250</v>
      </c>
      <c r="M124" s="202">
        <v>33.836342100051574</v>
      </c>
      <c r="N124" s="87">
        <v>2602.1404549032095</v>
      </c>
      <c r="O124" s="123">
        <v>36651.042076573132</v>
      </c>
      <c r="P124" s="121">
        <v>43273.787981212699</v>
      </c>
      <c r="Q124" s="310">
        <v>17554.039715884952</v>
      </c>
      <c r="R124" s="319">
        <v>54205.081792458084</v>
      </c>
      <c r="S124" s="315">
        <v>60827.827697097651</v>
      </c>
      <c r="U124" s="7" t="s">
        <v>4404</v>
      </c>
    </row>
    <row r="125" spans="1:21" ht="16.5" thickBot="1">
      <c r="A125" s="50" t="s">
        <v>35</v>
      </c>
      <c r="B125" s="51">
        <f t="shared" si="6"/>
        <v>500</v>
      </c>
      <c r="C125" s="51" t="s">
        <v>3</v>
      </c>
      <c r="D125" s="51">
        <f t="shared" si="7"/>
        <v>360</v>
      </c>
      <c r="E125" s="51" t="s">
        <v>3</v>
      </c>
      <c r="F125" s="99">
        <f t="shared" si="8"/>
        <v>1300</v>
      </c>
      <c r="G125" s="51" t="s">
        <v>3</v>
      </c>
      <c r="H125" s="48">
        <v>8</v>
      </c>
      <c r="I125" s="49" t="s">
        <v>47</v>
      </c>
      <c r="J125" s="184">
        <v>500</v>
      </c>
      <c r="K125" s="75">
        <v>360</v>
      </c>
      <c r="L125" s="75">
        <v>1300</v>
      </c>
      <c r="M125" s="202">
        <v>35.03809049441368</v>
      </c>
      <c r="N125" s="87">
        <v>2746.7038135089429</v>
      </c>
      <c r="O125" s="123">
        <v>37883.745358180095</v>
      </c>
      <c r="P125" s="121">
        <v>44732.468138312935</v>
      </c>
      <c r="Q125" s="310">
        <v>18338.218635171153</v>
      </c>
      <c r="R125" s="319">
        <v>56221.963993351252</v>
      </c>
      <c r="S125" s="315">
        <v>63070.686773484093</v>
      </c>
      <c r="U125" s="7" t="s">
        <v>4405</v>
      </c>
    </row>
    <row r="126" spans="1:21" ht="16.5" thickBot="1">
      <c r="A126" s="50" t="s">
        <v>35</v>
      </c>
      <c r="B126" s="51">
        <f t="shared" si="6"/>
        <v>500</v>
      </c>
      <c r="C126" s="51" t="s">
        <v>3</v>
      </c>
      <c r="D126" s="51">
        <f t="shared" si="7"/>
        <v>360</v>
      </c>
      <c r="E126" s="51" t="s">
        <v>3</v>
      </c>
      <c r="F126" s="99">
        <f t="shared" si="8"/>
        <v>1350</v>
      </c>
      <c r="G126" s="51" t="s">
        <v>3</v>
      </c>
      <c r="H126" s="48">
        <v>8</v>
      </c>
      <c r="I126" s="49" t="s">
        <v>47</v>
      </c>
      <c r="J126" s="184">
        <v>500</v>
      </c>
      <c r="K126" s="75">
        <v>360</v>
      </c>
      <c r="L126" s="75">
        <v>1350</v>
      </c>
      <c r="M126" s="202">
        <v>36.222798888775785</v>
      </c>
      <c r="N126" s="87">
        <v>2891.2671721146771</v>
      </c>
      <c r="O126" s="123">
        <v>39116.448639787057</v>
      </c>
      <c r="P126" s="121">
        <v>46191.148295413172</v>
      </c>
      <c r="Q126" s="310">
        <v>18891.815776674081</v>
      </c>
      <c r="R126" s="319">
        <v>58008.264416461141</v>
      </c>
      <c r="S126" s="315">
        <v>65082.964072087256</v>
      </c>
      <c r="U126" s="7" t="s">
        <v>4406</v>
      </c>
    </row>
    <row r="127" spans="1:21" ht="16.5" thickBot="1">
      <c r="A127" s="50" t="s">
        <v>35</v>
      </c>
      <c r="B127" s="51">
        <f t="shared" si="6"/>
        <v>500</v>
      </c>
      <c r="C127" s="51" t="s">
        <v>3</v>
      </c>
      <c r="D127" s="51">
        <f t="shared" si="7"/>
        <v>360</v>
      </c>
      <c r="E127" s="51" t="s">
        <v>3</v>
      </c>
      <c r="F127" s="99">
        <f t="shared" si="8"/>
        <v>1400</v>
      </c>
      <c r="G127" s="51" t="s">
        <v>3</v>
      </c>
      <c r="H127" s="48">
        <v>8</v>
      </c>
      <c r="I127" s="49" t="s">
        <v>47</v>
      </c>
      <c r="J127" s="184">
        <v>500</v>
      </c>
      <c r="K127" s="75">
        <v>360</v>
      </c>
      <c r="L127" s="75">
        <v>1400</v>
      </c>
      <c r="M127" s="202">
        <v>37.424547283137898</v>
      </c>
      <c r="N127" s="87">
        <v>3035.8305307204114</v>
      </c>
      <c r="O127" s="123">
        <v>40349.151921394019</v>
      </c>
      <c r="P127" s="121">
        <v>47649.828592906779</v>
      </c>
      <c r="Q127" s="310">
        <v>19675.994695960278</v>
      </c>
      <c r="R127" s="319">
        <v>60025.146617354301</v>
      </c>
      <c r="S127" s="315">
        <v>67325.823288867061</v>
      </c>
      <c r="U127" s="7" t="s">
        <v>4407</v>
      </c>
    </row>
    <row r="128" spans="1:21" ht="16.5" thickBot="1">
      <c r="A128" s="50" t="s">
        <v>35</v>
      </c>
      <c r="B128" s="51">
        <f t="shared" si="6"/>
        <v>500</v>
      </c>
      <c r="C128" s="51" t="s">
        <v>3</v>
      </c>
      <c r="D128" s="51">
        <f t="shared" si="7"/>
        <v>360</v>
      </c>
      <c r="E128" s="51" t="s">
        <v>3</v>
      </c>
      <c r="F128" s="99">
        <f t="shared" si="8"/>
        <v>1450</v>
      </c>
      <c r="G128" s="51" t="s">
        <v>3</v>
      </c>
      <c r="H128" s="48">
        <v>8</v>
      </c>
      <c r="I128" s="49" t="s">
        <v>47</v>
      </c>
      <c r="J128" s="184">
        <v>500</v>
      </c>
      <c r="K128" s="75">
        <v>360</v>
      </c>
      <c r="L128" s="75">
        <v>1450</v>
      </c>
      <c r="M128" s="202">
        <v>38.609255677500002</v>
      </c>
      <c r="N128" s="87">
        <v>3180.3938893261452</v>
      </c>
      <c r="O128" s="123">
        <v>41581.855203000981</v>
      </c>
      <c r="P128" s="121">
        <v>49108.508750007015</v>
      </c>
      <c r="Q128" s="310">
        <v>20229.591837463206</v>
      </c>
      <c r="R128" s="319">
        <v>61811.447040464191</v>
      </c>
      <c r="S128" s="315">
        <v>69338.100587470224</v>
      </c>
      <c r="U128" s="7" t="s">
        <v>4408</v>
      </c>
    </row>
    <row r="129" spans="1:21" ht="16.5" thickBot="1">
      <c r="A129" s="50" t="s">
        <v>35</v>
      </c>
      <c r="B129" s="51">
        <f t="shared" si="6"/>
        <v>500</v>
      </c>
      <c r="C129" s="51" t="s">
        <v>3</v>
      </c>
      <c r="D129" s="51">
        <f t="shared" si="7"/>
        <v>360</v>
      </c>
      <c r="E129" s="51" t="s">
        <v>3</v>
      </c>
      <c r="F129" s="99">
        <f t="shared" si="8"/>
        <v>1500</v>
      </c>
      <c r="G129" s="51" t="s">
        <v>3</v>
      </c>
      <c r="H129" s="48">
        <v>8</v>
      </c>
      <c r="I129" s="49" t="s">
        <v>47</v>
      </c>
      <c r="J129" s="184">
        <v>500</v>
      </c>
      <c r="K129" s="75">
        <v>360</v>
      </c>
      <c r="L129" s="75">
        <v>1500</v>
      </c>
      <c r="M129" s="202">
        <v>40.046625365822102</v>
      </c>
      <c r="N129" s="87">
        <v>3324.957247931879</v>
      </c>
      <c r="O129" s="123">
        <v>43567.027878253175</v>
      </c>
      <c r="P129" s="121">
        <v>51305.822534878105</v>
      </c>
      <c r="Q129" s="310">
        <v>21013.770756749404</v>
      </c>
      <c r="R129" s="319">
        <v>64580.798635002575</v>
      </c>
      <c r="S129" s="315">
        <v>72319.593291627505</v>
      </c>
      <c r="U129" s="7" t="s">
        <v>4409</v>
      </c>
    </row>
    <row r="130" spans="1:21" ht="16.5" thickBot="1">
      <c r="A130" s="50" t="s">
        <v>35</v>
      </c>
      <c r="B130" s="51">
        <f t="shared" si="6"/>
        <v>500</v>
      </c>
      <c r="C130" s="51" t="s">
        <v>3</v>
      </c>
      <c r="D130" s="51">
        <f t="shared" si="7"/>
        <v>360</v>
      </c>
      <c r="E130" s="51" t="s">
        <v>3</v>
      </c>
      <c r="F130" s="99">
        <f t="shared" si="8"/>
        <v>1550</v>
      </c>
      <c r="G130" s="51" t="s">
        <v>3</v>
      </c>
      <c r="H130" s="48">
        <v>8</v>
      </c>
      <c r="I130" s="49" t="s">
        <v>47</v>
      </c>
      <c r="J130" s="184">
        <v>500</v>
      </c>
      <c r="K130" s="75">
        <v>360</v>
      </c>
      <c r="L130" s="75">
        <v>1550</v>
      </c>
      <c r="M130" s="202">
        <v>41.231333760184214</v>
      </c>
      <c r="N130" s="87">
        <v>3469.5206065376124</v>
      </c>
      <c r="O130" s="123">
        <v>44799.731159860137</v>
      </c>
      <c r="P130" s="121">
        <v>52764.502691978341</v>
      </c>
      <c r="Q130" s="310">
        <v>21567.367898252327</v>
      </c>
      <c r="R130" s="319">
        <v>66367.099058112464</v>
      </c>
      <c r="S130" s="315">
        <v>74331.870590230668</v>
      </c>
      <c r="U130" s="7" t="s">
        <v>4410</v>
      </c>
    </row>
    <row r="131" spans="1:21" ht="16.5" thickBot="1">
      <c r="A131" s="47" t="s">
        <v>35</v>
      </c>
      <c r="B131" s="48">
        <f t="shared" si="6"/>
        <v>500</v>
      </c>
      <c r="C131" s="48" t="s">
        <v>3</v>
      </c>
      <c r="D131" s="48">
        <f t="shared" si="7"/>
        <v>360</v>
      </c>
      <c r="E131" s="48" t="s">
        <v>3</v>
      </c>
      <c r="F131" s="99">
        <f t="shared" si="8"/>
        <v>1600</v>
      </c>
      <c r="G131" s="48" t="s">
        <v>3</v>
      </c>
      <c r="H131" s="48">
        <v>8</v>
      </c>
      <c r="I131" s="49" t="s">
        <v>47</v>
      </c>
      <c r="J131" s="184">
        <v>500</v>
      </c>
      <c r="K131" s="75">
        <v>360</v>
      </c>
      <c r="L131" s="75">
        <v>1600</v>
      </c>
      <c r="M131" s="202">
        <v>42.416042154546318</v>
      </c>
      <c r="N131" s="87">
        <v>3614.0839651433466</v>
      </c>
      <c r="O131" s="123">
        <v>46032.4344414671</v>
      </c>
      <c r="P131" s="121">
        <v>54223.182849078577</v>
      </c>
      <c r="Q131" s="310">
        <v>22120.965039755254</v>
      </c>
      <c r="R131" s="319">
        <v>68153.399481222354</v>
      </c>
      <c r="S131" s="315">
        <v>76344.147888833832</v>
      </c>
      <c r="U131" s="7" t="s">
        <v>4411</v>
      </c>
    </row>
    <row r="132" spans="1:21" ht="16.5" thickBot="1">
      <c r="A132" s="50" t="s">
        <v>35</v>
      </c>
      <c r="B132" s="51">
        <f t="shared" si="6"/>
        <v>500</v>
      </c>
      <c r="C132" s="51" t="s">
        <v>3</v>
      </c>
      <c r="D132" s="51">
        <f t="shared" si="7"/>
        <v>360</v>
      </c>
      <c r="E132" s="51" t="s">
        <v>3</v>
      </c>
      <c r="F132" s="99">
        <f t="shared" si="8"/>
        <v>1650</v>
      </c>
      <c r="G132" s="51" t="s">
        <v>3</v>
      </c>
      <c r="H132" s="48">
        <v>8</v>
      </c>
      <c r="I132" s="49" t="s">
        <v>47</v>
      </c>
      <c r="J132" s="184">
        <v>500</v>
      </c>
      <c r="K132" s="75">
        <v>360</v>
      </c>
      <c r="L132" s="75">
        <v>1650</v>
      </c>
      <c r="M132" s="202">
        <v>43.617790548908417</v>
      </c>
      <c r="N132" s="87">
        <v>3758.6473237490809</v>
      </c>
      <c r="O132" s="123">
        <v>47265.137723074055</v>
      </c>
      <c r="P132" s="121">
        <v>55681.863006178814</v>
      </c>
      <c r="Q132" s="310">
        <v>22905.143959041456</v>
      </c>
      <c r="R132" s="319">
        <v>70170.281682115514</v>
      </c>
      <c r="S132" s="315">
        <v>78587.006965220266</v>
      </c>
      <c r="U132" s="7" t="s">
        <v>4412</v>
      </c>
    </row>
    <row r="133" spans="1:21" ht="16.5" thickBot="1">
      <c r="A133" s="50" t="s">
        <v>35</v>
      </c>
      <c r="B133" s="51">
        <f t="shared" si="6"/>
        <v>500</v>
      </c>
      <c r="C133" s="51" t="s">
        <v>3</v>
      </c>
      <c r="D133" s="51">
        <f t="shared" si="7"/>
        <v>360</v>
      </c>
      <c r="E133" s="51" t="s">
        <v>3</v>
      </c>
      <c r="F133" s="99">
        <f t="shared" si="8"/>
        <v>1700</v>
      </c>
      <c r="G133" s="51" t="s">
        <v>3</v>
      </c>
      <c r="H133" s="48">
        <v>8</v>
      </c>
      <c r="I133" s="49" t="s">
        <v>47</v>
      </c>
      <c r="J133" s="184">
        <v>500</v>
      </c>
      <c r="K133" s="75">
        <v>360</v>
      </c>
      <c r="L133" s="75">
        <v>1700</v>
      </c>
      <c r="M133" s="202">
        <v>44.802498943270528</v>
      </c>
      <c r="N133" s="87">
        <v>3903.2106823548143</v>
      </c>
      <c r="O133" s="123">
        <v>48497.841145074381</v>
      </c>
      <c r="P133" s="121">
        <v>57140.543303672413</v>
      </c>
      <c r="Q133" s="310">
        <v>23458.741100544379</v>
      </c>
      <c r="R133" s="319">
        <v>71956.58224561876</v>
      </c>
      <c r="S133" s="315">
        <v>80599.2844042168</v>
      </c>
      <c r="U133" s="7" t="s">
        <v>4413</v>
      </c>
    </row>
    <row r="134" spans="1:21" ht="16.5" thickBot="1">
      <c r="A134" s="50" t="s">
        <v>35</v>
      </c>
      <c r="B134" s="51">
        <f t="shared" si="6"/>
        <v>500</v>
      </c>
      <c r="C134" s="51" t="s">
        <v>3</v>
      </c>
      <c r="D134" s="51">
        <f t="shared" si="7"/>
        <v>360</v>
      </c>
      <c r="E134" s="51" t="s">
        <v>3</v>
      </c>
      <c r="F134" s="99">
        <f t="shared" si="8"/>
        <v>1750</v>
      </c>
      <c r="G134" s="51" t="s">
        <v>3</v>
      </c>
      <c r="H134" s="48">
        <v>8</v>
      </c>
      <c r="I134" s="49" t="s">
        <v>47</v>
      </c>
      <c r="J134" s="184">
        <v>500</v>
      </c>
      <c r="K134" s="75">
        <v>360</v>
      </c>
      <c r="L134" s="75">
        <v>1750</v>
      </c>
      <c r="M134" s="202">
        <v>46.00424733763262</v>
      </c>
      <c r="N134" s="87">
        <v>4047.7740409605476</v>
      </c>
      <c r="O134" s="123">
        <v>49730.54442668135</v>
      </c>
      <c r="P134" s="121">
        <v>58599.22346077265</v>
      </c>
      <c r="Q134" s="310">
        <v>24242.920019830581</v>
      </c>
      <c r="R134" s="319">
        <v>73973.464446511935</v>
      </c>
      <c r="S134" s="315">
        <v>82842.143480603234</v>
      </c>
      <c r="U134" s="7" t="s">
        <v>4414</v>
      </c>
    </row>
    <row r="135" spans="1:21" ht="16.5" thickBot="1">
      <c r="A135" s="50" t="s">
        <v>35</v>
      </c>
      <c r="B135" s="51">
        <f t="shared" si="6"/>
        <v>500</v>
      </c>
      <c r="C135" s="51" t="s">
        <v>3</v>
      </c>
      <c r="D135" s="51">
        <f t="shared" si="7"/>
        <v>360</v>
      </c>
      <c r="E135" s="51" t="s">
        <v>3</v>
      </c>
      <c r="F135" s="99">
        <f t="shared" si="8"/>
        <v>1800</v>
      </c>
      <c r="G135" s="51" t="s">
        <v>3</v>
      </c>
      <c r="H135" s="48">
        <v>8</v>
      </c>
      <c r="I135" s="49" t="s">
        <v>47</v>
      </c>
      <c r="J135" s="184">
        <v>500</v>
      </c>
      <c r="K135" s="75">
        <v>360</v>
      </c>
      <c r="L135" s="75">
        <v>1800</v>
      </c>
      <c r="M135" s="202">
        <v>47.188955731994739</v>
      </c>
      <c r="N135" s="87">
        <v>4192.3373995662823</v>
      </c>
      <c r="O135" s="123">
        <v>50963.247708288305</v>
      </c>
      <c r="P135" s="121">
        <v>60057.903617872886</v>
      </c>
      <c r="Q135" s="310">
        <v>24796.517161333504</v>
      </c>
      <c r="R135" s="319">
        <v>75759.764869621809</v>
      </c>
      <c r="S135" s="315">
        <v>84854.420779206383</v>
      </c>
      <c r="U135" s="7" t="s">
        <v>4415</v>
      </c>
    </row>
    <row r="136" spans="1:21" ht="16.5" thickBot="1">
      <c r="A136" s="50" t="s">
        <v>35</v>
      </c>
      <c r="B136" s="51">
        <f t="shared" si="6"/>
        <v>500</v>
      </c>
      <c r="C136" s="51" t="s">
        <v>3</v>
      </c>
      <c r="D136" s="51">
        <f t="shared" si="7"/>
        <v>360</v>
      </c>
      <c r="E136" s="51" t="s">
        <v>3</v>
      </c>
      <c r="F136" s="99">
        <f t="shared" si="8"/>
        <v>1850</v>
      </c>
      <c r="G136" s="51" t="s">
        <v>3</v>
      </c>
      <c r="H136" s="48">
        <v>8</v>
      </c>
      <c r="I136" s="49" t="s">
        <v>47</v>
      </c>
      <c r="J136" s="184">
        <v>500</v>
      </c>
      <c r="K136" s="75">
        <v>360</v>
      </c>
      <c r="L136" s="75">
        <v>1850</v>
      </c>
      <c r="M136" s="202">
        <v>48.390704126356844</v>
      </c>
      <c r="N136" s="87">
        <v>4336.9007581720161</v>
      </c>
      <c r="O136" s="123">
        <v>52195.950989895275</v>
      </c>
      <c r="P136" s="121">
        <v>61516.583774973129</v>
      </c>
      <c r="Q136" s="310">
        <v>25580.69622101307</v>
      </c>
      <c r="R136" s="319">
        <v>77776.647210908341</v>
      </c>
      <c r="S136" s="315">
        <v>87097.279995986202</v>
      </c>
      <c r="U136" s="7" t="s">
        <v>4416</v>
      </c>
    </row>
    <row r="137" spans="1:21" ht="16.5" thickBot="1">
      <c r="A137" s="50" t="s">
        <v>35</v>
      </c>
      <c r="B137" s="51">
        <f t="shared" si="6"/>
        <v>500</v>
      </c>
      <c r="C137" s="51" t="s">
        <v>3</v>
      </c>
      <c r="D137" s="51">
        <f t="shared" si="7"/>
        <v>360</v>
      </c>
      <c r="E137" s="51" t="s">
        <v>3</v>
      </c>
      <c r="F137" s="99">
        <f t="shared" si="8"/>
        <v>1900</v>
      </c>
      <c r="G137" s="51" t="s">
        <v>3</v>
      </c>
      <c r="H137" s="48">
        <v>8</v>
      </c>
      <c r="I137" s="49" t="s">
        <v>47</v>
      </c>
      <c r="J137" s="184">
        <v>500</v>
      </c>
      <c r="K137" s="75">
        <v>360</v>
      </c>
      <c r="L137" s="75">
        <v>1900</v>
      </c>
      <c r="M137" s="202">
        <v>49.575412520718942</v>
      </c>
      <c r="N137" s="87">
        <v>4481.46411677775</v>
      </c>
      <c r="O137" s="123">
        <v>53428.654271502237</v>
      </c>
      <c r="P137" s="121">
        <v>62975.264072466722</v>
      </c>
      <c r="Q137" s="310">
        <v>26134.293362515993</v>
      </c>
      <c r="R137" s="319">
        <v>79562.94763401823</v>
      </c>
      <c r="S137" s="315">
        <v>89109.557434982707</v>
      </c>
      <c r="U137" s="7" t="s">
        <v>4417</v>
      </c>
    </row>
    <row r="138" spans="1:21" ht="16.5" thickBot="1">
      <c r="A138" s="50" t="s">
        <v>35</v>
      </c>
      <c r="B138" s="51">
        <f t="shared" si="6"/>
        <v>500</v>
      </c>
      <c r="C138" s="51" t="s">
        <v>3</v>
      </c>
      <c r="D138" s="51">
        <f t="shared" si="7"/>
        <v>360</v>
      </c>
      <c r="E138" s="51" t="s">
        <v>3</v>
      </c>
      <c r="F138" s="99">
        <f t="shared" si="8"/>
        <v>1950</v>
      </c>
      <c r="G138" s="51" t="s">
        <v>3</v>
      </c>
      <c r="H138" s="48">
        <v>8</v>
      </c>
      <c r="I138" s="49" t="s">
        <v>47</v>
      </c>
      <c r="J138" s="184">
        <v>500</v>
      </c>
      <c r="K138" s="75">
        <v>360</v>
      </c>
      <c r="L138" s="75">
        <v>1950</v>
      </c>
      <c r="M138" s="202">
        <v>50.917120915081057</v>
      </c>
      <c r="N138" s="87">
        <v>4626.0274753834847</v>
      </c>
      <c r="O138" s="123">
        <v>54815.666424913477</v>
      </c>
      <c r="P138" s="121">
        <v>64589.195000440246</v>
      </c>
      <c r="Q138" s="310">
        <v>26687.890504018917</v>
      </c>
      <c r="R138" s="319">
        <v>81503.55692893239</v>
      </c>
      <c r="S138" s="315">
        <v>91277.085504459159</v>
      </c>
      <c r="U138" s="7" t="s">
        <v>4418</v>
      </c>
    </row>
    <row r="139" spans="1:21" ht="16.5" thickBot="1">
      <c r="A139" s="50" t="s">
        <v>35</v>
      </c>
      <c r="B139" s="51">
        <f t="shared" si="6"/>
        <v>500</v>
      </c>
      <c r="C139" s="51" t="s">
        <v>3</v>
      </c>
      <c r="D139" s="51">
        <f t="shared" si="7"/>
        <v>360</v>
      </c>
      <c r="E139" s="51" t="s">
        <v>3</v>
      </c>
      <c r="F139" s="99">
        <f t="shared" si="8"/>
        <v>2000</v>
      </c>
      <c r="G139" s="51" t="s">
        <v>3</v>
      </c>
      <c r="H139" s="48">
        <v>8</v>
      </c>
      <c r="I139" s="49" t="s">
        <v>47</v>
      </c>
      <c r="J139" s="184">
        <v>500</v>
      </c>
      <c r="K139" s="75">
        <v>360</v>
      </c>
      <c r="L139" s="75">
        <v>2000</v>
      </c>
      <c r="M139" s="202">
        <v>52.210431709443156</v>
      </c>
      <c r="N139" s="87">
        <v>4770.5908339892167</v>
      </c>
      <c r="O139" s="123">
        <v>56278.912735735663</v>
      </c>
      <c r="P139" s="121">
        <v>66360.556025453145</v>
      </c>
      <c r="Q139" s="310">
        <v>27472.069423305118</v>
      </c>
      <c r="R139" s="319">
        <v>83750.982159040781</v>
      </c>
      <c r="S139" s="315">
        <v>93832.625448758263</v>
      </c>
      <c r="U139" s="7" t="s">
        <v>4419</v>
      </c>
    </row>
    <row r="140" spans="1:21" ht="16.5" thickBot="1">
      <c r="A140" s="50" t="s">
        <v>35</v>
      </c>
      <c r="B140" s="51">
        <f t="shared" si="6"/>
        <v>500</v>
      </c>
      <c r="C140" s="51" t="s">
        <v>3</v>
      </c>
      <c r="D140" s="51">
        <f t="shared" si="7"/>
        <v>360</v>
      </c>
      <c r="E140" s="51" t="s">
        <v>3</v>
      </c>
      <c r="F140" s="99">
        <f t="shared" si="8"/>
        <v>2050</v>
      </c>
      <c r="G140" s="51" t="s">
        <v>3</v>
      </c>
      <c r="H140" s="48">
        <v>8</v>
      </c>
      <c r="I140" s="49" t="s">
        <v>47</v>
      </c>
      <c r="J140" s="184">
        <v>500</v>
      </c>
      <c r="K140" s="75">
        <v>360</v>
      </c>
      <c r="L140" s="75">
        <v>2050</v>
      </c>
      <c r="M140" s="202">
        <v>53.395140103805268</v>
      </c>
      <c r="N140" s="87">
        <v>4915.1541925949514</v>
      </c>
      <c r="O140" s="123">
        <v>57511.616017342625</v>
      </c>
      <c r="P140" s="121">
        <v>67819.236182553388</v>
      </c>
      <c r="Q140" s="310">
        <v>28025.666564808042</v>
      </c>
      <c r="R140" s="319">
        <v>85537.28258215067</v>
      </c>
      <c r="S140" s="315">
        <v>95844.902747361426</v>
      </c>
      <c r="U140" s="7" t="s">
        <v>4420</v>
      </c>
    </row>
    <row r="141" spans="1:21" ht="16.5" thickBot="1">
      <c r="A141" s="47" t="s">
        <v>35</v>
      </c>
      <c r="B141" s="48">
        <f t="shared" si="6"/>
        <v>500</v>
      </c>
      <c r="C141" s="48" t="s">
        <v>3</v>
      </c>
      <c r="D141" s="48">
        <f t="shared" si="7"/>
        <v>360</v>
      </c>
      <c r="E141" s="48" t="s">
        <v>3</v>
      </c>
      <c r="F141" s="99">
        <f t="shared" si="8"/>
        <v>2100</v>
      </c>
      <c r="G141" s="48" t="s">
        <v>3</v>
      </c>
      <c r="H141" s="48">
        <v>8</v>
      </c>
      <c r="I141" s="49" t="s">
        <v>47</v>
      </c>
      <c r="J141" s="184">
        <v>500</v>
      </c>
      <c r="K141" s="75">
        <v>360</v>
      </c>
      <c r="L141" s="75">
        <v>2100</v>
      </c>
      <c r="M141" s="202">
        <v>54.59688849816736</v>
      </c>
      <c r="N141" s="87">
        <v>5059.7175512006861</v>
      </c>
      <c r="O141" s="123">
        <v>58744.31929894958</v>
      </c>
      <c r="P141" s="121">
        <v>69277.916339653631</v>
      </c>
      <c r="Q141" s="310">
        <v>28809.845484094247</v>
      </c>
      <c r="R141" s="319">
        <v>87554.164783043831</v>
      </c>
      <c r="S141" s="315">
        <v>98087.761823747875</v>
      </c>
      <c r="U141" s="7" t="s">
        <v>4421</v>
      </c>
    </row>
    <row r="142" spans="1:21" ht="16.5" thickBot="1">
      <c r="A142" s="50" t="s">
        <v>35</v>
      </c>
      <c r="B142" s="51">
        <f t="shared" si="6"/>
        <v>500</v>
      </c>
      <c r="C142" s="51" t="s">
        <v>3</v>
      </c>
      <c r="D142" s="51">
        <f t="shared" si="7"/>
        <v>360</v>
      </c>
      <c r="E142" s="51" t="s">
        <v>3</v>
      </c>
      <c r="F142" s="99">
        <f t="shared" si="8"/>
        <v>2150</v>
      </c>
      <c r="G142" s="51" t="s">
        <v>3</v>
      </c>
      <c r="H142" s="48">
        <v>8</v>
      </c>
      <c r="I142" s="49" t="s">
        <v>47</v>
      </c>
      <c r="J142" s="184">
        <v>500</v>
      </c>
      <c r="K142" s="75">
        <v>360</v>
      </c>
      <c r="L142" s="75">
        <v>2150</v>
      </c>
      <c r="M142" s="202">
        <v>55.781596892529471</v>
      </c>
      <c r="N142" s="87">
        <v>5204.280909806419</v>
      </c>
      <c r="O142" s="123">
        <v>59977.02258055655</v>
      </c>
      <c r="P142" s="121">
        <v>70736.596637147217</v>
      </c>
      <c r="Q142" s="310">
        <v>29363.442625597167</v>
      </c>
      <c r="R142" s="319">
        <v>89340.46520615372</v>
      </c>
      <c r="S142" s="315">
        <v>100100.03926274438</v>
      </c>
      <c r="U142" s="7" t="s">
        <v>4422</v>
      </c>
    </row>
    <row r="143" spans="1:21" ht="16.5" thickBot="1">
      <c r="A143" s="50" t="s">
        <v>35</v>
      </c>
      <c r="B143" s="51">
        <f t="shared" si="6"/>
        <v>500</v>
      </c>
      <c r="C143" s="51" t="s">
        <v>3</v>
      </c>
      <c r="D143" s="51">
        <f t="shared" si="7"/>
        <v>360</v>
      </c>
      <c r="E143" s="51" t="s">
        <v>3</v>
      </c>
      <c r="F143" s="99">
        <f t="shared" si="8"/>
        <v>2200</v>
      </c>
      <c r="G143" s="51" t="s">
        <v>3</v>
      </c>
      <c r="H143" s="48">
        <v>8</v>
      </c>
      <c r="I143" s="49" t="s">
        <v>47</v>
      </c>
      <c r="J143" s="184">
        <v>500</v>
      </c>
      <c r="K143" s="75">
        <v>360</v>
      </c>
      <c r="L143" s="75">
        <v>2200</v>
      </c>
      <c r="M143" s="202">
        <v>56.983345286891577</v>
      </c>
      <c r="N143" s="87">
        <v>5348.8442684121537</v>
      </c>
      <c r="O143" s="123">
        <v>61209.725862163519</v>
      </c>
      <c r="P143" s="121">
        <v>72195.27679424746</v>
      </c>
      <c r="Q143" s="310">
        <v>30147.621544883372</v>
      </c>
      <c r="R143" s="319">
        <v>91357.347407046895</v>
      </c>
      <c r="S143" s="315">
        <v>102342.89833913083</v>
      </c>
      <c r="U143" s="7" t="s">
        <v>4423</v>
      </c>
    </row>
    <row r="144" spans="1:21" ht="16.5" thickBot="1">
      <c r="A144" s="50" t="s">
        <v>35</v>
      </c>
      <c r="B144" s="51">
        <f t="shared" si="6"/>
        <v>500</v>
      </c>
      <c r="C144" s="51" t="s">
        <v>3</v>
      </c>
      <c r="D144" s="51">
        <f t="shared" si="7"/>
        <v>360</v>
      </c>
      <c r="E144" s="51" t="s">
        <v>3</v>
      </c>
      <c r="F144" s="99">
        <f t="shared" si="8"/>
        <v>2250</v>
      </c>
      <c r="G144" s="51" t="s">
        <v>3</v>
      </c>
      <c r="H144" s="48">
        <v>8</v>
      </c>
      <c r="I144" s="49" t="s">
        <v>47</v>
      </c>
      <c r="J144" s="184">
        <v>500</v>
      </c>
      <c r="K144" s="75">
        <v>360</v>
      </c>
      <c r="L144" s="75">
        <v>2250</v>
      </c>
      <c r="M144" s="202">
        <v>58.168053681253681</v>
      </c>
      <c r="N144" s="87">
        <v>5493.4076270178857</v>
      </c>
      <c r="O144" s="123">
        <v>62442.429143770474</v>
      </c>
      <c r="P144" s="121">
        <v>73653.956951347704</v>
      </c>
      <c r="Q144" s="310">
        <v>30701.218686386295</v>
      </c>
      <c r="R144" s="319">
        <v>93143.647830156769</v>
      </c>
      <c r="S144" s="315">
        <v>104355.17563773401</v>
      </c>
      <c r="U144" s="7" t="s">
        <v>4424</v>
      </c>
    </row>
    <row r="145" spans="1:21" ht="16.5" thickBot="1">
      <c r="A145" s="50" t="s">
        <v>35</v>
      </c>
      <c r="B145" s="51">
        <f t="shared" si="6"/>
        <v>500</v>
      </c>
      <c r="C145" s="51" t="s">
        <v>3</v>
      </c>
      <c r="D145" s="51">
        <f t="shared" si="7"/>
        <v>360</v>
      </c>
      <c r="E145" s="51" t="s">
        <v>3</v>
      </c>
      <c r="F145" s="99">
        <f t="shared" si="8"/>
        <v>2300</v>
      </c>
      <c r="G145" s="51" t="s">
        <v>3</v>
      </c>
      <c r="H145" s="48">
        <v>8</v>
      </c>
      <c r="I145" s="49" t="s">
        <v>47</v>
      </c>
      <c r="J145" s="184">
        <v>500</v>
      </c>
      <c r="K145" s="75">
        <v>360</v>
      </c>
      <c r="L145" s="75">
        <v>2300</v>
      </c>
      <c r="M145" s="202">
        <v>59.352762075615793</v>
      </c>
      <c r="N145" s="87">
        <v>5637.9709856236204</v>
      </c>
      <c r="O145" s="123">
        <v>63675.132425377444</v>
      </c>
      <c r="P145" s="121">
        <v>75112.637248841304</v>
      </c>
      <c r="Q145" s="310">
        <v>31254.815827889219</v>
      </c>
      <c r="R145" s="319">
        <v>94929.948253266659</v>
      </c>
      <c r="S145" s="315">
        <v>106367.45307673053</v>
      </c>
      <c r="U145" s="7" t="s">
        <v>4425</v>
      </c>
    </row>
    <row r="146" spans="1:21" ht="16.5" thickBot="1">
      <c r="A146" s="50" t="s">
        <v>35</v>
      </c>
      <c r="B146" s="51">
        <f t="shared" si="6"/>
        <v>500</v>
      </c>
      <c r="C146" s="51" t="s">
        <v>3</v>
      </c>
      <c r="D146" s="51">
        <f t="shared" si="7"/>
        <v>360</v>
      </c>
      <c r="E146" s="51" t="s">
        <v>3</v>
      </c>
      <c r="F146" s="99">
        <f t="shared" si="8"/>
        <v>2350</v>
      </c>
      <c r="G146" s="51" t="s">
        <v>3</v>
      </c>
      <c r="H146" s="48">
        <v>8</v>
      </c>
      <c r="I146" s="49" t="s">
        <v>47</v>
      </c>
      <c r="J146" s="184">
        <v>500</v>
      </c>
      <c r="K146" s="75">
        <v>360</v>
      </c>
      <c r="L146" s="75">
        <v>2350</v>
      </c>
      <c r="M146" s="202">
        <v>60.554510469977892</v>
      </c>
      <c r="N146" s="87">
        <v>5782.5343442293542</v>
      </c>
      <c r="O146" s="123">
        <v>64907.83584737777</v>
      </c>
      <c r="P146" s="121">
        <v>76571.317405941547</v>
      </c>
      <c r="Q146" s="310">
        <v>32038.99474717542</v>
      </c>
      <c r="R146" s="319">
        <v>96946.83059455319</v>
      </c>
      <c r="S146" s="315">
        <v>108610.31215311697</v>
      </c>
      <c r="U146" s="7" t="s">
        <v>4426</v>
      </c>
    </row>
    <row r="147" spans="1:21" ht="16.5" thickBot="1">
      <c r="A147" s="50" t="s">
        <v>35</v>
      </c>
      <c r="B147" s="51">
        <f t="shared" si="6"/>
        <v>500</v>
      </c>
      <c r="C147" s="51" t="s">
        <v>3</v>
      </c>
      <c r="D147" s="51">
        <f t="shared" si="7"/>
        <v>360</v>
      </c>
      <c r="E147" s="51" t="s">
        <v>3</v>
      </c>
      <c r="F147" s="99">
        <f t="shared" si="8"/>
        <v>2400</v>
      </c>
      <c r="G147" s="51" t="s">
        <v>3</v>
      </c>
      <c r="H147" s="48">
        <v>8</v>
      </c>
      <c r="I147" s="49" t="s">
        <v>47</v>
      </c>
      <c r="J147" s="184">
        <v>500</v>
      </c>
      <c r="K147" s="75">
        <v>360</v>
      </c>
      <c r="L147" s="75">
        <v>2400</v>
      </c>
      <c r="M147" s="202">
        <v>61.739218864339996</v>
      </c>
      <c r="N147" s="87">
        <v>5927.097702835089</v>
      </c>
      <c r="O147" s="123">
        <v>66140.539128984732</v>
      </c>
      <c r="P147" s="121">
        <v>78029.997563041776</v>
      </c>
      <c r="Q147" s="310">
        <v>32592.591888678344</v>
      </c>
      <c r="R147" s="319">
        <v>98733.13101766308</v>
      </c>
      <c r="S147" s="315">
        <v>110622.58945172012</v>
      </c>
      <c r="U147" s="7" t="s">
        <v>4427</v>
      </c>
    </row>
    <row r="148" spans="1:21" ht="16.5" thickBot="1">
      <c r="A148" s="50" t="s">
        <v>35</v>
      </c>
      <c r="B148" s="51">
        <f t="shared" si="6"/>
        <v>500</v>
      </c>
      <c r="C148" s="51" t="s">
        <v>3</v>
      </c>
      <c r="D148" s="51">
        <f t="shared" si="7"/>
        <v>360</v>
      </c>
      <c r="E148" s="51" t="s">
        <v>3</v>
      </c>
      <c r="F148" s="99">
        <f t="shared" si="8"/>
        <v>2450</v>
      </c>
      <c r="G148" s="51" t="s">
        <v>3</v>
      </c>
      <c r="H148" s="48">
        <v>8</v>
      </c>
      <c r="I148" s="49" t="s">
        <v>47</v>
      </c>
      <c r="J148" s="184">
        <v>500</v>
      </c>
      <c r="K148" s="75">
        <v>360</v>
      </c>
      <c r="L148" s="75">
        <v>2450</v>
      </c>
      <c r="M148" s="202">
        <v>63.17658855266211</v>
      </c>
      <c r="N148" s="87">
        <v>6071.6610614408228</v>
      </c>
      <c r="O148" s="123">
        <v>68125.711804236911</v>
      </c>
      <c r="P148" s="121">
        <v>80227.311347912866</v>
      </c>
      <c r="Q148" s="310">
        <v>33376.770807964545</v>
      </c>
      <c r="R148" s="319">
        <v>101502.48261220145</v>
      </c>
      <c r="S148" s="315">
        <v>113604.0821558774</v>
      </c>
      <c r="U148" s="7" t="s">
        <v>4428</v>
      </c>
    </row>
    <row r="149" spans="1:21" ht="16.5" thickBot="1">
      <c r="A149" s="50" t="s">
        <v>35</v>
      </c>
      <c r="B149" s="51">
        <f t="shared" si="6"/>
        <v>500</v>
      </c>
      <c r="C149" s="51" t="s">
        <v>3</v>
      </c>
      <c r="D149" s="51">
        <f t="shared" si="7"/>
        <v>360</v>
      </c>
      <c r="E149" s="51" t="s">
        <v>3</v>
      </c>
      <c r="F149" s="99">
        <f t="shared" si="8"/>
        <v>2500</v>
      </c>
      <c r="G149" s="51" t="s">
        <v>3</v>
      </c>
      <c r="H149" s="48">
        <v>8</v>
      </c>
      <c r="I149" s="49" t="s">
        <v>47</v>
      </c>
      <c r="J149" s="184">
        <v>500</v>
      </c>
      <c r="K149" s="75">
        <v>360</v>
      </c>
      <c r="L149" s="75">
        <v>2500</v>
      </c>
      <c r="M149" s="202">
        <v>64.361296947024201</v>
      </c>
      <c r="N149" s="87">
        <v>6216.2244200465557</v>
      </c>
      <c r="O149" s="123">
        <v>69358.415085843881</v>
      </c>
      <c r="P149" s="121">
        <v>81685.991505013109</v>
      </c>
      <c r="Q149" s="310">
        <v>33930.367949467472</v>
      </c>
      <c r="R149" s="319">
        <v>103288.78303531135</v>
      </c>
      <c r="S149" s="315">
        <v>115616.35945448058</v>
      </c>
      <c r="U149" s="7" t="s">
        <v>4429</v>
      </c>
    </row>
    <row r="150" spans="1:21" ht="16.5" thickBot="1">
      <c r="A150" s="50" t="s">
        <v>35</v>
      </c>
      <c r="B150" s="51">
        <f t="shared" si="6"/>
        <v>500</v>
      </c>
      <c r="C150" s="51" t="s">
        <v>3</v>
      </c>
      <c r="D150" s="51">
        <f t="shared" si="7"/>
        <v>360</v>
      </c>
      <c r="E150" s="51" t="s">
        <v>3</v>
      </c>
      <c r="F150" s="99">
        <f t="shared" si="8"/>
        <v>2550</v>
      </c>
      <c r="G150" s="51" t="s">
        <v>3</v>
      </c>
      <c r="H150" s="48">
        <v>8</v>
      </c>
      <c r="I150" s="49" t="s">
        <v>47</v>
      </c>
      <c r="J150" s="184">
        <v>500</v>
      </c>
      <c r="K150" s="75">
        <v>360</v>
      </c>
      <c r="L150" s="75">
        <v>2550</v>
      </c>
      <c r="M150" s="202">
        <v>65.563045341386299</v>
      </c>
      <c r="N150" s="87">
        <v>6360.7877786522904</v>
      </c>
      <c r="O150" s="123">
        <v>70591.118367450836</v>
      </c>
      <c r="P150" s="121">
        <v>83144.671662113353</v>
      </c>
      <c r="Q150" s="310">
        <v>34714.547009147034</v>
      </c>
      <c r="R150" s="319">
        <v>105305.66537659787</v>
      </c>
      <c r="S150" s="315">
        <v>117859.21867126039</v>
      </c>
      <c r="U150" s="7" t="s">
        <v>4430</v>
      </c>
    </row>
    <row r="151" spans="1:21" ht="16.5" thickBot="1">
      <c r="A151" s="47" t="s">
        <v>35</v>
      </c>
      <c r="B151" s="48">
        <f t="shared" si="6"/>
        <v>500</v>
      </c>
      <c r="C151" s="48" t="s">
        <v>3</v>
      </c>
      <c r="D151" s="48">
        <f t="shared" si="7"/>
        <v>360</v>
      </c>
      <c r="E151" s="48" t="s">
        <v>3</v>
      </c>
      <c r="F151" s="99">
        <f t="shared" si="8"/>
        <v>2600</v>
      </c>
      <c r="G151" s="48" t="s">
        <v>3</v>
      </c>
      <c r="H151" s="48">
        <v>8</v>
      </c>
      <c r="I151" s="49" t="s">
        <v>47</v>
      </c>
      <c r="J151" s="184">
        <v>500</v>
      </c>
      <c r="K151" s="75">
        <v>360</v>
      </c>
      <c r="L151" s="75">
        <v>2600</v>
      </c>
      <c r="M151" s="202">
        <v>66.747753735748418</v>
      </c>
      <c r="N151" s="87">
        <v>6505.3511372580233</v>
      </c>
      <c r="O151" s="123">
        <v>71823.821649057805</v>
      </c>
      <c r="P151" s="121">
        <v>84603.351959606938</v>
      </c>
      <c r="Q151" s="310">
        <v>35268.144150649961</v>
      </c>
      <c r="R151" s="319">
        <v>107091.96579970777</v>
      </c>
      <c r="S151" s="315">
        <v>119871.49611025691</v>
      </c>
      <c r="U151" s="7" t="s">
        <v>4431</v>
      </c>
    </row>
    <row r="152" spans="1:21" ht="16.5" thickBot="1">
      <c r="A152" s="50" t="s">
        <v>35</v>
      </c>
      <c r="B152" s="51">
        <f t="shared" si="6"/>
        <v>500</v>
      </c>
      <c r="C152" s="51" t="s">
        <v>3</v>
      </c>
      <c r="D152" s="51">
        <f t="shared" si="7"/>
        <v>360</v>
      </c>
      <c r="E152" s="51" t="s">
        <v>3</v>
      </c>
      <c r="F152" s="99">
        <f t="shared" si="8"/>
        <v>2650</v>
      </c>
      <c r="G152" s="51" t="s">
        <v>3</v>
      </c>
      <c r="H152" s="48">
        <v>8</v>
      </c>
      <c r="I152" s="49" t="s">
        <v>47</v>
      </c>
      <c r="J152" s="184">
        <v>500</v>
      </c>
      <c r="K152" s="75">
        <v>360</v>
      </c>
      <c r="L152" s="75">
        <v>2650</v>
      </c>
      <c r="M152" s="202">
        <v>67.949502130110517</v>
      </c>
      <c r="N152" s="87">
        <v>6649.914495863758</v>
      </c>
      <c r="O152" s="123">
        <v>73056.52493066476</v>
      </c>
      <c r="P152" s="121">
        <v>86062.032116707182</v>
      </c>
      <c r="Q152" s="310">
        <v>36052.323069936159</v>
      </c>
      <c r="R152" s="319">
        <v>109108.84800060092</v>
      </c>
      <c r="S152" s="315">
        <v>122114.35518664334</v>
      </c>
      <c r="U152" s="7" t="s">
        <v>4432</v>
      </c>
    </row>
    <row r="153" spans="1:21" ht="16.5" thickBot="1">
      <c r="A153" s="50" t="s">
        <v>35</v>
      </c>
      <c r="B153" s="51">
        <f t="shared" si="6"/>
        <v>500</v>
      </c>
      <c r="C153" s="51" t="s">
        <v>3</v>
      </c>
      <c r="D153" s="51">
        <f t="shared" si="7"/>
        <v>360</v>
      </c>
      <c r="E153" s="51" t="s">
        <v>3</v>
      </c>
      <c r="F153" s="99">
        <f t="shared" si="8"/>
        <v>2700</v>
      </c>
      <c r="G153" s="51" t="s">
        <v>3</v>
      </c>
      <c r="H153" s="48">
        <v>8</v>
      </c>
      <c r="I153" s="49" t="s">
        <v>47</v>
      </c>
      <c r="J153" s="184">
        <v>500</v>
      </c>
      <c r="K153" s="75">
        <v>360</v>
      </c>
      <c r="L153" s="75">
        <v>2700</v>
      </c>
      <c r="M153" s="202">
        <v>69.291210524472632</v>
      </c>
      <c r="N153" s="87">
        <v>6794.4778544694927</v>
      </c>
      <c r="O153" s="123">
        <v>74443.537084076001</v>
      </c>
      <c r="P153" s="121">
        <v>87675.96318507407</v>
      </c>
      <c r="Q153" s="310">
        <v>36605.920211439086</v>
      </c>
      <c r="R153" s="319">
        <v>111049.45729551508</v>
      </c>
      <c r="S153" s="315">
        <v>124281.88339651315</v>
      </c>
      <c r="U153" s="7" t="s">
        <v>4433</v>
      </c>
    </row>
    <row r="154" spans="1:21" ht="16.5" thickBot="1">
      <c r="A154" s="50" t="s">
        <v>35</v>
      </c>
      <c r="B154" s="51">
        <f t="shared" si="6"/>
        <v>500</v>
      </c>
      <c r="C154" s="51" t="s">
        <v>3</v>
      </c>
      <c r="D154" s="51">
        <f t="shared" si="7"/>
        <v>360</v>
      </c>
      <c r="E154" s="51" t="s">
        <v>3</v>
      </c>
      <c r="F154" s="99">
        <f t="shared" si="8"/>
        <v>2750</v>
      </c>
      <c r="G154" s="51" t="s">
        <v>3</v>
      </c>
      <c r="H154" s="48">
        <v>8</v>
      </c>
      <c r="I154" s="49" t="s">
        <v>47</v>
      </c>
      <c r="J154" s="184">
        <v>500</v>
      </c>
      <c r="K154" s="75">
        <v>360</v>
      </c>
      <c r="L154" s="75">
        <v>2750</v>
      </c>
      <c r="M154" s="202">
        <v>70.475918918834736</v>
      </c>
      <c r="N154" s="87">
        <v>6939.0412130752247</v>
      </c>
      <c r="O154" s="123">
        <v>75676.24036568297</v>
      </c>
      <c r="P154" s="121">
        <v>89134.643342174299</v>
      </c>
      <c r="Q154" s="310">
        <v>37159.517352942006</v>
      </c>
      <c r="R154" s="319">
        <v>112835.75771862498</v>
      </c>
      <c r="S154" s="315">
        <v>126294.1606951163</v>
      </c>
      <c r="U154" s="7" t="s">
        <v>4434</v>
      </c>
    </row>
    <row r="155" spans="1:21" ht="16.5" thickBot="1">
      <c r="A155" s="50" t="s">
        <v>35</v>
      </c>
      <c r="B155" s="51">
        <f t="shared" si="6"/>
        <v>500</v>
      </c>
      <c r="C155" s="51" t="s">
        <v>3</v>
      </c>
      <c r="D155" s="51">
        <f t="shared" si="7"/>
        <v>360</v>
      </c>
      <c r="E155" s="51" t="s">
        <v>3</v>
      </c>
      <c r="F155" s="99">
        <f t="shared" si="8"/>
        <v>2800</v>
      </c>
      <c r="G155" s="51" t="s">
        <v>3</v>
      </c>
      <c r="H155" s="48">
        <v>8</v>
      </c>
      <c r="I155" s="49" t="s">
        <v>47</v>
      </c>
      <c r="J155" s="184">
        <v>500</v>
      </c>
      <c r="K155" s="75">
        <v>360</v>
      </c>
      <c r="L155" s="75">
        <v>2800</v>
      </c>
      <c r="M155" s="202">
        <v>71.677667313196835</v>
      </c>
      <c r="N155" s="87">
        <v>7083.6045716809595</v>
      </c>
      <c r="O155" s="123">
        <v>76908.943647289925</v>
      </c>
      <c r="P155" s="121">
        <v>90593.323499274542</v>
      </c>
      <c r="Q155" s="310">
        <v>37943.696272228204</v>
      </c>
      <c r="R155" s="319">
        <v>114852.63991951813</v>
      </c>
      <c r="S155" s="315">
        <v>128537.01977150275</v>
      </c>
      <c r="U155" s="7" t="s">
        <v>4435</v>
      </c>
    </row>
    <row r="156" spans="1:21" ht="16.5" thickBot="1">
      <c r="A156" s="50" t="s">
        <v>35</v>
      </c>
      <c r="B156" s="51">
        <f t="shared" si="6"/>
        <v>500</v>
      </c>
      <c r="C156" s="51" t="s">
        <v>3</v>
      </c>
      <c r="D156" s="51">
        <f t="shared" si="7"/>
        <v>360</v>
      </c>
      <c r="E156" s="51" t="s">
        <v>3</v>
      </c>
      <c r="F156" s="99">
        <f t="shared" si="8"/>
        <v>2850</v>
      </c>
      <c r="G156" s="51" t="s">
        <v>3</v>
      </c>
      <c r="H156" s="48">
        <v>8</v>
      </c>
      <c r="I156" s="49" t="s">
        <v>47</v>
      </c>
      <c r="J156" s="184">
        <v>500</v>
      </c>
      <c r="K156" s="75">
        <v>360</v>
      </c>
      <c r="L156" s="75">
        <v>2850</v>
      </c>
      <c r="M156" s="202">
        <v>72.86237570755894</v>
      </c>
      <c r="N156" s="87">
        <v>7228.1679302866933</v>
      </c>
      <c r="O156" s="123">
        <v>78141.64692889688</v>
      </c>
      <c r="P156" s="121">
        <v>92052.003656374771</v>
      </c>
      <c r="Q156" s="310">
        <v>38497.293413731131</v>
      </c>
      <c r="R156" s="319">
        <v>116638.94034262802</v>
      </c>
      <c r="S156" s="315">
        <v>130549.29707010591</v>
      </c>
      <c r="U156" s="7" t="s">
        <v>4436</v>
      </c>
    </row>
    <row r="157" spans="1:21" ht="16.5" thickBot="1">
      <c r="A157" s="50" t="s">
        <v>35</v>
      </c>
      <c r="B157" s="51">
        <f t="shared" si="6"/>
        <v>500</v>
      </c>
      <c r="C157" s="51" t="s">
        <v>3</v>
      </c>
      <c r="D157" s="51">
        <f t="shared" si="7"/>
        <v>360</v>
      </c>
      <c r="E157" s="51" t="s">
        <v>3</v>
      </c>
      <c r="F157" s="99">
        <f t="shared" si="8"/>
        <v>2900</v>
      </c>
      <c r="G157" s="51" t="s">
        <v>3</v>
      </c>
      <c r="H157" s="48">
        <v>8</v>
      </c>
      <c r="I157" s="49" t="s">
        <v>47</v>
      </c>
      <c r="J157" s="184">
        <v>500</v>
      </c>
      <c r="K157" s="75">
        <v>360</v>
      </c>
      <c r="L157" s="75">
        <v>2900</v>
      </c>
      <c r="M157" s="202">
        <v>74.064124101921038</v>
      </c>
      <c r="N157" s="87">
        <v>7372.7312888924271</v>
      </c>
      <c r="O157" s="123">
        <v>79374.35021050385</v>
      </c>
      <c r="P157" s="121">
        <v>93510.683953868385</v>
      </c>
      <c r="Q157" s="310">
        <v>39281.472333017329</v>
      </c>
      <c r="R157" s="319">
        <v>118655.82254352118</v>
      </c>
      <c r="S157" s="315">
        <v>132792.15628688573</v>
      </c>
      <c r="U157" s="7" t="s">
        <v>4437</v>
      </c>
    </row>
    <row r="158" spans="1:21" ht="16.5" thickBot="1">
      <c r="A158" s="50" t="s">
        <v>35</v>
      </c>
      <c r="B158" s="51">
        <f t="shared" si="6"/>
        <v>500</v>
      </c>
      <c r="C158" s="51" t="s">
        <v>3</v>
      </c>
      <c r="D158" s="51">
        <f t="shared" si="7"/>
        <v>360</v>
      </c>
      <c r="E158" s="51" t="s">
        <v>3</v>
      </c>
      <c r="F158" s="99">
        <f t="shared" si="8"/>
        <v>2950</v>
      </c>
      <c r="G158" s="51" t="s">
        <v>3</v>
      </c>
      <c r="H158" s="48">
        <v>8</v>
      </c>
      <c r="I158" s="49" t="s">
        <v>47</v>
      </c>
      <c r="J158" s="184">
        <v>500</v>
      </c>
      <c r="K158" s="75">
        <v>360</v>
      </c>
      <c r="L158" s="75">
        <v>2950</v>
      </c>
      <c r="M158" s="202">
        <v>75.248832496283143</v>
      </c>
      <c r="N158" s="87">
        <v>7517.2946474981618</v>
      </c>
      <c r="O158" s="123">
        <v>80607.053492110819</v>
      </c>
      <c r="P158" s="121">
        <v>94969.364110968629</v>
      </c>
      <c r="Q158" s="310">
        <v>39835.069474520256</v>
      </c>
      <c r="R158" s="319">
        <v>120442.12296663108</v>
      </c>
      <c r="S158" s="315">
        <v>134804.43358548888</v>
      </c>
      <c r="U158" s="7" t="s">
        <v>4438</v>
      </c>
    </row>
    <row r="159" spans="1:21" ht="16.5" thickBot="1">
      <c r="A159" s="50" t="s">
        <v>35</v>
      </c>
      <c r="B159" s="51">
        <f t="shared" si="6"/>
        <v>500</v>
      </c>
      <c r="C159" s="51" t="s">
        <v>3</v>
      </c>
      <c r="D159" s="51">
        <f t="shared" si="7"/>
        <v>360</v>
      </c>
      <c r="E159" s="51" t="s">
        <v>3</v>
      </c>
      <c r="F159" s="99">
        <f t="shared" si="8"/>
        <v>3000</v>
      </c>
      <c r="G159" s="51" t="s">
        <v>3</v>
      </c>
      <c r="H159" s="48">
        <v>8</v>
      </c>
      <c r="I159" s="49" t="s">
        <v>47</v>
      </c>
      <c r="J159" s="186">
        <v>500</v>
      </c>
      <c r="K159" s="147">
        <v>360</v>
      </c>
      <c r="L159" s="147">
        <v>3000</v>
      </c>
      <c r="M159" s="209">
        <v>76.450580890645256</v>
      </c>
      <c r="N159" s="148">
        <v>7661.8580061038938</v>
      </c>
      <c r="O159" s="149">
        <v>83014.914219969622</v>
      </c>
      <c r="P159" s="158">
        <v>96428.044268068857</v>
      </c>
      <c r="Q159" s="311">
        <v>40619.248393806454</v>
      </c>
      <c r="R159" s="320">
        <v>123634.16261377608</v>
      </c>
      <c r="S159" s="317">
        <v>137047.29266187531</v>
      </c>
      <c r="U159" s="7" t="s">
        <v>4439</v>
      </c>
    </row>
    <row r="160" spans="1:21">
      <c r="M160" s="94"/>
      <c r="P160" s="93"/>
      <c r="S160" s="93"/>
    </row>
    <row r="161" spans="13:19">
      <c r="M161" s="94"/>
      <c r="P161" s="93"/>
      <c r="S161" s="93"/>
    </row>
    <row r="162" spans="13:19">
      <c r="M162" s="94"/>
      <c r="P162" s="93"/>
      <c r="S162" s="93"/>
    </row>
    <row r="163" spans="13:19">
      <c r="M163" s="94"/>
      <c r="P163" s="93"/>
      <c r="S163" s="93"/>
    </row>
    <row r="164" spans="13:19">
      <c r="M164" s="94"/>
      <c r="P164" s="93"/>
      <c r="S164" s="93"/>
    </row>
    <row r="165" spans="13:19">
      <c r="M165" s="94"/>
      <c r="P165" s="93"/>
      <c r="S165" s="93"/>
    </row>
    <row r="166" spans="13:19">
      <c r="M166" s="94"/>
      <c r="P166" s="93"/>
      <c r="S166" s="93"/>
    </row>
    <row r="167" spans="13:19">
      <c r="M167" s="94"/>
      <c r="P167" s="93"/>
      <c r="S167" s="93"/>
    </row>
    <row r="168" spans="13:19">
      <c r="M168" s="94"/>
      <c r="P168" s="93"/>
      <c r="S168" s="93"/>
    </row>
    <row r="169" spans="13:19">
      <c r="M169" s="94"/>
      <c r="P169" s="93"/>
      <c r="S169" s="93"/>
    </row>
    <row r="170" spans="13:19">
      <c r="M170" s="94"/>
      <c r="P170" s="93"/>
      <c r="S170" s="93"/>
    </row>
    <row r="171" spans="13:19">
      <c r="M171" s="94"/>
      <c r="P171" s="93"/>
      <c r="S171" s="93"/>
    </row>
    <row r="172" spans="13:19">
      <c r="M172" s="94"/>
      <c r="P172" s="93"/>
      <c r="S172" s="93"/>
    </row>
    <row r="173" spans="13:19">
      <c r="M173" s="94"/>
      <c r="P173" s="93"/>
      <c r="S173" s="93"/>
    </row>
    <row r="174" spans="13:19">
      <c r="M174" s="94"/>
      <c r="P174" s="93"/>
      <c r="S174" s="93"/>
    </row>
    <row r="175" spans="13:19">
      <c r="M175" s="94"/>
      <c r="P175" s="93"/>
      <c r="S175" s="93"/>
    </row>
    <row r="176" spans="13:19">
      <c r="M176" s="94"/>
      <c r="P176" s="93"/>
      <c r="S176" s="93"/>
    </row>
    <row r="177" spans="13:19">
      <c r="M177" s="94"/>
      <c r="P177" s="93"/>
      <c r="S177" s="93"/>
    </row>
    <row r="178" spans="13:19">
      <c r="M178" s="94"/>
      <c r="P178" s="93"/>
      <c r="S178" s="93"/>
    </row>
    <row r="179" spans="13:19">
      <c r="M179" s="94"/>
      <c r="P179" s="93"/>
      <c r="S179" s="93"/>
    </row>
    <row r="180" spans="13:19">
      <c r="M180" s="94"/>
      <c r="P180" s="93"/>
      <c r="S180" s="93"/>
    </row>
    <row r="181" spans="13:19">
      <c r="M181" s="94"/>
      <c r="P181" s="93"/>
      <c r="S181" s="93"/>
    </row>
    <row r="182" spans="13:19">
      <c r="M182" s="94"/>
      <c r="P182" s="93"/>
      <c r="S182" s="93"/>
    </row>
    <row r="183" spans="13:19">
      <c r="M183" s="94"/>
      <c r="P183" s="93"/>
      <c r="S183" s="93"/>
    </row>
    <row r="184" spans="13:19">
      <c r="M184" s="94"/>
      <c r="P184" s="93"/>
      <c r="S184" s="93"/>
    </row>
    <row r="185" spans="13:19">
      <c r="M185" s="94"/>
      <c r="P185" s="93"/>
      <c r="S185" s="93"/>
    </row>
    <row r="186" spans="13:19">
      <c r="M186" s="94"/>
      <c r="P186" s="93"/>
      <c r="S186" s="93"/>
    </row>
    <row r="187" spans="13:19">
      <c r="M187" s="94"/>
      <c r="P187" s="93"/>
      <c r="S187" s="93"/>
    </row>
    <row r="188" spans="13:19">
      <c r="M188" s="94"/>
      <c r="P188" s="93"/>
      <c r="S188" s="93"/>
    </row>
    <row r="189" spans="13:19">
      <c r="M189" s="94"/>
      <c r="P189" s="93"/>
      <c r="S189" s="93"/>
    </row>
    <row r="190" spans="13:19">
      <c r="M190" s="94"/>
      <c r="P190" s="93"/>
      <c r="S190" s="93"/>
    </row>
    <row r="191" spans="13:19">
      <c r="M191" s="94"/>
      <c r="P191" s="93"/>
      <c r="S191" s="93"/>
    </row>
    <row r="192" spans="13:19">
      <c r="M192" s="94"/>
      <c r="P192" s="93"/>
      <c r="S192" s="93"/>
    </row>
    <row r="193" spans="13:19">
      <c r="M193" s="94"/>
      <c r="P193" s="93"/>
      <c r="S193" s="93"/>
    </row>
    <row r="194" spans="13:19">
      <c r="M194" s="94"/>
      <c r="P194" s="93"/>
      <c r="S194" s="93"/>
    </row>
    <row r="195" spans="13:19">
      <c r="M195" s="94"/>
      <c r="P195" s="93"/>
      <c r="S195" s="93"/>
    </row>
    <row r="196" spans="13:19">
      <c r="M196" s="94"/>
      <c r="P196" s="93"/>
      <c r="S196" s="93"/>
    </row>
    <row r="197" spans="13:19">
      <c r="M197" s="94"/>
      <c r="P197" s="93"/>
      <c r="S197" s="93"/>
    </row>
    <row r="198" spans="13:19">
      <c r="M198" s="94"/>
      <c r="P198" s="93"/>
      <c r="S198" s="93"/>
    </row>
    <row r="199" spans="13:19">
      <c r="M199" s="94"/>
      <c r="P199" s="93"/>
      <c r="S199" s="93"/>
    </row>
    <row r="200" spans="13:19">
      <c r="M200" s="94"/>
      <c r="P200" s="93"/>
      <c r="S200" s="93"/>
    </row>
    <row r="201" spans="13:19">
      <c r="M201" s="94"/>
      <c r="P201" s="93"/>
      <c r="S201" s="93"/>
    </row>
    <row r="202" spans="13:19">
      <c r="M202" s="94"/>
      <c r="P202" s="93"/>
      <c r="S202" s="93"/>
    </row>
    <row r="203" spans="13:19">
      <c r="M203" s="94"/>
      <c r="P203" s="93"/>
      <c r="S203" s="93"/>
    </row>
    <row r="204" spans="13:19">
      <c r="M204" s="94"/>
      <c r="P204" s="93"/>
      <c r="S204" s="93"/>
    </row>
    <row r="205" spans="13:19">
      <c r="M205" s="94"/>
      <c r="P205" s="93"/>
      <c r="S205" s="93"/>
    </row>
    <row r="206" spans="13:19">
      <c r="M206" s="94"/>
      <c r="P206" s="93"/>
      <c r="S206" s="93"/>
    </row>
    <row r="207" spans="13:19">
      <c r="M207" s="94"/>
      <c r="P207" s="93"/>
      <c r="S207" s="93"/>
    </row>
    <row r="208" spans="13:19">
      <c r="M208" s="94"/>
      <c r="P208" s="93"/>
      <c r="S208" s="93"/>
    </row>
    <row r="209" spans="13:19">
      <c r="M209" s="94"/>
      <c r="P209" s="93"/>
      <c r="S209" s="93"/>
    </row>
    <row r="210" spans="13:19">
      <c r="M210" s="94"/>
      <c r="P210" s="93"/>
      <c r="S210" s="93"/>
    </row>
    <row r="211" spans="13:19">
      <c r="M211" s="94"/>
      <c r="P211" s="93"/>
      <c r="S211" s="93"/>
    </row>
    <row r="212" spans="13:19">
      <c r="M212" s="94"/>
      <c r="P212" s="93"/>
      <c r="S212" s="93"/>
    </row>
    <row r="213" spans="13:19">
      <c r="M213" s="94"/>
      <c r="P213" s="93"/>
      <c r="S213" s="93"/>
    </row>
    <row r="214" spans="13:19">
      <c r="M214" s="94"/>
      <c r="P214" s="93"/>
      <c r="S214" s="93"/>
    </row>
    <row r="215" spans="13:19">
      <c r="M215" s="94"/>
      <c r="P215" s="93"/>
      <c r="S215" s="93"/>
    </row>
    <row r="216" spans="13:19">
      <c r="M216" s="94"/>
      <c r="P216" s="93"/>
      <c r="S216" s="93"/>
    </row>
    <row r="217" spans="13:19">
      <c r="M217" s="94"/>
      <c r="P217" s="93"/>
      <c r="S217" s="93"/>
    </row>
    <row r="218" spans="13:19">
      <c r="M218" s="94"/>
      <c r="P218" s="93"/>
      <c r="S218" s="93"/>
    </row>
    <row r="219" spans="13:19">
      <c r="M219" s="94"/>
      <c r="P219" s="93"/>
      <c r="S219" s="93"/>
    </row>
    <row r="220" spans="13:19">
      <c r="M220" s="94"/>
      <c r="P220" s="93"/>
      <c r="S220" s="93"/>
    </row>
    <row r="221" spans="13:19">
      <c r="M221" s="94"/>
      <c r="P221" s="93"/>
      <c r="S221" s="93"/>
    </row>
    <row r="222" spans="13:19">
      <c r="M222" s="94"/>
      <c r="P222" s="93"/>
      <c r="S222" s="93"/>
    </row>
    <row r="223" spans="13:19">
      <c r="M223" s="94"/>
      <c r="P223" s="93"/>
      <c r="S223" s="93"/>
    </row>
    <row r="224" spans="13:19">
      <c r="M224" s="94"/>
      <c r="P224" s="93"/>
      <c r="S224" s="93"/>
    </row>
    <row r="225" spans="13:19">
      <c r="M225" s="94"/>
      <c r="P225" s="93"/>
      <c r="S225" s="93"/>
    </row>
    <row r="226" spans="13:19">
      <c r="M226" s="94"/>
      <c r="P226" s="93"/>
      <c r="S226" s="93"/>
    </row>
    <row r="227" spans="13:19">
      <c r="M227" s="94"/>
      <c r="P227" s="93"/>
      <c r="S227" s="93"/>
    </row>
    <row r="228" spans="13:19">
      <c r="M228" s="94"/>
      <c r="P228" s="93"/>
      <c r="S228" s="93"/>
    </row>
    <row r="229" spans="13:19">
      <c r="M229" s="94"/>
      <c r="P229" s="93"/>
      <c r="S229" s="93"/>
    </row>
    <row r="230" spans="13:19">
      <c r="M230" s="94"/>
      <c r="P230" s="93"/>
      <c r="S230" s="93"/>
    </row>
    <row r="231" spans="13:19">
      <c r="M231" s="94"/>
      <c r="P231" s="93"/>
      <c r="S231" s="93"/>
    </row>
    <row r="232" spans="13:19">
      <c r="M232" s="94"/>
      <c r="P232" s="93"/>
      <c r="S232" s="93"/>
    </row>
    <row r="233" spans="13:19">
      <c r="M233" s="94"/>
      <c r="P233" s="93"/>
      <c r="S233" s="93"/>
    </row>
    <row r="234" spans="13:19">
      <c r="M234" s="94"/>
      <c r="P234" s="93"/>
      <c r="S234" s="93"/>
    </row>
    <row r="235" spans="13:19">
      <c r="M235" s="94"/>
      <c r="P235" s="93"/>
      <c r="S235" s="93"/>
    </row>
    <row r="236" spans="13:19">
      <c r="M236" s="94"/>
      <c r="P236" s="93"/>
      <c r="S236" s="93"/>
    </row>
    <row r="237" spans="13:19">
      <c r="M237" s="94"/>
      <c r="P237" s="93"/>
      <c r="S237" s="93"/>
    </row>
    <row r="238" spans="13:19">
      <c r="M238" s="94"/>
      <c r="P238" s="93"/>
      <c r="S238" s="93"/>
    </row>
    <row r="239" spans="13:19">
      <c r="M239" s="94"/>
      <c r="P239" s="93"/>
      <c r="S239" s="93"/>
    </row>
    <row r="240" spans="13:19">
      <c r="M240" s="94"/>
      <c r="P240" s="93"/>
      <c r="S240" s="93"/>
    </row>
    <row r="241" spans="13:19">
      <c r="M241" s="94"/>
      <c r="P241" s="93"/>
      <c r="S241" s="93"/>
    </row>
    <row r="242" spans="13:19">
      <c r="M242" s="94"/>
      <c r="P242" s="93"/>
      <c r="S242" s="93"/>
    </row>
    <row r="243" spans="13:19">
      <c r="M243" s="94"/>
      <c r="P243" s="93"/>
      <c r="S243" s="93"/>
    </row>
    <row r="244" spans="13:19">
      <c r="M244" s="94"/>
      <c r="P244" s="93"/>
      <c r="S244" s="93"/>
    </row>
    <row r="245" spans="13:19">
      <c r="M245" s="94"/>
      <c r="P245" s="93"/>
      <c r="S245" s="93"/>
    </row>
    <row r="246" spans="13:19">
      <c r="M246" s="94"/>
      <c r="P246" s="93"/>
      <c r="S246" s="93"/>
    </row>
    <row r="247" spans="13:19">
      <c r="M247" s="94"/>
      <c r="P247" s="93"/>
      <c r="S247" s="93"/>
    </row>
    <row r="248" spans="13:19">
      <c r="M248" s="94"/>
      <c r="P248" s="93"/>
      <c r="S248" s="93"/>
    </row>
    <row r="249" spans="13:19">
      <c r="M249" s="94"/>
      <c r="P249" s="93"/>
      <c r="S249" s="93"/>
    </row>
    <row r="250" spans="13:19">
      <c r="M250" s="94"/>
      <c r="P250" s="93"/>
      <c r="S250" s="93"/>
    </row>
    <row r="251" spans="13:19">
      <c r="M251" s="94"/>
      <c r="P251" s="93"/>
      <c r="S251" s="93"/>
    </row>
    <row r="252" spans="13:19">
      <c r="M252" s="94"/>
      <c r="P252" s="93"/>
      <c r="S252" s="93"/>
    </row>
    <row r="253" spans="13:19">
      <c r="M253" s="94"/>
      <c r="P253" s="93"/>
      <c r="S253" s="93"/>
    </row>
    <row r="254" spans="13:19">
      <c r="M254" s="94"/>
      <c r="P254" s="93"/>
      <c r="S254" s="93"/>
    </row>
    <row r="255" spans="13:19">
      <c r="M255" s="94"/>
      <c r="P255" s="93"/>
      <c r="S255" s="93"/>
    </row>
    <row r="256" spans="13:19">
      <c r="M256" s="94"/>
      <c r="P256" s="93"/>
      <c r="S256" s="93"/>
    </row>
    <row r="257" spans="13:19">
      <c r="M257" s="94"/>
      <c r="P257" s="93"/>
      <c r="S257" s="93"/>
    </row>
    <row r="258" spans="13:19">
      <c r="M258" s="94"/>
      <c r="P258" s="93"/>
      <c r="S258" s="93"/>
    </row>
    <row r="259" spans="13:19">
      <c r="M259" s="94"/>
      <c r="P259" s="93"/>
      <c r="S259" s="93"/>
    </row>
    <row r="260" spans="13:19">
      <c r="M260" s="94"/>
      <c r="P260" s="93"/>
      <c r="S260" s="93"/>
    </row>
    <row r="261" spans="13:19">
      <c r="M261" s="94"/>
      <c r="P261" s="93"/>
      <c r="S261" s="93"/>
    </row>
    <row r="262" spans="13:19">
      <c r="M262" s="94"/>
      <c r="P262" s="93"/>
      <c r="S262" s="93"/>
    </row>
    <row r="263" spans="13:19">
      <c r="M263" s="94"/>
      <c r="P263" s="93"/>
      <c r="S263" s="93"/>
    </row>
    <row r="264" spans="13:19">
      <c r="M264" s="94"/>
      <c r="P264" s="93"/>
      <c r="S264" s="93"/>
    </row>
    <row r="265" spans="13:19">
      <c r="M265" s="94"/>
      <c r="P265" s="93"/>
      <c r="S265" s="93"/>
    </row>
    <row r="266" spans="13:19">
      <c r="M266" s="94"/>
      <c r="P266" s="93"/>
      <c r="S266" s="93"/>
    </row>
    <row r="267" spans="13:19">
      <c r="M267" s="94"/>
      <c r="P267" s="93"/>
      <c r="S267" s="93"/>
    </row>
    <row r="268" spans="13:19">
      <c r="M268" s="94"/>
      <c r="P268" s="93"/>
      <c r="S268" s="93"/>
    </row>
    <row r="269" spans="13:19">
      <c r="M269" s="94"/>
      <c r="P269" s="93"/>
      <c r="S269" s="93"/>
    </row>
    <row r="270" spans="13:19">
      <c r="M270" s="94"/>
      <c r="P270" s="93"/>
      <c r="S270" s="93"/>
    </row>
    <row r="271" spans="13:19">
      <c r="M271" s="94"/>
      <c r="P271" s="93"/>
      <c r="S271" s="93"/>
    </row>
    <row r="272" spans="13:19">
      <c r="M272" s="94"/>
      <c r="P272" s="93"/>
      <c r="S272" s="93"/>
    </row>
    <row r="273" spans="13:19">
      <c r="M273" s="94"/>
      <c r="P273" s="93"/>
      <c r="S273" s="93"/>
    </row>
    <row r="274" spans="13:19">
      <c r="M274" s="94"/>
      <c r="P274" s="93"/>
      <c r="S274" s="93"/>
    </row>
    <row r="275" spans="13:19">
      <c r="M275" s="94"/>
      <c r="P275" s="93"/>
      <c r="S275" s="93"/>
    </row>
    <row r="276" spans="13:19">
      <c r="M276" s="94"/>
      <c r="P276" s="93"/>
      <c r="S276" s="93"/>
    </row>
    <row r="277" spans="13:19">
      <c r="M277" s="94"/>
      <c r="P277" s="93"/>
      <c r="S277" s="93"/>
    </row>
    <row r="278" spans="13:19">
      <c r="M278" s="94"/>
      <c r="P278" s="93"/>
      <c r="S278" s="93"/>
    </row>
    <row r="279" spans="13:19">
      <c r="M279" s="94"/>
      <c r="P279" s="93"/>
      <c r="S279" s="93"/>
    </row>
    <row r="280" spans="13:19">
      <c r="M280" s="94"/>
      <c r="P280" s="93"/>
      <c r="S280" s="93"/>
    </row>
    <row r="281" spans="13:19">
      <c r="M281" s="94"/>
      <c r="P281" s="93"/>
      <c r="S281" s="93"/>
    </row>
    <row r="282" spans="13:19">
      <c r="M282" s="94"/>
      <c r="P282" s="93"/>
      <c r="S282" s="93"/>
    </row>
    <row r="283" spans="13:19">
      <c r="M283" s="94"/>
      <c r="P283" s="93"/>
      <c r="S283" s="93"/>
    </row>
    <row r="284" spans="13:19">
      <c r="M284" s="94"/>
      <c r="P284" s="93"/>
      <c r="S284" s="93"/>
    </row>
    <row r="285" spans="13:19">
      <c r="M285" s="94"/>
      <c r="P285" s="93"/>
      <c r="S285" s="93"/>
    </row>
    <row r="286" spans="13:19">
      <c r="M286" s="94"/>
      <c r="P286" s="93"/>
      <c r="S286" s="93"/>
    </row>
    <row r="287" spans="13:19">
      <c r="M287" s="94"/>
      <c r="P287" s="93"/>
      <c r="S287" s="93"/>
    </row>
    <row r="288" spans="13:19">
      <c r="M288" s="94"/>
      <c r="P288" s="93"/>
      <c r="S288" s="93"/>
    </row>
    <row r="289" spans="13:19">
      <c r="M289" s="94"/>
      <c r="P289" s="93"/>
      <c r="S289" s="93"/>
    </row>
    <row r="290" spans="13:19">
      <c r="M290" s="94"/>
      <c r="P290" s="93"/>
      <c r="S290" s="93"/>
    </row>
    <row r="291" spans="13:19">
      <c r="M291" s="94"/>
      <c r="P291" s="93"/>
      <c r="S291" s="93"/>
    </row>
    <row r="292" spans="13:19">
      <c r="M292" s="94"/>
      <c r="P292" s="93"/>
      <c r="S292" s="93"/>
    </row>
    <row r="293" spans="13:19">
      <c r="M293" s="94"/>
      <c r="P293" s="93"/>
      <c r="S293" s="93"/>
    </row>
    <row r="294" spans="13:19">
      <c r="M294" s="94"/>
      <c r="P294" s="93"/>
      <c r="S294" s="93"/>
    </row>
    <row r="295" spans="13:19">
      <c r="M295" s="94"/>
      <c r="P295" s="93"/>
      <c r="S295" s="93"/>
    </row>
    <row r="296" spans="13:19">
      <c r="M296" s="94"/>
      <c r="P296" s="93"/>
      <c r="S296" s="93"/>
    </row>
    <row r="297" spans="13:19">
      <c r="M297" s="94"/>
      <c r="P297" s="93"/>
      <c r="S297" s="93"/>
    </row>
    <row r="298" spans="13:19">
      <c r="M298" s="94"/>
      <c r="P298" s="93"/>
      <c r="S298" s="93"/>
    </row>
    <row r="299" spans="13:19">
      <c r="M299" s="94"/>
      <c r="P299" s="93"/>
      <c r="S299" s="93"/>
    </row>
    <row r="300" spans="13:19">
      <c r="M300" s="94"/>
      <c r="P300" s="93"/>
      <c r="S300" s="93"/>
    </row>
    <row r="301" spans="13:19">
      <c r="M301" s="94"/>
      <c r="P301" s="93"/>
      <c r="S301" s="93"/>
    </row>
    <row r="302" spans="13:19">
      <c r="M302" s="94"/>
      <c r="P302" s="93"/>
      <c r="S302" s="93"/>
    </row>
    <row r="303" spans="13:19">
      <c r="M303" s="94"/>
      <c r="P303" s="93"/>
      <c r="S303" s="93"/>
    </row>
    <row r="304" spans="13:19">
      <c r="M304" s="94"/>
      <c r="P304" s="93"/>
      <c r="S304" s="93"/>
    </row>
    <row r="305" spans="13:19">
      <c r="M305" s="94"/>
      <c r="P305" s="93"/>
      <c r="S305" s="93"/>
    </row>
    <row r="306" spans="13:19">
      <c r="M306" s="94"/>
      <c r="P306" s="93"/>
      <c r="S306" s="93"/>
    </row>
    <row r="307" spans="13:19">
      <c r="M307" s="94"/>
      <c r="P307" s="93"/>
      <c r="S307" s="93"/>
    </row>
    <row r="308" spans="13:19">
      <c r="M308" s="94"/>
      <c r="P308" s="93"/>
      <c r="S308" s="93"/>
    </row>
    <row r="309" spans="13:19">
      <c r="M309" s="94"/>
      <c r="P309" s="93"/>
      <c r="S309" s="93"/>
    </row>
    <row r="310" spans="13:19">
      <c r="M310" s="94"/>
      <c r="P310" s="93"/>
      <c r="S310" s="93"/>
    </row>
    <row r="311" spans="13:19">
      <c r="M311" s="94"/>
      <c r="P311" s="93"/>
      <c r="S311" s="93"/>
    </row>
    <row r="312" spans="13:19">
      <c r="M312" s="94"/>
      <c r="P312" s="93"/>
      <c r="S312" s="93"/>
    </row>
    <row r="313" spans="13:19">
      <c r="M313" s="94"/>
      <c r="P313" s="93"/>
      <c r="S313" s="93"/>
    </row>
    <row r="314" spans="13:19">
      <c r="M314" s="94"/>
      <c r="P314" s="93"/>
      <c r="S314" s="93"/>
    </row>
    <row r="315" spans="13:19">
      <c r="M315" s="94"/>
      <c r="P315" s="93"/>
      <c r="S315" s="93"/>
    </row>
    <row r="316" spans="13:19">
      <c r="M316" s="94"/>
      <c r="P316" s="93"/>
      <c r="S316" s="93"/>
    </row>
    <row r="317" spans="13:19">
      <c r="M317" s="94"/>
      <c r="P317" s="93"/>
      <c r="S317" s="93"/>
    </row>
    <row r="318" spans="13:19">
      <c r="M318" s="94"/>
      <c r="P318" s="93"/>
      <c r="S318" s="93"/>
    </row>
    <row r="319" spans="13:19">
      <c r="M319" s="94"/>
      <c r="P319" s="93"/>
      <c r="S319" s="93"/>
    </row>
    <row r="320" spans="13:19">
      <c r="M320" s="94"/>
      <c r="P320" s="93"/>
      <c r="S320" s="93"/>
    </row>
    <row r="321" spans="13:19">
      <c r="M321" s="94"/>
      <c r="P321" s="93"/>
      <c r="S321" s="93"/>
    </row>
    <row r="322" spans="13:19">
      <c r="M322" s="94"/>
      <c r="P322" s="93"/>
      <c r="S322" s="93"/>
    </row>
    <row r="323" spans="13:19">
      <c r="M323" s="94"/>
      <c r="P323" s="93"/>
      <c r="S323" s="93"/>
    </row>
    <row r="324" spans="13:19">
      <c r="M324" s="94"/>
      <c r="P324" s="93"/>
      <c r="S324" s="93"/>
    </row>
    <row r="325" spans="13:19">
      <c r="M325" s="94"/>
      <c r="P325" s="93"/>
      <c r="S325" s="93"/>
    </row>
    <row r="326" spans="13:19">
      <c r="M326" s="94"/>
      <c r="P326" s="93"/>
      <c r="S326" s="93"/>
    </row>
    <row r="327" spans="13:19">
      <c r="M327" s="94"/>
      <c r="P327" s="93"/>
      <c r="S327" s="93"/>
    </row>
    <row r="328" spans="13:19">
      <c r="M328" s="94"/>
      <c r="P328" s="93"/>
      <c r="S328" s="93"/>
    </row>
    <row r="329" spans="13:19">
      <c r="M329" s="94"/>
      <c r="P329" s="93"/>
      <c r="S329" s="93"/>
    </row>
    <row r="330" spans="13:19">
      <c r="M330" s="94"/>
      <c r="P330" s="93"/>
      <c r="S330" s="93"/>
    </row>
    <row r="331" spans="13:19">
      <c r="M331" s="94"/>
      <c r="P331" s="93"/>
      <c r="S331" s="93"/>
    </row>
    <row r="332" spans="13:19">
      <c r="M332" s="94"/>
      <c r="P332" s="93"/>
      <c r="S332" s="93"/>
    </row>
    <row r="333" spans="13:19">
      <c r="M333" s="94"/>
      <c r="P333" s="93"/>
      <c r="S333" s="93"/>
    </row>
    <row r="334" spans="13:19">
      <c r="M334" s="94"/>
      <c r="P334" s="93"/>
      <c r="S334" s="93"/>
    </row>
    <row r="335" spans="13:19">
      <c r="M335" s="94"/>
      <c r="P335" s="93"/>
      <c r="S335" s="93"/>
    </row>
    <row r="336" spans="13:19">
      <c r="M336" s="94"/>
      <c r="P336" s="93"/>
      <c r="S336" s="93"/>
    </row>
    <row r="337" spans="13:19">
      <c r="M337" s="94"/>
      <c r="P337" s="93"/>
      <c r="S337" s="93"/>
    </row>
    <row r="338" spans="13:19">
      <c r="M338" s="94"/>
      <c r="P338" s="93"/>
      <c r="S338" s="93"/>
    </row>
    <row r="339" spans="13:19">
      <c r="M339" s="94"/>
      <c r="P339" s="93"/>
      <c r="S339" s="93"/>
    </row>
    <row r="340" spans="13:19">
      <c r="M340" s="94"/>
      <c r="P340" s="93"/>
      <c r="S340" s="93"/>
    </row>
    <row r="341" spans="13:19">
      <c r="M341" s="94"/>
      <c r="P341" s="93"/>
      <c r="S341" s="93"/>
    </row>
    <row r="342" spans="13:19">
      <c r="M342" s="94"/>
      <c r="P342" s="93"/>
      <c r="S342" s="93"/>
    </row>
    <row r="343" spans="13:19">
      <c r="M343" s="94"/>
      <c r="P343" s="93"/>
      <c r="S343" s="93"/>
    </row>
    <row r="344" spans="13:19">
      <c r="M344" s="94"/>
      <c r="P344" s="93"/>
      <c r="S344" s="93"/>
    </row>
    <row r="345" spans="13:19">
      <c r="M345" s="94"/>
      <c r="P345" s="93"/>
      <c r="S345" s="93"/>
    </row>
    <row r="346" spans="13:19">
      <c r="M346" s="94"/>
      <c r="P346" s="93"/>
      <c r="S346" s="93"/>
    </row>
    <row r="347" spans="13:19">
      <c r="M347" s="94"/>
      <c r="P347" s="93"/>
      <c r="S347" s="93"/>
    </row>
    <row r="348" spans="13:19">
      <c r="M348" s="94"/>
      <c r="P348" s="93"/>
      <c r="S348" s="93"/>
    </row>
    <row r="349" spans="13:19">
      <c r="M349" s="94"/>
      <c r="P349" s="93"/>
      <c r="S349" s="93"/>
    </row>
    <row r="350" spans="13:19">
      <c r="M350" s="94"/>
      <c r="P350" s="93"/>
      <c r="S350" s="93"/>
    </row>
    <row r="351" spans="13:19">
      <c r="M351" s="94"/>
      <c r="P351" s="93"/>
      <c r="S351" s="93"/>
    </row>
    <row r="352" spans="13:19">
      <c r="M352" s="94"/>
      <c r="P352" s="93"/>
      <c r="S352" s="93"/>
    </row>
    <row r="353" spans="13:19">
      <c r="M353" s="94"/>
      <c r="P353" s="93"/>
      <c r="S353" s="93"/>
    </row>
    <row r="354" spans="13:19">
      <c r="M354" s="94"/>
      <c r="P354" s="93"/>
      <c r="S354" s="93"/>
    </row>
    <row r="355" spans="13:19">
      <c r="M355" s="94"/>
      <c r="P355" s="93"/>
      <c r="S355" s="93"/>
    </row>
    <row r="356" spans="13:19">
      <c r="M356" s="94"/>
      <c r="P356" s="93"/>
      <c r="S356" s="93"/>
    </row>
    <row r="357" spans="13:19">
      <c r="M357" s="94"/>
      <c r="P357" s="93"/>
      <c r="S357" s="93"/>
    </row>
    <row r="358" spans="13:19">
      <c r="M358" s="94"/>
      <c r="P358" s="93"/>
      <c r="S358" s="93"/>
    </row>
    <row r="359" spans="13:19">
      <c r="M359" s="94"/>
      <c r="P359" s="93"/>
      <c r="S359" s="93"/>
    </row>
    <row r="360" spans="13:19">
      <c r="M360" s="94"/>
      <c r="P360" s="93"/>
      <c r="S360" s="93"/>
    </row>
    <row r="361" spans="13:19">
      <c r="M361" s="94"/>
      <c r="P361" s="93"/>
      <c r="S361" s="93"/>
    </row>
    <row r="362" spans="13:19">
      <c r="M362" s="94"/>
      <c r="P362" s="93"/>
      <c r="S362" s="93"/>
    </row>
    <row r="363" spans="13:19">
      <c r="M363" s="94"/>
      <c r="P363" s="93"/>
      <c r="S363" s="93"/>
    </row>
    <row r="364" spans="13:19">
      <c r="M364" s="94"/>
      <c r="P364" s="93"/>
      <c r="S364" s="93"/>
    </row>
    <row r="365" spans="13:19">
      <c r="P365" s="93"/>
      <c r="S365" s="93"/>
    </row>
    <row r="366" spans="13:19">
      <c r="P366" s="93"/>
      <c r="S366" s="93"/>
    </row>
    <row r="367" spans="13:19">
      <c r="P367" s="93"/>
      <c r="S367" s="93"/>
    </row>
    <row r="368" spans="13:19">
      <c r="P368" s="93"/>
      <c r="S368" s="93"/>
    </row>
    <row r="369" spans="16:19">
      <c r="P369" s="93"/>
      <c r="S369" s="93"/>
    </row>
    <row r="370" spans="16:19">
      <c r="P370" s="93"/>
      <c r="S370" s="93"/>
    </row>
    <row r="371" spans="16:19">
      <c r="P371" s="93"/>
      <c r="S371" s="93"/>
    </row>
    <row r="372" spans="16:19">
      <c r="P372" s="93"/>
      <c r="S372" s="93"/>
    </row>
    <row r="373" spans="16:19">
      <c r="P373" s="93"/>
      <c r="S373" s="93"/>
    </row>
    <row r="374" spans="16:19">
      <c r="P374" s="93"/>
      <c r="S374" s="93"/>
    </row>
    <row r="375" spans="16:19">
      <c r="P375" s="93"/>
      <c r="S375" s="93"/>
    </row>
    <row r="376" spans="16:19">
      <c r="P376" s="93"/>
      <c r="S376" s="93"/>
    </row>
    <row r="377" spans="16:19">
      <c r="P377" s="93"/>
      <c r="S377" s="93"/>
    </row>
    <row r="378" spans="16:19">
      <c r="P378" s="93"/>
      <c r="S378" s="93"/>
    </row>
    <row r="379" spans="16:19">
      <c r="P379" s="93"/>
      <c r="S379" s="93"/>
    </row>
    <row r="380" spans="16:19">
      <c r="P380" s="93"/>
      <c r="S380" s="93"/>
    </row>
    <row r="381" spans="16:19">
      <c r="P381" s="93"/>
      <c r="S381" s="93"/>
    </row>
    <row r="382" spans="16:19">
      <c r="P382" s="93"/>
      <c r="S382" s="93"/>
    </row>
    <row r="383" spans="16:19">
      <c r="P383" s="93"/>
      <c r="S383" s="93"/>
    </row>
    <row r="384" spans="16:19">
      <c r="P384" s="93"/>
      <c r="S384" s="93"/>
    </row>
    <row r="385" spans="16:19">
      <c r="P385" s="93"/>
      <c r="S385" s="93"/>
    </row>
    <row r="386" spans="16:19">
      <c r="P386" s="93"/>
      <c r="S386" s="93"/>
    </row>
    <row r="387" spans="16:19">
      <c r="P387" s="93"/>
      <c r="S387" s="93"/>
    </row>
    <row r="388" spans="16:19">
      <c r="P388" s="93"/>
      <c r="S388" s="93"/>
    </row>
    <row r="389" spans="16:19">
      <c r="P389" s="93"/>
      <c r="S389" s="93"/>
    </row>
    <row r="390" spans="16:19">
      <c r="P390" s="93"/>
      <c r="S390" s="93"/>
    </row>
    <row r="391" spans="16:19">
      <c r="P391" s="93"/>
      <c r="S391" s="93"/>
    </row>
    <row r="392" spans="16:19">
      <c r="P392" s="93"/>
      <c r="S392" s="93"/>
    </row>
    <row r="393" spans="16:19">
      <c r="P393" s="93"/>
      <c r="S393" s="93"/>
    </row>
    <row r="394" spans="16:19">
      <c r="P394" s="93"/>
      <c r="S394" s="93"/>
    </row>
    <row r="395" spans="16:19">
      <c r="P395" s="93"/>
      <c r="S395" s="93"/>
    </row>
    <row r="396" spans="16:19">
      <c r="P396" s="93"/>
      <c r="S396" s="93"/>
    </row>
    <row r="397" spans="16:19">
      <c r="P397" s="93"/>
      <c r="S397" s="93"/>
    </row>
    <row r="398" spans="16:19">
      <c r="P398" s="93"/>
      <c r="S398" s="93"/>
    </row>
    <row r="399" spans="16:19">
      <c r="P399" s="93"/>
      <c r="S399" s="93"/>
    </row>
    <row r="400" spans="16:19">
      <c r="P400" s="93"/>
      <c r="S400" s="93"/>
    </row>
    <row r="401" spans="16:19">
      <c r="P401" s="93"/>
      <c r="S401" s="93"/>
    </row>
    <row r="402" spans="16:19">
      <c r="P402" s="93"/>
      <c r="S402" s="93"/>
    </row>
    <row r="403" spans="16:19">
      <c r="P403" s="93"/>
      <c r="S403" s="93"/>
    </row>
    <row r="404" spans="16:19">
      <c r="P404" s="93"/>
      <c r="S404" s="93"/>
    </row>
    <row r="405" spans="16:19">
      <c r="P405" s="93"/>
      <c r="S405" s="93"/>
    </row>
    <row r="406" spans="16:19">
      <c r="P406" s="93"/>
      <c r="S406" s="93"/>
    </row>
    <row r="407" spans="16:19">
      <c r="P407" s="93"/>
      <c r="S407" s="93"/>
    </row>
    <row r="408" spans="16:19">
      <c r="P408" s="93"/>
      <c r="S408" s="93"/>
    </row>
    <row r="409" spans="16:19">
      <c r="P409" s="93"/>
      <c r="S409" s="93"/>
    </row>
    <row r="410" spans="16:19">
      <c r="P410" s="93"/>
      <c r="S410" s="93"/>
    </row>
    <row r="411" spans="16:19">
      <c r="P411" s="93"/>
      <c r="S411" s="93"/>
    </row>
    <row r="412" spans="16:19">
      <c r="P412" s="93"/>
      <c r="S412" s="93"/>
    </row>
    <row r="413" spans="16:19">
      <c r="P413" s="93"/>
      <c r="S413" s="93"/>
    </row>
    <row r="414" spans="16:19">
      <c r="P414" s="93"/>
      <c r="S414" s="93"/>
    </row>
    <row r="415" spans="16:19">
      <c r="P415" s="93"/>
      <c r="S415" s="93"/>
    </row>
    <row r="416" spans="16:19">
      <c r="P416" s="93"/>
      <c r="S416" s="93"/>
    </row>
    <row r="417" spans="16:19">
      <c r="P417" s="93"/>
      <c r="S417" s="93"/>
    </row>
    <row r="418" spans="16:19">
      <c r="P418" s="93"/>
      <c r="S418" s="93"/>
    </row>
    <row r="419" spans="16:19">
      <c r="P419" s="93"/>
      <c r="S419" s="93"/>
    </row>
    <row r="420" spans="16:19">
      <c r="P420" s="93"/>
      <c r="S420" s="93"/>
    </row>
    <row r="421" spans="16:19">
      <c r="P421" s="93"/>
      <c r="S421" s="93"/>
    </row>
    <row r="422" spans="16:19">
      <c r="P422" s="93"/>
      <c r="S422" s="93"/>
    </row>
    <row r="423" spans="16:19">
      <c r="P423" s="93"/>
      <c r="S423" s="93"/>
    </row>
    <row r="424" spans="16:19">
      <c r="P424" s="93"/>
      <c r="S424" s="93"/>
    </row>
    <row r="425" spans="16:19">
      <c r="P425" s="93"/>
      <c r="S425" s="93"/>
    </row>
    <row r="426" spans="16:19">
      <c r="P426" s="93"/>
      <c r="S426" s="93"/>
    </row>
    <row r="427" spans="16:19">
      <c r="P427" s="93"/>
      <c r="S427" s="93"/>
    </row>
    <row r="428" spans="16:19">
      <c r="P428" s="93"/>
      <c r="S428" s="93"/>
    </row>
    <row r="429" spans="16:19">
      <c r="P429" s="93"/>
      <c r="S429" s="93"/>
    </row>
    <row r="430" spans="16:19">
      <c r="P430" s="93"/>
      <c r="S430" s="93"/>
    </row>
    <row r="431" spans="16:19">
      <c r="P431" s="93"/>
      <c r="S431" s="93"/>
    </row>
    <row r="432" spans="16:19">
      <c r="P432" s="93"/>
      <c r="S432" s="93"/>
    </row>
    <row r="433" spans="16:19">
      <c r="P433" s="93"/>
      <c r="S433" s="93"/>
    </row>
    <row r="434" spans="16:19">
      <c r="P434" s="93"/>
      <c r="S434" s="93"/>
    </row>
    <row r="435" spans="16:19">
      <c r="P435" s="93"/>
      <c r="S435" s="93"/>
    </row>
    <row r="436" spans="16:19">
      <c r="P436" s="93"/>
      <c r="S436" s="93"/>
    </row>
    <row r="437" spans="16:19">
      <c r="P437" s="93"/>
      <c r="S437" s="93"/>
    </row>
    <row r="438" spans="16:19">
      <c r="P438" s="93"/>
      <c r="S438" s="93"/>
    </row>
    <row r="439" spans="16:19">
      <c r="P439" s="93"/>
      <c r="S439" s="93"/>
    </row>
    <row r="440" spans="16:19">
      <c r="P440" s="93"/>
      <c r="S440" s="93"/>
    </row>
    <row r="441" spans="16:19">
      <c r="P441" s="93"/>
      <c r="S441" s="93"/>
    </row>
    <row r="442" spans="16:19">
      <c r="P442" s="93"/>
      <c r="S442" s="93"/>
    </row>
    <row r="443" spans="16:19">
      <c r="P443" s="93"/>
      <c r="S443" s="93"/>
    </row>
    <row r="444" spans="16:19">
      <c r="P444" s="93"/>
      <c r="S444" s="93"/>
    </row>
    <row r="445" spans="16:19">
      <c r="P445" s="93"/>
      <c r="S445" s="93"/>
    </row>
    <row r="446" spans="16:19">
      <c r="P446" s="93"/>
      <c r="S446" s="93"/>
    </row>
    <row r="447" spans="16:19">
      <c r="P447" s="93"/>
      <c r="S447" s="93"/>
    </row>
    <row r="448" spans="16:19">
      <c r="P448" s="93"/>
      <c r="S448" s="93"/>
    </row>
    <row r="449" spans="16:19">
      <c r="P449" s="93"/>
      <c r="S449" s="93"/>
    </row>
    <row r="450" spans="16:19">
      <c r="P450" s="93"/>
      <c r="S450" s="93"/>
    </row>
    <row r="451" spans="16:19">
      <c r="P451" s="93"/>
      <c r="S451" s="93"/>
    </row>
    <row r="452" spans="16:19">
      <c r="P452" s="93"/>
      <c r="S452" s="93"/>
    </row>
    <row r="453" spans="16:19">
      <c r="P453" s="93"/>
      <c r="S453" s="93"/>
    </row>
    <row r="454" spans="16:19">
      <c r="P454" s="93"/>
      <c r="S454" s="93"/>
    </row>
    <row r="455" spans="16:19">
      <c r="P455" s="93"/>
      <c r="S455" s="93"/>
    </row>
    <row r="456" spans="16:19">
      <c r="P456" s="93"/>
      <c r="S456" s="93"/>
    </row>
    <row r="457" spans="16:19">
      <c r="P457" s="93"/>
      <c r="S457" s="93"/>
    </row>
    <row r="458" spans="16:19">
      <c r="P458" s="93"/>
      <c r="S458" s="93"/>
    </row>
    <row r="459" spans="16:19">
      <c r="P459" s="93"/>
      <c r="S459" s="93"/>
    </row>
    <row r="460" spans="16:19">
      <c r="P460" s="93"/>
      <c r="S460" s="93"/>
    </row>
    <row r="461" spans="16:19">
      <c r="P461" s="93"/>
      <c r="S461" s="93"/>
    </row>
    <row r="462" spans="16:19">
      <c r="P462" s="93"/>
      <c r="S462" s="93"/>
    </row>
    <row r="463" spans="16:19">
      <c r="P463" s="93"/>
      <c r="S463" s="93"/>
    </row>
    <row r="464" spans="16:19">
      <c r="P464" s="93"/>
      <c r="S464" s="93"/>
    </row>
    <row r="465" spans="16:19">
      <c r="P465" s="93"/>
      <c r="S465" s="93"/>
    </row>
    <row r="466" spans="16:19">
      <c r="P466" s="93"/>
      <c r="S466" s="93"/>
    </row>
  </sheetData>
  <mergeCells count="15">
    <mergeCell ref="A109:S109"/>
    <mergeCell ref="A110:S110"/>
    <mergeCell ref="A7:S7"/>
    <mergeCell ref="A59:S59"/>
    <mergeCell ref="Q4:Q5"/>
    <mergeCell ref="R4:R5"/>
    <mergeCell ref="S4:S5"/>
    <mergeCell ref="O6:S6"/>
    <mergeCell ref="A58:S58"/>
    <mergeCell ref="A4:I6"/>
    <mergeCell ref="J4:M5"/>
    <mergeCell ref="N4:N6"/>
    <mergeCell ref="O4:O5"/>
    <mergeCell ref="P4:P5"/>
    <mergeCell ref="A8:S8"/>
  </mergeCells>
  <hyperlinks>
    <hyperlink ref="A1:I1" location="Главная!A1" display="Вернуться на главную страницу" xr:uid="{00000000-0004-0000-1B00-000000000000}"/>
    <hyperlink ref="A2" location="'Калькулятор теплоотдач ВК'!R1C1" display="Вернуться Калькулятор теплоотдач ВК" xr:uid="{00000000-0004-0000-1B00-000001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Лист30">
    <tabColor rgb="FFFFC000"/>
  </sheetPr>
  <dimension ref="A1:U466"/>
  <sheetViews>
    <sheetView zoomScale="70" zoomScaleNormal="70" workbookViewId="0">
      <pane ySplit="6" topLeftCell="A7" activePane="bottomLeft" state="frozen"/>
      <selection pane="bottomLeft" activeCell="U3" sqref="U3"/>
    </sheetView>
  </sheetViews>
  <sheetFormatPr defaultRowHeight="15.75"/>
  <cols>
    <col min="1" max="1" width="3.7109375" style="7" customWidth="1"/>
    <col min="2" max="2" width="6" style="7" customWidth="1"/>
    <col min="3" max="3" width="3" style="7" customWidth="1"/>
    <col min="4" max="4" width="6" style="7" customWidth="1"/>
    <col min="5" max="5" width="3" style="7" customWidth="1"/>
    <col min="6" max="6" width="7.7109375" style="96" customWidth="1"/>
    <col min="7" max="7" width="3" style="7" customWidth="1"/>
    <col min="8" max="8" width="6" style="7" customWidth="1"/>
    <col min="9" max="9" width="4.5703125" style="7" customWidth="1"/>
    <col min="10" max="10" width="11.28515625" style="7" customWidth="1"/>
    <col min="11" max="12" width="11.28515625" style="96" customWidth="1"/>
    <col min="13" max="13" width="15.5703125" style="1" customWidth="1"/>
    <col min="14" max="14" width="19.140625" style="7" customWidth="1"/>
    <col min="15" max="15" width="27.7109375" style="122" customWidth="1"/>
    <col min="16" max="16" width="27.7109375" style="116" customWidth="1"/>
    <col min="17" max="17" width="26.28515625" style="117" customWidth="1"/>
    <col min="18" max="18" width="27.7109375" style="122" customWidth="1"/>
    <col min="19" max="19" width="27.7109375" style="117" customWidth="1"/>
    <col min="21" max="21" width="22.42578125" customWidth="1"/>
  </cols>
  <sheetData>
    <row r="1" spans="1:21" ht="16.5" customHeight="1">
      <c r="A1" s="1217" t="s">
        <v>9</v>
      </c>
      <c r="B1" s="1217"/>
      <c r="C1" s="1217"/>
      <c r="D1" s="1217"/>
      <c r="E1" s="1217"/>
      <c r="F1" s="97"/>
      <c r="G1" s="1217"/>
      <c r="H1" s="1217"/>
      <c r="I1" s="1217"/>
      <c r="M1" s="175"/>
      <c r="O1" s="117"/>
      <c r="P1" s="117"/>
      <c r="R1" s="117"/>
    </row>
    <row r="2" spans="1:21" s="74" customFormat="1" ht="16.5" customHeight="1">
      <c r="A2" s="956" t="s">
        <v>378</v>
      </c>
      <c r="B2" s="1217"/>
      <c r="C2" s="1217"/>
      <c r="D2" s="1217"/>
      <c r="E2" s="1217"/>
      <c r="F2" s="97"/>
      <c r="G2" s="1217"/>
      <c r="H2" s="1217"/>
      <c r="I2" s="1217"/>
      <c r="J2" s="7"/>
      <c r="K2" s="96"/>
      <c r="L2" s="96"/>
      <c r="M2" s="175"/>
      <c r="N2" s="7"/>
      <c r="O2" s="117"/>
      <c r="P2" s="117"/>
      <c r="Q2" s="117"/>
      <c r="R2" s="117"/>
      <c r="S2" s="117"/>
    </row>
    <row r="3" spans="1:21" s="74" customFormat="1" ht="13.5" customHeight="1" thickBot="1">
      <c r="A3" s="16"/>
      <c r="B3" s="16"/>
      <c r="C3" s="16"/>
      <c r="D3" s="16"/>
      <c r="E3" s="16"/>
      <c r="F3" s="109"/>
      <c r="G3" s="16"/>
      <c r="H3" s="16"/>
      <c r="I3" s="16"/>
      <c r="J3" s="16"/>
      <c r="K3" s="108"/>
      <c r="L3" s="108"/>
      <c r="M3" s="175"/>
      <c r="N3" s="7"/>
      <c r="O3" s="116"/>
      <c r="P3" s="116"/>
      <c r="Q3" s="117"/>
      <c r="R3" s="117"/>
      <c r="S3" s="117"/>
    </row>
    <row r="4" spans="1:21" s="74" customFormat="1" ht="69" customHeight="1">
      <c r="A4" s="2643" t="s">
        <v>8</v>
      </c>
      <c r="B4" s="2644"/>
      <c r="C4" s="2644"/>
      <c r="D4" s="2644"/>
      <c r="E4" s="2644"/>
      <c r="F4" s="2644"/>
      <c r="G4" s="2644"/>
      <c r="H4" s="2644"/>
      <c r="I4" s="2645"/>
      <c r="J4" s="2637" t="s">
        <v>97</v>
      </c>
      <c r="K4" s="2638"/>
      <c r="L4" s="2638"/>
      <c r="M4" s="2639"/>
      <c r="N4" s="2652" t="s">
        <v>96</v>
      </c>
      <c r="O4" s="2655" t="s">
        <v>170</v>
      </c>
      <c r="P4" s="2617" t="s">
        <v>166</v>
      </c>
      <c r="Q4" s="2655" t="s">
        <v>171</v>
      </c>
      <c r="R4" s="2630" t="s">
        <v>460</v>
      </c>
      <c r="S4" s="2590" t="s">
        <v>461</v>
      </c>
    </row>
    <row r="5" spans="1:21" s="74" customFormat="1" ht="72.75" customHeight="1" thickBot="1">
      <c r="A5" s="2646"/>
      <c r="B5" s="2647"/>
      <c r="C5" s="2647"/>
      <c r="D5" s="2647"/>
      <c r="E5" s="2647"/>
      <c r="F5" s="2647"/>
      <c r="G5" s="2647"/>
      <c r="H5" s="2647"/>
      <c r="I5" s="2648"/>
      <c r="J5" s="2640"/>
      <c r="K5" s="2641"/>
      <c r="L5" s="2641"/>
      <c r="M5" s="2642"/>
      <c r="N5" s="2653"/>
      <c r="O5" s="2656"/>
      <c r="P5" s="2618"/>
      <c r="Q5" s="2656"/>
      <c r="R5" s="2631"/>
      <c r="S5" s="2591"/>
    </row>
    <row r="6" spans="1:21" s="74" customFormat="1" ht="61.5" customHeight="1" thickBot="1">
      <c r="A6" s="2649"/>
      <c r="B6" s="2650"/>
      <c r="C6" s="2650"/>
      <c r="D6" s="2650"/>
      <c r="E6" s="2650"/>
      <c r="F6" s="2650"/>
      <c r="G6" s="2650"/>
      <c r="H6" s="2650"/>
      <c r="I6" s="2651"/>
      <c r="J6" s="1223" t="s">
        <v>0</v>
      </c>
      <c r="K6" s="115" t="s">
        <v>1</v>
      </c>
      <c r="L6" s="115" t="s">
        <v>2</v>
      </c>
      <c r="M6" s="180" t="s">
        <v>94</v>
      </c>
      <c r="N6" s="2654"/>
      <c r="O6" s="2634" t="s">
        <v>169</v>
      </c>
      <c r="P6" s="2635"/>
      <c r="Q6" s="2635"/>
      <c r="R6" s="2635"/>
      <c r="S6" s="2636"/>
    </row>
    <row r="7" spans="1:21" ht="22.5" customHeight="1" thickBot="1">
      <c r="A7" s="2580" t="s">
        <v>50</v>
      </c>
      <c r="B7" s="2581"/>
      <c r="C7" s="2581"/>
      <c r="D7" s="2581"/>
      <c r="E7" s="2581"/>
      <c r="F7" s="2581"/>
      <c r="G7" s="2581"/>
      <c r="H7" s="2581"/>
      <c r="I7" s="2581"/>
      <c r="J7" s="2581"/>
      <c r="K7" s="2581"/>
      <c r="L7" s="2581"/>
      <c r="M7" s="2581"/>
      <c r="N7" s="2581"/>
      <c r="O7" s="2581"/>
      <c r="P7" s="2581"/>
      <c r="Q7" s="2581"/>
      <c r="R7" s="2581"/>
      <c r="S7" s="2582"/>
    </row>
    <row r="8" spans="1:21" ht="16.5" thickBot="1">
      <c r="A8" s="2583" t="s">
        <v>139</v>
      </c>
      <c r="B8" s="2584"/>
      <c r="C8" s="2584"/>
      <c r="D8" s="2584"/>
      <c r="E8" s="2584"/>
      <c r="F8" s="2584"/>
      <c r="G8" s="2584"/>
      <c r="H8" s="2584"/>
      <c r="I8" s="2584"/>
      <c r="J8" s="2584"/>
      <c r="K8" s="2584"/>
      <c r="L8" s="2584"/>
      <c r="M8" s="2584"/>
      <c r="N8" s="2584"/>
      <c r="O8" s="2584"/>
      <c r="P8" s="2584"/>
      <c r="Q8" s="2584"/>
      <c r="R8" s="2632"/>
      <c r="S8" s="2633"/>
    </row>
    <row r="9" spans="1:21" ht="16.5" customHeight="1" thickBot="1">
      <c r="A9" s="47" t="s">
        <v>35</v>
      </c>
      <c r="B9" s="48">
        <f>J9</f>
        <v>600</v>
      </c>
      <c r="C9" s="48" t="s">
        <v>3</v>
      </c>
      <c r="D9" s="48">
        <f>K9</f>
        <v>260</v>
      </c>
      <c r="E9" s="48" t="s">
        <v>3</v>
      </c>
      <c r="F9" s="99">
        <f>L9</f>
        <v>600</v>
      </c>
      <c r="G9" s="48" t="s">
        <v>3</v>
      </c>
      <c r="H9" s="48">
        <v>4</v>
      </c>
      <c r="I9" s="49" t="s">
        <v>46</v>
      </c>
      <c r="J9" s="181">
        <v>600</v>
      </c>
      <c r="K9" s="143">
        <v>260</v>
      </c>
      <c r="L9" s="143">
        <v>600</v>
      </c>
      <c r="M9" s="201">
        <v>14.753058100560526</v>
      </c>
      <c r="N9" s="144">
        <v>453.47914970242942</v>
      </c>
      <c r="O9" s="145">
        <v>14904.112892797015</v>
      </c>
      <c r="P9" s="198">
        <v>17833.175541387376</v>
      </c>
      <c r="Q9" s="309">
        <v>7536.0353334550891</v>
      </c>
      <c r="R9" s="318">
        <v>22440.148226252102</v>
      </c>
      <c r="S9" s="313">
        <v>25369.210874842465</v>
      </c>
      <c r="U9" s="7" t="s">
        <v>4440</v>
      </c>
    </row>
    <row r="10" spans="1:21" ht="16.5" thickBot="1">
      <c r="A10" s="50" t="s">
        <v>35</v>
      </c>
      <c r="B10" s="51">
        <f t="shared" ref="B10:B57" si="0">J10</f>
        <v>600</v>
      </c>
      <c r="C10" s="51" t="s">
        <v>3</v>
      </c>
      <c r="D10" s="51">
        <f t="shared" ref="D10:D57" si="1">K10</f>
        <v>260</v>
      </c>
      <c r="E10" s="51" t="s">
        <v>3</v>
      </c>
      <c r="F10" s="99">
        <f t="shared" ref="F10:F57" si="2">L10</f>
        <v>650</v>
      </c>
      <c r="G10" s="51" t="s">
        <v>3</v>
      </c>
      <c r="H10" s="48">
        <v>4</v>
      </c>
      <c r="I10" s="49" t="s">
        <v>46</v>
      </c>
      <c r="J10" s="184">
        <v>600</v>
      </c>
      <c r="K10" s="75">
        <v>260</v>
      </c>
      <c r="L10" s="75">
        <v>650</v>
      </c>
      <c r="M10" s="202">
        <v>15.718412170425788</v>
      </c>
      <c r="N10" s="87">
        <v>544.17497964291533</v>
      </c>
      <c r="O10" s="123">
        <v>15692.408566651802</v>
      </c>
      <c r="P10" s="199">
        <v>18805.998267793926</v>
      </c>
      <c r="Q10" s="310">
        <v>7967.645945822027</v>
      </c>
      <c r="R10" s="319">
        <v>23660.054512473827</v>
      </c>
      <c r="S10" s="315">
        <v>26773.644213615953</v>
      </c>
      <c r="U10" s="7" t="s">
        <v>4441</v>
      </c>
    </row>
    <row r="11" spans="1:21" ht="16.5" customHeight="1" thickBot="1">
      <c r="A11" s="50" t="s">
        <v>35</v>
      </c>
      <c r="B11" s="51">
        <f t="shared" si="0"/>
        <v>600</v>
      </c>
      <c r="C11" s="51" t="s">
        <v>3</v>
      </c>
      <c r="D11" s="51">
        <f t="shared" si="1"/>
        <v>260</v>
      </c>
      <c r="E11" s="51" t="s">
        <v>3</v>
      </c>
      <c r="F11" s="99">
        <f t="shared" si="2"/>
        <v>700</v>
      </c>
      <c r="G11" s="51" t="s">
        <v>3</v>
      </c>
      <c r="H11" s="48">
        <v>4</v>
      </c>
      <c r="I11" s="49" t="s">
        <v>46</v>
      </c>
      <c r="J11" s="184">
        <v>600</v>
      </c>
      <c r="K11" s="75">
        <v>260</v>
      </c>
      <c r="L11" s="75">
        <v>700</v>
      </c>
      <c r="M11" s="202">
        <v>16.700806240291051</v>
      </c>
      <c r="N11" s="87">
        <v>634.87080958340118</v>
      </c>
      <c r="O11" s="123">
        <v>16480.704380899952</v>
      </c>
      <c r="P11" s="199">
        <v>19778.820994200334</v>
      </c>
      <c r="Q11" s="310">
        <v>8629.8383359722393</v>
      </c>
      <c r="R11" s="319">
        <v>25110.542716872191</v>
      </c>
      <c r="S11" s="315">
        <v>28408.659330172573</v>
      </c>
      <c r="U11" s="7" t="s">
        <v>4442</v>
      </c>
    </row>
    <row r="12" spans="1:21" ht="16.5" thickBot="1">
      <c r="A12" s="50" t="s">
        <v>35</v>
      </c>
      <c r="B12" s="51">
        <f t="shared" si="0"/>
        <v>600</v>
      </c>
      <c r="C12" s="51" t="s">
        <v>3</v>
      </c>
      <c r="D12" s="51">
        <f t="shared" si="1"/>
        <v>260</v>
      </c>
      <c r="E12" s="51" t="s">
        <v>3</v>
      </c>
      <c r="F12" s="99">
        <f t="shared" si="2"/>
        <v>750</v>
      </c>
      <c r="G12" s="51" t="s">
        <v>3</v>
      </c>
      <c r="H12" s="48">
        <v>4</v>
      </c>
      <c r="I12" s="49" t="s">
        <v>46</v>
      </c>
      <c r="J12" s="184">
        <v>600</v>
      </c>
      <c r="K12" s="75">
        <v>260</v>
      </c>
      <c r="L12" s="75">
        <v>750</v>
      </c>
      <c r="M12" s="202">
        <v>17.666160310156314</v>
      </c>
      <c r="N12" s="87">
        <v>725.56663952388715</v>
      </c>
      <c r="O12" s="123">
        <v>17269.000054754739</v>
      </c>
      <c r="P12" s="199">
        <v>20751.643720606746</v>
      </c>
      <c r="Q12" s="310">
        <v>9061.4489483391772</v>
      </c>
      <c r="R12" s="319">
        <v>26330.449003093916</v>
      </c>
      <c r="S12" s="315">
        <v>29813.092668945923</v>
      </c>
      <c r="U12" s="7" t="s">
        <v>4443</v>
      </c>
    </row>
    <row r="13" spans="1:21" ht="16.5" customHeight="1" thickBot="1">
      <c r="A13" s="50" t="s">
        <v>35</v>
      </c>
      <c r="B13" s="51">
        <f t="shared" si="0"/>
        <v>600</v>
      </c>
      <c r="C13" s="51" t="s">
        <v>3</v>
      </c>
      <c r="D13" s="51">
        <f t="shared" si="1"/>
        <v>260</v>
      </c>
      <c r="E13" s="51" t="s">
        <v>3</v>
      </c>
      <c r="F13" s="99">
        <f t="shared" si="2"/>
        <v>800</v>
      </c>
      <c r="G13" s="51" t="s">
        <v>3</v>
      </c>
      <c r="H13" s="48">
        <v>4</v>
      </c>
      <c r="I13" s="49" t="s">
        <v>46</v>
      </c>
      <c r="J13" s="184">
        <v>600</v>
      </c>
      <c r="K13" s="75">
        <v>260</v>
      </c>
      <c r="L13" s="75">
        <v>800</v>
      </c>
      <c r="M13" s="202">
        <v>18.631514380021578</v>
      </c>
      <c r="N13" s="87">
        <v>816.262469464373</v>
      </c>
      <c r="O13" s="123">
        <v>18057.29572860953</v>
      </c>
      <c r="P13" s="199">
        <v>21724.466447013154</v>
      </c>
      <c r="Q13" s="310">
        <v>9493.059560706115</v>
      </c>
      <c r="R13" s="319">
        <v>27550.355289315645</v>
      </c>
      <c r="S13" s="315">
        <v>31217.526007719269</v>
      </c>
      <c r="U13" s="7" t="s">
        <v>4444</v>
      </c>
    </row>
    <row r="14" spans="1:21" ht="16.5" thickBot="1">
      <c r="A14" s="50" t="s">
        <v>35</v>
      </c>
      <c r="B14" s="51">
        <f t="shared" si="0"/>
        <v>600</v>
      </c>
      <c r="C14" s="51" t="s">
        <v>3</v>
      </c>
      <c r="D14" s="51">
        <f t="shared" si="1"/>
        <v>260</v>
      </c>
      <c r="E14" s="51" t="s">
        <v>3</v>
      </c>
      <c r="F14" s="99">
        <f t="shared" si="2"/>
        <v>850</v>
      </c>
      <c r="G14" s="51" t="s">
        <v>3</v>
      </c>
      <c r="H14" s="48">
        <v>4</v>
      </c>
      <c r="I14" s="49" t="s">
        <v>46</v>
      </c>
      <c r="J14" s="184">
        <v>600</v>
      </c>
      <c r="K14" s="75">
        <v>260</v>
      </c>
      <c r="L14" s="75">
        <v>850</v>
      </c>
      <c r="M14" s="202">
        <v>19.613908449886839</v>
      </c>
      <c r="N14" s="87">
        <v>906.95829940485885</v>
      </c>
      <c r="O14" s="123">
        <v>18845.591542857677</v>
      </c>
      <c r="P14" s="199">
        <v>22697.289173419707</v>
      </c>
      <c r="Q14" s="310">
        <v>10155.251950856327</v>
      </c>
      <c r="R14" s="319">
        <v>29000.843493714005</v>
      </c>
      <c r="S14" s="315">
        <v>32852.541124276031</v>
      </c>
      <c r="U14" s="7" t="s">
        <v>4445</v>
      </c>
    </row>
    <row r="15" spans="1:21" ht="16.5" customHeight="1" thickBot="1">
      <c r="A15" s="50" t="s">
        <v>35</v>
      </c>
      <c r="B15" s="51">
        <f t="shared" si="0"/>
        <v>600</v>
      </c>
      <c r="C15" s="51" t="s">
        <v>3</v>
      </c>
      <c r="D15" s="51">
        <f t="shared" si="1"/>
        <v>260</v>
      </c>
      <c r="E15" s="51" t="s">
        <v>3</v>
      </c>
      <c r="F15" s="99">
        <f t="shared" si="2"/>
        <v>900</v>
      </c>
      <c r="G15" s="51" t="s">
        <v>3</v>
      </c>
      <c r="H15" s="48">
        <v>4</v>
      </c>
      <c r="I15" s="49" t="s">
        <v>46</v>
      </c>
      <c r="J15" s="184">
        <v>600</v>
      </c>
      <c r="K15" s="75">
        <v>260</v>
      </c>
      <c r="L15" s="75">
        <v>900</v>
      </c>
      <c r="M15" s="202">
        <v>20.579262519752099</v>
      </c>
      <c r="N15" s="87">
        <v>997.65412934534493</v>
      </c>
      <c r="O15" s="123">
        <v>19633.887216712465</v>
      </c>
      <c r="P15" s="199">
        <v>23670.111899826115</v>
      </c>
      <c r="Q15" s="310">
        <v>10586.862563223265</v>
      </c>
      <c r="R15" s="319">
        <v>30220.74977993573</v>
      </c>
      <c r="S15" s="315">
        <v>34256.974463049381</v>
      </c>
      <c r="U15" s="7" t="s">
        <v>4446</v>
      </c>
    </row>
    <row r="16" spans="1:21" ht="16.5" thickBot="1">
      <c r="A16" s="50" t="s">
        <v>35</v>
      </c>
      <c r="B16" s="51">
        <f t="shared" si="0"/>
        <v>600</v>
      </c>
      <c r="C16" s="51" t="s">
        <v>3</v>
      </c>
      <c r="D16" s="51">
        <f t="shared" si="1"/>
        <v>260</v>
      </c>
      <c r="E16" s="51" t="s">
        <v>3</v>
      </c>
      <c r="F16" s="99">
        <f t="shared" si="2"/>
        <v>950</v>
      </c>
      <c r="G16" s="51" t="s">
        <v>3</v>
      </c>
      <c r="H16" s="48">
        <v>4</v>
      </c>
      <c r="I16" s="49" t="s">
        <v>46</v>
      </c>
      <c r="J16" s="184">
        <v>600</v>
      </c>
      <c r="K16" s="75">
        <v>260</v>
      </c>
      <c r="L16" s="75">
        <v>950</v>
      </c>
      <c r="M16" s="202">
        <v>21.561656589617364</v>
      </c>
      <c r="N16" s="87">
        <v>1088.3499592858307</v>
      </c>
      <c r="O16" s="123">
        <v>20422.182890567256</v>
      </c>
      <c r="P16" s="199">
        <v>24642.934626232523</v>
      </c>
      <c r="Q16" s="310">
        <v>11249.054953373477</v>
      </c>
      <c r="R16" s="319">
        <v>31671.237843940733</v>
      </c>
      <c r="S16" s="315">
        <v>35891.989579606001</v>
      </c>
      <c r="U16" s="7" t="s">
        <v>4447</v>
      </c>
    </row>
    <row r="17" spans="1:21" ht="16.5" customHeight="1" thickBot="1">
      <c r="A17" s="50" t="s">
        <v>35</v>
      </c>
      <c r="B17" s="51">
        <f t="shared" si="0"/>
        <v>600</v>
      </c>
      <c r="C17" s="51" t="s">
        <v>3</v>
      </c>
      <c r="D17" s="51">
        <f t="shared" si="1"/>
        <v>260</v>
      </c>
      <c r="E17" s="51" t="s">
        <v>3</v>
      </c>
      <c r="F17" s="99">
        <f t="shared" si="2"/>
        <v>1000</v>
      </c>
      <c r="G17" s="51" t="s">
        <v>3</v>
      </c>
      <c r="H17" s="48">
        <v>4</v>
      </c>
      <c r="I17" s="49" t="s">
        <v>46</v>
      </c>
      <c r="J17" s="184">
        <v>600</v>
      </c>
      <c r="K17" s="75">
        <v>260</v>
      </c>
      <c r="L17" s="75">
        <v>1000</v>
      </c>
      <c r="M17" s="202">
        <v>22.527010659482634</v>
      </c>
      <c r="N17" s="87">
        <v>1179.0457892263164</v>
      </c>
      <c r="O17" s="123">
        <v>21210.478704815403</v>
      </c>
      <c r="P17" s="199">
        <v>25615.757352638935</v>
      </c>
      <c r="Q17" s="310">
        <v>11680.665565740415</v>
      </c>
      <c r="R17" s="319">
        <v>32891.144270555815</v>
      </c>
      <c r="S17" s="315">
        <v>37296.42291837935</v>
      </c>
      <c r="U17" s="7" t="s">
        <v>4448</v>
      </c>
    </row>
    <row r="18" spans="1:21" ht="16.5" thickBot="1">
      <c r="A18" s="50" t="s">
        <v>35</v>
      </c>
      <c r="B18" s="51">
        <f t="shared" si="0"/>
        <v>600</v>
      </c>
      <c r="C18" s="51" t="s">
        <v>3</v>
      </c>
      <c r="D18" s="51">
        <f t="shared" si="1"/>
        <v>260</v>
      </c>
      <c r="E18" s="51" t="s">
        <v>3</v>
      </c>
      <c r="F18" s="99">
        <f t="shared" si="2"/>
        <v>1050</v>
      </c>
      <c r="G18" s="51" t="s">
        <v>3</v>
      </c>
      <c r="H18" s="48">
        <v>4</v>
      </c>
      <c r="I18" s="49" t="s">
        <v>46</v>
      </c>
      <c r="J18" s="184">
        <v>600</v>
      </c>
      <c r="K18" s="75">
        <v>260</v>
      </c>
      <c r="L18" s="75">
        <v>1050</v>
      </c>
      <c r="M18" s="202">
        <v>23.509404729347892</v>
      </c>
      <c r="N18" s="87">
        <v>1269.7416191668024</v>
      </c>
      <c r="O18" s="123">
        <v>21998.77437867019</v>
      </c>
      <c r="P18" s="199">
        <v>26588.580079045485</v>
      </c>
      <c r="Q18" s="310">
        <v>12342.857815497266</v>
      </c>
      <c r="R18" s="319">
        <v>34341.632194167454</v>
      </c>
      <c r="S18" s="315">
        <v>38931.437894542752</v>
      </c>
      <c r="U18" s="7" t="s">
        <v>4449</v>
      </c>
    </row>
    <row r="19" spans="1:21" ht="16.5" customHeight="1" thickBot="1">
      <c r="A19" s="47" t="s">
        <v>35</v>
      </c>
      <c r="B19" s="48">
        <f t="shared" si="0"/>
        <v>600</v>
      </c>
      <c r="C19" s="48" t="s">
        <v>3</v>
      </c>
      <c r="D19" s="48">
        <f t="shared" si="1"/>
        <v>260</v>
      </c>
      <c r="E19" s="48" t="s">
        <v>3</v>
      </c>
      <c r="F19" s="99">
        <f t="shared" si="2"/>
        <v>1100</v>
      </c>
      <c r="G19" s="48" t="s">
        <v>3</v>
      </c>
      <c r="H19" s="48">
        <v>4</v>
      </c>
      <c r="I19" s="49" t="s">
        <v>46</v>
      </c>
      <c r="J19" s="184">
        <v>600</v>
      </c>
      <c r="K19" s="75">
        <v>260</v>
      </c>
      <c r="L19" s="75">
        <v>1100</v>
      </c>
      <c r="M19" s="202">
        <v>24.474758799213156</v>
      </c>
      <c r="N19" s="87">
        <v>1360.4374491072883</v>
      </c>
      <c r="O19" s="123">
        <v>22787.070052524981</v>
      </c>
      <c r="P19" s="199">
        <v>27561.402805451893</v>
      </c>
      <c r="Q19" s="310">
        <v>12774.468427864203</v>
      </c>
      <c r="R19" s="319">
        <v>35561.538480389187</v>
      </c>
      <c r="S19" s="315">
        <v>40335.871233316095</v>
      </c>
      <c r="U19" s="7" t="s">
        <v>4450</v>
      </c>
    </row>
    <row r="20" spans="1:21" ht="16.5" thickBot="1">
      <c r="A20" s="50" t="s">
        <v>35</v>
      </c>
      <c r="B20" s="51">
        <f t="shared" si="0"/>
        <v>600</v>
      </c>
      <c r="C20" s="51" t="s">
        <v>3</v>
      </c>
      <c r="D20" s="51">
        <f t="shared" si="1"/>
        <v>260</v>
      </c>
      <c r="E20" s="51" t="s">
        <v>3</v>
      </c>
      <c r="F20" s="99">
        <f t="shared" si="2"/>
        <v>1150</v>
      </c>
      <c r="G20" s="51" t="s">
        <v>3</v>
      </c>
      <c r="H20" s="48">
        <v>4</v>
      </c>
      <c r="I20" s="49" t="s">
        <v>46</v>
      </c>
      <c r="J20" s="184">
        <v>600</v>
      </c>
      <c r="K20" s="75">
        <v>260</v>
      </c>
      <c r="L20" s="75">
        <v>1150</v>
      </c>
      <c r="M20" s="202">
        <v>25.440112869078419</v>
      </c>
      <c r="N20" s="87">
        <v>1451.1332790477743</v>
      </c>
      <c r="O20" s="123">
        <v>23575.365866773132</v>
      </c>
      <c r="P20" s="199">
        <v>28534.225531858305</v>
      </c>
      <c r="Q20" s="310">
        <v>13206.07904023114</v>
      </c>
      <c r="R20" s="319">
        <v>36781.444907004276</v>
      </c>
      <c r="S20" s="315">
        <v>41740.304572089444</v>
      </c>
      <c r="U20" s="7" t="s">
        <v>4451</v>
      </c>
    </row>
    <row r="21" spans="1:21" ht="16.5" customHeight="1" thickBot="1">
      <c r="A21" s="50" t="s">
        <v>35</v>
      </c>
      <c r="B21" s="51">
        <f t="shared" si="0"/>
        <v>600</v>
      </c>
      <c r="C21" s="51" t="s">
        <v>3</v>
      </c>
      <c r="D21" s="51">
        <f t="shared" si="1"/>
        <v>260</v>
      </c>
      <c r="E21" s="51" t="s">
        <v>3</v>
      </c>
      <c r="F21" s="99">
        <f t="shared" si="2"/>
        <v>1200</v>
      </c>
      <c r="G21" s="51" t="s">
        <v>3</v>
      </c>
      <c r="H21" s="48">
        <v>4</v>
      </c>
      <c r="I21" s="49" t="s">
        <v>46</v>
      </c>
      <c r="J21" s="184">
        <v>600</v>
      </c>
      <c r="K21" s="75">
        <v>260</v>
      </c>
      <c r="L21" s="75">
        <v>1200</v>
      </c>
      <c r="M21" s="202">
        <v>26.501006938943679</v>
      </c>
      <c r="N21" s="87">
        <v>1541.82910898826</v>
      </c>
      <c r="O21" s="123">
        <v>24440.815976530055</v>
      </c>
      <c r="P21" s="199">
        <v>29584.673676094881</v>
      </c>
      <c r="Q21" s="310">
        <v>13868.271430381354</v>
      </c>
      <c r="R21" s="319">
        <v>38309.087406911407</v>
      </c>
      <c r="S21" s="315">
        <v>43452.945106476232</v>
      </c>
      <c r="U21" s="7" t="s">
        <v>4452</v>
      </c>
    </row>
    <row r="22" spans="1:21" ht="16.5" thickBot="1">
      <c r="A22" s="50" t="s">
        <v>35</v>
      </c>
      <c r="B22" s="51">
        <f t="shared" si="0"/>
        <v>600</v>
      </c>
      <c r="C22" s="51" t="s">
        <v>3</v>
      </c>
      <c r="D22" s="51">
        <f t="shared" si="1"/>
        <v>260</v>
      </c>
      <c r="E22" s="51" t="s">
        <v>3</v>
      </c>
      <c r="F22" s="99">
        <f t="shared" si="2"/>
        <v>1250</v>
      </c>
      <c r="G22" s="51" t="s">
        <v>3</v>
      </c>
      <c r="H22" s="48">
        <v>4</v>
      </c>
      <c r="I22" s="49" t="s">
        <v>46</v>
      </c>
      <c r="J22" s="184">
        <v>600</v>
      </c>
      <c r="K22" s="75">
        <v>260</v>
      </c>
      <c r="L22" s="75">
        <v>1250</v>
      </c>
      <c r="M22" s="202">
        <v>27.466361008808946</v>
      </c>
      <c r="N22" s="87">
        <v>1632.524938928746</v>
      </c>
      <c r="O22" s="123">
        <v>25229.111650384843</v>
      </c>
      <c r="P22" s="199">
        <v>30557.496402501289</v>
      </c>
      <c r="Q22" s="310">
        <v>14299.882042748291</v>
      </c>
      <c r="R22" s="319">
        <v>39528.993693133132</v>
      </c>
      <c r="S22" s="315">
        <v>44857.378445249582</v>
      </c>
      <c r="U22" s="7" t="s">
        <v>4453</v>
      </c>
    </row>
    <row r="23" spans="1:21" ht="16.5" customHeight="1" thickBot="1">
      <c r="A23" s="50" t="s">
        <v>35</v>
      </c>
      <c r="B23" s="51">
        <f t="shared" si="0"/>
        <v>600</v>
      </c>
      <c r="C23" s="51" t="s">
        <v>3</v>
      </c>
      <c r="D23" s="51">
        <f t="shared" si="1"/>
        <v>260</v>
      </c>
      <c r="E23" s="51" t="s">
        <v>3</v>
      </c>
      <c r="F23" s="99">
        <f t="shared" si="2"/>
        <v>1300</v>
      </c>
      <c r="G23" s="51" t="s">
        <v>3</v>
      </c>
      <c r="H23" s="48">
        <v>4</v>
      </c>
      <c r="I23" s="49" t="s">
        <v>46</v>
      </c>
      <c r="J23" s="184">
        <v>600</v>
      </c>
      <c r="K23" s="75">
        <v>260</v>
      </c>
      <c r="L23" s="75">
        <v>1300</v>
      </c>
      <c r="M23" s="202">
        <v>28.448755078674207</v>
      </c>
      <c r="N23" s="87">
        <v>1723.2207688692317</v>
      </c>
      <c r="O23" s="123">
        <v>26017.407324239633</v>
      </c>
      <c r="P23" s="199">
        <v>31530.319128907839</v>
      </c>
      <c r="Q23" s="310">
        <v>14962.074432898504</v>
      </c>
      <c r="R23" s="319">
        <v>40979.481757138135</v>
      </c>
      <c r="S23" s="315">
        <v>46492.393561806341</v>
      </c>
      <c r="U23" s="7" t="s">
        <v>4454</v>
      </c>
    </row>
    <row r="24" spans="1:21" ht="16.5" thickBot="1">
      <c r="A24" s="50" t="s">
        <v>35</v>
      </c>
      <c r="B24" s="51">
        <f t="shared" si="0"/>
        <v>600</v>
      </c>
      <c r="C24" s="51" t="s">
        <v>3</v>
      </c>
      <c r="D24" s="51">
        <f t="shared" si="1"/>
        <v>260</v>
      </c>
      <c r="E24" s="51" t="s">
        <v>3</v>
      </c>
      <c r="F24" s="99">
        <f t="shared" si="2"/>
        <v>1350</v>
      </c>
      <c r="G24" s="51" t="s">
        <v>3</v>
      </c>
      <c r="H24" s="48">
        <v>4</v>
      </c>
      <c r="I24" s="49" t="s">
        <v>46</v>
      </c>
      <c r="J24" s="184">
        <v>600</v>
      </c>
      <c r="K24" s="75">
        <v>260</v>
      </c>
      <c r="L24" s="75">
        <v>1350</v>
      </c>
      <c r="M24" s="202">
        <v>29.414109148539474</v>
      </c>
      <c r="N24" s="87">
        <v>1813.9165988097177</v>
      </c>
      <c r="O24" s="123">
        <v>26805.703138487781</v>
      </c>
      <c r="P24" s="199">
        <v>32503.14185531425</v>
      </c>
      <c r="Q24" s="310">
        <v>15393.685045265442</v>
      </c>
      <c r="R24" s="319">
        <v>42199.388183753224</v>
      </c>
      <c r="S24" s="315">
        <v>47896.82690057969</v>
      </c>
      <c r="U24" s="7" t="s">
        <v>4455</v>
      </c>
    </row>
    <row r="25" spans="1:21" ht="16.5" customHeight="1" thickBot="1">
      <c r="A25" s="50" t="s">
        <v>35</v>
      </c>
      <c r="B25" s="51">
        <f t="shared" si="0"/>
        <v>600</v>
      </c>
      <c r="C25" s="51" t="s">
        <v>3</v>
      </c>
      <c r="D25" s="51">
        <f t="shared" si="1"/>
        <v>260</v>
      </c>
      <c r="E25" s="51" t="s">
        <v>3</v>
      </c>
      <c r="F25" s="99">
        <f t="shared" si="2"/>
        <v>1400</v>
      </c>
      <c r="G25" s="51" t="s">
        <v>3</v>
      </c>
      <c r="H25" s="48">
        <v>4</v>
      </c>
      <c r="I25" s="49" t="s">
        <v>46</v>
      </c>
      <c r="J25" s="184">
        <v>600</v>
      </c>
      <c r="K25" s="75">
        <v>260</v>
      </c>
      <c r="L25" s="75">
        <v>1400</v>
      </c>
      <c r="M25" s="202">
        <v>30.396503218404735</v>
      </c>
      <c r="N25" s="87">
        <v>1904.6124287502039</v>
      </c>
      <c r="O25" s="123">
        <v>27593.998812342568</v>
      </c>
      <c r="P25" s="199">
        <v>33475.964581720655</v>
      </c>
      <c r="Q25" s="310">
        <v>16055.877435415654</v>
      </c>
      <c r="R25" s="319">
        <v>43649.87624775822</v>
      </c>
      <c r="S25" s="315">
        <v>49531.84201713631</v>
      </c>
      <c r="U25" s="7" t="s">
        <v>4456</v>
      </c>
    </row>
    <row r="26" spans="1:21" ht="16.5" thickBot="1">
      <c r="A26" s="50" t="s">
        <v>35</v>
      </c>
      <c r="B26" s="51">
        <f t="shared" si="0"/>
        <v>600</v>
      </c>
      <c r="C26" s="51" t="s">
        <v>3</v>
      </c>
      <c r="D26" s="51">
        <f t="shared" si="1"/>
        <v>260</v>
      </c>
      <c r="E26" s="51" t="s">
        <v>3</v>
      </c>
      <c r="F26" s="99">
        <f t="shared" si="2"/>
        <v>1450</v>
      </c>
      <c r="G26" s="51" t="s">
        <v>3</v>
      </c>
      <c r="H26" s="48">
        <v>4</v>
      </c>
      <c r="I26" s="49" t="s">
        <v>46</v>
      </c>
      <c r="J26" s="184">
        <v>600</v>
      </c>
      <c r="K26" s="75">
        <v>260</v>
      </c>
      <c r="L26" s="75">
        <v>1450</v>
      </c>
      <c r="M26" s="202">
        <v>31.361857288270002</v>
      </c>
      <c r="N26" s="87">
        <v>1995.3082586906899</v>
      </c>
      <c r="O26" s="123">
        <v>28382.294486197359</v>
      </c>
      <c r="P26" s="199">
        <v>34448.787308127066</v>
      </c>
      <c r="Q26" s="310">
        <v>16487.48804778259</v>
      </c>
      <c r="R26" s="319">
        <v>44869.782533979946</v>
      </c>
      <c r="S26" s="315">
        <v>50936.27535590966</v>
      </c>
      <c r="U26" s="7" t="s">
        <v>4457</v>
      </c>
    </row>
    <row r="27" spans="1:21" ht="16.5" customHeight="1" thickBot="1">
      <c r="A27" s="50" t="s">
        <v>35</v>
      </c>
      <c r="B27" s="51">
        <f t="shared" si="0"/>
        <v>600</v>
      </c>
      <c r="C27" s="51" t="s">
        <v>3</v>
      </c>
      <c r="D27" s="51">
        <f t="shared" si="1"/>
        <v>260</v>
      </c>
      <c r="E27" s="51" t="s">
        <v>3</v>
      </c>
      <c r="F27" s="99">
        <f t="shared" si="2"/>
        <v>1500</v>
      </c>
      <c r="G27" s="51" t="s">
        <v>3</v>
      </c>
      <c r="H27" s="48">
        <v>4</v>
      </c>
      <c r="I27" s="49" t="s">
        <v>46</v>
      </c>
      <c r="J27" s="184">
        <v>600</v>
      </c>
      <c r="K27" s="75">
        <v>260</v>
      </c>
      <c r="L27" s="75">
        <v>1500</v>
      </c>
      <c r="M27" s="202">
        <v>32.510162210095267</v>
      </c>
      <c r="N27" s="87">
        <v>2086.0040886311754</v>
      </c>
      <c r="O27" s="123">
        <v>29781.927722110617</v>
      </c>
      <c r="P27" s="199">
        <v>35995.909497912937</v>
      </c>
      <c r="Q27" s="310">
        <v>17149.680437932802</v>
      </c>
      <c r="R27" s="319">
        <v>46931.608160043419</v>
      </c>
      <c r="S27" s="315">
        <v>53145.589935845739</v>
      </c>
      <c r="U27" s="7" t="s">
        <v>4458</v>
      </c>
    </row>
    <row r="28" spans="1:21" ht="16.5" thickBot="1">
      <c r="A28" s="50" t="s">
        <v>35</v>
      </c>
      <c r="B28" s="51">
        <f t="shared" si="0"/>
        <v>600</v>
      </c>
      <c r="C28" s="51" t="s">
        <v>3</v>
      </c>
      <c r="D28" s="51">
        <f t="shared" si="1"/>
        <v>260</v>
      </c>
      <c r="E28" s="51" t="s">
        <v>3</v>
      </c>
      <c r="F28" s="99">
        <f t="shared" si="2"/>
        <v>1550</v>
      </c>
      <c r="G28" s="51" t="s">
        <v>3</v>
      </c>
      <c r="H28" s="48">
        <v>4</v>
      </c>
      <c r="I28" s="49" t="s">
        <v>46</v>
      </c>
      <c r="J28" s="184">
        <v>600</v>
      </c>
      <c r="K28" s="75">
        <v>260</v>
      </c>
      <c r="L28" s="75">
        <v>1550</v>
      </c>
      <c r="M28" s="202">
        <v>33.47551627996053</v>
      </c>
      <c r="N28" s="87">
        <v>2176.6999185716613</v>
      </c>
      <c r="O28" s="123">
        <v>30570.223395965408</v>
      </c>
      <c r="P28" s="199">
        <v>36968.732224319348</v>
      </c>
      <c r="Q28" s="310">
        <v>17581.29105029974</v>
      </c>
      <c r="R28" s="319">
        <v>48151.514446265151</v>
      </c>
      <c r="S28" s="315">
        <v>54550.023274619089</v>
      </c>
      <c r="U28" s="7" t="s">
        <v>4459</v>
      </c>
    </row>
    <row r="29" spans="1:21" ht="16.5" customHeight="1" thickBot="1">
      <c r="A29" s="47" t="s">
        <v>35</v>
      </c>
      <c r="B29" s="48">
        <f t="shared" si="0"/>
        <v>600</v>
      </c>
      <c r="C29" s="48" t="s">
        <v>3</v>
      </c>
      <c r="D29" s="48">
        <f t="shared" si="1"/>
        <v>260</v>
      </c>
      <c r="E29" s="48" t="s">
        <v>3</v>
      </c>
      <c r="F29" s="99">
        <f t="shared" si="2"/>
        <v>1600</v>
      </c>
      <c r="G29" s="48" t="s">
        <v>3</v>
      </c>
      <c r="H29" s="48">
        <v>4</v>
      </c>
      <c r="I29" s="49" t="s">
        <v>46</v>
      </c>
      <c r="J29" s="184">
        <v>600</v>
      </c>
      <c r="K29" s="75">
        <v>260</v>
      </c>
      <c r="L29" s="75">
        <v>1600</v>
      </c>
      <c r="M29" s="202">
        <v>34.440870349825786</v>
      </c>
      <c r="N29" s="87">
        <v>2267.3957485121473</v>
      </c>
      <c r="O29" s="123">
        <v>31358.519069820191</v>
      </c>
      <c r="P29" s="199">
        <v>37941.554950725898</v>
      </c>
      <c r="Q29" s="310">
        <v>18012.901662666678</v>
      </c>
      <c r="R29" s="319">
        <v>49371.420732486869</v>
      </c>
      <c r="S29" s="315">
        <v>55954.456613392576</v>
      </c>
      <c r="U29" s="7" t="s">
        <v>4460</v>
      </c>
    </row>
    <row r="30" spans="1:21" ht="16.5" thickBot="1">
      <c r="A30" s="50" t="s">
        <v>35</v>
      </c>
      <c r="B30" s="51">
        <f t="shared" si="0"/>
        <v>600</v>
      </c>
      <c r="C30" s="51" t="s">
        <v>3</v>
      </c>
      <c r="D30" s="51">
        <f t="shared" si="1"/>
        <v>260</v>
      </c>
      <c r="E30" s="51" t="s">
        <v>3</v>
      </c>
      <c r="F30" s="99">
        <f t="shared" si="2"/>
        <v>1650</v>
      </c>
      <c r="G30" s="51" t="s">
        <v>3</v>
      </c>
      <c r="H30" s="48">
        <v>4</v>
      </c>
      <c r="I30" s="49" t="s">
        <v>46</v>
      </c>
      <c r="J30" s="184">
        <v>600</v>
      </c>
      <c r="K30" s="75">
        <v>260</v>
      </c>
      <c r="L30" s="75">
        <v>1650</v>
      </c>
      <c r="M30" s="202">
        <v>35.423264419691058</v>
      </c>
      <c r="N30" s="87">
        <v>2358.0915784526328</v>
      </c>
      <c r="O30" s="123">
        <v>32146.814884068343</v>
      </c>
      <c r="P30" s="199">
        <v>38914.377677132303</v>
      </c>
      <c r="Q30" s="310">
        <v>18675.09391242353</v>
      </c>
      <c r="R30" s="319">
        <v>50821.908796491873</v>
      </c>
      <c r="S30" s="315">
        <v>57589.471589555833</v>
      </c>
      <c r="U30" s="7" t="s">
        <v>4461</v>
      </c>
    </row>
    <row r="31" spans="1:21" ht="16.5" customHeight="1" thickBot="1">
      <c r="A31" s="50" t="s">
        <v>35</v>
      </c>
      <c r="B31" s="51">
        <f t="shared" si="0"/>
        <v>600</v>
      </c>
      <c r="C31" s="51" t="s">
        <v>3</v>
      </c>
      <c r="D31" s="51">
        <f t="shared" si="1"/>
        <v>260</v>
      </c>
      <c r="E31" s="51" t="s">
        <v>3</v>
      </c>
      <c r="F31" s="99">
        <f t="shared" si="2"/>
        <v>1700</v>
      </c>
      <c r="G31" s="51" t="s">
        <v>3</v>
      </c>
      <c r="H31" s="48">
        <v>4</v>
      </c>
      <c r="I31" s="49" t="s">
        <v>46</v>
      </c>
      <c r="J31" s="184">
        <v>600</v>
      </c>
      <c r="K31" s="75">
        <v>260</v>
      </c>
      <c r="L31" s="75">
        <v>1700</v>
      </c>
      <c r="M31" s="202">
        <v>36.388618489556322</v>
      </c>
      <c r="N31" s="87">
        <v>2448.7874083931192</v>
      </c>
      <c r="O31" s="123">
        <v>32935.11055792313</v>
      </c>
      <c r="P31" s="199">
        <v>39887.200403538714</v>
      </c>
      <c r="Q31" s="310">
        <v>19106.704524790468</v>
      </c>
      <c r="R31" s="319">
        <v>52041.815082713598</v>
      </c>
      <c r="S31" s="315">
        <v>58993.904928329182</v>
      </c>
      <c r="U31" s="7" t="s">
        <v>4462</v>
      </c>
    </row>
    <row r="32" spans="1:21" ht="16.5" thickBot="1">
      <c r="A32" s="50" t="s">
        <v>35</v>
      </c>
      <c r="B32" s="51">
        <f t="shared" si="0"/>
        <v>600</v>
      </c>
      <c r="C32" s="51" t="s">
        <v>3</v>
      </c>
      <c r="D32" s="51">
        <f t="shared" si="1"/>
        <v>260</v>
      </c>
      <c r="E32" s="51" t="s">
        <v>3</v>
      </c>
      <c r="F32" s="99">
        <f t="shared" si="2"/>
        <v>1750</v>
      </c>
      <c r="G32" s="51" t="s">
        <v>3</v>
      </c>
      <c r="H32" s="48">
        <v>4</v>
      </c>
      <c r="I32" s="49" t="s">
        <v>46</v>
      </c>
      <c r="J32" s="184">
        <v>600</v>
      </c>
      <c r="K32" s="75">
        <v>260</v>
      </c>
      <c r="L32" s="75">
        <v>1750</v>
      </c>
      <c r="M32" s="202">
        <v>37.37101255942158</v>
      </c>
      <c r="N32" s="87">
        <v>2539.4832383336047</v>
      </c>
      <c r="O32" s="123">
        <v>33723.406372171281</v>
      </c>
      <c r="P32" s="199">
        <v>40860.023129945126</v>
      </c>
      <c r="Q32" s="310">
        <v>19768.89691494068</v>
      </c>
      <c r="R32" s="319">
        <v>53492.303287111965</v>
      </c>
      <c r="S32" s="315">
        <v>60628.920044885803</v>
      </c>
      <c r="U32" s="7" t="s">
        <v>4463</v>
      </c>
    </row>
    <row r="33" spans="1:21" ht="16.5" customHeight="1" thickBot="1">
      <c r="A33" s="50" t="s">
        <v>35</v>
      </c>
      <c r="B33" s="51">
        <f t="shared" si="0"/>
        <v>600</v>
      </c>
      <c r="C33" s="51" t="s">
        <v>3</v>
      </c>
      <c r="D33" s="51">
        <f t="shared" si="1"/>
        <v>260</v>
      </c>
      <c r="E33" s="51" t="s">
        <v>3</v>
      </c>
      <c r="F33" s="99">
        <f t="shared" si="2"/>
        <v>1800</v>
      </c>
      <c r="G33" s="51" t="s">
        <v>3</v>
      </c>
      <c r="H33" s="48">
        <v>4</v>
      </c>
      <c r="I33" s="49" t="s">
        <v>46</v>
      </c>
      <c r="J33" s="184">
        <v>600</v>
      </c>
      <c r="K33" s="75">
        <v>260</v>
      </c>
      <c r="L33" s="75">
        <v>1800</v>
      </c>
      <c r="M33" s="202">
        <v>38.336366629286843</v>
      </c>
      <c r="N33" s="87">
        <v>2630.1790682740907</v>
      </c>
      <c r="O33" s="123">
        <v>34511.702046026068</v>
      </c>
      <c r="P33" s="199">
        <v>41832.845856351676</v>
      </c>
      <c r="Q33" s="310">
        <v>20200.507527307618</v>
      </c>
      <c r="R33" s="319">
        <v>54712.20957333369</v>
      </c>
      <c r="S33" s="315">
        <v>62033.353383659298</v>
      </c>
      <c r="U33" s="7" t="s">
        <v>4464</v>
      </c>
    </row>
    <row r="34" spans="1:21" ht="16.5" thickBot="1">
      <c r="A34" s="50" t="s">
        <v>35</v>
      </c>
      <c r="B34" s="51">
        <f t="shared" si="0"/>
        <v>600</v>
      </c>
      <c r="C34" s="51" t="s">
        <v>3</v>
      </c>
      <c r="D34" s="51">
        <f t="shared" si="1"/>
        <v>260</v>
      </c>
      <c r="E34" s="51" t="s">
        <v>3</v>
      </c>
      <c r="F34" s="99">
        <f t="shared" si="2"/>
        <v>1850</v>
      </c>
      <c r="G34" s="51" t="s">
        <v>3</v>
      </c>
      <c r="H34" s="48">
        <v>4</v>
      </c>
      <c r="I34" s="49" t="s">
        <v>46</v>
      </c>
      <c r="J34" s="184">
        <v>600</v>
      </c>
      <c r="K34" s="75">
        <v>260</v>
      </c>
      <c r="L34" s="75">
        <v>1850</v>
      </c>
      <c r="M34" s="202">
        <v>39.318760699152108</v>
      </c>
      <c r="N34" s="87">
        <v>2720.8748982145767</v>
      </c>
      <c r="O34" s="123">
        <v>35299.997719880856</v>
      </c>
      <c r="P34" s="199">
        <v>42805.668582758088</v>
      </c>
      <c r="Q34" s="310">
        <v>20862.69991745783</v>
      </c>
      <c r="R34" s="319">
        <v>56162.697637338686</v>
      </c>
      <c r="S34" s="315">
        <v>63668.368500215918</v>
      </c>
      <c r="U34" s="7" t="s">
        <v>4465</v>
      </c>
    </row>
    <row r="35" spans="1:21" ht="16.5" customHeight="1" thickBot="1">
      <c r="A35" s="50" t="s">
        <v>35</v>
      </c>
      <c r="B35" s="51">
        <f t="shared" si="0"/>
        <v>600</v>
      </c>
      <c r="C35" s="51" t="s">
        <v>3</v>
      </c>
      <c r="D35" s="51">
        <f t="shared" si="1"/>
        <v>260</v>
      </c>
      <c r="E35" s="51" t="s">
        <v>3</v>
      </c>
      <c r="F35" s="99">
        <f t="shared" si="2"/>
        <v>1900</v>
      </c>
      <c r="G35" s="51" t="s">
        <v>3</v>
      </c>
      <c r="H35" s="48">
        <v>4</v>
      </c>
      <c r="I35" s="49" t="s">
        <v>46</v>
      </c>
      <c r="J35" s="184">
        <v>600</v>
      </c>
      <c r="K35" s="75">
        <v>260</v>
      </c>
      <c r="L35" s="75">
        <v>1900</v>
      </c>
      <c r="M35" s="202">
        <v>40.284114769017371</v>
      </c>
      <c r="N35" s="87">
        <v>2811.5707281550622</v>
      </c>
      <c r="O35" s="123">
        <v>36088.293534129007</v>
      </c>
      <c r="P35" s="199">
        <v>43778.491309164492</v>
      </c>
      <c r="Q35" s="310">
        <v>21294.310529824768</v>
      </c>
      <c r="R35" s="319">
        <v>57382.604063953775</v>
      </c>
      <c r="S35" s="315">
        <v>65072.80183898926</v>
      </c>
      <c r="U35" s="7" t="s">
        <v>4466</v>
      </c>
    </row>
    <row r="36" spans="1:21" ht="16.5" thickBot="1">
      <c r="A36" s="50" t="s">
        <v>35</v>
      </c>
      <c r="B36" s="51">
        <f t="shared" si="0"/>
        <v>600</v>
      </c>
      <c r="C36" s="51" t="s">
        <v>3</v>
      </c>
      <c r="D36" s="51">
        <f t="shared" si="1"/>
        <v>260</v>
      </c>
      <c r="E36" s="51" t="s">
        <v>3</v>
      </c>
      <c r="F36" s="99">
        <f t="shared" si="2"/>
        <v>1950</v>
      </c>
      <c r="G36" s="51" t="s">
        <v>3</v>
      </c>
      <c r="H36" s="48">
        <v>4</v>
      </c>
      <c r="I36" s="49" t="s">
        <v>46</v>
      </c>
      <c r="J36" s="184">
        <v>600</v>
      </c>
      <c r="K36" s="75">
        <v>260</v>
      </c>
      <c r="L36" s="75">
        <v>1950</v>
      </c>
      <c r="M36" s="202">
        <v>41.32796883888264</v>
      </c>
      <c r="N36" s="87">
        <v>2902.2665580955486</v>
      </c>
      <c r="O36" s="123">
        <v>36953.743643885929</v>
      </c>
      <c r="P36" s="199">
        <v>44828.939453401072</v>
      </c>
      <c r="Q36" s="310">
        <v>21725.921142191706</v>
      </c>
      <c r="R36" s="319">
        <v>58679.664786077636</v>
      </c>
      <c r="S36" s="315">
        <v>66554.860595592778</v>
      </c>
      <c r="U36" s="7" t="s">
        <v>4467</v>
      </c>
    </row>
    <row r="37" spans="1:21" ht="16.5" customHeight="1" thickBot="1">
      <c r="A37" s="50" t="s">
        <v>35</v>
      </c>
      <c r="B37" s="51">
        <f t="shared" si="0"/>
        <v>600</v>
      </c>
      <c r="C37" s="51" t="s">
        <v>3</v>
      </c>
      <c r="D37" s="51">
        <f t="shared" si="1"/>
        <v>260</v>
      </c>
      <c r="E37" s="51" t="s">
        <v>3</v>
      </c>
      <c r="F37" s="99">
        <f t="shared" si="2"/>
        <v>2000</v>
      </c>
      <c r="G37" s="51" t="s">
        <v>3</v>
      </c>
      <c r="H37" s="48">
        <v>4</v>
      </c>
      <c r="I37" s="49" t="s">
        <v>46</v>
      </c>
      <c r="J37" s="184">
        <v>600</v>
      </c>
      <c r="K37" s="75">
        <v>260</v>
      </c>
      <c r="L37" s="75">
        <v>2000</v>
      </c>
      <c r="M37" s="202">
        <v>42.401925308747899</v>
      </c>
      <c r="N37" s="87">
        <v>2992.9623880360341</v>
      </c>
      <c r="O37" s="123">
        <v>37972.582346955947</v>
      </c>
      <c r="P37" s="199">
        <v>46114.442937693726</v>
      </c>
      <c r="Q37" s="310">
        <v>22388.113532341918</v>
      </c>
      <c r="R37" s="319">
        <v>60360.695879297869</v>
      </c>
      <c r="S37" s="315">
        <v>68502.556470035648</v>
      </c>
      <c r="U37" s="7" t="s">
        <v>4468</v>
      </c>
    </row>
    <row r="38" spans="1:21" ht="16.5" thickBot="1">
      <c r="A38" s="50" t="s">
        <v>35</v>
      </c>
      <c r="B38" s="51">
        <f t="shared" si="0"/>
        <v>600</v>
      </c>
      <c r="C38" s="51" t="s">
        <v>3</v>
      </c>
      <c r="D38" s="51">
        <f t="shared" si="1"/>
        <v>260</v>
      </c>
      <c r="E38" s="51" t="s">
        <v>3</v>
      </c>
      <c r="F38" s="99">
        <f t="shared" si="2"/>
        <v>2050</v>
      </c>
      <c r="G38" s="51" t="s">
        <v>3</v>
      </c>
      <c r="H38" s="48">
        <v>4</v>
      </c>
      <c r="I38" s="49" t="s">
        <v>46</v>
      </c>
      <c r="J38" s="184">
        <v>600</v>
      </c>
      <c r="K38" s="75">
        <v>260</v>
      </c>
      <c r="L38" s="75">
        <v>2050</v>
      </c>
      <c r="M38" s="202">
        <v>43.367279378613162</v>
      </c>
      <c r="N38" s="87">
        <v>3083.6582179765201</v>
      </c>
      <c r="O38" s="123">
        <v>38760.878020810735</v>
      </c>
      <c r="P38" s="199">
        <v>47087.26566410013</v>
      </c>
      <c r="Q38" s="310">
        <v>22819.724144708856</v>
      </c>
      <c r="R38" s="319">
        <v>61580.602165519595</v>
      </c>
      <c r="S38" s="315">
        <v>69906.989808808983</v>
      </c>
      <c r="U38" s="7" t="s">
        <v>4469</v>
      </c>
    </row>
    <row r="39" spans="1:21" ht="16.5" customHeight="1" thickBot="1">
      <c r="A39" s="47" t="s">
        <v>35</v>
      </c>
      <c r="B39" s="48">
        <f t="shared" si="0"/>
        <v>600</v>
      </c>
      <c r="C39" s="48" t="s">
        <v>3</v>
      </c>
      <c r="D39" s="48">
        <f t="shared" si="1"/>
        <v>260</v>
      </c>
      <c r="E39" s="48" t="s">
        <v>3</v>
      </c>
      <c r="F39" s="99">
        <f t="shared" si="2"/>
        <v>2100</v>
      </c>
      <c r="G39" s="48" t="s">
        <v>3</v>
      </c>
      <c r="H39" s="48">
        <v>4</v>
      </c>
      <c r="I39" s="49" t="s">
        <v>46</v>
      </c>
      <c r="J39" s="184">
        <v>600</v>
      </c>
      <c r="K39" s="75">
        <v>260</v>
      </c>
      <c r="L39" s="75">
        <v>2100</v>
      </c>
      <c r="M39" s="202">
        <v>44.349673448478427</v>
      </c>
      <c r="N39" s="87">
        <v>3174.354047917006</v>
      </c>
      <c r="O39" s="123">
        <v>39549.173694665522</v>
      </c>
      <c r="P39" s="199">
        <v>48060.088390506542</v>
      </c>
      <c r="Q39" s="310">
        <v>23481.916534859069</v>
      </c>
      <c r="R39" s="319">
        <v>63031.090229524591</v>
      </c>
      <c r="S39" s="315">
        <v>71542.004925365618</v>
      </c>
      <c r="U39" s="7" t="s">
        <v>4470</v>
      </c>
    </row>
    <row r="40" spans="1:21" ht="16.5" thickBot="1">
      <c r="A40" s="50" t="s">
        <v>35</v>
      </c>
      <c r="B40" s="51">
        <f t="shared" si="0"/>
        <v>600</v>
      </c>
      <c r="C40" s="51" t="s">
        <v>3</v>
      </c>
      <c r="D40" s="51">
        <f t="shared" si="1"/>
        <v>260</v>
      </c>
      <c r="E40" s="51" t="s">
        <v>3</v>
      </c>
      <c r="F40" s="99">
        <f t="shared" si="2"/>
        <v>2150</v>
      </c>
      <c r="G40" s="51" t="s">
        <v>3</v>
      </c>
      <c r="H40" s="48">
        <v>4</v>
      </c>
      <c r="I40" s="49" t="s">
        <v>46</v>
      </c>
      <c r="J40" s="184">
        <v>600</v>
      </c>
      <c r="K40" s="75">
        <v>260</v>
      </c>
      <c r="L40" s="75">
        <v>2150</v>
      </c>
      <c r="M40" s="202">
        <v>45.315027518343683</v>
      </c>
      <c r="N40" s="87">
        <v>3265.049877857492</v>
      </c>
      <c r="O40" s="123">
        <v>40337.469508913673</v>
      </c>
      <c r="P40" s="199">
        <v>49032.911116913099</v>
      </c>
      <c r="Q40" s="310">
        <v>23913.527147226006</v>
      </c>
      <c r="R40" s="319">
        <v>64250.99665613968</v>
      </c>
      <c r="S40" s="315">
        <v>72946.438264139113</v>
      </c>
      <c r="U40" s="7" t="s">
        <v>4471</v>
      </c>
    </row>
    <row r="41" spans="1:21" ht="16.5" customHeight="1" thickBot="1">
      <c r="A41" s="50" t="s">
        <v>35</v>
      </c>
      <c r="B41" s="51">
        <f t="shared" si="0"/>
        <v>600</v>
      </c>
      <c r="C41" s="51" t="s">
        <v>3</v>
      </c>
      <c r="D41" s="51">
        <f t="shared" si="1"/>
        <v>260</v>
      </c>
      <c r="E41" s="51" t="s">
        <v>3</v>
      </c>
      <c r="F41" s="99">
        <f t="shared" si="2"/>
        <v>2200</v>
      </c>
      <c r="G41" s="51" t="s">
        <v>3</v>
      </c>
      <c r="H41" s="48">
        <v>4</v>
      </c>
      <c r="I41" s="49" t="s">
        <v>46</v>
      </c>
      <c r="J41" s="184">
        <v>600</v>
      </c>
      <c r="K41" s="75">
        <v>260</v>
      </c>
      <c r="L41" s="75">
        <v>2200</v>
      </c>
      <c r="M41" s="202">
        <v>46.297421588208948</v>
      </c>
      <c r="N41" s="87">
        <v>3355.745707797978</v>
      </c>
      <c r="O41" s="123">
        <v>41125.76518276846</v>
      </c>
      <c r="P41" s="199">
        <v>50005.733843319496</v>
      </c>
      <c r="Q41" s="310">
        <v>24575.719537376219</v>
      </c>
      <c r="R41" s="319">
        <v>65701.484720144683</v>
      </c>
      <c r="S41" s="315">
        <v>74581.453380695719</v>
      </c>
      <c r="U41" s="7" t="s">
        <v>4472</v>
      </c>
    </row>
    <row r="42" spans="1:21" ht="16.5" thickBot="1">
      <c r="A42" s="50" t="s">
        <v>35</v>
      </c>
      <c r="B42" s="51">
        <f t="shared" si="0"/>
        <v>600</v>
      </c>
      <c r="C42" s="51" t="s">
        <v>3</v>
      </c>
      <c r="D42" s="51">
        <f t="shared" si="1"/>
        <v>260</v>
      </c>
      <c r="E42" s="51" t="s">
        <v>3</v>
      </c>
      <c r="F42" s="99">
        <f t="shared" si="2"/>
        <v>2250</v>
      </c>
      <c r="G42" s="51" t="s">
        <v>3</v>
      </c>
      <c r="H42" s="48">
        <v>4</v>
      </c>
      <c r="I42" s="49" t="s">
        <v>46</v>
      </c>
      <c r="J42" s="184">
        <v>600</v>
      </c>
      <c r="K42" s="75">
        <v>260</v>
      </c>
      <c r="L42" s="75">
        <v>2250</v>
      </c>
      <c r="M42" s="202">
        <v>47.262775658074219</v>
      </c>
      <c r="N42" s="87">
        <v>3446.4415377384635</v>
      </c>
      <c r="O42" s="123">
        <v>41914.060856623248</v>
      </c>
      <c r="P42" s="199">
        <v>50978.556569725908</v>
      </c>
      <c r="Q42" s="310">
        <v>25007.330009349789</v>
      </c>
      <c r="R42" s="319">
        <v>66921.390865973037</v>
      </c>
      <c r="S42" s="315">
        <v>75985.886579075697</v>
      </c>
      <c r="U42" s="7" t="s">
        <v>4473</v>
      </c>
    </row>
    <row r="43" spans="1:21" ht="16.5" customHeight="1" thickBot="1">
      <c r="A43" s="50" t="s">
        <v>35</v>
      </c>
      <c r="B43" s="51">
        <f t="shared" si="0"/>
        <v>600</v>
      </c>
      <c r="C43" s="51" t="s">
        <v>3</v>
      </c>
      <c r="D43" s="51">
        <f t="shared" si="1"/>
        <v>260</v>
      </c>
      <c r="E43" s="51" t="s">
        <v>3</v>
      </c>
      <c r="F43" s="99">
        <f t="shared" si="2"/>
        <v>2300</v>
      </c>
      <c r="G43" s="51" t="s">
        <v>3</v>
      </c>
      <c r="H43" s="48">
        <v>4</v>
      </c>
      <c r="I43" s="49" t="s">
        <v>46</v>
      </c>
      <c r="J43" s="184">
        <v>600</v>
      </c>
      <c r="K43" s="75">
        <v>260</v>
      </c>
      <c r="L43" s="75">
        <v>2300</v>
      </c>
      <c r="M43" s="202">
        <v>48.228129727939475</v>
      </c>
      <c r="N43" s="87">
        <v>3537.1373676789499</v>
      </c>
      <c r="O43" s="123">
        <v>42702.356670871399</v>
      </c>
      <c r="P43" s="199">
        <v>51951.379296132465</v>
      </c>
      <c r="Q43" s="310">
        <v>25438.940621716731</v>
      </c>
      <c r="R43" s="319">
        <v>68141.297292588133</v>
      </c>
      <c r="S43" s="315">
        <v>77390.319917849192</v>
      </c>
      <c r="U43" s="7" t="s">
        <v>4474</v>
      </c>
    </row>
    <row r="44" spans="1:21" ht="16.5" thickBot="1">
      <c r="A44" s="50" t="s">
        <v>35</v>
      </c>
      <c r="B44" s="51">
        <f t="shared" si="0"/>
        <v>600</v>
      </c>
      <c r="C44" s="51" t="s">
        <v>3</v>
      </c>
      <c r="D44" s="51">
        <f t="shared" si="1"/>
        <v>260</v>
      </c>
      <c r="E44" s="51" t="s">
        <v>3</v>
      </c>
      <c r="F44" s="99">
        <f t="shared" si="2"/>
        <v>2350</v>
      </c>
      <c r="G44" s="51" t="s">
        <v>3</v>
      </c>
      <c r="H44" s="48">
        <v>4</v>
      </c>
      <c r="I44" s="49" t="s">
        <v>46</v>
      </c>
      <c r="J44" s="184">
        <v>600</v>
      </c>
      <c r="K44" s="75">
        <v>260</v>
      </c>
      <c r="L44" s="75">
        <v>2350</v>
      </c>
      <c r="M44" s="202">
        <v>49.21052379780474</v>
      </c>
      <c r="N44" s="87">
        <v>3627.8331976194354</v>
      </c>
      <c r="O44" s="123">
        <v>43490.652344726186</v>
      </c>
      <c r="P44" s="199">
        <v>52924.20202253887</v>
      </c>
      <c r="Q44" s="310">
        <v>26101.133011866939</v>
      </c>
      <c r="R44" s="319">
        <v>69591.785356593129</v>
      </c>
      <c r="S44" s="315">
        <v>79025.335034405813</v>
      </c>
      <c r="U44" s="7" t="s">
        <v>4475</v>
      </c>
    </row>
    <row r="45" spans="1:21" ht="16.5" customHeight="1" thickBot="1">
      <c r="A45" s="50" t="s">
        <v>35</v>
      </c>
      <c r="B45" s="51">
        <f t="shared" si="0"/>
        <v>600</v>
      </c>
      <c r="C45" s="51" t="s">
        <v>3</v>
      </c>
      <c r="D45" s="51">
        <f t="shared" si="1"/>
        <v>260</v>
      </c>
      <c r="E45" s="51" t="s">
        <v>3</v>
      </c>
      <c r="F45" s="99">
        <f t="shared" si="2"/>
        <v>2400</v>
      </c>
      <c r="G45" s="51" t="s">
        <v>3</v>
      </c>
      <c r="H45" s="48">
        <v>4</v>
      </c>
      <c r="I45" s="49" t="s">
        <v>46</v>
      </c>
      <c r="J45" s="184">
        <v>600</v>
      </c>
      <c r="K45" s="75">
        <v>260</v>
      </c>
      <c r="L45" s="75">
        <v>2400</v>
      </c>
      <c r="M45" s="202">
        <v>50.17587786767001</v>
      </c>
      <c r="N45" s="87">
        <v>3718.5290275599205</v>
      </c>
      <c r="O45" s="123">
        <v>44278.948018580973</v>
      </c>
      <c r="P45" s="199">
        <v>53897.024748945281</v>
      </c>
      <c r="Q45" s="310">
        <v>26532.743624233881</v>
      </c>
      <c r="R45" s="319">
        <v>70811.691642814854</v>
      </c>
      <c r="S45" s="315">
        <v>80429.768373179162</v>
      </c>
      <c r="U45" s="7" t="s">
        <v>4476</v>
      </c>
    </row>
    <row r="46" spans="1:21" ht="16.5" thickBot="1">
      <c r="A46" s="50" t="s">
        <v>35</v>
      </c>
      <c r="B46" s="51">
        <f t="shared" si="0"/>
        <v>600</v>
      </c>
      <c r="C46" s="51" t="s">
        <v>3</v>
      </c>
      <c r="D46" s="51">
        <f t="shared" si="1"/>
        <v>260</v>
      </c>
      <c r="E46" s="51" t="s">
        <v>3</v>
      </c>
      <c r="F46" s="99">
        <f t="shared" si="2"/>
        <v>2450</v>
      </c>
      <c r="G46" s="51" t="s">
        <v>3</v>
      </c>
      <c r="H46" s="48">
        <v>4</v>
      </c>
      <c r="I46" s="49" t="s">
        <v>46</v>
      </c>
      <c r="J46" s="184">
        <v>600</v>
      </c>
      <c r="K46" s="75">
        <v>260</v>
      </c>
      <c r="L46" s="75">
        <v>2450</v>
      </c>
      <c r="M46" s="202">
        <v>51.324182789495268</v>
      </c>
      <c r="N46" s="87">
        <v>3809.2248575004078</v>
      </c>
      <c r="O46" s="123">
        <v>45678.581254494238</v>
      </c>
      <c r="P46" s="199">
        <v>55444.146938731152</v>
      </c>
      <c r="Q46" s="310">
        <v>27194.936014384097</v>
      </c>
      <c r="R46" s="319">
        <v>72873.517268878335</v>
      </c>
      <c r="S46" s="315">
        <v>82639.082953115256</v>
      </c>
      <c r="U46" s="7" t="s">
        <v>4477</v>
      </c>
    </row>
    <row r="47" spans="1:21" ht="16.5" customHeight="1" thickBot="1">
      <c r="A47" s="50" t="s">
        <v>35</v>
      </c>
      <c r="B47" s="51">
        <f t="shared" si="0"/>
        <v>600</v>
      </c>
      <c r="C47" s="51" t="s">
        <v>3</v>
      </c>
      <c r="D47" s="51">
        <f t="shared" si="1"/>
        <v>260</v>
      </c>
      <c r="E47" s="51" t="s">
        <v>3</v>
      </c>
      <c r="F47" s="99">
        <f t="shared" si="2"/>
        <v>2500</v>
      </c>
      <c r="G47" s="51" t="s">
        <v>3</v>
      </c>
      <c r="H47" s="48">
        <v>4</v>
      </c>
      <c r="I47" s="49" t="s">
        <v>46</v>
      </c>
      <c r="J47" s="184">
        <v>600</v>
      </c>
      <c r="K47" s="75">
        <v>260</v>
      </c>
      <c r="L47" s="75">
        <v>2500</v>
      </c>
      <c r="M47" s="202">
        <v>52.289536859360524</v>
      </c>
      <c r="N47" s="87">
        <v>3899.9206874408924</v>
      </c>
      <c r="O47" s="123">
        <v>46466.876928349018</v>
      </c>
      <c r="P47" s="199">
        <v>56416.969665137563</v>
      </c>
      <c r="Q47" s="310">
        <v>27626.546626751031</v>
      </c>
      <c r="R47" s="319">
        <v>74093.423555100046</v>
      </c>
      <c r="S47" s="315">
        <v>84043.516291888591</v>
      </c>
      <c r="U47" s="7" t="s">
        <v>4478</v>
      </c>
    </row>
    <row r="48" spans="1:21" ht="16.5" thickBot="1">
      <c r="A48" s="50" t="s">
        <v>35</v>
      </c>
      <c r="B48" s="51">
        <f t="shared" si="0"/>
        <v>600</v>
      </c>
      <c r="C48" s="51" t="s">
        <v>3</v>
      </c>
      <c r="D48" s="51">
        <f t="shared" si="1"/>
        <v>260</v>
      </c>
      <c r="E48" s="51" t="s">
        <v>3</v>
      </c>
      <c r="F48" s="99">
        <f t="shared" si="2"/>
        <v>2550</v>
      </c>
      <c r="G48" s="51" t="s">
        <v>3</v>
      </c>
      <c r="H48" s="48">
        <v>4</v>
      </c>
      <c r="I48" s="49" t="s">
        <v>46</v>
      </c>
      <c r="J48" s="184">
        <v>600</v>
      </c>
      <c r="K48" s="75">
        <v>260</v>
      </c>
      <c r="L48" s="75">
        <v>2550</v>
      </c>
      <c r="M48" s="202">
        <v>53.271930929225796</v>
      </c>
      <c r="N48" s="87">
        <v>3990.6165173813797</v>
      </c>
      <c r="O48" s="123">
        <v>47255.172602203806</v>
      </c>
      <c r="P48" s="199">
        <v>57389.792391543968</v>
      </c>
      <c r="Q48" s="310">
        <v>28288.739016901247</v>
      </c>
      <c r="R48" s="319">
        <v>75543.911619105056</v>
      </c>
      <c r="S48" s="315">
        <v>85678.531408445211</v>
      </c>
      <c r="U48" s="7" t="s">
        <v>4479</v>
      </c>
    </row>
    <row r="49" spans="1:21" ht="16.5" customHeight="1" thickBot="1">
      <c r="A49" s="47" t="s">
        <v>35</v>
      </c>
      <c r="B49" s="48">
        <f t="shared" si="0"/>
        <v>600</v>
      </c>
      <c r="C49" s="48" t="s">
        <v>3</v>
      </c>
      <c r="D49" s="48">
        <f t="shared" si="1"/>
        <v>260</v>
      </c>
      <c r="E49" s="48" t="s">
        <v>3</v>
      </c>
      <c r="F49" s="99">
        <f t="shared" si="2"/>
        <v>2600</v>
      </c>
      <c r="G49" s="48" t="s">
        <v>3</v>
      </c>
      <c r="H49" s="48">
        <v>4</v>
      </c>
      <c r="I49" s="49" t="s">
        <v>46</v>
      </c>
      <c r="J49" s="184">
        <v>600</v>
      </c>
      <c r="K49" s="75">
        <v>260</v>
      </c>
      <c r="L49" s="75">
        <v>2600</v>
      </c>
      <c r="M49" s="202">
        <v>54.237284999091052</v>
      </c>
      <c r="N49" s="87">
        <v>4081.3123473218648</v>
      </c>
      <c r="O49" s="123">
        <v>48043.468416451957</v>
      </c>
      <c r="P49" s="199">
        <v>58362.615117950379</v>
      </c>
      <c r="Q49" s="310">
        <v>28720.349629268181</v>
      </c>
      <c r="R49" s="319">
        <v>76763.818045720138</v>
      </c>
      <c r="S49" s="315">
        <v>87082.964747218561</v>
      </c>
      <c r="U49" s="7" t="s">
        <v>4480</v>
      </c>
    </row>
    <row r="50" spans="1:21" ht="16.5" thickBot="1">
      <c r="A50" s="50" t="s">
        <v>35</v>
      </c>
      <c r="B50" s="51">
        <f t="shared" si="0"/>
        <v>600</v>
      </c>
      <c r="C50" s="51" t="s">
        <v>3</v>
      </c>
      <c r="D50" s="51">
        <f t="shared" si="1"/>
        <v>260</v>
      </c>
      <c r="E50" s="51" t="s">
        <v>3</v>
      </c>
      <c r="F50" s="99">
        <f t="shared" si="2"/>
        <v>2650</v>
      </c>
      <c r="G50" s="51" t="s">
        <v>3</v>
      </c>
      <c r="H50" s="48">
        <v>4</v>
      </c>
      <c r="I50" s="49" t="s">
        <v>46</v>
      </c>
      <c r="J50" s="184">
        <v>600</v>
      </c>
      <c r="K50" s="75">
        <v>260</v>
      </c>
      <c r="L50" s="75">
        <v>2650</v>
      </c>
      <c r="M50" s="202">
        <v>55.219679068956317</v>
      </c>
      <c r="N50" s="87">
        <v>4172.0081772623507</v>
      </c>
      <c r="O50" s="123">
        <v>48831.764090306751</v>
      </c>
      <c r="P50" s="199">
        <v>59335.437844356929</v>
      </c>
      <c r="Q50" s="310">
        <v>29382.542019418397</v>
      </c>
      <c r="R50" s="319">
        <v>78214.306109725148</v>
      </c>
      <c r="S50" s="315">
        <v>88717.979863775327</v>
      </c>
      <c r="U50" s="7" t="s">
        <v>4481</v>
      </c>
    </row>
    <row r="51" spans="1:21" ht="16.5" customHeight="1" thickBot="1">
      <c r="A51" s="50" t="s">
        <v>35</v>
      </c>
      <c r="B51" s="51">
        <f t="shared" si="0"/>
        <v>600</v>
      </c>
      <c r="C51" s="51" t="s">
        <v>3</v>
      </c>
      <c r="D51" s="51">
        <f t="shared" si="1"/>
        <v>260</v>
      </c>
      <c r="E51" s="51" t="s">
        <v>3</v>
      </c>
      <c r="F51" s="99">
        <f t="shared" si="2"/>
        <v>2700</v>
      </c>
      <c r="G51" s="51" t="s">
        <v>3</v>
      </c>
      <c r="H51" s="48">
        <v>4</v>
      </c>
      <c r="I51" s="49" t="s">
        <v>46</v>
      </c>
      <c r="J51" s="184">
        <v>600</v>
      </c>
      <c r="K51" s="75">
        <v>260</v>
      </c>
      <c r="L51" s="75">
        <v>2700</v>
      </c>
      <c r="M51" s="202">
        <v>56.263533138821579</v>
      </c>
      <c r="N51" s="87">
        <v>4262.7040072028367</v>
      </c>
      <c r="O51" s="123">
        <v>49697.214200063674</v>
      </c>
      <c r="P51" s="199">
        <v>60385.885988593363</v>
      </c>
      <c r="Q51" s="310">
        <v>29814.152631785331</v>
      </c>
      <c r="R51" s="319">
        <v>79511.366831849009</v>
      </c>
      <c r="S51" s="315">
        <v>90200.038620378691</v>
      </c>
      <c r="U51" s="7" t="s">
        <v>4482</v>
      </c>
    </row>
    <row r="52" spans="1:21" ht="16.5" thickBot="1">
      <c r="A52" s="50" t="s">
        <v>35</v>
      </c>
      <c r="B52" s="51">
        <f t="shared" si="0"/>
        <v>600</v>
      </c>
      <c r="C52" s="51" t="s">
        <v>3</v>
      </c>
      <c r="D52" s="51">
        <f t="shared" si="1"/>
        <v>260</v>
      </c>
      <c r="E52" s="51" t="s">
        <v>3</v>
      </c>
      <c r="F52" s="99">
        <f t="shared" si="2"/>
        <v>2750</v>
      </c>
      <c r="G52" s="51" t="s">
        <v>3</v>
      </c>
      <c r="H52" s="48">
        <v>4</v>
      </c>
      <c r="I52" s="49" t="s">
        <v>46</v>
      </c>
      <c r="J52" s="184">
        <v>600</v>
      </c>
      <c r="K52" s="75">
        <v>260</v>
      </c>
      <c r="L52" s="75">
        <v>2750</v>
      </c>
      <c r="M52" s="202">
        <v>57.228887208686842</v>
      </c>
      <c r="N52" s="87">
        <v>4353.3998371433227</v>
      </c>
      <c r="O52" s="123">
        <v>50485.509873918461</v>
      </c>
      <c r="P52" s="199">
        <v>61358.708714999913</v>
      </c>
      <c r="Q52" s="310">
        <v>30245.763244152273</v>
      </c>
      <c r="R52" s="319">
        <v>80731.273118070734</v>
      </c>
      <c r="S52" s="315">
        <v>91604.471959152186</v>
      </c>
      <c r="U52" s="7" t="s">
        <v>4483</v>
      </c>
    </row>
    <row r="53" spans="1:21" ht="16.5" customHeight="1" thickBot="1">
      <c r="A53" s="50" t="s">
        <v>35</v>
      </c>
      <c r="B53" s="51">
        <f t="shared" si="0"/>
        <v>600</v>
      </c>
      <c r="C53" s="51" t="s">
        <v>3</v>
      </c>
      <c r="D53" s="51">
        <f t="shared" si="1"/>
        <v>260</v>
      </c>
      <c r="E53" s="51" t="s">
        <v>3</v>
      </c>
      <c r="F53" s="99">
        <f t="shared" si="2"/>
        <v>2800</v>
      </c>
      <c r="G53" s="51" t="s">
        <v>3</v>
      </c>
      <c r="H53" s="48">
        <v>4</v>
      </c>
      <c r="I53" s="49" t="s">
        <v>46</v>
      </c>
      <c r="J53" s="184">
        <v>600</v>
      </c>
      <c r="K53" s="75">
        <v>260</v>
      </c>
      <c r="L53" s="75">
        <v>2800</v>
      </c>
      <c r="M53" s="202">
        <v>58.2112812785521</v>
      </c>
      <c r="N53" s="87">
        <v>4444.0956670838086</v>
      </c>
      <c r="O53" s="123">
        <v>51273.805688166605</v>
      </c>
      <c r="P53" s="199">
        <v>62331.531441406325</v>
      </c>
      <c r="Q53" s="310">
        <v>30907.955493909118</v>
      </c>
      <c r="R53" s="319">
        <v>82181.761182075716</v>
      </c>
      <c r="S53" s="315">
        <v>93239.48693531545</v>
      </c>
      <c r="U53" s="7" t="s">
        <v>4484</v>
      </c>
    </row>
    <row r="54" spans="1:21" ht="16.5" thickBot="1">
      <c r="A54" s="50" t="s">
        <v>35</v>
      </c>
      <c r="B54" s="51">
        <f t="shared" si="0"/>
        <v>600</v>
      </c>
      <c r="C54" s="51" t="s">
        <v>3</v>
      </c>
      <c r="D54" s="51">
        <f t="shared" si="1"/>
        <v>260</v>
      </c>
      <c r="E54" s="51" t="s">
        <v>3</v>
      </c>
      <c r="F54" s="99">
        <f t="shared" si="2"/>
        <v>2850</v>
      </c>
      <c r="G54" s="51" t="s">
        <v>3</v>
      </c>
      <c r="H54" s="48">
        <v>4</v>
      </c>
      <c r="I54" s="49" t="s">
        <v>46</v>
      </c>
      <c r="J54" s="184">
        <v>600</v>
      </c>
      <c r="K54" s="75">
        <v>260</v>
      </c>
      <c r="L54" s="75">
        <v>2850</v>
      </c>
      <c r="M54" s="202">
        <v>59.176635348417378</v>
      </c>
      <c r="N54" s="87">
        <v>4534.7914970242946</v>
      </c>
      <c r="O54" s="123">
        <v>52062.1013620214</v>
      </c>
      <c r="P54" s="199">
        <v>63304.354167812737</v>
      </c>
      <c r="Q54" s="310">
        <v>31339.566106276056</v>
      </c>
      <c r="R54" s="319">
        <v>83401.667468297455</v>
      </c>
      <c r="S54" s="315">
        <v>94643.920274088799</v>
      </c>
      <c r="U54" s="7" t="s">
        <v>4485</v>
      </c>
    </row>
    <row r="55" spans="1:21" ht="16.5" customHeight="1" thickBot="1">
      <c r="A55" s="50" t="s">
        <v>35</v>
      </c>
      <c r="B55" s="51">
        <f t="shared" si="0"/>
        <v>600</v>
      </c>
      <c r="C55" s="51" t="s">
        <v>3</v>
      </c>
      <c r="D55" s="51">
        <f t="shared" si="1"/>
        <v>260</v>
      </c>
      <c r="E55" s="51" t="s">
        <v>3</v>
      </c>
      <c r="F55" s="99">
        <f t="shared" si="2"/>
        <v>2900</v>
      </c>
      <c r="G55" s="51" t="s">
        <v>3</v>
      </c>
      <c r="H55" s="48">
        <v>4</v>
      </c>
      <c r="I55" s="49" t="s">
        <v>46</v>
      </c>
      <c r="J55" s="184">
        <v>600</v>
      </c>
      <c r="K55" s="75">
        <v>260</v>
      </c>
      <c r="L55" s="75">
        <v>2900</v>
      </c>
      <c r="M55" s="202">
        <v>60.159029418282621</v>
      </c>
      <c r="N55" s="87">
        <v>4625.4873269647796</v>
      </c>
      <c r="O55" s="123">
        <v>52850.397035876187</v>
      </c>
      <c r="P55" s="199">
        <v>64277.176894219134</v>
      </c>
      <c r="Q55" s="310">
        <v>32001.758496426271</v>
      </c>
      <c r="R55" s="319">
        <v>84852.155532302451</v>
      </c>
      <c r="S55" s="315">
        <v>96278.935390645405</v>
      </c>
      <c r="U55" s="7" t="s">
        <v>4486</v>
      </c>
    </row>
    <row r="56" spans="1:21" ht="16.5" thickBot="1">
      <c r="A56" s="50" t="s">
        <v>35</v>
      </c>
      <c r="B56" s="51">
        <f t="shared" si="0"/>
        <v>600</v>
      </c>
      <c r="C56" s="51" t="s">
        <v>3</v>
      </c>
      <c r="D56" s="51">
        <f t="shared" si="1"/>
        <v>260</v>
      </c>
      <c r="E56" s="51" t="s">
        <v>3</v>
      </c>
      <c r="F56" s="99">
        <f t="shared" si="2"/>
        <v>2950</v>
      </c>
      <c r="G56" s="51" t="s">
        <v>3</v>
      </c>
      <c r="H56" s="48">
        <v>4</v>
      </c>
      <c r="I56" s="49" t="s">
        <v>46</v>
      </c>
      <c r="J56" s="184">
        <v>600</v>
      </c>
      <c r="K56" s="75">
        <v>260</v>
      </c>
      <c r="L56" s="75">
        <v>2950</v>
      </c>
      <c r="M56" s="202">
        <v>61.124383488147892</v>
      </c>
      <c r="N56" s="87">
        <v>4716.1831569052656</v>
      </c>
      <c r="O56" s="123">
        <v>53638.692850124338</v>
      </c>
      <c r="P56" s="199">
        <v>65249.999620625691</v>
      </c>
      <c r="Q56" s="310">
        <v>32433.369108793206</v>
      </c>
      <c r="R56" s="319">
        <v>86072.061958917548</v>
      </c>
      <c r="S56" s="315">
        <v>97683.3687294189</v>
      </c>
      <c r="U56" s="7" t="s">
        <v>4487</v>
      </c>
    </row>
    <row r="57" spans="1:21" ht="16.5" customHeight="1" thickBot="1">
      <c r="A57" s="52" t="s">
        <v>35</v>
      </c>
      <c r="B57" s="53">
        <f t="shared" si="0"/>
        <v>600</v>
      </c>
      <c r="C57" s="53" t="s">
        <v>3</v>
      </c>
      <c r="D57" s="53">
        <f t="shared" si="1"/>
        <v>260</v>
      </c>
      <c r="E57" s="53" t="s">
        <v>3</v>
      </c>
      <c r="F57" s="100">
        <f t="shared" si="2"/>
        <v>3000</v>
      </c>
      <c r="G57" s="53" t="s">
        <v>3</v>
      </c>
      <c r="H57" s="55">
        <v>4</v>
      </c>
      <c r="I57" s="54" t="s">
        <v>46</v>
      </c>
      <c r="J57" s="321">
        <v>600</v>
      </c>
      <c r="K57" s="322">
        <v>260</v>
      </c>
      <c r="L57" s="322">
        <v>3000</v>
      </c>
      <c r="M57" s="305">
        <v>62.10677755801315</v>
      </c>
      <c r="N57" s="306">
        <v>4806.8789868457525</v>
      </c>
      <c r="O57" s="307">
        <v>55602.145970230958</v>
      </c>
      <c r="P57" s="339">
        <v>66222.82234703211</v>
      </c>
      <c r="Q57" s="323">
        <v>33095.561498943418</v>
      </c>
      <c r="R57" s="324">
        <v>88697.707469174376</v>
      </c>
      <c r="S57" s="325">
        <v>99318.383845975535</v>
      </c>
      <c r="U57" s="7" t="s">
        <v>4488</v>
      </c>
    </row>
    <row r="58" spans="1:21" ht="22.5" customHeight="1" thickBot="1">
      <c r="A58" s="2580" t="s">
        <v>48</v>
      </c>
      <c r="B58" s="2581"/>
      <c r="C58" s="2581"/>
      <c r="D58" s="2581"/>
      <c r="E58" s="2581"/>
      <c r="F58" s="2581"/>
      <c r="G58" s="2581"/>
      <c r="H58" s="2581"/>
      <c r="I58" s="2581"/>
      <c r="J58" s="2581"/>
      <c r="K58" s="2581"/>
      <c r="L58" s="2581"/>
      <c r="M58" s="2581"/>
      <c r="N58" s="2581"/>
      <c r="O58" s="2581"/>
      <c r="P58" s="2581"/>
      <c r="Q58" s="2581"/>
      <c r="R58" s="2581"/>
      <c r="S58" s="2582"/>
      <c r="U58" s="7"/>
    </row>
    <row r="59" spans="1:21" ht="16.5" customHeight="1" thickBot="1">
      <c r="A59" s="2583" t="s">
        <v>139</v>
      </c>
      <c r="B59" s="2584"/>
      <c r="C59" s="2584"/>
      <c r="D59" s="2584"/>
      <c r="E59" s="2584"/>
      <c r="F59" s="2584"/>
      <c r="G59" s="2584"/>
      <c r="H59" s="2584"/>
      <c r="I59" s="2584"/>
      <c r="J59" s="2584"/>
      <c r="K59" s="2584"/>
      <c r="L59" s="2584"/>
      <c r="M59" s="2584"/>
      <c r="N59" s="2584"/>
      <c r="O59" s="2584"/>
      <c r="P59" s="2584"/>
      <c r="Q59" s="2584"/>
      <c r="R59" s="2584"/>
      <c r="S59" s="2585"/>
      <c r="U59" s="7"/>
    </row>
    <row r="60" spans="1:21" ht="16.5" thickBot="1">
      <c r="A60" s="47" t="s">
        <v>35</v>
      </c>
      <c r="B60" s="48">
        <f>J60</f>
        <v>600</v>
      </c>
      <c r="C60" s="48" t="s">
        <v>3</v>
      </c>
      <c r="D60" s="48">
        <f>K60</f>
        <v>300</v>
      </c>
      <c r="E60" s="48" t="s">
        <v>3</v>
      </c>
      <c r="F60" s="99">
        <f>L60</f>
        <v>600</v>
      </c>
      <c r="G60" s="48" t="s">
        <v>3</v>
      </c>
      <c r="H60" s="48">
        <v>4</v>
      </c>
      <c r="I60" s="49" t="s">
        <v>46</v>
      </c>
      <c r="J60" s="326">
        <v>600</v>
      </c>
      <c r="K60" s="327">
        <v>300</v>
      </c>
      <c r="L60" s="327">
        <v>600</v>
      </c>
      <c r="M60" s="301">
        <v>15.121884553074539</v>
      </c>
      <c r="N60" s="302">
        <v>485.68911814448626</v>
      </c>
      <c r="O60" s="303">
        <v>15649.318614653215</v>
      </c>
      <c r="P60" s="208">
        <v>18903.166073870609</v>
      </c>
      <c r="Q60" s="328">
        <v>8203.3683669666007</v>
      </c>
      <c r="R60" s="329">
        <v>23852.686981619816</v>
      </c>
      <c r="S60" s="330">
        <v>27106.534440837211</v>
      </c>
      <c r="U60" s="7" t="s">
        <v>4489</v>
      </c>
    </row>
    <row r="61" spans="1:21" ht="16.5" customHeight="1" thickBot="1">
      <c r="A61" s="50" t="s">
        <v>35</v>
      </c>
      <c r="B61" s="51">
        <f t="shared" ref="B61:B108" si="3">J61</f>
        <v>600</v>
      </c>
      <c r="C61" s="51" t="s">
        <v>3</v>
      </c>
      <c r="D61" s="51">
        <f t="shared" ref="D61:D108" si="4">K61</f>
        <v>300</v>
      </c>
      <c r="E61" s="51" t="s">
        <v>3</v>
      </c>
      <c r="F61" s="99">
        <f t="shared" ref="F61:F108" si="5">L61</f>
        <v>650</v>
      </c>
      <c r="G61" s="51" t="s">
        <v>3</v>
      </c>
      <c r="H61" s="48">
        <v>4</v>
      </c>
      <c r="I61" s="49" t="s">
        <v>46</v>
      </c>
      <c r="J61" s="184">
        <v>600</v>
      </c>
      <c r="K61" s="75">
        <v>300</v>
      </c>
      <c r="L61" s="75">
        <v>650</v>
      </c>
      <c r="M61" s="202">
        <v>16.11137247468643</v>
      </c>
      <c r="N61" s="87">
        <v>582.82694177338351</v>
      </c>
      <c r="O61" s="123">
        <v>16477.029023063067</v>
      </c>
      <c r="P61" s="199">
        <v>19934.358163861558</v>
      </c>
      <c r="Q61" s="310">
        <v>8683.7735348305905</v>
      </c>
      <c r="R61" s="319">
        <v>25160.802557893658</v>
      </c>
      <c r="S61" s="315">
        <v>28618.131698692148</v>
      </c>
      <c r="U61" s="7" t="s">
        <v>4490</v>
      </c>
    </row>
    <row r="62" spans="1:21" ht="16.5" thickBot="1">
      <c r="A62" s="50" t="s">
        <v>35</v>
      </c>
      <c r="B62" s="51">
        <f t="shared" si="3"/>
        <v>600</v>
      </c>
      <c r="C62" s="51" t="s">
        <v>3</v>
      </c>
      <c r="D62" s="51">
        <f t="shared" si="4"/>
        <v>300</v>
      </c>
      <c r="E62" s="51" t="s">
        <v>3</v>
      </c>
      <c r="F62" s="99">
        <f t="shared" si="5"/>
        <v>700</v>
      </c>
      <c r="G62" s="51" t="s">
        <v>3</v>
      </c>
      <c r="H62" s="48">
        <v>4</v>
      </c>
      <c r="I62" s="49" t="s">
        <v>46</v>
      </c>
      <c r="J62" s="184">
        <v>600</v>
      </c>
      <c r="K62" s="75">
        <v>300</v>
      </c>
      <c r="L62" s="75">
        <v>700</v>
      </c>
      <c r="M62" s="202">
        <v>17.118326396298325</v>
      </c>
      <c r="N62" s="87">
        <v>679.9647654022807</v>
      </c>
      <c r="O62" s="123">
        <v>17304.739571866277</v>
      </c>
      <c r="P62" s="199">
        <v>20965.550253852361</v>
      </c>
      <c r="Q62" s="310">
        <v>9394.7606208712132</v>
      </c>
      <c r="R62" s="319">
        <v>26699.500192737491</v>
      </c>
      <c r="S62" s="315">
        <v>30360.310874723575</v>
      </c>
      <c r="U62" s="7" t="s">
        <v>4491</v>
      </c>
    </row>
    <row r="63" spans="1:21" ht="16.5" customHeight="1" thickBot="1">
      <c r="A63" s="50" t="s">
        <v>35</v>
      </c>
      <c r="B63" s="51">
        <f t="shared" si="3"/>
        <v>600</v>
      </c>
      <c r="C63" s="51" t="s">
        <v>3</v>
      </c>
      <c r="D63" s="51">
        <f t="shared" si="4"/>
        <v>300</v>
      </c>
      <c r="E63" s="51" t="s">
        <v>3</v>
      </c>
      <c r="F63" s="99">
        <f t="shared" si="5"/>
        <v>750</v>
      </c>
      <c r="G63" s="51" t="s">
        <v>3</v>
      </c>
      <c r="H63" s="48">
        <v>4</v>
      </c>
      <c r="I63" s="49" t="s">
        <v>46</v>
      </c>
      <c r="J63" s="184">
        <v>600</v>
      </c>
      <c r="K63" s="75">
        <v>300</v>
      </c>
      <c r="L63" s="75">
        <v>750</v>
      </c>
      <c r="M63" s="202">
        <v>18.107814317910222</v>
      </c>
      <c r="N63" s="87">
        <v>777.10258903117801</v>
      </c>
      <c r="O63" s="123">
        <v>18132.450120669491</v>
      </c>
      <c r="P63" s="199">
        <v>21996.742343843169</v>
      </c>
      <c r="Q63" s="310">
        <v>9875.165788735203</v>
      </c>
      <c r="R63" s="319">
        <v>28007.615909404696</v>
      </c>
      <c r="S63" s="315">
        <v>31871.90813257837</v>
      </c>
      <c r="U63" s="7" t="s">
        <v>4492</v>
      </c>
    </row>
    <row r="64" spans="1:21" ht="16.5" thickBot="1">
      <c r="A64" s="50" t="s">
        <v>35</v>
      </c>
      <c r="B64" s="51">
        <f t="shared" si="3"/>
        <v>600</v>
      </c>
      <c r="C64" s="51" t="s">
        <v>3</v>
      </c>
      <c r="D64" s="51">
        <f t="shared" si="4"/>
        <v>300</v>
      </c>
      <c r="E64" s="51" t="s">
        <v>3</v>
      </c>
      <c r="F64" s="99">
        <f t="shared" si="5"/>
        <v>800</v>
      </c>
      <c r="G64" s="51" t="s">
        <v>3</v>
      </c>
      <c r="H64" s="48">
        <v>4</v>
      </c>
      <c r="I64" s="49" t="s">
        <v>46</v>
      </c>
      <c r="J64" s="184">
        <v>600</v>
      </c>
      <c r="K64" s="75">
        <v>300</v>
      </c>
      <c r="L64" s="75">
        <v>800</v>
      </c>
      <c r="M64" s="202">
        <v>19.097302239522115</v>
      </c>
      <c r="N64" s="87">
        <v>874.24041266007532</v>
      </c>
      <c r="O64" s="123">
        <v>18960.160529079341</v>
      </c>
      <c r="P64" s="199">
        <v>23027.934433833972</v>
      </c>
      <c r="Q64" s="310">
        <v>10355.570956599189</v>
      </c>
      <c r="R64" s="319">
        <v>29315.731485678531</v>
      </c>
      <c r="S64" s="315">
        <v>33383.505390433158</v>
      </c>
      <c r="U64" s="7" t="s">
        <v>4493</v>
      </c>
    </row>
    <row r="65" spans="1:21" ht="16.5" customHeight="1" thickBot="1">
      <c r="A65" s="50" t="s">
        <v>35</v>
      </c>
      <c r="B65" s="51">
        <f t="shared" si="3"/>
        <v>600</v>
      </c>
      <c r="C65" s="51" t="s">
        <v>3</v>
      </c>
      <c r="D65" s="51">
        <f t="shared" si="4"/>
        <v>300</v>
      </c>
      <c r="E65" s="51" t="s">
        <v>3</v>
      </c>
      <c r="F65" s="99">
        <f t="shared" si="5"/>
        <v>850</v>
      </c>
      <c r="G65" s="51" t="s">
        <v>3</v>
      </c>
      <c r="H65" s="48">
        <v>4</v>
      </c>
      <c r="I65" s="49" t="s">
        <v>46</v>
      </c>
      <c r="J65" s="184">
        <v>600</v>
      </c>
      <c r="K65" s="75">
        <v>300</v>
      </c>
      <c r="L65" s="75">
        <v>850</v>
      </c>
      <c r="M65" s="202">
        <v>20.104256161134007</v>
      </c>
      <c r="N65" s="87">
        <v>971.37823628897252</v>
      </c>
      <c r="O65" s="123">
        <v>19787.871077882555</v>
      </c>
      <c r="P65" s="199">
        <v>24059.126523824776</v>
      </c>
      <c r="Q65" s="310">
        <v>11066.558042639816</v>
      </c>
      <c r="R65" s="319">
        <v>30854.429120522371</v>
      </c>
      <c r="S65" s="315">
        <v>35125.684566464595</v>
      </c>
      <c r="U65" s="7" t="s">
        <v>4494</v>
      </c>
    </row>
    <row r="66" spans="1:21" ht="16.5" thickBot="1">
      <c r="A66" s="50" t="s">
        <v>35</v>
      </c>
      <c r="B66" s="51">
        <f t="shared" si="3"/>
        <v>600</v>
      </c>
      <c r="C66" s="51" t="s">
        <v>3</v>
      </c>
      <c r="D66" s="51">
        <f t="shared" si="4"/>
        <v>300</v>
      </c>
      <c r="E66" s="51" t="s">
        <v>3</v>
      </c>
      <c r="F66" s="99">
        <f t="shared" si="5"/>
        <v>900</v>
      </c>
      <c r="G66" s="51" t="s">
        <v>3</v>
      </c>
      <c r="H66" s="48">
        <v>4</v>
      </c>
      <c r="I66" s="49" t="s">
        <v>46</v>
      </c>
      <c r="J66" s="184">
        <v>600</v>
      </c>
      <c r="K66" s="75">
        <v>300</v>
      </c>
      <c r="L66" s="75">
        <v>900</v>
      </c>
      <c r="M66" s="202">
        <v>21.0937440827459</v>
      </c>
      <c r="N66" s="87">
        <v>1068.5160599178698</v>
      </c>
      <c r="O66" s="123">
        <v>20615.581626685766</v>
      </c>
      <c r="P66" s="199">
        <v>25090.318613815725</v>
      </c>
      <c r="Q66" s="310">
        <v>11546.963210503804</v>
      </c>
      <c r="R66" s="319">
        <v>32162.544837189569</v>
      </c>
      <c r="S66" s="315">
        <v>36637.281824319529</v>
      </c>
      <c r="U66" s="7" t="s">
        <v>4495</v>
      </c>
    </row>
    <row r="67" spans="1:21" ht="16.5" customHeight="1" thickBot="1">
      <c r="A67" s="50" t="s">
        <v>35</v>
      </c>
      <c r="B67" s="51">
        <f t="shared" si="3"/>
        <v>600</v>
      </c>
      <c r="C67" s="51" t="s">
        <v>3</v>
      </c>
      <c r="D67" s="51">
        <f t="shared" si="4"/>
        <v>300</v>
      </c>
      <c r="E67" s="51" t="s">
        <v>3</v>
      </c>
      <c r="F67" s="99">
        <f t="shared" si="5"/>
        <v>950</v>
      </c>
      <c r="G67" s="51" t="s">
        <v>3</v>
      </c>
      <c r="H67" s="48">
        <v>4</v>
      </c>
      <c r="I67" s="49" t="s">
        <v>46</v>
      </c>
      <c r="J67" s="184">
        <v>600</v>
      </c>
      <c r="K67" s="75">
        <v>300</v>
      </c>
      <c r="L67" s="75">
        <v>950</v>
      </c>
      <c r="M67" s="202">
        <v>22.100698004357795</v>
      </c>
      <c r="N67" s="87">
        <v>1165.653883546767</v>
      </c>
      <c r="O67" s="123">
        <v>21443.292035095619</v>
      </c>
      <c r="P67" s="199">
        <v>26121.510703806533</v>
      </c>
      <c r="Q67" s="310">
        <v>12257.950156151066</v>
      </c>
      <c r="R67" s="319">
        <v>33701.242191246682</v>
      </c>
      <c r="S67" s="315">
        <v>38379.460859957602</v>
      </c>
      <c r="U67" s="7" t="s">
        <v>4496</v>
      </c>
    </row>
    <row r="68" spans="1:21" ht="16.5" thickBot="1">
      <c r="A68" s="50" t="s">
        <v>35</v>
      </c>
      <c r="B68" s="51">
        <f t="shared" si="3"/>
        <v>600</v>
      </c>
      <c r="C68" s="51" t="s">
        <v>3</v>
      </c>
      <c r="D68" s="51">
        <f t="shared" si="4"/>
        <v>300</v>
      </c>
      <c r="E68" s="51" t="s">
        <v>3</v>
      </c>
      <c r="F68" s="99">
        <f t="shared" si="5"/>
        <v>1000</v>
      </c>
      <c r="G68" s="51" t="s">
        <v>3</v>
      </c>
      <c r="H68" s="48">
        <v>4</v>
      </c>
      <c r="I68" s="49" t="s">
        <v>46</v>
      </c>
      <c r="J68" s="184">
        <v>600</v>
      </c>
      <c r="K68" s="75">
        <v>300</v>
      </c>
      <c r="L68" s="75">
        <v>1000</v>
      </c>
      <c r="M68" s="202">
        <v>23.090185925969699</v>
      </c>
      <c r="N68" s="87">
        <v>1262.7917071756642</v>
      </c>
      <c r="O68" s="123">
        <v>22271.002583898829</v>
      </c>
      <c r="P68" s="199">
        <v>27152.702793797333</v>
      </c>
      <c r="Q68" s="310">
        <v>12738.355464408416</v>
      </c>
      <c r="R68" s="319">
        <v>35009.358048307244</v>
      </c>
      <c r="S68" s="315">
        <v>39891.058258205747</v>
      </c>
      <c r="U68" s="7" t="s">
        <v>4497</v>
      </c>
    </row>
    <row r="69" spans="1:21" ht="16.5" customHeight="1" thickBot="1">
      <c r="A69" s="50" t="s">
        <v>35</v>
      </c>
      <c r="B69" s="51">
        <f t="shared" si="3"/>
        <v>600</v>
      </c>
      <c r="C69" s="51" t="s">
        <v>3</v>
      </c>
      <c r="D69" s="51">
        <f t="shared" si="4"/>
        <v>300</v>
      </c>
      <c r="E69" s="51" t="s">
        <v>3</v>
      </c>
      <c r="F69" s="99">
        <f t="shared" si="5"/>
        <v>1050</v>
      </c>
      <c r="G69" s="51" t="s">
        <v>3</v>
      </c>
      <c r="H69" s="48">
        <v>4</v>
      </c>
      <c r="I69" s="49" t="s">
        <v>46</v>
      </c>
      <c r="J69" s="184">
        <v>600</v>
      </c>
      <c r="K69" s="75">
        <v>300</v>
      </c>
      <c r="L69" s="75">
        <v>1050</v>
      </c>
      <c r="M69" s="202">
        <v>24.097139847581587</v>
      </c>
      <c r="N69" s="87">
        <v>1359.9295308045614</v>
      </c>
      <c r="O69" s="123">
        <v>23098.713132702043</v>
      </c>
      <c r="P69" s="199">
        <v>28183.89488378814</v>
      </c>
      <c r="Q69" s="310">
        <v>13449.342410055679</v>
      </c>
      <c r="R69" s="319">
        <v>36548.05554275772</v>
      </c>
      <c r="S69" s="315">
        <v>41633.23729384382</v>
      </c>
      <c r="U69" s="7" t="s">
        <v>4498</v>
      </c>
    </row>
    <row r="70" spans="1:21" ht="16.5" thickBot="1">
      <c r="A70" s="47" t="s">
        <v>35</v>
      </c>
      <c r="B70" s="48">
        <f t="shared" si="3"/>
        <v>600</v>
      </c>
      <c r="C70" s="48" t="s">
        <v>3</v>
      </c>
      <c r="D70" s="48">
        <f t="shared" si="4"/>
        <v>300</v>
      </c>
      <c r="E70" s="48" t="s">
        <v>3</v>
      </c>
      <c r="F70" s="99">
        <f t="shared" si="5"/>
        <v>1100</v>
      </c>
      <c r="G70" s="48" t="s">
        <v>3</v>
      </c>
      <c r="H70" s="48">
        <v>4</v>
      </c>
      <c r="I70" s="49" t="s">
        <v>46</v>
      </c>
      <c r="J70" s="184">
        <v>600</v>
      </c>
      <c r="K70" s="75">
        <v>300</v>
      </c>
      <c r="L70" s="75">
        <v>1100</v>
      </c>
      <c r="M70" s="202">
        <v>25.086627769193484</v>
      </c>
      <c r="N70" s="87">
        <v>1457.0673544334588</v>
      </c>
      <c r="O70" s="123">
        <v>23926.423681505257</v>
      </c>
      <c r="P70" s="199">
        <v>29215.086973778947</v>
      </c>
      <c r="Q70" s="310">
        <v>13929.747718313029</v>
      </c>
      <c r="R70" s="319">
        <v>37856.171399818282</v>
      </c>
      <c r="S70" s="315">
        <v>43144.834692091972</v>
      </c>
      <c r="U70" s="7" t="s">
        <v>4499</v>
      </c>
    </row>
    <row r="71" spans="1:21" ht="16.5" customHeight="1" thickBot="1">
      <c r="A71" s="50" t="s">
        <v>35</v>
      </c>
      <c r="B71" s="51">
        <f t="shared" si="3"/>
        <v>600</v>
      </c>
      <c r="C71" s="51" t="s">
        <v>3</v>
      </c>
      <c r="D71" s="51">
        <f t="shared" si="4"/>
        <v>300</v>
      </c>
      <c r="E71" s="51" t="s">
        <v>3</v>
      </c>
      <c r="F71" s="99">
        <f t="shared" si="5"/>
        <v>1150</v>
      </c>
      <c r="G71" s="51" t="s">
        <v>3</v>
      </c>
      <c r="H71" s="48">
        <v>4</v>
      </c>
      <c r="I71" s="49" t="s">
        <v>46</v>
      </c>
      <c r="J71" s="184">
        <v>600</v>
      </c>
      <c r="K71" s="75">
        <v>300</v>
      </c>
      <c r="L71" s="75">
        <v>1150</v>
      </c>
      <c r="M71" s="202">
        <v>26.076115690805377</v>
      </c>
      <c r="N71" s="87">
        <v>1554.205178062356</v>
      </c>
      <c r="O71" s="123">
        <v>24754.134089915104</v>
      </c>
      <c r="P71" s="199">
        <v>30246.279063769889</v>
      </c>
      <c r="Q71" s="310">
        <v>14410.152886177015</v>
      </c>
      <c r="R71" s="319">
        <v>39164.286976092117</v>
      </c>
      <c r="S71" s="315">
        <v>44656.431949946906</v>
      </c>
      <c r="U71" s="7" t="s">
        <v>4500</v>
      </c>
    </row>
    <row r="72" spans="1:21" ht="16.5" thickBot="1">
      <c r="A72" s="50" t="s">
        <v>35</v>
      </c>
      <c r="B72" s="51">
        <f t="shared" si="3"/>
        <v>600</v>
      </c>
      <c r="C72" s="51" t="s">
        <v>3</v>
      </c>
      <c r="D72" s="51">
        <f t="shared" si="4"/>
        <v>300</v>
      </c>
      <c r="E72" s="51" t="s">
        <v>3</v>
      </c>
      <c r="F72" s="99">
        <f t="shared" si="5"/>
        <v>1200</v>
      </c>
      <c r="G72" s="51" t="s">
        <v>3</v>
      </c>
      <c r="H72" s="48">
        <v>4</v>
      </c>
      <c r="I72" s="49" t="s">
        <v>46</v>
      </c>
      <c r="J72" s="184">
        <v>600</v>
      </c>
      <c r="K72" s="75">
        <v>300</v>
      </c>
      <c r="L72" s="75">
        <v>1200</v>
      </c>
      <c r="M72" s="202">
        <v>27.163532112417268</v>
      </c>
      <c r="N72" s="87">
        <v>1651.3430016912532</v>
      </c>
      <c r="O72" s="123">
        <v>25662.856803435228</v>
      </c>
      <c r="P72" s="199">
        <v>31359.754096660527</v>
      </c>
      <c r="Q72" s="310">
        <v>15121.139831824277</v>
      </c>
      <c r="R72" s="319">
        <v>40783.996635259507</v>
      </c>
      <c r="S72" s="315">
        <v>46480.893928484802</v>
      </c>
      <c r="U72" s="7" t="s">
        <v>4501</v>
      </c>
    </row>
    <row r="73" spans="1:21" ht="16.5" customHeight="1" thickBot="1">
      <c r="A73" s="50" t="s">
        <v>35</v>
      </c>
      <c r="B73" s="51">
        <f t="shared" si="3"/>
        <v>600</v>
      </c>
      <c r="C73" s="51" t="s">
        <v>3</v>
      </c>
      <c r="D73" s="51">
        <f t="shared" si="4"/>
        <v>300</v>
      </c>
      <c r="E73" s="51" t="s">
        <v>3</v>
      </c>
      <c r="F73" s="99">
        <f t="shared" si="5"/>
        <v>1250</v>
      </c>
      <c r="G73" s="51" t="s">
        <v>3</v>
      </c>
      <c r="H73" s="48">
        <v>4</v>
      </c>
      <c r="I73" s="49" t="s">
        <v>46</v>
      </c>
      <c r="J73" s="184">
        <v>600</v>
      </c>
      <c r="K73" s="75">
        <v>300</v>
      </c>
      <c r="L73" s="75">
        <v>1250</v>
      </c>
      <c r="M73" s="202">
        <v>28.153020034029169</v>
      </c>
      <c r="N73" s="87">
        <v>1748.4808253201506</v>
      </c>
      <c r="O73" s="123">
        <v>26490.567211845082</v>
      </c>
      <c r="P73" s="199">
        <v>32390.946186651472</v>
      </c>
      <c r="Q73" s="310">
        <v>15601.545140081627</v>
      </c>
      <c r="R73" s="319">
        <v>42092.112351926713</v>
      </c>
      <c r="S73" s="315">
        <v>47992.491326733099</v>
      </c>
      <c r="U73" s="7" t="s">
        <v>4502</v>
      </c>
    </row>
    <row r="74" spans="1:21" ht="16.5" thickBot="1">
      <c r="A74" s="50" t="s">
        <v>35</v>
      </c>
      <c r="B74" s="51">
        <f t="shared" si="3"/>
        <v>600</v>
      </c>
      <c r="C74" s="51" t="s">
        <v>3</v>
      </c>
      <c r="D74" s="51">
        <f t="shared" si="4"/>
        <v>300</v>
      </c>
      <c r="E74" s="51" t="s">
        <v>3</v>
      </c>
      <c r="F74" s="99">
        <f t="shared" si="5"/>
        <v>1300</v>
      </c>
      <c r="G74" s="51" t="s">
        <v>3</v>
      </c>
      <c r="H74" s="48">
        <v>4</v>
      </c>
      <c r="I74" s="49" t="s">
        <v>46</v>
      </c>
      <c r="J74" s="184">
        <v>600</v>
      </c>
      <c r="K74" s="75">
        <v>300</v>
      </c>
      <c r="L74" s="75">
        <v>1300</v>
      </c>
      <c r="M74" s="202">
        <v>29.15997395564106</v>
      </c>
      <c r="N74" s="87">
        <v>1845.6186489490476</v>
      </c>
      <c r="O74" s="123">
        <v>27318.277760648292</v>
      </c>
      <c r="P74" s="199">
        <v>33422.138276642276</v>
      </c>
      <c r="Q74" s="310">
        <v>16312.53208572889</v>
      </c>
      <c r="R74" s="319">
        <v>43630.809846377182</v>
      </c>
      <c r="S74" s="315">
        <v>49734.670362371166</v>
      </c>
      <c r="U74" s="7" t="s">
        <v>4503</v>
      </c>
    </row>
    <row r="75" spans="1:21" ht="16.5" customHeight="1" thickBot="1">
      <c r="A75" s="50" t="s">
        <v>35</v>
      </c>
      <c r="B75" s="51">
        <f t="shared" si="3"/>
        <v>600</v>
      </c>
      <c r="C75" s="51" t="s">
        <v>3</v>
      </c>
      <c r="D75" s="51">
        <f t="shared" si="4"/>
        <v>300</v>
      </c>
      <c r="E75" s="51" t="s">
        <v>3</v>
      </c>
      <c r="F75" s="99">
        <f t="shared" si="5"/>
        <v>1350</v>
      </c>
      <c r="G75" s="51" t="s">
        <v>3</v>
      </c>
      <c r="H75" s="48">
        <v>4</v>
      </c>
      <c r="I75" s="49" t="s">
        <v>46</v>
      </c>
      <c r="J75" s="184">
        <v>600</v>
      </c>
      <c r="K75" s="75">
        <v>300</v>
      </c>
      <c r="L75" s="75">
        <v>1350</v>
      </c>
      <c r="M75" s="202">
        <v>30.149461877252957</v>
      </c>
      <c r="N75" s="87">
        <v>1942.756472577945</v>
      </c>
      <c r="O75" s="123">
        <v>28145.988309451506</v>
      </c>
      <c r="P75" s="199">
        <v>34453.330366633083</v>
      </c>
      <c r="Q75" s="310">
        <v>16792.937253592878</v>
      </c>
      <c r="R75" s="319">
        <v>44938.92556304438</v>
      </c>
      <c r="S75" s="315">
        <v>51246.267620225961</v>
      </c>
      <c r="U75" s="7" t="s">
        <v>4504</v>
      </c>
    </row>
    <row r="76" spans="1:21" ht="16.5" thickBot="1">
      <c r="A76" s="50" t="s">
        <v>35</v>
      </c>
      <c r="B76" s="51">
        <f t="shared" si="3"/>
        <v>600</v>
      </c>
      <c r="C76" s="51" t="s">
        <v>3</v>
      </c>
      <c r="D76" s="51">
        <f t="shared" si="4"/>
        <v>300</v>
      </c>
      <c r="E76" s="51" t="s">
        <v>3</v>
      </c>
      <c r="F76" s="99">
        <f t="shared" si="5"/>
        <v>1400</v>
      </c>
      <c r="G76" s="51" t="s">
        <v>3</v>
      </c>
      <c r="H76" s="48">
        <v>4</v>
      </c>
      <c r="I76" s="49" t="s">
        <v>46</v>
      </c>
      <c r="J76" s="184">
        <v>600</v>
      </c>
      <c r="K76" s="75">
        <v>300</v>
      </c>
      <c r="L76" s="75">
        <v>1400</v>
      </c>
      <c r="M76" s="202">
        <v>31.156415798864852</v>
      </c>
      <c r="N76" s="87">
        <v>2039.8942962068425</v>
      </c>
      <c r="O76" s="123">
        <v>28973.698717861356</v>
      </c>
      <c r="P76" s="199">
        <v>35484.52245662389</v>
      </c>
      <c r="Q76" s="310">
        <v>17503.924339633504</v>
      </c>
      <c r="R76" s="319">
        <v>46477.623057494857</v>
      </c>
      <c r="S76" s="315">
        <v>52988.446796257398</v>
      </c>
      <c r="U76" s="7" t="s">
        <v>4505</v>
      </c>
    </row>
    <row r="77" spans="1:21" ht="16.5" customHeight="1" thickBot="1">
      <c r="A77" s="50" t="s">
        <v>35</v>
      </c>
      <c r="B77" s="51">
        <f t="shared" si="3"/>
        <v>600</v>
      </c>
      <c r="C77" s="51" t="s">
        <v>3</v>
      </c>
      <c r="D77" s="51">
        <f t="shared" si="4"/>
        <v>300</v>
      </c>
      <c r="E77" s="51" t="s">
        <v>3</v>
      </c>
      <c r="F77" s="99">
        <f t="shared" si="5"/>
        <v>1450</v>
      </c>
      <c r="G77" s="51" t="s">
        <v>3</v>
      </c>
      <c r="H77" s="48">
        <v>4</v>
      </c>
      <c r="I77" s="49" t="s">
        <v>46</v>
      </c>
      <c r="J77" s="184">
        <v>600</v>
      </c>
      <c r="K77" s="75">
        <v>300</v>
      </c>
      <c r="L77" s="75">
        <v>1450</v>
      </c>
      <c r="M77" s="202">
        <v>32.145903720476753</v>
      </c>
      <c r="N77" s="87">
        <v>2137.0321198357396</v>
      </c>
      <c r="O77" s="123">
        <v>29801.409266664567</v>
      </c>
      <c r="P77" s="199">
        <v>36515.71454661469</v>
      </c>
      <c r="Q77" s="310">
        <v>17984.32950749735</v>
      </c>
      <c r="R77" s="319">
        <v>47785.738774161917</v>
      </c>
      <c r="S77" s="315">
        <v>54500.044054112041</v>
      </c>
      <c r="U77" s="7" t="s">
        <v>4506</v>
      </c>
    </row>
    <row r="78" spans="1:21" ht="16.5" thickBot="1">
      <c r="A78" s="50" t="s">
        <v>35</v>
      </c>
      <c r="B78" s="51">
        <f t="shared" si="3"/>
        <v>600</v>
      </c>
      <c r="C78" s="51" t="s">
        <v>3</v>
      </c>
      <c r="D78" s="51">
        <f t="shared" si="4"/>
        <v>300</v>
      </c>
      <c r="E78" s="51" t="s">
        <v>3</v>
      </c>
      <c r="F78" s="99">
        <f t="shared" si="5"/>
        <v>1500</v>
      </c>
      <c r="G78" s="51" t="s">
        <v>3</v>
      </c>
      <c r="H78" s="48">
        <v>4</v>
      </c>
      <c r="I78" s="49" t="s">
        <v>46</v>
      </c>
      <c r="J78" s="184">
        <v>600</v>
      </c>
      <c r="K78" s="75">
        <v>300</v>
      </c>
      <c r="L78" s="75">
        <v>1500</v>
      </c>
      <c r="M78" s="202">
        <v>33.322916265347644</v>
      </c>
      <c r="N78" s="87">
        <v>2234.1699434646366</v>
      </c>
      <c r="O78" s="123">
        <v>31271.024101196483</v>
      </c>
      <c r="P78" s="199">
        <v>38155.664067787671</v>
      </c>
      <c r="Q78" s="310">
        <v>18695.316593538118</v>
      </c>
      <c r="R78" s="319">
        <v>49966.340694734601</v>
      </c>
      <c r="S78" s="315">
        <v>56850.98066132579</v>
      </c>
      <c r="U78" s="7" t="s">
        <v>4507</v>
      </c>
    </row>
    <row r="79" spans="1:21" ht="16.5" customHeight="1" thickBot="1">
      <c r="A79" s="50" t="s">
        <v>35</v>
      </c>
      <c r="B79" s="51">
        <f t="shared" si="3"/>
        <v>600</v>
      </c>
      <c r="C79" s="51" t="s">
        <v>3</v>
      </c>
      <c r="D79" s="51">
        <f t="shared" si="4"/>
        <v>300</v>
      </c>
      <c r="E79" s="51" t="s">
        <v>3</v>
      </c>
      <c r="F79" s="99">
        <f t="shared" si="5"/>
        <v>1550</v>
      </c>
      <c r="G79" s="51" t="s">
        <v>3</v>
      </c>
      <c r="H79" s="48">
        <v>4</v>
      </c>
      <c r="I79" s="49" t="s">
        <v>46</v>
      </c>
      <c r="J79" s="184">
        <v>600</v>
      </c>
      <c r="K79" s="75">
        <v>300</v>
      </c>
      <c r="L79" s="75">
        <v>1550</v>
      </c>
      <c r="M79" s="202">
        <v>34.31240418695954</v>
      </c>
      <c r="N79" s="87">
        <v>2331.307767093534</v>
      </c>
      <c r="O79" s="123">
        <v>32098.734649999697</v>
      </c>
      <c r="P79" s="199">
        <v>39186.856157778479</v>
      </c>
      <c r="Q79" s="310">
        <v>19175.721761402103</v>
      </c>
      <c r="R79" s="319">
        <v>51274.456411401799</v>
      </c>
      <c r="S79" s="315">
        <v>58362.577919180578</v>
      </c>
      <c r="U79" s="7" t="s">
        <v>4508</v>
      </c>
    </row>
    <row r="80" spans="1:21" ht="16.5" thickBot="1">
      <c r="A80" s="47" t="s">
        <v>35</v>
      </c>
      <c r="B80" s="48">
        <f t="shared" si="3"/>
        <v>600</v>
      </c>
      <c r="C80" s="48" t="s">
        <v>3</v>
      </c>
      <c r="D80" s="48">
        <f t="shared" si="4"/>
        <v>300</v>
      </c>
      <c r="E80" s="48" t="s">
        <v>3</v>
      </c>
      <c r="F80" s="99">
        <f t="shared" si="5"/>
        <v>1600</v>
      </c>
      <c r="G80" s="48" t="s">
        <v>3</v>
      </c>
      <c r="H80" s="48">
        <v>4</v>
      </c>
      <c r="I80" s="49" t="s">
        <v>46</v>
      </c>
      <c r="J80" s="184">
        <v>600</v>
      </c>
      <c r="K80" s="75">
        <v>300</v>
      </c>
      <c r="L80" s="75">
        <v>1600</v>
      </c>
      <c r="M80" s="202">
        <v>35.30189210857143</v>
      </c>
      <c r="N80" s="87">
        <v>2428.4455907224315</v>
      </c>
      <c r="O80" s="123">
        <v>32926.445058409539</v>
      </c>
      <c r="P80" s="199">
        <v>40218.048247769431</v>
      </c>
      <c r="Q80" s="310">
        <v>19656.126929266091</v>
      </c>
      <c r="R80" s="319">
        <v>52582.571987675634</v>
      </c>
      <c r="S80" s="315">
        <v>59874.175177035519</v>
      </c>
      <c r="U80" s="7" t="s">
        <v>4509</v>
      </c>
    </row>
    <row r="81" spans="1:21" ht="16.5" customHeight="1" thickBot="1">
      <c r="A81" s="50" t="s">
        <v>35</v>
      </c>
      <c r="B81" s="51">
        <f t="shared" si="3"/>
        <v>600</v>
      </c>
      <c r="C81" s="51" t="s">
        <v>3</v>
      </c>
      <c r="D81" s="51">
        <f t="shared" si="4"/>
        <v>300</v>
      </c>
      <c r="E81" s="51" t="s">
        <v>3</v>
      </c>
      <c r="F81" s="99">
        <f t="shared" si="5"/>
        <v>1650</v>
      </c>
      <c r="G81" s="51" t="s">
        <v>3</v>
      </c>
      <c r="H81" s="48">
        <v>4</v>
      </c>
      <c r="I81" s="49" t="s">
        <v>46</v>
      </c>
      <c r="J81" s="184">
        <v>600</v>
      </c>
      <c r="K81" s="75">
        <v>300</v>
      </c>
      <c r="L81" s="75">
        <v>1650</v>
      </c>
      <c r="M81" s="202">
        <v>36.308846030183332</v>
      </c>
      <c r="N81" s="87">
        <v>2525.5834143513284</v>
      </c>
      <c r="O81" s="123">
        <v>33754.155607212757</v>
      </c>
      <c r="P81" s="199">
        <v>41249.240337760231</v>
      </c>
      <c r="Q81" s="310">
        <v>20367.114015306717</v>
      </c>
      <c r="R81" s="319">
        <v>54121.269622519474</v>
      </c>
      <c r="S81" s="315">
        <v>61616.354353066949</v>
      </c>
      <c r="U81" s="7" t="s">
        <v>4510</v>
      </c>
    </row>
    <row r="82" spans="1:21" ht="16.5" thickBot="1">
      <c r="A82" s="50" t="s">
        <v>35</v>
      </c>
      <c r="B82" s="51">
        <f t="shared" si="3"/>
        <v>600</v>
      </c>
      <c r="C82" s="51" t="s">
        <v>3</v>
      </c>
      <c r="D82" s="51">
        <f t="shared" si="4"/>
        <v>300</v>
      </c>
      <c r="E82" s="51" t="s">
        <v>3</v>
      </c>
      <c r="F82" s="99">
        <f t="shared" si="5"/>
        <v>1700</v>
      </c>
      <c r="G82" s="51" t="s">
        <v>3</v>
      </c>
      <c r="H82" s="48">
        <v>4</v>
      </c>
      <c r="I82" s="49" t="s">
        <v>46</v>
      </c>
      <c r="J82" s="184">
        <v>600</v>
      </c>
      <c r="K82" s="75">
        <v>300</v>
      </c>
      <c r="L82" s="75">
        <v>1700</v>
      </c>
      <c r="M82" s="202">
        <v>37.298333951795229</v>
      </c>
      <c r="N82" s="87">
        <v>2622.7212379802259</v>
      </c>
      <c r="O82" s="123">
        <v>34581.866156015967</v>
      </c>
      <c r="P82" s="199">
        <v>42280.432427751039</v>
      </c>
      <c r="Q82" s="310">
        <v>20847.519183170705</v>
      </c>
      <c r="R82" s="319">
        <v>55429.385339186672</v>
      </c>
      <c r="S82" s="315">
        <v>63127.951610921744</v>
      </c>
      <c r="U82" s="7" t="s">
        <v>4511</v>
      </c>
    </row>
    <row r="83" spans="1:21" ht="16.5" customHeight="1" thickBot="1">
      <c r="A83" s="50" t="s">
        <v>35</v>
      </c>
      <c r="B83" s="51">
        <f t="shared" si="3"/>
        <v>600</v>
      </c>
      <c r="C83" s="51" t="s">
        <v>3</v>
      </c>
      <c r="D83" s="51">
        <f t="shared" si="4"/>
        <v>300</v>
      </c>
      <c r="E83" s="51" t="s">
        <v>3</v>
      </c>
      <c r="F83" s="99">
        <f t="shared" si="5"/>
        <v>1750</v>
      </c>
      <c r="G83" s="51" t="s">
        <v>3</v>
      </c>
      <c r="H83" s="48">
        <v>4</v>
      </c>
      <c r="I83" s="49" t="s">
        <v>46</v>
      </c>
      <c r="J83" s="184">
        <v>600</v>
      </c>
      <c r="K83" s="75">
        <v>300</v>
      </c>
      <c r="L83" s="75">
        <v>1750</v>
      </c>
      <c r="M83" s="202">
        <v>38.305287873407117</v>
      </c>
      <c r="N83" s="87">
        <v>2719.8590616091228</v>
      </c>
      <c r="O83" s="123">
        <v>35409.576564425821</v>
      </c>
      <c r="P83" s="199">
        <v>43311.624517741846</v>
      </c>
      <c r="Q83" s="310">
        <v>21558.506269211328</v>
      </c>
      <c r="R83" s="319">
        <v>56968.082833637149</v>
      </c>
      <c r="S83" s="315">
        <v>64870.130786953174</v>
      </c>
      <c r="U83" s="7" t="s">
        <v>4512</v>
      </c>
    </row>
    <row r="84" spans="1:21" ht="16.5" thickBot="1">
      <c r="A84" s="50" t="s">
        <v>35</v>
      </c>
      <c r="B84" s="51">
        <f t="shared" si="3"/>
        <v>600</v>
      </c>
      <c r="C84" s="51" t="s">
        <v>3</v>
      </c>
      <c r="D84" s="51">
        <f t="shared" si="4"/>
        <v>300</v>
      </c>
      <c r="E84" s="51" t="s">
        <v>3</v>
      </c>
      <c r="F84" s="99">
        <f t="shared" si="5"/>
        <v>1800</v>
      </c>
      <c r="G84" s="51" t="s">
        <v>3</v>
      </c>
      <c r="H84" s="48">
        <v>4</v>
      </c>
      <c r="I84" s="49" t="s">
        <v>46</v>
      </c>
      <c r="J84" s="184">
        <v>600</v>
      </c>
      <c r="K84" s="75">
        <v>300</v>
      </c>
      <c r="L84" s="75">
        <v>1800</v>
      </c>
      <c r="M84" s="202">
        <v>39.294775795019014</v>
      </c>
      <c r="N84" s="87">
        <v>2816.9968852380202</v>
      </c>
      <c r="O84" s="123">
        <v>36237.287113229031</v>
      </c>
      <c r="P84" s="199">
        <v>44342.816607732653</v>
      </c>
      <c r="Q84" s="310">
        <v>22038.911437075316</v>
      </c>
      <c r="R84" s="319">
        <v>58276.198550304347</v>
      </c>
      <c r="S84" s="315">
        <v>66381.728044807969</v>
      </c>
      <c r="U84" s="7" t="s">
        <v>4513</v>
      </c>
    </row>
    <row r="85" spans="1:21" ht="16.5" customHeight="1" thickBot="1">
      <c r="A85" s="50" t="s">
        <v>35</v>
      </c>
      <c r="B85" s="51">
        <f t="shared" si="3"/>
        <v>600</v>
      </c>
      <c r="C85" s="51" t="s">
        <v>3</v>
      </c>
      <c r="D85" s="51">
        <f t="shared" si="4"/>
        <v>300</v>
      </c>
      <c r="E85" s="51" t="s">
        <v>3</v>
      </c>
      <c r="F85" s="99">
        <f t="shared" si="5"/>
        <v>1850</v>
      </c>
      <c r="G85" s="51" t="s">
        <v>3</v>
      </c>
      <c r="H85" s="48">
        <v>4</v>
      </c>
      <c r="I85" s="49" t="s">
        <v>46</v>
      </c>
      <c r="J85" s="184">
        <v>600</v>
      </c>
      <c r="K85" s="75">
        <v>300</v>
      </c>
      <c r="L85" s="75">
        <v>1850</v>
      </c>
      <c r="M85" s="202">
        <v>40.301729716630909</v>
      </c>
      <c r="N85" s="87">
        <v>2914.1347088669177</v>
      </c>
      <c r="O85" s="123">
        <v>37064.997662032249</v>
      </c>
      <c r="P85" s="199">
        <v>45374.008697723591</v>
      </c>
      <c r="Q85" s="310">
        <v>22749.898382722578</v>
      </c>
      <c r="R85" s="319">
        <v>59814.896044754831</v>
      </c>
      <c r="S85" s="315">
        <v>68123.907080446166</v>
      </c>
      <c r="U85" s="7" t="s">
        <v>4514</v>
      </c>
    </row>
    <row r="86" spans="1:21" ht="16.5" thickBot="1">
      <c r="A86" s="50" t="s">
        <v>35</v>
      </c>
      <c r="B86" s="51">
        <f t="shared" si="3"/>
        <v>600</v>
      </c>
      <c r="C86" s="51" t="s">
        <v>3</v>
      </c>
      <c r="D86" s="51">
        <f t="shared" si="4"/>
        <v>300</v>
      </c>
      <c r="E86" s="51" t="s">
        <v>3</v>
      </c>
      <c r="F86" s="99">
        <f t="shared" si="5"/>
        <v>1900</v>
      </c>
      <c r="G86" s="51" t="s">
        <v>3</v>
      </c>
      <c r="H86" s="48">
        <v>4</v>
      </c>
      <c r="I86" s="49" t="s">
        <v>46</v>
      </c>
      <c r="J86" s="184">
        <v>600</v>
      </c>
      <c r="K86" s="75">
        <v>300</v>
      </c>
      <c r="L86" s="75">
        <v>1900</v>
      </c>
      <c r="M86" s="202">
        <v>41.291217638242799</v>
      </c>
      <c r="N86" s="87">
        <v>3011.2725324958151</v>
      </c>
      <c r="O86" s="123">
        <v>37892.708070442095</v>
      </c>
      <c r="P86" s="199">
        <v>46405.200787714399</v>
      </c>
      <c r="Q86" s="310">
        <v>23230.30369097993</v>
      </c>
      <c r="R86" s="319">
        <v>61123.011761422022</v>
      </c>
      <c r="S86" s="315">
        <v>69635.504478694333</v>
      </c>
      <c r="U86" s="7" t="s">
        <v>4515</v>
      </c>
    </row>
    <row r="87" spans="1:21" ht="16.5" customHeight="1" thickBot="1">
      <c r="A87" s="50" t="s">
        <v>35</v>
      </c>
      <c r="B87" s="51">
        <f t="shared" si="3"/>
        <v>600</v>
      </c>
      <c r="C87" s="51" t="s">
        <v>3</v>
      </c>
      <c r="D87" s="51">
        <f t="shared" si="4"/>
        <v>300</v>
      </c>
      <c r="E87" s="51" t="s">
        <v>3</v>
      </c>
      <c r="F87" s="99">
        <f t="shared" si="5"/>
        <v>1950</v>
      </c>
      <c r="G87" s="51" t="s">
        <v>3</v>
      </c>
      <c r="H87" s="48">
        <v>4</v>
      </c>
      <c r="I87" s="49" t="s">
        <v>46</v>
      </c>
      <c r="J87" s="184">
        <v>600</v>
      </c>
      <c r="K87" s="75">
        <v>300</v>
      </c>
      <c r="L87" s="75">
        <v>1950</v>
      </c>
      <c r="M87" s="202">
        <v>42.361168059854705</v>
      </c>
      <c r="N87" s="87">
        <v>3108.4103561247121</v>
      </c>
      <c r="O87" s="123">
        <v>38801.43078396222</v>
      </c>
      <c r="P87" s="199">
        <v>47518.675820605182</v>
      </c>
      <c r="Q87" s="310">
        <v>23710.708858843918</v>
      </c>
      <c r="R87" s="319">
        <v>62512.139642806142</v>
      </c>
      <c r="S87" s="315">
        <v>71229.384679449096</v>
      </c>
      <c r="U87" s="7" t="s">
        <v>4516</v>
      </c>
    </row>
    <row r="88" spans="1:21" ht="16.5" thickBot="1">
      <c r="A88" s="50" t="s">
        <v>35</v>
      </c>
      <c r="B88" s="51">
        <f t="shared" si="3"/>
        <v>600</v>
      </c>
      <c r="C88" s="51" t="s">
        <v>3</v>
      </c>
      <c r="D88" s="51">
        <f t="shared" si="4"/>
        <v>300</v>
      </c>
      <c r="E88" s="51" t="s">
        <v>3</v>
      </c>
      <c r="F88" s="99">
        <f t="shared" si="5"/>
        <v>2000</v>
      </c>
      <c r="G88" s="51" t="s">
        <v>3</v>
      </c>
      <c r="H88" s="48">
        <v>4</v>
      </c>
      <c r="I88" s="49" t="s">
        <v>46</v>
      </c>
      <c r="J88" s="184">
        <v>600</v>
      </c>
      <c r="K88" s="75">
        <v>300</v>
      </c>
      <c r="L88" s="75">
        <v>2000</v>
      </c>
      <c r="M88" s="202">
        <v>43.46197344146659</v>
      </c>
      <c r="N88" s="87">
        <v>3205.548179753609</v>
      </c>
      <c r="O88" s="123">
        <v>39871.211359008717</v>
      </c>
      <c r="P88" s="199">
        <v>48881.309513955268</v>
      </c>
      <c r="Q88" s="310">
        <v>24421.695804491177</v>
      </c>
      <c r="R88" s="319">
        <v>64292.907163499898</v>
      </c>
      <c r="S88" s="315">
        <v>73303.005318446449</v>
      </c>
      <c r="U88" s="7" t="s">
        <v>4517</v>
      </c>
    </row>
    <row r="89" spans="1:21" ht="16.5" customHeight="1" thickBot="1">
      <c r="A89" s="50" t="s">
        <v>35</v>
      </c>
      <c r="B89" s="51">
        <f t="shared" si="3"/>
        <v>600</v>
      </c>
      <c r="C89" s="51" t="s">
        <v>3</v>
      </c>
      <c r="D89" s="51">
        <f t="shared" si="4"/>
        <v>300</v>
      </c>
      <c r="E89" s="51" t="s">
        <v>3</v>
      </c>
      <c r="F89" s="99">
        <f t="shared" si="5"/>
        <v>2050</v>
      </c>
      <c r="G89" s="51" t="s">
        <v>3</v>
      </c>
      <c r="H89" s="48">
        <v>4</v>
      </c>
      <c r="I89" s="49" t="s">
        <v>46</v>
      </c>
      <c r="J89" s="184">
        <v>600</v>
      </c>
      <c r="K89" s="75">
        <v>300</v>
      </c>
      <c r="L89" s="75">
        <v>2050</v>
      </c>
      <c r="M89" s="202">
        <v>44.451461363078486</v>
      </c>
      <c r="N89" s="87">
        <v>3302.6860033825064</v>
      </c>
      <c r="O89" s="123">
        <v>40698.921907811935</v>
      </c>
      <c r="P89" s="199">
        <v>49912.501603946213</v>
      </c>
      <c r="Q89" s="310">
        <v>24902.101112748529</v>
      </c>
      <c r="R89" s="319">
        <v>65601.02302056046</v>
      </c>
      <c r="S89" s="315">
        <v>74814.602716694746</v>
      </c>
      <c r="U89" s="7" t="s">
        <v>4518</v>
      </c>
    </row>
    <row r="90" spans="1:21" ht="16.5" thickBot="1">
      <c r="A90" s="47" t="s">
        <v>35</v>
      </c>
      <c r="B90" s="48">
        <f t="shared" si="3"/>
        <v>600</v>
      </c>
      <c r="C90" s="48" t="s">
        <v>3</v>
      </c>
      <c r="D90" s="48">
        <f t="shared" si="4"/>
        <v>300</v>
      </c>
      <c r="E90" s="48" t="s">
        <v>3</v>
      </c>
      <c r="F90" s="99">
        <f t="shared" si="5"/>
        <v>2100</v>
      </c>
      <c r="G90" s="48" t="s">
        <v>3</v>
      </c>
      <c r="H90" s="48">
        <v>4</v>
      </c>
      <c r="I90" s="49" t="s">
        <v>46</v>
      </c>
      <c r="J90" s="184">
        <v>600</v>
      </c>
      <c r="K90" s="75">
        <v>300</v>
      </c>
      <c r="L90" s="75">
        <v>2100</v>
      </c>
      <c r="M90" s="202">
        <v>45.458415284690382</v>
      </c>
      <c r="N90" s="87">
        <v>3399.8238270114039</v>
      </c>
      <c r="O90" s="123">
        <v>41526.632456615145</v>
      </c>
      <c r="P90" s="199">
        <v>50943.693693937021</v>
      </c>
      <c r="Q90" s="310">
        <v>25613.088058395791</v>
      </c>
      <c r="R90" s="319">
        <v>67139.720515010937</v>
      </c>
      <c r="S90" s="315">
        <v>76556.781752332812</v>
      </c>
      <c r="U90" s="7" t="s">
        <v>4519</v>
      </c>
    </row>
    <row r="91" spans="1:21" ht="16.5" customHeight="1" thickBot="1">
      <c r="A91" s="50" t="s">
        <v>35</v>
      </c>
      <c r="B91" s="51">
        <f t="shared" si="3"/>
        <v>600</v>
      </c>
      <c r="C91" s="51" t="s">
        <v>3</v>
      </c>
      <c r="D91" s="51">
        <f t="shared" si="4"/>
        <v>300</v>
      </c>
      <c r="E91" s="51" t="s">
        <v>3</v>
      </c>
      <c r="F91" s="99">
        <f t="shared" si="5"/>
        <v>2150</v>
      </c>
      <c r="G91" s="51" t="s">
        <v>3</v>
      </c>
      <c r="H91" s="48">
        <v>4</v>
      </c>
      <c r="I91" s="49" t="s">
        <v>46</v>
      </c>
      <c r="J91" s="184">
        <v>600</v>
      </c>
      <c r="K91" s="75">
        <v>300</v>
      </c>
      <c r="L91" s="75">
        <v>2150</v>
      </c>
      <c r="M91" s="202">
        <v>46.447903206302271</v>
      </c>
      <c r="N91" s="87">
        <v>3496.9616506403013</v>
      </c>
      <c r="O91" s="123">
        <v>42354.343005418363</v>
      </c>
      <c r="P91" s="199">
        <v>51974.885783927821</v>
      </c>
      <c r="Q91" s="310">
        <v>26093.493366653143</v>
      </c>
      <c r="R91" s="319">
        <v>68447.836372071499</v>
      </c>
      <c r="S91" s="315">
        <v>78068.379150580964</v>
      </c>
      <c r="U91" s="7" t="s">
        <v>4520</v>
      </c>
    </row>
    <row r="92" spans="1:21" ht="16.5" thickBot="1">
      <c r="A92" s="50" t="s">
        <v>35</v>
      </c>
      <c r="B92" s="51">
        <f t="shared" si="3"/>
        <v>600</v>
      </c>
      <c r="C92" s="51" t="s">
        <v>3</v>
      </c>
      <c r="D92" s="51">
        <f t="shared" si="4"/>
        <v>300</v>
      </c>
      <c r="E92" s="51" t="s">
        <v>3</v>
      </c>
      <c r="F92" s="99">
        <f t="shared" si="5"/>
        <v>2200</v>
      </c>
      <c r="G92" s="51" t="s">
        <v>3</v>
      </c>
      <c r="H92" s="48">
        <v>4</v>
      </c>
      <c r="I92" s="49" t="s">
        <v>46</v>
      </c>
      <c r="J92" s="184">
        <v>600</v>
      </c>
      <c r="K92" s="75">
        <v>300</v>
      </c>
      <c r="L92" s="75">
        <v>2200</v>
      </c>
      <c r="M92" s="202">
        <v>47.454857127914167</v>
      </c>
      <c r="N92" s="87">
        <v>3594.0994742691987</v>
      </c>
      <c r="O92" s="123">
        <v>43182.053413828209</v>
      </c>
      <c r="P92" s="199">
        <v>53006.077873918628</v>
      </c>
      <c r="Q92" s="310">
        <v>26804.480312300402</v>
      </c>
      <c r="R92" s="319">
        <v>69986.533726128604</v>
      </c>
      <c r="S92" s="315">
        <v>79810.55818621903</v>
      </c>
      <c r="U92" s="7" t="s">
        <v>4521</v>
      </c>
    </row>
    <row r="93" spans="1:21" ht="16.5" customHeight="1" thickBot="1">
      <c r="A93" s="50" t="s">
        <v>35</v>
      </c>
      <c r="B93" s="51">
        <f t="shared" si="3"/>
        <v>600</v>
      </c>
      <c r="C93" s="51" t="s">
        <v>3</v>
      </c>
      <c r="D93" s="51">
        <f t="shared" si="4"/>
        <v>300</v>
      </c>
      <c r="E93" s="51" t="s">
        <v>3</v>
      </c>
      <c r="F93" s="99">
        <f t="shared" si="5"/>
        <v>2250</v>
      </c>
      <c r="G93" s="51" t="s">
        <v>3</v>
      </c>
      <c r="H93" s="48">
        <v>4</v>
      </c>
      <c r="I93" s="49" t="s">
        <v>46</v>
      </c>
      <c r="J93" s="184">
        <v>600</v>
      </c>
      <c r="K93" s="75">
        <v>300</v>
      </c>
      <c r="L93" s="75">
        <v>2250</v>
      </c>
      <c r="M93" s="202">
        <v>48.444345049526071</v>
      </c>
      <c r="N93" s="87">
        <v>3691.2372978980952</v>
      </c>
      <c r="O93" s="123">
        <v>44009.763962631427</v>
      </c>
      <c r="P93" s="199">
        <v>54037.269963909435</v>
      </c>
      <c r="Q93" s="310">
        <v>27284.885480164394</v>
      </c>
      <c r="R93" s="319">
        <v>71294.649442795824</v>
      </c>
      <c r="S93" s="315">
        <v>81322.155444073825</v>
      </c>
      <c r="U93" s="7" t="s">
        <v>4522</v>
      </c>
    </row>
    <row r="94" spans="1:21" ht="16.5" thickBot="1">
      <c r="A94" s="50" t="s">
        <v>35</v>
      </c>
      <c r="B94" s="51">
        <f t="shared" si="3"/>
        <v>600</v>
      </c>
      <c r="C94" s="51" t="s">
        <v>3</v>
      </c>
      <c r="D94" s="51">
        <f t="shared" si="4"/>
        <v>300</v>
      </c>
      <c r="E94" s="51" t="s">
        <v>3</v>
      </c>
      <c r="F94" s="99">
        <f t="shared" si="5"/>
        <v>2300</v>
      </c>
      <c r="G94" s="51" t="s">
        <v>3</v>
      </c>
      <c r="H94" s="48">
        <v>4</v>
      </c>
      <c r="I94" s="49" t="s">
        <v>46</v>
      </c>
      <c r="J94" s="184">
        <v>600</v>
      </c>
      <c r="K94" s="75">
        <v>300</v>
      </c>
      <c r="L94" s="75">
        <v>2300</v>
      </c>
      <c r="M94" s="202">
        <v>49.43383297113796</v>
      </c>
      <c r="N94" s="87">
        <v>3788.3751215269926</v>
      </c>
      <c r="O94" s="123">
        <v>44837.474511434637</v>
      </c>
      <c r="P94" s="199">
        <v>55068.462053900381</v>
      </c>
      <c r="Q94" s="310">
        <v>27765.290788421746</v>
      </c>
      <c r="R94" s="319">
        <v>72602.765299856386</v>
      </c>
      <c r="S94" s="315">
        <v>82833.752842322123</v>
      </c>
      <c r="U94" s="7" t="s">
        <v>4523</v>
      </c>
    </row>
    <row r="95" spans="1:21" ht="16.5" customHeight="1" thickBot="1">
      <c r="A95" s="50" t="s">
        <v>35</v>
      </c>
      <c r="B95" s="51">
        <f t="shared" si="3"/>
        <v>600</v>
      </c>
      <c r="C95" s="51" t="s">
        <v>3</v>
      </c>
      <c r="D95" s="51">
        <f t="shared" si="4"/>
        <v>300</v>
      </c>
      <c r="E95" s="51" t="s">
        <v>3</v>
      </c>
      <c r="F95" s="99">
        <f t="shared" si="5"/>
        <v>2350</v>
      </c>
      <c r="G95" s="51" t="s">
        <v>3</v>
      </c>
      <c r="H95" s="48">
        <v>4</v>
      </c>
      <c r="I95" s="49" t="s">
        <v>46</v>
      </c>
      <c r="J95" s="184">
        <v>600</v>
      </c>
      <c r="K95" s="75">
        <v>300</v>
      </c>
      <c r="L95" s="75">
        <v>2350</v>
      </c>
      <c r="M95" s="202">
        <v>50.440786892749855</v>
      </c>
      <c r="N95" s="87">
        <v>3885.5129451558901</v>
      </c>
      <c r="O95" s="123">
        <v>45665.184919844483</v>
      </c>
      <c r="P95" s="199">
        <v>56099.654143891188</v>
      </c>
      <c r="Q95" s="310">
        <v>28476.277734069005</v>
      </c>
      <c r="R95" s="319">
        <v>74141.462653913492</v>
      </c>
      <c r="S95" s="315">
        <v>84575.931877960189</v>
      </c>
      <c r="U95" s="7" t="s">
        <v>4524</v>
      </c>
    </row>
    <row r="96" spans="1:21" ht="16.5" thickBot="1">
      <c r="A96" s="50" t="s">
        <v>35</v>
      </c>
      <c r="B96" s="51">
        <f t="shared" si="3"/>
        <v>600</v>
      </c>
      <c r="C96" s="51" t="s">
        <v>3</v>
      </c>
      <c r="D96" s="51">
        <f t="shared" si="4"/>
        <v>300</v>
      </c>
      <c r="E96" s="51" t="s">
        <v>3</v>
      </c>
      <c r="F96" s="99">
        <f t="shared" si="5"/>
        <v>2400</v>
      </c>
      <c r="G96" s="51" t="s">
        <v>3</v>
      </c>
      <c r="H96" s="48">
        <v>4</v>
      </c>
      <c r="I96" s="49" t="s">
        <v>46</v>
      </c>
      <c r="J96" s="184">
        <v>600</v>
      </c>
      <c r="K96" s="75">
        <v>300</v>
      </c>
      <c r="L96" s="75">
        <v>2400</v>
      </c>
      <c r="M96" s="202">
        <v>51.430274814361759</v>
      </c>
      <c r="N96" s="87">
        <v>3982.650768784787</v>
      </c>
      <c r="O96" s="123">
        <v>46492.895468647701</v>
      </c>
      <c r="P96" s="199">
        <v>57130.846233881995</v>
      </c>
      <c r="Q96" s="310">
        <v>28956.682901932996</v>
      </c>
      <c r="R96" s="319">
        <v>75449.578370580697</v>
      </c>
      <c r="S96" s="315">
        <v>86087.529135814984</v>
      </c>
      <c r="U96" s="7" t="s">
        <v>4525</v>
      </c>
    </row>
    <row r="97" spans="1:21" ht="16.5" customHeight="1" thickBot="1">
      <c r="A97" s="50" t="s">
        <v>35</v>
      </c>
      <c r="B97" s="51">
        <f t="shared" si="3"/>
        <v>600</v>
      </c>
      <c r="C97" s="51" t="s">
        <v>3</v>
      </c>
      <c r="D97" s="51">
        <f t="shared" si="4"/>
        <v>300</v>
      </c>
      <c r="E97" s="51" t="s">
        <v>3</v>
      </c>
      <c r="F97" s="99">
        <f t="shared" si="5"/>
        <v>2450</v>
      </c>
      <c r="G97" s="51" t="s">
        <v>3</v>
      </c>
      <c r="H97" s="48">
        <v>4</v>
      </c>
      <c r="I97" s="49" t="s">
        <v>46</v>
      </c>
      <c r="J97" s="184">
        <v>600</v>
      </c>
      <c r="K97" s="75">
        <v>300</v>
      </c>
      <c r="L97" s="75">
        <v>2450</v>
      </c>
      <c r="M97" s="202">
        <v>52.607287359232643</v>
      </c>
      <c r="N97" s="87">
        <v>4079.7885924136849</v>
      </c>
      <c r="O97" s="123">
        <v>47962.51030317961</v>
      </c>
      <c r="P97" s="199">
        <v>58770.795755054976</v>
      </c>
      <c r="Q97" s="310">
        <v>29667.669987973619</v>
      </c>
      <c r="R97" s="319">
        <v>77630.180291153229</v>
      </c>
      <c r="S97" s="315">
        <v>88438.465743028588</v>
      </c>
      <c r="U97" s="7" t="s">
        <v>4526</v>
      </c>
    </row>
    <row r="98" spans="1:21" ht="16.5" thickBot="1">
      <c r="A98" s="50" t="s">
        <v>35</v>
      </c>
      <c r="B98" s="51">
        <f t="shared" si="3"/>
        <v>600</v>
      </c>
      <c r="C98" s="51" t="s">
        <v>3</v>
      </c>
      <c r="D98" s="51">
        <f t="shared" si="4"/>
        <v>300</v>
      </c>
      <c r="E98" s="51" t="s">
        <v>3</v>
      </c>
      <c r="F98" s="99">
        <f t="shared" si="5"/>
        <v>2500</v>
      </c>
      <c r="G98" s="51" t="s">
        <v>3</v>
      </c>
      <c r="H98" s="48">
        <v>4</v>
      </c>
      <c r="I98" s="49" t="s">
        <v>46</v>
      </c>
      <c r="J98" s="184">
        <v>600</v>
      </c>
      <c r="K98" s="75">
        <v>300</v>
      </c>
      <c r="L98" s="75">
        <v>2500</v>
      </c>
      <c r="M98" s="202">
        <v>53.596775280844533</v>
      </c>
      <c r="N98" s="87">
        <v>4176.9264160425819</v>
      </c>
      <c r="O98" s="123">
        <v>48790.22085198282</v>
      </c>
      <c r="P98" s="199">
        <v>59801.987845045784</v>
      </c>
      <c r="Q98" s="310">
        <v>30148.075155837607</v>
      </c>
      <c r="R98" s="319">
        <v>78938.296007820434</v>
      </c>
      <c r="S98" s="315">
        <v>89950.063000883383</v>
      </c>
      <c r="U98" s="7" t="s">
        <v>4527</v>
      </c>
    </row>
    <row r="99" spans="1:21" ht="16.5" customHeight="1" thickBot="1">
      <c r="A99" s="50" t="s">
        <v>35</v>
      </c>
      <c r="B99" s="51">
        <f t="shared" si="3"/>
        <v>600</v>
      </c>
      <c r="C99" s="51" t="s">
        <v>3</v>
      </c>
      <c r="D99" s="51">
        <f t="shared" si="4"/>
        <v>300</v>
      </c>
      <c r="E99" s="51" t="s">
        <v>3</v>
      </c>
      <c r="F99" s="99">
        <f t="shared" si="5"/>
        <v>2550</v>
      </c>
      <c r="G99" s="51" t="s">
        <v>3</v>
      </c>
      <c r="H99" s="48">
        <v>4</v>
      </c>
      <c r="I99" s="49" t="s">
        <v>46</v>
      </c>
      <c r="J99" s="184">
        <v>600</v>
      </c>
      <c r="K99" s="75">
        <v>300</v>
      </c>
      <c r="L99" s="75">
        <v>2550</v>
      </c>
      <c r="M99" s="202">
        <v>54.603729202456435</v>
      </c>
      <c r="N99" s="87">
        <v>4274.0642396714793</v>
      </c>
      <c r="O99" s="123">
        <v>49617.931260392674</v>
      </c>
      <c r="P99" s="199">
        <v>60833.179935036576</v>
      </c>
      <c r="Q99" s="310">
        <v>30859.06224187823</v>
      </c>
      <c r="R99" s="319">
        <v>80476.993502270896</v>
      </c>
      <c r="S99" s="315">
        <v>91692.242176914806</v>
      </c>
      <c r="U99" s="7" t="s">
        <v>4528</v>
      </c>
    </row>
    <row r="100" spans="1:21" ht="16.5" thickBot="1">
      <c r="A100" s="47" t="s">
        <v>35</v>
      </c>
      <c r="B100" s="48">
        <f t="shared" si="3"/>
        <v>600</v>
      </c>
      <c r="C100" s="48" t="s">
        <v>3</v>
      </c>
      <c r="D100" s="48">
        <f t="shared" si="4"/>
        <v>300</v>
      </c>
      <c r="E100" s="48" t="s">
        <v>3</v>
      </c>
      <c r="F100" s="99">
        <f t="shared" si="5"/>
        <v>2600</v>
      </c>
      <c r="G100" s="48" t="s">
        <v>3</v>
      </c>
      <c r="H100" s="48">
        <v>4</v>
      </c>
      <c r="I100" s="49" t="s">
        <v>46</v>
      </c>
      <c r="J100" s="184">
        <v>600</v>
      </c>
      <c r="K100" s="75">
        <v>300</v>
      </c>
      <c r="L100" s="75">
        <v>2600</v>
      </c>
      <c r="M100" s="202">
        <v>55.593217124068325</v>
      </c>
      <c r="N100" s="87">
        <v>4371.2020633003767</v>
      </c>
      <c r="O100" s="123">
        <v>50445.641809195884</v>
      </c>
      <c r="P100" s="199">
        <v>61864.372025027529</v>
      </c>
      <c r="Q100" s="310">
        <v>31339.467409742221</v>
      </c>
      <c r="R100" s="319">
        <v>81785.109218938102</v>
      </c>
      <c r="S100" s="315">
        <v>93203.839434769747</v>
      </c>
      <c r="U100" s="7" t="s">
        <v>4529</v>
      </c>
    </row>
    <row r="101" spans="1:21" ht="16.5" customHeight="1" thickBot="1">
      <c r="A101" s="50" t="s">
        <v>35</v>
      </c>
      <c r="B101" s="51">
        <f t="shared" si="3"/>
        <v>600</v>
      </c>
      <c r="C101" s="51" t="s">
        <v>3</v>
      </c>
      <c r="D101" s="51">
        <f t="shared" si="4"/>
        <v>300</v>
      </c>
      <c r="E101" s="51" t="s">
        <v>3</v>
      </c>
      <c r="F101" s="99">
        <f t="shared" si="5"/>
        <v>2650</v>
      </c>
      <c r="G101" s="51" t="s">
        <v>3</v>
      </c>
      <c r="H101" s="48">
        <v>4</v>
      </c>
      <c r="I101" s="49" t="s">
        <v>46</v>
      </c>
      <c r="J101" s="184">
        <v>600</v>
      </c>
      <c r="K101" s="75">
        <v>300</v>
      </c>
      <c r="L101" s="75">
        <v>2650</v>
      </c>
      <c r="M101" s="202">
        <v>56.60017104568022</v>
      </c>
      <c r="N101" s="87">
        <v>4468.3398869292732</v>
      </c>
      <c r="O101" s="123">
        <v>51273.352357999094</v>
      </c>
      <c r="P101" s="199">
        <v>62895.564115018336</v>
      </c>
      <c r="Q101" s="310">
        <v>32050.45435538948</v>
      </c>
      <c r="R101" s="319">
        <v>83323.806713388578</v>
      </c>
      <c r="S101" s="315">
        <v>94946.018470407813</v>
      </c>
      <c r="U101" s="7" t="s">
        <v>4530</v>
      </c>
    </row>
    <row r="102" spans="1:21" ht="16.5" thickBot="1">
      <c r="A102" s="50" t="s">
        <v>35</v>
      </c>
      <c r="B102" s="51">
        <f t="shared" si="3"/>
        <v>600</v>
      </c>
      <c r="C102" s="51" t="s">
        <v>3</v>
      </c>
      <c r="D102" s="51">
        <f t="shared" si="4"/>
        <v>300</v>
      </c>
      <c r="E102" s="51" t="s">
        <v>3</v>
      </c>
      <c r="F102" s="99">
        <f t="shared" si="5"/>
        <v>2700</v>
      </c>
      <c r="G102" s="51" t="s">
        <v>3</v>
      </c>
      <c r="H102" s="48">
        <v>4</v>
      </c>
      <c r="I102" s="49" t="s">
        <v>46</v>
      </c>
      <c r="J102" s="184">
        <v>600</v>
      </c>
      <c r="K102" s="75">
        <v>300</v>
      </c>
      <c r="L102" s="75">
        <v>2700</v>
      </c>
      <c r="M102" s="202">
        <v>57.670121467292113</v>
      </c>
      <c r="N102" s="87">
        <v>4565.4777105581707</v>
      </c>
      <c r="O102" s="123">
        <v>52182.074931125862</v>
      </c>
      <c r="P102" s="199">
        <v>64009.039147908974</v>
      </c>
      <c r="Q102" s="310">
        <v>32530.859663646832</v>
      </c>
      <c r="R102" s="319">
        <v>84712.934594772698</v>
      </c>
      <c r="S102" s="315">
        <v>96539.898811555802</v>
      </c>
      <c r="U102" s="7" t="s">
        <v>4531</v>
      </c>
    </row>
    <row r="103" spans="1:21" ht="16.5" customHeight="1" thickBot="1">
      <c r="A103" s="50" t="s">
        <v>35</v>
      </c>
      <c r="B103" s="51">
        <f t="shared" si="3"/>
        <v>600</v>
      </c>
      <c r="C103" s="51" t="s">
        <v>3</v>
      </c>
      <c r="D103" s="51">
        <f t="shared" si="4"/>
        <v>300</v>
      </c>
      <c r="E103" s="51" t="s">
        <v>3</v>
      </c>
      <c r="F103" s="99">
        <f t="shared" si="5"/>
        <v>2750</v>
      </c>
      <c r="G103" s="51" t="s">
        <v>3</v>
      </c>
      <c r="H103" s="48">
        <v>4</v>
      </c>
      <c r="I103" s="49" t="s">
        <v>46</v>
      </c>
      <c r="J103" s="184">
        <v>600</v>
      </c>
      <c r="K103" s="75">
        <v>300</v>
      </c>
      <c r="L103" s="75">
        <v>2750</v>
      </c>
      <c r="M103" s="202">
        <v>58.659609388904009</v>
      </c>
      <c r="N103" s="87">
        <v>4662.6155341870681</v>
      </c>
      <c r="O103" s="123">
        <v>53009.78547992908</v>
      </c>
      <c r="P103" s="199">
        <v>65040.23123789992</v>
      </c>
      <c r="Q103" s="310">
        <v>33011.264831510824</v>
      </c>
      <c r="R103" s="319">
        <v>86021.050311439903</v>
      </c>
      <c r="S103" s="315">
        <v>98051.496069410743</v>
      </c>
      <c r="U103" s="7" t="s">
        <v>4532</v>
      </c>
    </row>
    <row r="104" spans="1:21" ht="16.5" thickBot="1">
      <c r="A104" s="50" t="s">
        <v>35</v>
      </c>
      <c r="B104" s="51">
        <f t="shared" si="3"/>
        <v>600</v>
      </c>
      <c r="C104" s="51" t="s">
        <v>3</v>
      </c>
      <c r="D104" s="51">
        <f t="shared" si="4"/>
        <v>300</v>
      </c>
      <c r="E104" s="51" t="s">
        <v>3</v>
      </c>
      <c r="F104" s="99">
        <f t="shared" si="5"/>
        <v>2800</v>
      </c>
      <c r="G104" s="51" t="s">
        <v>3</v>
      </c>
      <c r="H104" s="48">
        <v>4</v>
      </c>
      <c r="I104" s="49" t="s">
        <v>46</v>
      </c>
      <c r="J104" s="184">
        <v>600</v>
      </c>
      <c r="K104" s="75">
        <v>300</v>
      </c>
      <c r="L104" s="75">
        <v>2800</v>
      </c>
      <c r="M104" s="202">
        <v>59.666563310515897</v>
      </c>
      <c r="N104" s="87">
        <v>4759.7533578159655</v>
      </c>
      <c r="O104" s="123">
        <v>53837.495888338926</v>
      </c>
      <c r="P104" s="199">
        <v>66071.42332789072</v>
      </c>
      <c r="Q104" s="310">
        <v>33722.251777158082</v>
      </c>
      <c r="R104" s="319">
        <v>87559.747665497009</v>
      </c>
      <c r="S104" s="315">
        <v>99793.675105048809</v>
      </c>
      <c r="U104" s="7" t="s">
        <v>4533</v>
      </c>
    </row>
    <row r="105" spans="1:21" ht="16.5" customHeight="1" thickBot="1">
      <c r="A105" s="50" t="s">
        <v>35</v>
      </c>
      <c r="B105" s="51">
        <f t="shared" si="3"/>
        <v>600</v>
      </c>
      <c r="C105" s="51" t="s">
        <v>3</v>
      </c>
      <c r="D105" s="51">
        <f t="shared" si="4"/>
        <v>300</v>
      </c>
      <c r="E105" s="51" t="s">
        <v>3</v>
      </c>
      <c r="F105" s="99">
        <f t="shared" si="5"/>
        <v>2850</v>
      </c>
      <c r="G105" s="51" t="s">
        <v>3</v>
      </c>
      <c r="H105" s="48">
        <v>4</v>
      </c>
      <c r="I105" s="49" t="s">
        <v>46</v>
      </c>
      <c r="J105" s="184">
        <v>600</v>
      </c>
      <c r="K105" s="75">
        <v>300</v>
      </c>
      <c r="L105" s="75">
        <v>2850</v>
      </c>
      <c r="M105" s="202">
        <v>60.656051232127808</v>
      </c>
      <c r="N105" s="87">
        <v>4856.8911814448629</v>
      </c>
      <c r="O105" s="123">
        <v>54665.206437142137</v>
      </c>
      <c r="P105" s="199">
        <v>67102.61541788152</v>
      </c>
      <c r="Q105" s="310">
        <v>34202.657085415434</v>
      </c>
      <c r="R105" s="319">
        <v>88867.863522557571</v>
      </c>
      <c r="S105" s="315">
        <v>101305.27250329696</v>
      </c>
      <c r="U105" s="7" t="s">
        <v>4534</v>
      </c>
    </row>
    <row r="106" spans="1:21" ht="16.5" thickBot="1">
      <c r="A106" s="50" t="s">
        <v>35</v>
      </c>
      <c r="B106" s="51">
        <f t="shared" si="3"/>
        <v>600</v>
      </c>
      <c r="C106" s="51" t="s">
        <v>3</v>
      </c>
      <c r="D106" s="51">
        <f t="shared" si="4"/>
        <v>300</v>
      </c>
      <c r="E106" s="51" t="s">
        <v>3</v>
      </c>
      <c r="F106" s="99">
        <f t="shared" si="5"/>
        <v>2900</v>
      </c>
      <c r="G106" s="51" t="s">
        <v>3</v>
      </c>
      <c r="H106" s="48">
        <v>4</v>
      </c>
      <c r="I106" s="49" t="s">
        <v>46</v>
      </c>
      <c r="J106" s="184">
        <v>600</v>
      </c>
      <c r="K106" s="75">
        <v>300</v>
      </c>
      <c r="L106" s="75">
        <v>2900</v>
      </c>
      <c r="M106" s="202">
        <v>61.663005153739682</v>
      </c>
      <c r="N106" s="87">
        <v>4954.0290050737594</v>
      </c>
      <c r="O106" s="123">
        <v>55492.916985945347</v>
      </c>
      <c r="P106" s="199">
        <v>68133.807507872334</v>
      </c>
      <c r="Q106" s="310">
        <v>34913.644031062693</v>
      </c>
      <c r="R106" s="319">
        <v>90406.561017008033</v>
      </c>
      <c r="S106" s="315">
        <v>103047.45153893503</v>
      </c>
      <c r="U106" s="7" t="s">
        <v>4535</v>
      </c>
    </row>
    <row r="107" spans="1:21" ht="16.5" customHeight="1" thickBot="1">
      <c r="A107" s="50" t="s">
        <v>35</v>
      </c>
      <c r="B107" s="51">
        <f t="shared" si="3"/>
        <v>600</v>
      </c>
      <c r="C107" s="51" t="s">
        <v>3</v>
      </c>
      <c r="D107" s="51">
        <f t="shared" si="4"/>
        <v>300</v>
      </c>
      <c r="E107" s="51" t="s">
        <v>3</v>
      </c>
      <c r="F107" s="99">
        <f t="shared" si="5"/>
        <v>2950</v>
      </c>
      <c r="G107" s="51" t="s">
        <v>3</v>
      </c>
      <c r="H107" s="48">
        <v>4</v>
      </c>
      <c r="I107" s="49" t="s">
        <v>46</v>
      </c>
      <c r="J107" s="184">
        <v>600</v>
      </c>
      <c r="K107" s="75">
        <v>300</v>
      </c>
      <c r="L107" s="75">
        <v>2950</v>
      </c>
      <c r="M107" s="202">
        <v>62.652493075351586</v>
      </c>
      <c r="N107" s="87">
        <v>5051.1668287026569</v>
      </c>
      <c r="O107" s="123">
        <v>56320.627394355201</v>
      </c>
      <c r="P107" s="199">
        <v>69164.99959786328</v>
      </c>
      <c r="Q107" s="310">
        <v>35394.049339320045</v>
      </c>
      <c r="R107" s="319">
        <v>91714.676733675238</v>
      </c>
      <c r="S107" s="315">
        <v>104559.04893718332</v>
      </c>
      <c r="U107" s="7" t="s">
        <v>4536</v>
      </c>
    </row>
    <row r="108" spans="1:21" ht="16.5" thickBot="1">
      <c r="A108" s="52" t="s">
        <v>35</v>
      </c>
      <c r="B108" s="53">
        <f t="shared" si="3"/>
        <v>600</v>
      </c>
      <c r="C108" s="53" t="s">
        <v>3</v>
      </c>
      <c r="D108" s="53">
        <f t="shared" si="4"/>
        <v>300</v>
      </c>
      <c r="E108" s="53" t="s">
        <v>3</v>
      </c>
      <c r="F108" s="100">
        <f t="shared" si="5"/>
        <v>3000</v>
      </c>
      <c r="G108" s="53" t="s">
        <v>3</v>
      </c>
      <c r="H108" s="55">
        <v>4</v>
      </c>
      <c r="I108" s="54" t="s">
        <v>46</v>
      </c>
      <c r="J108" s="321">
        <v>600</v>
      </c>
      <c r="K108" s="322">
        <v>300</v>
      </c>
      <c r="L108" s="322">
        <v>3000</v>
      </c>
      <c r="M108" s="305">
        <v>62.10677755801315</v>
      </c>
      <c r="N108" s="306">
        <v>5148.3046523315543</v>
      </c>
      <c r="O108" s="307">
        <v>58382.253240663835</v>
      </c>
      <c r="P108" s="339">
        <v>70196.19168785408</v>
      </c>
      <c r="Q108" s="323">
        <v>36105.036284967304</v>
      </c>
      <c r="R108" s="324">
        <v>94487.289525631146</v>
      </c>
      <c r="S108" s="325">
        <v>106301.22797282139</v>
      </c>
      <c r="U108" s="7" t="s">
        <v>4537</v>
      </c>
    </row>
    <row r="109" spans="1:21" ht="19.5" thickBot="1">
      <c r="A109" s="2580" t="s">
        <v>49</v>
      </c>
      <c r="B109" s="2581"/>
      <c r="C109" s="2581"/>
      <c r="D109" s="2581"/>
      <c r="E109" s="2581"/>
      <c r="F109" s="2581"/>
      <c r="G109" s="2581"/>
      <c r="H109" s="2581"/>
      <c r="I109" s="2581"/>
      <c r="J109" s="2581"/>
      <c r="K109" s="2581"/>
      <c r="L109" s="2581"/>
      <c r="M109" s="2581"/>
      <c r="N109" s="2581"/>
      <c r="O109" s="2581"/>
      <c r="P109" s="2581"/>
      <c r="Q109" s="2581"/>
      <c r="R109" s="2581"/>
      <c r="S109" s="2582"/>
      <c r="U109" s="7"/>
    </row>
    <row r="110" spans="1:21" ht="16.5" thickBot="1">
      <c r="A110" s="2583" t="s">
        <v>140</v>
      </c>
      <c r="B110" s="2584"/>
      <c r="C110" s="2584"/>
      <c r="D110" s="2584"/>
      <c r="E110" s="2584"/>
      <c r="F110" s="2584"/>
      <c r="G110" s="2584"/>
      <c r="H110" s="2584"/>
      <c r="I110" s="2584"/>
      <c r="J110" s="2584"/>
      <c r="K110" s="2584"/>
      <c r="L110" s="2584"/>
      <c r="M110" s="2584"/>
      <c r="N110" s="2584"/>
      <c r="O110" s="2584"/>
      <c r="P110" s="2584"/>
      <c r="Q110" s="2584"/>
      <c r="R110" s="2584"/>
      <c r="S110" s="2585"/>
      <c r="U110" s="7"/>
    </row>
    <row r="111" spans="1:21" ht="16.5" thickBot="1">
      <c r="A111" s="47" t="s">
        <v>35</v>
      </c>
      <c r="B111" s="48">
        <f>J111</f>
        <v>600</v>
      </c>
      <c r="C111" s="48" t="s">
        <v>3</v>
      </c>
      <c r="D111" s="48">
        <f>K111</f>
        <v>360</v>
      </c>
      <c r="E111" s="48" t="s">
        <v>3</v>
      </c>
      <c r="F111" s="99">
        <f>L111</f>
        <v>600</v>
      </c>
      <c r="G111" s="48" t="s">
        <v>3</v>
      </c>
      <c r="H111" s="48">
        <v>8</v>
      </c>
      <c r="I111" s="49" t="s">
        <v>47</v>
      </c>
      <c r="J111" s="326">
        <v>600</v>
      </c>
      <c r="K111" s="327">
        <v>360</v>
      </c>
      <c r="L111" s="327">
        <v>600</v>
      </c>
      <c r="M111" s="301">
        <v>22.559236886946824</v>
      </c>
      <c r="N111" s="302">
        <v>823.97186053132282</v>
      </c>
      <c r="O111" s="303">
        <v>20690.42785531504</v>
      </c>
      <c r="P111" s="331">
        <v>24375.868041530481</v>
      </c>
      <c r="Q111" s="328">
        <v>9204.3678470371888</v>
      </c>
      <c r="R111" s="329">
        <v>29894.795702352229</v>
      </c>
      <c r="S111" s="330">
        <v>33580.235888567666</v>
      </c>
      <c r="U111" s="7" t="s">
        <v>4538</v>
      </c>
    </row>
    <row r="112" spans="1:21" ht="16.5" thickBot="1">
      <c r="A112" s="50" t="s">
        <v>35</v>
      </c>
      <c r="B112" s="51">
        <f t="shared" ref="B112:B159" si="6">J112</f>
        <v>600</v>
      </c>
      <c r="C112" s="51" t="s">
        <v>3</v>
      </c>
      <c r="D112" s="51">
        <f t="shared" ref="D112:D159" si="7">K112</f>
        <v>360</v>
      </c>
      <c r="E112" s="51" t="s">
        <v>3</v>
      </c>
      <c r="F112" s="99">
        <f t="shared" ref="F112:F159" si="8">L112</f>
        <v>650</v>
      </c>
      <c r="G112" s="51" t="s">
        <v>3</v>
      </c>
      <c r="H112" s="48">
        <v>8</v>
      </c>
      <c r="I112" s="49" t="s">
        <v>47</v>
      </c>
      <c r="J112" s="184">
        <v>600</v>
      </c>
      <c r="K112" s="75">
        <v>360</v>
      </c>
      <c r="L112" s="75">
        <v>650</v>
      </c>
      <c r="M112" s="202">
        <v>24.028275295955829</v>
      </c>
      <c r="N112" s="87">
        <v>988.76623263758722</v>
      </c>
      <c r="O112" s="123">
        <v>21941.367673137305</v>
      </c>
      <c r="P112" s="121">
        <v>25852.896066782479</v>
      </c>
      <c r="Q112" s="310">
        <v>9757.9649885401141</v>
      </c>
      <c r="R112" s="319">
        <v>31699.332661677421</v>
      </c>
      <c r="S112" s="315">
        <v>35610.861055322595</v>
      </c>
      <c r="U112" s="7" t="s">
        <v>4539</v>
      </c>
    </row>
    <row r="113" spans="1:21" ht="16.5" thickBot="1">
      <c r="A113" s="50" t="s">
        <v>35</v>
      </c>
      <c r="B113" s="51">
        <f t="shared" si="6"/>
        <v>600</v>
      </c>
      <c r="C113" s="51" t="s">
        <v>3</v>
      </c>
      <c r="D113" s="51">
        <f t="shared" si="7"/>
        <v>360</v>
      </c>
      <c r="E113" s="51" t="s">
        <v>3</v>
      </c>
      <c r="F113" s="99">
        <f t="shared" si="8"/>
        <v>700</v>
      </c>
      <c r="G113" s="51" t="s">
        <v>3</v>
      </c>
      <c r="H113" s="48">
        <v>8</v>
      </c>
      <c r="I113" s="49" t="s">
        <v>47</v>
      </c>
      <c r="J113" s="184">
        <v>600</v>
      </c>
      <c r="K113" s="75">
        <v>360</v>
      </c>
      <c r="L113" s="75">
        <v>700</v>
      </c>
      <c r="M113" s="202">
        <v>25.51844330496484</v>
      </c>
      <c r="N113" s="87">
        <v>1153.5606047438519</v>
      </c>
      <c r="O113" s="123">
        <v>23192.307350566207</v>
      </c>
      <c r="P113" s="121">
        <v>27329.924092034478</v>
      </c>
      <c r="Q113" s="310">
        <v>10542.143907826316</v>
      </c>
      <c r="R113" s="319">
        <v>33734.451258392524</v>
      </c>
      <c r="S113" s="315">
        <v>37872.067999860796</v>
      </c>
      <c r="U113" s="7" t="s">
        <v>4540</v>
      </c>
    </row>
    <row r="114" spans="1:21" ht="16.5" thickBot="1">
      <c r="A114" s="50" t="s">
        <v>35</v>
      </c>
      <c r="B114" s="51">
        <f t="shared" si="6"/>
        <v>600</v>
      </c>
      <c r="C114" s="51" t="s">
        <v>3</v>
      </c>
      <c r="D114" s="51">
        <f t="shared" si="7"/>
        <v>360</v>
      </c>
      <c r="E114" s="51" t="s">
        <v>3</v>
      </c>
      <c r="F114" s="99">
        <f t="shared" si="8"/>
        <v>750</v>
      </c>
      <c r="G114" s="51" t="s">
        <v>3</v>
      </c>
      <c r="H114" s="48">
        <v>8</v>
      </c>
      <c r="I114" s="49" t="s">
        <v>47</v>
      </c>
      <c r="J114" s="184">
        <v>600</v>
      </c>
      <c r="K114" s="75">
        <v>360</v>
      </c>
      <c r="L114" s="75">
        <v>750</v>
      </c>
      <c r="M114" s="202">
        <v>26.987481713973853</v>
      </c>
      <c r="N114" s="87">
        <v>1318.3549768501164</v>
      </c>
      <c r="O114" s="123">
        <v>24443.247168388469</v>
      </c>
      <c r="P114" s="121">
        <v>28806.951976893117</v>
      </c>
      <c r="Q114" s="310">
        <v>11095.741049329239</v>
      </c>
      <c r="R114" s="319">
        <v>35538.988217717706</v>
      </c>
      <c r="S114" s="315">
        <v>39902.693026222354</v>
      </c>
      <c r="U114" s="7" t="s">
        <v>4541</v>
      </c>
    </row>
    <row r="115" spans="1:21" ht="16.5" thickBot="1">
      <c r="A115" s="50" t="s">
        <v>35</v>
      </c>
      <c r="B115" s="51">
        <f t="shared" si="6"/>
        <v>600</v>
      </c>
      <c r="C115" s="51" t="s">
        <v>3</v>
      </c>
      <c r="D115" s="51">
        <f t="shared" si="7"/>
        <v>360</v>
      </c>
      <c r="E115" s="51" t="s">
        <v>3</v>
      </c>
      <c r="F115" s="99">
        <f t="shared" si="8"/>
        <v>800</v>
      </c>
      <c r="G115" s="51" t="s">
        <v>3</v>
      </c>
      <c r="H115" s="48">
        <v>8</v>
      </c>
      <c r="I115" s="49" t="s">
        <v>47</v>
      </c>
      <c r="J115" s="184">
        <v>600</v>
      </c>
      <c r="K115" s="75">
        <v>360</v>
      </c>
      <c r="L115" s="75">
        <v>800</v>
      </c>
      <c r="M115" s="202">
        <v>28.456520122982862</v>
      </c>
      <c r="N115" s="87">
        <v>1483.1493489563811</v>
      </c>
      <c r="O115" s="123">
        <v>25694.186845817367</v>
      </c>
      <c r="P115" s="121">
        <v>30283.980002145123</v>
      </c>
      <c r="Q115" s="310">
        <v>11649.338190832164</v>
      </c>
      <c r="R115" s="319">
        <v>37343.525036649531</v>
      </c>
      <c r="S115" s="315">
        <v>41933.318192977284</v>
      </c>
      <c r="U115" s="7" t="s">
        <v>4542</v>
      </c>
    </row>
    <row r="116" spans="1:21" ht="16.5" thickBot="1">
      <c r="A116" s="50" t="s">
        <v>35</v>
      </c>
      <c r="B116" s="51">
        <f t="shared" si="6"/>
        <v>600</v>
      </c>
      <c r="C116" s="51" t="s">
        <v>3</v>
      </c>
      <c r="D116" s="51">
        <f t="shared" si="7"/>
        <v>360</v>
      </c>
      <c r="E116" s="51" t="s">
        <v>3</v>
      </c>
      <c r="F116" s="99">
        <f t="shared" si="8"/>
        <v>850</v>
      </c>
      <c r="G116" s="51" t="s">
        <v>3</v>
      </c>
      <c r="H116" s="48">
        <v>8</v>
      </c>
      <c r="I116" s="49" t="s">
        <v>47</v>
      </c>
      <c r="J116" s="184">
        <v>600</v>
      </c>
      <c r="K116" s="75">
        <v>360</v>
      </c>
      <c r="L116" s="75">
        <v>850</v>
      </c>
      <c r="M116" s="202">
        <v>29.946688131991873</v>
      </c>
      <c r="N116" s="87">
        <v>1647.9437210626456</v>
      </c>
      <c r="O116" s="123">
        <v>26945.126663639632</v>
      </c>
      <c r="P116" s="121">
        <v>31761.008027397118</v>
      </c>
      <c r="Q116" s="310">
        <v>12433.517110118366</v>
      </c>
      <c r="R116" s="319">
        <v>39378.643773757998</v>
      </c>
      <c r="S116" s="315">
        <v>44194.525137515484</v>
      </c>
      <c r="U116" s="7" t="s">
        <v>4543</v>
      </c>
    </row>
    <row r="117" spans="1:21" ht="16.5" thickBot="1">
      <c r="A117" s="50" t="s">
        <v>35</v>
      </c>
      <c r="B117" s="51">
        <f t="shared" si="6"/>
        <v>600</v>
      </c>
      <c r="C117" s="51" t="s">
        <v>3</v>
      </c>
      <c r="D117" s="51">
        <f t="shared" si="7"/>
        <v>360</v>
      </c>
      <c r="E117" s="51" t="s">
        <v>3</v>
      </c>
      <c r="F117" s="99">
        <f t="shared" si="8"/>
        <v>900</v>
      </c>
      <c r="G117" s="51" t="s">
        <v>3</v>
      </c>
      <c r="H117" s="48">
        <v>8</v>
      </c>
      <c r="I117" s="49" t="s">
        <v>47</v>
      </c>
      <c r="J117" s="184">
        <v>600</v>
      </c>
      <c r="K117" s="75">
        <v>360</v>
      </c>
      <c r="L117" s="75">
        <v>900</v>
      </c>
      <c r="M117" s="202">
        <v>31.415726541000886</v>
      </c>
      <c r="N117" s="87">
        <v>1812.7380931689102</v>
      </c>
      <c r="O117" s="123">
        <v>28196.06634106853</v>
      </c>
      <c r="P117" s="121">
        <v>33238.03605264912</v>
      </c>
      <c r="Q117" s="310">
        <v>12987.114251621291</v>
      </c>
      <c r="R117" s="319">
        <v>41183.180592689823</v>
      </c>
      <c r="S117" s="315">
        <v>46225.150304270413</v>
      </c>
      <c r="U117" s="7" t="s">
        <v>4544</v>
      </c>
    </row>
    <row r="118" spans="1:21" ht="16.5" thickBot="1">
      <c r="A118" s="50" t="s">
        <v>35</v>
      </c>
      <c r="B118" s="51">
        <f t="shared" si="6"/>
        <v>600</v>
      </c>
      <c r="C118" s="51" t="s">
        <v>3</v>
      </c>
      <c r="D118" s="51">
        <f t="shared" si="7"/>
        <v>360</v>
      </c>
      <c r="E118" s="51" t="s">
        <v>3</v>
      </c>
      <c r="F118" s="99">
        <f t="shared" si="8"/>
        <v>950</v>
      </c>
      <c r="G118" s="51" t="s">
        <v>3</v>
      </c>
      <c r="H118" s="48">
        <v>8</v>
      </c>
      <c r="I118" s="49" t="s">
        <v>47</v>
      </c>
      <c r="J118" s="184">
        <v>600</v>
      </c>
      <c r="K118" s="75">
        <v>360</v>
      </c>
      <c r="L118" s="75">
        <v>950</v>
      </c>
      <c r="M118" s="202">
        <v>32.90589455000989</v>
      </c>
      <c r="N118" s="87">
        <v>1977.5324652751744</v>
      </c>
      <c r="O118" s="123">
        <v>29447.006158890796</v>
      </c>
      <c r="P118" s="121">
        <v>34715.063937507759</v>
      </c>
      <c r="Q118" s="310">
        <v>13771.293170907491</v>
      </c>
      <c r="R118" s="319">
        <v>43218.29932979829</v>
      </c>
      <c r="S118" s="315">
        <v>48486.35710841525</v>
      </c>
      <c r="U118" s="7" t="s">
        <v>4545</v>
      </c>
    </row>
    <row r="119" spans="1:21" ht="16.5" thickBot="1">
      <c r="A119" s="50" t="s">
        <v>35</v>
      </c>
      <c r="B119" s="51">
        <f t="shared" si="6"/>
        <v>600</v>
      </c>
      <c r="C119" s="51" t="s">
        <v>3</v>
      </c>
      <c r="D119" s="51">
        <f t="shared" si="7"/>
        <v>360</v>
      </c>
      <c r="E119" s="51" t="s">
        <v>3</v>
      </c>
      <c r="F119" s="99">
        <f t="shared" si="8"/>
        <v>1000</v>
      </c>
      <c r="G119" s="51" t="s">
        <v>3</v>
      </c>
      <c r="H119" s="48">
        <v>8</v>
      </c>
      <c r="I119" s="49" t="s">
        <v>47</v>
      </c>
      <c r="J119" s="184">
        <v>600</v>
      </c>
      <c r="K119" s="75">
        <v>360</v>
      </c>
      <c r="L119" s="75">
        <v>1000</v>
      </c>
      <c r="M119" s="202">
        <v>34.374932959018906</v>
      </c>
      <c r="N119" s="87">
        <v>2142.3268373814394</v>
      </c>
      <c r="O119" s="123">
        <v>30697.945976713057</v>
      </c>
      <c r="P119" s="121">
        <v>36192.091962759761</v>
      </c>
      <c r="Q119" s="310">
        <v>14324.890312410414</v>
      </c>
      <c r="R119" s="319">
        <v>45022.836289123472</v>
      </c>
      <c r="S119" s="315">
        <v>50516.982275170172</v>
      </c>
      <c r="U119" s="7" t="s">
        <v>4546</v>
      </c>
    </row>
    <row r="120" spans="1:21" ht="16.5" thickBot="1">
      <c r="A120" s="50" t="s">
        <v>35</v>
      </c>
      <c r="B120" s="51">
        <f t="shared" si="6"/>
        <v>600</v>
      </c>
      <c r="C120" s="51" t="s">
        <v>3</v>
      </c>
      <c r="D120" s="51">
        <f t="shared" si="7"/>
        <v>360</v>
      </c>
      <c r="E120" s="51" t="s">
        <v>3</v>
      </c>
      <c r="F120" s="99">
        <f t="shared" si="8"/>
        <v>1050</v>
      </c>
      <c r="G120" s="51" t="s">
        <v>3</v>
      </c>
      <c r="H120" s="48">
        <v>8</v>
      </c>
      <c r="I120" s="49" t="s">
        <v>47</v>
      </c>
      <c r="J120" s="184">
        <v>600</v>
      </c>
      <c r="K120" s="75">
        <v>360</v>
      </c>
      <c r="L120" s="75">
        <v>1050</v>
      </c>
      <c r="M120" s="202">
        <v>35.865100968027917</v>
      </c>
      <c r="N120" s="87">
        <v>2307.1212094877037</v>
      </c>
      <c r="O120" s="123">
        <v>31948.885654141955</v>
      </c>
      <c r="P120" s="121">
        <v>37669.119988011757</v>
      </c>
      <c r="Q120" s="310">
        <v>15109.069231696616</v>
      </c>
      <c r="R120" s="319">
        <v>47057.954885838568</v>
      </c>
      <c r="S120" s="315">
        <v>52778.189219708373</v>
      </c>
      <c r="U120" s="7" t="s">
        <v>4547</v>
      </c>
    </row>
    <row r="121" spans="1:21" ht="16.5" thickBot="1">
      <c r="A121" s="47" t="s">
        <v>35</v>
      </c>
      <c r="B121" s="48">
        <f t="shared" si="6"/>
        <v>600</v>
      </c>
      <c r="C121" s="48" t="s">
        <v>3</v>
      </c>
      <c r="D121" s="48">
        <f t="shared" si="7"/>
        <v>360</v>
      </c>
      <c r="E121" s="48" t="s">
        <v>3</v>
      </c>
      <c r="F121" s="99">
        <f t="shared" si="8"/>
        <v>1100</v>
      </c>
      <c r="G121" s="48" t="s">
        <v>3</v>
      </c>
      <c r="H121" s="48">
        <v>8</v>
      </c>
      <c r="I121" s="49" t="s">
        <v>47</v>
      </c>
      <c r="J121" s="184">
        <v>600</v>
      </c>
      <c r="K121" s="75">
        <v>360</v>
      </c>
      <c r="L121" s="75">
        <v>1100</v>
      </c>
      <c r="M121" s="202">
        <v>37.334139377036919</v>
      </c>
      <c r="N121" s="87">
        <v>2471.9155815939685</v>
      </c>
      <c r="O121" s="123">
        <v>33199.825471964221</v>
      </c>
      <c r="P121" s="121">
        <v>39146.148013263759</v>
      </c>
      <c r="Q121" s="310">
        <v>15662.66637319954</v>
      </c>
      <c r="R121" s="319">
        <v>48862.491845163764</v>
      </c>
      <c r="S121" s="315">
        <v>54808.814386463302</v>
      </c>
      <c r="U121" s="7" t="s">
        <v>4548</v>
      </c>
    </row>
    <row r="122" spans="1:21" ht="16.5" thickBot="1">
      <c r="A122" s="50" t="s">
        <v>35</v>
      </c>
      <c r="B122" s="51">
        <f t="shared" si="6"/>
        <v>600</v>
      </c>
      <c r="C122" s="51" t="s">
        <v>3</v>
      </c>
      <c r="D122" s="51">
        <f t="shared" si="7"/>
        <v>360</v>
      </c>
      <c r="E122" s="51" t="s">
        <v>3</v>
      </c>
      <c r="F122" s="99">
        <f t="shared" si="8"/>
        <v>1150</v>
      </c>
      <c r="G122" s="51" t="s">
        <v>3</v>
      </c>
      <c r="H122" s="48">
        <v>8</v>
      </c>
      <c r="I122" s="49" t="s">
        <v>47</v>
      </c>
      <c r="J122" s="184">
        <v>600</v>
      </c>
      <c r="K122" s="75">
        <v>360</v>
      </c>
      <c r="L122" s="75">
        <v>1150</v>
      </c>
      <c r="M122" s="202">
        <v>38.803177786045943</v>
      </c>
      <c r="N122" s="87">
        <v>2636.7099537002327</v>
      </c>
      <c r="O122" s="123">
        <v>34450.765149393119</v>
      </c>
      <c r="P122" s="121">
        <v>40623.175898122397</v>
      </c>
      <c r="Q122" s="310">
        <v>16216.263514702467</v>
      </c>
      <c r="R122" s="319">
        <v>50667.028664095589</v>
      </c>
      <c r="S122" s="315">
        <v>56839.439412824868</v>
      </c>
      <c r="U122" s="7" t="s">
        <v>4549</v>
      </c>
    </row>
    <row r="123" spans="1:21" ht="16.5" thickBot="1">
      <c r="A123" s="50" t="s">
        <v>35</v>
      </c>
      <c r="B123" s="51">
        <f t="shared" si="6"/>
        <v>600</v>
      </c>
      <c r="C123" s="51" t="s">
        <v>3</v>
      </c>
      <c r="D123" s="51">
        <f t="shared" si="7"/>
        <v>360</v>
      </c>
      <c r="E123" s="51" t="s">
        <v>3</v>
      </c>
      <c r="F123" s="99">
        <f t="shared" si="8"/>
        <v>1200</v>
      </c>
      <c r="G123" s="51" t="s">
        <v>3</v>
      </c>
      <c r="H123" s="48">
        <v>8</v>
      </c>
      <c r="I123" s="49" t="s">
        <v>47</v>
      </c>
      <c r="J123" s="184">
        <v>600</v>
      </c>
      <c r="K123" s="75">
        <v>360</v>
      </c>
      <c r="L123" s="75">
        <v>1200</v>
      </c>
      <c r="M123" s="202">
        <v>40.488025795054952</v>
      </c>
      <c r="N123" s="87">
        <v>2801.5043258064975</v>
      </c>
      <c r="O123" s="123">
        <v>35856.013698626295</v>
      </c>
      <c r="P123" s="121">
        <v>42255.454834641045</v>
      </c>
      <c r="Q123" s="310">
        <v>17000.442574382028</v>
      </c>
      <c r="R123" s="319">
        <v>52856.456273008327</v>
      </c>
      <c r="S123" s="315">
        <v>59255.897409023077</v>
      </c>
      <c r="U123" s="7" t="s">
        <v>4550</v>
      </c>
    </row>
    <row r="124" spans="1:21" ht="16.5" thickBot="1">
      <c r="A124" s="50" t="s">
        <v>35</v>
      </c>
      <c r="B124" s="51">
        <f t="shared" si="6"/>
        <v>600</v>
      </c>
      <c r="C124" s="51" t="s">
        <v>3</v>
      </c>
      <c r="D124" s="51">
        <f t="shared" si="7"/>
        <v>360</v>
      </c>
      <c r="E124" s="51" t="s">
        <v>3</v>
      </c>
      <c r="F124" s="99">
        <f t="shared" si="8"/>
        <v>1250</v>
      </c>
      <c r="G124" s="51" t="s">
        <v>3</v>
      </c>
      <c r="H124" s="48">
        <v>8</v>
      </c>
      <c r="I124" s="49" t="s">
        <v>47</v>
      </c>
      <c r="J124" s="184">
        <v>600</v>
      </c>
      <c r="K124" s="75">
        <v>360</v>
      </c>
      <c r="L124" s="75">
        <v>1250</v>
      </c>
      <c r="M124" s="202">
        <v>41.957064204063954</v>
      </c>
      <c r="N124" s="87">
        <v>2966.2986979127622</v>
      </c>
      <c r="O124" s="123">
        <v>37106.953516448557</v>
      </c>
      <c r="P124" s="121">
        <v>43732.482719499683</v>
      </c>
      <c r="Q124" s="310">
        <v>17554.039715884952</v>
      </c>
      <c r="R124" s="319">
        <v>54660.993232333509</v>
      </c>
      <c r="S124" s="315">
        <v>61286.522435384635</v>
      </c>
      <c r="U124" s="7" t="s">
        <v>4551</v>
      </c>
    </row>
    <row r="125" spans="1:21" ht="16.5" thickBot="1">
      <c r="A125" s="50" t="s">
        <v>35</v>
      </c>
      <c r="B125" s="51">
        <f t="shared" si="6"/>
        <v>600</v>
      </c>
      <c r="C125" s="51" t="s">
        <v>3</v>
      </c>
      <c r="D125" s="51">
        <f t="shared" si="7"/>
        <v>360</v>
      </c>
      <c r="E125" s="51" t="s">
        <v>3</v>
      </c>
      <c r="F125" s="99">
        <f t="shared" si="8"/>
        <v>1300</v>
      </c>
      <c r="G125" s="51" t="s">
        <v>3</v>
      </c>
      <c r="H125" s="48">
        <v>8</v>
      </c>
      <c r="I125" s="49" t="s">
        <v>47</v>
      </c>
      <c r="J125" s="184">
        <v>600</v>
      </c>
      <c r="K125" s="75">
        <v>360</v>
      </c>
      <c r="L125" s="75">
        <v>1300</v>
      </c>
      <c r="M125" s="202">
        <v>43.447232213072965</v>
      </c>
      <c r="N125" s="87">
        <v>3131.0930700190265</v>
      </c>
      <c r="O125" s="123">
        <v>38357.893193877455</v>
      </c>
      <c r="P125" s="121">
        <v>45209.510744751686</v>
      </c>
      <c r="Q125" s="310">
        <v>18338.218635171153</v>
      </c>
      <c r="R125" s="319">
        <v>56696.111829048605</v>
      </c>
      <c r="S125" s="315">
        <v>63547.729379922836</v>
      </c>
      <c r="U125" s="7" t="s">
        <v>4552</v>
      </c>
    </row>
    <row r="126" spans="1:21" ht="16.5" thickBot="1">
      <c r="A126" s="50" t="s">
        <v>35</v>
      </c>
      <c r="B126" s="51">
        <f t="shared" si="6"/>
        <v>600</v>
      </c>
      <c r="C126" s="51" t="s">
        <v>3</v>
      </c>
      <c r="D126" s="51">
        <f t="shared" si="7"/>
        <v>360</v>
      </c>
      <c r="E126" s="51" t="s">
        <v>3</v>
      </c>
      <c r="F126" s="99">
        <f t="shared" si="8"/>
        <v>1350</v>
      </c>
      <c r="G126" s="51" t="s">
        <v>3</v>
      </c>
      <c r="H126" s="48">
        <v>8</v>
      </c>
      <c r="I126" s="49" t="s">
        <v>47</v>
      </c>
      <c r="J126" s="184">
        <v>600</v>
      </c>
      <c r="K126" s="75">
        <v>360</v>
      </c>
      <c r="L126" s="75">
        <v>1350</v>
      </c>
      <c r="M126" s="202">
        <v>44.916270622081974</v>
      </c>
      <c r="N126" s="87">
        <v>3295.8874421252913</v>
      </c>
      <c r="O126" s="123">
        <v>39608.833011699724</v>
      </c>
      <c r="P126" s="121">
        <v>46686.538770003688</v>
      </c>
      <c r="Q126" s="310">
        <v>18891.815776674081</v>
      </c>
      <c r="R126" s="319">
        <v>58500.648788373801</v>
      </c>
      <c r="S126" s="315">
        <v>65578.354546677772</v>
      </c>
      <c r="U126" s="7" t="s">
        <v>4553</v>
      </c>
    </row>
    <row r="127" spans="1:21" ht="16.5" thickBot="1">
      <c r="A127" s="50" t="s">
        <v>35</v>
      </c>
      <c r="B127" s="51">
        <f t="shared" si="6"/>
        <v>600</v>
      </c>
      <c r="C127" s="51" t="s">
        <v>3</v>
      </c>
      <c r="D127" s="51">
        <f t="shared" si="7"/>
        <v>360</v>
      </c>
      <c r="E127" s="51" t="s">
        <v>3</v>
      </c>
      <c r="F127" s="99">
        <f t="shared" si="8"/>
        <v>1400</v>
      </c>
      <c r="G127" s="51" t="s">
        <v>3</v>
      </c>
      <c r="H127" s="48">
        <v>8</v>
      </c>
      <c r="I127" s="49" t="s">
        <v>47</v>
      </c>
      <c r="J127" s="184">
        <v>600</v>
      </c>
      <c r="K127" s="75">
        <v>360</v>
      </c>
      <c r="L127" s="75">
        <v>1400</v>
      </c>
      <c r="M127" s="202">
        <v>46.406438631090992</v>
      </c>
      <c r="N127" s="87">
        <v>3460.6818142315556</v>
      </c>
      <c r="O127" s="123">
        <v>40859.772829521986</v>
      </c>
      <c r="P127" s="121">
        <v>48163.566654862319</v>
      </c>
      <c r="Q127" s="310">
        <v>19675.994695960278</v>
      </c>
      <c r="R127" s="319">
        <v>60535.767525482268</v>
      </c>
      <c r="S127" s="315">
        <v>67839.561350822594</v>
      </c>
      <c r="U127" s="7" t="s">
        <v>4554</v>
      </c>
    </row>
    <row r="128" spans="1:21" ht="16.5" thickBot="1">
      <c r="A128" s="50" t="s">
        <v>35</v>
      </c>
      <c r="B128" s="51">
        <f t="shared" si="6"/>
        <v>600</v>
      </c>
      <c r="C128" s="51" t="s">
        <v>3</v>
      </c>
      <c r="D128" s="51">
        <f t="shared" si="7"/>
        <v>360</v>
      </c>
      <c r="E128" s="51" t="s">
        <v>3</v>
      </c>
      <c r="F128" s="99">
        <f t="shared" si="8"/>
        <v>1450</v>
      </c>
      <c r="G128" s="51" t="s">
        <v>3</v>
      </c>
      <c r="H128" s="48">
        <v>8</v>
      </c>
      <c r="I128" s="49" t="s">
        <v>47</v>
      </c>
      <c r="J128" s="184">
        <v>600</v>
      </c>
      <c r="K128" s="75">
        <v>360</v>
      </c>
      <c r="L128" s="75">
        <v>1450</v>
      </c>
      <c r="M128" s="202">
        <v>47.875477040100002</v>
      </c>
      <c r="N128" s="87">
        <v>3625.4761863378203</v>
      </c>
      <c r="O128" s="123">
        <v>42110.712506950884</v>
      </c>
      <c r="P128" s="121">
        <v>49640.594680114329</v>
      </c>
      <c r="Q128" s="310">
        <v>20229.591837463206</v>
      </c>
      <c r="R128" s="319">
        <v>62340.304344414093</v>
      </c>
      <c r="S128" s="315">
        <v>69870.186517577531</v>
      </c>
      <c r="U128" s="7" t="s">
        <v>4555</v>
      </c>
    </row>
    <row r="129" spans="1:21" ht="16.5" thickBot="1">
      <c r="A129" s="50" t="s">
        <v>35</v>
      </c>
      <c r="B129" s="51">
        <f t="shared" si="6"/>
        <v>600</v>
      </c>
      <c r="C129" s="51" t="s">
        <v>3</v>
      </c>
      <c r="D129" s="51">
        <f t="shared" si="7"/>
        <v>360</v>
      </c>
      <c r="E129" s="51" t="s">
        <v>3</v>
      </c>
      <c r="F129" s="99">
        <f t="shared" si="8"/>
        <v>1500</v>
      </c>
      <c r="G129" s="51" t="s">
        <v>3</v>
      </c>
      <c r="H129" s="48">
        <v>8</v>
      </c>
      <c r="I129" s="49" t="s">
        <v>47</v>
      </c>
      <c r="J129" s="184">
        <v>600</v>
      </c>
      <c r="K129" s="75">
        <v>360</v>
      </c>
      <c r="L129" s="75">
        <v>1500</v>
      </c>
      <c r="M129" s="202">
        <v>49.657815453619406</v>
      </c>
      <c r="N129" s="87">
        <v>3790.2705584440841</v>
      </c>
      <c r="O129" s="123">
        <v>44114.121578025006</v>
      </c>
      <c r="P129" s="121">
        <v>51856.256192743807</v>
      </c>
      <c r="Q129" s="310">
        <v>21013.770756749404</v>
      </c>
      <c r="R129" s="319">
        <v>65127.892334774413</v>
      </c>
      <c r="S129" s="315">
        <v>72870.026949493214</v>
      </c>
      <c r="U129" s="7" t="s">
        <v>4556</v>
      </c>
    </row>
    <row r="130" spans="1:21" ht="16.5" thickBot="1">
      <c r="A130" s="50" t="s">
        <v>35</v>
      </c>
      <c r="B130" s="51">
        <f t="shared" si="6"/>
        <v>600</v>
      </c>
      <c r="C130" s="51" t="s">
        <v>3</v>
      </c>
      <c r="D130" s="51">
        <f t="shared" si="7"/>
        <v>360</v>
      </c>
      <c r="E130" s="51" t="s">
        <v>3</v>
      </c>
      <c r="F130" s="99">
        <f t="shared" si="8"/>
        <v>1550</v>
      </c>
      <c r="G130" s="51" t="s">
        <v>3</v>
      </c>
      <c r="H130" s="48">
        <v>8</v>
      </c>
      <c r="I130" s="49" t="s">
        <v>47</v>
      </c>
      <c r="J130" s="184">
        <v>600</v>
      </c>
      <c r="K130" s="75">
        <v>360</v>
      </c>
      <c r="L130" s="75">
        <v>1550</v>
      </c>
      <c r="M130" s="202">
        <v>51.126853862628423</v>
      </c>
      <c r="N130" s="87">
        <v>3955.0649305503489</v>
      </c>
      <c r="O130" s="123">
        <v>45365.061395847275</v>
      </c>
      <c r="P130" s="121">
        <v>53333.284217995817</v>
      </c>
      <c r="Q130" s="310">
        <v>21567.367898252327</v>
      </c>
      <c r="R130" s="319">
        <v>66932.429294099595</v>
      </c>
      <c r="S130" s="315">
        <v>74900.652116248151</v>
      </c>
      <c r="U130" s="7" t="s">
        <v>4557</v>
      </c>
    </row>
    <row r="131" spans="1:21" ht="16.5" thickBot="1">
      <c r="A131" s="47" t="s">
        <v>35</v>
      </c>
      <c r="B131" s="48">
        <f t="shared" si="6"/>
        <v>600</v>
      </c>
      <c r="C131" s="48" t="s">
        <v>3</v>
      </c>
      <c r="D131" s="48">
        <f t="shared" si="7"/>
        <v>360</v>
      </c>
      <c r="E131" s="48" t="s">
        <v>3</v>
      </c>
      <c r="F131" s="99">
        <f t="shared" si="8"/>
        <v>1600</v>
      </c>
      <c r="G131" s="48" t="s">
        <v>3</v>
      </c>
      <c r="H131" s="48">
        <v>8</v>
      </c>
      <c r="I131" s="49" t="s">
        <v>47</v>
      </c>
      <c r="J131" s="184">
        <v>600</v>
      </c>
      <c r="K131" s="75">
        <v>360</v>
      </c>
      <c r="L131" s="75">
        <v>1600</v>
      </c>
      <c r="M131" s="202">
        <v>52.595892271637432</v>
      </c>
      <c r="N131" s="87">
        <v>4119.8593026566141</v>
      </c>
      <c r="O131" s="123">
        <v>46616.001213669537</v>
      </c>
      <c r="P131" s="121">
        <v>54810.312243247812</v>
      </c>
      <c r="Q131" s="310">
        <v>22120.965039755254</v>
      </c>
      <c r="R131" s="319">
        <v>68736.966253424791</v>
      </c>
      <c r="S131" s="315">
        <v>76931.277283003059</v>
      </c>
      <c r="U131" s="7" t="s">
        <v>4558</v>
      </c>
    </row>
    <row r="132" spans="1:21" ht="16.5" thickBot="1">
      <c r="A132" s="50" t="s">
        <v>35</v>
      </c>
      <c r="B132" s="51">
        <f t="shared" si="6"/>
        <v>600</v>
      </c>
      <c r="C132" s="51" t="s">
        <v>3</v>
      </c>
      <c r="D132" s="51">
        <f t="shared" si="7"/>
        <v>360</v>
      </c>
      <c r="E132" s="51" t="s">
        <v>3</v>
      </c>
      <c r="F132" s="99">
        <f t="shared" si="8"/>
        <v>1650</v>
      </c>
      <c r="G132" s="51" t="s">
        <v>3</v>
      </c>
      <c r="H132" s="48">
        <v>8</v>
      </c>
      <c r="I132" s="49" t="s">
        <v>47</v>
      </c>
      <c r="J132" s="184">
        <v>600</v>
      </c>
      <c r="K132" s="75">
        <v>360</v>
      </c>
      <c r="L132" s="75">
        <v>1650</v>
      </c>
      <c r="M132" s="202">
        <v>54.086060280646436</v>
      </c>
      <c r="N132" s="87">
        <v>4284.6536747628788</v>
      </c>
      <c r="O132" s="123">
        <v>47866.940891098442</v>
      </c>
      <c r="P132" s="121">
        <v>56287.340268499815</v>
      </c>
      <c r="Q132" s="310">
        <v>22905.143959041456</v>
      </c>
      <c r="R132" s="319">
        <v>70772.084850139901</v>
      </c>
      <c r="S132" s="315">
        <v>79192.484227541267</v>
      </c>
      <c r="U132" s="7" t="s">
        <v>4559</v>
      </c>
    </row>
    <row r="133" spans="1:21" ht="16.5" thickBot="1">
      <c r="A133" s="50" t="s">
        <v>35</v>
      </c>
      <c r="B133" s="51">
        <f t="shared" si="6"/>
        <v>600</v>
      </c>
      <c r="C133" s="51" t="s">
        <v>3</v>
      </c>
      <c r="D133" s="51">
        <f t="shared" si="7"/>
        <v>360</v>
      </c>
      <c r="E133" s="51" t="s">
        <v>3</v>
      </c>
      <c r="F133" s="99">
        <f t="shared" si="8"/>
        <v>1700</v>
      </c>
      <c r="G133" s="51" t="s">
        <v>3</v>
      </c>
      <c r="H133" s="48">
        <v>8</v>
      </c>
      <c r="I133" s="49" t="s">
        <v>47</v>
      </c>
      <c r="J133" s="184">
        <v>600</v>
      </c>
      <c r="K133" s="75">
        <v>360</v>
      </c>
      <c r="L133" s="75">
        <v>1700</v>
      </c>
      <c r="M133" s="202">
        <v>55.555098689655452</v>
      </c>
      <c r="N133" s="87">
        <v>4449.4480468691427</v>
      </c>
      <c r="O133" s="123">
        <v>49117.880708920697</v>
      </c>
      <c r="P133" s="121">
        <v>57764.368153358453</v>
      </c>
      <c r="Q133" s="310">
        <v>23458.741100544379</v>
      </c>
      <c r="R133" s="319">
        <v>72576.621809465083</v>
      </c>
      <c r="S133" s="315">
        <v>81223.109253902832</v>
      </c>
      <c r="U133" s="7" t="s">
        <v>4560</v>
      </c>
    </row>
    <row r="134" spans="1:21" ht="16.5" thickBot="1">
      <c r="A134" s="50" t="s">
        <v>35</v>
      </c>
      <c r="B134" s="51">
        <f t="shared" si="6"/>
        <v>600</v>
      </c>
      <c r="C134" s="51" t="s">
        <v>3</v>
      </c>
      <c r="D134" s="51">
        <f t="shared" si="7"/>
        <v>360</v>
      </c>
      <c r="E134" s="51" t="s">
        <v>3</v>
      </c>
      <c r="F134" s="99">
        <f t="shared" si="8"/>
        <v>1750</v>
      </c>
      <c r="G134" s="51" t="s">
        <v>3</v>
      </c>
      <c r="H134" s="48">
        <v>8</v>
      </c>
      <c r="I134" s="49" t="s">
        <v>47</v>
      </c>
      <c r="J134" s="184">
        <v>600</v>
      </c>
      <c r="K134" s="75">
        <v>360</v>
      </c>
      <c r="L134" s="75">
        <v>1750</v>
      </c>
      <c r="M134" s="202">
        <v>57.045266698664449</v>
      </c>
      <c r="N134" s="87">
        <v>4614.2424189754074</v>
      </c>
      <c r="O134" s="123">
        <v>50368.820386349595</v>
      </c>
      <c r="P134" s="121">
        <v>59241.396178610448</v>
      </c>
      <c r="Q134" s="310">
        <v>24242.920019830581</v>
      </c>
      <c r="R134" s="319">
        <v>74611.740406180179</v>
      </c>
      <c r="S134" s="315">
        <v>83484.316198441025</v>
      </c>
      <c r="U134" s="7" t="s">
        <v>4561</v>
      </c>
    </row>
    <row r="135" spans="1:21" ht="16.5" thickBot="1">
      <c r="A135" s="50" t="s">
        <v>35</v>
      </c>
      <c r="B135" s="51">
        <f t="shared" si="6"/>
        <v>600</v>
      </c>
      <c r="C135" s="51" t="s">
        <v>3</v>
      </c>
      <c r="D135" s="51">
        <f t="shared" si="7"/>
        <v>360</v>
      </c>
      <c r="E135" s="51" t="s">
        <v>3</v>
      </c>
      <c r="F135" s="99">
        <f t="shared" si="8"/>
        <v>1800</v>
      </c>
      <c r="G135" s="51" t="s">
        <v>3</v>
      </c>
      <c r="H135" s="48">
        <v>8</v>
      </c>
      <c r="I135" s="49" t="s">
        <v>47</v>
      </c>
      <c r="J135" s="184">
        <v>600</v>
      </c>
      <c r="K135" s="75">
        <v>360</v>
      </c>
      <c r="L135" s="75">
        <v>1800</v>
      </c>
      <c r="M135" s="202">
        <v>58.514305107673472</v>
      </c>
      <c r="N135" s="87">
        <v>4779.0367910816713</v>
      </c>
      <c r="O135" s="123">
        <v>51619.760204171864</v>
      </c>
      <c r="P135" s="121">
        <v>60718.424203862312</v>
      </c>
      <c r="Q135" s="310">
        <v>24796.517161333504</v>
      </c>
      <c r="R135" s="319">
        <v>76416.277365505375</v>
      </c>
      <c r="S135" s="315">
        <v>85514.941365195817</v>
      </c>
      <c r="U135" s="7" t="s">
        <v>4562</v>
      </c>
    </row>
    <row r="136" spans="1:21" ht="16.5" thickBot="1">
      <c r="A136" s="50" t="s">
        <v>35</v>
      </c>
      <c r="B136" s="51">
        <f t="shared" si="6"/>
        <v>600</v>
      </c>
      <c r="C136" s="51" t="s">
        <v>3</v>
      </c>
      <c r="D136" s="51">
        <f t="shared" si="7"/>
        <v>360</v>
      </c>
      <c r="E136" s="51" t="s">
        <v>3</v>
      </c>
      <c r="F136" s="99">
        <f t="shared" si="8"/>
        <v>1850</v>
      </c>
      <c r="G136" s="51" t="s">
        <v>3</v>
      </c>
      <c r="H136" s="48">
        <v>8</v>
      </c>
      <c r="I136" s="49" t="s">
        <v>47</v>
      </c>
      <c r="J136" s="184">
        <v>600</v>
      </c>
      <c r="K136" s="75">
        <v>360</v>
      </c>
      <c r="L136" s="75">
        <v>1850</v>
      </c>
      <c r="M136" s="202">
        <v>60.004473116682483</v>
      </c>
      <c r="N136" s="87">
        <v>4943.8311631879369</v>
      </c>
      <c r="O136" s="123">
        <v>52870.700021994126</v>
      </c>
      <c r="P136" s="121">
        <v>62195.452088721089</v>
      </c>
      <c r="Q136" s="310">
        <v>25580.69622101307</v>
      </c>
      <c r="R136" s="319">
        <v>78451.396243007199</v>
      </c>
      <c r="S136" s="315">
        <v>87776.148309734155</v>
      </c>
      <c r="U136" s="7" t="s">
        <v>4563</v>
      </c>
    </row>
    <row r="137" spans="1:21" ht="16.5" thickBot="1">
      <c r="A137" s="50" t="s">
        <v>35</v>
      </c>
      <c r="B137" s="51">
        <f t="shared" si="6"/>
        <v>600</v>
      </c>
      <c r="C137" s="51" t="s">
        <v>3</v>
      </c>
      <c r="D137" s="51">
        <f t="shared" si="7"/>
        <v>360</v>
      </c>
      <c r="E137" s="51" t="s">
        <v>3</v>
      </c>
      <c r="F137" s="99">
        <f t="shared" si="8"/>
        <v>1900</v>
      </c>
      <c r="G137" s="51" t="s">
        <v>3</v>
      </c>
      <c r="H137" s="48">
        <v>8</v>
      </c>
      <c r="I137" s="49" t="s">
        <v>47</v>
      </c>
      <c r="J137" s="184">
        <v>600</v>
      </c>
      <c r="K137" s="75">
        <v>360</v>
      </c>
      <c r="L137" s="75">
        <v>1900</v>
      </c>
      <c r="M137" s="202">
        <v>61.473511525691485</v>
      </c>
      <c r="N137" s="87">
        <v>5108.6255352942017</v>
      </c>
      <c r="O137" s="123">
        <v>54121.639699423024</v>
      </c>
      <c r="P137" s="121">
        <v>63672.480113973084</v>
      </c>
      <c r="Q137" s="310">
        <v>26134.293362515993</v>
      </c>
      <c r="R137" s="319">
        <v>80255.933061939024</v>
      </c>
      <c r="S137" s="315">
        <v>89806.773476489077</v>
      </c>
      <c r="U137" s="7" t="s">
        <v>4564</v>
      </c>
    </row>
    <row r="138" spans="1:21" ht="16.5" thickBot="1">
      <c r="A138" s="50" t="s">
        <v>35</v>
      </c>
      <c r="B138" s="51">
        <f t="shared" si="6"/>
        <v>600</v>
      </c>
      <c r="C138" s="51" t="s">
        <v>3</v>
      </c>
      <c r="D138" s="51">
        <f t="shared" si="7"/>
        <v>360</v>
      </c>
      <c r="E138" s="51" t="s">
        <v>3</v>
      </c>
      <c r="F138" s="99">
        <f t="shared" si="8"/>
        <v>1950</v>
      </c>
      <c r="G138" s="51" t="s">
        <v>3</v>
      </c>
      <c r="H138" s="48">
        <v>8</v>
      </c>
      <c r="I138" s="49" t="s">
        <v>47</v>
      </c>
      <c r="J138" s="184">
        <v>600</v>
      </c>
      <c r="K138" s="75">
        <v>360</v>
      </c>
      <c r="L138" s="75">
        <v>1950</v>
      </c>
      <c r="M138" s="202">
        <v>63.137229934700507</v>
      </c>
      <c r="N138" s="87">
        <v>5273.4199074004655</v>
      </c>
      <c r="O138" s="123">
        <v>55526.8882486562</v>
      </c>
      <c r="P138" s="121">
        <v>65304.758910098382</v>
      </c>
      <c r="Q138" s="310">
        <v>26687.890504018917</v>
      </c>
      <c r="R138" s="319">
        <v>82214.77875267512</v>
      </c>
      <c r="S138" s="315">
        <v>91992.649414117303</v>
      </c>
      <c r="U138" s="7" t="s">
        <v>4565</v>
      </c>
    </row>
    <row r="139" spans="1:21" ht="16.5" thickBot="1">
      <c r="A139" s="50" t="s">
        <v>35</v>
      </c>
      <c r="B139" s="51">
        <f t="shared" si="6"/>
        <v>600</v>
      </c>
      <c r="C139" s="51" t="s">
        <v>3</v>
      </c>
      <c r="D139" s="51">
        <f t="shared" si="7"/>
        <v>360</v>
      </c>
      <c r="E139" s="51" t="s">
        <v>3</v>
      </c>
      <c r="F139" s="99">
        <f t="shared" si="8"/>
        <v>2000</v>
      </c>
      <c r="G139" s="51" t="s">
        <v>3</v>
      </c>
      <c r="H139" s="48">
        <v>8</v>
      </c>
      <c r="I139" s="49" t="s">
        <v>47</v>
      </c>
      <c r="J139" s="184">
        <v>600</v>
      </c>
      <c r="K139" s="75">
        <v>360</v>
      </c>
      <c r="L139" s="75">
        <v>2000</v>
      </c>
      <c r="M139" s="202">
        <v>64.740935319709507</v>
      </c>
      <c r="N139" s="87">
        <v>5438.2142795067302</v>
      </c>
      <c r="O139" s="123">
        <v>57008.371095693685</v>
      </c>
      <c r="P139" s="121">
        <v>67094.467662869676</v>
      </c>
      <c r="Q139" s="310">
        <v>27472.069423305118</v>
      </c>
      <c r="R139" s="319">
        <v>84480.440518998803</v>
      </c>
      <c r="S139" s="315">
        <v>94566.537086174794</v>
      </c>
      <c r="U139" s="7" t="s">
        <v>4566</v>
      </c>
    </row>
    <row r="140" spans="1:21" ht="16.5" thickBot="1">
      <c r="A140" s="50" t="s">
        <v>35</v>
      </c>
      <c r="B140" s="51">
        <f t="shared" si="6"/>
        <v>600</v>
      </c>
      <c r="C140" s="51" t="s">
        <v>3</v>
      </c>
      <c r="D140" s="51">
        <f t="shared" si="7"/>
        <v>360</v>
      </c>
      <c r="E140" s="51" t="s">
        <v>3</v>
      </c>
      <c r="F140" s="99">
        <f t="shared" si="8"/>
        <v>2050</v>
      </c>
      <c r="G140" s="51" t="s">
        <v>3</v>
      </c>
      <c r="H140" s="48">
        <v>8</v>
      </c>
      <c r="I140" s="49" t="s">
        <v>47</v>
      </c>
      <c r="J140" s="184">
        <v>600</v>
      </c>
      <c r="K140" s="75">
        <v>360</v>
      </c>
      <c r="L140" s="75">
        <v>2050</v>
      </c>
      <c r="M140" s="202">
        <v>66.209973728718538</v>
      </c>
      <c r="N140" s="87">
        <v>5603.008651612995</v>
      </c>
      <c r="O140" s="123">
        <v>58259.310773122583</v>
      </c>
      <c r="P140" s="121">
        <v>68571.495688121679</v>
      </c>
      <c r="Q140" s="310">
        <v>28025.666564808042</v>
      </c>
      <c r="R140" s="319">
        <v>86284.977337930628</v>
      </c>
      <c r="S140" s="315">
        <v>96597.162252929716</v>
      </c>
      <c r="U140" s="7" t="s">
        <v>4567</v>
      </c>
    </row>
    <row r="141" spans="1:21" ht="16.5" thickBot="1">
      <c r="A141" s="47" t="s">
        <v>35</v>
      </c>
      <c r="B141" s="48">
        <f t="shared" si="6"/>
        <v>600</v>
      </c>
      <c r="C141" s="48" t="s">
        <v>3</v>
      </c>
      <c r="D141" s="48">
        <f t="shared" si="7"/>
        <v>360</v>
      </c>
      <c r="E141" s="48" t="s">
        <v>3</v>
      </c>
      <c r="F141" s="99">
        <f t="shared" si="8"/>
        <v>2100</v>
      </c>
      <c r="G141" s="48" t="s">
        <v>3</v>
      </c>
      <c r="H141" s="48">
        <v>8</v>
      </c>
      <c r="I141" s="49" t="s">
        <v>47</v>
      </c>
      <c r="J141" s="184">
        <v>600</v>
      </c>
      <c r="K141" s="75">
        <v>360</v>
      </c>
      <c r="L141" s="75">
        <v>2100</v>
      </c>
      <c r="M141" s="202">
        <v>67.70014173772752</v>
      </c>
      <c r="N141" s="87">
        <v>5767.8030237192597</v>
      </c>
      <c r="O141" s="123">
        <v>59510.250590944852</v>
      </c>
      <c r="P141" s="121">
        <v>70048.523713373681</v>
      </c>
      <c r="Q141" s="310">
        <v>28809.845484094247</v>
      </c>
      <c r="R141" s="319">
        <v>88320.096075039095</v>
      </c>
      <c r="S141" s="315">
        <v>98858.369197467924</v>
      </c>
      <c r="U141" s="7" t="s">
        <v>4568</v>
      </c>
    </row>
    <row r="142" spans="1:21" ht="16.5" thickBot="1">
      <c r="A142" s="50" t="s">
        <v>35</v>
      </c>
      <c r="B142" s="51">
        <f t="shared" si="6"/>
        <v>600</v>
      </c>
      <c r="C142" s="51" t="s">
        <v>3</v>
      </c>
      <c r="D142" s="51">
        <f t="shared" si="7"/>
        <v>360</v>
      </c>
      <c r="E142" s="51" t="s">
        <v>3</v>
      </c>
      <c r="F142" s="99">
        <f t="shared" si="8"/>
        <v>2150</v>
      </c>
      <c r="G142" s="51" t="s">
        <v>3</v>
      </c>
      <c r="H142" s="48">
        <v>8</v>
      </c>
      <c r="I142" s="49" t="s">
        <v>47</v>
      </c>
      <c r="J142" s="184">
        <v>600</v>
      </c>
      <c r="K142" s="75">
        <v>360</v>
      </c>
      <c r="L142" s="75">
        <v>2150</v>
      </c>
      <c r="M142" s="202">
        <v>69.169180146736551</v>
      </c>
      <c r="N142" s="87">
        <v>5932.5973958255245</v>
      </c>
      <c r="O142" s="123">
        <v>60761.19026837375</v>
      </c>
      <c r="P142" s="121">
        <v>71525.551738625683</v>
      </c>
      <c r="Q142" s="310">
        <v>29363.442625597167</v>
      </c>
      <c r="R142" s="319">
        <v>90124.63289397092</v>
      </c>
      <c r="S142" s="315">
        <v>100888.99436422285</v>
      </c>
      <c r="U142" s="7" t="s">
        <v>4569</v>
      </c>
    </row>
    <row r="143" spans="1:21" ht="16.5" thickBot="1">
      <c r="A143" s="50" t="s">
        <v>35</v>
      </c>
      <c r="B143" s="51">
        <f t="shared" si="6"/>
        <v>600</v>
      </c>
      <c r="C143" s="51" t="s">
        <v>3</v>
      </c>
      <c r="D143" s="51">
        <f t="shared" si="7"/>
        <v>360</v>
      </c>
      <c r="E143" s="51" t="s">
        <v>3</v>
      </c>
      <c r="F143" s="99">
        <f t="shared" si="8"/>
        <v>2200</v>
      </c>
      <c r="G143" s="51" t="s">
        <v>3</v>
      </c>
      <c r="H143" s="48">
        <v>8</v>
      </c>
      <c r="I143" s="49" t="s">
        <v>47</v>
      </c>
      <c r="J143" s="184">
        <v>600</v>
      </c>
      <c r="K143" s="75">
        <v>360</v>
      </c>
      <c r="L143" s="75">
        <v>2200</v>
      </c>
      <c r="M143" s="202">
        <v>70.659348155745562</v>
      </c>
      <c r="N143" s="87">
        <v>6097.3917679317883</v>
      </c>
      <c r="O143" s="123">
        <v>62012.130086196012</v>
      </c>
      <c r="P143" s="121">
        <v>73002.579623484315</v>
      </c>
      <c r="Q143" s="310">
        <v>30147.621544883372</v>
      </c>
      <c r="R143" s="319">
        <v>92159.751631079387</v>
      </c>
      <c r="S143" s="315">
        <v>103150.20116836768</v>
      </c>
      <c r="U143" s="7" t="s">
        <v>4570</v>
      </c>
    </row>
    <row r="144" spans="1:21" ht="16.5" thickBot="1">
      <c r="A144" s="50" t="s">
        <v>35</v>
      </c>
      <c r="B144" s="51">
        <f t="shared" si="6"/>
        <v>600</v>
      </c>
      <c r="C144" s="51" t="s">
        <v>3</v>
      </c>
      <c r="D144" s="51">
        <f t="shared" si="7"/>
        <v>360</v>
      </c>
      <c r="E144" s="51" t="s">
        <v>3</v>
      </c>
      <c r="F144" s="99">
        <f t="shared" si="8"/>
        <v>2250</v>
      </c>
      <c r="G144" s="51" t="s">
        <v>3</v>
      </c>
      <c r="H144" s="48">
        <v>8</v>
      </c>
      <c r="I144" s="49" t="s">
        <v>47</v>
      </c>
      <c r="J144" s="184">
        <v>600</v>
      </c>
      <c r="K144" s="75">
        <v>360</v>
      </c>
      <c r="L144" s="75">
        <v>2250</v>
      </c>
      <c r="M144" s="202">
        <v>72.128386564754564</v>
      </c>
      <c r="N144" s="87">
        <v>6262.1861400380531</v>
      </c>
      <c r="O144" s="123">
        <v>63263.06976362491</v>
      </c>
      <c r="P144" s="121">
        <v>74479.607648736317</v>
      </c>
      <c r="Q144" s="310">
        <v>30701.218686386295</v>
      </c>
      <c r="R144" s="319">
        <v>93964.288450011198</v>
      </c>
      <c r="S144" s="315">
        <v>105180.82633512261</v>
      </c>
      <c r="U144" s="7" t="s">
        <v>4571</v>
      </c>
    </row>
    <row r="145" spans="1:21" ht="16.5" thickBot="1">
      <c r="A145" s="50" t="s">
        <v>35</v>
      </c>
      <c r="B145" s="51">
        <f t="shared" si="6"/>
        <v>600</v>
      </c>
      <c r="C145" s="51" t="s">
        <v>3</v>
      </c>
      <c r="D145" s="51">
        <f t="shared" si="7"/>
        <v>360</v>
      </c>
      <c r="E145" s="51" t="s">
        <v>3</v>
      </c>
      <c r="F145" s="99">
        <f t="shared" si="8"/>
        <v>2300</v>
      </c>
      <c r="G145" s="51" t="s">
        <v>3</v>
      </c>
      <c r="H145" s="48">
        <v>8</v>
      </c>
      <c r="I145" s="49" t="s">
        <v>47</v>
      </c>
      <c r="J145" s="184">
        <v>600</v>
      </c>
      <c r="K145" s="75">
        <v>360</v>
      </c>
      <c r="L145" s="75">
        <v>2300</v>
      </c>
      <c r="M145" s="202">
        <v>73.59742497376358</v>
      </c>
      <c r="N145" s="87">
        <v>6426.9805121443178</v>
      </c>
      <c r="O145" s="123">
        <v>64514.009581447179</v>
      </c>
      <c r="P145" s="121">
        <v>75956.635673988319</v>
      </c>
      <c r="Q145" s="310">
        <v>31254.815827889219</v>
      </c>
      <c r="R145" s="319">
        <v>95768.825409336394</v>
      </c>
      <c r="S145" s="315">
        <v>107211.45150187754</v>
      </c>
      <c r="U145" s="7" t="s">
        <v>4572</v>
      </c>
    </row>
    <row r="146" spans="1:21" ht="16.5" thickBot="1">
      <c r="A146" s="50" t="s">
        <v>35</v>
      </c>
      <c r="B146" s="51">
        <f t="shared" si="6"/>
        <v>600</v>
      </c>
      <c r="C146" s="51" t="s">
        <v>3</v>
      </c>
      <c r="D146" s="51">
        <f t="shared" si="7"/>
        <v>360</v>
      </c>
      <c r="E146" s="51" t="s">
        <v>3</v>
      </c>
      <c r="F146" s="99">
        <f t="shared" si="8"/>
        <v>2350</v>
      </c>
      <c r="G146" s="51" t="s">
        <v>3</v>
      </c>
      <c r="H146" s="48">
        <v>8</v>
      </c>
      <c r="I146" s="49" t="s">
        <v>47</v>
      </c>
      <c r="J146" s="184">
        <v>600</v>
      </c>
      <c r="K146" s="75">
        <v>360</v>
      </c>
      <c r="L146" s="75">
        <v>2350</v>
      </c>
      <c r="M146" s="202">
        <v>75.087592982772591</v>
      </c>
      <c r="N146" s="87">
        <v>6591.7748842505825</v>
      </c>
      <c r="O146" s="123">
        <v>65764.949399269433</v>
      </c>
      <c r="P146" s="121">
        <v>77433.663558846951</v>
      </c>
      <c r="Q146" s="310">
        <v>32038.99474717542</v>
      </c>
      <c r="R146" s="319">
        <v>97803.944146444846</v>
      </c>
      <c r="S146" s="315">
        <v>109472.65830602238</v>
      </c>
      <c r="U146" s="7" t="s">
        <v>4573</v>
      </c>
    </row>
    <row r="147" spans="1:21" ht="16.5" thickBot="1">
      <c r="A147" s="50" t="s">
        <v>35</v>
      </c>
      <c r="B147" s="51">
        <f t="shared" si="6"/>
        <v>600</v>
      </c>
      <c r="C147" s="51" t="s">
        <v>3</v>
      </c>
      <c r="D147" s="51">
        <f t="shared" si="7"/>
        <v>360</v>
      </c>
      <c r="E147" s="51" t="s">
        <v>3</v>
      </c>
      <c r="F147" s="99">
        <f t="shared" si="8"/>
        <v>2400</v>
      </c>
      <c r="G147" s="51" t="s">
        <v>3</v>
      </c>
      <c r="H147" s="48">
        <v>8</v>
      </c>
      <c r="I147" s="49" t="s">
        <v>47</v>
      </c>
      <c r="J147" s="184">
        <v>600</v>
      </c>
      <c r="K147" s="75">
        <v>360</v>
      </c>
      <c r="L147" s="75">
        <v>2400</v>
      </c>
      <c r="M147" s="202">
        <v>76.556631391781593</v>
      </c>
      <c r="N147" s="87">
        <v>6756.5692563568455</v>
      </c>
      <c r="O147" s="123">
        <v>67015.889076698339</v>
      </c>
      <c r="P147" s="121">
        <v>78910.691584098953</v>
      </c>
      <c r="Q147" s="310">
        <v>32592.591888678344</v>
      </c>
      <c r="R147" s="319">
        <v>99608.480965376686</v>
      </c>
      <c r="S147" s="315">
        <v>111503.2834727773</v>
      </c>
      <c r="U147" s="7" t="s">
        <v>4574</v>
      </c>
    </row>
    <row r="148" spans="1:21" ht="16.5" thickBot="1">
      <c r="A148" s="50" t="s">
        <v>35</v>
      </c>
      <c r="B148" s="51">
        <f t="shared" si="6"/>
        <v>600</v>
      </c>
      <c r="C148" s="51" t="s">
        <v>3</v>
      </c>
      <c r="D148" s="51">
        <f t="shared" si="7"/>
        <v>360</v>
      </c>
      <c r="E148" s="51" t="s">
        <v>3</v>
      </c>
      <c r="F148" s="99">
        <f t="shared" si="8"/>
        <v>2450</v>
      </c>
      <c r="G148" s="51" t="s">
        <v>3</v>
      </c>
      <c r="H148" s="48">
        <v>8</v>
      </c>
      <c r="I148" s="49" t="s">
        <v>47</v>
      </c>
      <c r="J148" s="184">
        <v>600</v>
      </c>
      <c r="K148" s="75">
        <v>360</v>
      </c>
      <c r="L148" s="75">
        <v>2450</v>
      </c>
      <c r="M148" s="202">
        <v>78.338969805301019</v>
      </c>
      <c r="N148" s="87">
        <v>6921.3636284631111</v>
      </c>
      <c r="O148" s="123">
        <v>69019.298147772468</v>
      </c>
      <c r="P148" s="121">
        <v>81126.353096728446</v>
      </c>
      <c r="Q148" s="310">
        <v>33376.770807964545</v>
      </c>
      <c r="R148" s="319">
        <v>102396.06895573702</v>
      </c>
      <c r="S148" s="315">
        <v>114503.123904693</v>
      </c>
      <c r="U148" s="7" t="s">
        <v>4575</v>
      </c>
    </row>
    <row r="149" spans="1:21" ht="16.5" thickBot="1">
      <c r="A149" s="50" t="s">
        <v>35</v>
      </c>
      <c r="B149" s="51">
        <f t="shared" si="6"/>
        <v>600</v>
      </c>
      <c r="C149" s="51" t="s">
        <v>3</v>
      </c>
      <c r="D149" s="51">
        <f t="shared" si="7"/>
        <v>360</v>
      </c>
      <c r="E149" s="51" t="s">
        <v>3</v>
      </c>
      <c r="F149" s="99">
        <f t="shared" si="8"/>
        <v>2500</v>
      </c>
      <c r="G149" s="51" t="s">
        <v>3</v>
      </c>
      <c r="H149" s="48">
        <v>8</v>
      </c>
      <c r="I149" s="49" t="s">
        <v>47</v>
      </c>
      <c r="J149" s="184">
        <v>600</v>
      </c>
      <c r="K149" s="75">
        <v>360</v>
      </c>
      <c r="L149" s="75">
        <v>2500</v>
      </c>
      <c r="M149" s="202">
        <v>79.808008214310007</v>
      </c>
      <c r="N149" s="87">
        <v>7086.158000569375</v>
      </c>
      <c r="O149" s="123">
        <v>70270.23796559473</v>
      </c>
      <c r="P149" s="121">
        <v>82603.381121980434</v>
      </c>
      <c r="Q149" s="310">
        <v>33930.367949467472</v>
      </c>
      <c r="R149" s="319">
        <v>104200.6059150622</v>
      </c>
      <c r="S149" s="315">
        <v>116533.74907144791</v>
      </c>
      <c r="U149" s="7" t="s">
        <v>4576</v>
      </c>
    </row>
    <row r="150" spans="1:21" ht="16.5" thickBot="1">
      <c r="A150" s="50" t="s">
        <v>35</v>
      </c>
      <c r="B150" s="51">
        <f t="shared" si="6"/>
        <v>600</v>
      </c>
      <c r="C150" s="51" t="s">
        <v>3</v>
      </c>
      <c r="D150" s="51">
        <f t="shared" si="7"/>
        <v>360</v>
      </c>
      <c r="E150" s="51" t="s">
        <v>3</v>
      </c>
      <c r="F150" s="99">
        <f t="shared" si="8"/>
        <v>2550</v>
      </c>
      <c r="G150" s="51" t="s">
        <v>3</v>
      </c>
      <c r="H150" s="48">
        <v>8</v>
      </c>
      <c r="I150" s="49" t="s">
        <v>47</v>
      </c>
      <c r="J150" s="184">
        <v>600</v>
      </c>
      <c r="K150" s="75">
        <v>360</v>
      </c>
      <c r="L150" s="75">
        <v>2550</v>
      </c>
      <c r="M150" s="202">
        <v>81.298176223319004</v>
      </c>
      <c r="N150" s="87">
        <v>7250.9523726756406</v>
      </c>
      <c r="O150" s="123">
        <v>71521.177783416992</v>
      </c>
      <c r="P150" s="121">
        <v>84080.409147232451</v>
      </c>
      <c r="Q150" s="310">
        <v>34714.547009147034</v>
      </c>
      <c r="R150" s="319">
        <v>106235.72479256403</v>
      </c>
      <c r="S150" s="315">
        <v>118794.95615637949</v>
      </c>
      <c r="U150" s="7" t="s">
        <v>4577</v>
      </c>
    </row>
    <row r="151" spans="1:21" ht="16.5" thickBot="1">
      <c r="A151" s="47" t="s">
        <v>35</v>
      </c>
      <c r="B151" s="48">
        <f t="shared" si="6"/>
        <v>600</v>
      </c>
      <c r="C151" s="48" t="s">
        <v>3</v>
      </c>
      <c r="D151" s="48">
        <f t="shared" si="7"/>
        <v>360</v>
      </c>
      <c r="E151" s="48" t="s">
        <v>3</v>
      </c>
      <c r="F151" s="99">
        <f t="shared" si="8"/>
        <v>2600</v>
      </c>
      <c r="G151" s="48" t="s">
        <v>3</v>
      </c>
      <c r="H151" s="48">
        <v>8</v>
      </c>
      <c r="I151" s="49" t="s">
        <v>47</v>
      </c>
      <c r="J151" s="184">
        <v>600</v>
      </c>
      <c r="K151" s="75">
        <v>360</v>
      </c>
      <c r="L151" s="75">
        <v>2600</v>
      </c>
      <c r="M151" s="202">
        <v>82.767214632328034</v>
      </c>
      <c r="N151" s="87">
        <v>7415.7467447819054</v>
      </c>
      <c r="O151" s="123">
        <v>72772.117460845882</v>
      </c>
      <c r="P151" s="121">
        <v>85557.437172484439</v>
      </c>
      <c r="Q151" s="310">
        <v>35268.144150649961</v>
      </c>
      <c r="R151" s="319">
        <v>108040.26161149584</v>
      </c>
      <c r="S151" s="315">
        <v>120825.58132313439</v>
      </c>
      <c r="U151" s="7" t="s">
        <v>4578</v>
      </c>
    </row>
    <row r="152" spans="1:21" ht="16.5" thickBot="1">
      <c r="A152" s="50" t="s">
        <v>35</v>
      </c>
      <c r="B152" s="51">
        <f t="shared" si="6"/>
        <v>600</v>
      </c>
      <c r="C152" s="51" t="s">
        <v>3</v>
      </c>
      <c r="D152" s="51">
        <f t="shared" si="7"/>
        <v>360</v>
      </c>
      <c r="E152" s="51" t="s">
        <v>3</v>
      </c>
      <c r="F152" s="99">
        <f t="shared" si="8"/>
        <v>2650</v>
      </c>
      <c r="G152" s="51" t="s">
        <v>3</v>
      </c>
      <c r="H152" s="48">
        <v>8</v>
      </c>
      <c r="I152" s="49" t="s">
        <v>47</v>
      </c>
      <c r="J152" s="184">
        <v>600</v>
      </c>
      <c r="K152" s="75">
        <v>360</v>
      </c>
      <c r="L152" s="75">
        <v>2650</v>
      </c>
      <c r="M152" s="202">
        <v>84.257382641337045</v>
      </c>
      <c r="N152" s="87">
        <v>7580.5411168881683</v>
      </c>
      <c r="O152" s="123">
        <v>74023.057278668159</v>
      </c>
      <c r="P152" s="121">
        <v>87034.465057343084</v>
      </c>
      <c r="Q152" s="310">
        <v>36052.323069936159</v>
      </c>
      <c r="R152" s="319">
        <v>110075.38034860432</v>
      </c>
      <c r="S152" s="315">
        <v>123086.78812727924</v>
      </c>
      <c r="U152" s="7" t="s">
        <v>4579</v>
      </c>
    </row>
    <row r="153" spans="1:21" ht="16.5" thickBot="1">
      <c r="A153" s="50" t="s">
        <v>35</v>
      </c>
      <c r="B153" s="51">
        <f t="shared" si="6"/>
        <v>600</v>
      </c>
      <c r="C153" s="51" t="s">
        <v>3</v>
      </c>
      <c r="D153" s="51">
        <f t="shared" si="7"/>
        <v>360</v>
      </c>
      <c r="E153" s="51" t="s">
        <v>3</v>
      </c>
      <c r="F153" s="99">
        <f t="shared" si="8"/>
        <v>2700</v>
      </c>
      <c r="G153" s="51" t="s">
        <v>3</v>
      </c>
      <c r="H153" s="48">
        <v>8</v>
      </c>
      <c r="I153" s="49" t="s">
        <v>47</v>
      </c>
      <c r="J153" s="184">
        <v>600</v>
      </c>
      <c r="K153" s="75">
        <v>360</v>
      </c>
      <c r="L153" s="75">
        <v>2700</v>
      </c>
      <c r="M153" s="202">
        <v>85.921101050346067</v>
      </c>
      <c r="N153" s="87">
        <v>7745.3354889944339</v>
      </c>
      <c r="O153" s="123">
        <v>75428.30582790132</v>
      </c>
      <c r="P153" s="121">
        <v>88666.743853468375</v>
      </c>
      <c r="Q153" s="310">
        <v>36605.920211439086</v>
      </c>
      <c r="R153" s="319">
        <v>112034.2260393404</v>
      </c>
      <c r="S153" s="315">
        <v>125272.66406490747</v>
      </c>
      <c r="U153" s="7" t="s">
        <v>4580</v>
      </c>
    </row>
    <row r="154" spans="1:21" ht="16.5" thickBot="1">
      <c r="A154" s="50" t="s">
        <v>35</v>
      </c>
      <c r="B154" s="51">
        <f t="shared" si="6"/>
        <v>600</v>
      </c>
      <c r="C154" s="51" t="s">
        <v>3</v>
      </c>
      <c r="D154" s="51">
        <f t="shared" si="7"/>
        <v>360</v>
      </c>
      <c r="E154" s="51" t="s">
        <v>3</v>
      </c>
      <c r="F154" s="99">
        <f t="shared" si="8"/>
        <v>2750</v>
      </c>
      <c r="G154" s="51" t="s">
        <v>3</v>
      </c>
      <c r="H154" s="48">
        <v>8</v>
      </c>
      <c r="I154" s="49" t="s">
        <v>47</v>
      </c>
      <c r="J154" s="184">
        <v>600</v>
      </c>
      <c r="K154" s="75">
        <v>360</v>
      </c>
      <c r="L154" s="75">
        <v>2750</v>
      </c>
      <c r="M154" s="202">
        <v>87.390139459355069</v>
      </c>
      <c r="N154" s="87">
        <v>7910.1298611006978</v>
      </c>
      <c r="O154" s="123">
        <v>76679.24550533024</v>
      </c>
      <c r="P154" s="121">
        <v>90143.771878720363</v>
      </c>
      <c r="Q154" s="310">
        <v>37159.517352942006</v>
      </c>
      <c r="R154" s="319">
        <v>113838.76285827224</v>
      </c>
      <c r="S154" s="315">
        <v>127303.28923166238</v>
      </c>
      <c r="U154" s="7" t="s">
        <v>4581</v>
      </c>
    </row>
    <row r="155" spans="1:21" ht="16.5" thickBot="1">
      <c r="A155" s="50" t="s">
        <v>35</v>
      </c>
      <c r="B155" s="51">
        <f t="shared" si="6"/>
        <v>600</v>
      </c>
      <c r="C155" s="51" t="s">
        <v>3</v>
      </c>
      <c r="D155" s="51">
        <f t="shared" si="7"/>
        <v>360</v>
      </c>
      <c r="E155" s="51" t="s">
        <v>3</v>
      </c>
      <c r="F155" s="99">
        <f t="shared" si="8"/>
        <v>2800</v>
      </c>
      <c r="G155" s="51" t="s">
        <v>3</v>
      </c>
      <c r="H155" s="48">
        <v>8</v>
      </c>
      <c r="I155" s="49" t="s">
        <v>47</v>
      </c>
      <c r="J155" s="184">
        <v>600</v>
      </c>
      <c r="K155" s="75">
        <v>360</v>
      </c>
      <c r="L155" s="75">
        <v>2800</v>
      </c>
      <c r="M155" s="202">
        <v>88.88030746836408</v>
      </c>
      <c r="N155" s="87">
        <v>8074.9242332069634</v>
      </c>
      <c r="O155" s="123">
        <v>77930.185323152487</v>
      </c>
      <c r="P155" s="121">
        <v>91620.799903972365</v>
      </c>
      <c r="Q155" s="310">
        <v>37943.696272228204</v>
      </c>
      <c r="R155" s="319">
        <v>115873.88159538069</v>
      </c>
      <c r="S155" s="315">
        <v>129564.49617620057</v>
      </c>
      <c r="U155" s="7" t="s">
        <v>4582</v>
      </c>
    </row>
    <row r="156" spans="1:21" ht="16.5" thickBot="1">
      <c r="A156" s="50" t="s">
        <v>35</v>
      </c>
      <c r="B156" s="51">
        <f t="shared" si="6"/>
        <v>600</v>
      </c>
      <c r="C156" s="51" t="s">
        <v>3</v>
      </c>
      <c r="D156" s="51">
        <f t="shared" si="7"/>
        <v>360</v>
      </c>
      <c r="E156" s="51" t="s">
        <v>3</v>
      </c>
      <c r="F156" s="99">
        <f t="shared" si="8"/>
        <v>2850</v>
      </c>
      <c r="G156" s="51" t="s">
        <v>3</v>
      </c>
      <c r="H156" s="48">
        <v>8</v>
      </c>
      <c r="I156" s="49" t="s">
        <v>47</v>
      </c>
      <c r="J156" s="184">
        <v>600</v>
      </c>
      <c r="K156" s="75">
        <v>360</v>
      </c>
      <c r="L156" s="75">
        <v>2850</v>
      </c>
      <c r="M156" s="202">
        <v>90.349345877373082</v>
      </c>
      <c r="N156" s="87">
        <v>8239.7186053132282</v>
      </c>
      <c r="O156" s="123">
        <v>79181.125000581393</v>
      </c>
      <c r="P156" s="121">
        <v>93097.827929224368</v>
      </c>
      <c r="Q156" s="310">
        <v>38497.293413731131</v>
      </c>
      <c r="R156" s="319">
        <v>117678.41841431253</v>
      </c>
      <c r="S156" s="315">
        <v>131595.12134295551</v>
      </c>
      <c r="U156" s="7" t="s">
        <v>4583</v>
      </c>
    </row>
    <row r="157" spans="1:21" ht="16.5" thickBot="1">
      <c r="A157" s="50" t="s">
        <v>35</v>
      </c>
      <c r="B157" s="51">
        <f t="shared" si="6"/>
        <v>600</v>
      </c>
      <c r="C157" s="51" t="s">
        <v>3</v>
      </c>
      <c r="D157" s="51">
        <f t="shared" si="7"/>
        <v>360</v>
      </c>
      <c r="E157" s="51" t="s">
        <v>3</v>
      </c>
      <c r="F157" s="99">
        <f t="shared" si="8"/>
        <v>2900</v>
      </c>
      <c r="G157" s="51" t="s">
        <v>3</v>
      </c>
      <c r="H157" s="48">
        <v>8</v>
      </c>
      <c r="I157" s="49" t="s">
        <v>47</v>
      </c>
      <c r="J157" s="184">
        <v>600</v>
      </c>
      <c r="K157" s="75">
        <v>360</v>
      </c>
      <c r="L157" s="75">
        <v>2900</v>
      </c>
      <c r="M157" s="202">
        <v>91.839513886382093</v>
      </c>
      <c r="N157" s="87">
        <v>8404.512977419492</v>
      </c>
      <c r="O157" s="123">
        <v>80432.064818403654</v>
      </c>
      <c r="P157" s="121">
        <v>94574.855814083014</v>
      </c>
      <c r="Q157" s="310">
        <v>39281.472333017329</v>
      </c>
      <c r="R157" s="319">
        <v>119713.53715142098</v>
      </c>
      <c r="S157" s="315">
        <v>133856.32814710034</v>
      </c>
      <c r="U157" s="7" t="s">
        <v>4584</v>
      </c>
    </row>
    <row r="158" spans="1:21" ht="16.5" thickBot="1">
      <c r="A158" s="50" t="s">
        <v>35</v>
      </c>
      <c r="B158" s="51">
        <f t="shared" si="6"/>
        <v>600</v>
      </c>
      <c r="C158" s="51" t="s">
        <v>3</v>
      </c>
      <c r="D158" s="51">
        <f t="shared" si="7"/>
        <v>360</v>
      </c>
      <c r="E158" s="51" t="s">
        <v>3</v>
      </c>
      <c r="F158" s="99">
        <f t="shared" si="8"/>
        <v>2950</v>
      </c>
      <c r="G158" s="51" t="s">
        <v>3</v>
      </c>
      <c r="H158" s="48">
        <v>8</v>
      </c>
      <c r="I158" s="49" t="s">
        <v>47</v>
      </c>
      <c r="J158" s="184">
        <v>600</v>
      </c>
      <c r="K158" s="75">
        <v>360</v>
      </c>
      <c r="L158" s="75">
        <v>2950</v>
      </c>
      <c r="M158" s="202">
        <v>93.308552295391095</v>
      </c>
      <c r="N158" s="87">
        <v>8569.3073495257577</v>
      </c>
      <c r="O158" s="123">
        <v>81683.004636225916</v>
      </c>
      <c r="P158" s="121">
        <v>96051.883839335016</v>
      </c>
      <c r="Q158" s="310">
        <v>39835.069474520256</v>
      </c>
      <c r="R158" s="319">
        <v>121518.07411074618</v>
      </c>
      <c r="S158" s="315">
        <v>135886.95331385528</v>
      </c>
      <c r="U158" s="7" t="s">
        <v>4585</v>
      </c>
    </row>
    <row r="159" spans="1:21" ht="16.5" thickBot="1">
      <c r="A159" s="50" t="s">
        <v>35</v>
      </c>
      <c r="B159" s="51">
        <f t="shared" si="6"/>
        <v>600</v>
      </c>
      <c r="C159" s="51" t="s">
        <v>3</v>
      </c>
      <c r="D159" s="51">
        <f t="shared" si="7"/>
        <v>360</v>
      </c>
      <c r="E159" s="51" t="s">
        <v>3</v>
      </c>
      <c r="F159" s="99">
        <f t="shared" si="8"/>
        <v>3000</v>
      </c>
      <c r="G159" s="51" t="s">
        <v>3</v>
      </c>
      <c r="H159" s="48">
        <v>8</v>
      </c>
      <c r="I159" s="49" t="s">
        <v>47</v>
      </c>
      <c r="J159" s="186">
        <v>600</v>
      </c>
      <c r="K159" s="147">
        <v>360</v>
      </c>
      <c r="L159" s="147">
        <v>3000</v>
      </c>
      <c r="M159" s="209">
        <v>94.798720304400121</v>
      </c>
      <c r="N159" s="148">
        <v>8734.1017216320197</v>
      </c>
      <c r="O159" s="149">
        <v>84109.101759906654</v>
      </c>
      <c r="P159" s="158">
        <v>97528.911864587004</v>
      </c>
      <c r="Q159" s="311">
        <v>40619.248393806454</v>
      </c>
      <c r="R159" s="320">
        <v>124728.35015371311</v>
      </c>
      <c r="S159" s="317">
        <v>138148.16025839344</v>
      </c>
      <c r="U159" s="7" t="s">
        <v>4586</v>
      </c>
    </row>
    <row r="160" spans="1:21">
      <c r="M160" s="94"/>
      <c r="P160" s="93"/>
      <c r="S160" s="93"/>
    </row>
    <row r="161" spans="13:19">
      <c r="M161" s="94"/>
      <c r="P161" s="93"/>
      <c r="S161" s="93"/>
    </row>
    <row r="162" spans="13:19">
      <c r="M162" s="94"/>
      <c r="P162" s="93"/>
      <c r="S162" s="93"/>
    </row>
    <row r="163" spans="13:19">
      <c r="M163" s="94"/>
      <c r="P163" s="93"/>
      <c r="S163" s="93"/>
    </row>
    <row r="164" spans="13:19">
      <c r="M164" s="94"/>
      <c r="P164" s="93"/>
      <c r="S164" s="93"/>
    </row>
    <row r="165" spans="13:19">
      <c r="M165" s="94"/>
      <c r="P165" s="93"/>
      <c r="S165" s="93"/>
    </row>
    <row r="166" spans="13:19">
      <c r="M166" s="94"/>
      <c r="P166" s="93"/>
      <c r="S166" s="93"/>
    </row>
    <row r="167" spans="13:19">
      <c r="M167" s="94"/>
      <c r="P167" s="93"/>
      <c r="S167" s="93"/>
    </row>
    <row r="168" spans="13:19">
      <c r="M168" s="94"/>
      <c r="P168" s="93"/>
      <c r="S168" s="93"/>
    </row>
    <row r="169" spans="13:19">
      <c r="M169" s="94"/>
      <c r="P169" s="93"/>
      <c r="S169" s="93"/>
    </row>
    <row r="170" spans="13:19">
      <c r="M170" s="94"/>
      <c r="P170" s="93"/>
      <c r="S170" s="93"/>
    </row>
    <row r="171" spans="13:19">
      <c r="M171" s="94"/>
      <c r="P171" s="93"/>
      <c r="S171" s="93"/>
    </row>
    <row r="172" spans="13:19">
      <c r="M172" s="94"/>
      <c r="P172" s="93"/>
      <c r="S172" s="93"/>
    </row>
    <row r="173" spans="13:19">
      <c r="M173" s="94"/>
      <c r="P173" s="93"/>
      <c r="S173" s="93"/>
    </row>
    <row r="174" spans="13:19">
      <c r="M174" s="94"/>
      <c r="P174" s="93"/>
      <c r="S174" s="93"/>
    </row>
    <row r="175" spans="13:19">
      <c r="M175" s="94"/>
      <c r="P175" s="93"/>
      <c r="S175" s="93"/>
    </row>
    <row r="176" spans="13:19">
      <c r="M176" s="94"/>
      <c r="P176" s="93"/>
      <c r="S176" s="93"/>
    </row>
    <row r="177" spans="13:19">
      <c r="M177" s="94"/>
      <c r="P177" s="93"/>
      <c r="S177" s="93"/>
    </row>
    <row r="178" spans="13:19">
      <c r="M178" s="94"/>
      <c r="P178" s="93"/>
      <c r="S178" s="93"/>
    </row>
    <row r="179" spans="13:19">
      <c r="M179" s="94"/>
      <c r="P179" s="93"/>
      <c r="S179" s="93"/>
    </row>
    <row r="180" spans="13:19">
      <c r="M180" s="94"/>
      <c r="P180" s="93"/>
      <c r="S180" s="93"/>
    </row>
    <row r="181" spans="13:19">
      <c r="M181" s="94"/>
      <c r="P181" s="93"/>
      <c r="S181" s="93"/>
    </row>
    <row r="182" spans="13:19">
      <c r="M182" s="94"/>
      <c r="P182" s="93"/>
      <c r="S182" s="93"/>
    </row>
    <row r="183" spans="13:19">
      <c r="M183" s="94"/>
      <c r="P183" s="93"/>
      <c r="S183" s="93"/>
    </row>
    <row r="184" spans="13:19">
      <c r="M184" s="94"/>
      <c r="P184" s="93"/>
      <c r="S184" s="93"/>
    </row>
    <row r="185" spans="13:19">
      <c r="M185" s="94"/>
      <c r="P185" s="93"/>
      <c r="S185" s="93"/>
    </row>
    <row r="186" spans="13:19">
      <c r="M186" s="94"/>
      <c r="P186" s="93"/>
      <c r="S186" s="93"/>
    </row>
    <row r="187" spans="13:19">
      <c r="M187" s="94"/>
      <c r="P187" s="93"/>
      <c r="S187" s="93"/>
    </row>
    <row r="188" spans="13:19">
      <c r="M188" s="94"/>
      <c r="P188" s="93"/>
      <c r="S188" s="93"/>
    </row>
    <row r="189" spans="13:19">
      <c r="M189" s="94"/>
      <c r="P189" s="93"/>
      <c r="S189" s="93"/>
    </row>
    <row r="190" spans="13:19">
      <c r="M190" s="94"/>
      <c r="P190" s="93"/>
      <c r="S190" s="93"/>
    </row>
    <row r="191" spans="13:19">
      <c r="M191" s="94"/>
      <c r="P191" s="93"/>
      <c r="S191" s="93"/>
    </row>
    <row r="192" spans="13:19">
      <c r="M192" s="94"/>
      <c r="P192" s="93"/>
      <c r="S192" s="93"/>
    </row>
    <row r="193" spans="13:19">
      <c r="M193" s="94"/>
      <c r="P193" s="93"/>
      <c r="S193" s="93"/>
    </row>
    <row r="194" spans="13:19">
      <c r="M194" s="94"/>
      <c r="P194" s="93"/>
      <c r="S194" s="93"/>
    </row>
    <row r="195" spans="13:19">
      <c r="M195" s="94"/>
      <c r="P195" s="93"/>
      <c r="S195" s="93"/>
    </row>
    <row r="196" spans="13:19">
      <c r="M196" s="94"/>
      <c r="P196" s="93"/>
      <c r="S196" s="93"/>
    </row>
    <row r="197" spans="13:19">
      <c r="M197" s="94"/>
      <c r="P197" s="93"/>
      <c r="S197" s="93"/>
    </row>
    <row r="198" spans="13:19">
      <c r="M198" s="94"/>
      <c r="P198" s="93"/>
      <c r="S198" s="93"/>
    </row>
    <row r="199" spans="13:19">
      <c r="M199" s="94"/>
      <c r="P199" s="93"/>
      <c r="S199" s="93"/>
    </row>
    <row r="200" spans="13:19">
      <c r="M200" s="94"/>
      <c r="P200" s="93"/>
      <c r="S200" s="93"/>
    </row>
    <row r="201" spans="13:19">
      <c r="M201" s="94"/>
      <c r="P201" s="93"/>
      <c r="S201" s="93"/>
    </row>
    <row r="202" spans="13:19">
      <c r="M202" s="94"/>
      <c r="P202" s="93"/>
      <c r="S202" s="93"/>
    </row>
    <row r="203" spans="13:19">
      <c r="M203" s="94"/>
      <c r="P203" s="93"/>
      <c r="S203" s="93"/>
    </row>
    <row r="204" spans="13:19">
      <c r="M204" s="94"/>
      <c r="P204" s="93"/>
      <c r="S204" s="93"/>
    </row>
    <row r="205" spans="13:19">
      <c r="M205" s="94"/>
      <c r="P205" s="93"/>
      <c r="S205" s="93"/>
    </row>
    <row r="206" spans="13:19">
      <c r="M206" s="94"/>
      <c r="P206" s="93"/>
      <c r="S206" s="93"/>
    </row>
    <row r="207" spans="13:19">
      <c r="M207" s="94"/>
      <c r="P207" s="93"/>
      <c r="S207" s="93"/>
    </row>
    <row r="208" spans="13:19">
      <c r="M208" s="94"/>
      <c r="P208" s="93"/>
      <c r="S208" s="93"/>
    </row>
    <row r="209" spans="13:19">
      <c r="M209" s="94"/>
      <c r="P209" s="93"/>
      <c r="S209" s="93"/>
    </row>
    <row r="210" spans="13:19">
      <c r="M210" s="94"/>
      <c r="P210" s="93"/>
      <c r="S210" s="93"/>
    </row>
    <row r="211" spans="13:19">
      <c r="M211" s="94"/>
      <c r="P211" s="93"/>
      <c r="S211" s="93"/>
    </row>
    <row r="212" spans="13:19">
      <c r="M212" s="94"/>
      <c r="P212" s="93"/>
      <c r="S212" s="93"/>
    </row>
    <row r="213" spans="13:19">
      <c r="M213" s="94"/>
      <c r="P213" s="93"/>
      <c r="S213" s="93"/>
    </row>
    <row r="214" spans="13:19">
      <c r="M214" s="94"/>
      <c r="P214" s="93"/>
      <c r="S214" s="93"/>
    </row>
    <row r="215" spans="13:19">
      <c r="M215" s="94"/>
      <c r="P215" s="93"/>
      <c r="S215" s="93"/>
    </row>
    <row r="216" spans="13:19">
      <c r="M216" s="94"/>
      <c r="P216" s="93"/>
      <c r="S216" s="93"/>
    </row>
    <row r="217" spans="13:19">
      <c r="M217" s="94"/>
      <c r="P217" s="93"/>
      <c r="S217" s="93"/>
    </row>
    <row r="218" spans="13:19">
      <c r="M218" s="94"/>
      <c r="P218" s="93"/>
      <c r="S218" s="93"/>
    </row>
    <row r="219" spans="13:19">
      <c r="M219" s="94"/>
      <c r="P219" s="93"/>
      <c r="S219" s="93"/>
    </row>
    <row r="220" spans="13:19">
      <c r="M220" s="94"/>
      <c r="P220" s="93"/>
      <c r="S220" s="93"/>
    </row>
    <row r="221" spans="13:19">
      <c r="M221" s="94"/>
      <c r="P221" s="93"/>
      <c r="S221" s="93"/>
    </row>
    <row r="222" spans="13:19">
      <c r="M222" s="94"/>
      <c r="P222" s="93"/>
      <c r="S222" s="93"/>
    </row>
    <row r="223" spans="13:19">
      <c r="M223" s="94"/>
      <c r="P223" s="93"/>
      <c r="S223" s="93"/>
    </row>
    <row r="224" spans="13:19">
      <c r="M224" s="94"/>
      <c r="P224" s="93"/>
      <c r="S224" s="93"/>
    </row>
    <row r="225" spans="13:19">
      <c r="M225" s="94"/>
      <c r="P225" s="93"/>
      <c r="S225" s="93"/>
    </row>
    <row r="226" spans="13:19">
      <c r="M226" s="94"/>
      <c r="P226" s="93"/>
      <c r="S226" s="93"/>
    </row>
    <row r="227" spans="13:19">
      <c r="M227" s="94"/>
      <c r="P227" s="93"/>
      <c r="S227" s="93"/>
    </row>
    <row r="228" spans="13:19">
      <c r="M228" s="94"/>
      <c r="P228" s="93"/>
      <c r="S228" s="93"/>
    </row>
    <row r="229" spans="13:19">
      <c r="M229" s="94"/>
      <c r="P229" s="93"/>
      <c r="S229" s="93"/>
    </row>
    <row r="230" spans="13:19">
      <c r="M230" s="94"/>
      <c r="P230" s="93"/>
      <c r="S230" s="93"/>
    </row>
    <row r="231" spans="13:19">
      <c r="M231" s="94"/>
      <c r="P231" s="93"/>
      <c r="S231" s="93"/>
    </row>
    <row r="232" spans="13:19">
      <c r="M232" s="94"/>
      <c r="P232" s="93"/>
      <c r="S232" s="93"/>
    </row>
    <row r="233" spans="13:19">
      <c r="M233" s="94"/>
      <c r="P233" s="93"/>
      <c r="S233" s="93"/>
    </row>
    <row r="234" spans="13:19">
      <c r="M234" s="94"/>
      <c r="P234" s="93"/>
      <c r="S234" s="93"/>
    </row>
    <row r="235" spans="13:19">
      <c r="M235" s="94"/>
      <c r="P235" s="93"/>
      <c r="S235" s="93"/>
    </row>
    <row r="236" spans="13:19">
      <c r="M236" s="94"/>
      <c r="P236" s="93"/>
      <c r="S236" s="93"/>
    </row>
    <row r="237" spans="13:19">
      <c r="M237" s="94"/>
      <c r="P237" s="93"/>
      <c r="S237" s="93"/>
    </row>
    <row r="238" spans="13:19">
      <c r="M238" s="94"/>
      <c r="P238" s="93"/>
      <c r="S238" s="93"/>
    </row>
    <row r="239" spans="13:19">
      <c r="M239" s="94"/>
      <c r="P239" s="93"/>
      <c r="S239" s="93"/>
    </row>
    <row r="240" spans="13:19">
      <c r="M240" s="94"/>
      <c r="P240" s="93"/>
      <c r="S240" s="93"/>
    </row>
    <row r="241" spans="13:19">
      <c r="M241" s="94"/>
      <c r="P241" s="93"/>
      <c r="S241" s="93"/>
    </row>
    <row r="242" spans="13:19">
      <c r="M242" s="94"/>
      <c r="P242" s="93"/>
      <c r="S242" s="93"/>
    </row>
    <row r="243" spans="13:19">
      <c r="M243" s="94"/>
      <c r="P243" s="93"/>
      <c r="S243" s="93"/>
    </row>
    <row r="244" spans="13:19">
      <c r="M244" s="94"/>
      <c r="P244" s="93"/>
      <c r="S244" s="93"/>
    </row>
    <row r="245" spans="13:19">
      <c r="M245" s="94"/>
      <c r="P245" s="93"/>
      <c r="S245" s="93"/>
    </row>
    <row r="246" spans="13:19">
      <c r="M246" s="94"/>
      <c r="P246" s="93"/>
      <c r="S246" s="93"/>
    </row>
    <row r="247" spans="13:19">
      <c r="M247" s="94"/>
      <c r="P247" s="93"/>
      <c r="S247" s="93"/>
    </row>
    <row r="248" spans="13:19">
      <c r="M248" s="94"/>
      <c r="P248" s="93"/>
      <c r="S248" s="93"/>
    </row>
    <row r="249" spans="13:19">
      <c r="M249" s="94"/>
      <c r="P249" s="93"/>
      <c r="S249" s="93"/>
    </row>
    <row r="250" spans="13:19">
      <c r="M250" s="94"/>
      <c r="P250" s="93"/>
      <c r="S250" s="93"/>
    </row>
    <row r="251" spans="13:19">
      <c r="M251" s="94"/>
      <c r="P251" s="93"/>
      <c r="S251" s="93"/>
    </row>
    <row r="252" spans="13:19">
      <c r="M252" s="94"/>
      <c r="P252" s="93"/>
      <c r="S252" s="93"/>
    </row>
    <row r="253" spans="13:19">
      <c r="M253" s="94"/>
      <c r="P253" s="93"/>
      <c r="S253" s="93"/>
    </row>
    <row r="254" spans="13:19">
      <c r="M254" s="94"/>
      <c r="P254" s="93"/>
      <c r="S254" s="93"/>
    </row>
    <row r="255" spans="13:19">
      <c r="M255" s="94"/>
      <c r="P255" s="93"/>
      <c r="S255" s="93"/>
    </row>
    <row r="256" spans="13:19">
      <c r="M256" s="94"/>
      <c r="P256" s="93"/>
      <c r="S256" s="93"/>
    </row>
    <row r="257" spans="13:19">
      <c r="M257" s="94"/>
      <c r="P257" s="93"/>
      <c r="S257" s="93"/>
    </row>
    <row r="258" spans="13:19">
      <c r="M258" s="94"/>
      <c r="P258" s="93"/>
      <c r="S258" s="93"/>
    </row>
    <row r="259" spans="13:19">
      <c r="M259" s="94"/>
      <c r="P259" s="93"/>
      <c r="S259" s="93"/>
    </row>
    <row r="260" spans="13:19">
      <c r="M260" s="94"/>
      <c r="P260" s="93"/>
      <c r="S260" s="93"/>
    </row>
    <row r="261" spans="13:19">
      <c r="M261" s="94"/>
      <c r="P261" s="93"/>
      <c r="S261" s="93"/>
    </row>
    <row r="262" spans="13:19">
      <c r="M262" s="94"/>
      <c r="P262" s="93"/>
      <c r="S262" s="93"/>
    </row>
    <row r="263" spans="13:19">
      <c r="M263" s="94"/>
      <c r="P263" s="93"/>
      <c r="S263" s="93"/>
    </row>
    <row r="264" spans="13:19">
      <c r="M264" s="94"/>
      <c r="P264" s="93"/>
      <c r="S264" s="93"/>
    </row>
    <row r="265" spans="13:19">
      <c r="M265" s="94"/>
      <c r="P265" s="93"/>
      <c r="S265" s="93"/>
    </row>
    <row r="266" spans="13:19">
      <c r="M266" s="94"/>
      <c r="P266" s="93"/>
      <c r="S266" s="93"/>
    </row>
    <row r="267" spans="13:19">
      <c r="M267" s="94"/>
      <c r="P267" s="93"/>
      <c r="S267" s="93"/>
    </row>
    <row r="268" spans="13:19">
      <c r="M268" s="94"/>
      <c r="P268" s="93"/>
      <c r="S268" s="93"/>
    </row>
    <row r="269" spans="13:19">
      <c r="M269" s="94"/>
      <c r="P269" s="93"/>
      <c r="S269" s="93"/>
    </row>
    <row r="270" spans="13:19">
      <c r="M270" s="94"/>
      <c r="P270" s="93"/>
      <c r="S270" s="93"/>
    </row>
    <row r="271" spans="13:19">
      <c r="M271" s="94"/>
      <c r="P271" s="93"/>
      <c r="S271" s="93"/>
    </row>
    <row r="272" spans="13:19">
      <c r="M272" s="94"/>
      <c r="P272" s="93"/>
      <c r="S272" s="93"/>
    </row>
    <row r="273" spans="13:19">
      <c r="M273" s="94"/>
      <c r="P273" s="93"/>
      <c r="S273" s="93"/>
    </row>
    <row r="274" spans="13:19">
      <c r="M274" s="94"/>
      <c r="P274" s="93"/>
      <c r="S274" s="93"/>
    </row>
    <row r="275" spans="13:19">
      <c r="M275" s="94"/>
      <c r="P275" s="93"/>
      <c r="S275" s="93"/>
    </row>
    <row r="276" spans="13:19">
      <c r="M276" s="94"/>
      <c r="P276" s="93"/>
      <c r="S276" s="93"/>
    </row>
    <row r="277" spans="13:19">
      <c r="M277" s="94"/>
      <c r="P277" s="93"/>
      <c r="S277" s="93"/>
    </row>
    <row r="278" spans="13:19">
      <c r="M278" s="94"/>
      <c r="P278" s="93"/>
      <c r="S278" s="93"/>
    </row>
    <row r="279" spans="13:19">
      <c r="M279" s="94"/>
      <c r="P279" s="93"/>
      <c r="S279" s="93"/>
    </row>
    <row r="280" spans="13:19">
      <c r="M280" s="94"/>
      <c r="P280" s="93"/>
      <c r="S280" s="93"/>
    </row>
    <row r="281" spans="13:19">
      <c r="M281" s="94"/>
      <c r="P281" s="93"/>
      <c r="S281" s="93"/>
    </row>
    <row r="282" spans="13:19">
      <c r="M282" s="94"/>
      <c r="P282" s="93"/>
      <c r="S282" s="93"/>
    </row>
    <row r="283" spans="13:19">
      <c r="M283" s="94"/>
      <c r="P283" s="93"/>
      <c r="S283" s="93"/>
    </row>
    <row r="284" spans="13:19">
      <c r="M284" s="94"/>
      <c r="P284" s="93"/>
      <c r="S284" s="93"/>
    </row>
    <row r="285" spans="13:19">
      <c r="M285" s="94"/>
      <c r="P285" s="93"/>
      <c r="S285" s="93"/>
    </row>
    <row r="286" spans="13:19">
      <c r="M286" s="94"/>
      <c r="P286" s="93"/>
      <c r="S286" s="93"/>
    </row>
    <row r="287" spans="13:19">
      <c r="M287" s="94"/>
      <c r="P287" s="93"/>
      <c r="S287" s="93"/>
    </row>
    <row r="288" spans="13:19">
      <c r="M288" s="94"/>
      <c r="P288" s="93"/>
      <c r="S288" s="93"/>
    </row>
    <row r="289" spans="13:19">
      <c r="M289" s="94"/>
      <c r="P289" s="93"/>
      <c r="S289" s="93"/>
    </row>
    <row r="290" spans="13:19">
      <c r="M290" s="94"/>
      <c r="P290" s="93"/>
      <c r="S290" s="93"/>
    </row>
    <row r="291" spans="13:19">
      <c r="M291" s="94"/>
      <c r="P291" s="93"/>
      <c r="S291" s="93"/>
    </row>
    <row r="292" spans="13:19">
      <c r="M292" s="94"/>
      <c r="P292" s="93"/>
      <c r="S292" s="93"/>
    </row>
    <row r="293" spans="13:19">
      <c r="M293" s="94"/>
      <c r="P293" s="93"/>
      <c r="S293" s="93"/>
    </row>
    <row r="294" spans="13:19">
      <c r="M294" s="94"/>
      <c r="P294" s="93"/>
      <c r="S294" s="93"/>
    </row>
    <row r="295" spans="13:19">
      <c r="M295" s="94"/>
      <c r="P295" s="93"/>
      <c r="S295" s="93"/>
    </row>
    <row r="296" spans="13:19">
      <c r="M296" s="94"/>
      <c r="P296" s="93"/>
      <c r="S296" s="93"/>
    </row>
    <row r="297" spans="13:19">
      <c r="M297" s="94"/>
      <c r="P297" s="93"/>
      <c r="S297" s="93"/>
    </row>
    <row r="298" spans="13:19">
      <c r="M298" s="94"/>
      <c r="P298" s="93"/>
      <c r="S298" s="93"/>
    </row>
    <row r="299" spans="13:19">
      <c r="M299" s="94"/>
      <c r="P299" s="93"/>
      <c r="S299" s="93"/>
    </row>
    <row r="300" spans="13:19">
      <c r="M300" s="94"/>
      <c r="P300" s="93"/>
      <c r="S300" s="93"/>
    </row>
    <row r="301" spans="13:19">
      <c r="M301" s="94"/>
      <c r="P301" s="93"/>
      <c r="S301" s="93"/>
    </row>
    <row r="302" spans="13:19">
      <c r="M302" s="94"/>
      <c r="P302" s="93"/>
      <c r="S302" s="93"/>
    </row>
    <row r="303" spans="13:19">
      <c r="M303" s="94"/>
      <c r="P303" s="93"/>
      <c r="S303" s="93"/>
    </row>
    <row r="304" spans="13:19">
      <c r="M304" s="94"/>
      <c r="P304" s="93"/>
      <c r="S304" s="93"/>
    </row>
    <row r="305" spans="13:19">
      <c r="M305" s="94"/>
      <c r="P305" s="93"/>
      <c r="S305" s="93"/>
    </row>
    <row r="306" spans="13:19">
      <c r="M306" s="94"/>
      <c r="P306" s="93"/>
      <c r="S306" s="93"/>
    </row>
    <row r="307" spans="13:19">
      <c r="M307" s="94"/>
      <c r="P307" s="93"/>
      <c r="S307" s="93"/>
    </row>
    <row r="308" spans="13:19">
      <c r="M308" s="94"/>
      <c r="P308" s="93"/>
      <c r="S308" s="93"/>
    </row>
    <row r="309" spans="13:19">
      <c r="M309" s="94"/>
      <c r="P309" s="93"/>
      <c r="S309" s="93"/>
    </row>
    <row r="310" spans="13:19">
      <c r="M310" s="94"/>
      <c r="P310" s="93"/>
      <c r="S310" s="93"/>
    </row>
    <row r="311" spans="13:19">
      <c r="M311" s="94"/>
      <c r="P311" s="93"/>
      <c r="S311" s="93"/>
    </row>
    <row r="312" spans="13:19">
      <c r="M312" s="94"/>
      <c r="P312" s="93"/>
      <c r="S312" s="93"/>
    </row>
    <row r="313" spans="13:19">
      <c r="M313" s="94"/>
      <c r="P313" s="93"/>
      <c r="S313" s="93"/>
    </row>
    <row r="314" spans="13:19">
      <c r="M314" s="94"/>
      <c r="P314" s="93"/>
      <c r="S314" s="93"/>
    </row>
    <row r="315" spans="13:19">
      <c r="M315" s="94"/>
      <c r="P315" s="93"/>
      <c r="S315" s="93"/>
    </row>
    <row r="316" spans="13:19">
      <c r="M316" s="94"/>
      <c r="P316" s="93"/>
      <c r="S316" s="93"/>
    </row>
    <row r="317" spans="13:19">
      <c r="M317" s="94"/>
      <c r="P317" s="93"/>
      <c r="S317" s="93"/>
    </row>
    <row r="318" spans="13:19">
      <c r="M318" s="94"/>
      <c r="P318" s="93"/>
      <c r="S318" s="93"/>
    </row>
    <row r="319" spans="13:19">
      <c r="M319" s="94"/>
      <c r="P319" s="93"/>
      <c r="S319" s="93"/>
    </row>
    <row r="320" spans="13:19">
      <c r="M320" s="94"/>
      <c r="P320" s="93"/>
      <c r="S320" s="93"/>
    </row>
    <row r="321" spans="13:19">
      <c r="M321" s="94"/>
      <c r="P321" s="93"/>
      <c r="S321" s="93"/>
    </row>
    <row r="322" spans="13:19">
      <c r="M322" s="94"/>
      <c r="P322" s="93"/>
      <c r="S322" s="93"/>
    </row>
    <row r="323" spans="13:19">
      <c r="M323" s="94"/>
      <c r="P323" s="93"/>
      <c r="S323" s="93"/>
    </row>
    <row r="324" spans="13:19">
      <c r="M324" s="94"/>
      <c r="P324" s="93"/>
      <c r="S324" s="93"/>
    </row>
    <row r="325" spans="13:19">
      <c r="M325" s="94"/>
      <c r="P325" s="93"/>
      <c r="S325" s="93"/>
    </row>
    <row r="326" spans="13:19">
      <c r="M326" s="94"/>
      <c r="P326" s="93"/>
      <c r="S326" s="93"/>
    </row>
    <row r="327" spans="13:19">
      <c r="M327" s="94"/>
      <c r="P327" s="93"/>
      <c r="S327" s="93"/>
    </row>
    <row r="328" spans="13:19">
      <c r="M328" s="94"/>
      <c r="P328" s="93"/>
      <c r="S328" s="93"/>
    </row>
    <row r="329" spans="13:19">
      <c r="M329" s="94"/>
      <c r="P329" s="93"/>
      <c r="S329" s="93"/>
    </row>
    <row r="330" spans="13:19">
      <c r="M330" s="94"/>
      <c r="P330" s="93"/>
      <c r="S330" s="93"/>
    </row>
    <row r="331" spans="13:19">
      <c r="M331" s="94"/>
      <c r="P331" s="93"/>
      <c r="S331" s="93"/>
    </row>
    <row r="332" spans="13:19">
      <c r="M332" s="94"/>
      <c r="P332" s="93"/>
      <c r="S332" s="93"/>
    </row>
    <row r="333" spans="13:19">
      <c r="M333" s="94"/>
      <c r="P333" s="93"/>
      <c r="S333" s="93"/>
    </row>
    <row r="334" spans="13:19">
      <c r="M334" s="94"/>
      <c r="P334" s="93"/>
      <c r="S334" s="93"/>
    </row>
    <row r="335" spans="13:19">
      <c r="M335" s="94"/>
      <c r="P335" s="93"/>
      <c r="S335" s="93"/>
    </row>
    <row r="336" spans="13:19">
      <c r="M336" s="94"/>
      <c r="P336" s="93"/>
      <c r="S336" s="93"/>
    </row>
    <row r="337" spans="13:19">
      <c r="M337" s="94"/>
      <c r="P337" s="93"/>
      <c r="S337" s="93"/>
    </row>
    <row r="338" spans="13:19">
      <c r="M338" s="94"/>
      <c r="P338" s="93"/>
      <c r="S338" s="93"/>
    </row>
    <row r="339" spans="13:19">
      <c r="M339" s="94"/>
      <c r="P339" s="93"/>
      <c r="S339" s="93"/>
    </row>
    <row r="340" spans="13:19">
      <c r="M340" s="94"/>
      <c r="P340" s="93"/>
      <c r="S340" s="93"/>
    </row>
    <row r="341" spans="13:19">
      <c r="M341" s="94"/>
      <c r="P341" s="93"/>
      <c r="S341" s="93"/>
    </row>
    <row r="342" spans="13:19">
      <c r="M342" s="94"/>
      <c r="P342" s="93"/>
      <c r="S342" s="93"/>
    </row>
    <row r="343" spans="13:19">
      <c r="M343" s="94"/>
      <c r="P343" s="93"/>
      <c r="S343" s="93"/>
    </row>
    <row r="344" spans="13:19">
      <c r="M344" s="94"/>
      <c r="P344" s="93"/>
      <c r="S344" s="93"/>
    </row>
    <row r="345" spans="13:19">
      <c r="M345" s="94"/>
      <c r="P345" s="93"/>
      <c r="S345" s="93"/>
    </row>
    <row r="346" spans="13:19">
      <c r="M346" s="94"/>
      <c r="P346" s="93"/>
      <c r="S346" s="93"/>
    </row>
    <row r="347" spans="13:19">
      <c r="M347" s="94"/>
      <c r="P347" s="93"/>
      <c r="S347" s="93"/>
    </row>
    <row r="348" spans="13:19">
      <c r="M348" s="94"/>
      <c r="P348" s="93"/>
      <c r="S348" s="93"/>
    </row>
    <row r="349" spans="13:19">
      <c r="M349" s="94"/>
      <c r="P349" s="93"/>
      <c r="S349" s="93"/>
    </row>
    <row r="350" spans="13:19">
      <c r="M350" s="94"/>
      <c r="P350" s="93"/>
      <c r="S350" s="93"/>
    </row>
    <row r="351" spans="13:19">
      <c r="M351" s="94"/>
      <c r="P351" s="93"/>
      <c r="S351" s="93"/>
    </row>
    <row r="352" spans="13:19">
      <c r="M352" s="94"/>
      <c r="P352" s="93"/>
      <c r="S352" s="93"/>
    </row>
    <row r="353" spans="13:19">
      <c r="M353" s="94"/>
      <c r="P353" s="93"/>
      <c r="S353" s="93"/>
    </row>
    <row r="354" spans="13:19">
      <c r="M354" s="94"/>
      <c r="P354" s="93"/>
      <c r="S354" s="93"/>
    </row>
    <row r="355" spans="13:19">
      <c r="M355" s="94"/>
      <c r="P355" s="93"/>
      <c r="S355" s="93"/>
    </row>
    <row r="356" spans="13:19">
      <c r="M356" s="94"/>
      <c r="P356" s="93"/>
      <c r="S356" s="93"/>
    </row>
    <row r="357" spans="13:19">
      <c r="M357" s="94"/>
      <c r="P357" s="93"/>
      <c r="S357" s="93"/>
    </row>
    <row r="358" spans="13:19">
      <c r="M358" s="94"/>
      <c r="P358" s="93"/>
      <c r="S358" s="93"/>
    </row>
    <row r="359" spans="13:19">
      <c r="M359" s="94"/>
      <c r="P359" s="93"/>
      <c r="S359" s="93"/>
    </row>
    <row r="360" spans="13:19">
      <c r="M360" s="94"/>
      <c r="P360" s="93"/>
      <c r="S360" s="93"/>
    </row>
    <row r="361" spans="13:19">
      <c r="M361" s="94"/>
      <c r="P361" s="93"/>
      <c r="S361" s="93"/>
    </row>
    <row r="362" spans="13:19">
      <c r="M362" s="94"/>
      <c r="P362" s="93"/>
      <c r="S362" s="93"/>
    </row>
    <row r="363" spans="13:19">
      <c r="M363" s="94"/>
      <c r="P363" s="93"/>
      <c r="S363" s="93"/>
    </row>
    <row r="364" spans="13:19">
      <c r="M364" s="94"/>
      <c r="P364" s="93"/>
      <c r="S364" s="93"/>
    </row>
    <row r="365" spans="13:19">
      <c r="P365" s="93"/>
      <c r="S365" s="93"/>
    </row>
    <row r="366" spans="13:19">
      <c r="P366" s="93"/>
      <c r="S366" s="93"/>
    </row>
    <row r="367" spans="13:19">
      <c r="P367" s="93"/>
      <c r="S367" s="93"/>
    </row>
    <row r="368" spans="13:19">
      <c r="P368" s="93"/>
      <c r="S368" s="93"/>
    </row>
    <row r="369" spans="16:19">
      <c r="P369" s="93"/>
      <c r="S369" s="93"/>
    </row>
    <row r="370" spans="16:19">
      <c r="P370" s="93"/>
      <c r="S370" s="93"/>
    </row>
    <row r="371" spans="16:19">
      <c r="P371" s="93"/>
      <c r="S371" s="93"/>
    </row>
    <row r="372" spans="16:19">
      <c r="P372" s="93"/>
      <c r="S372" s="93"/>
    </row>
    <row r="373" spans="16:19">
      <c r="P373" s="93"/>
      <c r="S373" s="93"/>
    </row>
    <row r="374" spans="16:19">
      <c r="P374" s="93"/>
      <c r="S374" s="93"/>
    </row>
    <row r="375" spans="16:19">
      <c r="P375" s="93"/>
      <c r="S375" s="93"/>
    </row>
    <row r="376" spans="16:19">
      <c r="P376" s="93"/>
      <c r="S376" s="93"/>
    </row>
    <row r="377" spans="16:19">
      <c r="P377" s="93"/>
      <c r="S377" s="93"/>
    </row>
    <row r="378" spans="16:19">
      <c r="P378" s="93"/>
      <c r="S378" s="93"/>
    </row>
    <row r="379" spans="16:19">
      <c r="P379" s="93"/>
      <c r="S379" s="93"/>
    </row>
    <row r="380" spans="16:19">
      <c r="P380" s="93"/>
      <c r="S380" s="93"/>
    </row>
    <row r="381" spans="16:19">
      <c r="P381" s="93"/>
      <c r="S381" s="93"/>
    </row>
    <row r="382" spans="16:19">
      <c r="P382" s="93"/>
      <c r="S382" s="93"/>
    </row>
    <row r="383" spans="16:19">
      <c r="P383" s="93"/>
      <c r="S383" s="93"/>
    </row>
    <row r="384" spans="16:19">
      <c r="P384" s="93"/>
      <c r="S384" s="93"/>
    </row>
    <row r="385" spans="16:19">
      <c r="P385" s="93"/>
      <c r="S385" s="93"/>
    </row>
    <row r="386" spans="16:19">
      <c r="P386" s="93"/>
      <c r="S386" s="93"/>
    </row>
    <row r="387" spans="16:19">
      <c r="P387" s="93"/>
      <c r="S387" s="93"/>
    </row>
    <row r="388" spans="16:19">
      <c r="P388" s="93"/>
      <c r="S388" s="93"/>
    </row>
    <row r="389" spans="16:19">
      <c r="P389" s="93"/>
      <c r="S389" s="93"/>
    </row>
    <row r="390" spans="16:19">
      <c r="P390" s="93"/>
      <c r="S390" s="93"/>
    </row>
    <row r="391" spans="16:19">
      <c r="P391" s="93"/>
      <c r="S391" s="93"/>
    </row>
    <row r="392" spans="16:19">
      <c r="P392" s="93"/>
      <c r="S392" s="93"/>
    </row>
    <row r="393" spans="16:19">
      <c r="P393" s="93"/>
      <c r="S393" s="93"/>
    </row>
    <row r="394" spans="16:19">
      <c r="P394" s="93"/>
      <c r="S394" s="93"/>
    </row>
    <row r="395" spans="16:19">
      <c r="P395" s="93"/>
      <c r="S395" s="93"/>
    </row>
    <row r="396" spans="16:19">
      <c r="P396" s="93"/>
      <c r="S396" s="93"/>
    </row>
    <row r="397" spans="16:19">
      <c r="P397" s="93"/>
      <c r="S397" s="93"/>
    </row>
    <row r="398" spans="16:19">
      <c r="P398" s="93"/>
      <c r="S398" s="93"/>
    </row>
    <row r="399" spans="16:19">
      <c r="P399" s="93"/>
      <c r="S399" s="93"/>
    </row>
    <row r="400" spans="16:19">
      <c r="P400" s="93"/>
      <c r="S400" s="93"/>
    </row>
    <row r="401" spans="16:19">
      <c r="P401" s="93"/>
      <c r="S401" s="93"/>
    </row>
    <row r="402" spans="16:19">
      <c r="P402" s="93"/>
      <c r="S402" s="93"/>
    </row>
    <row r="403" spans="16:19">
      <c r="P403" s="93"/>
      <c r="S403" s="93"/>
    </row>
    <row r="404" spans="16:19">
      <c r="P404" s="93"/>
      <c r="S404" s="93"/>
    </row>
    <row r="405" spans="16:19">
      <c r="P405" s="93"/>
      <c r="S405" s="93"/>
    </row>
    <row r="406" spans="16:19">
      <c r="P406" s="93"/>
      <c r="S406" s="93"/>
    </row>
    <row r="407" spans="16:19">
      <c r="P407" s="93"/>
      <c r="S407" s="93"/>
    </row>
    <row r="408" spans="16:19">
      <c r="P408" s="93"/>
      <c r="S408" s="93"/>
    </row>
    <row r="409" spans="16:19">
      <c r="P409" s="93"/>
      <c r="S409" s="93"/>
    </row>
    <row r="410" spans="16:19">
      <c r="P410" s="93"/>
      <c r="S410" s="93"/>
    </row>
    <row r="411" spans="16:19">
      <c r="P411" s="93"/>
      <c r="S411" s="93"/>
    </row>
    <row r="412" spans="16:19">
      <c r="P412" s="93"/>
      <c r="S412" s="93"/>
    </row>
    <row r="413" spans="16:19">
      <c r="P413" s="93"/>
      <c r="S413" s="93"/>
    </row>
    <row r="414" spans="16:19">
      <c r="P414" s="93"/>
      <c r="S414" s="93"/>
    </row>
    <row r="415" spans="16:19">
      <c r="P415" s="93"/>
      <c r="S415" s="93"/>
    </row>
    <row r="416" spans="16:19">
      <c r="P416" s="93"/>
      <c r="S416" s="93"/>
    </row>
    <row r="417" spans="16:19">
      <c r="P417" s="93"/>
      <c r="S417" s="93"/>
    </row>
    <row r="418" spans="16:19">
      <c r="P418" s="93"/>
      <c r="S418" s="93"/>
    </row>
    <row r="419" spans="16:19">
      <c r="P419" s="93"/>
      <c r="S419" s="93"/>
    </row>
    <row r="420" spans="16:19">
      <c r="P420" s="93"/>
      <c r="S420" s="93"/>
    </row>
    <row r="421" spans="16:19">
      <c r="P421" s="93"/>
      <c r="S421" s="93"/>
    </row>
    <row r="422" spans="16:19">
      <c r="P422" s="93"/>
      <c r="S422" s="93"/>
    </row>
    <row r="423" spans="16:19">
      <c r="P423" s="93"/>
      <c r="S423" s="93"/>
    </row>
    <row r="424" spans="16:19">
      <c r="P424" s="93"/>
      <c r="S424" s="93"/>
    </row>
    <row r="425" spans="16:19">
      <c r="P425" s="93"/>
      <c r="S425" s="93"/>
    </row>
    <row r="426" spans="16:19">
      <c r="P426" s="93"/>
      <c r="S426" s="93"/>
    </row>
    <row r="427" spans="16:19">
      <c r="P427" s="93"/>
      <c r="S427" s="93"/>
    </row>
    <row r="428" spans="16:19">
      <c r="P428" s="93"/>
      <c r="S428" s="93"/>
    </row>
    <row r="429" spans="16:19">
      <c r="P429" s="93"/>
      <c r="S429" s="93"/>
    </row>
    <row r="430" spans="16:19">
      <c r="P430" s="93"/>
      <c r="S430" s="93"/>
    </row>
    <row r="431" spans="16:19">
      <c r="P431" s="93"/>
      <c r="S431" s="93"/>
    </row>
    <row r="432" spans="16:19">
      <c r="P432" s="93"/>
      <c r="S432" s="93"/>
    </row>
    <row r="433" spans="16:19">
      <c r="P433" s="93"/>
      <c r="S433" s="93"/>
    </row>
    <row r="434" spans="16:19">
      <c r="P434" s="93"/>
      <c r="S434" s="93"/>
    </row>
    <row r="435" spans="16:19">
      <c r="P435" s="93"/>
      <c r="S435" s="93"/>
    </row>
    <row r="436" spans="16:19">
      <c r="P436" s="93"/>
      <c r="S436" s="93"/>
    </row>
    <row r="437" spans="16:19">
      <c r="P437" s="93"/>
      <c r="S437" s="93"/>
    </row>
    <row r="438" spans="16:19">
      <c r="P438" s="93"/>
      <c r="S438" s="93"/>
    </row>
    <row r="439" spans="16:19">
      <c r="P439" s="93"/>
      <c r="S439" s="93"/>
    </row>
    <row r="440" spans="16:19">
      <c r="P440" s="93"/>
      <c r="S440" s="93"/>
    </row>
    <row r="441" spans="16:19">
      <c r="P441" s="93"/>
      <c r="S441" s="93"/>
    </row>
    <row r="442" spans="16:19">
      <c r="P442" s="93"/>
      <c r="S442" s="93"/>
    </row>
    <row r="443" spans="16:19">
      <c r="P443" s="93"/>
      <c r="S443" s="93"/>
    </row>
    <row r="444" spans="16:19">
      <c r="P444" s="93"/>
      <c r="S444" s="93"/>
    </row>
    <row r="445" spans="16:19">
      <c r="P445" s="93"/>
      <c r="S445" s="93"/>
    </row>
    <row r="446" spans="16:19">
      <c r="P446" s="93"/>
      <c r="S446" s="93"/>
    </row>
    <row r="447" spans="16:19">
      <c r="P447" s="93"/>
      <c r="S447" s="93"/>
    </row>
    <row r="448" spans="16:19">
      <c r="P448" s="93"/>
      <c r="S448" s="93"/>
    </row>
    <row r="449" spans="16:19">
      <c r="P449" s="93"/>
      <c r="S449" s="93"/>
    </row>
    <row r="450" spans="16:19">
      <c r="P450" s="93"/>
      <c r="S450" s="93"/>
    </row>
    <row r="451" spans="16:19">
      <c r="P451" s="93"/>
      <c r="S451" s="93"/>
    </row>
    <row r="452" spans="16:19">
      <c r="P452" s="93"/>
      <c r="S452" s="93"/>
    </row>
    <row r="453" spans="16:19">
      <c r="P453" s="93"/>
      <c r="S453" s="93"/>
    </row>
    <row r="454" spans="16:19">
      <c r="P454" s="93"/>
      <c r="S454" s="93"/>
    </row>
    <row r="455" spans="16:19">
      <c r="P455" s="93"/>
      <c r="S455" s="93"/>
    </row>
    <row r="456" spans="16:19">
      <c r="P456" s="93"/>
      <c r="S456" s="93"/>
    </row>
    <row r="457" spans="16:19">
      <c r="P457" s="93"/>
      <c r="S457" s="93"/>
    </row>
    <row r="458" spans="16:19">
      <c r="P458" s="93"/>
      <c r="S458" s="93"/>
    </row>
    <row r="459" spans="16:19">
      <c r="P459" s="93"/>
      <c r="S459" s="93"/>
    </row>
    <row r="460" spans="16:19">
      <c r="P460" s="93"/>
      <c r="S460" s="93"/>
    </row>
    <row r="461" spans="16:19">
      <c r="P461" s="93"/>
      <c r="S461" s="93"/>
    </row>
    <row r="462" spans="16:19">
      <c r="P462" s="93"/>
      <c r="S462" s="93"/>
    </row>
    <row r="463" spans="16:19">
      <c r="P463" s="93"/>
      <c r="S463" s="93"/>
    </row>
    <row r="464" spans="16:19">
      <c r="P464" s="93"/>
      <c r="S464" s="93"/>
    </row>
    <row r="465" spans="16:19">
      <c r="P465" s="93"/>
      <c r="S465" s="93"/>
    </row>
    <row r="466" spans="16:19">
      <c r="P466" s="93"/>
      <c r="S466" s="93"/>
    </row>
  </sheetData>
  <mergeCells count="15">
    <mergeCell ref="A109:S109"/>
    <mergeCell ref="A110:S110"/>
    <mergeCell ref="A7:S7"/>
    <mergeCell ref="A59:S59"/>
    <mergeCell ref="Q4:Q5"/>
    <mergeCell ref="R4:R5"/>
    <mergeCell ref="S4:S5"/>
    <mergeCell ref="O6:S6"/>
    <mergeCell ref="A58:S58"/>
    <mergeCell ref="A4:I6"/>
    <mergeCell ref="J4:M5"/>
    <mergeCell ref="N4:N6"/>
    <mergeCell ref="O4:O5"/>
    <mergeCell ref="P4:P5"/>
    <mergeCell ref="A8:S8"/>
  </mergeCells>
  <hyperlinks>
    <hyperlink ref="A1:I1" location="Главная!A1" display="Вернуться на главную страницу" xr:uid="{00000000-0004-0000-1C00-000000000000}"/>
    <hyperlink ref="A2" location="'Калькулятор теплоотдач ВК'!R1C1" display="Вернуться Калькулятор теплоотдач ВК" xr:uid="{00000000-0004-0000-1C00-000001000000}"/>
  </hyperlink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2B539-C298-4E5B-A5EF-83E79DC42F6C}">
  <sheetPr>
    <tabColor rgb="FFFF9900"/>
  </sheetPr>
  <dimension ref="A1:U312"/>
  <sheetViews>
    <sheetView zoomScale="70" zoomScaleNormal="70" workbookViewId="0">
      <selection activeCell="U2" sqref="U2"/>
    </sheetView>
  </sheetViews>
  <sheetFormatPr defaultRowHeight="15"/>
  <cols>
    <col min="1" max="1" width="10" customWidth="1"/>
    <col min="2" max="2" width="6" customWidth="1"/>
    <col min="3" max="3" width="3" customWidth="1"/>
    <col min="4" max="4" width="6" customWidth="1"/>
    <col min="5" max="5" width="3" customWidth="1"/>
    <col min="6" max="6" width="7.7109375" customWidth="1"/>
    <col min="7" max="7" width="3" customWidth="1"/>
    <col min="8" max="8" width="6" customWidth="1"/>
    <col min="9" max="9" width="4.5703125" customWidth="1"/>
    <col min="10" max="12" width="11.28515625" customWidth="1"/>
    <col min="13" max="13" width="15.5703125" customWidth="1"/>
    <col min="14" max="14" width="19.140625" customWidth="1"/>
    <col min="15" max="16" width="27.7109375" customWidth="1"/>
    <col min="17" max="17" width="26.28515625" customWidth="1"/>
    <col min="18" max="19" width="27.7109375" customWidth="1"/>
    <col min="21" max="21" width="27.140625" customWidth="1"/>
  </cols>
  <sheetData>
    <row r="1" spans="1:21" ht="15.75">
      <c r="A1" s="1306" t="s">
        <v>9</v>
      </c>
      <c r="B1" s="1306"/>
      <c r="C1" s="1306"/>
      <c r="D1" s="1306"/>
      <c r="E1" s="1306"/>
      <c r="F1" s="97"/>
      <c r="G1" s="1306"/>
      <c r="H1" s="1306"/>
      <c r="I1" s="1306"/>
      <c r="J1" s="7"/>
      <c r="K1" s="96"/>
      <c r="L1" s="96"/>
      <c r="M1" s="175"/>
      <c r="N1" s="7"/>
      <c r="O1" s="117"/>
      <c r="P1" s="117"/>
      <c r="Q1" s="117"/>
      <c r="R1" s="117"/>
      <c r="S1" s="117"/>
    </row>
    <row r="2" spans="1:21" ht="15.75">
      <c r="A2" s="956" t="s">
        <v>378</v>
      </c>
      <c r="B2" s="1306"/>
      <c r="C2" s="1306"/>
      <c r="D2" s="1306"/>
      <c r="E2" s="1306"/>
      <c r="F2" s="97"/>
      <c r="G2" s="1306"/>
      <c r="H2" s="1306"/>
      <c r="I2" s="1306"/>
      <c r="J2" s="7"/>
      <c r="K2" s="96"/>
      <c r="L2" s="96"/>
      <c r="M2" s="175"/>
      <c r="N2" s="7"/>
      <c r="O2" s="117"/>
      <c r="P2" s="117"/>
      <c r="Q2" s="117"/>
      <c r="R2" s="117"/>
      <c r="S2" s="117"/>
      <c r="U2" s="74"/>
    </row>
    <row r="3" spans="1:21" ht="16.5" thickBot="1">
      <c r="A3" s="16"/>
      <c r="B3" s="16"/>
      <c r="C3" s="16"/>
      <c r="D3" s="16"/>
      <c r="E3" s="16"/>
      <c r="F3" s="109"/>
      <c r="G3" s="16"/>
      <c r="H3" s="16"/>
      <c r="I3" s="16"/>
      <c r="J3" s="16"/>
      <c r="K3" s="108"/>
      <c r="L3" s="108"/>
      <c r="M3" s="175"/>
      <c r="N3" s="7"/>
      <c r="O3" s="116"/>
      <c r="P3" s="116"/>
      <c r="Q3" s="117"/>
      <c r="R3" s="117"/>
      <c r="S3" s="117"/>
    </row>
    <row r="4" spans="1:21" ht="69.75" customHeight="1">
      <c r="A4" s="2665" t="s">
        <v>8</v>
      </c>
      <c r="B4" s="2666"/>
      <c r="C4" s="2666"/>
      <c r="D4" s="2666"/>
      <c r="E4" s="2666"/>
      <c r="F4" s="2666"/>
      <c r="G4" s="2666"/>
      <c r="H4" s="2666"/>
      <c r="I4" s="2667"/>
      <c r="J4" s="2674" t="s">
        <v>97</v>
      </c>
      <c r="K4" s="2675"/>
      <c r="L4" s="2675"/>
      <c r="M4" s="2676"/>
      <c r="N4" s="2680" t="s">
        <v>96</v>
      </c>
      <c r="O4" s="2683" t="s">
        <v>170</v>
      </c>
      <c r="P4" s="2617" t="s">
        <v>166</v>
      </c>
      <c r="Q4" s="2683" t="s">
        <v>171</v>
      </c>
      <c r="R4" s="2685" t="s">
        <v>460</v>
      </c>
      <c r="S4" s="2590" t="s">
        <v>461</v>
      </c>
    </row>
    <row r="5" spans="1:21" ht="69.75" customHeight="1" thickBot="1">
      <c r="A5" s="2668"/>
      <c r="B5" s="2669"/>
      <c r="C5" s="2669"/>
      <c r="D5" s="2669"/>
      <c r="E5" s="2669"/>
      <c r="F5" s="2669"/>
      <c r="G5" s="2669"/>
      <c r="H5" s="2669"/>
      <c r="I5" s="2670"/>
      <c r="J5" s="2677"/>
      <c r="K5" s="2678"/>
      <c r="L5" s="2678"/>
      <c r="M5" s="2679"/>
      <c r="N5" s="2681"/>
      <c r="O5" s="2684"/>
      <c r="P5" s="2618"/>
      <c r="Q5" s="2684"/>
      <c r="R5" s="2686"/>
      <c r="S5" s="2591"/>
    </row>
    <row r="6" spans="1:21" ht="61.5" customHeight="1" thickBot="1">
      <c r="A6" s="2671"/>
      <c r="B6" s="2672"/>
      <c r="C6" s="2672"/>
      <c r="D6" s="2672"/>
      <c r="E6" s="2672"/>
      <c r="F6" s="2672"/>
      <c r="G6" s="2672"/>
      <c r="H6" s="2672"/>
      <c r="I6" s="2673"/>
      <c r="J6" s="1308" t="s">
        <v>0</v>
      </c>
      <c r="K6" s="1309" t="s">
        <v>1</v>
      </c>
      <c r="L6" s="1309" t="s">
        <v>2</v>
      </c>
      <c r="M6" s="1310" t="s">
        <v>94</v>
      </c>
      <c r="N6" s="2682"/>
      <c r="O6" s="2687" t="s">
        <v>169</v>
      </c>
      <c r="P6" s="2688"/>
      <c r="Q6" s="2688"/>
      <c r="R6" s="2688"/>
      <c r="S6" s="2689"/>
    </row>
    <row r="7" spans="1:21" ht="21.75" thickBot="1">
      <c r="A7" s="2580" t="s">
        <v>520</v>
      </c>
      <c r="B7" s="2581"/>
      <c r="C7" s="2581"/>
      <c r="D7" s="2581"/>
      <c r="E7" s="2581"/>
      <c r="F7" s="2581"/>
      <c r="G7" s="2581"/>
      <c r="H7" s="2581"/>
      <c r="I7" s="2581"/>
      <c r="J7" s="2657"/>
      <c r="K7" s="2657"/>
      <c r="L7" s="2657"/>
      <c r="M7" s="2657"/>
      <c r="N7" s="2657"/>
      <c r="O7" s="2657"/>
      <c r="P7" s="2657"/>
      <c r="Q7" s="2657"/>
      <c r="R7" s="2657"/>
      <c r="S7" s="2658"/>
    </row>
    <row r="8" spans="1:21" ht="16.5" thickBot="1">
      <c r="A8" s="2583" t="s">
        <v>4587</v>
      </c>
      <c r="B8" s="2584"/>
      <c r="C8" s="2584"/>
      <c r="D8" s="2584"/>
      <c r="E8" s="2584"/>
      <c r="F8" s="2584"/>
      <c r="G8" s="2584"/>
      <c r="H8" s="2584"/>
      <c r="I8" s="2584"/>
      <c r="J8" s="2584"/>
      <c r="K8" s="2584"/>
      <c r="L8" s="2584"/>
      <c r="M8" s="2584"/>
      <c r="N8" s="2584"/>
      <c r="O8" s="2584"/>
      <c r="P8" s="2584"/>
      <c r="Q8" s="2584"/>
      <c r="R8" s="2632"/>
      <c r="S8" s="2633"/>
    </row>
    <row r="9" spans="1:21" ht="16.5" thickBot="1">
      <c r="A9" s="1311" t="s">
        <v>4588</v>
      </c>
      <c r="B9" s="1312">
        <f>J9</f>
        <v>90</v>
      </c>
      <c r="C9" s="1312" t="s">
        <v>3</v>
      </c>
      <c r="D9" s="1312">
        <f>K9</f>
        <v>200</v>
      </c>
      <c r="E9" s="1312" t="s">
        <v>3</v>
      </c>
      <c r="F9" s="1313">
        <f>L9</f>
        <v>600</v>
      </c>
      <c r="G9" s="1312" t="s">
        <v>3</v>
      </c>
      <c r="H9" s="1312">
        <v>2</v>
      </c>
      <c r="I9" s="1314" t="s">
        <v>45</v>
      </c>
      <c r="J9" s="181">
        <v>90</v>
      </c>
      <c r="K9" s="143">
        <v>200</v>
      </c>
      <c r="L9" s="143">
        <v>600</v>
      </c>
      <c r="M9" s="182">
        <v>6.353469893680507</v>
      </c>
      <c r="N9" s="144">
        <v>120.6</v>
      </c>
      <c r="O9" s="169">
        <v>13396.178391937539</v>
      </c>
      <c r="P9" s="188">
        <v>15917.189431089942</v>
      </c>
      <c r="Q9" s="309">
        <v>6535.0358533845019</v>
      </c>
      <c r="R9" s="312">
        <v>19931.21424532204</v>
      </c>
      <c r="S9" s="313">
        <v>22452.225284474443</v>
      </c>
      <c r="U9" s="7" t="s">
        <v>4591</v>
      </c>
    </row>
    <row r="10" spans="1:21" ht="16.5" thickBot="1">
      <c r="A10" s="1311" t="s">
        <v>4588</v>
      </c>
      <c r="B10" s="1315">
        <f t="shared" ref="B10:B57" si="0">J10</f>
        <v>90</v>
      </c>
      <c r="C10" s="1315" t="s">
        <v>3</v>
      </c>
      <c r="D10" s="1315">
        <f t="shared" ref="D10:D57" si="1">K10</f>
        <v>200</v>
      </c>
      <c r="E10" s="1315" t="s">
        <v>3</v>
      </c>
      <c r="F10" s="1313">
        <f t="shared" ref="F10:F57" si="2">L10</f>
        <v>650</v>
      </c>
      <c r="G10" s="1315" t="s">
        <v>3</v>
      </c>
      <c r="H10" s="1312">
        <v>2</v>
      </c>
      <c r="I10" s="1314" t="s">
        <v>45</v>
      </c>
      <c r="J10" s="184">
        <v>90</v>
      </c>
      <c r="K10" s="75">
        <v>200</v>
      </c>
      <c r="L10" s="75">
        <v>650</v>
      </c>
      <c r="M10" s="185">
        <v>6.8189045284159349</v>
      </c>
      <c r="N10" s="87">
        <v>144.72</v>
      </c>
      <c r="O10" s="120">
        <v>14005.659392170317</v>
      </c>
      <c r="P10" s="119">
        <v>16656.662891955264</v>
      </c>
      <c r="Q10" s="310">
        <v>6893.4546325058636</v>
      </c>
      <c r="R10" s="314">
        <v>20899.114024676179</v>
      </c>
      <c r="S10" s="315">
        <v>23550.11752446113</v>
      </c>
      <c r="U10" s="7" t="s">
        <v>4592</v>
      </c>
    </row>
    <row r="11" spans="1:21" ht="16.5" thickBot="1">
      <c r="A11" s="1311" t="s">
        <v>4588</v>
      </c>
      <c r="B11" s="1315">
        <f t="shared" si="0"/>
        <v>90</v>
      </c>
      <c r="C11" s="1315" t="s">
        <v>3</v>
      </c>
      <c r="D11" s="1315">
        <f t="shared" si="1"/>
        <v>200</v>
      </c>
      <c r="E11" s="1315" t="s">
        <v>3</v>
      </c>
      <c r="F11" s="1313">
        <f t="shared" si="2"/>
        <v>700</v>
      </c>
      <c r="G11" s="1315" t="s">
        <v>3</v>
      </c>
      <c r="H11" s="1312">
        <v>2</v>
      </c>
      <c r="I11" s="1314" t="s">
        <v>45</v>
      </c>
      <c r="J11" s="184">
        <v>90</v>
      </c>
      <c r="K11" s="75">
        <v>200</v>
      </c>
      <c r="L11" s="75">
        <v>700</v>
      </c>
      <c r="M11" s="185">
        <v>7.2843391631513628</v>
      </c>
      <c r="N11" s="87">
        <v>168.83999999999997</v>
      </c>
      <c r="O11" s="120">
        <v>14615.140392403091</v>
      </c>
      <c r="P11" s="119">
        <v>17396.136212427227</v>
      </c>
      <c r="Q11" s="310">
        <v>7482.4550490171396</v>
      </c>
      <c r="R11" s="314">
        <v>22097.595441420232</v>
      </c>
      <c r="S11" s="315">
        <v>24878.591261444366</v>
      </c>
      <c r="U11" s="7" t="s">
        <v>4593</v>
      </c>
    </row>
    <row r="12" spans="1:21" ht="16.5" thickBot="1">
      <c r="A12" s="1311" t="s">
        <v>4588</v>
      </c>
      <c r="B12" s="1315">
        <f t="shared" si="0"/>
        <v>90</v>
      </c>
      <c r="C12" s="1315" t="s">
        <v>3</v>
      </c>
      <c r="D12" s="1315">
        <f t="shared" si="1"/>
        <v>200</v>
      </c>
      <c r="E12" s="1315" t="s">
        <v>3</v>
      </c>
      <c r="F12" s="1313">
        <f t="shared" si="2"/>
        <v>750</v>
      </c>
      <c r="G12" s="1315" t="s">
        <v>3</v>
      </c>
      <c r="H12" s="1312">
        <v>2</v>
      </c>
      <c r="I12" s="1314" t="s">
        <v>45</v>
      </c>
      <c r="J12" s="184">
        <v>90</v>
      </c>
      <c r="K12" s="75">
        <v>200</v>
      </c>
      <c r="L12" s="75">
        <v>750</v>
      </c>
      <c r="M12" s="185">
        <v>7.7497737978867898</v>
      </c>
      <c r="N12" s="87">
        <v>192.96</v>
      </c>
      <c r="O12" s="120">
        <v>15224.621533029229</v>
      </c>
      <c r="P12" s="119">
        <v>18135.609673292554</v>
      </c>
      <c r="Q12" s="310">
        <v>7840.8736877451383</v>
      </c>
      <c r="R12" s="314">
        <v>23065.495220774366</v>
      </c>
      <c r="S12" s="315">
        <v>25976.483361037692</v>
      </c>
      <c r="U12" s="7" t="s">
        <v>4594</v>
      </c>
    </row>
    <row r="13" spans="1:21" ht="16.5" thickBot="1">
      <c r="A13" s="1311" t="s">
        <v>4588</v>
      </c>
      <c r="B13" s="1315">
        <f t="shared" si="0"/>
        <v>90</v>
      </c>
      <c r="C13" s="1315" t="s">
        <v>3</v>
      </c>
      <c r="D13" s="1315">
        <f t="shared" si="1"/>
        <v>200</v>
      </c>
      <c r="E13" s="1315" t="s">
        <v>3</v>
      </c>
      <c r="F13" s="1313">
        <f t="shared" si="2"/>
        <v>800</v>
      </c>
      <c r="G13" s="1315" t="s">
        <v>3</v>
      </c>
      <c r="H13" s="1312">
        <v>2</v>
      </c>
      <c r="I13" s="1314" t="s">
        <v>45</v>
      </c>
      <c r="J13" s="184">
        <v>90</v>
      </c>
      <c r="K13" s="75">
        <v>200</v>
      </c>
      <c r="L13" s="75">
        <v>800</v>
      </c>
      <c r="M13" s="185">
        <v>8.2152084326222177</v>
      </c>
      <c r="N13" s="87">
        <v>217.07999999999998</v>
      </c>
      <c r="O13" s="120">
        <v>16191.763749799315</v>
      </c>
      <c r="P13" s="119">
        <v>18889.122470407878</v>
      </c>
      <c r="Q13" s="310">
        <v>8199.2923264731398</v>
      </c>
      <c r="R13" s="314">
        <v>24391.056076272456</v>
      </c>
      <c r="S13" s="315">
        <v>27088.414796881018</v>
      </c>
      <c r="U13" s="7" t="s">
        <v>4595</v>
      </c>
    </row>
    <row r="14" spans="1:21" ht="16.5" thickBot="1">
      <c r="A14" s="1311" t="s">
        <v>4588</v>
      </c>
      <c r="B14" s="1315">
        <f t="shared" si="0"/>
        <v>90</v>
      </c>
      <c r="C14" s="1315" t="s">
        <v>3</v>
      </c>
      <c r="D14" s="1315">
        <f t="shared" si="1"/>
        <v>200</v>
      </c>
      <c r="E14" s="1315" t="s">
        <v>3</v>
      </c>
      <c r="F14" s="1313">
        <f t="shared" si="2"/>
        <v>850</v>
      </c>
      <c r="G14" s="1315" t="s">
        <v>3</v>
      </c>
      <c r="H14" s="1312">
        <v>2</v>
      </c>
      <c r="I14" s="1314" t="s">
        <v>45</v>
      </c>
      <c r="J14" s="184">
        <v>90</v>
      </c>
      <c r="K14" s="75">
        <v>200</v>
      </c>
      <c r="L14" s="75">
        <v>850</v>
      </c>
      <c r="M14" s="185">
        <v>8.6806430673576447</v>
      </c>
      <c r="N14" s="87">
        <v>241.2</v>
      </c>
      <c r="O14" s="120">
        <v>16801.244890425452</v>
      </c>
      <c r="P14" s="119">
        <v>19628.595790879841</v>
      </c>
      <c r="Q14" s="310">
        <v>8788.2927429844149</v>
      </c>
      <c r="R14" s="314">
        <v>25589.537633409869</v>
      </c>
      <c r="S14" s="315">
        <v>28416.888533864258</v>
      </c>
      <c r="U14" s="7" t="s">
        <v>4596</v>
      </c>
    </row>
    <row r="15" spans="1:21" ht="16.5" thickBot="1">
      <c r="A15" s="1311" t="s">
        <v>4588</v>
      </c>
      <c r="B15" s="1315">
        <f t="shared" si="0"/>
        <v>90</v>
      </c>
      <c r="C15" s="1315" t="s">
        <v>3</v>
      </c>
      <c r="D15" s="1315">
        <f t="shared" si="1"/>
        <v>200</v>
      </c>
      <c r="E15" s="1315" t="s">
        <v>3</v>
      </c>
      <c r="F15" s="1313">
        <f t="shared" si="2"/>
        <v>900</v>
      </c>
      <c r="G15" s="1315" t="s">
        <v>3</v>
      </c>
      <c r="H15" s="1312">
        <v>2</v>
      </c>
      <c r="I15" s="1314" t="s">
        <v>45</v>
      </c>
      <c r="J15" s="184">
        <v>90</v>
      </c>
      <c r="K15" s="75">
        <v>200</v>
      </c>
      <c r="L15" s="75">
        <v>900</v>
      </c>
      <c r="M15" s="185">
        <v>9.1460777020930735</v>
      </c>
      <c r="N15" s="87">
        <v>265.32</v>
      </c>
      <c r="O15" s="120">
        <v>17410.725890658228</v>
      </c>
      <c r="P15" s="119">
        <v>20368.069251745168</v>
      </c>
      <c r="Q15" s="310">
        <v>9146.7115221057775</v>
      </c>
      <c r="R15" s="314">
        <v>26557.437412764004</v>
      </c>
      <c r="S15" s="315">
        <v>29514.780773850944</v>
      </c>
      <c r="U15" s="7" t="s">
        <v>4597</v>
      </c>
    </row>
    <row r="16" spans="1:21" ht="16.5" thickBot="1">
      <c r="A16" s="1311" t="s">
        <v>4588</v>
      </c>
      <c r="B16" s="1315">
        <f t="shared" si="0"/>
        <v>90</v>
      </c>
      <c r="C16" s="1315" t="s">
        <v>3</v>
      </c>
      <c r="D16" s="1315">
        <f t="shared" si="1"/>
        <v>200</v>
      </c>
      <c r="E16" s="1315" t="s">
        <v>3</v>
      </c>
      <c r="F16" s="1313">
        <f t="shared" si="2"/>
        <v>950</v>
      </c>
      <c r="G16" s="1315" t="s">
        <v>3</v>
      </c>
      <c r="H16" s="1312">
        <v>2</v>
      </c>
      <c r="I16" s="1314" t="s">
        <v>45</v>
      </c>
      <c r="J16" s="184">
        <v>90</v>
      </c>
      <c r="K16" s="75">
        <v>200</v>
      </c>
      <c r="L16" s="75">
        <v>950</v>
      </c>
      <c r="M16" s="185">
        <v>9.6115123368285005</v>
      </c>
      <c r="N16" s="87">
        <v>289.44</v>
      </c>
      <c r="O16" s="120">
        <v>18020.206890891004</v>
      </c>
      <c r="P16" s="119">
        <v>21107.542712610491</v>
      </c>
      <c r="Q16" s="310">
        <v>9735.7119386170507</v>
      </c>
      <c r="R16" s="314">
        <v>27755.918829508053</v>
      </c>
      <c r="S16" s="315">
        <v>30843.254651227544</v>
      </c>
      <c r="U16" s="7" t="s">
        <v>4598</v>
      </c>
    </row>
    <row r="17" spans="1:21" ht="16.5" thickBot="1">
      <c r="A17" s="1311" t="s">
        <v>4588</v>
      </c>
      <c r="B17" s="1315">
        <f t="shared" si="0"/>
        <v>90</v>
      </c>
      <c r="C17" s="1315" t="s">
        <v>3</v>
      </c>
      <c r="D17" s="1315">
        <f t="shared" si="1"/>
        <v>200</v>
      </c>
      <c r="E17" s="1315" t="s">
        <v>3</v>
      </c>
      <c r="F17" s="1313">
        <f t="shared" si="2"/>
        <v>1000</v>
      </c>
      <c r="G17" s="1315" t="s">
        <v>3</v>
      </c>
      <c r="H17" s="1312">
        <v>2</v>
      </c>
      <c r="I17" s="1314" t="s">
        <v>45</v>
      </c>
      <c r="J17" s="184">
        <v>90</v>
      </c>
      <c r="K17" s="75">
        <v>200</v>
      </c>
      <c r="L17" s="75">
        <v>1000</v>
      </c>
      <c r="M17" s="185">
        <v>10.154982971563928</v>
      </c>
      <c r="N17" s="87">
        <v>313.56</v>
      </c>
      <c r="O17" s="120">
        <v>18665.291647853781</v>
      </c>
      <c r="P17" s="119">
        <v>21882.619930205816</v>
      </c>
      <c r="Q17" s="310">
        <v>10094.130577345051</v>
      </c>
      <c r="R17" s="314">
        <v>28759.422225198832</v>
      </c>
      <c r="S17" s="315">
        <v>31976.750507550867</v>
      </c>
      <c r="U17" s="7" t="s">
        <v>4599</v>
      </c>
    </row>
    <row r="18" spans="1:21" ht="16.5" thickBot="1">
      <c r="A18" s="1311" t="s">
        <v>4588</v>
      </c>
      <c r="B18" s="1315">
        <f t="shared" si="0"/>
        <v>90</v>
      </c>
      <c r="C18" s="1315" t="s">
        <v>3</v>
      </c>
      <c r="D18" s="1315">
        <f t="shared" si="1"/>
        <v>200</v>
      </c>
      <c r="E18" s="1315" t="s">
        <v>3</v>
      </c>
      <c r="F18" s="1313">
        <f t="shared" si="2"/>
        <v>1050</v>
      </c>
      <c r="G18" s="1315" t="s">
        <v>3</v>
      </c>
      <c r="H18" s="1312">
        <v>2</v>
      </c>
      <c r="I18" s="1314" t="s">
        <v>45</v>
      </c>
      <c r="J18" s="184">
        <v>90</v>
      </c>
      <c r="K18" s="75">
        <v>200</v>
      </c>
      <c r="L18" s="75">
        <v>1050</v>
      </c>
      <c r="M18" s="185">
        <v>10.620417606299357</v>
      </c>
      <c r="N18" s="87">
        <v>337.67999999999995</v>
      </c>
      <c r="O18" s="120">
        <v>19274.772648086553</v>
      </c>
      <c r="P18" s="119">
        <v>22622.093250677779</v>
      </c>
      <c r="Q18" s="310">
        <v>10683.130993856326</v>
      </c>
      <c r="R18" s="314">
        <v>29957.903641942881</v>
      </c>
      <c r="S18" s="315">
        <v>33305.224244534103</v>
      </c>
      <c r="U18" s="7" t="s">
        <v>4600</v>
      </c>
    </row>
    <row r="19" spans="1:21" ht="16.5" thickBot="1">
      <c r="A19" s="1311" t="s">
        <v>4588</v>
      </c>
      <c r="B19" s="1312">
        <f t="shared" si="0"/>
        <v>90</v>
      </c>
      <c r="C19" s="1312" t="s">
        <v>3</v>
      </c>
      <c r="D19" s="1312">
        <f t="shared" si="1"/>
        <v>200</v>
      </c>
      <c r="E19" s="1312" t="s">
        <v>3</v>
      </c>
      <c r="F19" s="1313">
        <f t="shared" si="2"/>
        <v>1100</v>
      </c>
      <c r="G19" s="1312" t="s">
        <v>3</v>
      </c>
      <c r="H19" s="1312">
        <v>2</v>
      </c>
      <c r="I19" s="1314" t="s">
        <v>45</v>
      </c>
      <c r="J19" s="184">
        <v>90</v>
      </c>
      <c r="K19" s="75">
        <v>200</v>
      </c>
      <c r="L19" s="75">
        <v>1100</v>
      </c>
      <c r="M19" s="185">
        <v>11.085852241034782</v>
      </c>
      <c r="N19" s="87">
        <v>361.79999999999995</v>
      </c>
      <c r="O19" s="120">
        <v>19884.253648319329</v>
      </c>
      <c r="P19" s="119">
        <v>23361.566711543106</v>
      </c>
      <c r="Q19" s="310">
        <v>11041.549772977691</v>
      </c>
      <c r="R19" s="314">
        <v>30925.80342129702</v>
      </c>
      <c r="S19" s="315">
        <v>34403.116484520797</v>
      </c>
      <c r="U19" s="7" t="s">
        <v>4601</v>
      </c>
    </row>
    <row r="20" spans="1:21" ht="16.5" thickBot="1">
      <c r="A20" s="1311" t="s">
        <v>4588</v>
      </c>
      <c r="B20" s="1315">
        <f t="shared" si="0"/>
        <v>90</v>
      </c>
      <c r="C20" s="1315" t="s">
        <v>3</v>
      </c>
      <c r="D20" s="1315">
        <f t="shared" si="1"/>
        <v>200</v>
      </c>
      <c r="E20" s="1315" t="s">
        <v>3</v>
      </c>
      <c r="F20" s="1313">
        <f t="shared" si="2"/>
        <v>1150</v>
      </c>
      <c r="G20" s="1315" t="s">
        <v>3</v>
      </c>
      <c r="H20" s="1312">
        <v>2</v>
      </c>
      <c r="I20" s="1314" t="s">
        <v>45</v>
      </c>
      <c r="J20" s="184">
        <v>90</v>
      </c>
      <c r="K20" s="75">
        <v>200</v>
      </c>
      <c r="L20" s="75">
        <v>1150</v>
      </c>
      <c r="M20" s="185">
        <v>11.551286875770209</v>
      </c>
      <c r="N20" s="87">
        <v>385.92</v>
      </c>
      <c r="O20" s="120">
        <v>20493.734788945465</v>
      </c>
      <c r="P20" s="119">
        <v>24101.040172408433</v>
      </c>
      <c r="Q20" s="310">
        <v>11399.96841170569</v>
      </c>
      <c r="R20" s="314">
        <v>31893.703200651154</v>
      </c>
      <c r="S20" s="315">
        <v>35501.008584114126</v>
      </c>
      <c r="U20" s="7" t="s">
        <v>4602</v>
      </c>
    </row>
    <row r="21" spans="1:21" ht="16.5" thickBot="1">
      <c r="A21" s="1311" t="s">
        <v>4588</v>
      </c>
      <c r="B21" s="1315">
        <f t="shared" si="0"/>
        <v>90</v>
      </c>
      <c r="C21" s="1315" t="s">
        <v>3</v>
      </c>
      <c r="D21" s="1315">
        <f t="shared" si="1"/>
        <v>200</v>
      </c>
      <c r="E21" s="1315" t="s">
        <v>3</v>
      </c>
      <c r="F21" s="1313">
        <f t="shared" si="2"/>
        <v>1200</v>
      </c>
      <c r="G21" s="1315" t="s">
        <v>3</v>
      </c>
      <c r="H21" s="1312">
        <v>2</v>
      </c>
      <c r="I21" s="1314" t="s">
        <v>45</v>
      </c>
      <c r="J21" s="184">
        <v>90</v>
      </c>
      <c r="K21" s="75">
        <v>200</v>
      </c>
      <c r="L21" s="75">
        <v>1200</v>
      </c>
      <c r="M21" s="185">
        <v>12.01672151050564</v>
      </c>
      <c r="N21" s="87">
        <v>410.03999999999996</v>
      </c>
      <c r="O21" s="120">
        <v>21103.215789178241</v>
      </c>
      <c r="P21" s="119">
        <v>24840.513492880393</v>
      </c>
      <c r="Q21" s="310">
        <v>11988.968828216965</v>
      </c>
      <c r="R21" s="314">
        <v>33092.184617395207</v>
      </c>
      <c r="S21" s="315">
        <v>36829.482321097355</v>
      </c>
      <c r="U21" s="7" t="s">
        <v>4603</v>
      </c>
    </row>
    <row r="22" spans="1:21" ht="16.5" thickBot="1">
      <c r="A22" s="1311" t="s">
        <v>4588</v>
      </c>
      <c r="B22" s="1315">
        <f t="shared" si="0"/>
        <v>90</v>
      </c>
      <c r="C22" s="1315" t="s">
        <v>3</v>
      </c>
      <c r="D22" s="1315">
        <f t="shared" si="1"/>
        <v>200</v>
      </c>
      <c r="E22" s="1315" t="s">
        <v>3</v>
      </c>
      <c r="F22" s="1313">
        <f t="shared" si="2"/>
        <v>1250</v>
      </c>
      <c r="G22" s="1315" t="s">
        <v>3</v>
      </c>
      <c r="H22" s="1312">
        <v>2</v>
      </c>
      <c r="I22" s="1314" t="s">
        <v>45</v>
      </c>
      <c r="J22" s="184">
        <v>90</v>
      </c>
      <c r="K22" s="75">
        <v>200</v>
      </c>
      <c r="L22" s="75">
        <v>1250</v>
      </c>
      <c r="M22" s="185">
        <v>12.482156145241067</v>
      </c>
      <c r="N22" s="87">
        <v>434.15999999999997</v>
      </c>
      <c r="O22" s="120">
        <v>21712.696789411017</v>
      </c>
      <c r="P22" s="119">
        <v>25579.986953745716</v>
      </c>
      <c r="Q22" s="310">
        <v>12347.387466944965</v>
      </c>
      <c r="R22" s="314">
        <v>34060.084256355985</v>
      </c>
      <c r="S22" s="315">
        <v>37927.374420690685</v>
      </c>
      <c r="U22" s="7" t="s">
        <v>4604</v>
      </c>
    </row>
    <row r="23" spans="1:21" ht="16.5" thickBot="1">
      <c r="A23" s="1311" t="s">
        <v>4588</v>
      </c>
      <c r="B23" s="1315">
        <f t="shared" si="0"/>
        <v>90</v>
      </c>
      <c r="C23" s="1315" t="s">
        <v>3</v>
      </c>
      <c r="D23" s="1315">
        <f t="shared" si="1"/>
        <v>200</v>
      </c>
      <c r="E23" s="1315" t="s">
        <v>3</v>
      </c>
      <c r="F23" s="1313">
        <f t="shared" si="2"/>
        <v>1300</v>
      </c>
      <c r="G23" s="1315" t="s">
        <v>3</v>
      </c>
      <c r="H23" s="1312">
        <v>2</v>
      </c>
      <c r="I23" s="1314" t="s">
        <v>45</v>
      </c>
      <c r="J23" s="184">
        <v>90</v>
      </c>
      <c r="K23" s="75">
        <v>200</v>
      </c>
      <c r="L23" s="75">
        <v>1300</v>
      </c>
      <c r="M23" s="185">
        <v>12.947590779976496</v>
      </c>
      <c r="N23" s="87">
        <v>458.28</v>
      </c>
      <c r="O23" s="120">
        <v>22322.177789643792</v>
      </c>
      <c r="P23" s="119">
        <v>26319.460414611043</v>
      </c>
      <c r="Q23" s="310">
        <v>12936.38788345624</v>
      </c>
      <c r="R23" s="314">
        <v>35258.565673100034</v>
      </c>
      <c r="S23" s="315">
        <v>39255.848298067285</v>
      </c>
      <c r="U23" s="7" t="s">
        <v>4605</v>
      </c>
    </row>
    <row r="24" spans="1:21" ht="16.5" thickBot="1">
      <c r="A24" s="1311" t="s">
        <v>4588</v>
      </c>
      <c r="B24" s="1315">
        <f t="shared" si="0"/>
        <v>90</v>
      </c>
      <c r="C24" s="1315" t="s">
        <v>3</v>
      </c>
      <c r="D24" s="1315">
        <f t="shared" si="1"/>
        <v>200</v>
      </c>
      <c r="E24" s="1315" t="s">
        <v>3</v>
      </c>
      <c r="F24" s="1313">
        <f t="shared" si="2"/>
        <v>1350</v>
      </c>
      <c r="G24" s="1315" t="s">
        <v>3</v>
      </c>
      <c r="H24" s="1312">
        <v>2</v>
      </c>
      <c r="I24" s="1314" t="s">
        <v>45</v>
      </c>
      <c r="J24" s="184">
        <v>90</v>
      </c>
      <c r="K24" s="75">
        <v>200</v>
      </c>
      <c r="L24" s="75">
        <v>1350</v>
      </c>
      <c r="M24" s="185">
        <v>13.413025414711923</v>
      </c>
      <c r="N24" s="87">
        <v>482.4</v>
      </c>
      <c r="O24" s="120">
        <v>22931.658789876565</v>
      </c>
      <c r="P24" s="119">
        <v>27058.933875476367</v>
      </c>
      <c r="Q24" s="310">
        <v>13294.806662577603</v>
      </c>
      <c r="R24" s="314">
        <v>36226.465452454169</v>
      </c>
      <c r="S24" s="315">
        <v>40353.740538053971</v>
      </c>
      <c r="U24" s="7" t="s">
        <v>4606</v>
      </c>
    </row>
    <row r="25" spans="1:21" ht="16.5" thickBot="1">
      <c r="A25" s="1311" t="s">
        <v>4588</v>
      </c>
      <c r="B25" s="1315">
        <f t="shared" si="0"/>
        <v>90</v>
      </c>
      <c r="C25" s="1315" t="s">
        <v>3</v>
      </c>
      <c r="D25" s="1315">
        <f t="shared" si="1"/>
        <v>200</v>
      </c>
      <c r="E25" s="1315" t="s">
        <v>3</v>
      </c>
      <c r="F25" s="1313">
        <f t="shared" si="2"/>
        <v>1400</v>
      </c>
      <c r="G25" s="1315" t="s">
        <v>3</v>
      </c>
      <c r="H25" s="1312">
        <v>2</v>
      </c>
      <c r="I25" s="1314" t="s">
        <v>45</v>
      </c>
      <c r="J25" s="184">
        <v>90</v>
      </c>
      <c r="K25" s="75">
        <v>200</v>
      </c>
      <c r="L25" s="75">
        <v>1400</v>
      </c>
      <c r="M25" s="185">
        <v>13.87846004944735</v>
      </c>
      <c r="N25" s="87">
        <v>506.52</v>
      </c>
      <c r="O25" s="120">
        <v>23541.139930502708</v>
      </c>
      <c r="P25" s="119">
        <v>27798.40719594833</v>
      </c>
      <c r="Q25" s="310">
        <v>13883.807079088876</v>
      </c>
      <c r="R25" s="314">
        <v>37424.947009591582</v>
      </c>
      <c r="S25" s="315">
        <v>41682.214275037208</v>
      </c>
      <c r="U25" s="7" t="s">
        <v>4607</v>
      </c>
    </row>
    <row r="26" spans="1:21" ht="16.5" thickBot="1">
      <c r="A26" s="1311" t="s">
        <v>4588</v>
      </c>
      <c r="B26" s="1315">
        <f t="shared" si="0"/>
        <v>90</v>
      </c>
      <c r="C26" s="1315" t="s">
        <v>3</v>
      </c>
      <c r="D26" s="1315">
        <f t="shared" si="1"/>
        <v>200</v>
      </c>
      <c r="E26" s="1315" t="s">
        <v>3</v>
      </c>
      <c r="F26" s="1313">
        <f t="shared" si="2"/>
        <v>1450</v>
      </c>
      <c r="G26" s="1315" t="s">
        <v>3</v>
      </c>
      <c r="H26" s="1312">
        <v>2</v>
      </c>
      <c r="I26" s="1314" t="s">
        <v>45</v>
      </c>
      <c r="J26" s="184">
        <v>90</v>
      </c>
      <c r="K26" s="75">
        <v>200</v>
      </c>
      <c r="L26" s="75">
        <v>1450</v>
      </c>
      <c r="M26" s="185">
        <v>14.343894684182779</v>
      </c>
      <c r="N26" s="87">
        <v>530.64</v>
      </c>
      <c r="O26" s="120">
        <v>24150.62093073548</v>
      </c>
      <c r="P26" s="119">
        <v>28537.880656813657</v>
      </c>
      <c r="Q26" s="310">
        <v>14242.225717816877</v>
      </c>
      <c r="R26" s="314">
        <v>38392.846648552353</v>
      </c>
      <c r="S26" s="315">
        <v>42780.10637463053</v>
      </c>
      <c r="U26" s="7" t="s">
        <v>4608</v>
      </c>
    </row>
    <row r="27" spans="1:21" ht="16.5" thickBot="1">
      <c r="A27" s="1311" t="s">
        <v>4588</v>
      </c>
      <c r="B27" s="1315">
        <f t="shared" si="0"/>
        <v>90</v>
      </c>
      <c r="C27" s="1315" t="s">
        <v>3</v>
      </c>
      <c r="D27" s="1315">
        <f t="shared" si="1"/>
        <v>200</v>
      </c>
      <c r="E27" s="1315" t="s">
        <v>3</v>
      </c>
      <c r="F27" s="1313">
        <f t="shared" si="2"/>
        <v>1500</v>
      </c>
      <c r="G27" s="1315" t="s">
        <v>3</v>
      </c>
      <c r="H27" s="1312">
        <v>2</v>
      </c>
      <c r="I27" s="1314" t="s">
        <v>45</v>
      </c>
      <c r="J27" s="184">
        <v>90</v>
      </c>
      <c r="K27" s="75">
        <v>200</v>
      </c>
      <c r="L27" s="75">
        <v>1500</v>
      </c>
      <c r="M27" s="185">
        <v>15.007376118918206</v>
      </c>
      <c r="N27" s="87">
        <v>554.75999999999988</v>
      </c>
      <c r="O27" s="120">
        <v>25325.921297430345</v>
      </c>
      <c r="P27" s="119">
        <v>29947.769487464182</v>
      </c>
      <c r="Q27" s="310">
        <v>14831.226134328155</v>
      </c>
      <c r="R27" s="314">
        <v>40157.147431758502</v>
      </c>
      <c r="S27" s="315">
        <v>44778.995621792339</v>
      </c>
      <c r="U27" s="7" t="s">
        <v>4609</v>
      </c>
    </row>
    <row r="28" spans="1:21" ht="16.5" thickBot="1">
      <c r="A28" s="1311" t="s">
        <v>4588</v>
      </c>
      <c r="B28" s="1315">
        <f t="shared" si="0"/>
        <v>90</v>
      </c>
      <c r="C28" s="1315" t="s">
        <v>3</v>
      </c>
      <c r="D28" s="1315">
        <f t="shared" si="1"/>
        <v>200</v>
      </c>
      <c r="E28" s="1315" t="s">
        <v>3</v>
      </c>
      <c r="F28" s="1313">
        <f t="shared" si="2"/>
        <v>1550</v>
      </c>
      <c r="G28" s="1315" t="s">
        <v>3</v>
      </c>
      <c r="H28" s="1312">
        <v>2</v>
      </c>
      <c r="I28" s="1314" t="s">
        <v>45</v>
      </c>
      <c r="J28" s="184">
        <v>90</v>
      </c>
      <c r="K28" s="75">
        <v>200</v>
      </c>
      <c r="L28" s="75">
        <v>1550</v>
      </c>
      <c r="M28" s="185">
        <v>15.472810753653633</v>
      </c>
      <c r="N28" s="87">
        <v>578.88</v>
      </c>
      <c r="O28" s="120">
        <v>25935.402438056481</v>
      </c>
      <c r="P28" s="119">
        <v>30687.242948329509</v>
      </c>
      <c r="Q28" s="310">
        <v>15189.644913449516</v>
      </c>
      <c r="R28" s="314">
        <v>41125.047351506</v>
      </c>
      <c r="S28" s="315">
        <v>45876.887861779025</v>
      </c>
      <c r="U28" s="7" t="s">
        <v>4610</v>
      </c>
    </row>
    <row r="29" spans="1:21" ht="16.5" thickBot="1">
      <c r="A29" s="1311" t="s">
        <v>4588</v>
      </c>
      <c r="B29" s="1312">
        <f t="shared" si="0"/>
        <v>90</v>
      </c>
      <c r="C29" s="1312" t="s">
        <v>3</v>
      </c>
      <c r="D29" s="1312">
        <f t="shared" si="1"/>
        <v>200</v>
      </c>
      <c r="E29" s="1312" t="s">
        <v>3</v>
      </c>
      <c r="F29" s="1313">
        <f t="shared" si="2"/>
        <v>1600</v>
      </c>
      <c r="G29" s="1312" t="s">
        <v>3</v>
      </c>
      <c r="H29" s="1312">
        <v>2</v>
      </c>
      <c r="I29" s="1314" t="s">
        <v>45</v>
      </c>
      <c r="J29" s="184">
        <v>90</v>
      </c>
      <c r="K29" s="75">
        <v>200</v>
      </c>
      <c r="L29" s="75">
        <v>1600</v>
      </c>
      <c r="M29" s="185">
        <v>15.938245388389063</v>
      </c>
      <c r="N29" s="87">
        <v>603</v>
      </c>
      <c r="O29" s="120">
        <v>26544.883438289256</v>
      </c>
      <c r="P29" s="119">
        <v>31426.716268801472</v>
      </c>
      <c r="Q29" s="310">
        <v>15548.063552177517</v>
      </c>
      <c r="R29" s="314">
        <v>42092.946990466771</v>
      </c>
      <c r="S29" s="315">
        <v>46974.779820978991</v>
      </c>
      <c r="U29" s="7" t="s">
        <v>4611</v>
      </c>
    </row>
    <row r="30" spans="1:21" ht="16.5" thickBot="1">
      <c r="A30" s="1311" t="s">
        <v>4588</v>
      </c>
      <c r="B30" s="1315">
        <f t="shared" si="0"/>
        <v>90</v>
      </c>
      <c r="C30" s="1315" t="s">
        <v>3</v>
      </c>
      <c r="D30" s="1315">
        <f t="shared" si="1"/>
        <v>200</v>
      </c>
      <c r="E30" s="1315" t="s">
        <v>3</v>
      </c>
      <c r="F30" s="1313">
        <f t="shared" si="2"/>
        <v>1650</v>
      </c>
      <c r="G30" s="1315" t="s">
        <v>3</v>
      </c>
      <c r="H30" s="1312">
        <v>2</v>
      </c>
      <c r="I30" s="1314" t="s">
        <v>45</v>
      </c>
      <c r="J30" s="184">
        <v>90</v>
      </c>
      <c r="K30" s="75">
        <v>200</v>
      </c>
      <c r="L30" s="75">
        <v>1650</v>
      </c>
      <c r="M30" s="185">
        <v>16.40368002312449</v>
      </c>
      <c r="N30" s="87">
        <v>627.12</v>
      </c>
      <c r="O30" s="120">
        <v>27154.364438522029</v>
      </c>
      <c r="P30" s="119">
        <v>32166.189729666792</v>
      </c>
      <c r="Q30" s="310">
        <v>16137.063968688792</v>
      </c>
      <c r="R30" s="314">
        <v>43291.42840721082</v>
      </c>
      <c r="S30" s="315">
        <v>48303.253698355584</v>
      </c>
      <c r="U30" s="7" t="s">
        <v>4612</v>
      </c>
    </row>
    <row r="31" spans="1:21" ht="16.5" thickBot="1">
      <c r="A31" s="1311" t="s">
        <v>4588</v>
      </c>
      <c r="B31" s="1315">
        <f t="shared" si="0"/>
        <v>90</v>
      </c>
      <c r="C31" s="1315" t="s">
        <v>3</v>
      </c>
      <c r="D31" s="1315">
        <f t="shared" si="1"/>
        <v>200</v>
      </c>
      <c r="E31" s="1315" t="s">
        <v>3</v>
      </c>
      <c r="F31" s="1313">
        <f t="shared" si="2"/>
        <v>1700</v>
      </c>
      <c r="G31" s="1315" t="s">
        <v>3</v>
      </c>
      <c r="H31" s="1312">
        <v>2</v>
      </c>
      <c r="I31" s="1314" t="s">
        <v>45</v>
      </c>
      <c r="J31" s="184">
        <v>90</v>
      </c>
      <c r="K31" s="75">
        <v>200</v>
      </c>
      <c r="L31" s="75">
        <v>1700</v>
      </c>
      <c r="M31" s="185">
        <v>16.869114657859917</v>
      </c>
      <c r="N31" s="87">
        <v>651.24</v>
      </c>
      <c r="O31" s="120">
        <v>27763.845438754804</v>
      </c>
      <c r="P31" s="119">
        <v>32905.663190532119</v>
      </c>
      <c r="Q31" s="310">
        <v>16495.48260741679</v>
      </c>
      <c r="R31" s="314">
        <v>44259.328046171591</v>
      </c>
      <c r="S31" s="315">
        <v>49401.145797948906</v>
      </c>
      <c r="U31" s="7" t="s">
        <v>4613</v>
      </c>
    </row>
    <row r="32" spans="1:21" ht="16.5" thickBot="1">
      <c r="A32" s="1311" t="s">
        <v>4588</v>
      </c>
      <c r="B32" s="1315">
        <f t="shared" si="0"/>
        <v>90</v>
      </c>
      <c r="C32" s="1315" t="s">
        <v>3</v>
      </c>
      <c r="D32" s="1315">
        <f t="shared" si="1"/>
        <v>200</v>
      </c>
      <c r="E32" s="1315" t="s">
        <v>3</v>
      </c>
      <c r="F32" s="1313">
        <f t="shared" si="2"/>
        <v>1750</v>
      </c>
      <c r="G32" s="1315" t="s">
        <v>3</v>
      </c>
      <c r="H32" s="1312">
        <v>2</v>
      </c>
      <c r="I32" s="1314" t="s">
        <v>45</v>
      </c>
      <c r="J32" s="184">
        <v>90</v>
      </c>
      <c r="K32" s="75">
        <v>200</v>
      </c>
      <c r="L32" s="75">
        <v>1750</v>
      </c>
      <c r="M32" s="185">
        <v>17.334549292595344</v>
      </c>
      <c r="N32" s="87">
        <v>675.3599999999999</v>
      </c>
      <c r="O32" s="120">
        <v>28373.326438987584</v>
      </c>
      <c r="P32" s="119">
        <v>33645.136651397443</v>
      </c>
      <c r="Q32" s="310">
        <v>17084.483023928067</v>
      </c>
      <c r="R32" s="314">
        <v>45457.809462915655</v>
      </c>
      <c r="S32" s="315">
        <v>50729.619675325506</v>
      </c>
      <c r="U32" s="7" t="s">
        <v>4614</v>
      </c>
    </row>
    <row r="33" spans="1:21" ht="16.5" thickBot="1">
      <c r="A33" s="1311" t="s">
        <v>4588</v>
      </c>
      <c r="B33" s="1315">
        <f t="shared" si="0"/>
        <v>90</v>
      </c>
      <c r="C33" s="1315" t="s">
        <v>3</v>
      </c>
      <c r="D33" s="1315">
        <f t="shared" si="1"/>
        <v>200</v>
      </c>
      <c r="E33" s="1315" t="s">
        <v>3</v>
      </c>
      <c r="F33" s="1313">
        <f t="shared" si="2"/>
        <v>1800</v>
      </c>
      <c r="G33" s="1315" t="s">
        <v>3</v>
      </c>
      <c r="H33" s="1312">
        <v>2</v>
      </c>
      <c r="I33" s="1314" t="s">
        <v>45</v>
      </c>
      <c r="J33" s="184">
        <v>90</v>
      </c>
      <c r="K33" s="75">
        <v>200</v>
      </c>
      <c r="L33" s="75">
        <v>1800</v>
      </c>
      <c r="M33" s="185">
        <v>17.799983927330775</v>
      </c>
      <c r="N33" s="87">
        <v>699.4799999999999</v>
      </c>
      <c r="O33" s="120">
        <v>28982.80757961372</v>
      </c>
      <c r="P33" s="119">
        <v>34384.609971869409</v>
      </c>
      <c r="Q33" s="310">
        <v>17442.90180304943</v>
      </c>
      <c r="R33" s="314">
        <v>46425.709382663146</v>
      </c>
      <c r="S33" s="315">
        <v>51827.511774918836</v>
      </c>
      <c r="U33" s="7" t="s">
        <v>4615</v>
      </c>
    </row>
    <row r="34" spans="1:21" ht="16.5" thickBot="1">
      <c r="A34" s="1311" t="s">
        <v>4588</v>
      </c>
      <c r="B34" s="1315">
        <f t="shared" si="0"/>
        <v>90</v>
      </c>
      <c r="C34" s="1315" t="s">
        <v>3</v>
      </c>
      <c r="D34" s="1315">
        <f t="shared" si="1"/>
        <v>200</v>
      </c>
      <c r="E34" s="1315" t="s">
        <v>3</v>
      </c>
      <c r="F34" s="1313">
        <f t="shared" si="2"/>
        <v>1850</v>
      </c>
      <c r="G34" s="1315" t="s">
        <v>3</v>
      </c>
      <c r="H34" s="1312">
        <v>2</v>
      </c>
      <c r="I34" s="1314" t="s">
        <v>45</v>
      </c>
      <c r="J34" s="184">
        <v>90</v>
      </c>
      <c r="K34" s="75">
        <v>200</v>
      </c>
      <c r="L34" s="75">
        <v>1850</v>
      </c>
      <c r="M34" s="185">
        <v>18.265418562066198</v>
      </c>
      <c r="N34" s="87">
        <v>723.59999999999991</v>
      </c>
      <c r="O34" s="120">
        <v>29592.288579846496</v>
      </c>
      <c r="P34" s="119">
        <v>35124.083432734733</v>
      </c>
      <c r="Q34" s="310">
        <v>18031.902219560703</v>
      </c>
      <c r="R34" s="314">
        <v>47624.190799407195</v>
      </c>
      <c r="S34" s="315">
        <v>53155.985652295436</v>
      </c>
      <c r="U34" s="7" t="s">
        <v>4616</v>
      </c>
    </row>
    <row r="35" spans="1:21" ht="16.5" thickBot="1">
      <c r="A35" s="1311" t="s">
        <v>4588</v>
      </c>
      <c r="B35" s="1315">
        <f t="shared" si="0"/>
        <v>90</v>
      </c>
      <c r="C35" s="1315" t="s">
        <v>3</v>
      </c>
      <c r="D35" s="1315">
        <f t="shared" si="1"/>
        <v>200</v>
      </c>
      <c r="E35" s="1315" t="s">
        <v>3</v>
      </c>
      <c r="F35" s="1313">
        <f t="shared" si="2"/>
        <v>1900</v>
      </c>
      <c r="G35" s="1315" t="s">
        <v>3</v>
      </c>
      <c r="H35" s="1312">
        <v>2</v>
      </c>
      <c r="I35" s="1314" t="s">
        <v>45</v>
      </c>
      <c r="J35" s="184">
        <v>90</v>
      </c>
      <c r="K35" s="75">
        <v>200</v>
      </c>
      <c r="L35" s="75">
        <v>1900</v>
      </c>
      <c r="M35" s="185">
        <v>18.730853196801625</v>
      </c>
      <c r="N35" s="87">
        <v>747.72</v>
      </c>
      <c r="O35" s="120">
        <v>30201.769580079268</v>
      </c>
      <c r="P35" s="119">
        <v>35863.556893600056</v>
      </c>
      <c r="Q35" s="310">
        <v>18390.320858288702</v>
      </c>
      <c r="R35" s="314">
        <v>48592.090438367974</v>
      </c>
      <c r="S35" s="315">
        <v>54253.877751888758</v>
      </c>
      <c r="U35" s="7" t="s">
        <v>4617</v>
      </c>
    </row>
    <row r="36" spans="1:21" ht="16.5" thickBot="1">
      <c r="A36" s="1311" t="s">
        <v>4588</v>
      </c>
      <c r="B36" s="1315">
        <f t="shared" si="0"/>
        <v>90</v>
      </c>
      <c r="C36" s="1315" t="s">
        <v>3</v>
      </c>
      <c r="D36" s="1315">
        <f t="shared" si="1"/>
        <v>200</v>
      </c>
      <c r="E36" s="1315" t="s">
        <v>3</v>
      </c>
      <c r="F36" s="1313">
        <f t="shared" si="2"/>
        <v>1950</v>
      </c>
      <c r="G36" s="1315" t="s">
        <v>3</v>
      </c>
      <c r="H36" s="1312">
        <v>2</v>
      </c>
      <c r="I36" s="1314" t="s">
        <v>45</v>
      </c>
      <c r="J36" s="184">
        <v>90</v>
      </c>
      <c r="K36" s="75">
        <v>200</v>
      </c>
      <c r="L36" s="75">
        <v>1950</v>
      </c>
      <c r="M36" s="185">
        <v>19.196287831537056</v>
      </c>
      <c r="N36" s="87">
        <v>771.84</v>
      </c>
      <c r="O36" s="120">
        <v>30811.250580312044</v>
      </c>
      <c r="P36" s="119">
        <v>36603.030214072016</v>
      </c>
      <c r="Q36" s="310">
        <v>18748.739497016704</v>
      </c>
      <c r="R36" s="314">
        <v>49559.990077328752</v>
      </c>
      <c r="S36" s="315">
        <v>55351.769711088724</v>
      </c>
      <c r="U36" s="7" t="s">
        <v>4618</v>
      </c>
    </row>
    <row r="37" spans="1:21" ht="16.5" thickBot="1">
      <c r="A37" s="1311" t="s">
        <v>4588</v>
      </c>
      <c r="B37" s="1315">
        <f t="shared" si="0"/>
        <v>90</v>
      </c>
      <c r="C37" s="1315" t="s">
        <v>3</v>
      </c>
      <c r="D37" s="1315">
        <f t="shared" si="1"/>
        <v>200</v>
      </c>
      <c r="E37" s="1315" t="s">
        <v>3</v>
      </c>
      <c r="F37" s="1313">
        <f t="shared" si="2"/>
        <v>2000</v>
      </c>
      <c r="G37" s="1315" t="s">
        <v>3</v>
      </c>
      <c r="H37" s="1312">
        <v>2</v>
      </c>
      <c r="I37" s="1314" t="s">
        <v>45</v>
      </c>
      <c r="J37" s="184">
        <v>90</v>
      </c>
      <c r="K37" s="75">
        <v>200</v>
      </c>
      <c r="L37" s="75">
        <v>2000</v>
      </c>
      <c r="M37" s="185">
        <v>19.73975846627248</v>
      </c>
      <c r="N37" s="87">
        <v>795.95999999999992</v>
      </c>
      <c r="O37" s="120">
        <v>31852.745262255496</v>
      </c>
      <c r="P37" s="119">
        <v>37481.436946467344</v>
      </c>
      <c r="Q37" s="310">
        <v>19337.740053921341</v>
      </c>
      <c r="R37" s="314">
        <v>51190.485316176841</v>
      </c>
      <c r="S37" s="315">
        <v>56819.177000388685</v>
      </c>
      <c r="U37" s="7" t="s">
        <v>4619</v>
      </c>
    </row>
    <row r="38" spans="1:21" ht="16.5" thickBot="1">
      <c r="A38" s="1311" t="s">
        <v>4588</v>
      </c>
      <c r="B38" s="1315">
        <f t="shared" si="0"/>
        <v>90</v>
      </c>
      <c r="C38" s="1315" t="s">
        <v>3</v>
      </c>
      <c r="D38" s="1315">
        <f t="shared" si="1"/>
        <v>200</v>
      </c>
      <c r="E38" s="1315" t="s">
        <v>3</v>
      </c>
      <c r="F38" s="1313">
        <f t="shared" si="2"/>
        <v>2050</v>
      </c>
      <c r="G38" s="1315" t="s">
        <v>3</v>
      </c>
      <c r="H38" s="1312">
        <v>2</v>
      </c>
      <c r="I38" s="1314" t="s">
        <v>45</v>
      </c>
      <c r="J38" s="184">
        <v>90</v>
      </c>
      <c r="K38" s="75">
        <v>200</v>
      </c>
      <c r="L38" s="75">
        <v>2050</v>
      </c>
      <c r="M38" s="185">
        <v>20.205193101007911</v>
      </c>
      <c r="N38" s="87">
        <v>820.07999999999993</v>
      </c>
      <c r="O38" s="120">
        <v>32462.226262488268</v>
      </c>
      <c r="P38" s="119">
        <v>38220.910407332667</v>
      </c>
      <c r="Q38" s="310">
        <v>19696.15869264934</v>
      </c>
      <c r="R38" s="314">
        <v>52158.384955137604</v>
      </c>
      <c r="S38" s="315">
        <v>57917.069099982007</v>
      </c>
      <c r="U38" s="7" t="s">
        <v>4620</v>
      </c>
    </row>
    <row r="39" spans="1:21" ht="16.5" thickBot="1">
      <c r="A39" s="1311" t="s">
        <v>4588</v>
      </c>
      <c r="B39" s="1312">
        <f t="shared" si="0"/>
        <v>90</v>
      </c>
      <c r="C39" s="1312" t="s">
        <v>3</v>
      </c>
      <c r="D39" s="1312">
        <f t="shared" si="1"/>
        <v>200</v>
      </c>
      <c r="E39" s="1312" t="s">
        <v>3</v>
      </c>
      <c r="F39" s="1313">
        <f t="shared" si="2"/>
        <v>2100</v>
      </c>
      <c r="G39" s="1312" t="s">
        <v>3</v>
      </c>
      <c r="H39" s="1312">
        <v>2</v>
      </c>
      <c r="I39" s="1314" t="s">
        <v>45</v>
      </c>
      <c r="J39" s="184">
        <v>90</v>
      </c>
      <c r="K39" s="75">
        <v>200</v>
      </c>
      <c r="L39" s="75">
        <v>2100</v>
      </c>
      <c r="M39" s="185">
        <v>20.670627735743338</v>
      </c>
      <c r="N39" s="87">
        <v>844.19999999999993</v>
      </c>
      <c r="O39" s="120">
        <v>33071.707262721044</v>
      </c>
      <c r="P39" s="119">
        <v>38960.383868197998</v>
      </c>
      <c r="Q39" s="310">
        <v>20285.159109160617</v>
      </c>
      <c r="R39" s="314">
        <v>53356.866371881661</v>
      </c>
      <c r="S39" s="315">
        <v>59245.542977358615</v>
      </c>
      <c r="U39" s="7" t="s">
        <v>4621</v>
      </c>
    </row>
    <row r="40" spans="1:21" ht="16.5" thickBot="1">
      <c r="A40" s="1311" t="s">
        <v>4588</v>
      </c>
      <c r="B40" s="1315">
        <f t="shared" si="0"/>
        <v>90</v>
      </c>
      <c r="C40" s="1315" t="s">
        <v>3</v>
      </c>
      <c r="D40" s="1315">
        <f t="shared" si="1"/>
        <v>200</v>
      </c>
      <c r="E40" s="1315" t="s">
        <v>3</v>
      </c>
      <c r="F40" s="1313">
        <f t="shared" si="2"/>
        <v>2150</v>
      </c>
      <c r="G40" s="1315" t="s">
        <v>3</v>
      </c>
      <c r="H40" s="1312">
        <v>2</v>
      </c>
      <c r="I40" s="1314" t="s">
        <v>45</v>
      </c>
      <c r="J40" s="184">
        <v>90</v>
      </c>
      <c r="K40" s="75">
        <v>200</v>
      </c>
      <c r="L40" s="75">
        <v>2150</v>
      </c>
      <c r="M40" s="185">
        <v>21.136062370478765</v>
      </c>
      <c r="N40" s="87">
        <v>868.31999999999994</v>
      </c>
      <c r="O40" s="120">
        <v>33681.18840334718</v>
      </c>
      <c r="P40" s="119">
        <v>39699.857188669957</v>
      </c>
      <c r="Q40" s="310">
        <v>20643.577747888616</v>
      </c>
      <c r="R40" s="314">
        <v>54324.766151235795</v>
      </c>
      <c r="S40" s="315">
        <v>60343.434936558573</v>
      </c>
      <c r="U40" s="7" t="s">
        <v>4622</v>
      </c>
    </row>
    <row r="41" spans="1:21" ht="16.5" thickBot="1">
      <c r="A41" s="1311" t="s">
        <v>4588</v>
      </c>
      <c r="B41" s="1315">
        <f t="shared" si="0"/>
        <v>90</v>
      </c>
      <c r="C41" s="1315" t="s">
        <v>3</v>
      </c>
      <c r="D41" s="1315">
        <f t="shared" si="1"/>
        <v>200</v>
      </c>
      <c r="E41" s="1315" t="s">
        <v>3</v>
      </c>
      <c r="F41" s="1313">
        <f t="shared" si="2"/>
        <v>2200</v>
      </c>
      <c r="G41" s="1315" t="s">
        <v>3</v>
      </c>
      <c r="H41" s="1312">
        <v>2</v>
      </c>
      <c r="I41" s="1314" t="s">
        <v>45</v>
      </c>
      <c r="J41" s="184">
        <v>90</v>
      </c>
      <c r="K41" s="75">
        <v>200</v>
      </c>
      <c r="L41" s="75">
        <v>2200</v>
      </c>
      <c r="M41" s="185">
        <v>21.601497005214195</v>
      </c>
      <c r="N41" s="87">
        <v>892.44</v>
      </c>
      <c r="O41" s="120">
        <v>34290.669403579959</v>
      </c>
      <c r="P41" s="119">
        <v>40439.330649535288</v>
      </c>
      <c r="Q41" s="310">
        <v>21232.578164399893</v>
      </c>
      <c r="R41" s="314">
        <v>55523.247567979852</v>
      </c>
      <c r="S41" s="315">
        <v>61671.908813935181</v>
      </c>
      <c r="U41" s="7" t="s">
        <v>4623</v>
      </c>
    </row>
    <row r="42" spans="1:21" ht="16.5" thickBot="1">
      <c r="A42" s="1311" t="s">
        <v>4588</v>
      </c>
      <c r="B42" s="1315">
        <f t="shared" si="0"/>
        <v>90</v>
      </c>
      <c r="C42" s="1315" t="s">
        <v>3</v>
      </c>
      <c r="D42" s="1315">
        <f t="shared" si="1"/>
        <v>200</v>
      </c>
      <c r="E42" s="1315" t="s">
        <v>3</v>
      </c>
      <c r="F42" s="1313">
        <f t="shared" si="2"/>
        <v>2250</v>
      </c>
      <c r="G42" s="1315" t="s">
        <v>3</v>
      </c>
      <c r="H42" s="1312">
        <v>2</v>
      </c>
      <c r="I42" s="1314" t="s">
        <v>45</v>
      </c>
      <c r="J42" s="184">
        <v>90</v>
      </c>
      <c r="K42" s="75">
        <v>200</v>
      </c>
      <c r="L42" s="75">
        <v>2250</v>
      </c>
      <c r="M42" s="185">
        <v>22.066931639949622</v>
      </c>
      <c r="N42" s="87">
        <v>916.56</v>
      </c>
      <c r="O42" s="120">
        <v>34900.150403812731</v>
      </c>
      <c r="P42" s="119">
        <v>41178.804110400604</v>
      </c>
      <c r="Q42" s="310">
        <v>21590.996943521255</v>
      </c>
      <c r="R42" s="314">
        <v>56491.147347333987</v>
      </c>
      <c r="S42" s="315">
        <v>62769.801053921859</v>
      </c>
      <c r="U42" s="7" t="s">
        <v>4624</v>
      </c>
    </row>
    <row r="43" spans="1:21" ht="16.5" thickBot="1">
      <c r="A43" s="1311" t="s">
        <v>4588</v>
      </c>
      <c r="B43" s="1315">
        <f t="shared" si="0"/>
        <v>90</v>
      </c>
      <c r="C43" s="1315" t="s">
        <v>3</v>
      </c>
      <c r="D43" s="1315">
        <f t="shared" si="1"/>
        <v>200</v>
      </c>
      <c r="E43" s="1315" t="s">
        <v>3</v>
      </c>
      <c r="F43" s="1313">
        <f t="shared" si="2"/>
        <v>2300</v>
      </c>
      <c r="G43" s="1315" t="s">
        <v>3</v>
      </c>
      <c r="H43" s="1312">
        <v>2</v>
      </c>
      <c r="I43" s="1314" t="s">
        <v>45</v>
      </c>
      <c r="J43" s="184">
        <v>90</v>
      </c>
      <c r="K43" s="75">
        <v>200</v>
      </c>
      <c r="L43" s="75">
        <v>2300</v>
      </c>
      <c r="M43" s="185">
        <v>22.532366274685046</v>
      </c>
      <c r="N43" s="87">
        <v>940.68</v>
      </c>
      <c r="O43" s="120">
        <v>35509.631404045504</v>
      </c>
      <c r="P43" s="119">
        <v>41918.277430872571</v>
      </c>
      <c r="Q43" s="310">
        <v>21949.415582249254</v>
      </c>
      <c r="R43" s="314">
        <v>57459.046986294758</v>
      </c>
      <c r="S43" s="315">
        <v>63867.693013121825</v>
      </c>
      <c r="U43" s="7" t="s">
        <v>4625</v>
      </c>
    </row>
    <row r="44" spans="1:21" ht="16.5" thickBot="1">
      <c r="A44" s="1311" t="s">
        <v>4588</v>
      </c>
      <c r="B44" s="1315">
        <f t="shared" si="0"/>
        <v>90</v>
      </c>
      <c r="C44" s="1315" t="s">
        <v>3</v>
      </c>
      <c r="D44" s="1315">
        <f t="shared" si="1"/>
        <v>200</v>
      </c>
      <c r="E44" s="1315" t="s">
        <v>3</v>
      </c>
      <c r="F44" s="1313">
        <f t="shared" si="2"/>
        <v>2350</v>
      </c>
      <c r="G44" s="1315" t="s">
        <v>3</v>
      </c>
      <c r="H44" s="1312">
        <v>2</v>
      </c>
      <c r="I44" s="1314" t="s">
        <v>45</v>
      </c>
      <c r="J44" s="184">
        <v>90</v>
      </c>
      <c r="K44" s="75">
        <v>200</v>
      </c>
      <c r="L44" s="75">
        <v>2350</v>
      </c>
      <c r="M44" s="185">
        <v>22.997800909420477</v>
      </c>
      <c r="N44" s="87">
        <v>964.8</v>
      </c>
      <c r="O44" s="120">
        <v>36119.112404278283</v>
      </c>
      <c r="P44" s="119">
        <v>42657.750891737895</v>
      </c>
      <c r="Q44" s="310">
        <v>22538.415998760531</v>
      </c>
      <c r="R44" s="314">
        <v>58657.528403038814</v>
      </c>
      <c r="S44" s="315">
        <v>65196.166890498425</v>
      </c>
      <c r="U44" s="7" t="s">
        <v>4626</v>
      </c>
    </row>
    <row r="45" spans="1:21" ht="16.5" thickBot="1">
      <c r="A45" s="1311" t="s">
        <v>4588</v>
      </c>
      <c r="B45" s="1315">
        <f t="shared" si="0"/>
        <v>90</v>
      </c>
      <c r="C45" s="1315" t="s">
        <v>3</v>
      </c>
      <c r="D45" s="1315">
        <f t="shared" si="1"/>
        <v>200</v>
      </c>
      <c r="E45" s="1315" t="s">
        <v>3</v>
      </c>
      <c r="F45" s="1313">
        <f t="shared" si="2"/>
        <v>2400</v>
      </c>
      <c r="G45" s="1315" t="s">
        <v>3</v>
      </c>
      <c r="H45" s="1312">
        <v>2</v>
      </c>
      <c r="I45" s="1314" t="s">
        <v>45</v>
      </c>
      <c r="J45" s="184">
        <v>90</v>
      </c>
      <c r="K45" s="75">
        <v>200</v>
      </c>
      <c r="L45" s="75">
        <v>2400</v>
      </c>
      <c r="M45" s="185">
        <v>23.4632355441559</v>
      </c>
      <c r="N45" s="87">
        <v>988.91999999999985</v>
      </c>
      <c r="O45" s="120">
        <v>36728.593404511055</v>
      </c>
      <c r="P45" s="119">
        <v>43397.224352603225</v>
      </c>
      <c r="Q45" s="310">
        <v>22896.83463748853</v>
      </c>
      <c r="R45" s="314">
        <v>59625.428041999585</v>
      </c>
      <c r="S45" s="315">
        <v>66294.058990091755</v>
      </c>
      <c r="U45" s="7" t="s">
        <v>4627</v>
      </c>
    </row>
    <row r="46" spans="1:21" ht="16.5" thickBot="1">
      <c r="A46" s="1311" t="s">
        <v>4588</v>
      </c>
      <c r="B46" s="1315">
        <f t="shared" si="0"/>
        <v>90</v>
      </c>
      <c r="C46" s="1315" t="s">
        <v>3</v>
      </c>
      <c r="D46" s="1315">
        <f t="shared" si="1"/>
        <v>200</v>
      </c>
      <c r="E46" s="1315" t="s">
        <v>3</v>
      </c>
      <c r="F46" s="1313">
        <f t="shared" si="2"/>
        <v>2450</v>
      </c>
      <c r="G46" s="1315" t="s">
        <v>3</v>
      </c>
      <c r="H46" s="1312">
        <v>2</v>
      </c>
      <c r="I46" s="1314" t="s">
        <v>45</v>
      </c>
      <c r="J46" s="184">
        <v>90</v>
      </c>
      <c r="K46" s="75">
        <v>200</v>
      </c>
      <c r="L46" s="75">
        <v>2450</v>
      </c>
      <c r="M46" s="185">
        <v>23.928670178891331</v>
      </c>
      <c r="N46" s="87">
        <v>1013.04</v>
      </c>
      <c r="O46" s="120">
        <v>37338.074545137191</v>
      </c>
      <c r="P46" s="119">
        <v>44136.697813468549</v>
      </c>
      <c r="Q46" s="310">
        <v>23485.83519439317</v>
      </c>
      <c r="R46" s="314">
        <v>60823.909739530362</v>
      </c>
      <c r="S46" s="315">
        <v>67622.533007861726</v>
      </c>
      <c r="U46" s="7" t="s">
        <v>4628</v>
      </c>
    </row>
    <row r="47" spans="1:21" ht="16.5" thickBot="1">
      <c r="A47" s="1311" t="s">
        <v>4588</v>
      </c>
      <c r="B47" s="1315">
        <f t="shared" si="0"/>
        <v>90</v>
      </c>
      <c r="C47" s="1315" t="s">
        <v>3</v>
      </c>
      <c r="D47" s="1315">
        <f t="shared" si="1"/>
        <v>200</v>
      </c>
      <c r="E47" s="1315" t="s">
        <v>3</v>
      </c>
      <c r="F47" s="1313">
        <f t="shared" si="2"/>
        <v>2500</v>
      </c>
      <c r="G47" s="1315" t="s">
        <v>3</v>
      </c>
      <c r="H47" s="1312">
        <v>2</v>
      </c>
      <c r="I47" s="1314" t="s">
        <v>45</v>
      </c>
      <c r="J47" s="184">
        <v>90</v>
      </c>
      <c r="K47" s="75">
        <v>200</v>
      </c>
      <c r="L47" s="75">
        <v>2500</v>
      </c>
      <c r="M47" s="185">
        <v>24.592151613626761</v>
      </c>
      <c r="N47" s="87">
        <v>1037.1599999999999</v>
      </c>
      <c r="O47" s="120">
        <v>38513.374911832063</v>
      </c>
      <c r="P47" s="119">
        <v>45546.586644119074</v>
      </c>
      <c r="Q47" s="310">
        <v>23844.253833121165</v>
      </c>
      <c r="R47" s="314">
        <v>62357.628744953225</v>
      </c>
      <c r="S47" s="315">
        <v>69390.840477240243</v>
      </c>
      <c r="U47" s="7" t="s">
        <v>4629</v>
      </c>
    </row>
    <row r="48" spans="1:21" ht="16.5" thickBot="1">
      <c r="A48" s="1311" t="s">
        <v>4588</v>
      </c>
      <c r="B48" s="1315">
        <f t="shared" si="0"/>
        <v>90</v>
      </c>
      <c r="C48" s="1315" t="s">
        <v>3</v>
      </c>
      <c r="D48" s="1315">
        <f t="shared" si="1"/>
        <v>200</v>
      </c>
      <c r="E48" s="1315" t="s">
        <v>3</v>
      </c>
      <c r="F48" s="1313">
        <f t="shared" si="2"/>
        <v>2550</v>
      </c>
      <c r="G48" s="1315" t="s">
        <v>3</v>
      </c>
      <c r="H48" s="1312">
        <v>2</v>
      </c>
      <c r="I48" s="1314" t="s">
        <v>45</v>
      </c>
      <c r="J48" s="184">
        <v>90</v>
      </c>
      <c r="K48" s="75">
        <v>200</v>
      </c>
      <c r="L48" s="75">
        <v>2550</v>
      </c>
      <c r="M48" s="185">
        <v>25.057586248362192</v>
      </c>
      <c r="N48" s="87">
        <v>1061.28</v>
      </c>
      <c r="O48" s="120">
        <v>39480.517268995507</v>
      </c>
      <c r="P48" s="119">
        <v>46300.099300841037</v>
      </c>
      <c r="Q48" s="310">
        <v>24433.254249632446</v>
      </c>
      <c r="R48" s="314">
        <v>63913.771518627953</v>
      </c>
      <c r="S48" s="315">
        <v>70733.35355047349</v>
      </c>
      <c r="U48" s="7" t="s">
        <v>4630</v>
      </c>
    </row>
    <row r="49" spans="1:21" ht="16.5" thickBot="1">
      <c r="A49" s="1311" t="s">
        <v>4588</v>
      </c>
      <c r="B49" s="1312">
        <f t="shared" si="0"/>
        <v>90</v>
      </c>
      <c r="C49" s="1312" t="s">
        <v>3</v>
      </c>
      <c r="D49" s="1312">
        <f t="shared" si="1"/>
        <v>200</v>
      </c>
      <c r="E49" s="1312" t="s">
        <v>3</v>
      </c>
      <c r="F49" s="1313">
        <f t="shared" si="2"/>
        <v>2600</v>
      </c>
      <c r="G49" s="1312" t="s">
        <v>3</v>
      </c>
      <c r="H49" s="1312">
        <v>2</v>
      </c>
      <c r="I49" s="1314" t="s">
        <v>45</v>
      </c>
      <c r="J49" s="184">
        <v>90</v>
      </c>
      <c r="K49" s="75">
        <v>200</v>
      </c>
      <c r="L49" s="75">
        <v>2600</v>
      </c>
      <c r="M49" s="185">
        <v>25.523020883097619</v>
      </c>
      <c r="N49" s="87">
        <v>1085.3999999999999</v>
      </c>
      <c r="O49" s="120">
        <v>40089.998269228287</v>
      </c>
      <c r="P49" s="119">
        <v>47039.57276170636</v>
      </c>
      <c r="Q49" s="310">
        <v>24791.672888360441</v>
      </c>
      <c r="R49" s="314">
        <v>64881.671157588731</v>
      </c>
      <c r="S49" s="315">
        <v>71831.245650066805</v>
      </c>
      <c r="U49" s="7" t="s">
        <v>4631</v>
      </c>
    </row>
    <row r="50" spans="1:21" ht="16.5" thickBot="1">
      <c r="A50" s="1311" t="s">
        <v>4588</v>
      </c>
      <c r="B50" s="1315">
        <f t="shared" si="0"/>
        <v>90</v>
      </c>
      <c r="C50" s="1315" t="s">
        <v>3</v>
      </c>
      <c r="D50" s="1315">
        <f t="shared" si="1"/>
        <v>200</v>
      </c>
      <c r="E50" s="1315" t="s">
        <v>3</v>
      </c>
      <c r="F50" s="1313">
        <f t="shared" si="2"/>
        <v>2650</v>
      </c>
      <c r="G50" s="1315" t="s">
        <v>3</v>
      </c>
      <c r="H50" s="1312">
        <v>2</v>
      </c>
      <c r="I50" s="1314" t="s">
        <v>45</v>
      </c>
      <c r="J50" s="184">
        <v>90</v>
      </c>
      <c r="K50" s="75">
        <v>200</v>
      </c>
      <c r="L50" s="75">
        <v>2650</v>
      </c>
      <c r="M50" s="185">
        <v>25.988455517833046</v>
      </c>
      <c r="N50" s="87">
        <v>1109.5199999999998</v>
      </c>
      <c r="O50" s="120">
        <v>40699.479269461059</v>
      </c>
      <c r="P50" s="119">
        <v>47779.046222571691</v>
      </c>
      <c r="Q50" s="310">
        <v>25380.673304871718</v>
      </c>
      <c r="R50" s="314">
        <v>66080.15257433278</v>
      </c>
      <c r="S50" s="315">
        <v>73159.719527443405</v>
      </c>
      <c r="U50" s="7" t="s">
        <v>4632</v>
      </c>
    </row>
    <row r="51" spans="1:21" ht="16.5" thickBot="1">
      <c r="A51" s="1311" t="s">
        <v>4588</v>
      </c>
      <c r="B51" s="1315">
        <f t="shared" si="0"/>
        <v>90</v>
      </c>
      <c r="C51" s="1315" t="s">
        <v>3</v>
      </c>
      <c r="D51" s="1315">
        <f t="shared" si="1"/>
        <v>200</v>
      </c>
      <c r="E51" s="1315" t="s">
        <v>3</v>
      </c>
      <c r="F51" s="1313">
        <f t="shared" si="2"/>
        <v>2700</v>
      </c>
      <c r="G51" s="1315" t="s">
        <v>3</v>
      </c>
      <c r="H51" s="1312">
        <v>2</v>
      </c>
      <c r="I51" s="1314" t="s">
        <v>45</v>
      </c>
      <c r="J51" s="184">
        <v>90</v>
      </c>
      <c r="K51" s="75">
        <v>200</v>
      </c>
      <c r="L51" s="75">
        <v>2700</v>
      </c>
      <c r="M51" s="185">
        <v>26.453890152568473</v>
      </c>
      <c r="N51" s="87">
        <v>1133.6400000000001</v>
      </c>
      <c r="O51" s="120">
        <v>41308.960410087195</v>
      </c>
      <c r="P51" s="119">
        <v>48518.519683437007</v>
      </c>
      <c r="Q51" s="310">
        <v>25739.09208399308</v>
      </c>
      <c r="R51" s="314">
        <v>67048.052494080272</v>
      </c>
      <c r="S51" s="315">
        <v>74257.611767430091</v>
      </c>
      <c r="U51" s="7" t="s">
        <v>4633</v>
      </c>
    </row>
    <row r="52" spans="1:21" ht="16.5" thickBot="1">
      <c r="A52" s="1311" t="s">
        <v>4588</v>
      </c>
      <c r="B52" s="1315">
        <f t="shared" si="0"/>
        <v>90</v>
      </c>
      <c r="C52" s="1315" t="s">
        <v>3</v>
      </c>
      <c r="D52" s="1315">
        <f t="shared" si="1"/>
        <v>200</v>
      </c>
      <c r="E52" s="1315" t="s">
        <v>3</v>
      </c>
      <c r="F52" s="1313">
        <f t="shared" si="2"/>
        <v>2750</v>
      </c>
      <c r="G52" s="1315" t="s">
        <v>3</v>
      </c>
      <c r="H52" s="1312">
        <v>2</v>
      </c>
      <c r="I52" s="1314" t="s">
        <v>45</v>
      </c>
      <c r="J52" s="184">
        <v>90</v>
      </c>
      <c r="K52" s="75">
        <v>200</v>
      </c>
      <c r="L52" s="75">
        <v>2750</v>
      </c>
      <c r="M52" s="185">
        <v>26.9193247873039</v>
      </c>
      <c r="N52" s="87">
        <v>1157.76</v>
      </c>
      <c r="O52" s="120">
        <v>41918.441410319967</v>
      </c>
      <c r="P52" s="119">
        <v>49257.993003908974</v>
      </c>
      <c r="Q52" s="310">
        <v>26097.510722721079</v>
      </c>
      <c r="R52" s="314">
        <v>68015.95213304105</v>
      </c>
      <c r="S52" s="315">
        <v>75355.50372663005</v>
      </c>
      <c r="U52" s="7" t="s">
        <v>4634</v>
      </c>
    </row>
    <row r="53" spans="1:21" ht="16.5" thickBot="1">
      <c r="A53" s="1311" t="s">
        <v>4588</v>
      </c>
      <c r="B53" s="1315">
        <f t="shared" si="0"/>
        <v>90</v>
      </c>
      <c r="C53" s="1315" t="s">
        <v>3</v>
      </c>
      <c r="D53" s="1315">
        <f t="shared" si="1"/>
        <v>200</v>
      </c>
      <c r="E53" s="1315" t="s">
        <v>3</v>
      </c>
      <c r="F53" s="1313">
        <f t="shared" si="2"/>
        <v>2800</v>
      </c>
      <c r="G53" s="1315" t="s">
        <v>3</v>
      </c>
      <c r="H53" s="1312">
        <v>2</v>
      </c>
      <c r="I53" s="1314" t="s">
        <v>45</v>
      </c>
      <c r="J53" s="184">
        <v>90</v>
      </c>
      <c r="K53" s="75">
        <v>200</v>
      </c>
      <c r="L53" s="75">
        <v>2800</v>
      </c>
      <c r="M53" s="185">
        <v>27.38475942203933</v>
      </c>
      <c r="N53" s="87">
        <v>1181.8800000000001</v>
      </c>
      <c r="O53" s="120">
        <v>42527.922410552746</v>
      </c>
      <c r="P53" s="119">
        <v>49997.466464774297</v>
      </c>
      <c r="Q53" s="310">
        <v>26686.511139232356</v>
      </c>
      <c r="R53" s="314">
        <v>69214.433549785099</v>
      </c>
      <c r="S53" s="315">
        <v>76683.97760400665</v>
      </c>
      <c r="U53" s="7" t="s">
        <v>4635</v>
      </c>
    </row>
    <row r="54" spans="1:21" ht="16.5" thickBot="1">
      <c r="A54" s="1311" t="s">
        <v>4588</v>
      </c>
      <c r="B54" s="1315">
        <f t="shared" si="0"/>
        <v>90</v>
      </c>
      <c r="C54" s="1315" t="s">
        <v>3</v>
      </c>
      <c r="D54" s="1315">
        <f t="shared" si="1"/>
        <v>200</v>
      </c>
      <c r="E54" s="1315" t="s">
        <v>3</v>
      </c>
      <c r="F54" s="1313">
        <f t="shared" si="2"/>
        <v>2850</v>
      </c>
      <c r="G54" s="1315" t="s">
        <v>3</v>
      </c>
      <c r="H54" s="1312">
        <v>2</v>
      </c>
      <c r="I54" s="1314" t="s">
        <v>45</v>
      </c>
      <c r="J54" s="184">
        <v>90</v>
      </c>
      <c r="K54" s="75">
        <v>200</v>
      </c>
      <c r="L54" s="75">
        <v>2850</v>
      </c>
      <c r="M54" s="185">
        <v>27.850194056774754</v>
      </c>
      <c r="N54" s="87">
        <v>1206</v>
      </c>
      <c r="O54" s="120">
        <v>43137.403410785526</v>
      </c>
      <c r="P54" s="119">
        <v>50736.939925639628</v>
      </c>
      <c r="Q54" s="310">
        <v>27044.929777960355</v>
      </c>
      <c r="R54" s="314">
        <v>70182.333188745877</v>
      </c>
      <c r="S54" s="315">
        <v>77781.869703599979</v>
      </c>
      <c r="U54" s="7" t="s">
        <v>4636</v>
      </c>
    </row>
    <row r="55" spans="1:21" ht="16.5" thickBot="1">
      <c r="A55" s="1311" t="s">
        <v>4588</v>
      </c>
      <c r="B55" s="1315">
        <f t="shared" si="0"/>
        <v>90</v>
      </c>
      <c r="C55" s="1315" t="s">
        <v>3</v>
      </c>
      <c r="D55" s="1315">
        <f t="shared" si="1"/>
        <v>200</v>
      </c>
      <c r="E55" s="1315" t="s">
        <v>3</v>
      </c>
      <c r="F55" s="1313">
        <f t="shared" si="2"/>
        <v>2900</v>
      </c>
      <c r="G55" s="1315" t="s">
        <v>3</v>
      </c>
      <c r="H55" s="1312">
        <v>2</v>
      </c>
      <c r="I55" s="1314" t="s">
        <v>45</v>
      </c>
      <c r="J55" s="184">
        <v>90</v>
      </c>
      <c r="K55" s="75">
        <v>200</v>
      </c>
      <c r="L55" s="75">
        <v>2900</v>
      </c>
      <c r="M55" s="185">
        <v>28.315628691510184</v>
      </c>
      <c r="N55" s="87">
        <v>1230.1199999999999</v>
      </c>
      <c r="O55" s="120">
        <v>43746.884411018298</v>
      </c>
      <c r="P55" s="119">
        <v>51476.413246111581</v>
      </c>
      <c r="Q55" s="310">
        <v>27633.930194471632</v>
      </c>
      <c r="R55" s="314">
        <v>71380.814605489926</v>
      </c>
      <c r="S55" s="315">
        <v>79110.343440583209</v>
      </c>
      <c r="U55" s="7" t="s">
        <v>4637</v>
      </c>
    </row>
    <row r="56" spans="1:21" ht="16.5" thickBot="1">
      <c r="A56" s="1311" t="s">
        <v>4588</v>
      </c>
      <c r="B56" s="1315">
        <f t="shared" si="0"/>
        <v>90</v>
      </c>
      <c r="C56" s="1315" t="s">
        <v>3</v>
      </c>
      <c r="D56" s="1315">
        <f t="shared" si="1"/>
        <v>200</v>
      </c>
      <c r="E56" s="1315" t="s">
        <v>3</v>
      </c>
      <c r="F56" s="1313">
        <f t="shared" si="2"/>
        <v>2950</v>
      </c>
      <c r="G56" s="1315" t="s">
        <v>3</v>
      </c>
      <c r="H56" s="1312">
        <v>2</v>
      </c>
      <c r="I56" s="1314" t="s">
        <v>45</v>
      </c>
      <c r="J56" s="184">
        <v>90</v>
      </c>
      <c r="K56" s="75">
        <v>200</v>
      </c>
      <c r="L56" s="75">
        <v>2950</v>
      </c>
      <c r="M56" s="185">
        <v>28.781063326245615</v>
      </c>
      <c r="N56" s="87">
        <v>1254.24</v>
      </c>
      <c r="O56" s="120">
        <v>44356.365551644434</v>
      </c>
      <c r="P56" s="119">
        <v>52215.886706976911</v>
      </c>
      <c r="Q56" s="310">
        <v>27992.348973592994</v>
      </c>
      <c r="R56" s="314">
        <v>72348.714525237432</v>
      </c>
      <c r="S56" s="315">
        <v>80208.235680569909</v>
      </c>
      <c r="U56" s="7" t="s">
        <v>4638</v>
      </c>
    </row>
    <row r="57" spans="1:21" ht="16.5" thickBot="1">
      <c r="A57" s="1316" t="s">
        <v>4588</v>
      </c>
      <c r="B57" s="1317">
        <f t="shared" si="0"/>
        <v>90</v>
      </c>
      <c r="C57" s="1317" t="s">
        <v>3</v>
      </c>
      <c r="D57" s="1317">
        <f t="shared" si="1"/>
        <v>200</v>
      </c>
      <c r="E57" s="1317" t="s">
        <v>3</v>
      </c>
      <c r="F57" s="1318">
        <f t="shared" si="2"/>
        <v>3000</v>
      </c>
      <c r="G57" s="1317" t="s">
        <v>3</v>
      </c>
      <c r="H57" s="1319">
        <v>2</v>
      </c>
      <c r="I57" s="1320" t="s">
        <v>45</v>
      </c>
      <c r="J57" s="321">
        <v>90</v>
      </c>
      <c r="K57" s="322">
        <v>200</v>
      </c>
      <c r="L57" s="322">
        <v>3000</v>
      </c>
      <c r="M57" s="332">
        <v>29.40256996098104</v>
      </c>
      <c r="N57" s="306">
        <v>1278.3599999999999</v>
      </c>
      <c r="O57" s="308">
        <v>45172.505581477206</v>
      </c>
      <c r="P57" s="333">
        <v>53162.019197442234</v>
      </c>
      <c r="Q57" s="323">
        <v>28581.349390104271</v>
      </c>
      <c r="R57" s="1321">
        <v>73753.854971581473</v>
      </c>
      <c r="S57" s="325">
        <v>81743.368587546502</v>
      </c>
      <c r="U57" s="7" t="s">
        <v>4639</v>
      </c>
    </row>
    <row r="58" spans="1:21" ht="19.5" thickBot="1">
      <c r="A58" s="2580" t="s">
        <v>50</v>
      </c>
      <c r="B58" s="2581"/>
      <c r="C58" s="2581"/>
      <c r="D58" s="2581"/>
      <c r="E58" s="2581"/>
      <c r="F58" s="2581"/>
      <c r="G58" s="2581"/>
      <c r="H58" s="2581"/>
      <c r="I58" s="2581"/>
      <c r="J58" s="2581"/>
      <c r="K58" s="2581"/>
      <c r="L58" s="2581"/>
      <c r="M58" s="2581"/>
      <c r="N58" s="2581"/>
      <c r="O58" s="2581"/>
      <c r="P58" s="2581"/>
      <c r="Q58" s="2581"/>
      <c r="R58" s="2581"/>
      <c r="S58" s="2582"/>
      <c r="U58" s="7"/>
    </row>
    <row r="59" spans="1:21" ht="16.5" thickBot="1">
      <c r="A59" s="2583" t="s">
        <v>4587</v>
      </c>
      <c r="B59" s="2584"/>
      <c r="C59" s="2584"/>
      <c r="D59" s="2584"/>
      <c r="E59" s="2584"/>
      <c r="F59" s="2584"/>
      <c r="G59" s="2584"/>
      <c r="H59" s="2584"/>
      <c r="I59" s="2584"/>
      <c r="J59" s="2584"/>
      <c r="K59" s="2584"/>
      <c r="L59" s="2584"/>
      <c r="M59" s="2584"/>
      <c r="N59" s="2584"/>
      <c r="O59" s="2584"/>
      <c r="P59" s="2584"/>
      <c r="Q59" s="2584"/>
      <c r="R59" s="2584"/>
      <c r="S59" s="2585"/>
      <c r="U59" s="7"/>
    </row>
    <row r="60" spans="1:21" ht="16.5" thickBot="1">
      <c r="A60" s="1311" t="s">
        <v>4588</v>
      </c>
      <c r="B60" s="1312">
        <f>J60</f>
        <v>90</v>
      </c>
      <c r="C60" s="1312" t="s">
        <v>3</v>
      </c>
      <c r="D60" s="1312">
        <f>K60</f>
        <v>260</v>
      </c>
      <c r="E60" s="1312" t="s">
        <v>3</v>
      </c>
      <c r="F60" s="1313">
        <f>L60</f>
        <v>600</v>
      </c>
      <c r="G60" s="1312" t="s">
        <v>3</v>
      </c>
      <c r="H60" s="1312">
        <v>2</v>
      </c>
      <c r="I60" s="1314" t="s">
        <v>45</v>
      </c>
      <c r="J60" s="326">
        <v>90</v>
      </c>
      <c r="K60" s="327">
        <v>260</v>
      </c>
      <c r="L60" s="327">
        <v>600</v>
      </c>
      <c r="M60" s="334">
        <v>7.4931830317857697</v>
      </c>
      <c r="N60" s="302">
        <v>159.83999999999997</v>
      </c>
      <c r="O60" s="304">
        <v>14193.402381680517</v>
      </c>
      <c r="P60" s="335">
        <v>17234.930376296779</v>
      </c>
      <c r="Q60" s="328">
        <v>7536.0353334550891</v>
      </c>
      <c r="R60" s="1322">
        <v>21729.437715135606</v>
      </c>
      <c r="S60" s="330">
        <v>24770.965709751868</v>
      </c>
      <c r="U60" s="7" t="s">
        <v>4640</v>
      </c>
    </row>
    <row r="61" spans="1:21" ht="16.5" thickBot="1">
      <c r="A61" s="1311" t="s">
        <v>4588</v>
      </c>
      <c r="B61" s="1315">
        <f t="shared" ref="B61:B108" si="3">J61</f>
        <v>90</v>
      </c>
      <c r="C61" s="1315" t="s">
        <v>3</v>
      </c>
      <c r="D61" s="1315">
        <f t="shared" ref="D61:D108" si="4">K61</f>
        <v>260</v>
      </c>
      <c r="E61" s="1315" t="s">
        <v>3</v>
      </c>
      <c r="F61" s="1313">
        <f t="shared" ref="F61:F108" si="5">L61</f>
        <v>650</v>
      </c>
      <c r="G61" s="1315" t="s">
        <v>3</v>
      </c>
      <c r="H61" s="1312">
        <v>2</v>
      </c>
      <c r="I61" s="1314" t="s">
        <v>45</v>
      </c>
      <c r="J61" s="184">
        <v>90</v>
      </c>
      <c r="K61" s="75">
        <v>260</v>
      </c>
      <c r="L61" s="75">
        <v>650</v>
      </c>
      <c r="M61" s="185">
        <v>8.0184807613633033</v>
      </c>
      <c r="N61" s="87">
        <v>191.80799999999996</v>
      </c>
      <c r="O61" s="120">
        <v>14832.266589537641</v>
      </c>
      <c r="P61" s="119">
        <v>18024.311992810504</v>
      </c>
      <c r="Q61" s="310">
        <v>7967.645945822027</v>
      </c>
      <c r="R61" s="314">
        <v>22799.912535359668</v>
      </c>
      <c r="S61" s="315">
        <v>25991.957938632531</v>
      </c>
      <c r="U61" s="7" t="s">
        <v>4641</v>
      </c>
    </row>
    <row r="62" spans="1:21" ht="16.5" thickBot="1">
      <c r="A62" s="1311" t="s">
        <v>4588</v>
      </c>
      <c r="B62" s="1315">
        <f t="shared" si="3"/>
        <v>90</v>
      </c>
      <c r="C62" s="1315" t="s">
        <v>3</v>
      </c>
      <c r="D62" s="1315">
        <f t="shared" si="4"/>
        <v>260</v>
      </c>
      <c r="E62" s="1315" t="s">
        <v>3</v>
      </c>
      <c r="F62" s="1313">
        <f t="shared" si="5"/>
        <v>700</v>
      </c>
      <c r="G62" s="1315" t="s">
        <v>3</v>
      </c>
      <c r="H62" s="1312">
        <v>2</v>
      </c>
      <c r="I62" s="1314" t="s">
        <v>45</v>
      </c>
      <c r="J62" s="184">
        <v>90</v>
      </c>
      <c r="K62" s="75">
        <v>260</v>
      </c>
      <c r="L62" s="75">
        <v>700</v>
      </c>
      <c r="M62" s="185">
        <v>8.5437784909408361</v>
      </c>
      <c r="N62" s="87">
        <v>223.77599999999995</v>
      </c>
      <c r="O62" s="120">
        <v>15471.130657001404</v>
      </c>
      <c r="P62" s="119">
        <v>18813.693609324229</v>
      </c>
      <c r="Q62" s="310">
        <v>8629.8383359722393</v>
      </c>
      <c r="R62" s="314">
        <v>24100.968992973641</v>
      </c>
      <c r="S62" s="315">
        <v>27443.531945296469</v>
      </c>
      <c r="U62" s="7" t="s">
        <v>4642</v>
      </c>
    </row>
    <row r="63" spans="1:21" ht="16.5" thickBot="1">
      <c r="A63" s="1311" t="s">
        <v>4588</v>
      </c>
      <c r="B63" s="1315">
        <f t="shared" si="3"/>
        <v>90</v>
      </c>
      <c r="C63" s="1315" t="s">
        <v>3</v>
      </c>
      <c r="D63" s="1315">
        <f t="shared" si="4"/>
        <v>260</v>
      </c>
      <c r="E63" s="1315" t="s">
        <v>3</v>
      </c>
      <c r="F63" s="1313">
        <f t="shared" si="5"/>
        <v>750</v>
      </c>
      <c r="G63" s="1315" t="s">
        <v>3</v>
      </c>
      <c r="H63" s="1312">
        <v>2</v>
      </c>
      <c r="I63" s="1314" t="s">
        <v>45</v>
      </c>
      <c r="J63" s="184">
        <v>90</v>
      </c>
      <c r="K63" s="75">
        <v>260</v>
      </c>
      <c r="L63" s="75">
        <v>750</v>
      </c>
      <c r="M63" s="185">
        <v>9.0690762205183688</v>
      </c>
      <c r="N63" s="87">
        <v>255.74399999999997</v>
      </c>
      <c r="O63" s="120">
        <v>16109.994724465165</v>
      </c>
      <c r="P63" s="119">
        <v>19603.075225837954</v>
      </c>
      <c r="Q63" s="310">
        <v>9061.4489483391772</v>
      </c>
      <c r="R63" s="314">
        <v>25171.443672804344</v>
      </c>
      <c r="S63" s="315">
        <v>28664.524174177131</v>
      </c>
      <c r="U63" s="7" t="s">
        <v>4643</v>
      </c>
    </row>
    <row r="64" spans="1:21" ht="16.5" thickBot="1">
      <c r="A64" s="1311" t="s">
        <v>4588</v>
      </c>
      <c r="B64" s="1315">
        <f t="shared" si="3"/>
        <v>90</v>
      </c>
      <c r="C64" s="1315" t="s">
        <v>3</v>
      </c>
      <c r="D64" s="1315">
        <f t="shared" si="4"/>
        <v>260</v>
      </c>
      <c r="E64" s="1315" t="s">
        <v>3</v>
      </c>
      <c r="F64" s="1313">
        <f t="shared" si="5"/>
        <v>800</v>
      </c>
      <c r="G64" s="1315" t="s">
        <v>3</v>
      </c>
      <c r="H64" s="1312">
        <v>2</v>
      </c>
      <c r="I64" s="1314" t="s">
        <v>45</v>
      </c>
      <c r="J64" s="184">
        <v>90</v>
      </c>
      <c r="K64" s="75">
        <v>260</v>
      </c>
      <c r="L64" s="75">
        <v>800</v>
      </c>
      <c r="M64" s="185">
        <v>9.5943739500959015</v>
      </c>
      <c r="N64" s="87">
        <v>287.71199999999999</v>
      </c>
      <c r="O64" s="120">
        <v>17108.596145510892</v>
      </c>
      <c r="P64" s="119">
        <v>20406.496178601679</v>
      </c>
      <c r="Q64" s="310">
        <v>9493.059560706115</v>
      </c>
      <c r="R64" s="314">
        <v>26601.655706217007</v>
      </c>
      <c r="S64" s="315">
        <v>29899.555739307794</v>
      </c>
      <c r="U64" s="7" t="s">
        <v>4644</v>
      </c>
    </row>
    <row r="65" spans="1:21" ht="16.5" thickBot="1">
      <c r="A65" s="1311" t="s">
        <v>4588</v>
      </c>
      <c r="B65" s="1315">
        <f t="shared" si="3"/>
        <v>90</v>
      </c>
      <c r="C65" s="1315" t="s">
        <v>3</v>
      </c>
      <c r="D65" s="1315">
        <f t="shared" si="4"/>
        <v>260</v>
      </c>
      <c r="E65" s="1315" t="s">
        <v>3</v>
      </c>
      <c r="F65" s="1313">
        <f t="shared" si="5"/>
        <v>850</v>
      </c>
      <c r="G65" s="1315" t="s">
        <v>3</v>
      </c>
      <c r="H65" s="1312">
        <v>2</v>
      </c>
      <c r="I65" s="1314" t="s">
        <v>45</v>
      </c>
      <c r="J65" s="184">
        <v>90</v>
      </c>
      <c r="K65" s="75">
        <v>260</v>
      </c>
      <c r="L65" s="75">
        <v>850</v>
      </c>
      <c r="M65" s="185">
        <v>10.119671679673434</v>
      </c>
      <c r="N65" s="87">
        <v>319.67999999999995</v>
      </c>
      <c r="O65" s="120">
        <v>17747.460353368017</v>
      </c>
      <c r="P65" s="119">
        <v>21195.877795115404</v>
      </c>
      <c r="Q65" s="310">
        <v>10155.251950856327</v>
      </c>
      <c r="R65" s="314">
        <v>27902.712304224344</v>
      </c>
      <c r="S65" s="315">
        <v>31351.129745971732</v>
      </c>
      <c r="U65" s="7" t="s">
        <v>4645</v>
      </c>
    </row>
    <row r="66" spans="1:21" ht="16.5" thickBot="1">
      <c r="A66" s="1311" t="s">
        <v>4588</v>
      </c>
      <c r="B66" s="1315">
        <f t="shared" si="3"/>
        <v>90</v>
      </c>
      <c r="C66" s="1315" t="s">
        <v>3</v>
      </c>
      <c r="D66" s="1315">
        <f t="shared" si="4"/>
        <v>260</v>
      </c>
      <c r="E66" s="1315" t="s">
        <v>3</v>
      </c>
      <c r="F66" s="1313">
        <f t="shared" si="5"/>
        <v>900</v>
      </c>
      <c r="G66" s="1315" t="s">
        <v>3</v>
      </c>
      <c r="H66" s="1312">
        <v>2</v>
      </c>
      <c r="I66" s="1314" t="s">
        <v>45</v>
      </c>
      <c r="J66" s="184">
        <v>90</v>
      </c>
      <c r="K66" s="75">
        <v>260</v>
      </c>
      <c r="L66" s="75">
        <v>900</v>
      </c>
      <c r="M66" s="185">
        <v>10.644969409250969</v>
      </c>
      <c r="N66" s="87">
        <v>351.64799999999997</v>
      </c>
      <c r="O66" s="120">
        <v>18386.324420831781</v>
      </c>
      <c r="P66" s="119">
        <v>21985.259411629129</v>
      </c>
      <c r="Q66" s="310">
        <v>10586.862563223265</v>
      </c>
      <c r="R66" s="314">
        <v>28973.186984055046</v>
      </c>
      <c r="S66" s="315">
        <v>32572.121974852394</v>
      </c>
      <c r="U66" s="7" t="s">
        <v>4646</v>
      </c>
    </row>
    <row r="67" spans="1:21" ht="16.5" thickBot="1">
      <c r="A67" s="1311" t="s">
        <v>4588</v>
      </c>
      <c r="B67" s="1315">
        <f t="shared" si="3"/>
        <v>90</v>
      </c>
      <c r="C67" s="1315" t="s">
        <v>3</v>
      </c>
      <c r="D67" s="1315">
        <f t="shared" si="4"/>
        <v>260</v>
      </c>
      <c r="E67" s="1315" t="s">
        <v>3</v>
      </c>
      <c r="F67" s="1313">
        <f t="shared" si="5"/>
        <v>950</v>
      </c>
      <c r="G67" s="1315" t="s">
        <v>3</v>
      </c>
      <c r="H67" s="1312">
        <v>2</v>
      </c>
      <c r="I67" s="1314" t="s">
        <v>45</v>
      </c>
      <c r="J67" s="184">
        <v>90</v>
      </c>
      <c r="K67" s="75">
        <v>260</v>
      </c>
      <c r="L67" s="75">
        <v>950</v>
      </c>
      <c r="M67" s="185">
        <v>11.170267138828502</v>
      </c>
      <c r="N67" s="87">
        <v>383.61599999999993</v>
      </c>
      <c r="O67" s="120">
        <v>19025.188488295542</v>
      </c>
      <c r="P67" s="119">
        <v>22774.641028142854</v>
      </c>
      <c r="Q67" s="310">
        <v>11249.054953373477</v>
      </c>
      <c r="R67" s="314">
        <v>30274.243441669019</v>
      </c>
      <c r="S67" s="315">
        <v>34023.695981516328</v>
      </c>
      <c r="U67" s="7" t="s">
        <v>4647</v>
      </c>
    </row>
    <row r="68" spans="1:21" ht="16.5" thickBot="1">
      <c r="A68" s="1311" t="s">
        <v>4588</v>
      </c>
      <c r="B68" s="1315">
        <f t="shared" si="3"/>
        <v>90</v>
      </c>
      <c r="C68" s="1315" t="s">
        <v>3</v>
      </c>
      <c r="D68" s="1315">
        <f t="shared" si="4"/>
        <v>260</v>
      </c>
      <c r="E68" s="1315" t="s">
        <v>3</v>
      </c>
      <c r="F68" s="1313">
        <f t="shared" si="5"/>
        <v>1000</v>
      </c>
      <c r="G68" s="1315" t="s">
        <v>3</v>
      </c>
      <c r="H68" s="1312">
        <v>2</v>
      </c>
      <c r="I68" s="1314" t="s">
        <v>45</v>
      </c>
      <c r="J68" s="184">
        <v>90</v>
      </c>
      <c r="K68" s="75">
        <v>260</v>
      </c>
      <c r="L68" s="75">
        <v>1000</v>
      </c>
      <c r="M68" s="185">
        <v>11.797011668406036</v>
      </c>
      <c r="N68" s="87">
        <v>415.58399999999995</v>
      </c>
      <c r="O68" s="120">
        <v>19710.337439508305</v>
      </c>
      <c r="P68" s="119">
        <v>23610.307528405581</v>
      </c>
      <c r="Q68" s="310">
        <v>11680.665565740415</v>
      </c>
      <c r="R68" s="314">
        <v>31391.00300524872</v>
      </c>
      <c r="S68" s="315">
        <v>35290.973094146</v>
      </c>
      <c r="U68" s="7" t="s">
        <v>4648</v>
      </c>
    </row>
    <row r="69" spans="1:21" ht="16.5" thickBot="1">
      <c r="A69" s="1311" t="s">
        <v>4588</v>
      </c>
      <c r="B69" s="1315">
        <f t="shared" si="3"/>
        <v>90</v>
      </c>
      <c r="C69" s="1315" t="s">
        <v>3</v>
      </c>
      <c r="D69" s="1315">
        <f t="shared" si="4"/>
        <v>260</v>
      </c>
      <c r="E69" s="1315" t="s">
        <v>3</v>
      </c>
      <c r="F69" s="1313">
        <f t="shared" si="5"/>
        <v>1050</v>
      </c>
      <c r="G69" s="1315" t="s">
        <v>3</v>
      </c>
      <c r="H69" s="1312">
        <v>2</v>
      </c>
      <c r="I69" s="1314" t="s">
        <v>45</v>
      </c>
      <c r="J69" s="184">
        <v>90</v>
      </c>
      <c r="K69" s="75">
        <v>260</v>
      </c>
      <c r="L69" s="75">
        <v>1050</v>
      </c>
      <c r="M69" s="185">
        <v>12.322309397983569</v>
      </c>
      <c r="N69" s="87">
        <v>447.55199999999991</v>
      </c>
      <c r="O69" s="120">
        <v>20349.201647365429</v>
      </c>
      <c r="P69" s="119">
        <v>24399.689144919303</v>
      </c>
      <c r="Q69" s="310">
        <v>12342.857815497266</v>
      </c>
      <c r="R69" s="314">
        <v>32692.059462862693</v>
      </c>
      <c r="S69" s="315">
        <v>36742.54696041657</v>
      </c>
      <c r="U69" s="7" t="s">
        <v>4649</v>
      </c>
    </row>
    <row r="70" spans="1:21" ht="16.5" thickBot="1">
      <c r="A70" s="1311" t="s">
        <v>4588</v>
      </c>
      <c r="B70" s="1312">
        <f t="shared" si="3"/>
        <v>90</v>
      </c>
      <c r="C70" s="1312" t="s">
        <v>3</v>
      </c>
      <c r="D70" s="1312">
        <f t="shared" si="4"/>
        <v>260</v>
      </c>
      <c r="E70" s="1312" t="s">
        <v>3</v>
      </c>
      <c r="F70" s="1313">
        <f t="shared" si="5"/>
        <v>1100</v>
      </c>
      <c r="G70" s="1312" t="s">
        <v>3</v>
      </c>
      <c r="H70" s="1312">
        <v>2</v>
      </c>
      <c r="I70" s="1314" t="s">
        <v>45</v>
      </c>
      <c r="J70" s="184">
        <v>90</v>
      </c>
      <c r="K70" s="75">
        <v>260</v>
      </c>
      <c r="L70" s="75">
        <v>1100</v>
      </c>
      <c r="M70" s="185">
        <v>12.847607127561099</v>
      </c>
      <c r="N70" s="87">
        <v>479.51999999999992</v>
      </c>
      <c r="O70" s="120">
        <v>20988.06571482919</v>
      </c>
      <c r="P70" s="119">
        <v>25189.070761433031</v>
      </c>
      <c r="Q70" s="310">
        <v>12774.468427864203</v>
      </c>
      <c r="R70" s="314">
        <v>33762.534142693396</v>
      </c>
      <c r="S70" s="315">
        <v>37963.539189297233</v>
      </c>
      <c r="U70" s="7" t="s">
        <v>4650</v>
      </c>
    </row>
    <row r="71" spans="1:21" ht="16.5" thickBot="1">
      <c r="A71" s="1311" t="s">
        <v>4588</v>
      </c>
      <c r="B71" s="1315">
        <f t="shared" si="3"/>
        <v>90</v>
      </c>
      <c r="C71" s="1315" t="s">
        <v>3</v>
      </c>
      <c r="D71" s="1315">
        <f t="shared" si="4"/>
        <v>260</v>
      </c>
      <c r="E71" s="1315" t="s">
        <v>3</v>
      </c>
      <c r="F71" s="1313">
        <f t="shared" si="5"/>
        <v>1150</v>
      </c>
      <c r="G71" s="1315" t="s">
        <v>3</v>
      </c>
      <c r="H71" s="1312">
        <v>2</v>
      </c>
      <c r="I71" s="1314" t="s">
        <v>45</v>
      </c>
      <c r="J71" s="184">
        <v>90</v>
      </c>
      <c r="K71" s="75">
        <v>260</v>
      </c>
      <c r="L71" s="75">
        <v>1150</v>
      </c>
      <c r="M71" s="185">
        <v>13.372904857138632</v>
      </c>
      <c r="N71" s="87">
        <v>511.48799999999994</v>
      </c>
      <c r="O71" s="120">
        <v>21626.929782292955</v>
      </c>
      <c r="P71" s="119">
        <v>25978.452377946753</v>
      </c>
      <c r="Q71" s="310">
        <v>13206.07904023114</v>
      </c>
      <c r="R71" s="314">
        <v>34833.008822524091</v>
      </c>
      <c r="S71" s="315">
        <v>39184.531418177896</v>
      </c>
      <c r="U71" s="7" t="s">
        <v>4651</v>
      </c>
    </row>
    <row r="72" spans="1:21" ht="16.5" thickBot="1">
      <c r="A72" s="1311" t="s">
        <v>4588</v>
      </c>
      <c r="B72" s="1315">
        <f t="shared" si="3"/>
        <v>90</v>
      </c>
      <c r="C72" s="1315" t="s">
        <v>3</v>
      </c>
      <c r="D72" s="1315">
        <f t="shared" si="4"/>
        <v>260</v>
      </c>
      <c r="E72" s="1315" t="s">
        <v>3</v>
      </c>
      <c r="F72" s="1313">
        <f t="shared" si="5"/>
        <v>1200</v>
      </c>
      <c r="G72" s="1315" t="s">
        <v>3</v>
      </c>
      <c r="H72" s="1312">
        <v>2</v>
      </c>
      <c r="I72" s="1314" t="s">
        <v>45</v>
      </c>
      <c r="J72" s="184">
        <v>90</v>
      </c>
      <c r="K72" s="75">
        <v>260</v>
      </c>
      <c r="L72" s="75">
        <v>1200</v>
      </c>
      <c r="M72" s="185">
        <v>13.898202586716163</v>
      </c>
      <c r="N72" s="87">
        <v>543.4559999999999</v>
      </c>
      <c r="O72" s="120">
        <v>22265.793990150079</v>
      </c>
      <c r="P72" s="119">
        <v>26767.833994460481</v>
      </c>
      <c r="Q72" s="310">
        <v>13868.271430381354</v>
      </c>
      <c r="R72" s="314">
        <v>36134.065420531435</v>
      </c>
      <c r="S72" s="315">
        <v>40636.105424841837</v>
      </c>
      <c r="U72" s="7" t="s">
        <v>4652</v>
      </c>
    </row>
    <row r="73" spans="1:21" ht="16.5" thickBot="1">
      <c r="A73" s="1311" t="s">
        <v>4588</v>
      </c>
      <c r="B73" s="1315">
        <f t="shared" si="3"/>
        <v>90</v>
      </c>
      <c r="C73" s="1315" t="s">
        <v>3</v>
      </c>
      <c r="D73" s="1315">
        <f t="shared" si="4"/>
        <v>260</v>
      </c>
      <c r="E73" s="1315" t="s">
        <v>3</v>
      </c>
      <c r="F73" s="1313">
        <f t="shared" si="5"/>
        <v>1250</v>
      </c>
      <c r="G73" s="1315" t="s">
        <v>3</v>
      </c>
      <c r="H73" s="1312">
        <v>2</v>
      </c>
      <c r="I73" s="1314" t="s">
        <v>45</v>
      </c>
      <c r="J73" s="184">
        <v>90</v>
      </c>
      <c r="K73" s="75">
        <v>260</v>
      </c>
      <c r="L73" s="75">
        <v>1250</v>
      </c>
      <c r="M73" s="185">
        <v>14.423500316293699</v>
      </c>
      <c r="N73" s="87">
        <v>575.42399999999998</v>
      </c>
      <c r="O73" s="120">
        <v>22904.658057613844</v>
      </c>
      <c r="P73" s="119">
        <v>27557.215610974206</v>
      </c>
      <c r="Q73" s="310">
        <v>14299.882042748291</v>
      </c>
      <c r="R73" s="314">
        <v>37204.540100362137</v>
      </c>
      <c r="S73" s="315">
        <v>41857.0976537225</v>
      </c>
      <c r="U73" s="7" t="s">
        <v>4653</v>
      </c>
    </row>
    <row r="74" spans="1:21" ht="16.5" thickBot="1">
      <c r="A74" s="1311" t="s">
        <v>4588</v>
      </c>
      <c r="B74" s="1315">
        <f t="shared" si="3"/>
        <v>90</v>
      </c>
      <c r="C74" s="1315" t="s">
        <v>3</v>
      </c>
      <c r="D74" s="1315">
        <f t="shared" si="4"/>
        <v>260</v>
      </c>
      <c r="E74" s="1315" t="s">
        <v>3</v>
      </c>
      <c r="F74" s="1313">
        <f t="shared" si="5"/>
        <v>1300</v>
      </c>
      <c r="G74" s="1315" t="s">
        <v>3</v>
      </c>
      <c r="H74" s="1312">
        <v>2</v>
      </c>
      <c r="I74" s="1314" t="s">
        <v>45</v>
      </c>
      <c r="J74" s="184">
        <v>90</v>
      </c>
      <c r="K74" s="75">
        <v>260</v>
      </c>
      <c r="L74" s="75">
        <v>1300</v>
      </c>
      <c r="M74" s="185">
        <v>14.948798045871232</v>
      </c>
      <c r="N74" s="87">
        <v>607.39199999999983</v>
      </c>
      <c r="O74" s="120">
        <v>23543.522125077605</v>
      </c>
      <c r="P74" s="119">
        <v>28346.597227487931</v>
      </c>
      <c r="Q74" s="310">
        <v>14962.074432898504</v>
      </c>
      <c r="R74" s="314">
        <v>38505.59655797611</v>
      </c>
      <c r="S74" s="315">
        <v>43308.671660386433</v>
      </c>
      <c r="U74" s="7" t="s">
        <v>4654</v>
      </c>
    </row>
    <row r="75" spans="1:21" ht="16.5" thickBot="1">
      <c r="A75" s="1311" t="s">
        <v>4588</v>
      </c>
      <c r="B75" s="1315">
        <f t="shared" si="3"/>
        <v>90</v>
      </c>
      <c r="C75" s="1315" t="s">
        <v>3</v>
      </c>
      <c r="D75" s="1315">
        <f t="shared" si="4"/>
        <v>260</v>
      </c>
      <c r="E75" s="1315" t="s">
        <v>3</v>
      </c>
      <c r="F75" s="1313">
        <f t="shared" si="5"/>
        <v>1350</v>
      </c>
      <c r="G75" s="1315" t="s">
        <v>3</v>
      </c>
      <c r="H75" s="1312">
        <v>2</v>
      </c>
      <c r="I75" s="1314" t="s">
        <v>45</v>
      </c>
      <c r="J75" s="184">
        <v>90</v>
      </c>
      <c r="K75" s="75">
        <v>260</v>
      </c>
      <c r="L75" s="75">
        <v>1350</v>
      </c>
      <c r="M75" s="185">
        <v>15.474095775448761</v>
      </c>
      <c r="N75" s="87">
        <v>639.3599999999999</v>
      </c>
      <c r="O75" s="120">
        <v>24182.386192541366</v>
      </c>
      <c r="P75" s="119">
        <v>29135.978844001656</v>
      </c>
      <c r="Q75" s="310">
        <v>15393.685045265442</v>
      </c>
      <c r="R75" s="314">
        <v>39576.071237806806</v>
      </c>
      <c r="S75" s="315">
        <v>44529.663889267096</v>
      </c>
      <c r="U75" s="7" t="s">
        <v>4655</v>
      </c>
    </row>
    <row r="76" spans="1:21" ht="16.5" thickBot="1">
      <c r="A76" s="1311" t="s">
        <v>4588</v>
      </c>
      <c r="B76" s="1315">
        <f t="shared" si="3"/>
        <v>90</v>
      </c>
      <c r="C76" s="1315" t="s">
        <v>3</v>
      </c>
      <c r="D76" s="1315">
        <f t="shared" si="4"/>
        <v>260</v>
      </c>
      <c r="E76" s="1315" t="s">
        <v>3</v>
      </c>
      <c r="F76" s="1313">
        <f t="shared" si="5"/>
        <v>1400</v>
      </c>
      <c r="G76" s="1315" t="s">
        <v>3</v>
      </c>
      <c r="H76" s="1312">
        <v>2</v>
      </c>
      <c r="I76" s="1314" t="s">
        <v>45</v>
      </c>
      <c r="J76" s="184">
        <v>90</v>
      </c>
      <c r="K76" s="75">
        <v>260</v>
      </c>
      <c r="L76" s="75">
        <v>1400</v>
      </c>
      <c r="M76" s="185">
        <v>15.999393505026298</v>
      </c>
      <c r="N76" s="87">
        <v>671.32799999999997</v>
      </c>
      <c r="O76" s="120">
        <v>24821.250400398494</v>
      </c>
      <c r="P76" s="119">
        <v>29925.360460515378</v>
      </c>
      <c r="Q76" s="310">
        <v>16055.877435415654</v>
      </c>
      <c r="R76" s="314">
        <v>40877.12783581415</v>
      </c>
      <c r="S76" s="315">
        <v>45981.23789593103</v>
      </c>
      <c r="U76" s="7" t="s">
        <v>4656</v>
      </c>
    </row>
    <row r="77" spans="1:21" ht="16.5" thickBot="1">
      <c r="A77" s="1311" t="s">
        <v>4588</v>
      </c>
      <c r="B77" s="1315">
        <f t="shared" si="3"/>
        <v>90</v>
      </c>
      <c r="C77" s="1315" t="s">
        <v>3</v>
      </c>
      <c r="D77" s="1315">
        <f t="shared" si="4"/>
        <v>260</v>
      </c>
      <c r="E77" s="1315" t="s">
        <v>3</v>
      </c>
      <c r="F77" s="1313">
        <f t="shared" si="5"/>
        <v>1450</v>
      </c>
      <c r="G77" s="1315" t="s">
        <v>3</v>
      </c>
      <c r="H77" s="1312">
        <v>2</v>
      </c>
      <c r="I77" s="1314" t="s">
        <v>45</v>
      </c>
      <c r="J77" s="184">
        <v>90</v>
      </c>
      <c r="K77" s="75">
        <v>260</v>
      </c>
      <c r="L77" s="75">
        <v>1450</v>
      </c>
      <c r="M77" s="185">
        <v>16.524691234603832</v>
      </c>
      <c r="N77" s="87">
        <v>703.29599999999994</v>
      </c>
      <c r="O77" s="120">
        <v>25460.114467862255</v>
      </c>
      <c r="P77" s="119">
        <v>30714.742077029106</v>
      </c>
      <c r="Q77" s="310">
        <v>16487.48804778259</v>
      </c>
      <c r="R77" s="314">
        <v>41947.602515644845</v>
      </c>
      <c r="S77" s="315">
        <v>47202.2301248117</v>
      </c>
      <c r="U77" s="7" t="s">
        <v>4657</v>
      </c>
    </row>
    <row r="78" spans="1:21" ht="16.5" thickBot="1">
      <c r="A78" s="1311" t="s">
        <v>4588</v>
      </c>
      <c r="B78" s="1315">
        <f t="shared" si="3"/>
        <v>90</v>
      </c>
      <c r="C78" s="1315" t="s">
        <v>3</v>
      </c>
      <c r="D78" s="1315">
        <f t="shared" si="4"/>
        <v>260</v>
      </c>
      <c r="E78" s="1315" t="s">
        <v>3</v>
      </c>
      <c r="F78" s="1313">
        <f t="shared" si="5"/>
        <v>1500</v>
      </c>
      <c r="G78" s="1315" t="s">
        <v>3</v>
      </c>
      <c r="H78" s="1312">
        <v>2</v>
      </c>
      <c r="I78" s="1314" t="s">
        <v>45</v>
      </c>
      <c r="J78" s="184">
        <v>90</v>
      </c>
      <c r="K78" s="75">
        <v>260</v>
      </c>
      <c r="L78" s="75">
        <v>1500</v>
      </c>
      <c r="M78" s="185">
        <v>17.308184564181364</v>
      </c>
      <c r="N78" s="87">
        <v>735.26399999999978</v>
      </c>
      <c r="O78" s="120">
        <v>26730.099768454544</v>
      </c>
      <c r="P78" s="119">
        <v>32271.860022999754</v>
      </c>
      <c r="Q78" s="310">
        <v>17149.680437932802</v>
      </c>
      <c r="R78" s="314">
        <v>43879.780206387346</v>
      </c>
      <c r="S78" s="315">
        <v>49421.540460932556</v>
      </c>
      <c r="U78" s="7" t="s">
        <v>4658</v>
      </c>
    </row>
    <row r="79" spans="1:21" ht="16.5" thickBot="1">
      <c r="A79" s="1311" t="s">
        <v>4588</v>
      </c>
      <c r="B79" s="1315">
        <f t="shared" si="3"/>
        <v>90</v>
      </c>
      <c r="C79" s="1315" t="s">
        <v>3</v>
      </c>
      <c r="D79" s="1315">
        <f t="shared" si="4"/>
        <v>260</v>
      </c>
      <c r="E79" s="1315" t="s">
        <v>3</v>
      </c>
      <c r="F79" s="1313">
        <f t="shared" si="5"/>
        <v>1550</v>
      </c>
      <c r="G79" s="1315" t="s">
        <v>3</v>
      </c>
      <c r="H79" s="1312">
        <v>2</v>
      </c>
      <c r="I79" s="1314" t="s">
        <v>45</v>
      </c>
      <c r="J79" s="184">
        <v>90</v>
      </c>
      <c r="K79" s="75">
        <v>260</v>
      </c>
      <c r="L79" s="75">
        <v>1550</v>
      </c>
      <c r="M79" s="185">
        <v>17.833482293758898</v>
      </c>
      <c r="N79" s="87">
        <v>767.23199999999986</v>
      </c>
      <c r="O79" s="120">
        <v>27368.963835918305</v>
      </c>
      <c r="P79" s="119">
        <v>33061.241639513479</v>
      </c>
      <c r="Q79" s="310">
        <v>17581.29105029974</v>
      </c>
      <c r="R79" s="314">
        <v>44950.254886218041</v>
      </c>
      <c r="S79" s="315">
        <v>50642.532689813219</v>
      </c>
      <c r="U79" s="7" t="s">
        <v>4659</v>
      </c>
    </row>
    <row r="80" spans="1:21" ht="16.5" thickBot="1">
      <c r="A80" s="1311" t="s">
        <v>4588</v>
      </c>
      <c r="B80" s="1312">
        <f t="shared" si="3"/>
        <v>90</v>
      </c>
      <c r="C80" s="1312" t="s">
        <v>3</v>
      </c>
      <c r="D80" s="1312">
        <f t="shared" si="4"/>
        <v>260</v>
      </c>
      <c r="E80" s="1312" t="s">
        <v>3</v>
      </c>
      <c r="F80" s="1313">
        <f t="shared" si="5"/>
        <v>1600</v>
      </c>
      <c r="G80" s="1312" t="s">
        <v>3</v>
      </c>
      <c r="H80" s="1312">
        <v>2</v>
      </c>
      <c r="I80" s="1314" t="s">
        <v>45</v>
      </c>
      <c r="J80" s="184">
        <v>90</v>
      </c>
      <c r="K80" s="75">
        <v>260</v>
      </c>
      <c r="L80" s="75">
        <v>1600</v>
      </c>
      <c r="M80" s="185">
        <v>18.358780023336429</v>
      </c>
      <c r="N80" s="87">
        <v>799.19999999999982</v>
      </c>
      <c r="O80" s="120">
        <v>28007.827903382065</v>
      </c>
      <c r="P80" s="119">
        <v>33850.623256027211</v>
      </c>
      <c r="Q80" s="310">
        <v>18012.901662666678</v>
      </c>
      <c r="R80" s="314">
        <v>46020.729566048743</v>
      </c>
      <c r="S80" s="315">
        <v>51863.524918693889</v>
      </c>
      <c r="U80" s="7" t="s">
        <v>4660</v>
      </c>
    </row>
    <row r="81" spans="1:21" ht="16.5" thickBot="1">
      <c r="A81" s="1311" t="s">
        <v>4588</v>
      </c>
      <c r="B81" s="1315">
        <f t="shared" si="3"/>
        <v>90</v>
      </c>
      <c r="C81" s="1315" t="s">
        <v>3</v>
      </c>
      <c r="D81" s="1315">
        <f t="shared" si="4"/>
        <v>260</v>
      </c>
      <c r="E81" s="1315" t="s">
        <v>3</v>
      </c>
      <c r="F81" s="1313">
        <f t="shared" si="5"/>
        <v>1650</v>
      </c>
      <c r="G81" s="1315" t="s">
        <v>3</v>
      </c>
      <c r="H81" s="1312">
        <v>2</v>
      </c>
      <c r="I81" s="1314" t="s">
        <v>45</v>
      </c>
      <c r="J81" s="184">
        <v>90</v>
      </c>
      <c r="K81" s="75">
        <v>260</v>
      </c>
      <c r="L81" s="75">
        <v>1650</v>
      </c>
      <c r="M81" s="185">
        <v>18.88407775291396</v>
      </c>
      <c r="N81" s="87">
        <v>831.16799999999989</v>
      </c>
      <c r="O81" s="120">
        <v>28646.69211123919</v>
      </c>
      <c r="P81" s="119">
        <v>34640.004872540929</v>
      </c>
      <c r="Q81" s="310">
        <v>18675.09391242353</v>
      </c>
      <c r="R81" s="314">
        <v>47321.786023662717</v>
      </c>
      <c r="S81" s="315">
        <v>53315.098784964459</v>
      </c>
      <c r="U81" s="7" t="s">
        <v>4661</v>
      </c>
    </row>
    <row r="82" spans="1:21" ht="16.5" thickBot="1">
      <c r="A82" s="1311" t="s">
        <v>4588</v>
      </c>
      <c r="B82" s="1315">
        <f t="shared" si="3"/>
        <v>90</v>
      </c>
      <c r="C82" s="1315" t="s">
        <v>3</v>
      </c>
      <c r="D82" s="1315">
        <f t="shared" si="4"/>
        <v>260</v>
      </c>
      <c r="E82" s="1315" t="s">
        <v>3</v>
      </c>
      <c r="F82" s="1313">
        <f t="shared" si="5"/>
        <v>1700</v>
      </c>
      <c r="G82" s="1315" t="s">
        <v>3</v>
      </c>
      <c r="H82" s="1312">
        <v>2</v>
      </c>
      <c r="I82" s="1314" t="s">
        <v>45</v>
      </c>
      <c r="J82" s="184">
        <v>90</v>
      </c>
      <c r="K82" s="75">
        <v>260</v>
      </c>
      <c r="L82" s="75">
        <v>1700</v>
      </c>
      <c r="M82" s="185">
        <v>19.409375482491495</v>
      </c>
      <c r="N82" s="87">
        <v>863.13599999999997</v>
      </c>
      <c r="O82" s="120">
        <v>29285.556178702958</v>
      </c>
      <c r="P82" s="119">
        <v>35429.386489054661</v>
      </c>
      <c r="Q82" s="310">
        <v>19106.704524790468</v>
      </c>
      <c r="R82" s="314">
        <v>48392.260703493426</v>
      </c>
      <c r="S82" s="315">
        <v>54536.091013845129</v>
      </c>
      <c r="U82" s="7" t="s">
        <v>4662</v>
      </c>
    </row>
    <row r="83" spans="1:21" ht="16.5" thickBot="1">
      <c r="A83" s="1311" t="s">
        <v>4588</v>
      </c>
      <c r="B83" s="1315">
        <f t="shared" si="3"/>
        <v>90</v>
      </c>
      <c r="C83" s="1315" t="s">
        <v>3</v>
      </c>
      <c r="D83" s="1315">
        <f t="shared" si="4"/>
        <v>260</v>
      </c>
      <c r="E83" s="1315" t="s">
        <v>3</v>
      </c>
      <c r="F83" s="1313">
        <f t="shared" si="5"/>
        <v>1750</v>
      </c>
      <c r="G83" s="1315" t="s">
        <v>3</v>
      </c>
      <c r="H83" s="1312">
        <v>2</v>
      </c>
      <c r="I83" s="1314" t="s">
        <v>45</v>
      </c>
      <c r="J83" s="184">
        <v>90</v>
      </c>
      <c r="K83" s="75">
        <v>260</v>
      </c>
      <c r="L83" s="75">
        <v>1750</v>
      </c>
      <c r="M83" s="185">
        <v>19.934673212069026</v>
      </c>
      <c r="N83" s="87">
        <v>895.10399999999981</v>
      </c>
      <c r="O83" s="120">
        <v>29924.420246166719</v>
      </c>
      <c r="P83" s="119">
        <v>36218.768105568379</v>
      </c>
      <c r="Q83" s="310">
        <v>19768.89691494068</v>
      </c>
      <c r="R83" s="314">
        <v>49693.317161107399</v>
      </c>
      <c r="S83" s="315">
        <v>55987.665020509055</v>
      </c>
      <c r="U83" s="7" t="s">
        <v>4663</v>
      </c>
    </row>
    <row r="84" spans="1:21" ht="16.5" thickBot="1">
      <c r="A84" s="1311" t="s">
        <v>4588</v>
      </c>
      <c r="B84" s="1315">
        <f t="shared" si="3"/>
        <v>90</v>
      </c>
      <c r="C84" s="1315" t="s">
        <v>3</v>
      </c>
      <c r="D84" s="1315">
        <f t="shared" si="4"/>
        <v>260</v>
      </c>
      <c r="E84" s="1315" t="s">
        <v>3</v>
      </c>
      <c r="F84" s="1313">
        <f t="shared" si="5"/>
        <v>1800</v>
      </c>
      <c r="G84" s="1315" t="s">
        <v>3</v>
      </c>
      <c r="H84" s="1312">
        <v>2</v>
      </c>
      <c r="I84" s="1314" t="s">
        <v>45</v>
      </c>
      <c r="J84" s="184">
        <v>90</v>
      </c>
      <c r="K84" s="75">
        <v>260</v>
      </c>
      <c r="L84" s="75">
        <v>1800</v>
      </c>
      <c r="M84" s="185">
        <v>20.459970941646564</v>
      </c>
      <c r="N84" s="87">
        <v>927.07199999999978</v>
      </c>
      <c r="O84" s="120">
        <v>30563.284454023844</v>
      </c>
      <c r="P84" s="119">
        <v>37008.149722082104</v>
      </c>
      <c r="Q84" s="310">
        <v>20200.507527307618</v>
      </c>
      <c r="R84" s="314">
        <v>50763.791981331466</v>
      </c>
      <c r="S84" s="315">
        <v>57208.657249389726</v>
      </c>
      <c r="U84" s="7" t="s">
        <v>4664</v>
      </c>
    </row>
    <row r="85" spans="1:21" ht="16.5" thickBot="1">
      <c r="A85" s="1311" t="s">
        <v>4588</v>
      </c>
      <c r="B85" s="1315">
        <f t="shared" si="3"/>
        <v>90</v>
      </c>
      <c r="C85" s="1315" t="s">
        <v>3</v>
      </c>
      <c r="D85" s="1315">
        <f t="shared" si="4"/>
        <v>260</v>
      </c>
      <c r="E85" s="1315" t="s">
        <v>3</v>
      </c>
      <c r="F85" s="1313">
        <f t="shared" si="5"/>
        <v>1850</v>
      </c>
      <c r="G85" s="1315" t="s">
        <v>3</v>
      </c>
      <c r="H85" s="1312">
        <v>2</v>
      </c>
      <c r="I85" s="1314" t="s">
        <v>45</v>
      </c>
      <c r="J85" s="184">
        <v>90</v>
      </c>
      <c r="K85" s="75">
        <v>260</v>
      </c>
      <c r="L85" s="75">
        <v>1850</v>
      </c>
      <c r="M85" s="185">
        <v>20.985268671224091</v>
      </c>
      <c r="N85" s="87">
        <v>959.03999999999985</v>
      </c>
      <c r="O85" s="120">
        <v>31202.148521487605</v>
      </c>
      <c r="P85" s="119">
        <v>37797.531338595836</v>
      </c>
      <c r="Q85" s="310">
        <v>20862.69991745783</v>
      </c>
      <c r="R85" s="314">
        <v>52064.848438945439</v>
      </c>
      <c r="S85" s="315">
        <v>58660.231256053667</v>
      </c>
      <c r="U85" s="7" t="s">
        <v>4665</v>
      </c>
    </row>
    <row r="86" spans="1:21" ht="16.5" thickBot="1">
      <c r="A86" s="1311" t="s">
        <v>4588</v>
      </c>
      <c r="B86" s="1315">
        <f t="shared" si="3"/>
        <v>90</v>
      </c>
      <c r="C86" s="1315" t="s">
        <v>3</v>
      </c>
      <c r="D86" s="1315">
        <f t="shared" si="4"/>
        <v>260</v>
      </c>
      <c r="E86" s="1315" t="s">
        <v>3</v>
      </c>
      <c r="F86" s="1313">
        <f t="shared" si="5"/>
        <v>1900</v>
      </c>
      <c r="G86" s="1315" t="s">
        <v>3</v>
      </c>
      <c r="H86" s="1312">
        <v>2</v>
      </c>
      <c r="I86" s="1314" t="s">
        <v>45</v>
      </c>
      <c r="J86" s="184">
        <v>90</v>
      </c>
      <c r="K86" s="75">
        <v>260</v>
      </c>
      <c r="L86" s="75">
        <v>1900</v>
      </c>
      <c r="M86" s="185">
        <v>21.510566400801626</v>
      </c>
      <c r="N86" s="87">
        <v>991.00799999999992</v>
      </c>
      <c r="O86" s="120">
        <v>31841.012588951369</v>
      </c>
      <c r="P86" s="119">
        <v>38586.912955109554</v>
      </c>
      <c r="Q86" s="310">
        <v>21294.310529824768</v>
      </c>
      <c r="R86" s="314">
        <v>53135.323118776141</v>
      </c>
      <c r="S86" s="315">
        <v>59881.223484934322</v>
      </c>
      <c r="U86" s="7" t="s">
        <v>4666</v>
      </c>
    </row>
    <row r="87" spans="1:21" ht="16.5" thickBot="1">
      <c r="A87" s="1311" t="s">
        <v>4588</v>
      </c>
      <c r="B87" s="1315">
        <f t="shared" si="3"/>
        <v>90</v>
      </c>
      <c r="C87" s="1315" t="s">
        <v>3</v>
      </c>
      <c r="D87" s="1315">
        <f t="shared" si="4"/>
        <v>260</v>
      </c>
      <c r="E87" s="1315" t="s">
        <v>3</v>
      </c>
      <c r="F87" s="1313">
        <f t="shared" si="5"/>
        <v>1950</v>
      </c>
      <c r="G87" s="1315" t="s">
        <v>3</v>
      </c>
      <c r="H87" s="1312">
        <v>2</v>
      </c>
      <c r="I87" s="1314" t="s">
        <v>45</v>
      </c>
      <c r="J87" s="184">
        <v>90</v>
      </c>
      <c r="K87" s="75">
        <v>260</v>
      </c>
      <c r="L87" s="75">
        <v>1950</v>
      </c>
      <c r="M87" s="185">
        <v>22.03586413037916</v>
      </c>
      <c r="N87" s="87">
        <v>1022.9759999999999</v>
      </c>
      <c r="O87" s="120">
        <v>32479.876796808494</v>
      </c>
      <c r="P87" s="119">
        <v>39376.294571623286</v>
      </c>
      <c r="Q87" s="310">
        <v>21725.921142191706</v>
      </c>
      <c r="R87" s="314">
        <v>54205.7979390002</v>
      </c>
      <c r="S87" s="315">
        <v>61102.215713814992</v>
      </c>
      <c r="U87" s="7" t="s">
        <v>4667</v>
      </c>
    </row>
    <row r="88" spans="1:21" ht="16.5" thickBot="1">
      <c r="A88" s="1311" t="s">
        <v>4588</v>
      </c>
      <c r="B88" s="1315">
        <f t="shared" si="3"/>
        <v>90</v>
      </c>
      <c r="C88" s="1315" t="s">
        <v>3</v>
      </c>
      <c r="D88" s="1315">
        <f t="shared" si="4"/>
        <v>260</v>
      </c>
      <c r="E88" s="1315" t="s">
        <v>3</v>
      </c>
      <c r="F88" s="1313">
        <f t="shared" si="5"/>
        <v>2000</v>
      </c>
      <c r="G88" s="1315" t="s">
        <v>3</v>
      </c>
      <c r="H88" s="1312">
        <v>2</v>
      </c>
      <c r="I88" s="1314" t="s">
        <v>45</v>
      </c>
      <c r="J88" s="184">
        <v>90</v>
      </c>
      <c r="K88" s="75">
        <v>260</v>
      </c>
      <c r="L88" s="75">
        <v>2000</v>
      </c>
      <c r="M88" s="185">
        <v>22.662608659956689</v>
      </c>
      <c r="N88" s="87">
        <v>1054.9439999999997</v>
      </c>
      <c r="O88" s="120">
        <v>33563.51166965322</v>
      </c>
      <c r="P88" s="119">
        <v>40315.290586686009</v>
      </c>
      <c r="Q88" s="310">
        <v>22388.113532341918</v>
      </c>
      <c r="R88" s="314">
        <v>55951.625201995135</v>
      </c>
      <c r="S88" s="315">
        <v>62703.404119027924</v>
      </c>
      <c r="U88" s="7" t="s">
        <v>4668</v>
      </c>
    </row>
    <row r="89" spans="1:21" ht="16.5" thickBot="1">
      <c r="A89" s="1311" t="s">
        <v>4588</v>
      </c>
      <c r="B89" s="1315">
        <f t="shared" si="3"/>
        <v>90</v>
      </c>
      <c r="C89" s="1315" t="s">
        <v>3</v>
      </c>
      <c r="D89" s="1315">
        <f t="shared" si="4"/>
        <v>260</v>
      </c>
      <c r="E89" s="1315" t="s">
        <v>3</v>
      </c>
      <c r="F89" s="1313">
        <f t="shared" si="5"/>
        <v>2050</v>
      </c>
      <c r="G89" s="1315" t="s">
        <v>3</v>
      </c>
      <c r="H89" s="1312">
        <v>2</v>
      </c>
      <c r="I89" s="1314" t="s">
        <v>45</v>
      </c>
      <c r="J89" s="184">
        <v>90</v>
      </c>
      <c r="K89" s="75">
        <v>260</v>
      </c>
      <c r="L89" s="75">
        <v>2050</v>
      </c>
      <c r="M89" s="185">
        <v>23.187906389534227</v>
      </c>
      <c r="N89" s="87">
        <v>1086.9119999999998</v>
      </c>
      <c r="O89" s="120">
        <v>34202.375737116985</v>
      </c>
      <c r="P89" s="119">
        <v>41104.672203199734</v>
      </c>
      <c r="Q89" s="310">
        <v>22819.724144708856</v>
      </c>
      <c r="R89" s="314">
        <v>57022.099881825838</v>
      </c>
      <c r="S89" s="315">
        <v>63924.396347908594</v>
      </c>
      <c r="U89" s="7" t="s">
        <v>4669</v>
      </c>
    </row>
    <row r="90" spans="1:21" ht="16.5" thickBot="1">
      <c r="A90" s="1311" t="s">
        <v>4588</v>
      </c>
      <c r="B90" s="1312">
        <f t="shared" si="3"/>
        <v>90</v>
      </c>
      <c r="C90" s="1312" t="s">
        <v>3</v>
      </c>
      <c r="D90" s="1312">
        <f t="shared" si="4"/>
        <v>260</v>
      </c>
      <c r="E90" s="1312" t="s">
        <v>3</v>
      </c>
      <c r="F90" s="1313">
        <f t="shared" si="5"/>
        <v>2100</v>
      </c>
      <c r="G90" s="1312" t="s">
        <v>3</v>
      </c>
      <c r="H90" s="1312">
        <v>2</v>
      </c>
      <c r="I90" s="1314" t="s">
        <v>45</v>
      </c>
      <c r="J90" s="184">
        <v>90</v>
      </c>
      <c r="K90" s="75">
        <v>260</v>
      </c>
      <c r="L90" s="75">
        <v>2100</v>
      </c>
      <c r="M90" s="185">
        <v>23.713204119111758</v>
      </c>
      <c r="N90" s="87">
        <v>1118.8799999999999</v>
      </c>
      <c r="O90" s="120">
        <v>34841.239804580742</v>
      </c>
      <c r="P90" s="119">
        <v>41894.053819713459</v>
      </c>
      <c r="Q90" s="310">
        <v>23481.916534859069</v>
      </c>
      <c r="R90" s="314">
        <v>58323.156339439811</v>
      </c>
      <c r="S90" s="315">
        <v>65375.970354572528</v>
      </c>
      <c r="U90" s="7" t="s">
        <v>4670</v>
      </c>
    </row>
    <row r="91" spans="1:21" ht="16.5" thickBot="1">
      <c r="A91" s="1311" t="s">
        <v>4588</v>
      </c>
      <c r="B91" s="1315">
        <f t="shared" si="3"/>
        <v>90</v>
      </c>
      <c r="C91" s="1315" t="s">
        <v>3</v>
      </c>
      <c r="D91" s="1315">
        <f t="shared" si="4"/>
        <v>260</v>
      </c>
      <c r="E91" s="1315" t="s">
        <v>3</v>
      </c>
      <c r="F91" s="1313">
        <f t="shared" si="5"/>
        <v>2150</v>
      </c>
      <c r="G91" s="1315" t="s">
        <v>3</v>
      </c>
      <c r="H91" s="1312">
        <v>2</v>
      </c>
      <c r="I91" s="1314" t="s">
        <v>45</v>
      </c>
      <c r="J91" s="184">
        <v>90</v>
      </c>
      <c r="K91" s="75">
        <v>260</v>
      </c>
      <c r="L91" s="75">
        <v>2150</v>
      </c>
      <c r="M91" s="185">
        <v>24.238501848689289</v>
      </c>
      <c r="N91" s="87">
        <v>1150.848</v>
      </c>
      <c r="O91" s="120">
        <v>35480.104012437871</v>
      </c>
      <c r="P91" s="119">
        <v>42683.435436227184</v>
      </c>
      <c r="Q91" s="310">
        <v>23913.527147226006</v>
      </c>
      <c r="R91" s="314">
        <v>59393.631159663877</v>
      </c>
      <c r="S91" s="315">
        <v>66596.962583453191</v>
      </c>
      <c r="U91" s="7" t="s">
        <v>4671</v>
      </c>
    </row>
    <row r="92" spans="1:21" ht="16.5" thickBot="1">
      <c r="A92" s="1311" t="s">
        <v>4588</v>
      </c>
      <c r="B92" s="1315">
        <f t="shared" si="3"/>
        <v>90</v>
      </c>
      <c r="C92" s="1315" t="s">
        <v>3</v>
      </c>
      <c r="D92" s="1315">
        <f t="shared" si="4"/>
        <v>260</v>
      </c>
      <c r="E92" s="1315" t="s">
        <v>3</v>
      </c>
      <c r="F92" s="1313">
        <f t="shared" si="5"/>
        <v>2200</v>
      </c>
      <c r="G92" s="1315" t="s">
        <v>3</v>
      </c>
      <c r="H92" s="1312">
        <v>2</v>
      </c>
      <c r="I92" s="1314" t="s">
        <v>45</v>
      </c>
      <c r="J92" s="184">
        <v>90</v>
      </c>
      <c r="K92" s="75">
        <v>260</v>
      </c>
      <c r="L92" s="75">
        <v>2200</v>
      </c>
      <c r="M92" s="185">
        <v>24.763799578266823</v>
      </c>
      <c r="N92" s="87">
        <v>1182.8159999999998</v>
      </c>
      <c r="O92" s="120">
        <v>36118.968079901628</v>
      </c>
      <c r="P92" s="119">
        <v>43472.817052740909</v>
      </c>
      <c r="Q92" s="310">
        <v>24575.719537376219</v>
      </c>
      <c r="R92" s="314">
        <v>60694.687617277843</v>
      </c>
      <c r="S92" s="315">
        <v>68048.536590117132</v>
      </c>
      <c r="U92" s="7" t="s">
        <v>4672</v>
      </c>
    </row>
    <row r="93" spans="1:21" ht="16.5" thickBot="1">
      <c r="A93" s="1311" t="s">
        <v>4588</v>
      </c>
      <c r="B93" s="1315">
        <f t="shared" si="3"/>
        <v>90</v>
      </c>
      <c r="C93" s="1315" t="s">
        <v>3</v>
      </c>
      <c r="D93" s="1315">
        <f t="shared" si="4"/>
        <v>260</v>
      </c>
      <c r="E93" s="1315" t="s">
        <v>3</v>
      </c>
      <c r="F93" s="1313">
        <f t="shared" si="5"/>
        <v>2250</v>
      </c>
      <c r="G93" s="1315" t="s">
        <v>3</v>
      </c>
      <c r="H93" s="1312">
        <v>2</v>
      </c>
      <c r="I93" s="1314" t="s">
        <v>45</v>
      </c>
      <c r="J93" s="184">
        <v>90</v>
      </c>
      <c r="K93" s="75">
        <v>260</v>
      </c>
      <c r="L93" s="75">
        <v>2250</v>
      </c>
      <c r="M93" s="185">
        <v>25.289097307844358</v>
      </c>
      <c r="N93" s="87">
        <v>1214.7839999999997</v>
      </c>
      <c r="O93" s="120">
        <v>36757.8321473654</v>
      </c>
      <c r="P93" s="119">
        <v>44262.198669254634</v>
      </c>
      <c r="Q93" s="310">
        <v>25007.330009349789</v>
      </c>
      <c r="R93" s="314">
        <v>61765.162156715189</v>
      </c>
      <c r="S93" s="315">
        <v>69269.528678604431</v>
      </c>
      <c r="U93" s="7" t="s">
        <v>4673</v>
      </c>
    </row>
    <row r="94" spans="1:21" ht="16.5" thickBot="1">
      <c r="A94" s="1311" t="s">
        <v>4588</v>
      </c>
      <c r="B94" s="1315">
        <f t="shared" si="3"/>
        <v>90</v>
      </c>
      <c r="C94" s="1315" t="s">
        <v>3</v>
      </c>
      <c r="D94" s="1315">
        <f t="shared" si="4"/>
        <v>260</v>
      </c>
      <c r="E94" s="1315" t="s">
        <v>3</v>
      </c>
      <c r="F94" s="1313">
        <f t="shared" si="5"/>
        <v>2300</v>
      </c>
      <c r="G94" s="1315" t="s">
        <v>3</v>
      </c>
      <c r="H94" s="1312">
        <v>2</v>
      </c>
      <c r="I94" s="1314" t="s">
        <v>45</v>
      </c>
      <c r="J94" s="184">
        <v>90</v>
      </c>
      <c r="K94" s="75">
        <v>260</v>
      </c>
      <c r="L94" s="75">
        <v>2300</v>
      </c>
      <c r="M94" s="185">
        <v>25.814395037421892</v>
      </c>
      <c r="N94" s="87">
        <v>1246.7519999999997</v>
      </c>
      <c r="O94" s="120">
        <v>37396.696214829157</v>
      </c>
      <c r="P94" s="119">
        <v>45051.580285768359</v>
      </c>
      <c r="Q94" s="310">
        <v>25438.940621716731</v>
      </c>
      <c r="R94" s="314">
        <v>62835.636836545891</v>
      </c>
      <c r="S94" s="315">
        <v>70490.520907485086</v>
      </c>
      <c r="U94" s="7" t="s">
        <v>4674</v>
      </c>
    </row>
    <row r="95" spans="1:21" ht="16.5" thickBot="1">
      <c r="A95" s="1311" t="s">
        <v>4588</v>
      </c>
      <c r="B95" s="1315">
        <f t="shared" si="3"/>
        <v>90</v>
      </c>
      <c r="C95" s="1315" t="s">
        <v>3</v>
      </c>
      <c r="D95" s="1315">
        <f t="shared" si="4"/>
        <v>260</v>
      </c>
      <c r="E95" s="1315" t="s">
        <v>3</v>
      </c>
      <c r="F95" s="1313">
        <f t="shared" si="5"/>
        <v>2350</v>
      </c>
      <c r="G95" s="1315" t="s">
        <v>3</v>
      </c>
      <c r="H95" s="1312">
        <v>2</v>
      </c>
      <c r="I95" s="1314" t="s">
        <v>45</v>
      </c>
      <c r="J95" s="184">
        <v>90</v>
      </c>
      <c r="K95" s="75">
        <v>260</v>
      </c>
      <c r="L95" s="75">
        <v>2350</v>
      </c>
      <c r="M95" s="185">
        <v>26.339692766999427</v>
      </c>
      <c r="N95" s="87">
        <v>1278.7199999999998</v>
      </c>
      <c r="O95" s="120">
        <v>38035.560422686285</v>
      </c>
      <c r="P95" s="119">
        <v>45840.961902282084</v>
      </c>
      <c r="Q95" s="310">
        <v>26101.133011866939</v>
      </c>
      <c r="R95" s="314">
        <v>64136.693434553221</v>
      </c>
      <c r="S95" s="315">
        <v>71942.094914149027</v>
      </c>
      <c r="U95" s="7" t="s">
        <v>4675</v>
      </c>
    </row>
    <row r="96" spans="1:21" ht="16.5" thickBot="1">
      <c r="A96" s="1311" t="s">
        <v>4588</v>
      </c>
      <c r="B96" s="1315">
        <f t="shared" si="3"/>
        <v>90</v>
      </c>
      <c r="C96" s="1315" t="s">
        <v>3</v>
      </c>
      <c r="D96" s="1315">
        <f t="shared" si="4"/>
        <v>260</v>
      </c>
      <c r="E96" s="1315" t="s">
        <v>3</v>
      </c>
      <c r="F96" s="1313">
        <f t="shared" si="5"/>
        <v>2400</v>
      </c>
      <c r="G96" s="1315" t="s">
        <v>3</v>
      </c>
      <c r="H96" s="1312">
        <v>2</v>
      </c>
      <c r="I96" s="1314" t="s">
        <v>45</v>
      </c>
      <c r="J96" s="184">
        <v>90</v>
      </c>
      <c r="K96" s="75">
        <v>260</v>
      </c>
      <c r="L96" s="75">
        <v>2400</v>
      </c>
      <c r="M96" s="185">
        <v>26.864990496576951</v>
      </c>
      <c r="N96" s="87">
        <v>1310.6879999999996</v>
      </c>
      <c r="O96" s="120">
        <v>38674.424490150042</v>
      </c>
      <c r="P96" s="119">
        <v>46630.343518795809</v>
      </c>
      <c r="Q96" s="310">
        <v>26532.743624233881</v>
      </c>
      <c r="R96" s="314">
        <v>65207.168114383923</v>
      </c>
      <c r="S96" s="315">
        <v>73163.087143029697</v>
      </c>
      <c r="U96" s="7" t="s">
        <v>4676</v>
      </c>
    </row>
    <row r="97" spans="1:21" ht="16.5" thickBot="1">
      <c r="A97" s="1311" t="s">
        <v>4588</v>
      </c>
      <c r="B97" s="1315">
        <f t="shared" si="3"/>
        <v>90</v>
      </c>
      <c r="C97" s="1315" t="s">
        <v>3</v>
      </c>
      <c r="D97" s="1315">
        <f t="shared" si="4"/>
        <v>260</v>
      </c>
      <c r="E97" s="1315" t="s">
        <v>3</v>
      </c>
      <c r="F97" s="1313">
        <f t="shared" si="5"/>
        <v>2450</v>
      </c>
      <c r="G97" s="1315" t="s">
        <v>3</v>
      </c>
      <c r="H97" s="1312">
        <v>2</v>
      </c>
      <c r="I97" s="1314" t="s">
        <v>45</v>
      </c>
      <c r="J97" s="184">
        <v>90</v>
      </c>
      <c r="K97" s="75">
        <v>260</v>
      </c>
      <c r="L97" s="75">
        <v>2450</v>
      </c>
      <c r="M97" s="185">
        <v>27.390288226154496</v>
      </c>
      <c r="N97" s="87">
        <v>1342.6559999999999</v>
      </c>
      <c r="O97" s="120">
        <v>39313.288557613807</v>
      </c>
      <c r="P97" s="119">
        <v>47419.725135309534</v>
      </c>
      <c r="Q97" s="310">
        <v>27194.936014384097</v>
      </c>
      <c r="R97" s="314">
        <v>66508.224571997911</v>
      </c>
      <c r="S97" s="315">
        <v>74614.661149693624</v>
      </c>
      <c r="U97" s="7" t="s">
        <v>4677</v>
      </c>
    </row>
    <row r="98" spans="1:21" ht="16.5" thickBot="1">
      <c r="A98" s="1311" t="s">
        <v>4588</v>
      </c>
      <c r="B98" s="1315">
        <f t="shared" si="3"/>
        <v>90</v>
      </c>
      <c r="C98" s="1315" t="s">
        <v>3</v>
      </c>
      <c r="D98" s="1315">
        <f t="shared" si="4"/>
        <v>260</v>
      </c>
      <c r="E98" s="1315" t="s">
        <v>3</v>
      </c>
      <c r="F98" s="1313">
        <f t="shared" si="5"/>
        <v>2500</v>
      </c>
      <c r="G98" s="1315" t="s">
        <v>3</v>
      </c>
      <c r="H98" s="1312">
        <v>2</v>
      </c>
      <c r="I98" s="1314" t="s">
        <v>45</v>
      </c>
      <c r="J98" s="184">
        <v>90</v>
      </c>
      <c r="K98" s="75">
        <v>260</v>
      </c>
      <c r="L98" s="75">
        <v>2500</v>
      </c>
      <c r="M98" s="185">
        <v>28.173781555732024</v>
      </c>
      <c r="N98" s="87">
        <v>1374.6239999999998</v>
      </c>
      <c r="O98" s="120">
        <v>40583.273858206092</v>
      </c>
      <c r="P98" s="119">
        <v>48976.843081280189</v>
      </c>
      <c r="Q98" s="310">
        <v>27626.546626751031</v>
      </c>
      <c r="R98" s="314">
        <v>68209.820484957119</v>
      </c>
      <c r="S98" s="315">
        <v>76603.389708031216</v>
      </c>
      <c r="U98" s="7" t="s">
        <v>4678</v>
      </c>
    </row>
    <row r="99" spans="1:21" ht="16.5" thickBot="1">
      <c r="A99" s="1311" t="s">
        <v>4588</v>
      </c>
      <c r="B99" s="1315">
        <f t="shared" si="3"/>
        <v>90</v>
      </c>
      <c r="C99" s="1315" t="s">
        <v>3</v>
      </c>
      <c r="D99" s="1315">
        <f t="shared" si="4"/>
        <v>260</v>
      </c>
      <c r="E99" s="1315" t="s">
        <v>3</v>
      </c>
      <c r="F99" s="1313">
        <f t="shared" si="5"/>
        <v>2550</v>
      </c>
      <c r="G99" s="1315" t="s">
        <v>3</v>
      </c>
      <c r="H99" s="1312">
        <v>2</v>
      </c>
      <c r="I99" s="1314" t="s">
        <v>45</v>
      </c>
      <c r="J99" s="184">
        <v>90</v>
      </c>
      <c r="K99" s="75">
        <v>260</v>
      </c>
      <c r="L99" s="75">
        <v>2550</v>
      </c>
      <c r="M99" s="185">
        <v>28.699079285309558</v>
      </c>
      <c r="N99" s="87">
        <v>1406.5919999999999</v>
      </c>
      <c r="O99" s="120">
        <v>41581.875279251821</v>
      </c>
      <c r="P99" s="119">
        <v>49780.26403404391</v>
      </c>
      <c r="Q99" s="310">
        <v>28288.739016901247</v>
      </c>
      <c r="R99" s="314">
        <v>69870.614296153071</v>
      </c>
      <c r="S99" s="315">
        <v>78069.003050945161</v>
      </c>
      <c r="U99" s="7" t="s">
        <v>4679</v>
      </c>
    </row>
    <row r="100" spans="1:21" ht="16.5" thickBot="1">
      <c r="A100" s="1311" t="s">
        <v>4588</v>
      </c>
      <c r="B100" s="1312">
        <f t="shared" si="3"/>
        <v>90</v>
      </c>
      <c r="C100" s="1312" t="s">
        <v>3</v>
      </c>
      <c r="D100" s="1312">
        <f t="shared" si="4"/>
        <v>260</v>
      </c>
      <c r="E100" s="1312" t="s">
        <v>3</v>
      </c>
      <c r="F100" s="1313">
        <f t="shared" si="5"/>
        <v>2600</v>
      </c>
      <c r="G100" s="1312" t="s">
        <v>3</v>
      </c>
      <c r="H100" s="1312">
        <v>2</v>
      </c>
      <c r="I100" s="1314" t="s">
        <v>45</v>
      </c>
      <c r="J100" s="184">
        <v>90</v>
      </c>
      <c r="K100" s="75">
        <v>260</v>
      </c>
      <c r="L100" s="75">
        <v>2600</v>
      </c>
      <c r="M100" s="185">
        <v>29.224377014887089</v>
      </c>
      <c r="N100" s="87">
        <v>1438.5599999999997</v>
      </c>
      <c r="O100" s="120">
        <v>42220.739487108949</v>
      </c>
      <c r="P100" s="119">
        <v>50569.645650557635</v>
      </c>
      <c r="Q100" s="310">
        <v>28720.349629268181</v>
      </c>
      <c r="R100" s="314">
        <v>70941.08911637713</v>
      </c>
      <c r="S100" s="315">
        <v>79289.995279825816</v>
      </c>
      <c r="U100" s="7" t="s">
        <v>4680</v>
      </c>
    </row>
    <row r="101" spans="1:21" ht="16.5" thickBot="1">
      <c r="A101" s="1311" t="s">
        <v>4588</v>
      </c>
      <c r="B101" s="1315">
        <f t="shared" si="3"/>
        <v>90</v>
      </c>
      <c r="C101" s="1315" t="s">
        <v>3</v>
      </c>
      <c r="D101" s="1315">
        <f t="shared" si="4"/>
        <v>260</v>
      </c>
      <c r="E101" s="1315" t="s">
        <v>3</v>
      </c>
      <c r="F101" s="1313">
        <f t="shared" si="5"/>
        <v>2650</v>
      </c>
      <c r="G101" s="1315" t="s">
        <v>3</v>
      </c>
      <c r="H101" s="1312">
        <v>2</v>
      </c>
      <c r="I101" s="1314" t="s">
        <v>45</v>
      </c>
      <c r="J101" s="184">
        <v>90</v>
      </c>
      <c r="K101" s="75">
        <v>260</v>
      </c>
      <c r="L101" s="75">
        <v>2650</v>
      </c>
      <c r="M101" s="185">
        <v>29.74967474446462</v>
      </c>
      <c r="N101" s="87">
        <v>1470.5279999999996</v>
      </c>
      <c r="O101" s="120">
        <v>42859.603554572706</v>
      </c>
      <c r="P101" s="119">
        <v>51359.027267071368</v>
      </c>
      <c r="Q101" s="310">
        <v>29382.542019418397</v>
      </c>
      <c r="R101" s="314">
        <v>72242.145573991103</v>
      </c>
      <c r="S101" s="315">
        <v>80741.569286489772</v>
      </c>
      <c r="U101" s="7" t="s">
        <v>4681</v>
      </c>
    </row>
    <row r="102" spans="1:21" ht="16.5" thickBot="1">
      <c r="A102" s="1311" t="s">
        <v>4588</v>
      </c>
      <c r="B102" s="1315">
        <f t="shared" si="3"/>
        <v>90</v>
      </c>
      <c r="C102" s="1315" t="s">
        <v>3</v>
      </c>
      <c r="D102" s="1315">
        <f t="shared" si="4"/>
        <v>260</v>
      </c>
      <c r="E102" s="1315" t="s">
        <v>3</v>
      </c>
      <c r="F102" s="1313">
        <f t="shared" si="5"/>
        <v>2700</v>
      </c>
      <c r="G102" s="1315" t="s">
        <v>3</v>
      </c>
      <c r="H102" s="1312">
        <v>2</v>
      </c>
      <c r="I102" s="1314" t="s">
        <v>45</v>
      </c>
      <c r="J102" s="184">
        <v>90</v>
      </c>
      <c r="K102" s="75">
        <v>260</v>
      </c>
      <c r="L102" s="75">
        <v>2700</v>
      </c>
      <c r="M102" s="185">
        <v>30.274972474042151</v>
      </c>
      <c r="N102" s="87">
        <v>1502.4959999999999</v>
      </c>
      <c r="O102" s="120">
        <v>43498.467622036471</v>
      </c>
      <c r="P102" s="119">
        <v>52148.408883585085</v>
      </c>
      <c r="Q102" s="310">
        <v>29814.152631785331</v>
      </c>
      <c r="R102" s="314">
        <v>73312.620253821806</v>
      </c>
      <c r="S102" s="315">
        <v>81962.561515370413</v>
      </c>
      <c r="U102" s="7" t="s">
        <v>4682</v>
      </c>
    </row>
    <row r="103" spans="1:21" ht="16.5" thickBot="1">
      <c r="A103" s="1311" t="s">
        <v>4588</v>
      </c>
      <c r="B103" s="1315">
        <f t="shared" si="3"/>
        <v>90</v>
      </c>
      <c r="C103" s="1315" t="s">
        <v>3</v>
      </c>
      <c r="D103" s="1315">
        <f t="shared" si="4"/>
        <v>260</v>
      </c>
      <c r="E103" s="1315" t="s">
        <v>3</v>
      </c>
      <c r="F103" s="1313">
        <f t="shared" si="5"/>
        <v>2750</v>
      </c>
      <c r="G103" s="1315" t="s">
        <v>3</v>
      </c>
      <c r="H103" s="1312">
        <v>2</v>
      </c>
      <c r="I103" s="1314" t="s">
        <v>45</v>
      </c>
      <c r="J103" s="184">
        <v>90</v>
      </c>
      <c r="K103" s="75">
        <v>260</v>
      </c>
      <c r="L103" s="75">
        <v>2750</v>
      </c>
      <c r="M103" s="185">
        <v>30.800270203619682</v>
      </c>
      <c r="N103" s="87">
        <v>1534.4639999999997</v>
      </c>
      <c r="O103" s="120">
        <v>44137.331689500235</v>
      </c>
      <c r="P103" s="119">
        <v>52937.79050009881</v>
      </c>
      <c r="Q103" s="310">
        <v>30245.763244152273</v>
      </c>
      <c r="R103" s="314">
        <v>74383.094933652508</v>
      </c>
      <c r="S103" s="315">
        <v>83183.553744251083</v>
      </c>
      <c r="U103" s="7" t="s">
        <v>4683</v>
      </c>
    </row>
    <row r="104" spans="1:21" ht="16.5" thickBot="1">
      <c r="A104" s="1311" t="s">
        <v>4588</v>
      </c>
      <c r="B104" s="1315">
        <f t="shared" si="3"/>
        <v>90</v>
      </c>
      <c r="C104" s="1315" t="s">
        <v>3</v>
      </c>
      <c r="D104" s="1315">
        <f t="shared" si="4"/>
        <v>260</v>
      </c>
      <c r="E104" s="1315" t="s">
        <v>3</v>
      </c>
      <c r="F104" s="1313">
        <f t="shared" si="5"/>
        <v>2800</v>
      </c>
      <c r="G104" s="1315" t="s">
        <v>3</v>
      </c>
      <c r="H104" s="1312">
        <v>2</v>
      </c>
      <c r="I104" s="1314" t="s">
        <v>45</v>
      </c>
      <c r="J104" s="184">
        <v>90</v>
      </c>
      <c r="K104" s="75">
        <v>260</v>
      </c>
      <c r="L104" s="75">
        <v>2800</v>
      </c>
      <c r="M104" s="185">
        <v>31.325567933197224</v>
      </c>
      <c r="N104" s="87">
        <v>1566.4319999999998</v>
      </c>
      <c r="O104" s="120">
        <v>44776.195897357364</v>
      </c>
      <c r="P104" s="119">
        <v>53727.172116612543</v>
      </c>
      <c r="Q104" s="310">
        <v>30907.955493909118</v>
      </c>
      <c r="R104" s="314">
        <v>75684.151391266481</v>
      </c>
      <c r="S104" s="315">
        <v>84635.127610521653</v>
      </c>
      <c r="U104" s="7" t="s">
        <v>4684</v>
      </c>
    </row>
    <row r="105" spans="1:21" ht="16.5" thickBot="1">
      <c r="A105" s="1311" t="s">
        <v>4588</v>
      </c>
      <c r="B105" s="1315">
        <f t="shared" si="3"/>
        <v>90</v>
      </c>
      <c r="C105" s="1315" t="s">
        <v>3</v>
      </c>
      <c r="D105" s="1315">
        <f t="shared" si="4"/>
        <v>260</v>
      </c>
      <c r="E105" s="1315" t="s">
        <v>3</v>
      </c>
      <c r="F105" s="1313">
        <f t="shared" si="5"/>
        <v>2850</v>
      </c>
      <c r="G105" s="1315" t="s">
        <v>3</v>
      </c>
      <c r="H105" s="1312">
        <v>2</v>
      </c>
      <c r="I105" s="1314" t="s">
        <v>45</v>
      </c>
      <c r="J105" s="184">
        <v>90</v>
      </c>
      <c r="K105" s="75">
        <v>260</v>
      </c>
      <c r="L105" s="75">
        <v>2850</v>
      </c>
      <c r="M105" s="185">
        <v>31.850865662774751</v>
      </c>
      <c r="N105" s="87">
        <v>1598.3999999999996</v>
      </c>
      <c r="O105" s="120">
        <v>45415.059964821121</v>
      </c>
      <c r="P105" s="119">
        <v>54516.55373312626</v>
      </c>
      <c r="Q105" s="310">
        <v>31339.566106276056</v>
      </c>
      <c r="R105" s="314">
        <v>76754.626071097184</v>
      </c>
      <c r="S105" s="315">
        <v>85856.119839402323</v>
      </c>
      <c r="U105" s="7" t="s">
        <v>4685</v>
      </c>
    </row>
    <row r="106" spans="1:21" ht="16.5" thickBot="1">
      <c r="A106" s="1311" t="s">
        <v>4588</v>
      </c>
      <c r="B106" s="1315">
        <f t="shared" si="3"/>
        <v>90</v>
      </c>
      <c r="C106" s="1315" t="s">
        <v>3</v>
      </c>
      <c r="D106" s="1315">
        <f t="shared" si="4"/>
        <v>260</v>
      </c>
      <c r="E106" s="1315" t="s">
        <v>3</v>
      </c>
      <c r="F106" s="1313">
        <f t="shared" si="5"/>
        <v>2900</v>
      </c>
      <c r="G106" s="1315" t="s">
        <v>3</v>
      </c>
      <c r="H106" s="1312">
        <v>2</v>
      </c>
      <c r="I106" s="1314" t="s">
        <v>45</v>
      </c>
      <c r="J106" s="184">
        <v>90</v>
      </c>
      <c r="K106" s="75">
        <v>260</v>
      </c>
      <c r="L106" s="75">
        <v>2900</v>
      </c>
      <c r="M106" s="185">
        <v>32.376163392352289</v>
      </c>
      <c r="N106" s="87">
        <v>1630.3679999999997</v>
      </c>
      <c r="O106" s="120">
        <v>46053.924032284885</v>
      </c>
      <c r="P106" s="119">
        <v>55305.935349639985</v>
      </c>
      <c r="Q106" s="310">
        <v>32001.758496426271</v>
      </c>
      <c r="R106" s="314">
        <v>78055.682528711157</v>
      </c>
      <c r="S106" s="315">
        <v>87307.69384606625</v>
      </c>
      <c r="U106" s="7" t="s">
        <v>4686</v>
      </c>
    </row>
    <row r="107" spans="1:21" ht="16.5" thickBot="1">
      <c r="A107" s="1311" t="s">
        <v>4588</v>
      </c>
      <c r="B107" s="1315">
        <f t="shared" si="3"/>
        <v>90</v>
      </c>
      <c r="C107" s="1315" t="s">
        <v>3</v>
      </c>
      <c r="D107" s="1315">
        <f t="shared" si="4"/>
        <v>260</v>
      </c>
      <c r="E107" s="1315" t="s">
        <v>3</v>
      </c>
      <c r="F107" s="1313">
        <f t="shared" si="5"/>
        <v>2950</v>
      </c>
      <c r="G107" s="1315" t="s">
        <v>3</v>
      </c>
      <c r="H107" s="1312">
        <v>2</v>
      </c>
      <c r="I107" s="1314" t="s">
        <v>45</v>
      </c>
      <c r="J107" s="184">
        <v>90</v>
      </c>
      <c r="K107" s="75">
        <v>260</v>
      </c>
      <c r="L107" s="75">
        <v>2950</v>
      </c>
      <c r="M107" s="185">
        <v>32.90146112192982</v>
      </c>
      <c r="N107" s="87">
        <v>1662.3359999999998</v>
      </c>
      <c r="O107" s="120">
        <v>46692.788240142014</v>
      </c>
      <c r="P107" s="119">
        <v>56095.31696615371</v>
      </c>
      <c r="Q107" s="310">
        <v>32433.369108793206</v>
      </c>
      <c r="R107" s="314">
        <v>79126.157348935216</v>
      </c>
      <c r="S107" s="315">
        <v>88528.68607494692</v>
      </c>
      <c r="U107" s="7" t="s">
        <v>4687</v>
      </c>
    </row>
    <row r="108" spans="1:21" ht="16.5" thickBot="1">
      <c r="A108" s="1316" t="s">
        <v>4588</v>
      </c>
      <c r="B108" s="1317">
        <f t="shared" si="3"/>
        <v>90</v>
      </c>
      <c r="C108" s="1317" t="s">
        <v>3</v>
      </c>
      <c r="D108" s="1317">
        <f t="shared" si="4"/>
        <v>260</v>
      </c>
      <c r="E108" s="1317" t="s">
        <v>3</v>
      </c>
      <c r="F108" s="1318">
        <f t="shared" si="5"/>
        <v>3000</v>
      </c>
      <c r="G108" s="1317" t="s">
        <v>3</v>
      </c>
      <c r="H108" s="1319">
        <v>2</v>
      </c>
      <c r="I108" s="1320" t="s">
        <v>45</v>
      </c>
      <c r="J108" s="321">
        <v>90</v>
      </c>
      <c r="K108" s="322">
        <v>260</v>
      </c>
      <c r="L108" s="322">
        <v>3000</v>
      </c>
      <c r="M108" s="332">
        <v>33.629652451507354</v>
      </c>
      <c r="N108" s="306">
        <v>1694.3039999999996</v>
      </c>
      <c r="O108" s="308">
        <v>47559.673591243773</v>
      </c>
      <c r="P108" s="333">
        <v>57112.719866305437</v>
      </c>
      <c r="Q108" s="323">
        <v>33095.561498943418</v>
      </c>
      <c r="R108" s="1321">
        <v>80655.235090187198</v>
      </c>
      <c r="S108" s="325">
        <v>90208.281365248855</v>
      </c>
      <c r="U108" s="7" t="s">
        <v>4688</v>
      </c>
    </row>
    <row r="109" spans="1:21" ht="19.5" thickBot="1">
      <c r="A109" s="2580" t="s">
        <v>48</v>
      </c>
      <c r="B109" s="2581"/>
      <c r="C109" s="2581"/>
      <c r="D109" s="2581"/>
      <c r="E109" s="2581"/>
      <c r="F109" s="2581"/>
      <c r="G109" s="2581"/>
      <c r="H109" s="2581"/>
      <c r="I109" s="2581"/>
      <c r="J109" s="2581"/>
      <c r="K109" s="2581"/>
      <c r="L109" s="2581"/>
      <c r="M109" s="2581"/>
      <c r="N109" s="2581"/>
      <c r="O109" s="2581"/>
      <c r="P109" s="2581"/>
      <c r="Q109" s="2581"/>
      <c r="R109" s="2581"/>
      <c r="S109" s="2582"/>
      <c r="U109" s="7"/>
    </row>
    <row r="110" spans="1:21" ht="16.5" thickBot="1">
      <c r="A110" s="2583" t="s">
        <v>4587</v>
      </c>
      <c r="B110" s="2584"/>
      <c r="C110" s="2584"/>
      <c r="D110" s="2584"/>
      <c r="E110" s="2584"/>
      <c r="F110" s="2584"/>
      <c r="G110" s="2584"/>
      <c r="H110" s="2584"/>
      <c r="I110" s="2584"/>
      <c r="J110" s="2584"/>
      <c r="K110" s="2584"/>
      <c r="L110" s="2584"/>
      <c r="M110" s="2584"/>
      <c r="N110" s="2584"/>
      <c r="O110" s="2584"/>
      <c r="P110" s="2584"/>
      <c r="Q110" s="2584"/>
      <c r="R110" s="2584"/>
      <c r="S110" s="2585"/>
      <c r="U110" s="7"/>
    </row>
    <row r="111" spans="1:21" ht="16.5" thickBot="1">
      <c r="A111" s="1311" t="s">
        <v>4588</v>
      </c>
      <c r="B111" s="1312">
        <f>J111</f>
        <v>90</v>
      </c>
      <c r="C111" s="1312" t="s">
        <v>3</v>
      </c>
      <c r="D111" s="1312">
        <f>K111</f>
        <v>300</v>
      </c>
      <c r="E111" s="1312" t="s">
        <v>3</v>
      </c>
      <c r="F111" s="1313">
        <f>L111</f>
        <v>600</v>
      </c>
      <c r="G111" s="1312" t="s">
        <v>3</v>
      </c>
      <c r="H111" s="1312">
        <v>2</v>
      </c>
      <c r="I111" s="1314" t="s">
        <v>45</v>
      </c>
      <c r="J111" s="326">
        <v>90</v>
      </c>
      <c r="K111" s="327">
        <v>300</v>
      </c>
      <c r="L111" s="327">
        <v>600</v>
      </c>
      <c r="M111" s="334">
        <v>8.2529917905226107</v>
      </c>
      <c r="N111" s="302">
        <v>179.53509958559999</v>
      </c>
      <c r="O111" s="304">
        <v>14706.165973306954</v>
      </c>
      <c r="P111" s="331">
        <v>18094.705224768004</v>
      </c>
      <c r="Q111" s="328">
        <v>8203.3683669666007</v>
      </c>
      <c r="R111" s="1322">
        <v>22909.534340273553</v>
      </c>
      <c r="S111" s="330">
        <v>26298.073591734603</v>
      </c>
      <c r="U111" s="7" t="s">
        <v>4689</v>
      </c>
    </row>
    <row r="112" spans="1:21" ht="16.5" thickBot="1">
      <c r="A112" s="1311" t="s">
        <v>4588</v>
      </c>
      <c r="B112" s="1315">
        <f t="shared" ref="B112:B159" si="6">J112</f>
        <v>90</v>
      </c>
      <c r="C112" s="1315" t="s">
        <v>3</v>
      </c>
      <c r="D112" s="1315">
        <f t="shared" ref="D112:D159" si="7">K112</f>
        <v>300</v>
      </c>
      <c r="E112" s="1315" t="s">
        <v>3</v>
      </c>
      <c r="F112" s="1313">
        <f t="shared" ref="F112:F159" si="8">L112</f>
        <v>650</v>
      </c>
      <c r="G112" s="1315" t="s">
        <v>3</v>
      </c>
      <c r="H112" s="1312">
        <v>2</v>
      </c>
      <c r="I112" s="1314" t="s">
        <v>45</v>
      </c>
      <c r="J112" s="184">
        <v>90</v>
      </c>
      <c r="K112" s="75">
        <v>300</v>
      </c>
      <c r="L112" s="75">
        <v>650</v>
      </c>
      <c r="M112" s="185">
        <v>8.8181982499948823</v>
      </c>
      <c r="N112" s="87">
        <v>215.44211950271998</v>
      </c>
      <c r="O112" s="120">
        <v>15364.618845853616</v>
      </c>
      <c r="P112" s="121">
        <v>18917.35894504733</v>
      </c>
      <c r="Q112" s="310">
        <v>8683.7735348305905</v>
      </c>
      <c r="R112" s="314">
        <v>24048.392380684207</v>
      </c>
      <c r="S112" s="315">
        <v>27601.132479877921</v>
      </c>
      <c r="U112" s="7" t="s">
        <v>4690</v>
      </c>
    </row>
    <row r="113" spans="1:21" ht="16.5" thickBot="1">
      <c r="A113" s="1311" t="s">
        <v>4588</v>
      </c>
      <c r="B113" s="1315">
        <f t="shared" si="6"/>
        <v>90</v>
      </c>
      <c r="C113" s="1315" t="s">
        <v>3</v>
      </c>
      <c r="D113" s="1315">
        <f t="shared" si="7"/>
        <v>300</v>
      </c>
      <c r="E113" s="1315" t="s">
        <v>3</v>
      </c>
      <c r="F113" s="1313">
        <f t="shared" si="8"/>
        <v>700</v>
      </c>
      <c r="G113" s="1315" t="s">
        <v>3</v>
      </c>
      <c r="H113" s="1312">
        <v>2</v>
      </c>
      <c r="I113" s="1314" t="s">
        <v>45</v>
      </c>
      <c r="J113" s="184">
        <v>90</v>
      </c>
      <c r="K113" s="75">
        <v>300</v>
      </c>
      <c r="L113" s="75">
        <v>700</v>
      </c>
      <c r="M113" s="185">
        <v>9.3834047094671522</v>
      </c>
      <c r="N113" s="87">
        <v>251.34913941983999</v>
      </c>
      <c r="O113" s="120">
        <v>16023.071718400279</v>
      </c>
      <c r="P113" s="121">
        <v>19740.012665326656</v>
      </c>
      <c r="Q113" s="310">
        <v>9394.7606208712132</v>
      </c>
      <c r="R113" s="314">
        <v>25417.832339271492</v>
      </c>
      <c r="S113" s="315">
        <v>29134.773286197869</v>
      </c>
      <c r="U113" s="7" t="s">
        <v>4691</v>
      </c>
    </row>
    <row r="114" spans="1:21" ht="16.5" thickBot="1">
      <c r="A114" s="1311" t="s">
        <v>4588</v>
      </c>
      <c r="B114" s="1315">
        <f t="shared" si="6"/>
        <v>90</v>
      </c>
      <c r="C114" s="1315" t="s">
        <v>3</v>
      </c>
      <c r="D114" s="1315">
        <f t="shared" si="7"/>
        <v>300</v>
      </c>
      <c r="E114" s="1315" t="s">
        <v>3</v>
      </c>
      <c r="F114" s="1313">
        <f t="shared" si="8"/>
        <v>750</v>
      </c>
      <c r="G114" s="1315" t="s">
        <v>3</v>
      </c>
      <c r="H114" s="1312">
        <v>2</v>
      </c>
      <c r="I114" s="1314" t="s">
        <v>45</v>
      </c>
      <c r="J114" s="184">
        <v>90</v>
      </c>
      <c r="K114" s="75">
        <v>300</v>
      </c>
      <c r="L114" s="75">
        <v>750</v>
      </c>
      <c r="M114" s="185">
        <v>9.9486111689394221</v>
      </c>
      <c r="N114" s="87">
        <v>287.25615933696002</v>
      </c>
      <c r="O114" s="120">
        <v>16681.524450553577</v>
      </c>
      <c r="P114" s="121">
        <v>20562.666385605979</v>
      </c>
      <c r="Q114" s="310">
        <v>9875.165788735203</v>
      </c>
      <c r="R114" s="314">
        <v>26556.690239288779</v>
      </c>
      <c r="S114" s="315">
        <v>30437.83217434118</v>
      </c>
      <c r="U114" s="7" t="s">
        <v>4692</v>
      </c>
    </row>
    <row r="115" spans="1:21" ht="16.5" thickBot="1">
      <c r="A115" s="1311" t="s">
        <v>4588</v>
      </c>
      <c r="B115" s="1315">
        <f t="shared" si="6"/>
        <v>90</v>
      </c>
      <c r="C115" s="1315" t="s">
        <v>3</v>
      </c>
      <c r="D115" s="1315">
        <f t="shared" si="7"/>
        <v>300</v>
      </c>
      <c r="E115" s="1315" t="s">
        <v>3</v>
      </c>
      <c r="F115" s="1313">
        <f t="shared" si="8"/>
        <v>800</v>
      </c>
      <c r="G115" s="1315" t="s">
        <v>3</v>
      </c>
      <c r="H115" s="1312">
        <v>2</v>
      </c>
      <c r="I115" s="1314" t="s">
        <v>45</v>
      </c>
      <c r="J115" s="184">
        <v>90</v>
      </c>
      <c r="K115" s="75">
        <v>300</v>
      </c>
      <c r="L115" s="75">
        <v>800</v>
      </c>
      <c r="M115" s="185">
        <v>10.51381762841169</v>
      </c>
      <c r="N115" s="87">
        <v>323.16317925407998</v>
      </c>
      <c r="O115" s="120">
        <v>17701.098674449731</v>
      </c>
      <c r="P115" s="121">
        <v>21399.359582528668</v>
      </c>
      <c r="Q115" s="310">
        <v>10355.570956599189</v>
      </c>
      <c r="R115" s="314">
        <v>28056.669631048921</v>
      </c>
      <c r="S115" s="315">
        <v>31754.930539127858</v>
      </c>
      <c r="U115" s="7" t="s">
        <v>4693</v>
      </c>
    </row>
    <row r="116" spans="1:21" ht="16.5" thickBot="1">
      <c r="A116" s="1311" t="s">
        <v>4588</v>
      </c>
      <c r="B116" s="1315">
        <f t="shared" si="6"/>
        <v>90</v>
      </c>
      <c r="C116" s="1315" t="s">
        <v>3</v>
      </c>
      <c r="D116" s="1315">
        <f t="shared" si="7"/>
        <v>300</v>
      </c>
      <c r="E116" s="1315" t="s">
        <v>3</v>
      </c>
      <c r="F116" s="1313">
        <f t="shared" si="8"/>
        <v>850</v>
      </c>
      <c r="G116" s="1315" t="s">
        <v>3</v>
      </c>
      <c r="H116" s="1312">
        <v>2</v>
      </c>
      <c r="I116" s="1314" t="s">
        <v>45</v>
      </c>
      <c r="J116" s="184">
        <v>90</v>
      </c>
      <c r="K116" s="75">
        <v>300</v>
      </c>
      <c r="L116" s="75">
        <v>850</v>
      </c>
      <c r="M116" s="185">
        <v>11.079024087883962</v>
      </c>
      <c r="N116" s="87">
        <v>359.07019917119999</v>
      </c>
      <c r="O116" s="120">
        <v>18359.55154699639</v>
      </c>
      <c r="P116" s="121">
        <v>22222.013302807991</v>
      </c>
      <c r="Q116" s="310">
        <v>11066.558042639816</v>
      </c>
      <c r="R116" s="314">
        <v>29426.109589636206</v>
      </c>
      <c r="S116" s="315">
        <v>33288.57134544781</v>
      </c>
      <c r="U116" s="7" t="s">
        <v>4694</v>
      </c>
    </row>
    <row r="117" spans="1:21" ht="16.5" thickBot="1">
      <c r="A117" s="1311" t="s">
        <v>4588</v>
      </c>
      <c r="B117" s="1315">
        <f t="shared" si="6"/>
        <v>90</v>
      </c>
      <c r="C117" s="1315" t="s">
        <v>3</v>
      </c>
      <c r="D117" s="1315">
        <f t="shared" si="7"/>
        <v>300</v>
      </c>
      <c r="E117" s="1315" t="s">
        <v>3</v>
      </c>
      <c r="F117" s="1313">
        <f t="shared" si="8"/>
        <v>900</v>
      </c>
      <c r="G117" s="1315" t="s">
        <v>3</v>
      </c>
      <c r="H117" s="1312">
        <v>2</v>
      </c>
      <c r="I117" s="1314" t="s">
        <v>45</v>
      </c>
      <c r="J117" s="184">
        <v>90</v>
      </c>
      <c r="K117" s="75">
        <v>300</v>
      </c>
      <c r="L117" s="75">
        <v>900</v>
      </c>
      <c r="M117" s="185">
        <v>11.64423054735623</v>
      </c>
      <c r="N117" s="87">
        <v>394.97721908832</v>
      </c>
      <c r="O117" s="120">
        <v>19018.004279149693</v>
      </c>
      <c r="P117" s="121">
        <v>23044.667023087321</v>
      </c>
      <c r="Q117" s="310">
        <v>11546.963210503804</v>
      </c>
      <c r="R117" s="314">
        <v>30564.967489653496</v>
      </c>
      <c r="S117" s="315">
        <v>34591.630233591124</v>
      </c>
      <c r="U117" s="7" t="s">
        <v>4695</v>
      </c>
    </row>
    <row r="118" spans="1:21" ht="16.5" thickBot="1">
      <c r="A118" s="1311" t="s">
        <v>4588</v>
      </c>
      <c r="B118" s="1315">
        <f t="shared" si="6"/>
        <v>90</v>
      </c>
      <c r="C118" s="1315" t="s">
        <v>3</v>
      </c>
      <c r="D118" s="1315">
        <f t="shared" si="7"/>
        <v>300</v>
      </c>
      <c r="E118" s="1315" t="s">
        <v>3</v>
      </c>
      <c r="F118" s="1313">
        <f t="shared" si="8"/>
        <v>950</v>
      </c>
      <c r="G118" s="1315" t="s">
        <v>3</v>
      </c>
      <c r="H118" s="1312">
        <v>2</v>
      </c>
      <c r="I118" s="1314" t="s">
        <v>45</v>
      </c>
      <c r="J118" s="184">
        <v>90</v>
      </c>
      <c r="K118" s="75">
        <v>300</v>
      </c>
      <c r="L118" s="75">
        <v>950</v>
      </c>
      <c r="M118" s="185">
        <v>12.209437006828502</v>
      </c>
      <c r="N118" s="87">
        <v>430.88423900543995</v>
      </c>
      <c r="O118" s="120">
        <v>19676.457151696355</v>
      </c>
      <c r="P118" s="121">
        <v>23867.320743366639</v>
      </c>
      <c r="Q118" s="310">
        <v>12257.950156151066</v>
      </c>
      <c r="R118" s="314">
        <v>31934.407307847421</v>
      </c>
      <c r="S118" s="315">
        <v>36125.270899517709</v>
      </c>
      <c r="U118" s="7" t="s">
        <v>4696</v>
      </c>
    </row>
    <row r="119" spans="1:21" ht="16.5" thickBot="1">
      <c r="A119" s="1311" t="s">
        <v>4588</v>
      </c>
      <c r="B119" s="1315">
        <f t="shared" si="6"/>
        <v>90</v>
      </c>
      <c r="C119" s="1315" t="s">
        <v>3</v>
      </c>
      <c r="D119" s="1315">
        <f t="shared" si="7"/>
        <v>300</v>
      </c>
      <c r="E119" s="1315" t="s">
        <v>3</v>
      </c>
      <c r="F119" s="1313">
        <f t="shared" si="8"/>
        <v>1000</v>
      </c>
      <c r="G119" s="1315" t="s">
        <v>3</v>
      </c>
      <c r="H119" s="1312">
        <v>2</v>
      </c>
      <c r="I119" s="1314" t="s">
        <v>45</v>
      </c>
      <c r="J119" s="184">
        <v>90</v>
      </c>
      <c r="K119" s="75">
        <v>300</v>
      </c>
      <c r="L119" s="75">
        <v>1000</v>
      </c>
      <c r="M119" s="185">
        <v>12.891697466300769</v>
      </c>
      <c r="N119" s="87">
        <v>466.79125892256002</v>
      </c>
      <c r="O119" s="120">
        <v>20388.315659338015</v>
      </c>
      <c r="P119" s="121">
        <v>24743.380098740967</v>
      </c>
      <c r="Q119" s="310">
        <v>12738.355464408416</v>
      </c>
      <c r="R119" s="314">
        <v>33126.671123746433</v>
      </c>
      <c r="S119" s="315">
        <v>37481.735563149385</v>
      </c>
      <c r="U119" s="7" t="s">
        <v>4697</v>
      </c>
    </row>
    <row r="120" spans="1:21" ht="16.5" thickBot="1">
      <c r="A120" s="1311" t="s">
        <v>4588</v>
      </c>
      <c r="B120" s="1315">
        <f t="shared" si="6"/>
        <v>90</v>
      </c>
      <c r="C120" s="1315" t="s">
        <v>3</v>
      </c>
      <c r="D120" s="1315">
        <f t="shared" si="7"/>
        <v>300</v>
      </c>
      <c r="E120" s="1315" t="s">
        <v>3</v>
      </c>
      <c r="F120" s="1313">
        <f t="shared" si="8"/>
        <v>1050</v>
      </c>
      <c r="G120" s="1315" t="s">
        <v>3</v>
      </c>
      <c r="H120" s="1312">
        <v>2</v>
      </c>
      <c r="I120" s="1314" t="s">
        <v>45</v>
      </c>
      <c r="J120" s="184">
        <v>90</v>
      </c>
      <c r="K120" s="75">
        <v>300</v>
      </c>
      <c r="L120" s="75">
        <v>1050</v>
      </c>
      <c r="M120" s="185">
        <v>13.456903925773041</v>
      </c>
      <c r="N120" s="87">
        <v>502.69827883967997</v>
      </c>
      <c r="O120" s="120">
        <v>21046.768391491318</v>
      </c>
      <c r="P120" s="121">
        <v>25566.033959413657</v>
      </c>
      <c r="Q120" s="310">
        <v>13449.342410055679</v>
      </c>
      <c r="R120" s="314">
        <v>34496.110801546994</v>
      </c>
      <c r="S120" s="315">
        <v>39015.376369469333</v>
      </c>
      <c r="U120" s="7" t="s">
        <v>4698</v>
      </c>
    </row>
    <row r="121" spans="1:21" ht="16.5" thickBot="1">
      <c r="A121" s="1311" t="s">
        <v>4588</v>
      </c>
      <c r="B121" s="1312">
        <f t="shared" si="6"/>
        <v>90</v>
      </c>
      <c r="C121" s="1312" t="s">
        <v>3</v>
      </c>
      <c r="D121" s="1312">
        <f t="shared" si="7"/>
        <v>300</v>
      </c>
      <c r="E121" s="1312" t="s">
        <v>3</v>
      </c>
      <c r="F121" s="1313">
        <f t="shared" si="8"/>
        <v>1100</v>
      </c>
      <c r="G121" s="1312" t="s">
        <v>3</v>
      </c>
      <c r="H121" s="1312">
        <v>2</v>
      </c>
      <c r="I121" s="1314" t="s">
        <v>45</v>
      </c>
      <c r="J121" s="184">
        <v>90</v>
      </c>
      <c r="K121" s="75">
        <v>300</v>
      </c>
      <c r="L121" s="75">
        <v>1100</v>
      </c>
      <c r="M121" s="185">
        <v>14.022110385245309</v>
      </c>
      <c r="N121" s="87">
        <v>538.60529875680004</v>
      </c>
      <c r="O121" s="120">
        <v>21705.22126403798</v>
      </c>
      <c r="P121" s="121">
        <v>26388.687679692979</v>
      </c>
      <c r="Q121" s="310">
        <v>13929.747718313029</v>
      </c>
      <c r="R121" s="314">
        <v>35634.968982351013</v>
      </c>
      <c r="S121" s="315">
        <v>40318.435398006011</v>
      </c>
      <c r="U121" s="7" t="s">
        <v>4699</v>
      </c>
    </row>
    <row r="122" spans="1:21" ht="16.5" thickBot="1">
      <c r="A122" s="1311" t="s">
        <v>4588</v>
      </c>
      <c r="B122" s="1315">
        <f t="shared" si="6"/>
        <v>90</v>
      </c>
      <c r="C122" s="1315" t="s">
        <v>3</v>
      </c>
      <c r="D122" s="1315">
        <f t="shared" si="7"/>
        <v>300</v>
      </c>
      <c r="E122" s="1315" t="s">
        <v>3</v>
      </c>
      <c r="F122" s="1313">
        <f t="shared" si="8"/>
        <v>1150</v>
      </c>
      <c r="G122" s="1315" t="s">
        <v>3</v>
      </c>
      <c r="H122" s="1312">
        <v>2</v>
      </c>
      <c r="I122" s="1314" t="s">
        <v>45</v>
      </c>
      <c r="J122" s="184">
        <v>90</v>
      </c>
      <c r="K122" s="75">
        <v>300</v>
      </c>
      <c r="L122" s="75">
        <v>1150</v>
      </c>
      <c r="M122" s="185">
        <v>14.587316844717581</v>
      </c>
      <c r="N122" s="87">
        <v>574.51231867392005</v>
      </c>
      <c r="O122" s="120">
        <v>22363.674136584643</v>
      </c>
      <c r="P122" s="121">
        <v>27211.341399972305</v>
      </c>
      <c r="Q122" s="310">
        <v>14410.152886177015</v>
      </c>
      <c r="R122" s="314">
        <v>36773.827022761659</v>
      </c>
      <c r="S122" s="315">
        <v>41621.494286149318</v>
      </c>
      <c r="U122" s="7" t="s">
        <v>4700</v>
      </c>
    </row>
    <row r="123" spans="1:21" ht="16.5" thickBot="1">
      <c r="A123" s="1311" t="s">
        <v>4588</v>
      </c>
      <c r="B123" s="1315">
        <f t="shared" si="6"/>
        <v>90</v>
      </c>
      <c r="C123" s="1315" t="s">
        <v>3</v>
      </c>
      <c r="D123" s="1315">
        <f t="shared" si="7"/>
        <v>300</v>
      </c>
      <c r="E123" s="1315" t="s">
        <v>3</v>
      </c>
      <c r="F123" s="1313">
        <f t="shared" si="8"/>
        <v>1200</v>
      </c>
      <c r="G123" s="1315" t="s">
        <v>3</v>
      </c>
      <c r="H123" s="1312">
        <v>2</v>
      </c>
      <c r="I123" s="1314" t="s">
        <v>45</v>
      </c>
      <c r="J123" s="184">
        <v>90</v>
      </c>
      <c r="K123" s="75">
        <v>300</v>
      </c>
      <c r="L123" s="75">
        <v>1200</v>
      </c>
      <c r="M123" s="185">
        <v>15.152523304189849</v>
      </c>
      <c r="N123" s="87">
        <v>610.41933859103995</v>
      </c>
      <c r="O123" s="120">
        <v>23022.126868737945</v>
      </c>
      <c r="P123" s="121">
        <v>28033.995120251631</v>
      </c>
      <c r="Q123" s="310">
        <v>15121.139831824277</v>
      </c>
      <c r="R123" s="314">
        <v>38143.266700562221</v>
      </c>
      <c r="S123" s="315">
        <v>43155.13495207591</v>
      </c>
      <c r="U123" s="7" t="s">
        <v>4701</v>
      </c>
    </row>
    <row r="124" spans="1:21" ht="16.5" thickBot="1">
      <c r="A124" s="1311" t="s">
        <v>4588</v>
      </c>
      <c r="B124" s="1315">
        <f t="shared" si="6"/>
        <v>90</v>
      </c>
      <c r="C124" s="1315" t="s">
        <v>3</v>
      </c>
      <c r="D124" s="1315">
        <f t="shared" si="7"/>
        <v>300</v>
      </c>
      <c r="E124" s="1315" t="s">
        <v>3</v>
      </c>
      <c r="F124" s="1313">
        <f t="shared" si="8"/>
        <v>1250</v>
      </c>
      <c r="G124" s="1315" t="s">
        <v>3</v>
      </c>
      <c r="H124" s="1312">
        <v>2</v>
      </c>
      <c r="I124" s="1314" t="s">
        <v>45</v>
      </c>
      <c r="J124" s="184">
        <v>90</v>
      </c>
      <c r="K124" s="75">
        <v>300</v>
      </c>
      <c r="L124" s="75">
        <v>1250</v>
      </c>
      <c r="M124" s="185">
        <v>15.71772976366212</v>
      </c>
      <c r="N124" s="87">
        <v>646.32635850815996</v>
      </c>
      <c r="O124" s="120">
        <v>23680.579741284604</v>
      </c>
      <c r="P124" s="121">
        <v>28856.648840530957</v>
      </c>
      <c r="Q124" s="310">
        <v>15601.545140081627</v>
      </c>
      <c r="R124" s="314">
        <v>39282.124881366231</v>
      </c>
      <c r="S124" s="315">
        <v>44458.193980612588</v>
      </c>
      <c r="U124" s="7" t="s">
        <v>4702</v>
      </c>
    </row>
    <row r="125" spans="1:21" ht="16.5" thickBot="1">
      <c r="A125" s="1311" t="s">
        <v>4588</v>
      </c>
      <c r="B125" s="1315">
        <f t="shared" si="6"/>
        <v>90</v>
      </c>
      <c r="C125" s="1315" t="s">
        <v>3</v>
      </c>
      <c r="D125" s="1315">
        <f t="shared" si="7"/>
        <v>300</v>
      </c>
      <c r="E125" s="1315" t="s">
        <v>3</v>
      </c>
      <c r="F125" s="1313">
        <f t="shared" si="8"/>
        <v>1300</v>
      </c>
      <c r="G125" s="1315" t="s">
        <v>3</v>
      </c>
      <c r="H125" s="1312">
        <v>2</v>
      </c>
      <c r="I125" s="1314" t="s">
        <v>45</v>
      </c>
      <c r="J125" s="184">
        <v>90</v>
      </c>
      <c r="K125" s="75">
        <v>300</v>
      </c>
      <c r="L125" s="75">
        <v>1300</v>
      </c>
      <c r="M125" s="185">
        <v>16.282936223134389</v>
      </c>
      <c r="N125" s="87">
        <v>682.23337842527997</v>
      </c>
      <c r="O125" s="120">
        <v>24339.03261383127</v>
      </c>
      <c r="P125" s="121">
        <v>29679.30270120364</v>
      </c>
      <c r="Q125" s="310">
        <v>16312.53208572889</v>
      </c>
      <c r="R125" s="314">
        <v>40651.564699560156</v>
      </c>
      <c r="S125" s="315">
        <v>45991.83478693253</v>
      </c>
      <c r="U125" s="7" t="s">
        <v>4703</v>
      </c>
    </row>
    <row r="126" spans="1:21" ht="16.5" thickBot="1">
      <c r="A126" s="1311" t="s">
        <v>4588</v>
      </c>
      <c r="B126" s="1315">
        <f t="shared" si="6"/>
        <v>90</v>
      </c>
      <c r="C126" s="1315" t="s">
        <v>3</v>
      </c>
      <c r="D126" s="1315">
        <f t="shared" si="7"/>
        <v>300</v>
      </c>
      <c r="E126" s="1315" t="s">
        <v>3</v>
      </c>
      <c r="F126" s="1313">
        <f t="shared" si="8"/>
        <v>1350</v>
      </c>
      <c r="G126" s="1315" t="s">
        <v>3</v>
      </c>
      <c r="H126" s="1312">
        <v>2</v>
      </c>
      <c r="I126" s="1314" t="s">
        <v>45</v>
      </c>
      <c r="J126" s="184">
        <v>90</v>
      </c>
      <c r="K126" s="75">
        <v>300</v>
      </c>
      <c r="L126" s="75">
        <v>1350</v>
      </c>
      <c r="M126" s="185">
        <v>16.848142682606657</v>
      </c>
      <c r="N126" s="87">
        <v>718.14039834239998</v>
      </c>
      <c r="O126" s="120">
        <v>24997.485345984569</v>
      </c>
      <c r="P126" s="121">
        <v>30501.956421482966</v>
      </c>
      <c r="Q126" s="310">
        <v>16792.937253592878</v>
      </c>
      <c r="R126" s="314">
        <v>41790.422599577447</v>
      </c>
      <c r="S126" s="315">
        <v>47294.893675075844</v>
      </c>
      <c r="U126" s="7" t="s">
        <v>4704</v>
      </c>
    </row>
    <row r="127" spans="1:21" ht="16.5" thickBot="1">
      <c r="A127" s="1311" t="s">
        <v>4588</v>
      </c>
      <c r="B127" s="1315">
        <f t="shared" si="6"/>
        <v>90</v>
      </c>
      <c r="C127" s="1315" t="s">
        <v>3</v>
      </c>
      <c r="D127" s="1315">
        <f t="shared" si="7"/>
        <v>300</v>
      </c>
      <c r="E127" s="1315" t="s">
        <v>3</v>
      </c>
      <c r="F127" s="1313">
        <f t="shared" si="8"/>
        <v>1400</v>
      </c>
      <c r="G127" s="1315" t="s">
        <v>3</v>
      </c>
      <c r="H127" s="1312">
        <v>2</v>
      </c>
      <c r="I127" s="1314" t="s">
        <v>45</v>
      </c>
      <c r="J127" s="184">
        <v>90</v>
      </c>
      <c r="K127" s="75">
        <v>300</v>
      </c>
      <c r="L127" s="75">
        <v>1400</v>
      </c>
      <c r="M127" s="185">
        <v>17.413349142078928</v>
      </c>
      <c r="N127" s="87">
        <v>754.04741825951999</v>
      </c>
      <c r="O127" s="120">
        <v>25655.938218531228</v>
      </c>
      <c r="P127" s="121">
        <v>31324.610141762292</v>
      </c>
      <c r="Q127" s="310">
        <v>17503.924339633504</v>
      </c>
      <c r="R127" s="314">
        <v>43159.862558164736</v>
      </c>
      <c r="S127" s="315">
        <v>48828.534481395793</v>
      </c>
      <c r="U127" s="7" t="s">
        <v>4705</v>
      </c>
    </row>
    <row r="128" spans="1:21" ht="16.5" thickBot="1">
      <c r="A128" s="1311" t="s">
        <v>4588</v>
      </c>
      <c r="B128" s="1315">
        <f t="shared" si="6"/>
        <v>90</v>
      </c>
      <c r="C128" s="1315" t="s">
        <v>3</v>
      </c>
      <c r="D128" s="1315">
        <f t="shared" si="7"/>
        <v>300</v>
      </c>
      <c r="E128" s="1315" t="s">
        <v>3</v>
      </c>
      <c r="F128" s="1313">
        <f t="shared" si="8"/>
        <v>1450</v>
      </c>
      <c r="G128" s="1315" t="s">
        <v>3</v>
      </c>
      <c r="H128" s="1312">
        <v>2</v>
      </c>
      <c r="I128" s="1314" t="s">
        <v>45</v>
      </c>
      <c r="J128" s="184">
        <v>90</v>
      </c>
      <c r="K128" s="75">
        <v>300</v>
      </c>
      <c r="L128" s="75">
        <v>1450</v>
      </c>
      <c r="M128" s="185">
        <v>17.9785556015512</v>
      </c>
      <c r="N128" s="87">
        <v>789.95443817664</v>
      </c>
      <c r="O128" s="120">
        <v>26314.391091077894</v>
      </c>
      <c r="P128" s="121">
        <v>32147.263862041618</v>
      </c>
      <c r="Q128" s="310">
        <v>17984.32950749735</v>
      </c>
      <c r="R128" s="314">
        <v>44298.720598575244</v>
      </c>
      <c r="S128" s="315">
        <v>50131.593369538969</v>
      </c>
      <c r="U128" s="7" t="s">
        <v>4706</v>
      </c>
    </row>
    <row r="129" spans="1:21" ht="16.5" thickBot="1">
      <c r="A129" s="1311" t="s">
        <v>4588</v>
      </c>
      <c r="B129" s="1315">
        <f t="shared" si="6"/>
        <v>90</v>
      </c>
      <c r="C129" s="1315" t="s">
        <v>3</v>
      </c>
      <c r="D129" s="1315">
        <f t="shared" si="7"/>
        <v>300</v>
      </c>
      <c r="E129" s="1315" t="s">
        <v>3</v>
      </c>
      <c r="F129" s="1313">
        <f t="shared" si="8"/>
        <v>1500</v>
      </c>
      <c r="G129" s="1315" t="s">
        <v>3</v>
      </c>
      <c r="H129" s="1312">
        <v>2</v>
      </c>
      <c r="I129" s="1314" t="s">
        <v>45</v>
      </c>
      <c r="J129" s="184">
        <v>90</v>
      </c>
      <c r="K129" s="75">
        <v>300</v>
      </c>
      <c r="L129" s="75">
        <v>1500</v>
      </c>
      <c r="M129" s="185">
        <v>18.842056861023469</v>
      </c>
      <c r="N129" s="87">
        <v>825.86145809375989</v>
      </c>
      <c r="O129" s="120">
        <v>27638.140029839557</v>
      </c>
      <c r="P129" s="121">
        <v>33793.174994059023</v>
      </c>
      <c r="Q129" s="310">
        <v>18695.316593538118</v>
      </c>
      <c r="R129" s="314">
        <v>46333.456623377671</v>
      </c>
      <c r="S129" s="315">
        <v>52488.491587597142</v>
      </c>
      <c r="U129" s="7" t="s">
        <v>4707</v>
      </c>
    </row>
    <row r="130" spans="1:21" ht="16.5" thickBot="1">
      <c r="A130" s="1311" t="s">
        <v>4588</v>
      </c>
      <c r="B130" s="1315">
        <f t="shared" si="6"/>
        <v>90</v>
      </c>
      <c r="C130" s="1315" t="s">
        <v>3</v>
      </c>
      <c r="D130" s="1315">
        <f t="shared" si="7"/>
        <v>300</v>
      </c>
      <c r="E130" s="1315" t="s">
        <v>3</v>
      </c>
      <c r="F130" s="1313">
        <f t="shared" si="8"/>
        <v>1550</v>
      </c>
      <c r="G130" s="1315" t="s">
        <v>3</v>
      </c>
      <c r="H130" s="1312">
        <v>2</v>
      </c>
      <c r="I130" s="1314" t="s">
        <v>45</v>
      </c>
      <c r="J130" s="184">
        <v>90</v>
      </c>
      <c r="K130" s="75">
        <v>300</v>
      </c>
      <c r="L130" s="75">
        <v>1550</v>
      </c>
      <c r="M130" s="185">
        <v>19.407263320495741</v>
      </c>
      <c r="N130" s="87">
        <v>861.7684780108799</v>
      </c>
      <c r="O130" s="120">
        <v>28296.592902386219</v>
      </c>
      <c r="P130" s="121">
        <v>34615.828714338342</v>
      </c>
      <c r="Q130" s="310">
        <v>19175.721761402103</v>
      </c>
      <c r="R130" s="314">
        <v>47472.314663788318</v>
      </c>
      <c r="S130" s="315">
        <v>53791.550475740441</v>
      </c>
      <c r="U130" s="7" t="s">
        <v>4708</v>
      </c>
    </row>
    <row r="131" spans="1:21" ht="16.5" thickBot="1">
      <c r="A131" s="1311" t="s">
        <v>4588</v>
      </c>
      <c r="B131" s="1312">
        <f t="shared" si="6"/>
        <v>90</v>
      </c>
      <c r="C131" s="1312" t="s">
        <v>3</v>
      </c>
      <c r="D131" s="1312">
        <f t="shared" si="7"/>
        <v>300</v>
      </c>
      <c r="E131" s="1312" t="s">
        <v>3</v>
      </c>
      <c r="F131" s="1313">
        <f t="shared" si="8"/>
        <v>1600</v>
      </c>
      <c r="G131" s="1312" t="s">
        <v>3</v>
      </c>
      <c r="H131" s="1312">
        <v>2</v>
      </c>
      <c r="I131" s="1314" t="s">
        <v>45</v>
      </c>
      <c r="J131" s="184">
        <v>90</v>
      </c>
      <c r="K131" s="75">
        <v>300</v>
      </c>
      <c r="L131" s="75">
        <v>1600</v>
      </c>
      <c r="M131" s="185">
        <v>19.972469779968009</v>
      </c>
      <c r="N131" s="87">
        <v>897.67549792799991</v>
      </c>
      <c r="O131" s="120">
        <v>28955.045634539521</v>
      </c>
      <c r="P131" s="121">
        <v>35438.482575011032</v>
      </c>
      <c r="Q131" s="310">
        <v>19656.126929266091</v>
      </c>
      <c r="R131" s="314">
        <v>48611.172563805609</v>
      </c>
      <c r="S131" s="315">
        <v>55094.609504277119</v>
      </c>
      <c r="U131" s="7" t="s">
        <v>4709</v>
      </c>
    </row>
    <row r="132" spans="1:21" ht="16.5" thickBot="1">
      <c r="A132" s="1311" t="s">
        <v>4588</v>
      </c>
      <c r="B132" s="1315">
        <f t="shared" si="6"/>
        <v>90</v>
      </c>
      <c r="C132" s="1315" t="s">
        <v>3</v>
      </c>
      <c r="D132" s="1315">
        <f t="shared" si="7"/>
        <v>300</v>
      </c>
      <c r="E132" s="1315" t="s">
        <v>3</v>
      </c>
      <c r="F132" s="1313">
        <f t="shared" si="8"/>
        <v>1650</v>
      </c>
      <c r="G132" s="1315" t="s">
        <v>3</v>
      </c>
      <c r="H132" s="1312">
        <v>2</v>
      </c>
      <c r="I132" s="1314" t="s">
        <v>45</v>
      </c>
      <c r="J132" s="184">
        <v>90</v>
      </c>
      <c r="K132" s="75">
        <v>300</v>
      </c>
      <c r="L132" s="75">
        <v>1650</v>
      </c>
      <c r="M132" s="185">
        <v>20.537676239440277</v>
      </c>
      <c r="N132" s="87">
        <v>933.58251784512004</v>
      </c>
      <c r="O132" s="120">
        <v>29613.49850708618</v>
      </c>
      <c r="P132" s="121">
        <v>36261.136295290358</v>
      </c>
      <c r="Q132" s="310">
        <v>20367.114015306717</v>
      </c>
      <c r="R132" s="314">
        <v>49980.612522392898</v>
      </c>
      <c r="S132" s="315">
        <v>56628.250310597075</v>
      </c>
      <c r="U132" s="7" t="s">
        <v>4710</v>
      </c>
    </row>
    <row r="133" spans="1:21" ht="16.5" thickBot="1">
      <c r="A133" s="1311" t="s">
        <v>4588</v>
      </c>
      <c r="B133" s="1315">
        <f t="shared" si="6"/>
        <v>90</v>
      </c>
      <c r="C133" s="1315" t="s">
        <v>3</v>
      </c>
      <c r="D133" s="1315">
        <f t="shared" si="7"/>
        <v>300</v>
      </c>
      <c r="E133" s="1315" t="s">
        <v>3</v>
      </c>
      <c r="F133" s="1313">
        <f t="shared" si="8"/>
        <v>1700</v>
      </c>
      <c r="G133" s="1315" t="s">
        <v>3</v>
      </c>
      <c r="H133" s="1312">
        <v>2</v>
      </c>
      <c r="I133" s="1314" t="s">
        <v>45</v>
      </c>
      <c r="J133" s="184">
        <v>90</v>
      </c>
      <c r="K133" s="75">
        <v>300</v>
      </c>
      <c r="L133" s="75">
        <v>1700</v>
      </c>
      <c r="M133" s="185">
        <v>21.102882698912548</v>
      </c>
      <c r="N133" s="87">
        <v>969.48953776224005</v>
      </c>
      <c r="O133" s="120">
        <v>30271.951379632847</v>
      </c>
      <c r="P133" s="121">
        <v>37083.790015569684</v>
      </c>
      <c r="Q133" s="310">
        <v>20847.519183170705</v>
      </c>
      <c r="R133" s="314">
        <v>51119.470562803552</v>
      </c>
      <c r="S133" s="315">
        <v>57931.30919874039</v>
      </c>
      <c r="U133" s="7" t="s">
        <v>4711</v>
      </c>
    </row>
    <row r="134" spans="1:21" ht="16.5" thickBot="1">
      <c r="A134" s="1311" t="s">
        <v>4588</v>
      </c>
      <c r="B134" s="1315">
        <f t="shared" si="6"/>
        <v>90</v>
      </c>
      <c r="C134" s="1315" t="s">
        <v>3</v>
      </c>
      <c r="D134" s="1315">
        <f t="shared" si="7"/>
        <v>300</v>
      </c>
      <c r="E134" s="1315" t="s">
        <v>3</v>
      </c>
      <c r="F134" s="1313">
        <f t="shared" si="8"/>
        <v>1750</v>
      </c>
      <c r="G134" s="1315" t="s">
        <v>3</v>
      </c>
      <c r="H134" s="1312">
        <v>2</v>
      </c>
      <c r="I134" s="1314" t="s">
        <v>45</v>
      </c>
      <c r="J134" s="184">
        <v>90</v>
      </c>
      <c r="K134" s="75">
        <v>300</v>
      </c>
      <c r="L134" s="75">
        <v>1750</v>
      </c>
      <c r="M134" s="185">
        <v>21.668089158384817</v>
      </c>
      <c r="N134" s="87">
        <v>1005.3965576793599</v>
      </c>
      <c r="O134" s="120">
        <v>30930.404111786145</v>
      </c>
      <c r="P134" s="121">
        <v>37906.44373584901</v>
      </c>
      <c r="Q134" s="310">
        <v>21558.506269211328</v>
      </c>
      <c r="R134" s="314">
        <v>52488.910380997477</v>
      </c>
      <c r="S134" s="315">
        <v>59464.950005060338</v>
      </c>
      <c r="U134" s="7" t="s">
        <v>4712</v>
      </c>
    </row>
    <row r="135" spans="1:21" ht="16.5" thickBot="1">
      <c r="A135" s="1311" t="s">
        <v>4588</v>
      </c>
      <c r="B135" s="1315">
        <f t="shared" si="6"/>
        <v>90</v>
      </c>
      <c r="C135" s="1315" t="s">
        <v>3</v>
      </c>
      <c r="D135" s="1315">
        <f t="shared" si="7"/>
        <v>300</v>
      </c>
      <c r="E135" s="1315" t="s">
        <v>3</v>
      </c>
      <c r="F135" s="1313">
        <f t="shared" si="8"/>
        <v>1800</v>
      </c>
      <c r="G135" s="1315" t="s">
        <v>3</v>
      </c>
      <c r="H135" s="1312">
        <v>2</v>
      </c>
      <c r="I135" s="1314" t="s">
        <v>45</v>
      </c>
      <c r="J135" s="184">
        <v>90</v>
      </c>
      <c r="K135" s="75">
        <v>300</v>
      </c>
      <c r="L135" s="75">
        <v>1800</v>
      </c>
      <c r="M135" s="185">
        <v>22.233295617857088</v>
      </c>
      <c r="N135" s="87">
        <v>1041.30357759648</v>
      </c>
      <c r="O135" s="120">
        <v>31588.856984332804</v>
      </c>
      <c r="P135" s="121">
        <v>38729.097456128329</v>
      </c>
      <c r="Q135" s="310">
        <v>22038.911437075316</v>
      </c>
      <c r="R135" s="314">
        <v>53627.768421408124</v>
      </c>
      <c r="S135" s="315">
        <v>60768.008893203645</v>
      </c>
      <c r="U135" s="7" t="s">
        <v>4713</v>
      </c>
    </row>
    <row r="136" spans="1:21" ht="16.5" thickBot="1">
      <c r="A136" s="1311" t="s">
        <v>4588</v>
      </c>
      <c r="B136" s="1315">
        <f t="shared" si="6"/>
        <v>90</v>
      </c>
      <c r="C136" s="1315" t="s">
        <v>3</v>
      </c>
      <c r="D136" s="1315">
        <f t="shared" si="7"/>
        <v>300</v>
      </c>
      <c r="E136" s="1315" t="s">
        <v>3</v>
      </c>
      <c r="F136" s="1313">
        <f t="shared" si="8"/>
        <v>1850</v>
      </c>
      <c r="G136" s="1315" t="s">
        <v>3</v>
      </c>
      <c r="H136" s="1312">
        <v>2</v>
      </c>
      <c r="I136" s="1314" t="s">
        <v>45</v>
      </c>
      <c r="J136" s="184">
        <v>90</v>
      </c>
      <c r="K136" s="75">
        <v>300</v>
      </c>
      <c r="L136" s="75">
        <v>1850</v>
      </c>
      <c r="M136" s="185">
        <v>22.79850207732936</v>
      </c>
      <c r="N136" s="87">
        <v>1077.2105975136001</v>
      </c>
      <c r="O136" s="120">
        <v>32247.30985687947</v>
      </c>
      <c r="P136" s="121">
        <v>39551.751316801019</v>
      </c>
      <c r="Q136" s="310">
        <v>22749.898382722578</v>
      </c>
      <c r="R136" s="314">
        <v>54997.208239602049</v>
      </c>
      <c r="S136" s="315">
        <v>62301.649699523594</v>
      </c>
      <c r="U136" s="7" t="s">
        <v>4714</v>
      </c>
    </row>
    <row r="137" spans="1:21" ht="16.5" thickBot="1">
      <c r="A137" s="1311" t="s">
        <v>4588</v>
      </c>
      <c r="B137" s="1315">
        <f t="shared" si="6"/>
        <v>90</v>
      </c>
      <c r="C137" s="1315" t="s">
        <v>3</v>
      </c>
      <c r="D137" s="1315">
        <f t="shared" si="7"/>
        <v>300</v>
      </c>
      <c r="E137" s="1315" t="s">
        <v>3</v>
      </c>
      <c r="F137" s="1313">
        <f t="shared" si="8"/>
        <v>1900</v>
      </c>
      <c r="G137" s="1315" t="s">
        <v>3</v>
      </c>
      <c r="H137" s="1312">
        <v>2</v>
      </c>
      <c r="I137" s="1314" t="s">
        <v>45</v>
      </c>
      <c r="J137" s="184">
        <v>90</v>
      </c>
      <c r="K137" s="75">
        <v>300</v>
      </c>
      <c r="L137" s="75">
        <v>1900</v>
      </c>
      <c r="M137" s="185">
        <v>23.363708536801624</v>
      </c>
      <c r="N137" s="87">
        <v>1113.11761743072</v>
      </c>
      <c r="O137" s="120">
        <v>32905.762589032769</v>
      </c>
      <c r="P137" s="121">
        <v>40374.405037080345</v>
      </c>
      <c r="Q137" s="310">
        <v>23230.30369097993</v>
      </c>
      <c r="R137" s="314">
        <v>56136.066280012703</v>
      </c>
      <c r="S137" s="315">
        <v>63604.708728060272</v>
      </c>
      <c r="U137" s="7" t="s">
        <v>4715</v>
      </c>
    </row>
    <row r="138" spans="1:21" ht="16.5" thickBot="1">
      <c r="A138" s="1311" t="s">
        <v>4588</v>
      </c>
      <c r="B138" s="1315">
        <f t="shared" si="6"/>
        <v>90</v>
      </c>
      <c r="C138" s="1315" t="s">
        <v>3</v>
      </c>
      <c r="D138" s="1315">
        <f t="shared" si="7"/>
        <v>300</v>
      </c>
      <c r="E138" s="1315" t="s">
        <v>3</v>
      </c>
      <c r="F138" s="1313">
        <f t="shared" si="8"/>
        <v>1950</v>
      </c>
      <c r="G138" s="1315" t="s">
        <v>3</v>
      </c>
      <c r="H138" s="1312">
        <v>2</v>
      </c>
      <c r="I138" s="1314" t="s">
        <v>45</v>
      </c>
      <c r="J138" s="184">
        <v>90</v>
      </c>
      <c r="K138" s="75">
        <v>300</v>
      </c>
      <c r="L138" s="75">
        <v>1950</v>
      </c>
      <c r="M138" s="185">
        <v>23.928914996273903</v>
      </c>
      <c r="N138" s="87">
        <v>1149.0246373478401</v>
      </c>
      <c r="O138" s="120">
        <v>33564.215461579428</v>
      </c>
      <c r="P138" s="121">
        <v>41197.058757359671</v>
      </c>
      <c r="Q138" s="310">
        <v>23710.708858843918</v>
      </c>
      <c r="R138" s="314">
        <v>57274.92432042335</v>
      </c>
      <c r="S138" s="315">
        <v>64907.767616203593</v>
      </c>
      <c r="U138" s="7" t="s">
        <v>4716</v>
      </c>
    </row>
    <row r="139" spans="1:21" ht="16.5" thickBot="1">
      <c r="A139" s="1311" t="s">
        <v>4588</v>
      </c>
      <c r="B139" s="1315">
        <f t="shared" si="6"/>
        <v>90</v>
      </c>
      <c r="C139" s="1315" t="s">
        <v>3</v>
      </c>
      <c r="D139" s="1315">
        <f t="shared" si="7"/>
        <v>300</v>
      </c>
      <c r="E139" s="1315" t="s">
        <v>3</v>
      </c>
      <c r="F139" s="1313">
        <f t="shared" si="8"/>
        <v>2000</v>
      </c>
      <c r="G139" s="1315" t="s">
        <v>3</v>
      </c>
      <c r="H139" s="1312">
        <v>2</v>
      </c>
      <c r="I139" s="1314" t="s">
        <v>45</v>
      </c>
      <c r="J139" s="184">
        <v>90</v>
      </c>
      <c r="K139" s="75">
        <v>300</v>
      </c>
      <c r="L139" s="75">
        <v>2000</v>
      </c>
      <c r="M139" s="185">
        <v>24.611175455746164</v>
      </c>
      <c r="N139" s="87">
        <v>1184.93165726496</v>
      </c>
      <c r="O139" s="120">
        <v>34675.943888620583</v>
      </c>
      <c r="P139" s="121">
        <v>42176.447627533998</v>
      </c>
      <c r="Q139" s="310">
        <v>24421.695804491177</v>
      </c>
      <c r="R139" s="314">
        <v>59097.639693111763</v>
      </c>
      <c r="S139" s="315">
        <v>66598.143432025172</v>
      </c>
      <c r="U139" s="7" t="s">
        <v>4717</v>
      </c>
    </row>
    <row r="140" spans="1:21" ht="16.5" thickBot="1">
      <c r="A140" s="1311" t="s">
        <v>4588</v>
      </c>
      <c r="B140" s="1315">
        <f t="shared" si="6"/>
        <v>90</v>
      </c>
      <c r="C140" s="1315" t="s">
        <v>3</v>
      </c>
      <c r="D140" s="1315">
        <f t="shared" si="7"/>
        <v>300</v>
      </c>
      <c r="E140" s="1315" t="s">
        <v>3</v>
      </c>
      <c r="F140" s="1313">
        <f t="shared" si="8"/>
        <v>2050</v>
      </c>
      <c r="G140" s="1315" t="s">
        <v>3</v>
      </c>
      <c r="H140" s="1312">
        <v>2</v>
      </c>
      <c r="I140" s="1314" t="s">
        <v>45</v>
      </c>
      <c r="J140" s="184">
        <v>90</v>
      </c>
      <c r="K140" s="75">
        <v>300</v>
      </c>
      <c r="L140" s="75">
        <v>2050</v>
      </c>
      <c r="M140" s="185">
        <v>25.176381915218435</v>
      </c>
      <c r="N140" s="87">
        <v>1220.8386771820799</v>
      </c>
      <c r="O140" s="120">
        <v>35334.396620773885</v>
      </c>
      <c r="P140" s="121">
        <v>42999.101347813325</v>
      </c>
      <c r="Q140" s="310">
        <v>24902.101112748529</v>
      </c>
      <c r="R140" s="314">
        <v>60236.49773352241</v>
      </c>
      <c r="S140" s="315">
        <v>67901.20246056185</v>
      </c>
      <c r="U140" s="7" t="s">
        <v>4718</v>
      </c>
    </row>
    <row r="141" spans="1:21" ht="16.5" thickBot="1">
      <c r="A141" s="1311" t="s">
        <v>4588</v>
      </c>
      <c r="B141" s="1312">
        <f t="shared" si="6"/>
        <v>90</v>
      </c>
      <c r="C141" s="1312" t="s">
        <v>3</v>
      </c>
      <c r="D141" s="1312">
        <f t="shared" si="7"/>
        <v>300</v>
      </c>
      <c r="E141" s="1312" t="s">
        <v>3</v>
      </c>
      <c r="F141" s="1313">
        <f t="shared" si="8"/>
        <v>2100</v>
      </c>
      <c r="G141" s="1312" t="s">
        <v>3</v>
      </c>
      <c r="H141" s="1312">
        <v>2</v>
      </c>
      <c r="I141" s="1314" t="s">
        <v>45</v>
      </c>
      <c r="J141" s="184">
        <v>90</v>
      </c>
      <c r="K141" s="75">
        <v>300</v>
      </c>
      <c r="L141" s="75">
        <v>2100</v>
      </c>
      <c r="M141" s="185">
        <v>25.741588374690703</v>
      </c>
      <c r="N141" s="87">
        <v>1256.7456970992</v>
      </c>
      <c r="O141" s="120">
        <v>35992.849493320544</v>
      </c>
      <c r="P141" s="121">
        <v>43821.755208486007</v>
      </c>
      <c r="Q141" s="310">
        <v>25613.088058395791</v>
      </c>
      <c r="R141" s="314">
        <v>61605.937551716335</v>
      </c>
      <c r="S141" s="315">
        <v>69434.843266881799</v>
      </c>
      <c r="U141" s="7" t="s">
        <v>4719</v>
      </c>
    </row>
    <row r="142" spans="1:21" ht="16.5" thickBot="1">
      <c r="A142" s="1311" t="s">
        <v>4588</v>
      </c>
      <c r="B142" s="1315">
        <f t="shared" si="6"/>
        <v>90</v>
      </c>
      <c r="C142" s="1315" t="s">
        <v>3</v>
      </c>
      <c r="D142" s="1315">
        <f t="shared" si="7"/>
        <v>300</v>
      </c>
      <c r="E142" s="1315" t="s">
        <v>3</v>
      </c>
      <c r="F142" s="1313">
        <f t="shared" si="8"/>
        <v>2150</v>
      </c>
      <c r="G142" s="1315" t="s">
        <v>3</v>
      </c>
      <c r="H142" s="1312">
        <v>2</v>
      </c>
      <c r="I142" s="1314" t="s">
        <v>45</v>
      </c>
      <c r="J142" s="184">
        <v>90</v>
      </c>
      <c r="K142" s="75">
        <v>300</v>
      </c>
      <c r="L142" s="75">
        <v>2150</v>
      </c>
      <c r="M142" s="185">
        <v>26.306794834162972</v>
      </c>
      <c r="N142" s="87">
        <v>1292.6527170163199</v>
      </c>
      <c r="O142" s="120">
        <v>36651.302365867203</v>
      </c>
      <c r="P142" s="121">
        <v>44644.408928765333</v>
      </c>
      <c r="Q142" s="310">
        <v>26093.493366653143</v>
      </c>
      <c r="R142" s="314">
        <v>62744.795732520346</v>
      </c>
      <c r="S142" s="315">
        <v>70737.902295418477</v>
      </c>
      <c r="U142" s="7" t="s">
        <v>4720</v>
      </c>
    </row>
    <row r="143" spans="1:21" ht="16.5" thickBot="1">
      <c r="A143" s="1311" t="s">
        <v>4588</v>
      </c>
      <c r="B143" s="1315">
        <f t="shared" si="6"/>
        <v>90</v>
      </c>
      <c r="C143" s="1315" t="s">
        <v>3</v>
      </c>
      <c r="D143" s="1315">
        <f t="shared" si="7"/>
        <v>300</v>
      </c>
      <c r="E143" s="1315" t="s">
        <v>3</v>
      </c>
      <c r="F143" s="1313">
        <f t="shared" si="8"/>
        <v>2200</v>
      </c>
      <c r="G143" s="1315" t="s">
        <v>3</v>
      </c>
      <c r="H143" s="1312">
        <v>2</v>
      </c>
      <c r="I143" s="1314" t="s">
        <v>45</v>
      </c>
      <c r="J143" s="184">
        <v>90</v>
      </c>
      <c r="K143" s="75">
        <v>300</v>
      </c>
      <c r="L143" s="75">
        <v>2200</v>
      </c>
      <c r="M143" s="185">
        <v>26.87200129363525</v>
      </c>
      <c r="N143" s="87">
        <v>1328.55973693344</v>
      </c>
      <c r="O143" s="120">
        <v>37309.755238413869</v>
      </c>
      <c r="P143" s="121">
        <v>45467.062649044659</v>
      </c>
      <c r="Q143" s="310">
        <v>26804.480312300402</v>
      </c>
      <c r="R143" s="314">
        <v>64114.235550714271</v>
      </c>
      <c r="S143" s="315">
        <v>72271.542961345054</v>
      </c>
      <c r="U143" s="7" t="s">
        <v>4721</v>
      </c>
    </row>
    <row r="144" spans="1:21" ht="16.5" thickBot="1">
      <c r="A144" s="1311" t="s">
        <v>4588</v>
      </c>
      <c r="B144" s="1315">
        <f t="shared" si="6"/>
        <v>90</v>
      </c>
      <c r="C144" s="1315" t="s">
        <v>3</v>
      </c>
      <c r="D144" s="1315">
        <f t="shared" si="7"/>
        <v>300</v>
      </c>
      <c r="E144" s="1315" t="s">
        <v>3</v>
      </c>
      <c r="F144" s="1313">
        <f t="shared" si="8"/>
        <v>2250</v>
      </c>
      <c r="G144" s="1315" t="s">
        <v>3</v>
      </c>
      <c r="H144" s="1312">
        <v>2</v>
      </c>
      <c r="I144" s="1314" t="s">
        <v>45</v>
      </c>
      <c r="J144" s="184">
        <v>90</v>
      </c>
      <c r="K144" s="75">
        <v>300</v>
      </c>
      <c r="L144" s="75">
        <v>2250</v>
      </c>
      <c r="M144" s="185">
        <v>27.437207753107511</v>
      </c>
      <c r="N144" s="87">
        <v>1364.4667568505599</v>
      </c>
      <c r="O144" s="120">
        <v>37968.207970567171</v>
      </c>
      <c r="P144" s="121">
        <v>46289.716369323978</v>
      </c>
      <c r="Q144" s="310">
        <v>27284.885480164394</v>
      </c>
      <c r="R144" s="314">
        <v>65253.093450731569</v>
      </c>
      <c r="S144" s="315">
        <v>73574.601849488376</v>
      </c>
      <c r="U144" s="7" t="s">
        <v>4722</v>
      </c>
    </row>
    <row r="145" spans="1:21" ht="16.5" thickBot="1">
      <c r="A145" s="1311" t="s">
        <v>4588</v>
      </c>
      <c r="B145" s="1315">
        <f t="shared" si="6"/>
        <v>90</v>
      </c>
      <c r="C145" s="1315" t="s">
        <v>3</v>
      </c>
      <c r="D145" s="1315">
        <f t="shared" si="7"/>
        <v>300</v>
      </c>
      <c r="E145" s="1315" t="s">
        <v>3</v>
      </c>
      <c r="F145" s="1313">
        <f t="shared" si="8"/>
        <v>2300</v>
      </c>
      <c r="G145" s="1315" t="s">
        <v>3</v>
      </c>
      <c r="H145" s="1312">
        <v>2</v>
      </c>
      <c r="I145" s="1314" t="s">
        <v>45</v>
      </c>
      <c r="J145" s="184">
        <v>90</v>
      </c>
      <c r="K145" s="75">
        <v>300</v>
      </c>
      <c r="L145" s="75">
        <v>2300</v>
      </c>
      <c r="M145" s="185">
        <v>28.002414212579787</v>
      </c>
      <c r="N145" s="87">
        <v>1400.3737767676798</v>
      </c>
      <c r="O145" s="120">
        <v>38626.66084311383</v>
      </c>
      <c r="P145" s="121">
        <v>47112.370089603304</v>
      </c>
      <c r="Q145" s="310">
        <v>27765.290788421746</v>
      </c>
      <c r="R145" s="314">
        <v>66391.951631535572</v>
      </c>
      <c r="S145" s="315">
        <v>74877.660878025054</v>
      </c>
      <c r="U145" s="7" t="s">
        <v>4723</v>
      </c>
    </row>
    <row r="146" spans="1:21" ht="16.5" thickBot="1">
      <c r="A146" s="1311" t="s">
        <v>4588</v>
      </c>
      <c r="B146" s="1315">
        <f t="shared" si="6"/>
        <v>90</v>
      </c>
      <c r="C146" s="1315" t="s">
        <v>3</v>
      </c>
      <c r="D146" s="1315">
        <f t="shared" si="7"/>
        <v>300</v>
      </c>
      <c r="E146" s="1315" t="s">
        <v>3</v>
      </c>
      <c r="F146" s="1313">
        <f t="shared" si="8"/>
        <v>2350</v>
      </c>
      <c r="G146" s="1315" t="s">
        <v>3</v>
      </c>
      <c r="H146" s="1312">
        <v>2</v>
      </c>
      <c r="I146" s="1314" t="s">
        <v>45</v>
      </c>
      <c r="J146" s="184">
        <v>90</v>
      </c>
      <c r="K146" s="75">
        <v>300</v>
      </c>
      <c r="L146" s="75">
        <v>2350</v>
      </c>
      <c r="M146" s="185">
        <v>28.567620672052058</v>
      </c>
      <c r="N146" s="87">
        <v>1436.2807966848</v>
      </c>
      <c r="O146" s="120">
        <v>39285.113715660496</v>
      </c>
      <c r="P146" s="121">
        <v>47935.023950276001</v>
      </c>
      <c r="Q146" s="310">
        <v>28476.277734069005</v>
      </c>
      <c r="R146" s="314">
        <v>67761.391449729505</v>
      </c>
      <c r="S146" s="315">
        <v>76411.301684345002</v>
      </c>
      <c r="U146" s="7" t="s">
        <v>4724</v>
      </c>
    </row>
    <row r="147" spans="1:21" ht="16.5" thickBot="1">
      <c r="A147" s="1311" t="s">
        <v>4588</v>
      </c>
      <c r="B147" s="1315">
        <f t="shared" si="6"/>
        <v>90</v>
      </c>
      <c r="C147" s="1315" t="s">
        <v>3</v>
      </c>
      <c r="D147" s="1315">
        <f t="shared" si="7"/>
        <v>300</v>
      </c>
      <c r="E147" s="1315" t="s">
        <v>3</v>
      </c>
      <c r="F147" s="1313">
        <f t="shared" si="8"/>
        <v>2400</v>
      </c>
      <c r="G147" s="1315" t="s">
        <v>3</v>
      </c>
      <c r="H147" s="1312">
        <v>2</v>
      </c>
      <c r="I147" s="1314" t="s">
        <v>45</v>
      </c>
      <c r="J147" s="184">
        <v>90</v>
      </c>
      <c r="K147" s="75">
        <v>300</v>
      </c>
      <c r="L147" s="75">
        <v>2400</v>
      </c>
      <c r="M147" s="185">
        <v>29.132827131524316</v>
      </c>
      <c r="N147" s="87">
        <v>1472.1878166019198</v>
      </c>
      <c r="O147" s="120">
        <v>39943.566447813799</v>
      </c>
      <c r="P147" s="121">
        <v>48757.67767055532</v>
      </c>
      <c r="Q147" s="310">
        <v>28956.682901932996</v>
      </c>
      <c r="R147" s="314">
        <v>68900.249349746795</v>
      </c>
      <c r="S147" s="315">
        <v>77714.360572488309</v>
      </c>
      <c r="U147" s="7" t="s">
        <v>4725</v>
      </c>
    </row>
    <row r="148" spans="1:21" ht="16.5" thickBot="1">
      <c r="A148" s="1311" t="s">
        <v>4588</v>
      </c>
      <c r="B148" s="1315">
        <f t="shared" si="6"/>
        <v>90</v>
      </c>
      <c r="C148" s="1315" t="s">
        <v>3</v>
      </c>
      <c r="D148" s="1315">
        <f t="shared" si="7"/>
        <v>300</v>
      </c>
      <c r="E148" s="1315" t="s">
        <v>3</v>
      </c>
      <c r="F148" s="1313">
        <f t="shared" si="8"/>
        <v>2450</v>
      </c>
      <c r="G148" s="1315" t="s">
        <v>3</v>
      </c>
      <c r="H148" s="1312">
        <v>2</v>
      </c>
      <c r="I148" s="1314" t="s">
        <v>45</v>
      </c>
      <c r="J148" s="184">
        <v>90</v>
      </c>
      <c r="K148" s="75">
        <v>300</v>
      </c>
      <c r="L148" s="75">
        <v>2450</v>
      </c>
      <c r="M148" s="185">
        <v>29.698033590996594</v>
      </c>
      <c r="N148" s="87">
        <v>1508.09483651904</v>
      </c>
      <c r="O148" s="120">
        <v>40602.019320360458</v>
      </c>
      <c r="P148" s="121">
        <v>49580.331390834646</v>
      </c>
      <c r="Q148" s="310">
        <v>29667.669987973619</v>
      </c>
      <c r="R148" s="314">
        <v>70269.689308334084</v>
      </c>
      <c r="S148" s="315">
        <v>79248.001378808258</v>
      </c>
      <c r="U148" s="7" t="s">
        <v>4726</v>
      </c>
    </row>
    <row r="149" spans="1:21" ht="16.5" thickBot="1">
      <c r="A149" s="1311" t="s">
        <v>4588</v>
      </c>
      <c r="B149" s="1315">
        <f t="shared" si="6"/>
        <v>90</v>
      </c>
      <c r="C149" s="1315" t="s">
        <v>3</v>
      </c>
      <c r="D149" s="1315">
        <f t="shared" si="7"/>
        <v>300</v>
      </c>
      <c r="E149" s="1315" t="s">
        <v>3</v>
      </c>
      <c r="F149" s="1313">
        <f t="shared" si="8"/>
        <v>2500</v>
      </c>
      <c r="G149" s="1315" t="s">
        <v>3</v>
      </c>
      <c r="H149" s="1312">
        <v>2</v>
      </c>
      <c r="I149" s="1314" t="s">
        <v>45</v>
      </c>
      <c r="J149" s="184">
        <v>90</v>
      </c>
      <c r="K149" s="75">
        <v>300</v>
      </c>
      <c r="L149" s="75">
        <v>2500</v>
      </c>
      <c r="M149" s="185">
        <v>30.56153485046886</v>
      </c>
      <c r="N149" s="87">
        <v>1544.0018564361599</v>
      </c>
      <c r="O149" s="120">
        <v>41925.768259122124</v>
      </c>
      <c r="P149" s="121">
        <v>51226.242522852044</v>
      </c>
      <c r="Q149" s="310">
        <v>30148.075155837607</v>
      </c>
      <c r="R149" s="314">
        <v>72073.843414959731</v>
      </c>
      <c r="S149" s="315">
        <v>81374.317678689651</v>
      </c>
      <c r="U149" s="7" t="s">
        <v>4727</v>
      </c>
    </row>
    <row r="150" spans="1:21" ht="16.5" thickBot="1">
      <c r="A150" s="1311" t="s">
        <v>4588</v>
      </c>
      <c r="B150" s="1315">
        <f t="shared" si="6"/>
        <v>90</v>
      </c>
      <c r="C150" s="1315" t="s">
        <v>3</v>
      </c>
      <c r="D150" s="1315">
        <f t="shared" si="7"/>
        <v>300</v>
      </c>
      <c r="E150" s="1315" t="s">
        <v>3</v>
      </c>
      <c r="F150" s="1313">
        <f t="shared" si="8"/>
        <v>2550</v>
      </c>
      <c r="G150" s="1315" t="s">
        <v>3</v>
      </c>
      <c r="H150" s="1312">
        <v>2</v>
      </c>
      <c r="I150" s="1314" t="s">
        <v>45</v>
      </c>
      <c r="J150" s="184">
        <v>90</v>
      </c>
      <c r="K150" s="75">
        <v>300</v>
      </c>
      <c r="L150" s="75">
        <v>2550</v>
      </c>
      <c r="M150" s="185">
        <v>31.126741309941135</v>
      </c>
      <c r="N150" s="87">
        <v>1579.90887635328</v>
      </c>
      <c r="O150" s="120">
        <v>42945.34248301827</v>
      </c>
      <c r="P150" s="121">
        <v>52062.935579381374</v>
      </c>
      <c r="Q150" s="310">
        <v>30859.06224187823</v>
      </c>
      <c r="R150" s="314">
        <v>73804.404724896507</v>
      </c>
      <c r="S150" s="315">
        <v>82921.997821259603</v>
      </c>
      <c r="U150" s="7" t="s">
        <v>4728</v>
      </c>
    </row>
    <row r="151" spans="1:21" ht="16.5" thickBot="1">
      <c r="A151" s="1311" t="s">
        <v>4588</v>
      </c>
      <c r="B151" s="1312">
        <f t="shared" si="6"/>
        <v>90</v>
      </c>
      <c r="C151" s="1312" t="s">
        <v>3</v>
      </c>
      <c r="D151" s="1312">
        <f t="shared" si="7"/>
        <v>300</v>
      </c>
      <c r="E151" s="1312" t="s">
        <v>3</v>
      </c>
      <c r="F151" s="1313">
        <f t="shared" si="8"/>
        <v>2600</v>
      </c>
      <c r="G151" s="1312" t="s">
        <v>3</v>
      </c>
      <c r="H151" s="1312">
        <v>2</v>
      </c>
      <c r="I151" s="1314" t="s">
        <v>45</v>
      </c>
      <c r="J151" s="184">
        <v>90</v>
      </c>
      <c r="K151" s="75">
        <v>300</v>
      </c>
      <c r="L151" s="75">
        <v>2600</v>
      </c>
      <c r="M151" s="185">
        <v>31.691947769413403</v>
      </c>
      <c r="N151" s="87">
        <v>1615.8158962703999</v>
      </c>
      <c r="O151" s="120">
        <v>43603.795215171573</v>
      </c>
      <c r="P151" s="121">
        <v>52885.5892996607</v>
      </c>
      <c r="Q151" s="310">
        <v>31339.467409742221</v>
      </c>
      <c r="R151" s="314">
        <v>74943.262624913797</v>
      </c>
      <c r="S151" s="315">
        <v>84225.056709402925</v>
      </c>
      <c r="U151" s="7" t="s">
        <v>4729</v>
      </c>
    </row>
    <row r="152" spans="1:21" ht="16.5" thickBot="1">
      <c r="A152" s="1311" t="s">
        <v>4588</v>
      </c>
      <c r="B152" s="1315">
        <f t="shared" si="6"/>
        <v>90</v>
      </c>
      <c r="C152" s="1315" t="s">
        <v>3</v>
      </c>
      <c r="D152" s="1315">
        <f t="shared" si="7"/>
        <v>300</v>
      </c>
      <c r="E152" s="1315" t="s">
        <v>3</v>
      </c>
      <c r="F152" s="1313">
        <f t="shared" si="8"/>
        <v>2650</v>
      </c>
      <c r="G152" s="1315" t="s">
        <v>3</v>
      </c>
      <c r="H152" s="1312">
        <v>2</v>
      </c>
      <c r="I152" s="1314" t="s">
        <v>45</v>
      </c>
      <c r="J152" s="184">
        <v>90</v>
      </c>
      <c r="K152" s="75">
        <v>300</v>
      </c>
      <c r="L152" s="75">
        <v>2650</v>
      </c>
      <c r="M152" s="185">
        <v>32.257154228885675</v>
      </c>
      <c r="N152" s="87">
        <v>1651.7229161875198</v>
      </c>
      <c r="O152" s="120">
        <v>44262.248087718232</v>
      </c>
      <c r="P152" s="121">
        <v>53708.243160333383</v>
      </c>
      <c r="Q152" s="310">
        <v>32050.45435538948</v>
      </c>
      <c r="R152" s="314">
        <v>76312.702443107715</v>
      </c>
      <c r="S152" s="315">
        <v>85758.697515722859</v>
      </c>
      <c r="U152" s="7" t="s">
        <v>4730</v>
      </c>
    </row>
    <row r="153" spans="1:21" ht="16.5" thickBot="1">
      <c r="A153" s="1311" t="s">
        <v>4588</v>
      </c>
      <c r="B153" s="1315">
        <f t="shared" si="6"/>
        <v>90</v>
      </c>
      <c r="C153" s="1315" t="s">
        <v>3</v>
      </c>
      <c r="D153" s="1315">
        <f t="shared" si="7"/>
        <v>300</v>
      </c>
      <c r="E153" s="1315" t="s">
        <v>3</v>
      </c>
      <c r="F153" s="1313">
        <f t="shared" si="8"/>
        <v>2700</v>
      </c>
      <c r="G153" s="1315" t="s">
        <v>3</v>
      </c>
      <c r="H153" s="1312">
        <v>2</v>
      </c>
      <c r="I153" s="1314" t="s">
        <v>45</v>
      </c>
      <c r="J153" s="184">
        <v>90</v>
      </c>
      <c r="K153" s="75">
        <v>300</v>
      </c>
      <c r="L153" s="75">
        <v>2700</v>
      </c>
      <c r="M153" s="185">
        <v>32.822360688357946</v>
      </c>
      <c r="N153" s="87">
        <v>1687.6299361046399</v>
      </c>
      <c r="O153" s="120">
        <v>44920.700960264898</v>
      </c>
      <c r="P153" s="121">
        <v>54530.896880612709</v>
      </c>
      <c r="Q153" s="310">
        <v>32530.859663646832</v>
      </c>
      <c r="R153" s="314">
        <v>77451.560623911733</v>
      </c>
      <c r="S153" s="315">
        <v>87061.756544259537</v>
      </c>
      <c r="U153" s="7" t="s">
        <v>4731</v>
      </c>
    </row>
    <row r="154" spans="1:21" ht="16.5" thickBot="1">
      <c r="A154" s="1311" t="s">
        <v>4588</v>
      </c>
      <c r="B154" s="1315">
        <f t="shared" si="6"/>
        <v>90</v>
      </c>
      <c r="C154" s="1315" t="s">
        <v>3</v>
      </c>
      <c r="D154" s="1315">
        <f t="shared" si="7"/>
        <v>300</v>
      </c>
      <c r="E154" s="1315" t="s">
        <v>3</v>
      </c>
      <c r="F154" s="1313">
        <f t="shared" si="8"/>
        <v>2750</v>
      </c>
      <c r="G154" s="1315" t="s">
        <v>3</v>
      </c>
      <c r="H154" s="1312">
        <v>2</v>
      </c>
      <c r="I154" s="1314" t="s">
        <v>45</v>
      </c>
      <c r="J154" s="184">
        <v>90</v>
      </c>
      <c r="K154" s="75">
        <v>300</v>
      </c>
      <c r="L154" s="75">
        <v>2750</v>
      </c>
      <c r="M154" s="185">
        <v>33.387567147830218</v>
      </c>
      <c r="N154" s="87">
        <v>1723.5369560217598</v>
      </c>
      <c r="O154" s="120">
        <v>45579.1536924182</v>
      </c>
      <c r="P154" s="121">
        <v>55353.550600892035</v>
      </c>
      <c r="Q154" s="310">
        <v>33011.264831510824</v>
      </c>
      <c r="R154" s="314">
        <v>78590.418523929024</v>
      </c>
      <c r="S154" s="315">
        <v>88364.815432402858</v>
      </c>
      <c r="U154" s="7" t="s">
        <v>4732</v>
      </c>
    </row>
    <row r="155" spans="1:21" ht="16.5" thickBot="1">
      <c r="A155" s="1311" t="s">
        <v>4588</v>
      </c>
      <c r="B155" s="1315">
        <f t="shared" si="6"/>
        <v>90</v>
      </c>
      <c r="C155" s="1315" t="s">
        <v>3</v>
      </c>
      <c r="D155" s="1315">
        <f t="shared" si="7"/>
        <v>300</v>
      </c>
      <c r="E155" s="1315" t="s">
        <v>3</v>
      </c>
      <c r="F155" s="1313">
        <f t="shared" si="8"/>
        <v>2800</v>
      </c>
      <c r="G155" s="1315" t="s">
        <v>3</v>
      </c>
      <c r="H155" s="1312">
        <v>2</v>
      </c>
      <c r="I155" s="1314" t="s">
        <v>45</v>
      </c>
      <c r="J155" s="184">
        <v>90</v>
      </c>
      <c r="K155" s="75">
        <v>300</v>
      </c>
      <c r="L155" s="75">
        <v>2800</v>
      </c>
      <c r="M155" s="185">
        <v>33.95277360730249</v>
      </c>
      <c r="N155" s="87">
        <v>1759.4439759388802</v>
      </c>
      <c r="O155" s="120">
        <v>46237.606564964859</v>
      </c>
      <c r="P155" s="121">
        <v>56176.204321171361</v>
      </c>
      <c r="Q155" s="310">
        <v>33722.251777158082</v>
      </c>
      <c r="R155" s="314">
        <v>79959.858342122941</v>
      </c>
      <c r="S155" s="315">
        <v>89898.45609832945</v>
      </c>
      <c r="U155" s="7" t="s">
        <v>4733</v>
      </c>
    </row>
    <row r="156" spans="1:21" ht="16.5" thickBot="1">
      <c r="A156" s="1311" t="s">
        <v>4588</v>
      </c>
      <c r="B156" s="1315">
        <f t="shared" si="6"/>
        <v>90</v>
      </c>
      <c r="C156" s="1315" t="s">
        <v>3</v>
      </c>
      <c r="D156" s="1315">
        <f t="shared" si="7"/>
        <v>300</v>
      </c>
      <c r="E156" s="1315" t="s">
        <v>3</v>
      </c>
      <c r="F156" s="1313">
        <f t="shared" si="8"/>
        <v>2850</v>
      </c>
      <c r="G156" s="1315" t="s">
        <v>3</v>
      </c>
      <c r="H156" s="1312">
        <v>2</v>
      </c>
      <c r="I156" s="1314" t="s">
        <v>45</v>
      </c>
      <c r="J156" s="184">
        <v>90</v>
      </c>
      <c r="K156" s="75">
        <v>300</v>
      </c>
      <c r="L156" s="75">
        <v>2850</v>
      </c>
      <c r="M156" s="185">
        <v>34.517980066774754</v>
      </c>
      <c r="N156" s="87">
        <v>1795.3509958559998</v>
      </c>
      <c r="O156" s="120">
        <v>46896.059437511525</v>
      </c>
      <c r="P156" s="121">
        <v>56998.858041450687</v>
      </c>
      <c r="Q156" s="310">
        <v>34202.657085415434</v>
      </c>
      <c r="R156" s="314">
        <v>81098.716522926959</v>
      </c>
      <c r="S156" s="315">
        <v>91201.515126866114</v>
      </c>
      <c r="U156" s="7" t="s">
        <v>4734</v>
      </c>
    </row>
    <row r="157" spans="1:21" ht="16.5" thickBot="1">
      <c r="A157" s="1311" t="s">
        <v>4588</v>
      </c>
      <c r="B157" s="1315">
        <f t="shared" si="6"/>
        <v>90</v>
      </c>
      <c r="C157" s="1315" t="s">
        <v>3</v>
      </c>
      <c r="D157" s="1315">
        <f t="shared" si="7"/>
        <v>300</v>
      </c>
      <c r="E157" s="1315" t="s">
        <v>3</v>
      </c>
      <c r="F157" s="1313">
        <f t="shared" si="8"/>
        <v>2900</v>
      </c>
      <c r="G157" s="1315" t="s">
        <v>3</v>
      </c>
      <c r="H157" s="1312">
        <v>2</v>
      </c>
      <c r="I157" s="1314" t="s">
        <v>45</v>
      </c>
      <c r="J157" s="184">
        <v>90</v>
      </c>
      <c r="K157" s="75">
        <v>300</v>
      </c>
      <c r="L157" s="75">
        <v>2900</v>
      </c>
      <c r="M157" s="185">
        <v>35.083186526247026</v>
      </c>
      <c r="N157" s="87">
        <v>1831.2580157731197</v>
      </c>
      <c r="O157" s="120">
        <v>47554.51216966482</v>
      </c>
      <c r="P157" s="121">
        <v>57821.51190212337</v>
      </c>
      <c r="Q157" s="310">
        <v>34913.644031062693</v>
      </c>
      <c r="R157" s="314">
        <v>82468.156200727506</v>
      </c>
      <c r="S157" s="315">
        <v>92735.155933186063</v>
      </c>
      <c r="U157" s="7" t="s">
        <v>4735</v>
      </c>
    </row>
    <row r="158" spans="1:21" ht="16.5" thickBot="1">
      <c r="A158" s="1311" t="s">
        <v>4588</v>
      </c>
      <c r="B158" s="1315">
        <f t="shared" si="6"/>
        <v>90</v>
      </c>
      <c r="C158" s="1315" t="s">
        <v>3</v>
      </c>
      <c r="D158" s="1315">
        <f t="shared" si="7"/>
        <v>300</v>
      </c>
      <c r="E158" s="1315" t="s">
        <v>3</v>
      </c>
      <c r="F158" s="1313">
        <f t="shared" si="8"/>
        <v>2950</v>
      </c>
      <c r="G158" s="1315" t="s">
        <v>3</v>
      </c>
      <c r="H158" s="1312">
        <v>2</v>
      </c>
      <c r="I158" s="1314" t="s">
        <v>45</v>
      </c>
      <c r="J158" s="184">
        <v>90</v>
      </c>
      <c r="K158" s="75">
        <v>300</v>
      </c>
      <c r="L158" s="75">
        <v>2950</v>
      </c>
      <c r="M158" s="185">
        <v>35.64839298571929</v>
      </c>
      <c r="N158" s="87">
        <v>1867.1650356902401</v>
      </c>
      <c r="O158" s="120">
        <v>48212.965042211486</v>
      </c>
      <c r="P158" s="121">
        <v>58644.165622402696</v>
      </c>
      <c r="Q158" s="310">
        <v>35394.049339320045</v>
      </c>
      <c r="R158" s="314">
        <v>83607.014381531539</v>
      </c>
      <c r="S158" s="315">
        <v>94038.214961722741</v>
      </c>
      <c r="U158" s="7" t="s">
        <v>4736</v>
      </c>
    </row>
    <row r="159" spans="1:21" ht="16.5" thickBot="1">
      <c r="A159" s="1316" t="s">
        <v>4588</v>
      </c>
      <c r="B159" s="1317">
        <f t="shared" si="6"/>
        <v>90</v>
      </c>
      <c r="C159" s="1317" t="s">
        <v>3</v>
      </c>
      <c r="D159" s="1317">
        <f t="shared" si="7"/>
        <v>300</v>
      </c>
      <c r="E159" s="1317" t="s">
        <v>3</v>
      </c>
      <c r="F159" s="1318">
        <f t="shared" si="8"/>
        <v>3000</v>
      </c>
      <c r="G159" s="1317" t="s">
        <v>3</v>
      </c>
      <c r="H159" s="1319">
        <v>2</v>
      </c>
      <c r="I159" s="1320" t="s">
        <v>45</v>
      </c>
      <c r="J159" s="321">
        <v>90</v>
      </c>
      <c r="K159" s="322">
        <v>300</v>
      </c>
      <c r="L159" s="322">
        <v>3000</v>
      </c>
      <c r="M159" s="332">
        <v>36.447707445191561</v>
      </c>
      <c r="N159" s="306">
        <v>1903.07205560736</v>
      </c>
      <c r="O159" s="308">
        <v>49113.680701088146</v>
      </c>
      <c r="P159" s="336">
        <v>59709.082129012022</v>
      </c>
      <c r="Q159" s="323">
        <v>36105.036284967304</v>
      </c>
      <c r="R159" s="1321">
        <v>85218.716986055457</v>
      </c>
      <c r="S159" s="325">
        <v>95814.118413979333</v>
      </c>
      <c r="U159" s="7" t="s">
        <v>4737</v>
      </c>
    </row>
    <row r="160" spans="1:21" ht="19.5" thickBot="1">
      <c r="A160" s="2580" t="s">
        <v>49</v>
      </c>
      <c r="B160" s="2581"/>
      <c r="C160" s="2581"/>
      <c r="D160" s="2581"/>
      <c r="E160" s="2581"/>
      <c r="F160" s="2581"/>
      <c r="G160" s="2581"/>
      <c r="H160" s="2581"/>
      <c r="I160" s="2581"/>
      <c r="J160" s="2581"/>
      <c r="K160" s="2581"/>
      <c r="L160" s="2581"/>
      <c r="M160" s="2581"/>
      <c r="N160" s="2581"/>
      <c r="O160" s="2581"/>
      <c r="P160" s="2581"/>
      <c r="Q160" s="2581"/>
      <c r="R160" s="2581"/>
      <c r="S160" s="2582"/>
      <c r="U160" s="7"/>
    </row>
    <row r="161" spans="1:21" ht="16.5" thickBot="1">
      <c r="A161" s="2583" t="s">
        <v>4587</v>
      </c>
      <c r="B161" s="2584"/>
      <c r="C161" s="2584"/>
      <c r="D161" s="2584"/>
      <c r="E161" s="2584"/>
      <c r="F161" s="2584"/>
      <c r="G161" s="2584"/>
      <c r="H161" s="2584"/>
      <c r="I161" s="2584"/>
      <c r="J161" s="2584"/>
      <c r="K161" s="2584"/>
      <c r="L161" s="2584"/>
      <c r="M161" s="2584"/>
      <c r="N161" s="2584"/>
      <c r="O161" s="2584"/>
      <c r="P161" s="2584"/>
      <c r="Q161" s="2584"/>
      <c r="R161" s="2584"/>
      <c r="S161" s="2585"/>
      <c r="U161" s="7"/>
    </row>
    <row r="162" spans="1:21" ht="16.5" thickBot="1">
      <c r="A162" s="1311" t="s">
        <v>4588</v>
      </c>
      <c r="B162" s="1312">
        <f>J162</f>
        <v>90</v>
      </c>
      <c r="C162" s="1312" t="s">
        <v>3</v>
      </c>
      <c r="D162" s="1312">
        <f>K162</f>
        <v>360</v>
      </c>
      <c r="E162" s="1312" t="s">
        <v>3</v>
      </c>
      <c r="F162" s="1313">
        <f>L162</f>
        <v>600</v>
      </c>
      <c r="G162" s="1312" t="s">
        <v>3</v>
      </c>
      <c r="H162" s="1312">
        <v>2</v>
      </c>
      <c r="I162" s="1314" t="s">
        <v>45</v>
      </c>
      <c r="J162" s="326">
        <v>90</v>
      </c>
      <c r="K162" s="327">
        <v>360</v>
      </c>
      <c r="L162" s="327">
        <v>600</v>
      </c>
      <c r="M162" s="334">
        <v>9.4894673075752429</v>
      </c>
      <c r="N162" s="302">
        <v>209.61485999999999</v>
      </c>
      <c r="O162" s="304">
        <v>15503.389963049927</v>
      </c>
      <c r="P162" s="331">
        <v>19412.446169974843</v>
      </c>
      <c r="Q162" s="328">
        <v>9204.3678470371888</v>
      </c>
      <c r="R162" s="1322">
        <v>24707.757810087118</v>
      </c>
      <c r="S162" s="330">
        <v>28616.814017012031</v>
      </c>
      <c r="U162" s="7" t="s">
        <v>4738</v>
      </c>
    </row>
    <row r="163" spans="1:21" ht="16.5" thickBot="1">
      <c r="A163" s="1311" t="s">
        <v>4588</v>
      </c>
      <c r="B163" s="1315">
        <f t="shared" ref="B163:B210" si="9">J163</f>
        <v>90</v>
      </c>
      <c r="C163" s="1315" t="s">
        <v>3</v>
      </c>
      <c r="D163" s="1315">
        <f t="shared" ref="D163:D210" si="10">K163</f>
        <v>360</v>
      </c>
      <c r="E163" s="1315" t="s">
        <v>3</v>
      </c>
      <c r="F163" s="1313">
        <f t="shared" ref="F163:F210" si="11">L163</f>
        <v>650</v>
      </c>
      <c r="G163" s="1315" t="s">
        <v>3</v>
      </c>
      <c r="H163" s="1312">
        <v>2</v>
      </c>
      <c r="I163" s="1314" t="s">
        <v>45</v>
      </c>
      <c r="J163" s="184">
        <v>90</v>
      </c>
      <c r="K163" s="75">
        <v>360</v>
      </c>
      <c r="L163" s="75">
        <v>650</v>
      </c>
      <c r="M163" s="185">
        <v>10.122600393468568</v>
      </c>
      <c r="N163" s="87">
        <v>251.53783199999998</v>
      </c>
      <c r="O163" s="120">
        <v>16191.225902827578</v>
      </c>
      <c r="P163" s="121">
        <v>20285.008045902567</v>
      </c>
      <c r="Q163" s="310">
        <v>9757.9649885401141</v>
      </c>
      <c r="R163" s="314">
        <v>25949.190891367693</v>
      </c>
      <c r="S163" s="315">
        <v>30042.973034442679</v>
      </c>
      <c r="U163" s="7" t="s">
        <v>4739</v>
      </c>
    </row>
    <row r="164" spans="1:21" ht="16.5" thickBot="1">
      <c r="A164" s="1311" t="s">
        <v>4588</v>
      </c>
      <c r="B164" s="1315">
        <f t="shared" si="9"/>
        <v>90</v>
      </c>
      <c r="C164" s="1315" t="s">
        <v>3</v>
      </c>
      <c r="D164" s="1315">
        <f t="shared" si="10"/>
        <v>360</v>
      </c>
      <c r="E164" s="1315" t="s">
        <v>3</v>
      </c>
      <c r="F164" s="1313">
        <f t="shared" si="11"/>
        <v>700</v>
      </c>
      <c r="G164" s="1315" t="s">
        <v>3</v>
      </c>
      <c r="H164" s="1312">
        <v>2</v>
      </c>
      <c r="I164" s="1314" t="s">
        <v>45</v>
      </c>
      <c r="J164" s="184">
        <v>90</v>
      </c>
      <c r="K164" s="75">
        <v>360</v>
      </c>
      <c r="L164" s="75">
        <v>700</v>
      </c>
      <c r="M164" s="185">
        <v>10.75573347936189</v>
      </c>
      <c r="N164" s="87">
        <v>293.460804</v>
      </c>
      <c r="O164" s="120">
        <v>16879.061842605228</v>
      </c>
      <c r="P164" s="121">
        <v>21157.570062223655</v>
      </c>
      <c r="Q164" s="310">
        <v>10542.143907826316</v>
      </c>
      <c r="R164" s="314">
        <v>27421.205750431545</v>
      </c>
      <c r="S164" s="315">
        <v>31699.713970049968</v>
      </c>
      <c r="U164" s="7" t="s">
        <v>4740</v>
      </c>
    </row>
    <row r="165" spans="1:21" ht="16.5" thickBot="1">
      <c r="A165" s="1311" t="s">
        <v>4588</v>
      </c>
      <c r="B165" s="1315">
        <f t="shared" si="9"/>
        <v>90</v>
      </c>
      <c r="C165" s="1315" t="s">
        <v>3</v>
      </c>
      <c r="D165" s="1315">
        <f t="shared" si="10"/>
        <v>360</v>
      </c>
      <c r="E165" s="1315" t="s">
        <v>3</v>
      </c>
      <c r="F165" s="1313">
        <f t="shared" si="11"/>
        <v>750</v>
      </c>
      <c r="G165" s="1315" t="s">
        <v>3</v>
      </c>
      <c r="H165" s="1312">
        <v>2</v>
      </c>
      <c r="I165" s="1314" t="s">
        <v>45</v>
      </c>
      <c r="J165" s="184">
        <v>90</v>
      </c>
      <c r="K165" s="75">
        <v>360</v>
      </c>
      <c r="L165" s="75">
        <v>750</v>
      </c>
      <c r="M165" s="185">
        <v>11.388866565255212</v>
      </c>
      <c r="N165" s="87">
        <v>335.38377600000001</v>
      </c>
      <c r="O165" s="120">
        <v>17566.897782382879</v>
      </c>
      <c r="P165" s="121">
        <v>22030.131938151379</v>
      </c>
      <c r="Q165" s="310">
        <v>11095.741049329239</v>
      </c>
      <c r="R165" s="314">
        <v>28662.638831712116</v>
      </c>
      <c r="S165" s="315">
        <v>33125.872987480616</v>
      </c>
      <c r="U165" s="7" t="s">
        <v>4741</v>
      </c>
    </row>
    <row r="166" spans="1:21" ht="16.5" thickBot="1">
      <c r="A166" s="1311" t="s">
        <v>4588</v>
      </c>
      <c r="B166" s="1315">
        <f t="shared" si="9"/>
        <v>90</v>
      </c>
      <c r="C166" s="1315" t="s">
        <v>3</v>
      </c>
      <c r="D166" s="1315">
        <f t="shared" si="10"/>
        <v>360</v>
      </c>
      <c r="E166" s="1315" t="s">
        <v>3</v>
      </c>
      <c r="F166" s="1313">
        <f t="shared" si="11"/>
        <v>800</v>
      </c>
      <c r="G166" s="1315" t="s">
        <v>3</v>
      </c>
      <c r="H166" s="1312">
        <v>2</v>
      </c>
      <c r="I166" s="1314" t="s">
        <v>45</v>
      </c>
      <c r="J166" s="184">
        <v>90</v>
      </c>
      <c r="K166" s="75">
        <v>360</v>
      </c>
      <c r="L166" s="75">
        <v>800</v>
      </c>
      <c r="M166" s="185">
        <v>12.021999651148535</v>
      </c>
      <c r="N166" s="87">
        <v>377.30674799999997</v>
      </c>
      <c r="O166" s="120">
        <v>18617.931070161303</v>
      </c>
      <c r="P166" s="121">
        <v>22916.733290722466</v>
      </c>
      <c r="Q166" s="310">
        <v>11649.338190832164</v>
      </c>
      <c r="R166" s="314">
        <v>30267.269260993467</v>
      </c>
      <c r="S166" s="315">
        <v>34566.071481554631</v>
      </c>
      <c r="U166" s="7" t="s">
        <v>4742</v>
      </c>
    </row>
    <row r="167" spans="1:21" ht="16.5" thickBot="1">
      <c r="A167" s="1311" t="s">
        <v>4588</v>
      </c>
      <c r="B167" s="1315">
        <f t="shared" si="9"/>
        <v>90</v>
      </c>
      <c r="C167" s="1315" t="s">
        <v>3</v>
      </c>
      <c r="D167" s="1315">
        <f t="shared" si="10"/>
        <v>360</v>
      </c>
      <c r="E167" s="1315" t="s">
        <v>3</v>
      </c>
      <c r="F167" s="1313">
        <f t="shared" si="11"/>
        <v>850</v>
      </c>
      <c r="G167" s="1315" t="s">
        <v>3</v>
      </c>
      <c r="H167" s="1312">
        <v>2</v>
      </c>
      <c r="I167" s="1314" t="s">
        <v>45</v>
      </c>
      <c r="J167" s="184">
        <v>90</v>
      </c>
      <c r="K167" s="75">
        <v>360</v>
      </c>
      <c r="L167" s="75">
        <v>850</v>
      </c>
      <c r="M167" s="185">
        <v>12.655132737041857</v>
      </c>
      <c r="N167" s="87">
        <v>419.22971999999999</v>
      </c>
      <c r="O167" s="120">
        <v>19305.767009938954</v>
      </c>
      <c r="P167" s="121">
        <v>23789.295166650194</v>
      </c>
      <c r="Q167" s="310">
        <v>12433.517110118366</v>
      </c>
      <c r="R167" s="314">
        <v>31739.28412005732</v>
      </c>
      <c r="S167" s="315">
        <v>36222.812276768556</v>
      </c>
      <c r="U167" s="7" t="s">
        <v>4743</v>
      </c>
    </row>
    <row r="168" spans="1:21" ht="16.5" thickBot="1">
      <c r="A168" s="1311" t="s">
        <v>4588</v>
      </c>
      <c r="B168" s="1315">
        <f t="shared" si="9"/>
        <v>90</v>
      </c>
      <c r="C168" s="1315" t="s">
        <v>3</v>
      </c>
      <c r="D168" s="1315">
        <f t="shared" si="10"/>
        <v>360</v>
      </c>
      <c r="E168" s="1315" t="s">
        <v>3</v>
      </c>
      <c r="F168" s="1313">
        <f t="shared" si="11"/>
        <v>900</v>
      </c>
      <c r="G168" s="1315" t="s">
        <v>3</v>
      </c>
      <c r="H168" s="1312">
        <v>2</v>
      </c>
      <c r="I168" s="1314" t="s">
        <v>45</v>
      </c>
      <c r="J168" s="184">
        <v>90</v>
      </c>
      <c r="K168" s="75">
        <v>360</v>
      </c>
      <c r="L168" s="75">
        <v>900</v>
      </c>
      <c r="M168" s="185">
        <v>13.28826582293518</v>
      </c>
      <c r="N168" s="87">
        <v>461.152692</v>
      </c>
      <c r="O168" s="120">
        <v>19993.602809323242</v>
      </c>
      <c r="P168" s="121">
        <v>24661.857182971278</v>
      </c>
      <c r="Q168" s="310">
        <v>12987.114251621291</v>
      </c>
      <c r="R168" s="314">
        <v>32980.717060944531</v>
      </c>
      <c r="S168" s="315">
        <v>37648.971434592568</v>
      </c>
      <c r="U168" s="7" t="s">
        <v>4744</v>
      </c>
    </row>
    <row r="169" spans="1:21" ht="16.5" thickBot="1">
      <c r="A169" s="1311" t="s">
        <v>4588</v>
      </c>
      <c r="B169" s="1315">
        <f t="shared" si="9"/>
        <v>90</v>
      </c>
      <c r="C169" s="1315" t="s">
        <v>3</v>
      </c>
      <c r="D169" s="1315">
        <f t="shared" si="10"/>
        <v>360</v>
      </c>
      <c r="E169" s="1315" t="s">
        <v>3</v>
      </c>
      <c r="F169" s="1313">
        <f t="shared" si="11"/>
        <v>950</v>
      </c>
      <c r="G169" s="1315" t="s">
        <v>3</v>
      </c>
      <c r="H169" s="1312">
        <v>2</v>
      </c>
      <c r="I169" s="1314" t="s">
        <v>45</v>
      </c>
      <c r="J169" s="184">
        <v>90</v>
      </c>
      <c r="K169" s="75">
        <v>360</v>
      </c>
      <c r="L169" s="75">
        <v>950</v>
      </c>
      <c r="M169" s="185">
        <v>13.9213989088285</v>
      </c>
      <c r="N169" s="87">
        <v>503.07566399999996</v>
      </c>
      <c r="O169" s="120">
        <v>20681.438749100893</v>
      </c>
      <c r="P169" s="121">
        <v>25534.419058899006</v>
      </c>
      <c r="Q169" s="310">
        <v>13771.293170907491</v>
      </c>
      <c r="R169" s="314">
        <v>34452.731920008388</v>
      </c>
      <c r="S169" s="315">
        <v>39305.712229806493</v>
      </c>
      <c r="U169" s="7" t="s">
        <v>4745</v>
      </c>
    </row>
    <row r="170" spans="1:21" ht="16.5" thickBot="1">
      <c r="A170" s="1311" t="s">
        <v>4588</v>
      </c>
      <c r="B170" s="1315">
        <f t="shared" si="9"/>
        <v>90</v>
      </c>
      <c r="C170" s="1315" t="s">
        <v>3</v>
      </c>
      <c r="D170" s="1315">
        <f t="shared" si="10"/>
        <v>360</v>
      </c>
      <c r="E170" s="1315" t="s">
        <v>3</v>
      </c>
      <c r="F170" s="1313">
        <f t="shared" si="11"/>
        <v>1000</v>
      </c>
      <c r="G170" s="1315" t="s">
        <v>3</v>
      </c>
      <c r="H170" s="1312">
        <v>2</v>
      </c>
      <c r="I170" s="1314" t="s">
        <v>45</v>
      </c>
      <c r="J170" s="184">
        <v>90</v>
      </c>
      <c r="K170" s="75">
        <v>360</v>
      </c>
      <c r="L170" s="75">
        <v>1000</v>
      </c>
      <c r="M170" s="185">
        <v>14.694996794721824</v>
      </c>
      <c r="N170" s="87">
        <v>544.99863600000003</v>
      </c>
      <c r="O170" s="120">
        <v>21433.361450992543</v>
      </c>
      <c r="P170" s="121">
        <v>26471.067837334092</v>
      </c>
      <c r="Q170" s="310">
        <v>14324.890312410414</v>
      </c>
      <c r="R170" s="314">
        <v>35758.251763402957</v>
      </c>
      <c r="S170" s="315">
        <v>40795.958149744503</v>
      </c>
      <c r="U170" s="7" t="s">
        <v>4746</v>
      </c>
    </row>
    <row r="171" spans="1:21" ht="16.5" thickBot="1">
      <c r="A171" s="1311" t="s">
        <v>4588</v>
      </c>
      <c r="B171" s="1315">
        <f t="shared" si="9"/>
        <v>90</v>
      </c>
      <c r="C171" s="1315" t="s">
        <v>3</v>
      </c>
      <c r="D171" s="1315">
        <f t="shared" si="10"/>
        <v>360</v>
      </c>
      <c r="E171" s="1315" t="s">
        <v>3</v>
      </c>
      <c r="F171" s="1313">
        <f t="shared" si="11"/>
        <v>1050</v>
      </c>
      <c r="G171" s="1315" t="s">
        <v>3</v>
      </c>
      <c r="H171" s="1312">
        <v>2</v>
      </c>
      <c r="I171" s="1314" t="s">
        <v>45</v>
      </c>
      <c r="J171" s="184">
        <v>90</v>
      </c>
      <c r="K171" s="75">
        <v>360</v>
      </c>
      <c r="L171" s="75">
        <v>1050</v>
      </c>
      <c r="M171" s="185">
        <v>15.328129880615148</v>
      </c>
      <c r="N171" s="87">
        <v>586.92160799999999</v>
      </c>
      <c r="O171" s="120">
        <v>22121.197390770194</v>
      </c>
      <c r="P171" s="121">
        <v>27343.62971326182</v>
      </c>
      <c r="Q171" s="310">
        <v>15109.069231696616</v>
      </c>
      <c r="R171" s="314">
        <v>37230.266622466806</v>
      </c>
      <c r="S171" s="315">
        <v>42452.698944958436</v>
      </c>
      <c r="U171" s="7" t="s">
        <v>4747</v>
      </c>
    </row>
    <row r="172" spans="1:21" ht="16.5" thickBot="1">
      <c r="A172" s="1311" t="s">
        <v>4588</v>
      </c>
      <c r="B172" s="1312">
        <f t="shared" si="9"/>
        <v>90</v>
      </c>
      <c r="C172" s="1312" t="s">
        <v>3</v>
      </c>
      <c r="D172" s="1312">
        <f t="shared" si="10"/>
        <v>360</v>
      </c>
      <c r="E172" s="1312" t="s">
        <v>3</v>
      </c>
      <c r="F172" s="1313">
        <f t="shared" si="11"/>
        <v>1100</v>
      </c>
      <c r="G172" s="1312" t="s">
        <v>3</v>
      </c>
      <c r="H172" s="1312">
        <v>2</v>
      </c>
      <c r="I172" s="1314" t="s">
        <v>45</v>
      </c>
      <c r="J172" s="184">
        <v>90</v>
      </c>
      <c r="K172" s="75">
        <v>360</v>
      </c>
      <c r="L172" s="75">
        <v>1100</v>
      </c>
      <c r="M172" s="185">
        <v>15.961262966508468</v>
      </c>
      <c r="N172" s="87">
        <v>628.84457999999995</v>
      </c>
      <c r="O172" s="120">
        <v>22809.033330547842</v>
      </c>
      <c r="P172" s="121">
        <v>28216.191729582904</v>
      </c>
      <c r="Q172" s="310">
        <v>15662.66637319954</v>
      </c>
      <c r="R172" s="314">
        <v>38471.699703747377</v>
      </c>
      <c r="S172" s="315">
        <v>43878.85810278244</v>
      </c>
      <c r="U172" s="7" t="s">
        <v>4748</v>
      </c>
    </row>
    <row r="173" spans="1:21" ht="16.5" thickBot="1">
      <c r="A173" s="1311" t="s">
        <v>4588</v>
      </c>
      <c r="B173" s="1315">
        <f t="shared" si="9"/>
        <v>90</v>
      </c>
      <c r="C173" s="1315" t="s">
        <v>3</v>
      </c>
      <c r="D173" s="1315">
        <f t="shared" si="10"/>
        <v>360</v>
      </c>
      <c r="E173" s="1315" t="s">
        <v>3</v>
      </c>
      <c r="F173" s="1313">
        <f t="shared" si="11"/>
        <v>1150</v>
      </c>
      <c r="G173" s="1315" t="s">
        <v>3</v>
      </c>
      <c r="H173" s="1312">
        <v>2</v>
      </c>
      <c r="I173" s="1314" t="s">
        <v>45</v>
      </c>
      <c r="J173" s="184">
        <v>90</v>
      </c>
      <c r="K173" s="75">
        <v>360</v>
      </c>
      <c r="L173" s="75">
        <v>1150</v>
      </c>
      <c r="M173" s="185">
        <v>16.594396052401791</v>
      </c>
      <c r="N173" s="87">
        <v>670.76755200000002</v>
      </c>
      <c r="O173" s="120">
        <v>23496.869129932133</v>
      </c>
      <c r="P173" s="121">
        <v>29088.753605510632</v>
      </c>
      <c r="Q173" s="310">
        <v>16216.263514702467</v>
      </c>
      <c r="R173" s="314">
        <v>39713.132644634599</v>
      </c>
      <c r="S173" s="315">
        <v>45305.017120213102</v>
      </c>
      <c r="U173" s="7" t="s">
        <v>4749</v>
      </c>
    </row>
    <row r="174" spans="1:21" ht="16.5" thickBot="1">
      <c r="A174" s="1311" t="s">
        <v>4588</v>
      </c>
      <c r="B174" s="1315">
        <f t="shared" si="9"/>
        <v>90</v>
      </c>
      <c r="C174" s="1315" t="s">
        <v>3</v>
      </c>
      <c r="D174" s="1315">
        <f t="shared" si="10"/>
        <v>360</v>
      </c>
      <c r="E174" s="1315" t="s">
        <v>3</v>
      </c>
      <c r="F174" s="1313">
        <f t="shared" si="11"/>
        <v>1200</v>
      </c>
      <c r="G174" s="1315" t="s">
        <v>3</v>
      </c>
      <c r="H174" s="1312">
        <v>2</v>
      </c>
      <c r="I174" s="1314" t="s">
        <v>45</v>
      </c>
      <c r="J174" s="184">
        <v>90</v>
      </c>
      <c r="K174" s="75">
        <v>360</v>
      </c>
      <c r="L174" s="75">
        <v>1200</v>
      </c>
      <c r="M174" s="185">
        <v>17.227529138295111</v>
      </c>
      <c r="N174" s="87">
        <v>712.69052399999998</v>
      </c>
      <c r="O174" s="120">
        <v>24184.70506970978</v>
      </c>
      <c r="P174" s="121">
        <v>29961.315621831716</v>
      </c>
      <c r="Q174" s="310">
        <v>17000.442574382028</v>
      </c>
      <c r="R174" s="314">
        <v>41185.147644091805</v>
      </c>
      <c r="S174" s="315">
        <v>46961.758196213748</v>
      </c>
      <c r="U174" s="7" t="s">
        <v>4750</v>
      </c>
    </row>
    <row r="175" spans="1:21" ht="16.5" thickBot="1">
      <c r="A175" s="1311" t="s">
        <v>4588</v>
      </c>
      <c r="B175" s="1315">
        <f t="shared" si="9"/>
        <v>90</v>
      </c>
      <c r="C175" s="1315" t="s">
        <v>3</v>
      </c>
      <c r="D175" s="1315">
        <f t="shared" si="10"/>
        <v>360</v>
      </c>
      <c r="E175" s="1315" t="s">
        <v>3</v>
      </c>
      <c r="F175" s="1313">
        <f t="shared" si="11"/>
        <v>1250</v>
      </c>
      <c r="G175" s="1315" t="s">
        <v>3</v>
      </c>
      <c r="H175" s="1312">
        <v>2</v>
      </c>
      <c r="I175" s="1314" t="s">
        <v>45</v>
      </c>
      <c r="J175" s="184">
        <v>90</v>
      </c>
      <c r="K175" s="75">
        <v>360</v>
      </c>
      <c r="L175" s="75">
        <v>1250</v>
      </c>
      <c r="M175" s="185">
        <v>17.860662224188438</v>
      </c>
      <c r="N175" s="87">
        <v>754.61349599999994</v>
      </c>
      <c r="O175" s="120">
        <v>24872.541009487428</v>
      </c>
      <c r="P175" s="121">
        <v>30833.877497759444</v>
      </c>
      <c r="Q175" s="310">
        <v>17554.039715884952</v>
      </c>
      <c r="R175" s="314">
        <v>42426.580725372376</v>
      </c>
      <c r="S175" s="315">
        <v>48387.917213644396</v>
      </c>
      <c r="U175" s="7" t="s">
        <v>4751</v>
      </c>
    </row>
    <row r="176" spans="1:21" ht="16.5" thickBot="1">
      <c r="A176" s="1311" t="s">
        <v>4588</v>
      </c>
      <c r="B176" s="1315">
        <f t="shared" si="9"/>
        <v>90</v>
      </c>
      <c r="C176" s="1315" t="s">
        <v>3</v>
      </c>
      <c r="D176" s="1315">
        <f t="shared" si="10"/>
        <v>360</v>
      </c>
      <c r="E176" s="1315" t="s">
        <v>3</v>
      </c>
      <c r="F176" s="1313">
        <f t="shared" si="11"/>
        <v>1300</v>
      </c>
      <c r="G176" s="1315" t="s">
        <v>3</v>
      </c>
      <c r="H176" s="1312">
        <v>2</v>
      </c>
      <c r="I176" s="1314" t="s">
        <v>45</v>
      </c>
      <c r="J176" s="184">
        <v>90</v>
      </c>
      <c r="K176" s="75">
        <v>360</v>
      </c>
      <c r="L176" s="75">
        <v>1300</v>
      </c>
      <c r="M176" s="185">
        <v>18.493795310081758</v>
      </c>
      <c r="N176" s="87">
        <v>796.5364679999999</v>
      </c>
      <c r="O176" s="120">
        <v>25560.376949265079</v>
      </c>
      <c r="P176" s="121">
        <v>31706.439514080528</v>
      </c>
      <c r="Q176" s="310">
        <v>18338.218635171153</v>
      </c>
      <c r="R176" s="314">
        <v>43898.595584436232</v>
      </c>
      <c r="S176" s="315">
        <v>50044.658149251685</v>
      </c>
      <c r="U176" s="7" t="s">
        <v>4752</v>
      </c>
    </row>
    <row r="177" spans="1:21" ht="16.5" thickBot="1">
      <c r="A177" s="1311" t="s">
        <v>4588</v>
      </c>
      <c r="B177" s="1315">
        <f t="shared" si="9"/>
        <v>90</v>
      </c>
      <c r="C177" s="1315" t="s">
        <v>3</v>
      </c>
      <c r="D177" s="1315">
        <f t="shared" si="10"/>
        <v>360</v>
      </c>
      <c r="E177" s="1315" t="s">
        <v>3</v>
      </c>
      <c r="F177" s="1313">
        <f t="shared" si="11"/>
        <v>1350</v>
      </c>
      <c r="G177" s="1315" t="s">
        <v>3</v>
      </c>
      <c r="H177" s="1312">
        <v>2</v>
      </c>
      <c r="I177" s="1314" t="s">
        <v>45</v>
      </c>
      <c r="J177" s="184">
        <v>90</v>
      </c>
      <c r="K177" s="75">
        <v>360</v>
      </c>
      <c r="L177" s="75">
        <v>1350</v>
      </c>
      <c r="M177" s="185">
        <v>19.126928395975078</v>
      </c>
      <c r="N177" s="87">
        <v>838.45943999999997</v>
      </c>
      <c r="O177" s="120">
        <v>26248.212889042734</v>
      </c>
      <c r="P177" s="121">
        <v>32579.001390008256</v>
      </c>
      <c r="Q177" s="310">
        <v>18891.815776674081</v>
      </c>
      <c r="R177" s="314">
        <v>45140.028665716818</v>
      </c>
      <c r="S177" s="315">
        <v>51470.817166682333</v>
      </c>
      <c r="U177" s="7" t="s">
        <v>4753</v>
      </c>
    </row>
    <row r="178" spans="1:21" ht="16.5" thickBot="1">
      <c r="A178" s="1311" t="s">
        <v>4588</v>
      </c>
      <c r="B178" s="1315">
        <f t="shared" si="9"/>
        <v>90</v>
      </c>
      <c r="C178" s="1315" t="s">
        <v>3</v>
      </c>
      <c r="D178" s="1315">
        <f t="shared" si="10"/>
        <v>360</v>
      </c>
      <c r="E178" s="1315" t="s">
        <v>3</v>
      </c>
      <c r="F178" s="1313">
        <f t="shared" si="11"/>
        <v>1400</v>
      </c>
      <c r="G178" s="1315" t="s">
        <v>3</v>
      </c>
      <c r="H178" s="1312">
        <v>2</v>
      </c>
      <c r="I178" s="1314" t="s">
        <v>45</v>
      </c>
      <c r="J178" s="184">
        <v>90</v>
      </c>
      <c r="K178" s="75">
        <v>360</v>
      </c>
      <c r="L178" s="75">
        <v>1400</v>
      </c>
      <c r="M178" s="185">
        <v>19.760061481868405</v>
      </c>
      <c r="N178" s="87">
        <v>880.38241200000004</v>
      </c>
      <c r="O178" s="120">
        <v>26936.048688427018</v>
      </c>
      <c r="P178" s="121">
        <v>33451.563406329347</v>
      </c>
      <c r="Q178" s="310">
        <v>19675.994695960278</v>
      </c>
      <c r="R178" s="314">
        <v>46612.043384387296</v>
      </c>
      <c r="S178" s="315">
        <v>53127.558102289622</v>
      </c>
      <c r="U178" s="7" t="s">
        <v>4754</v>
      </c>
    </row>
    <row r="179" spans="1:21" ht="16.5" thickBot="1">
      <c r="A179" s="1311" t="s">
        <v>4588</v>
      </c>
      <c r="B179" s="1315">
        <f t="shared" si="9"/>
        <v>90</v>
      </c>
      <c r="C179" s="1315" t="s">
        <v>3</v>
      </c>
      <c r="D179" s="1315">
        <f t="shared" si="10"/>
        <v>360</v>
      </c>
      <c r="E179" s="1315" t="s">
        <v>3</v>
      </c>
      <c r="F179" s="1313">
        <f t="shared" si="11"/>
        <v>1450</v>
      </c>
      <c r="G179" s="1315" t="s">
        <v>3</v>
      </c>
      <c r="H179" s="1312">
        <v>2</v>
      </c>
      <c r="I179" s="1314" t="s">
        <v>45</v>
      </c>
      <c r="J179" s="184">
        <v>90</v>
      </c>
      <c r="K179" s="75">
        <v>360</v>
      </c>
      <c r="L179" s="75">
        <v>1450</v>
      </c>
      <c r="M179" s="185">
        <v>20.393194567761725</v>
      </c>
      <c r="N179" s="87">
        <v>922.305384</v>
      </c>
      <c r="O179" s="120">
        <v>27623.884628204665</v>
      </c>
      <c r="P179" s="121">
        <v>34324.125282257068</v>
      </c>
      <c r="Q179" s="310">
        <v>20229.591837463206</v>
      </c>
      <c r="R179" s="314">
        <v>47853.476465667874</v>
      </c>
      <c r="S179" s="315">
        <v>54553.71711972027</v>
      </c>
      <c r="U179" s="7" t="s">
        <v>4755</v>
      </c>
    </row>
    <row r="180" spans="1:21" ht="16.5" thickBot="1">
      <c r="A180" s="1311" t="s">
        <v>4588</v>
      </c>
      <c r="B180" s="1315">
        <f t="shared" si="9"/>
        <v>90</v>
      </c>
      <c r="C180" s="1315" t="s">
        <v>3</v>
      </c>
      <c r="D180" s="1315">
        <f t="shared" si="10"/>
        <v>360</v>
      </c>
      <c r="E180" s="1315" t="s">
        <v>3</v>
      </c>
      <c r="F180" s="1313">
        <f t="shared" si="11"/>
        <v>1500</v>
      </c>
      <c r="G180" s="1315" t="s">
        <v>3</v>
      </c>
      <c r="H180" s="1312">
        <v>2</v>
      </c>
      <c r="I180" s="1314" t="s">
        <v>45</v>
      </c>
      <c r="J180" s="184">
        <v>90</v>
      </c>
      <c r="K180" s="75">
        <v>360</v>
      </c>
      <c r="L180" s="75">
        <v>1500</v>
      </c>
      <c r="M180" s="185">
        <v>21.38477125365505</v>
      </c>
      <c r="N180" s="87">
        <v>964.22835599999985</v>
      </c>
      <c r="O180" s="120">
        <v>29042.318360470392</v>
      </c>
      <c r="P180" s="121">
        <v>36117.265529594595</v>
      </c>
      <c r="Q180" s="310">
        <v>21013.770756749404</v>
      </c>
      <c r="R180" s="314">
        <v>50056.089117219795</v>
      </c>
      <c r="S180" s="315">
        <v>57131.036286343995</v>
      </c>
      <c r="U180" s="7" t="s">
        <v>4756</v>
      </c>
    </row>
    <row r="181" spans="1:21" ht="16.5" thickBot="1">
      <c r="A181" s="1311" t="s">
        <v>4588</v>
      </c>
      <c r="B181" s="1315">
        <f t="shared" si="9"/>
        <v>90</v>
      </c>
      <c r="C181" s="1315" t="s">
        <v>3</v>
      </c>
      <c r="D181" s="1315">
        <f t="shared" si="10"/>
        <v>360</v>
      </c>
      <c r="E181" s="1315" t="s">
        <v>3</v>
      </c>
      <c r="F181" s="1313">
        <f t="shared" si="11"/>
        <v>1550</v>
      </c>
      <c r="G181" s="1315" t="s">
        <v>3</v>
      </c>
      <c r="H181" s="1312">
        <v>2</v>
      </c>
      <c r="I181" s="1314" t="s">
        <v>45</v>
      </c>
      <c r="J181" s="184">
        <v>90</v>
      </c>
      <c r="K181" s="75">
        <v>360</v>
      </c>
      <c r="L181" s="75">
        <v>1550</v>
      </c>
      <c r="M181" s="185">
        <v>22.017904339548373</v>
      </c>
      <c r="N181" s="87">
        <v>1006.1513279999999</v>
      </c>
      <c r="O181" s="120">
        <v>29730.154300248047</v>
      </c>
      <c r="P181" s="121">
        <v>36989.827545915687</v>
      </c>
      <c r="Q181" s="310">
        <v>21567.367898252327</v>
      </c>
      <c r="R181" s="314">
        <v>51297.522198500374</v>
      </c>
      <c r="S181" s="315">
        <v>58557.195444168014</v>
      </c>
      <c r="U181" s="7" t="s">
        <v>4757</v>
      </c>
    </row>
    <row r="182" spans="1:21" ht="16.5" thickBot="1">
      <c r="A182" s="1311" t="s">
        <v>4588</v>
      </c>
      <c r="B182" s="1312">
        <f t="shared" si="9"/>
        <v>90</v>
      </c>
      <c r="C182" s="1312" t="s">
        <v>3</v>
      </c>
      <c r="D182" s="1312">
        <f t="shared" si="10"/>
        <v>360</v>
      </c>
      <c r="E182" s="1312" t="s">
        <v>3</v>
      </c>
      <c r="F182" s="1313">
        <f t="shared" si="11"/>
        <v>1600</v>
      </c>
      <c r="G182" s="1312" t="s">
        <v>3</v>
      </c>
      <c r="H182" s="1312">
        <v>2</v>
      </c>
      <c r="I182" s="1314" t="s">
        <v>45</v>
      </c>
      <c r="J182" s="184">
        <v>90</v>
      </c>
      <c r="K182" s="75">
        <v>360</v>
      </c>
      <c r="L182" s="75">
        <v>1600</v>
      </c>
      <c r="M182" s="185">
        <v>22.651037425441693</v>
      </c>
      <c r="N182" s="87">
        <v>1048.0743</v>
      </c>
      <c r="O182" s="120">
        <v>30417.990240025694</v>
      </c>
      <c r="P182" s="121">
        <v>37862.389421843407</v>
      </c>
      <c r="Q182" s="310">
        <v>22120.965039755254</v>
      </c>
      <c r="R182" s="314">
        <v>52538.955279780945</v>
      </c>
      <c r="S182" s="315">
        <v>59983.354461598661</v>
      </c>
      <c r="U182" s="7" t="s">
        <v>4758</v>
      </c>
    </row>
    <row r="183" spans="1:21" ht="16.5" thickBot="1">
      <c r="A183" s="1311" t="s">
        <v>4588</v>
      </c>
      <c r="B183" s="1315">
        <f t="shared" si="9"/>
        <v>90</v>
      </c>
      <c r="C183" s="1315" t="s">
        <v>3</v>
      </c>
      <c r="D183" s="1315">
        <f t="shared" si="10"/>
        <v>360</v>
      </c>
      <c r="E183" s="1315" t="s">
        <v>3</v>
      </c>
      <c r="F183" s="1313">
        <f t="shared" si="11"/>
        <v>1650</v>
      </c>
      <c r="G183" s="1315" t="s">
        <v>3</v>
      </c>
      <c r="H183" s="1312">
        <v>2</v>
      </c>
      <c r="I183" s="1314" t="s">
        <v>45</v>
      </c>
      <c r="J183" s="184">
        <v>90</v>
      </c>
      <c r="K183" s="75">
        <v>360</v>
      </c>
      <c r="L183" s="75">
        <v>1650</v>
      </c>
      <c r="M183" s="185">
        <v>23.284170511335017</v>
      </c>
      <c r="N183" s="87">
        <v>1089.9972720000001</v>
      </c>
      <c r="O183" s="120">
        <v>31105.826179803342</v>
      </c>
      <c r="P183" s="121">
        <v>38734.951438164499</v>
      </c>
      <c r="Q183" s="310">
        <v>22905.143959041456</v>
      </c>
      <c r="R183" s="314">
        <v>54010.970138844801</v>
      </c>
      <c r="S183" s="315">
        <v>61640.095397205951</v>
      </c>
      <c r="U183" s="7" t="s">
        <v>4759</v>
      </c>
    </row>
    <row r="184" spans="1:21" ht="16.5" thickBot="1">
      <c r="A184" s="1311" t="s">
        <v>4588</v>
      </c>
      <c r="B184" s="1315">
        <f t="shared" si="9"/>
        <v>90</v>
      </c>
      <c r="C184" s="1315" t="s">
        <v>3</v>
      </c>
      <c r="D184" s="1315">
        <f t="shared" si="10"/>
        <v>360</v>
      </c>
      <c r="E184" s="1315" t="s">
        <v>3</v>
      </c>
      <c r="F184" s="1313">
        <f t="shared" si="11"/>
        <v>1700</v>
      </c>
      <c r="G184" s="1315" t="s">
        <v>3</v>
      </c>
      <c r="H184" s="1312">
        <v>2</v>
      </c>
      <c r="I184" s="1314" t="s">
        <v>45</v>
      </c>
      <c r="J184" s="184">
        <v>90</v>
      </c>
      <c r="K184" s="75">
        <v>360</v>
      </c>
      <c r="L184" s="75">
        <v>1700</v>
      </c>
      <c r="M184" s="185">
        <v>23.91730359722834</v>
      </c>
      <c r="N184" s="87">
        <v>1131.9202440000001</v>
      </c>
      <c r="O184" s="120">
        <v>31793.661979187633</v>
      </c>
      <c r="P184" s="121">
        <v>39607.513314092226</v>
      </c>
      <c r="Q184" s="310">
        <v>23458.741100544379</v>
      </c>
      <c r="R184" s="314">
        <v>55252.403079732016</v>
      </c>
      <c r="S184" s="315">
        <v>63066.254414636605</v>
      </c>
      <c r="U184" s="7" t="s">
        <v>4760</v>
      </c>
    </row>
    <row r="185" spans="1:21" ht="16.5" thickBot="1">
      <c r="A185" s="1311" t="s">
        <v>4588</v>
      </c>
      <c r="B185" s="1315">
        <f t="shared" si="9"/>
        <v>90</v>
      </c>
      <c r="C185" s="1315" t="s">
        <v>3</v>
      </c>
      <c r="D185" s="1315">
        <f t="shared" si="10"/>
        <v>360</v>
      </c>
      <c r="E185" s="1315" t="s">
        <v>3</v>
      </c>
      <c r="F185" s="1313">
        <f t="shared" si="11"/>
        <v>1750</v>
      </c>
      <c r="G185" s="1315" t="s">
        <v>3</v>
      </c>
      <c r="H185" s="1312">
        <v>2</v>
      </c>
      <c r="I185" s="1314" t="s">
        <v>45</v>
      </c>
      <c r="J185" s="184">
        <v>90</v>
      </c>
      <c r="K185" s="75">
        <v>360</v>
      </c>
      <c r="L185" s="75">
        <v>1750</v>
      </c>
      <c r="M185" s="185">
        <v>24.55043668312166</v>
      </c>
      <c r="N185" s="87">
        <v>1173.843216</v>
      </c>
      <c r="O185" s="120">
        <v>32481.49791896528</v>
      </c>
      <c r="P185" s="121">
        <v>40480.07533041331</v>
      </c>
      <c r="Q185" s="310">
        <v>24242.920019830581</v>
      </c>
      <c r="R185" s="314">
        <v>56724.417938795857</v>
      </c>
      <c r="S185" s="315">
        <v>64722.995350243888</v>
      </c>
      <c r="U185" s="7" t="s">
        <v>4761</v>
      </c>
    </row>
    <row r="186" spans="1:21" ht="16.5" thickBot="1">
      <c r="A186" s="1311" t="s">
        <v>4588</v>
      </c>
      <c r="B186" s="1315">
        <f t="shared" si="9"/>
        <v>90</v>
      </c>
      <c r="C186" s="1315" t="s">
        <v>3</v>
      </c>
      <c r="D186" s="1315">
        <f t="shared" si="10"/>
        <v>360</v>
      </c>
      <c r="E186" s="1315" t="s">
        <v>3</v>
      </c>
      <c r="F186" s="1313">
        <f t="shared" si="11"/>
        <v>1800</v>
      </c>
      <c r="G186" s="1315" t="s">
        <v>3</v>
      </c>
      <c r="H186" s="1312">
        <v>2</v>
      </c>
      <c r="I186" s="1314" t="s">
        <v>45</v>
      </c>
      <c r="J186" s="184">
        <v>90</v>
      </c>
      <c r="K186" s="75">
        <v>360</v>
      </c>
      <c r="L186" s="75">
        <v>1800</v>
      </c>
      <c r="M186" s="185">
        <v>25.183569769014987</v>
      </c>
      <c r="N186" s="87">
        <v>1215.7661879999998</v>
      </c>
      <c r="O186" s="120">
        <v>33169.333858742932</v>
      </c>
      <c r="P186" s="121">
        <v>41352.637206341038</v>
      </c>
      <c r="Q186" s="310">
        <v>24796.517161333504</v>
      </c>
      <c r="R186" s="314">
        <v>57965.851020076436</v>
      </c>
      <c r="S186" s="315">
        <v>66149.15436767455</v>
      </c>
      <c r="U186" s="7" t="s">
        <v>4762</v>
      </c>
    </row>
    <row r="187" spans="1:21" ht="16.5" thickBot="1">
      <c r="A187" s="1311" t="s">
        <v>4588</v>
      </c>
      <c r="B187" s="1315">
        <f t="shared" si="9"/>
        <v>90</v>
      </c>
      <c r="C187" s="1315" t="s">
        <v>3</v>
      </c>
      <c r="D187" s="1315">
        <f t="shared" si="10"/>
        <v>360</v>
      </c>
      <c r="E187" s="1315" t="s">
        <v>3</v>
      </c>
      <c r="F187" s="1313">
        <f t="shared" si="11"/>
        <v>1850</v>
      </c>
      <c r="G187" s="1315" t="s">
        <v>3</v>
      </c>
      <c r="H187" s="1312">
        <v>2</v>
      </c>
      <c r="I187" s="1314" t="s">
        <v>45</v>
      </c>
      <c r="J187" s="184">
        <v>90</v>
      </c>
      <c r="K187" s="75">
        <v>360</v>
      </c>
      <c r="L187" s="75">
        <v>1850</v>
      </c>
      <c r="M187" s="185">
        <v>25.816702854908307</v>
      </c>
      <c r="N187" s="87">
        <v>1257.6891599999999</v>
      </c>
      <c r="O187" s="120">
        <v>33857.169798520583</v>
      </c>
      <c r="P187" s="121">
        <v>42225.199222662122</v>
      </c>
      <c r="Q187" s="310">
        <v>25580.69622101307</v>
      </c>
      <c r="R187" s="314">
        <v>59437.866019533656</v>
      </c>
      <c r="S187" s="315">
        <v>67805.895443675196</v>
      </c>
      <c r="U187" s="7" t="s">
        <v>4763</v>
      </c>
    </row>
    <row r="188" spans="1:21" ht="16.5" thickBot="1">
      <c r="A188" s="1311" t="s">
        <v>4588</v>
      </c>
      <c r="B188" s="1315">
        <f t="shared" si="9"/>
        <v>90</v>
      </c>
      <c r="C188" s="1315" t="s">
        <v>3</v>
      </c>
      <c r="D188" s="1315">
        <f t="shared" si="10"/>
        <v>360</v>
      </c>
      <c r="E188" s="1315" t="s">
        <v>3</v>
      </c>
      <c r="F188" s="1313">
        <f t="shared" si="11"/>
        <v>1900</v>
      </c>
      <c r="G188" s="1315" t="s">
        <v>3</v>
      </c>
      <c r="H188" s="1312">
        <v>2</v>
      </c>
      <c r="I188" s="1314" t="s">
        <v>45</v>
      </c>
      <c r="J188" s="184">
        <v>90</v>
      </c>
      <c r="K188" s="75">
        <v>360</v>
      </c>
      <c r="L188" s="75">
        <v>1900</v>
      </c>
      <c r="M188" s="185">
        <v>26.449835940801631</v>
      </c>
      <c r="N188" s="87">
        <v>1299.612132</v>
      </c>
      <c r="O188" s="120">
        <v>34545.005738298234</v>
      </c>
      <c r="P188" s="121">
        <v>43097.76109858985</v>
      </c>
      <c r="Q188" s="310">
        <v>26134.293362515993</v>
      </c>
      <c r="R188" s="314">
        <v>60679.299100814227</v>
      </c>
      <c r="S188" s="315">
        <v>69232.054461105843</v>
      </c>
      <c r="U188" s="7" t="s">
        <v>4764</v>
      </c>
    </row>
    <row r="189" spans="1:21" ht="16.5" thickBot="1">
      <c r="A189" s="1311" t="s">
        <v>4588</v>
      </c>
      <c r="B189" s="1315">
        <f t="shared" si="9"/>
        <v>90</v>
      </c>
      <c r="C189" s="1315" t="s">
        <v>3</v>
      </c>
      <c r="D189" s="1315">
        <f t="shared" si="10"/>
        <v>360</v>
      </c>
      <c r="E189" s="1315" t="s">
        <v>3</v>
      </c>
      <c r="F189" s="1313">
        <f t="shared" si="11"/>
        <v>1950</v>
      </c>
      <c r="G189" s="1315" t="s">
        <v>3</v>
      </c>
      <c r="H189" s="1312">
        <v>2</v>
      </c>
      <c r="I189" s="1314" t="s">
        <v>45</v>
      </c>
      <c r="J189" s="184">
        <v>90</v>
      </c>
      <c r="K189" s="75">
        <v>360</v>
      </c>
      <c r="L189" s="75">
        <v>1950</v>
      </c>
      <c r="M189" s="185">
        <v>27.082969026694951</v>
      </c>
      <c r="N189" s="87">
        <v>1341.535104</v>
      </c>
      <c r="O189" s="120">
        <v>35232.841537682521</v>
      </c>
      <c r="P189" s="121">
        <v>43970.322974517578</v>
      </c>
      <c r="Q189" s="310">
        <v>26687.890504018917</v>
      </c>
      <c r="R189" s="314">
        <v>61920.732041701442</v>
      </c>
      <c r="S189" s="315">
        <v>70658.213478536491</v>
      </c>
      <c r="U189" s="7" t="s">
        <v>4765</v>
      </c>
    </row>
    <row r="190" spans="1:21" ht="16.5" thickBot="1">
      <c r="A190" s="1311" t="s">
        <v>4588</v>
      </c>
      <c r="B190" s="1315">
        <f t="shared" si="9"/>
        <v>90</v>
      </c>
      <c r="C190" s="1315" t="s">
        <v>3</v>
      </c>
      <c r="D190" s="1315">
        <f t="shared" si="10"/>
        <v>360</v>
      </c>
      <c r="E190" s="1315" t="s">
        <v>3</v>
      </c>
      <c r="F190" s="1313">
        <f t="shared" si="11"/>
        <v>2000</v>
      </c>
      <c r="G190" s="1315" t="s">
        <v>3</v>
      </c>
      <c r="H190" s="1312">
        <v>2</v>
      </c>
      <c r="I190" s="1314" t="s">
        <v>45</v>
      </c>
      <c r="J190" s="184">
        <v>90</v>
      </c>
      <c r="K190" s="75">
        <v>360</v>
      </c>
      <c r="L190" s="75">
        <v>2000</v>
      </c>
      <c r="M190" s="185">
        <v>27.856566912588271</v>
      </c>
      <c r="N190" s="87">
        <v>1383.4580759999999</v>
      </c>
      <c r="O190" s="120">
        <v>36386.710155624947</v>
      </c>
      <c r="P190" s="121">
        <v>45010.301267752657</v>
      </c>
      <c r="Q190" s="310">
        <v>27472.069423305118</v>
      </c>
      <c r="R190" s="314">
        <v>63858.779578930065</v>
      </c>
      <c r="S190" s="315">
        <v>72482.370691057775</v>
      </c>
      <c r="U190" s="7" t="s">
        <v>4766</v>
      </c>
    </row>
    <row r="191" spans="1:21" ht="16.5" thickBot="1">
      <c r="A191" s="1311" t="s">
        <v>4588</v>
      </c>
      <c r="B191" s="1315">
        <f t="shared" si="9"/>
        <v>90</v>
      </c>
      <c r="C191" s="1315" t="s">
        <v>3</v>
      </c>
      <c r="D191" s="1315">
        <f t="shared" si="10"/>
        <v>360</v>
      </c>
      <c r="E191" s="1315" t="s">
        <v>3</v>
      </c>
      <c r="F191" s="1313">
        <f t="shared" si="11"/>
        <v>2050</v>
      </c>
      <c r="G191" s="1315" t="s">
        <v>3</v>
      </c>
      <c r="H191" s="1312">
        <v>2</v>
      </c>
      <c r="I191" s="1314" t="s">
        <v>45</v>
      </c>
      <c r="J191" s="184">
        <v>90</v>
      </c>
      <c r="K191" s="75">
        <v>360</v>
      </c>
      <c r="L191" s="75">
        <v>2050</v>
      </c>
      <c r="M191" s="185">
        <v>28.489699998481598</v>
      </c>
      <c r="N191" s="87">
        <v>1425.381048</v>
      </c>
      <c r="O191" s="120">
        <v>37074.546095402591</v>
      </c>
      <c r="P191" s="121">
        <v>45882.863143680384</v>
      </c>
      <c r="Q191" s="310">
        <v>28025.666564808042</v>
      </c>
      <c r="R191" s="314">
        <v>65100.212660210629</v>
      </c>
      <c r="S191" s="315">
        <v>73908.529708488422</v>
      </c>
      <c r="U191" s="7" t="s">
        <v>4767</v>
      </c>
    </row>
    <row r="192" spans="1:21" ht="16.5" thickBot="1">
      <c r="A192" s="1311" t="s">
        <v>4588</v>
      </c>
      <c r="B192" s="1312">
        <f t="shared" si="9"/>
        <v>90</v>
      </c>
      <c r="C192" s="1312" t="s">
        <v>3</v>
      </c>
      <c r="D192" s="1312">
        <f t="shared" si="10"/>
        <v>360</v>
      </c>
      <c r="E192" s="1312" t="s">
        <v>3</v>
      </c>
      <c r="F192" s="1313">
        <f t="shared" si="11"/>
        <v>2100</v>
      </c>
      <c r="G192" s="1312" t="s">
        <v>3</v>
      </c>
      <c r="H192" s="1312">
        <v>2</v>
      </c>
      <c r="I192" s="1314" t="s">
        <v>45</v>
      </c>
      <c r="J192" s="184">
        <v>90</v>
      </c>
      <c r="K192" s="75">
        <v>360</v>
      </c>
      <c r="L192" s="75">
        <v>2100</v>
      </c>
      <c r="M192" s="185">
        <v>29.122833084374921</v>
      </c>
      <c r="N192" s="87">
        <v>1467.30402</v>
      </c>
      <c r="O192" s="120">
        <v>37762.38203518025</v>
      </c>
      <c r="P192" s="121">
        <v>46755.425160001469</v>
      </c>
      <c r="Q192" s="310">
        <v>28809.845484094247</v>
      </c>
      <c r="R192" s="314">
        <v>66572.2275192745</v>
      </c>
      <c r="S192" s="315">
        <v>75565.270644095712</v>
      </c>
      <c r="U192" s="7" t="s">
        <v>4768</v>
      </c>
    </row>
    <row r="193" spans="1:21" ht="16.5" thickBot="1">
      <c r="A193" s="1311" t="s">
        <v>4588</v>
      </c>
      <c r="B193" s="1315">
        <f t="shared" si="9"/>
        <v>90</v>
      </c>
      <c r="C193" s="1315" t="s">
        <v>3</v>
      </c>
      <c r="D193" s="1315">
        <f t="shared" si="10"/>
        <v>360</v>
      </c>
      <c r="E193" s="1315" t="s">
        <v>3</v>
      </c>
      <c r="F193" s="1313">
        <f t="shared" si="11"/>
        <v>2150</v>
      </c>
      <c r="G193" s="1315" t="s">
        <v>3</v>
      </c>
      <c r="H193" s="1312">
        <v>2</v>
      </c>
      <c r="I193" s="1314" t="s">
        <v>45</v>
      </c>
      <c r="J193" s="184">
        <v>90</v>
      </c>
      <c r="K193" s="75">
        <v>360</v>
      </c>
      <c r="L193" s="75">
        <v>2150</v>
      </c>
      <c r="M193" s="185">
        <v>29.755966170268245</v>
      </c>
      <c r="N193" s="87">
        <v>1509.2269919999999</v>
      </c>
      <c r="O193" s="120">
        <v>38450.217974957894</v>
      </c>
      <c r="P193" s="121">
        <v>47627.987035929196</v>
      </c>
      <c r="Q193" s="310">
        <v>29363.442625597167</v>
      </c>
      <c r="R193" s="314">
        <v>67813.660600555057</v>
      </c>
      <c r="S193" s="315">
        <v>76991.429661526359</v>
      </c>
      <c r="U193" s="7" t="s">
        <v>4769</v>
      </c>
    </row>
    <row r="194" spans="1:21" ht="16.5" thickBot="1">
      <c r="A194" s="1311" t="s">
        <v>4588</v>
      </c>
      <c r="B194" s="1315">
        <f t="shared" si="9"/>
        <v>90</v>
      </c>
      <c r="C194" s="1315" t="s">
        <v>3</v>
      </c>
      <c r="D194" s="1315">
        <f t="shared" si="10"/>
        <v>360</v>
      </c>
      <c r="E194" s="1315" t="s">
        <v>3</v>
      </c>
      <c r="F194" s="1313">
        <f t="shared" si="11"/>
        <v>2200</v>
      </c>
      <c r="G194" s="1315" t="s">
        <v>3</v>
      </c>
      <c r="H194" s="1312">
        <v>2</v>
      </c>
      <c r="I194" s="1314" t="s">
        <v>45</v>
      </c>
      <c r="J194" s="184">
        <v>90</v>
      </c>
      <c r="K194" s="75">
        <v>360</v>
      </c>
      <c r="L194" s="75">
        <v>2200</v>
      </c>
      <c r="M194" s="185">
        <v>30.389099256161565</v>
      </c>
      <c r="N194" s="87">
        <v>1551.149964</v>
      </c>
      <c r="O194" s="120">
        <v>39138.053914735545</v>
      </c>
      <c r="P194" s="121">
        <v>48500.549052250142</v>
      </c>
      <c r="Q194" s="310">
        <v>30147.621544883372</v>
      </c>
      <c r="R194" s="314">
        <v>69285.675459618913</v>
      </c>
      <c r="S194" s="315">
        <v>78648.170597133518</v>
      </c>
      <c r="U194" s="7" t="s">
        <v>4770</v>
      </c>
    </row>
    <row r="195" spans="1:21" ht="16.5" thickBot="1">
      <c r="A195" s="1311" t="s">
        <v>4588</v>
      </c>
      <c r="B195" s="1315">
        <f t="shared" si="9"/>
        <v>90</v>
      </c>
      <c r="C195" s="1315" t="s">
        <v>3</v>
      </c>
      <c r="D195" s="1315">
        <f t="shared" si="10"/>
        <v>360</v>
      </c>
      <c r="E195" s="1315" t="s">
        <v>3</v>
      </c>
      <c r="F195" s="1313">
        <f t="shared" si="11"/>
        <v>2250</v>
      </c>
      <c r="G195" s="1315" t="s">
        <v>3</v>
      </c>
      <c r="H195" s="1312">
        <v>2</v>
      </c>
      <c r="I195" s="1314" t="s">
        <v>45</v>
      </c>
      <c r="J195" s="184">
        <v>90</v>
      </c>
      <c r="K195" s="75">
        <v>360</v>
      </c>
      <c r="L195" s="75">
        <v>2250</v>
      </c>
      <c r="M195" s="185">
        <v>31.022232342054892</v>
      </c>
      <c r="N195" s="87">
        <v>1593.0729359999998</v>
      </c>
      <c r="O195" s="120">
        <v>39825.889714119832</v>
      </c>
      <c r="P195" s="121">
        <v>49373.110928178015</v>
      </c>
      <c r="Q195" s="310">
        <v>30701.218686386295</v>
      </c>
      <c r="R195" s="314">
        <v>70527.108400506128</v>
      </c>
      <c r="S195" s="315">
        <v>80074.329614564311</v>
      </c>
      <c r="U195" s="7" t="s">
        <v>4771</v>
      </c>
    </row>
    <row r="196" spans="1:21" ht="16.5" thickBot="1">
      <c r="A196" s="1311" t="s">
        <v>4588</v>
      </c>
      <c r="B196" s="1315">
        <f t="shared" si="9"/>
        <v>90</v>
      </c>
      <c r="C196" s="1315" t="s">
        <v>3</v>
      </c>
      <c r="D196" s="1315">
        <f t="shared" si="10"/>
        <v>360</v>
      </c>
      <c r="E196" s="1315" t="s">
        <v>3</v>
      </c>
      <c r="F196" s="1313">
        <f t="shared" si="11"/>
        <v>2300</v>
      </c>
      <c r="G196" s="1315" t="s">
        <v>3</v>
      </c>
      <c r="H196" s="1312">
        <v>2</v>
      </c>
      <c r="I196" s="1314" t="s">
        <v>45</v>
      </c>
      <c r="J196" s="184">
        <v>90</v>
      </c>
      <c r="K196" s="75">
        <v>360</v>
      </c>
      <c r="L196" s="75">
        <v>2300</v>
      </c>
      <c r="M196" s="185">
        <v>31.655365427948208</v>
      </c>
      <c r="N196" s="87">
        <v>1634.9959079999999</v>
      </c>
      <c r="O196" s="120">
        <v>40513.725653897483</v>
      </c>
      <c r="P196" s="121">
        <v>50245.672944499092</v>
      </c>
      <c r="Q196" s="310">
        <v>31254.815827889219</v>
      </c>
      <c r="R196" s="314">
        <v>71768.541481786699</v>
      </c>
      <c r="S196" s="315">
        <v>81500.488772388315</v>
      </c>
      <c r="U196" s="7" t="s">
        <v>4772</v>
      </c>
    </row>
    <row r="197" spans="1:21" ht="16.5" thickBot="1">
      <c r="A197" s="1311" t="s">
        <v>4588</v>
      </c>
      <c r="B197" s="1315">
        <f t="shared" si="9"/>
        <v>90</v>
      </c>
      <c r="C197" s="1315" t="s">
        <v>3</v>
      </c>
      <c r="D197" s="1315">
        <f t="shared" si="10"/>
        <v>360</v>
      </c>
      <c r="E197" s="1315" t="s">
        <v>3</v>
      </c>
      <c r="F197" s="1313">
        <f t="shared" si="11"/>
        <v>2350</v>
      </c>
      <c r="G197" s="1315" t="s">
        <v>3</v>
      </c>
      <c r="H197" s="1312">
        <v>2</v>
      </c>
      <c r="I197" s="1314" t="s">
        <v>45</v>
      </c>
      <c r="J197" s="184">
        <v>90</v>
      </c>
      <c r="K197" s="75">
        <v>360</v>
      </c>
      <c r="L197" s="75">
        <v>2350</v>
      </c>
      <c r="M197" s="185">
        <v>32.288498513841532</v>
      </c>
      <c r="N197" s="87">
        <v>1676.9188799999999</v>
      </c>
      <c r="O197" s="120">
        <v>41201.561593675135</v>
      </c>
      <c r="P197" s="121">
        <v>51118.234820426827</v>
      </c>
      <c r="Q197" s="310">
        <v>32038.99474717542</v>
      </c>
      <c r="R197" s="314">
        <v>73240.556340850555</v>
      </c>
      <c r="S197" s="315">
        <v>83157.229567602248</v>
      </c>
      <c r="U197" s="7" t="s">
        <v>4773</v>
      </c>
    </row>
    <row r="198" spans="1:21" ht="16.5" thickBot="1">
      <c r="A198" s="1311" t="s">
        <v>4588</v>
      </c>
      <c r="B198" s="1315">
        <f t="shared" si="9"/>
        <v>90</v>
      </c>
      <c r="C198" s="1315" t="s">
        <v>3</v>
      </c>
      <c r="D198" s="1315">
        <f t="shared" si="10"/>
        <v>360</v>
      </c>
      <c r="E198" s="1315" t="s">
        <v>3</v>
      </c>
      <c r="F198" s="1313">
        <f t="shared" si="11"/>
        <v>2400</v>
      </c>
      <c r="G198" s="1315" t="s">
        <v>3</v>
      </c>
      <c r="H198" s="1312">
        <v>2</v>
      </c>
      <c r="I198" s="1314" t="s">
        <v>45</v>
      </c>
      <c r="J198" s="184">
        <v>90</v>
      </c>
      <c r="K198" s="75">
        <v>360</v>
      </c>
      <c r="L198" s="75">
        <v>2400</v>
      </c>
      <c r="M198" s="185">
        <v>32.921631599734852</v>
      </c>
      <c r="N198" s="87">
        <v>1718.8418519999998</v>
      </c>
      <c r="O198" s="120">
        <v>41889.397533452779</v>
      </c>
      <c r="P198" s="121">
        <v>51990.796836747912</v>
      </c>
      <c r="Q198" s="310">
        <v>32592.591888678344</v>
      </c>
      <c r="R198" s="314">
        <v>74481.989422131126</v>
      </c>
      <c r="S198" s="315">
        <v>84583.388725426252</v>
      </c>
      <c r="U198" s="7" t="s">
        <v>4774</v>
      </c>
    </row>
    <row r="199" spans="1:21" ht="16.5" thickBot="1">
      <c r="A199" s="1311" t="s">
        <v>4588</v>
      </c>
      <c r="B199" s="1315">
        <f t="shared" si="9"/>
        <v>90</v>
      </c>
      <c r="C199" s="1315" t="s">
        <v>3</v>
      </c>
      <c r="D199" s="1315">
        <f t="shared" si="10"/>
        <v>360</v>
      </c>
      <c r="E199" s="1315" t="s">
        <v>3</v>
      </c>
      <c r="F199" s="1313">
        <f t="shared" si="11"/>
        <v>2450</v>
      </c>
      <c r="G199" s="1315" t="s">
        <v>3</v>
      </c>
      <c r="H199" s="1312">
        <v>2</v>
      </c>
      <c r="I199" s="1314" t="s">
        <v>45</v>
      </c>
      <c r="J199" s="184">
        <v>90</v>
      </c>
      <c r="K199" s="75">
        <v>360</v>
      </c>
      <c r="L199" s="75">
        <v>2450</v>
      </c>
      <c r="M199" s="185">
        <v>33.554764685628179</v>
      </c>
      <c r="N199" s="87">
        <v>1760.7648240000001</v>
      </c>
      <c r="O199" s="120">
        <v>42577.233473230437</v>
      </c>
      <c r="P199" s="121">
        <v>52863.358712675639</v>
      </c>
      <c r="Q199" s="310">
        <v>33376.770807964545</v>
      </c>
      <c r="R199" s="314">
        <v>75954.004281194982</v>
      </c>
      <c r="S199" s="315">
        <v>86240.129520640185</v>
      </c>
      <c r="U199" s="7" t="s">
        <v>4775</v>
      </c>
    </row>
    <row r="200" spans="1:21" ht="16.5" thickBot="1">
      <c r="A200" s="1311" t="s">
        <v>4588</v>
      </c>
      <c r="B200" s="1315">
        <f t="shared" si="9"/>
        <v>90</v>
      </c>
      <c r="C200" s="1315" t="s">
        <v>3</v>
      </c>
      <c r="D200" s="1315">
        <f t="shared" si="10"/>
        <v>360</v>
      </c>
      <c r="E200" s="1315" t="s">
        <v>3</v>
      </c>
      <c r="F200" s="1313">
        <f t="shared" si="11"/>
        <v>2500</v>
      </c>
      <c r="G200" s="1315" t="s">
        <v>3</v>
      </c>
      <c r="H200" s="1312">
        <v>2</v>
      </c>
      <c r="I200" s="1314" t="s">
        <v>45</v>
      </c>
      <c r="J200" s="184">
        <v>90</v>
      </c>
      <c r="K200" s="75">
        <v>360</v>
      </c>
      <c r="L200" s="75">
        <v>2500</v>
      </c>
      <c r="M200" s="185">
        <v>34.5463413715215</v>
      </c>
      <c r="N200" s="87">
        <v>1802.6877959999999</v>
      </c>
      <c r="O200" s="120">
        <v>43995.66720549616</v>
      </c>
      <c r="P200" s="121">
        <v>54656.498960013167</v>
      </c>
      <c r="Q200" s="310">
        <v>33930.367949467472</v>
      </c>
      <c r="R200" s="314">
        <v>77926.03515496364</v>
      </c>
      <c r="S200" s="315">
        <v>88586.866909480639</v>
      </c>
      <c r="U200" s="7" t="s">
        <v>4776</v>
      </c>
    </row>
    <row r="201" spans="1:21" ht="16.5" thickBot="1">
      <c r="A201" s="1311" t="s">
        <v>4588</v>
      </c>
      <c r="B201" s="1315">
        <f t="shared" si="9"/>
        <v>90</v>
      </c>
      <c r="C201" s="1315" t="s">
        <v>3</v>
      </c>
      <c r="D201" s="1315">
        <f t="shared" si="10"/>
        <v>360</v>
      </c>
      <c r="E201" s="1315" t="s">
        <v>3</v>
      </c>
      <c r="F201" s="1313">
        <f t="shared" si="11"/>
        <v>2550</v>
      </c>
      <c r="G201" s="1315" t="s">
        <v>3</v>
      </c>
      <c r="H201" s="1312">
        <v>2</v>
      </c>
      <c r="I201" s="1314" t="s">
        <v>45</v>
      </c>
      <c r="J201" s="184">
        <v>90</v>
      </c>
      <c r="K201" s="75">
        <v>360</v>
      </c>
      <c r="L201" s="75">
        <v>2550</v>
      </c>
      <c r="M201" s="185">
        <v>35.17947445741482</v>
      </c>
      <c r="N201" s="87">
        <v>1844.610768</v>
      </c>
      <c r="O201" s="120">
        <v>45046.700493274584</v>
      </c>
      <c r="P201" s="121">
        <v>55543.100312584247</v>
      </c>
      <c r="Q201" s="310">
        <v>34714.547009147034</v>
      </c>
      <c r="R201" s="314">
        <v>79761.247502421611</v>
      </c>
      <c r="S201" s="315">
        <v>90257.647321731289</v>
      </c>
      <c r="U201" s="7" t="s">
        <v>4777</v>
      </c>
    </row>
    <row r="202" spans="1:21" ht="16.5" thickBot="1">
      <c r="A202" s="1311" t="s">
        <v>4588</v>
      </c>
      <c r="B202" s="1312">
        <f t="shared" si="9"/>
        <v>90</v>
      </c>
      <c r="C202" s="1312" t="s">
        <v>3</v>
      </c>
      <c r="D202" s="1312">
        <f t="shared" si="10"/>
        <v>360</v>
      </c>
      <c r="E202" s="1312" t="s">
        <v>3</v>
      </c>
      <c r="F202" s="1313">
        <f t="shared" si="11"/>
        <v>2600</v>
      </c>
      <c r="G202" s="1312" t="s">
        <v>3</v>
      </c>
      <c r="H202" s="1312">
        <v>2</v>
      </c>
      <c r="I202" s="1314" t="s">
        <v>45</v>
      </c>
      <c r="J202" s="184">
        <v>90</v>
      </c>
      <c r="K202" s="75">
        <v>360</v>
      </c>
      <c r="L202" s="75">
        <v>2600</v>
      </c>
      <c r="M202" s="185">
        <v>35.812607543308147</v>
      </c>
      <c r="N202" s="87">
        <v>1886.5337399999999</v>
      </c>
      <c r="O202" s="120">
        <v>45734.536433052235</v>
      </c>
      <c r="P202" s="121">
        <v>56415.662188511975</v>
      </c>
      <c r="Q202" s="310">
        <v>35268.144150649961</v>
      </c>
      <c r="R202" s="314">
        <v>81002.680583702197</v>
      </c>
      <c r="S202" s="315">
        <v>91683.806339161936</v>
      </c>
      <c r="U202" s="7" t="s">
        <v>4778</v>
      </c>
    </row>
    <row r="203" spans="1:21" ht="16.5" thickBot="1">
      <c r="A203" s="1311" t="s">
        <v>4588</v>
      </c>
      <c r="B203" s="1315">
        <f t="shared" si="9"/>
        <v>90</v>
      </c>
      <c r="C203" s="1315" t="s">
        <v>3</v>
      </c>
      <c r="D203" s="1315">
        <f t="shared" si="10"/>
        <v>360</v>
      </c>
      <c r="E203" s="1315" t="s">
        <v>3</v>
      </c>
      <c r="F203" s="1313">
        <f t="shared" si="11"/>
        <v>2650</v>
      </c>
      <c r="G203" s="1315" t="s">
        <v>3</v>
      </c>
      <c r="H203" s="1312">
        <v>2</v>
      </c>
      <c r="I203" s="1314" t="s">
        <v>45</v>
      </c>
      <c r="J203" s="184">
        <v>90</v>
      </c>
      <c r="K203" s="75">
        <v>360</v>
      </c>
      <c r="L203" s="75">
        <v>2650</v>
      </c>
      <c r="M203" s="185">
        <v>36.445740629201467</v>
      </c>
      <c r="N203" s="87">
        <v>1928.4567119999997</v>
      </c>
      <c r="O203" s="120">
        <v>46422.372232436523</v>
      </c>
      <c r="P203" s="121">
        <v>57288.224204833059</v>
      </c>
      <c r="Q203" s="310">
        <v>36052.323069936159</v>
      </c>
      <c r="R203" s="314">
        <v>82474.695302372682</v>
      </c>
      <c r="S203" s="315">
        <v>93340.547274769226</v>
      </c>
      <c r="U203" s="7" t="s">
        <v>4779</v>
      </c>
    </row>
    <row r="204" spans="1:21" ht="16.5" thickBot="1">
      <c r="A204" s="1311" t="s">
        <v>4588</v>
      </c>
      <c r="B204" s="1315">
        <f t="shared" si="9"/>
        <v>90</v>
      </c>
      <c r="C204" s="1315" t="s">
        <v>3</v>
      </c>
      <c r="D204" s="1315">
        <f t="shared" si="10"/>
        <v>360</v>
      </c>
      <c r="E204" s="1315" t="s">
        <v>3</v>
      </c>
      <c r="F204" s="1313">
        <f t="shared" si="11"/>
        <v>2700</v>
      </c>
      <c r="G204" s="1315" t="s">
        <v>3</v>
      </c>
      <c r="H204" s="1312">
        <v>2</v>
      </c>
      <c r="I204" s="1314" t="s">
        <v>45</v>
      </c>
      <c r="J204" s="184">
        <v>90</v>
      </c>
      <c r="K204" s="75">
        <v>360</v>
      </c>
      <c r="L204" s="75">
        <v>2700</v>
      </c>
      <c r="M204" s="185">
        <v>37.078873715094794</v>
      </c>
      <c r="N204" s="87">
        <v>1970.379684</v>
      </c>
      <c r="O204" s="120">
        <v>47110.208172214174</v>
      </c>
      <c r="P204" s="121">
        <v>58160.786080760787</v>
      </c>
      <c r="Q204" s="310">
        <v>36605.920211439086</v>
      </c>
      <c r="R204" s="314">
        <v>83716.128383653268</v>
      </c>
      <c r="S204" s="315">
        <v>94766.706292199873</v>
      </c>
      <c r="U204" s="7" t="s">
        <v>4780</v>
      </c>
    </row>
    <row r="205" spans="1:21" ht="16.5" thickBot="1">
      <c r="A205" s="1311" t="s">
        <v>4588</v>
      </c>
      <c r="B205" s="1315">
        <f t="shared" si="9"/>
        <v>90</v>
      </c>
      <c r="C205" s="1315" t="s">
        <v>3</v>
      </c>
      <c r="D205" s="1315">
        <f t="shared" si="10"/>
        <v>360</v>
      </c>
      <c r="E205" s="1315" t="s">
        <v>3</v>
      </c>
      <c r="F205" s="1313">
        <f t="shared" si="11"/>
        <v>2750</v>
      </c>
      <c r="G205" s="1315" t="s">
        <v>3</v>
      </c>
      <c r="H205" s="1312">
        <v>2</v>
      </c>
      <c r="I205" s="1314" t="s">
        <v>45</v>
      </c>
      <c r="J205" s="184">
        <v>90</v>
      </c>
      <c r="K205" s="75">
        <v>360</v>
      </c>
      <c r="L205" s="75">
        <v>2750</v>
      </c>
      <c r="M205" s="185">
        <v>37.712006800988107</v>
      </c>
      <c r="N205" s="87">
        <v>2012.3026559999998</v>
      </c>
      <c r="O205" s="120">
        <v>47798.044111991818</v>
      </c>
      <c r="P205" s="121">
        <v>59033.348097081871</v>
      </c>
      <c r="Q205" s="310">
        <v>37159.517352942006</v>
      </c>
      <c r="R205" s="314">
        <v>84957.561464933824</v>
      </c>
      <c r="S205" s="315">
        <v>96192.865450023877</v>
      </c>
      <c r="U205" s="7" t="s">
        <v>4781</v>
      </c>
    </row>
    <row r="206" spans="1:21" ht="16.5" thickBot="1">
      <c r="A206" s="1311" t="s">
        <v>4588</v>
      </c>
      <c r="B206" s="1315">
        <f t="shared" si="9"/>
        <v>90</v>
      </c>
      <c r="C206" s="1315" t="s">
        <v>3</v>
      </c>
      <c r="D206" s="1315">
        <f t="shared" si="10"/>
        <v>360</v>
      </c>
      <c r="E206" s="1315" t="s">
        <v>3</v>
      </c>
      <c r="F206" s="1313">
        <f t="shared" si="11"/>
        <v>2800</v>
      </c>
      <c r="G206" s="1315" t="s">
        <v>3</v>
      </c>
      <c r="H206" s="1312">
        <v>2</v>
      </c>
      <c r="I206" s="1314" t="s">
        <v>45</v>
      </c>
      <c r="J206" s="184">
        <v>90</v>
      </c>
      <c r="K206" s="75">
        <v>360</v>
      </c>
      <c r="L206" s="75">
        <v>2800</v>
      </c>
      <c r="M206" s="185">
        <v>38.345139886881434</v>
      </c>
      <c r="N206" s="87">
        <v>2054.2256280000001</v>
      </c>
      <c r="O206" s="120">
        <v>48485.880051769476</v>
      </c>
      <c r="P206" s="121">
        <v>59905.909973009599</v>
      </c>
      <c r="Q206" s="310">
        <v>37943.696272228204</v>
      </c>
      <c r="R206" s="314">
        <v>86429.57632399768</v>
      </c>
      <c r="S206" s="315">
        <v>97849.60624523781</v>
      </c>
      <c r="U206" s="7" t="s">
        <v>4782</v>
      </c>
    </row>
    <row r="207" spans="1:21" ht="16.5" thickBot="1">
      <c r="A207" s="1311" t="s">
        <v>4588</v>
      </c>
      <c r="B207" s="1315">
        <f t="shared" si="9"/>
        <v>90</v>
      </c>
      <c r="C207" s="1315" t="s">
        <v>3</v>
      </c>
      <c r="D207" s="1315">
        <f t="shared" si="10"/>
        <v>360</v>
      </c>
      <c r="E207" s="1315" t="s">
        <v>3</v>
      </c>
      <c r="F207" s="1313">
        <f t="shared" si="11"/>
        <v>2850</v>
      </c>
      <c r="G207" s="1315" t="s">
        <v>3</v>
      </c>
      <c r="H207" s="1312">
        <v>2</v>
      </c>
      <c r="I207" s="1314" t="s">
        <v>45</v>
      </c>
      <c r="J207" s="184">
        <v>90</v>
      </c>
      <c r="K207" s="75">
        <v>360</v>
      </c>
      <c r="L207" s="75">
        <v>2850</v>
      </c>
      <c r="M207" s="185">
        <v>38.978272972774761</v>
      </c>
      <c r="N207" s="87">
        <v>2096.1486</v>
      </c>
      <c r="O207" s="120">
        <v>49173.715991547127</v>
      </c>
      <c r="P207" s="121">
        <v>60778.47198933069</v>
      </c>
      <c r="Q207" s="310">
        <v>38497.293413731131</v>
      </c>
      <c r="R207" s="314">
        <v>87671.009405278252</v>
      </c>
      <c r="S207" s="315">
        <v>99275.765403061814</v>
      </c>
      <c r="U207" s="7" t="s">
        <v>4783</v>
      </c>
    </row>
    <row r="208" spans="1:21" ht="16.5" thickBot="1">
      <c r="A208" s="1311" t="s">
        <v>4588</v>
      </c>
      <c r="B208" s="1315">
        <f t="shared" si="9"/>
        <v>90</v>
      </c>
      <c r="C208" s="1315" t="s">
        <v>3</v>
      </c>
      <c r="D208" s="1315">
        <f t="shared" si="10"/>
        <v>360</v>
      </c>
      <c r="E208" s="1315" t="s">
        <v>3</v>
      </c>
      <c r="F208" s="1313">
        <f t="shared" si="11"/>
        <v>2900</v>
      </c>
      <c r="G208" s="1315" t="s">
        <v>3</v>
      </c>
      <c r="H208" s="1312">
        <v>2</v>
      </c>
      <c r="I208" s="1314" t="s">
        <v>45</v>
      </c>
      <c r="J208" s="184">
        <v>90</v>
      </c>
      <c r="K208" s="75">
        <v>360</v>
      </c>
      <c r="L208" s="75">
        <v>2900</v>
      </c>
      <c r="M208" s="185">
        <v>39.611406058668081</v>
      </c>
      <c r="N208" s="87">
        <v>2138.0715719999998</v>
      </c>
      <c r="O208" s="120">
        <v>49861.551790931415</v>
      </c>
      <c r="P208" s="121">
        <v>61651.033865258418</v>
      </c>
      <c r="Q208" s="310">
        <v>39281.472333017329</v>
      </c>
      <c r="R208" s="314">
        <v>89143.024123948737</v>
      </c>
      <c r="S208" s="315">
        <v>100932.50619827575</v>
      </c>
      <c r="U208" s="7" t="s">
        <v>4784</v>
      </c>
    </row>
    <row r="209" spans="1:21" ht="16.5" thickBot="1">
      <c r="A209" s="1311" t="s">
        <v>4588</v>
      </c>
      <c r="B209" s="1315">
        <f t="shared" si="9"/>
        <v>90</v>
      </c>
      <c r="C209" s="1315" t="s">
        <v>3</v>
      </c>
      <c r="D209" s="1315">
        <f t="shared" si="10"/>
        <v>360</v>
      </c>
      <c r="E209" s="1315" t="s">
        <v>3</v>
      </c>
      <c r="F209" s="1313">
        <f t="shared" si="11"/>
        <v>2950</v>
      </c>
      <c r="G209" s="1315" t="s">
        <v>3</v>
      </c>
      <c r="H209" s="1312">
        <v>2</v>
      </c>
      <c r="I209" s="1314" t="s">
        <v>45</v>
      </c>
      <c r="J209" s="184">
        <v>90</v>
      </c>
      <c r="K209" s="75">
        <v>360</v>
      </c>
      <c r="L209" s="75">
        <v>2950</v>
      </c>
      <c r="M209" s="185">
        <v>40.244539144561401</v>
      </c>
      <c r="N209" s="87">
        <v>2179.9945440000001</v>
      </c>
      <c r="O209" s="120">
        <v>50549.387730709059</v>
      </c>
      <c r="P209" s="121">
        <v>62523.595881579502</v>
      </c>
      <c r="Q209" s="310">
        <v>39835.069474520256</v>
      </c>
      <c r="R209" s="314">
        <v>90384.457205229322</v>
      </c>
      <c r="S209" s="315">
        <v>102358.66535609975</v>
      </c>
      <c r="U209" s="7" t="s">
        <v>4785</v>
      </c>
    </row>
    <row r="210" spans="1:21" ht="16.5" thickBot="1">
      <c r="A210" s="1316" t="s">
        <v>4588</v>
      </c>
      <c r="B210" s="1317">
        <f t="shared" si="9"/>
        <v>90</v>
      </c>
      <c r="C210" s="1317" t="s">
        <v>3</v>
      </c>
      <c r="D210" s="1317">
        <f t="shared" si="10"/>
        <v>360</v>
      </c>
      <c r="E210" s="1317" t="s">
        <v>3</v>
      </c>
      <c r="F210" s="1318">
        <f t="shared" si="11"/>
        <v>3000</v>
      </c>
      <c r="G210" s="1317" t="s">
        <v>3</v>
      </c>
      <c r="H210" s="1319">
        <v>2</v>
      </c>
      <c r="I210" s="1320" t="s">
        <v>45</v>
      </c>
      <c r="J210" s="321">
        <v>90</v>
      </c>
      <c r="K210" s="322">
        <v>360</v>
      </c>
      <c r="L210" s="322">
        <v>3000</v>
      </c>
      <c r="M210" s="332">
        <v>41.158601830454728</v>
      </c>
      <c r="N210" s="306">
        <v>2221.917516</v>
      </c>
      <c r="O210" s="308">
        <v>51500.848710854705</v>
      </c>
      <c r="P210" s="336">
        <v>63659.782797875225</v>
      </c>
      <c r="Q210" s="323">
        <v>40619.248393806454</v>
      </c>
      <c r="R210" s="1321">
        <v>92120.097104661167</v>
      </c>
      <c r="S210" s="325">
        <v>104279.03119168169</v>
      </c>
      <c r="U210" s="7" t="s">
        <v>4786</v>
      </c>
    </row>
    <row r="211" spans="1:21" ht="19.5" thickBot="1">
      <c r="A211" s="2580" t="s">
        <v>49</v>
      </c>
      <c r="B211" s="2581"/>
      <c r="C211" s="2581"/>
      <c r="D211" s="2581"/>
      <c r="E211" s="2581"/>
      <c r="F211" s="2581"/>
      <c r="G211" s="2581"/>
      <c r="H211" s="2581"/>
      <c r="I211" s="2581"/>
      <c r="J211" s="2581"/>
      <c r="K211" s="2581"/>
      <c r="L211" s="2581"/>
      <c r="M211" s="2581"/>
      <c r="N211" s="2581"/>
      <c r="O211" s="2581"/>
      <c r="P211" s="2581"/>
      <c r="Q211" s="2581"/>
      <c r="R211" s="2581"/>
      <c r="S211" s="2582"/>
      <c r="U211" s="7"/>
    </row>
    <row r="212" spans="1:21" ht="16.5" thickBot="1">
      <c r="A212" s="2583" t="s">
        <v>4589</v>
      </c>
      <c r="B212" s="2584"/>
      <c r="C212" s="2584"/>
      <c r="D212" s="2584"/>
      <c r="E212" s="2584"/>
      <c r="F212" s="2584"/>
      <c r="G212" s="2584"/>
      <c r="H212" s="2584"/>
      <c r="I212" s="2584"/>
      <c r="J212" s="2584"/>
      <c r="K212" s="2584"/>
      <c r="L212" s="2584"/>
      <c r="M212" s="2584"/>
      <c r="N212" s="2584"/>
      <c r="O212" s="2584"/>
      <c r="P212" s="2584"/>
      <c r="Q212" s="2584"/>
      <c r="R212" s="2584"/>
      <c r="S212" s="2585"/>
      <c r="U212" s="7"/>
    </row>
    <row r="213" spans="1:21" ht="16.5" thickBot="1">
      <c r="A213" s="1311" t="s">
        <v>4588</v>
      </c>
      <c r="B213" s="1312">
        <f>J213</f>
        <v>90</v>
      </c>
      <c r="C213" s="1312" t="s">
        <v>3</v>
      </c>
      <c r="D213" s="1312">
        <f>K213</f>
        <v>360</v>
      </c>
      <c r="E213" s="1312" t="s">
        <v>3</v>
      </c>
      <c r="F213" s="1313">
        <f>L213</f>
        <v>600</v>
      </c>
      <c r="G213" s="1312" t="s">
        <v>3</v>
      </c>
      <c r="H213" s="1312">
        <v>4</v>
      </c>
      <c r="I213" s="1314" t="s">
        <v>45</v>
      </c>
      <c r="J213" s="326">
        <v>90</v>
      </c>
      <c r="K213" s="327">
        <v>360</v>
      </c>
      <c r="L213" s="327">
        <v>600</v>
      </c>
      <c r="M213" s="334">
        <v>10.143159540203118</v>
      </c>
      <c r="N213" s="302">
        <v>230.34599999999998</v>
      </c>
      <c r="O213" s="304">
        <v>21210.613342050041</v>
      </c>
      <c r="P213" s="331">
        <v>25119.669408581594</v>
      </c>
      <c r="Q213" s="328">
        <v>9204.3678470371888</v>
      </c>
      <c r="R213" s="1322">
        <v>30414.98118908723</v>
      </c>
      <c r="S213" s="330">
        <v>34324.037255618779</v>
      </c>
      <c r="U213" s="7" t="s">
        <v>4787</v>
      </c>
    </row>
    <row r="214" spans="1:21" ht="16.5" thickBot="1">
      <c r="A214" s="1311" t="s">
        <v>4588</v>
      </c>
      <c r="B214" s="1315">
        <f t="shared" ref="B214:B261" si="12">J214</f>
        <v>90</v>
      </c>
      <c r="C214" s="1315" t="s">
        <v>3</v>
      </c>
      <c r="D214" s="1315">
        <f t="shared" ref="D214:D261" si="13">K214</f>
        <v>360</v>
      </c>
      <c r="E214" s="1315" t="s">
        <v>3</v>
      </c>
      <c r="F214" s="1313">
        <f t="shared" ref="F214:F261" si="14">L214</f>
        <v>650</v>
      </c>
      <c r="G214" s="1315" t="s">
        <v>3</v>
      </c>
      <c r="H214" s="1312">
        <v>4</v>
      </c>
      <c r="I214" s="1314" t="s">
        <v>45</v>
      </c>
      <c r="J214" s="184">
        <v>90</v>
      </c>
      <c r="K214" s="75">
        <v>360</v>
      </c>
      <c r="L214" s="75">
        <v>650</v>
      </c>
      <c r="M214" s="185">
        <v>10.889778232410819</v>
      </c>
      <c r="N214" s="87">
        <v>276.41519999999997</v>
      </c>
      <c r="O214" s="120">
        <v>22292.615720875616</v>
      </c>
      <c r="P214" s="121">
        <v>26386.397863950606</v>
      </c>
      <c r="Q214" s="310">
        <v>9757.9649885401141</v>
      </c>
      <c r="R214" s="314">
        <v>32050.580709415728</v>
      </c>
      <c r="S214" s="315">
        <v>36144.362852490718</v>
      </c>
      <c r="U214" s="7" t="s">
        <v>4788</v>
      </c>
    </row>
    <row r="215" spans="1:21" ht="16.5" thickBot="1">
      <c r="A215" s="1311" t="s">
        <v>4588</v>
      </c>
      <c r="B215" s="1315">
        <f t="shared" si="12"/>
        <v>90</v>
      </c>
      <c r="C215" s="1315" t="s">
        <v>3</v>
      </c>
      <c r="D215" s="1315">
        <f t="shared" si="13"/>
        <v>360</v>
      </c>
      <c r="E215" s="1315" t="s">
        <v>3</v>
      </c>
      <c r="F215" s="1313">
        <f t="shared" si="14"/>
        <v>700</v>
      </c>
      <c r="G215" s="1315" t="s">
        <v>3</v>
      </c>
      <c r="H215" s="1312">
        <v>4</v>
      </c>
      <c r="I215" s="1314" t="s">
        <v>45</v>
      </c>
      <c r="J215" s="184">
        <v>90</v>
      </c>
      <c r="K215" s="75">
        <v>360</v>
      </c>
      <c r="L215" s="75">
        <v>700</v>
      </c>
      <c r="M215" s="185">
        <v>11.636396924618515</v>
      </c>
      <c r="N215" s="87">
        <v>322.48439999999994</v>
      </c>
      <c r="O215" s="120">
        <v>23374.618099701191</v>
      </c>
      <c r="P215" s="121">
        <v>27653.126319319617</v>
      </c>
      <c r="Q215" s="310">
        <v>10542.143907826316</v>
      </c>
      <c r="R215" s="314">
        <v>33916.762007527504</v>
      </c>
      <c r="S215" s="315">
        <v>38195.270227145935</v>
      </c>
      <c r="U215" s="7" t="s">
        <v>4789</v>
      </c>
    </row>
    <row r="216" spans="1:21" ht="16.5" thickBot="1">
      <c r="A216" s="1311" t="s">
        <v>4588</v>
      </c>
      <c r="B216" s="1315">
        <f t="shared" si="12"/>
        <v>90</v>
      </c>
      <c r="C216" s="1315" t="s">
        <v>3</v>
      </c>
      <c r="D216" s="1315">
        <f t="shared" si="13"/>
        <v>360</v>
      </c>
      <c r="E216" s="1315" t="s">
        <v>3</v>
      </c>
      <c r="F216" s="1313">
        <f t="shared" si="14"/>
        <v>750</v>
      </c>
      <c r="G216" s="1315" t="s">
        <v>3</v>
      </c>
      <c r="H216" s="1312">
        <v>4</v>
      </c>
      <c r="I216" s="1314" t="s">
        <v>45</v>
      </c>
      <c r="J216" s="184">
        <v>90</v>
      </c>
      <c r="K216" s="75">
        <v>360</v>
      </c>
      <c r="L216" s="75">
        <v>750</v>
      </c>
      <c r="M216" s="185">
        <v>12.383015616826212</v>
      </c>
      <c r="N216" s="87">
        <v>368.55359999999996</v>
      </c>
      <c r="O216" s="120">
        <v>24456.620478526766</v>
      </c>
      <c r="P216" s="121">
        <v>28919.854634295269</v>
      </c>
      <c r="Q216" s="310">
        <v>11095.741049329239</v>
      </c>
      <c r="R216" s="314">
        <v>35552.361527856003</v>
      </c>
      <c r="S216" s="315">
        <v>40015.59568362451</v>
      </c>
      <c r="U216" s="7" t="s">
        <v>4790</v>
      </c>
    </row>
    <row r="217" spans="1:21" ht="16.5" thickBot="1">
      <c r="A217" s="1311" t="s">
        <v>4588</v>
      </c>
      <c r="B217" s="1315">
        <f t="shared" si="12"/>
        <v>90</v>
      </c>
      <c r="C217" s="1315" t="s">
        <v>3</v>
      </c>
      <c r="D217" s="1315">
        <f t="shared" si="13"/>
        <v>360</v>
      </c>
      <c r="E217" s="1315" t="s">
        <v>3</v>
      </c>
      <c r="F217" s="1313">
        <f t="shared" si="14"/>
        <v>800</v>
      </c>
      <c r="G217" s="1315" t="s">
        <v>3</v>
      </c>
      <c r="H217" s="1312">
        <v>4</v>
      </c>
      <c r="I217" s="1314" t="s">
        <v>45</v>
      </c>
      <c r="J217" s="184">
        <v>90</v>
      </c>
      <c r="K217" s="75">
        <v>360</v>
      </c>
      <c r="L217" s="75">
        <v>800</v>
      </c>
      <c r="M217" s="185">
        <v>13.129634309033911</v>
      </c>
      <c r="N217" s="87">
        <v>414.62279999999998</v>
      </c>
      <c r="O217" s="120">
        <v>25901.82020535312</v>
      </c>
      <c r="P217" s="121">
        <v>30200.62242591428</v>
      </c>
      <c r="Q217" s="310">
        <v>11649.338190832164</v>
      </c>
      <c r="R217" s="314">
        <v>37551.158396185288</v>
      </c>
      <c r="S217" s="315">
        <v>41849.960616746444</v>
      </c>
      <c r="U217" s="7" t="s">
        <v>4791</v>
      </c>
    </row>
    <row r="218" spans="1:21" ht="16.5" thickBot="1">
      <c r="A218" s="1311" t="s">
        <v>4588</v>
      </c>
      <c r="B218" s="1315">
        <f t="shared" si="12"/>
        <v>90</v>
      </c>
      <c r="C218" s="1315" t="s">
        <v>3</v>
      </c>
      <c r="D218" s="1315">
        <f t="shared" si="13"/>
        <v>360</v>
      </c>
      <c r="E218" s="1315" t="s">
        <v>3</v>
      </c>
      <c r="F218" s="1313">
        <f t="shared" si="14"/>
        <v>850</v>
      </c>
      <c r="G218" s="1315" t="s">
        <v>3</v>
      </c>
      <c r="H218" s="1312">
        <v>4</v>
      </c>
      <c r="I218" s="1314" t="s">
        <v>45</v>
      </c>
      <c r="J218" s="184">
        <v>90</v>
      </c>
      <c r="K218" s="75">
        <v>360</v>
      </c>
      <c r="L218" s="75">
        <v>850</v>
      </c>
      <c r="M218" s="185">
        <v>13.876253001241606</v>
      </c>
      <c r="N218" s="87">
        <v>460.69199999999995</v>
      </c>
      <c r="O218" s="120">
        <v>26983.822584178695</v>
      </c>
      <c r="P218" s="121">
        <v>31467.350881283295</v>
      </c>
      <c r="Q218" s="310">
        <v>12433.517110118366</v>
      </c>
      <c r="R218" s="314">
        <v>39417.339694297058</v>
      </c>
      <c r="S218" s="315">
        <v>43900.867991401661</v>
      </c>
      <c r="U218" s="7" t="s">
        <v>4792</v>
      </c>
    </row>
    <row r="219" spans="1:21" ht="16.5" thickBot="1">
      <c r="A219" s="1311" t="s">
        <v>4588</v>
      </c>
      <c r="B219" s="1315">
        <f t="shared" si="12"/>
        <v>90</v>
      </c>
      <c r="C219" s="1315" t="s">
        <v>3</v>
      </c>
      <c r="D219" s="1315">
        <f t="shared" si="13"/>
        <v>360</v>
      </c>
      <c r="E219" s="1315" t="s">
        <v>3</v>
      </c>
      <c r="F219" s="1313">
        <f t="shared" si="14"/>
        <v>900</v>
      </c>
      <c r="G219" s="1315" t="s">
        <v>3</v>
      </c>
      <c r="H219" s="1312">
        <v>4</v>
      </c>
      <c r="I219" s="1314" t="s">
        <v>45</v>
      </c>
      <c r="J219" s="184">
        <v>90</v>
      </c>
      <c r="K219" s="75">
        <v>360</v>
      </c>
      <c r="L219" s="75">
        <v>900</v>
      </c>
      <c r="M219" s="185">
        <v>14.622871693449305</v>
      </c>
      <c r="N219" s="87">
        <v>506.76119999999997</v>
      </c>
      <c r="O219" s="120">
        <v>28065.82496300427</v>
      </c>
      <c r="P219" s="121">
        <v>32734.07933665231</v>
      </c>
      <c r="Q219" s="310">
        <v>12987.114251621291</v>
      </c>
      <c r="R219" s="314">
        <v>41052.939214625563</v>
      </c>
      <c r="S219" s="315">
        <v>45721.1935882736</v>
      </c>
      <c r="U219" s="7" t="s">
        <v>4793</v>
      </c>
    </row>
    <row r="220" spans="1:21" ht="16.5" thickBot="1">
      <c r="A220" s="1311" t="s">
        <v>4588</v>
      </c>
      <c r="B220" s="1315">
        <f t="shared" si="12"/>
        <v>90</v>
      </c>
      <c r="C220" s="1315" t="s">
        <v>3</v>
      </c>
      <c r="D220" s="1315">
        <f t="shared" si="13"/>
        <v>360</v>
      </c>
      <c r="E220" s="1315" t="s">
        <v>3</v>
      </c>
      <c r="F220" s="1313">
        <f t="shared" si="14"/>
        <v>950</v>
      </c>
      <c r="G220" s="1315" t="s">
        <v>3</v>
      </c>
      <c r="H220" s="1312">
        <v>4</v>
      </c>
      <c r="I220" s="1314" t="s">
        <v>45</v>
      </c>
      <c r="J220" s="184">
        <v>90</v>
      </c>
      <c r="K220" s="75">
        <v>360</v>
      </c>
      <c r="L220" s="75">
        <v>950</v>
      </c>
      <c r="M220" s="185">
        <v>15.369490385657002</v>
      </c>
      <c r="N220" s="87">
        <v>552.83039999999994</v>
      </c>
      <c r="O220" s="120">
        <v>29147.827341829845</v>
      </c>
      <c r="P220" s="121">
        <v>34000.807651627954</v>
      </c>
      <c r="Q220" s="310">
        <v>13771.293170907491</v>
      </c>
      <c r="R220" s="314">
        <v>42919.12051273734</v>
      </c>
      <c r="S220" s="315">
        <v>47772.100822535445</v>
      </c>
      <c r="U220" s="7" t="s">
        <v>4794</v>
      </c>
    </row>
    <row r="221" spans="1:21" ht="16.5" thickBot="1">
      <c r="A221" s="1311" t="s">
        <v>4588</v>
      </c>
      <c r="B221" s="1315">
        <f t="shared" si="12"/>
        <v>90</v>
      </c>
      <c r="C221" s="1315" t="s">
        <v>3</v>
      </c>
      <c r="D221" s="1315">
        <f t="shared" si="13"/>
        <v>360</v>
      </c>
      <c r="E221" s="1315" t="s">
        <v>3</v>
      </c>
      <c r="F221" s="1313">
        <f t="shared" si="14"/>
        <v>1000</v>
      </c>
      <c r="G221" s="1315" t="s">
        <v>3</v>
      </c>
      <c r="H221" s="1312">
        <v>4</v>
      </c>
      <c r="I221" s="1314" t="s">
        <v>45</v>
      </c>
      <c r="J221" s="184">
        <v>90</v>
      </c>
      <c r="K221" s="75">
        <v>360</v>
      </c>
      <c r="L221" s="75">
        <v>1000</v>
      </c>
      <c r="M221" s="185">
        <v>16.2565738778647</v>
      </c>
      <c r="N221" s="87">
        <v>598.89959999999996</v>
      </c>
      <c r="O221" s="120">
        <v>30293.916623162782</v>
      </c>
      <c r="P221" s="121">
        <v>35331.622869110972</v>
      </c>
      <c r="Q221" s="310">
        <v>14324.890312410414</v>
      </c>
      <c r="R221" s="314">
        <v>44618.8069355732</v>
      </c>
      <c r="S221" s="315">
        <v>49656.513181521383</v>
      </c>
      <c r="U221" s="7" t="s">
        <v>4795</v>
      </c>
    </row>
    <row r="222" spans="1:21" ht="16.5" thickBot="1">
      <c r="A222" s="1311" t="s">
        <v>4588</v>
      </c>
      <c r="B222" s="1315">
        <f t="shared" si="12"/>
        <v>90</v>
      </c>
      <c r="C222" s="1315" t="s">
        <v>3</v>
      </c>
      <c r="D222" s="1315">
        <f t="shared" si="13"/>
        <v>360</v>
      </c>
      <c r="E222" s="1315" t="s">
        <v>3</v>
      </c>
      <c r="F222" s="1313">
        <f t="shared" si="14"/>
        <v>1050</v>
      </c>
      <c r="G222" s="1315" t="s">
        <v>3</v>
      </c>
      <c r="H222" s="1312">
        <v>4</v>
      </c>
      <c r="I222" s="1314" t="s">
        <v>45</v>
      </c>
      <c r="J222" s="184">
        <v>90</v>
      </c>
      <c r="K222" s="75">
        <v>360</v>
      </c>
      <c r="L222" s="75">
        <v>1050</v>
      </c>
      <c r="M222" s="185">
        <v>17.003192570072397</v>
      </c>
      <c r="N222" s="87">
        <v>644.96879999999987</v>
      </c>
      <c r="O222" s="120">
        <v>31375.919001988357</v>
      </c>
      <c r="P222" s="121">
        <v>36598.351324479983</v>
      </c>
      <c r="Q222" s="310">
        <v>15109.069231696616</v>
      </c>
      <c r="R222" s="314">
        <v>46484.98823368497</v>
      </c>
      <c r="S222" s="315">
        <v>51707.420556176599</v>
      </c>
      <c r="U222" s="7" t="s">
        <v>4796</v>
      </c>
    </row>
    <row r="223" spans="1:21" ht="16.5" thickBot="1">
      <c r="A223" s="1311" t="s">
        <v>4588</v>
      </c>
      <c r="B223" s="1312">
        <f t="shared" si="12"/>
        <v>90</v>
      </c>
      <c r="C223" s="1312" t="s">
        <v>3</v>
      </c>
      <c r="D223" s="1312">
        <f t="shared" si="13"/>
        <v>360</v>
      </c>
      <c r="E223" s="1312" t="s">
        <v>3</v>
      </c>
      <c r="F223" s="1313">
        <f t="shared" si="14"/>
        <v>1100</v>
      </c>
      <c r="G223" s="1312" t="s">
        <v>3</v>
      </c>
      <c r="H223" s="1312">
        <v>4</v>
      </c>
      <c r="I223" s="1314" t="s">
        <v>45</v>
      </c>
      <c r="J223" s="184">
        <v>90</v>
      </c>
      <c r="K223" s="75">
        <v>360</v>
      </c>
      <c r="L223" s="75">
        <v>1100</v>
      </c>
      <c r="M223" s="185">
        <v>17.74981126228009</v>
      </c>
      <c r="N223" s="87">
        <v>691.0379999999999</v>
      </c>
      <c r="O223" s="120">
        <v>32457.921380813932</v>
      </c>
      <c r="P223" s="121">
        <v>37865.079779848995</v>
      </c>
      <c r="Q223" s="310">
        <v>15662.66637319954</v>
      </c>
      <c r="R223" s="314">
        <v>48120.587754013468</v>
      </c>
      <c r="S223" s="315">
        <v>53527.746153048531</v>
      </c>
      <c r="U223" s="7" t="s">
        <v>4797</v>
      </c>
    </row>
    <row r="224" spans="1:21" ht="16.5" thickBot="1">
      <c r="A224" s="1311" t="s">
        <v>4588</v>
      </c>
      <c r="B224" s="1315">
        <f t="shared" si="12"/>
        <v>90</v>
      </c>
      <c r="C224" s="1315" t="s">
        <v>3</v>
      </c>
      <c r="D224" s="1315">
        <f t="shared" si="13"/>
        <v>360</v>
      </c>
      <c r="E224" s="1315" t="s">
        <v>3</v>
      </c>
      <c r="F224" s="1313">
        <f t="shared" si="14"/>
        <v>1150</v>
      </c>
      <c r="G224" s="1315" t="s">
        <v>3</v>
      </c>
      <c r="H224" s="1312">
        <v>4</v>
      </c>
      <c r="I224" s="1314" t="s">
        <v>45</v>
      </c>
      <c r="J224" s="184">
        <v>90</v>
      </c>
      <c r="K224" s="75">
        <v>360</v>
      </c>
      <c r="L224" s="75">
        <v>1150</v>
      </c>
      <c r="M224" s="185">
        <v>18.496429954487791</v>
      </c>
      <c r="N224" s="87">
        <v>737.10719999999992</v>
      </c>
      <c r="O224" s="120">
        <v>33539.923759639511</v>
      </c>
      <c r="P224" s="121">
        <v>39131.808235218006</v>
      </c>
      <c r="Q224" s="310">
        <v>16216.263514702467</v>
      </c>
      <c r="R224" s="314">
        <v>49756.187274341981</v>
      </c>
      <c r="S224" s="315">
        <v>55348.071749920477</v>
      </c>
      <c r="U224" s="7" t="s">
        <v>4798</v>
      </c>
    </row>
    <row r="225" spans="1:21" ht="16.5" thickBot="1">
      <c r="A225" s="1311" t="s">
        <v>4588</v>
      </c>
      <c r="B225" s="1315">
        <f t="shared" si="12"/>
        <v>90</v>
      </c>
      <c r="C225" s="1315" t="s">
        <v>3</v>
      </c>
      <c r="D225" s="1315">
        <f t="shared" si="13"/>
        <v>360</v>
      </c>
      <c r="E225" s="1315" t="s">
        <v>3</v>
      </c>
      <c r="F225" s="1313">
        <f t="shared" si="14"/>
        <v>1200</v>
      </c>
      <c r="G225" s="1315" t="s">
        <v>3</v>
      </c>
      <c r="H225" s="1312">
        <v>4</v>
      </c>
      <c r="I225" s="1314" t="s">
        <v>45</v>
      </c>
      <c r="J225" s="184">
        <v>90</v>
      </c>
      <c r="K225" s="75">
        <v>360</v>
      </c>
      <c r="L225" s="75">
        <v>1200</v>
      </c>
      <c r="M225" s="185">
        <v>19.243048646695488</v>
      </c>
      <c r="N225" s="87">
        <v>783.17639999999994</v>
      </c>
      <c r="O225" s="120">
        <v>34621.926138465082</v>
      </c>
      <c r="P225" s="121">
        <v>40398.536550193661</v>
      </c>
      <c r="Q225" s="310">
        <v>17000.442574382028</v>
      </c>
      <c r="R225" s="314">
        <v>51622.368712847107</v>
      </c>
      <c r="S225" s="315">
        <v>57398.979124575693</v>
      </c>
      <c r="U225" s="7" t="s">
        <v>4799</v>
      </c>
    </row>
    <row r="226" spans="1:21" ht="16.5" thickBot="1">
      <c r="A226" s="1311" t="s">
        <v>4588</v>
      </c>
      <c r="B226" s="1315">
        <f t="shared" si="12"/>
        <v>90</v>
      </c>
      <c r="C226" s="1315" t="s">
        <v>3</v>
      </c>
      <c r="D226" s="1315">
        <f t="shared" si="13"/>
        <v>360</v>
      </c>
      <c r="E226" s="1315" t="s">
        <v>3</v>
      </c>
      <c r="F226" s="1313">
        <f t="shared" si="14"/>
        <v>1250</v>
      </c>
      <c r="G226" s="1315" t="s">
        <v>3</v>
      </c>
      <c r="H226" s="1312">
        <v>4</v>
      </c>
      <c r="I226" s="1314" t="s">
        <v>45</v>
      </c>
      <c r="J226" s="184">
        <v>90</v>
      </c>
      <c r="K226" s="75">
        <v>360</v>
      </c>
      <c r="L226" s="75">
        <v>1250</v>
      </c>
      <c r="M226" s="185">
        <v>19.989667338903189</v>
      </c>
      <c r="N226" s="87">
        <v>829.24559999999997</v>
      </c>
      <c r="O226" s="120">
        <v>35703.92851729066</v>
      </c>
      <c r="P226" s="121">
        <v>41665.265005562673</v>
      </c>
      <c r="Q226" s="310">
        <v>17554.039715884952</v>
      </c>
      <c r="R226" s="314">
        <v>53257.968233175612</v>
      </c>
      <c r="S226" s="315">
        <v>59219.304721447625</v>
      </c>
      <c r="U226" s="7" t="s">
        <v>4800</v>
      </c>
    </row>
    <row r="227" spans="1:21" ht="16.5" thickBot="1">
      <c r="A227" s="1311" t="s">
        <v>4588</v>
      </c>
      <c r="B227" s="1315">
        <f t="shared" si="12"/>
        <v>90</v>
      </c>
      <c r="C227" s="1315" t="s">
        <v>3</v>
      </c>
      <c r="D227" s="1315">
        <f t="shared" si="13"/>
        <v>360</v>
      </c>
      <c r="E227" s="1315" t="s">
        <v>3</v>
      </c>
      <c r="F227" s="1313">
        <f t="shared" si="14"/>
        <v>1300</v>
      </c>
      <c r="G227" s="1315" t="s">
        <v>3</v>
      </c>
      <c r="H227" s="1312">
        <v>4</v>
      </c>
      <c r="I227" s="1314" t="s">
        <v>45</v>
      </c>
      <c r="J227" s="184">
        <v>90</v>
      </c>
      <c r="K227" s="75">
        <v>360</v>
      </c>
      <c r="L227" s="75">
        <v>1300</v>
      </c>
      <c r="M227" s="185">
        <v>20.736286031110886</v>
      </c>
      <c r="N227" s="87">
        <v>875.31479999999988</v>
      </c>
      <c r="O227" s="120">
        <v>36785.930896116231</v>
      </c>
      <c r="P227" s="121">
        <v>42931.993460931684</v>
      </c>
      <c r="Q227" s="310">
        <v>18338.218635171153</v>
      </c>
      <c r="R227" s="314">
        <v>55124.149531287389</v>
      </c>
      <c r="S227" s="315">
        <v>61270.212096102841</v>
      </c>
      <c r="U227" s="7" t="s">
        <v>4801</v>
      </c>
    </row>
    <row r="228" spans="1:21" ht="16.5" thickBot="1">
      <c r="A228" s="1311" t="s">
        <v>4588</v>
      </c>
      <c r="B228" s="1315">
        <f t="shared" si="12"/>
        <v>90</v>
      </c>
      <c r="C228" s="1315" t="s">
        <v>3</v>
      </c>
      <c r="D228" s="1315">
        <f t="shared" si="13"/>
        <v>360</v>
      </c>
      <c r="E228" s="1315" t="s">
        <v>3</v>
      </c>
      <c r="F228" s="1313">
        <f t="shared" si="14"/>
        <v>1350</v>
      </c>
      <c r="G228" s="1315" t="s">
        <v>3</v>
      </c>
      <c r="H228" s="1312">
        <v>4</v>
      </c>
      <c r="I228" s="1314" t="s">
        <v>45</v>
      </c>
      <c r="J228" s="184">
        <v>90</v>
      </c>
      <c r="K228" s="75">
        <v>360</v>
      </c>
      <c r="L228" s="75">
        <v>1350</v>
      </c>
      <c r="M228" s="185">
        <v>21.482904723318583</v>
      </c>
      <c r="N228" s="87">
        <v>921.3839999999999</v>
      </c>
      <c r="O228" s="120">
        <v>37867.93327494181</v>
      </c>
      <c r="P228" s="121">
        <v>44198.721916300696</v>
      </c>
      <c r="Q228" s="310">
        <v>18891.815776674081</v>
      </c>
      <c r="R228" s="314">
        <v>56759.749051615887</v>
      </c>
      <c r="S228" s="315">
        <v>63090.537692974773</v>
      </c>
      <c r="U228" s="7" t="s">
        <v>4802</v>
      </c>
    </row>
    <row r="229" spans="1:21" ht="16.5" thickBot="1">
      <c r="A229" s="1311" t="s">
        <v>4588</v>
      </c>
      <c r="B229" s="1315">
        <f t="shared" si="12"/>
        <v>90</v>
      </c>
      <c r="C229" s="1315" t="s">
        <v>3</v>
      </c>
      <c r="D229" s="1315">
        <f t="shared" si="13"/>
        <v>360</v>
      </c>
      <c r="E229" s="1315" t="s">
        <v>3</v>
      </c>
      <c r="F229" s="1313">
        <f t="shared" si="14"/>
        <v>1400</v>
      </c>
      <c r="G229" s="1315" t="s">
        <v>3</v>
      </c>
      <c r="H229" s="1312">
        <v>4</v>
      </c>
      <c r="I229" s="1314" t="s">
        <v>45</v>
      </c>
      <c r="J229" s="184">
        <v>90</v>
      </c>
      <c r="K229" s="75">
        <v>360</v>
      </c>
      <c r="L229" s="75">
        <v>1400</v>
      </c>
      <c r="M229" s="185">
        <v>22.22952341552628</v>
      </c>
      <c r="N229" s="87">
        <v>967.45319999999992</v>
      </c>
      <c r="O229" s="120">
        <v>38949.935653767381</v>
      </c>
      <c r="P229" s="121">
        <v>45465.450231276351</v>
      </c>
      <c r="Q229" s="310">
        <v>19675.994695960278</v>
      </c>
      <c r="R229" s="314">
        <v>58625.930349727656</v>
      </c>
      <c r="S229" s="315">
        <v>65141.444927236633</v>
      </c>
      <c r="U229" s="7" t="s">
        <v>4803</v>
      </c>
    </row>
    <row r="230" spans="1:21" ht="16.5" thickBot="1">
      <c r="A230" s="1311" t="s">
        <v>4588</v>
      </c>
      <c r="B230" s="1315">
        <f t="shared" si="12"/>
        <v>90</v>
      </c>
      <c r="C230" s="1315" t="s">
        <v>3</v>
      </c>
      <c r="D230" s="1315">
        <f t="shared" si="13"/>
        <v>360</v>
      </c>
      <c r="E230" s="1315" t="s">
        <v>3</v>
      </c>
      <c r="F230" s="1313">
        <f t="shared" si="14"/>
        <v>1450</v>
      </c>
      <c r="G230" s="1315" t="s">
        <v>3</v>
      </c>
      <c r="H230" s="1312">
        <v>4</v>
      </c>
      <c r="I230" s="1314" t="s">
        <v>45</v>
      </c>
      <c r="J230" s="184">
        <v>90</v>
      </c>
      <c r="K230" s="75">
        <v>360</v>
      </c>
      <c r="L230" s="75">
        <v>1450</v>
      </c>
      <c r="M230" s="185">
        <v>22.976142107733978</v>
      </c>
      <c r="N230" s="87">
        <v>1013.5223999999999</v>
      </c>
      <c r="O230" s="120">
        <v>40031.93803259296</v>
      </c>
      <c r="P230" s="121">
        <v>46732.178686645355</v>
      </c>
      <c r="Q230" s="310">
        <v>20229.591837463206</v>
      </c>
      <c r="R230" s="314">
        <v>60261.529870056169</v>
      </c>
      <c r="S230" s="315">
        <v>66961.770524108564</v>
      </c>
      <c r="U230" s="7" t="s">
        <v>4804</v>
      </c>
    </row>
    <row r="231" spans="1:21" ht="16.5" thickBot="1">
      <c r="A231" s="1311" t="s">
        <v>4588</v>
      </c>
      <c r="B231" s="1315">
        <f t="shared" si="12"/>
        <v>90</v>
      </c>
      <c r="C231" s="1315" t="s">
        <v>3</v>
      </c>
      <c r="D231" s="1315">
        <f t="shared" si="13"/>
        <v>360</v>
      </c>
      <c r="E231" s="1315" t="s">
        <v>3</v>
      </c>
      <c r="F231" s="1313">
        <f t="shared" si="14"/>
        <v>1500</v>
      </c>
      <c r="G231" s="1315" t="s">
        <v>3</v>
      </c>
      <c r="H231" s="1312">
        <v>4</v>
      </c>
      <c r="I231" s="1314" t="s">
        <v>45</v>
      </c>
      <c r="J231" s="184">
        <v>90</v>
      </c>
      <c r="K231" s="75">
        <v>360</v>
      </c>
      <c r="L231" s="75">
        <v>1500</v>
      </c>
      <c r="M231" s="185">
        <v>24.081204399941679</v>
      </c>
      <c r="N231" s="87">
        <v>1059.5915999999997</v>
      </c>
      <c r="O231" s="120">
        <v>41844.538344299966</v>
      </c>
      <c r="P231" s="121">
        <v>48919.485513424181</v>
      </c>
      <c r="Q231" s="310">
        <v>21013.770756749404</v>
      </c>
      <c r="R231" s="314">
        <v>62858.309101049366</v>
      </c>
      <c r="S231" s="315">
        <v>69933.256270173588</v>
      </c>
      <c r="U231" s="7" t="s">
        <v>4805</v>
      </c>
    </row>
    <row r="232" spans="1:21" ht="16.5" thickBot="1">
      <c r="A232" s="1311" t="s">
        <v>4588</v>
      </c>
      <c r="B232" s="1315">
        <f t="shared" si="12"/>
        <v>90</v>
      </c>
      <c r="C232" s="1315" t="s">
        <v>3</v>
      </c>
      <c r="D232" s="1315">
        <f t="shared" si="13"/>
        <v>360</v>
      </c>
      <c r="E232" s="1315" t="s">
        <v>3</v>
      </c>
      <c r="F232" s="1313">
        <f t="shared" si="14"/>
        <v>1550</v>
      </c>
      <c r="G232" s="1315" t="s">
        <v>3</v>
      </c>
      <c r="H232" s="1312">
        <v>4</v>
      </c>
      <c r="I232" s="1314" t="s">
        <v>45</v>
      </c>
      <c r="J232" s="184">
        <v>90</v>
      </c>
      <c r="K232" s="75">
        <v>360</v>
      </c>
      <c r="L232" s="75">
        <v>1550</v>
      </c>
      <c r="M232" s="185">
        <v>24.827823092149373</v>
      </c>
      <c r="N232" s="87">
        <v>1105.6607999999999</v>
      </c>
      <c r="O232" s="120">
        <v>42926.540723125545</v>
      </c>
      <c r="P232" s="121">
        <v>50186.213828399828</v>
      </c>
      <c r="Q232" s="310">
        <v>21567.367898252327</v>
      </c>
      <c r="R232" s="314">
        <v>64493.908621377872</v>
      </c>
      <c r="S232" s="315">
        <v>71753.581726652163</v>
      </c>
      <c r="U232" s="7" t="s">
        <v>4806</v>
      </c>
    </row>
    <row r="233" spans="1:21" ht="16.5" thickBot="1">
      <c r="A233" s="1311" t="s">
        <v>4588</v>
      </c>
      <c r="B233" s="1312">
        <f t="shared" si="12"/>
        <v>90</v>
      </c>
      <c r="C233" s="1312" t="s">
        <v>3</v>
      </c>
      <c r="D233" s="1312">
        <f t="shared" si="13"/>
        <v>360</v>
      </c>
      <c r="E233" s="1312" t="s">
        <v>3</v>
      </c>
      <c r="F233" s="1313">
        <f t="shared" si="14"/>
        <v>1600</v>
      </c>
      <c r="G233" s="1312" t="s">
        <v>3</v>
      </c>
      <c r="H233" s="1312">
        <v>4</v>
      </c>
      <c r="I233" s="1314" t="s">
        <v>45</v>
      </c>
      <c r="J233" s="184">
        <v>90</v>
      </c>
      <c r="K233" s="75">
        <v>360</v>
      </c>
      <c r="L233" s="75">
        <v>1600</v>
      </c>
      <c r="M233" s="185">
        <v>25.574441784357067</v>
      </c>
      <c r="N233" s="87">
        <v>1151.7299999999998</v>
      </c>
      <c r="O233" s="120">
        <v>44008.543101951123</v>
      </c>
      <c r="P233" s="121">
        <v>51452.942283768833</v>
      </c>
      <c r="Q233" s="310">
        <v>22120.965039755254</v>
      </c>
      <c r="R233" s="314">
        <v>66129.508141706378</v>
      </c>
      <c r="S233" s="315">
        <v>73573.907323524094</v>
      </c>
      <c r="U233" s="7" t="s">
        <v>4807</v>
      </c>
    </row>
    <row r="234" spans="1:21" ht="16.5" thickBot="1">
      <c r="A234" s="1311" t="s">
        <v>4588</v>
      </c>
      <c r="B234" s="1315">
        <f t="shared" si="12"/>
        <v>90</v>
      </c>
      <c r="C234" s="1315" t="s">
        <v>3</v>
      </c>
      <c r="D234" s="1315">
        <f t="shared" si="13"/>
        <v>360</v>
      </c>
      <c r="E234" s="1315" t="s">
        <v>3</v>
      </c>
      <c r="F234" s="1313">
        <f t="shared" si="14"/>
        <v>1650</v>
      </c>
      <c r="G234" s="1315" t="s">
        <v>3</v>
      </c>
      <c r="H234" s="1312">
        <v>4</v>
      </c>
      <c r="I234" s="1314" t="s">
        <v>45</v>
      </c>
      <c r="J234" s="184">
        <v>90</v>
      </c>
      <c r="K234" s="75">
        <v>360</v>
      </c>
      <c r="L234" s="75">
        <v>1650</v>
      </c>
      <c r="M234" s="185">
        <v>26.321060476564767</v>
      </c>
      <c r="N234" s="87">
        <v>1197.7991999999999</v>
      </c>
      <c r="O234" s="120">
        <v>45090.545480776695</v>
      </c>
      <c r="P234" s="121">
        <v>52719.670739137851</v>
      </c>
      <c r="Q234" s="310">
        <v>22905.143959041456</v>
      </c>
      <c r="R234" s="314">
        <v>67995.689439818147</v>
      </c>
      <c r="S234" s="315">
        <v>75624.814698179311</v>
      </c>
      <c r="U234" s="7" t="s">
        <v>4808</v>
      </c>
    </row>
    <row r="235" spans="1:21" ht="16.5" thickBot="1">
      <c r="A235" s="1311" t="s">
        <v>4588</v>
      </c>
      <c r="B235" s="1315">
        <f t="shared" si="12"/>
        <v>90</v>
      </c>
      <c r="C235" s="1315" t="s">
        <v>3</v>
      </c>
      <c r="D235" s="1315">
        <f t="shared" si="13"/>
        <v>360</v>
      </c>
      <c r="E235" s="1315" t="s">
        <v>3</v>
      </c>
      <c r="F235" s="1313">
        <f t="shared" si="14"/>
        <v>1700</v>
      </c>
      <c r="G235" s="1315" t="s">
        <v>3</v>
      </c>
      <c r="H235" s="1312">
        <v>4</v>
      </c>
      <c r="I235" s="1314" t="s">
        <v>45</v>
      </c>
      <c r="J235" s="184">
        <v>90</v>
      </c>
      <c r="K235" s="75">
        <v>360</v>
      </c>
      <c r="L235" s="75">
        <v>1700</v>
      </c>
      <c r="M235" s="185">
        <v>27.067679168772464</v>
      </c>
      <c r="N235" s="87">
        <v>1243.8683999999998</v>
      </c>
      <c r="O235" s="120">
        <v>46172.547859602273</v>
      </c>
      <c r="P235" s="121">
        <v>53986.399194506856</v>
      </c>
      <c r="Q235" s="310">
        <v>23458.741100544379</v>
      </c>
      <c r="R235" s="314">
        <v>69631.28896014666</v>
      </c>
      <c r="S235" s="315">
        <v>77445.140295051242</v>
      </c>
      <c r="U235" s="7" t="s">
        <v>4809</v>
      </c>
    </row>
    <row r="236" spans="1:21" ht="16.5" thickBot="1">
      <c r="A236" s="1311" t="s">
        <v>4588</v>
      </c>
      <c r="B236" s="1315">
        <f t="shared" si="12"/>
        <v>90</v>
      </c>
      <c r="C236" s="1315" t="s">
        <v>3</v>
      </c>
      <c r="D236" s="1315">
        <f t="shared" si="13"/>
        <v>360</v>
      </c>
      <c r="E236" s="1315" t="s">
        <v>3</v>
      </c>
      <c r="F236" s="1313">
        <f t="shared" si="14"/>
        <v>1750</v>
      </c>
      <c r="G236" s="1315" t="s">
        <v>3</v>
      </c>
      <c r="H236" s="1312">
        <v>4</v>
      </c>
      <c r="I236" s="1314" t="s">
        <v>45</v>
      </c>
      <c r="J236" s="184">
        <v>90</v>
      </c>
      <c r="K236" s="75">
        <v>360</v>
      </c>
      <c r="L236" s="75">
        <v>1750</v>
      </c>
      <c r="M236" s="185">
        <v>27.814297860980162</v>
      </c>
      <c r="N236" s="87">
        <v>1289.9375999999997</v>
      </c>
      <c r="O236" s="120">
        <v>47254.550238427844</v>
      </c>
      <c r="P236" s="121">
        <v>55253.127509482518</v>
      </c>
      <c r="Q236" s="310">
        <v>24242.920019830581</v>
      </c>
      <c r="R236" s="314">
        <v>71497.470258258429</v>
      </c>
      <c r="S236" s="315">
        <v>79496.047529313102</v>
      </c>
      <c r="U236" s="7" t="s">
        <v>4810</v>
      </c>
    </row>
    <row r="237" spans="1:21" ht="16.5" thickBot="1">
      <c r="A237" s="1311" t="s">
        <v>4588</v>
      </c>
      <c r="B237" s="1315">
        <f t="shared" si="12"/>
        <v>90</v>
      </c>
      <c r="C237" s="1315" t="s">
        <v>3</v>
      </c>
      <c r="D237" s="1315">
        <f t="shared" si="13"/>
        <v>360</v>
      </c>
      <c r="E237" s="1315" t="s">
        <v>3</v>
      </c>
      <c r="F237" s="1313">
        <f t="shared" si="14"/>
        <v>1800</v>
      </c>
      <c r="G237" s="1315" t="s">
        <v>3</v>
      </c>
      <c r="H237" s="1312">
        <v>4</v>
      </c>
      <c r="I237" s="1314" t="s">
        <v>45</v>
      </c>
      <c r="J237" s="184">
        <v>90</v>
      </c>
      <c r="K237" s="75">
        <v>360</v>
      </c>
      <c r="L237" s="75">
        <v>1800</v>
      </c>
      <c r="M237" s="185">
        <v>28.560916553187859</v>
      </c>
      <c r="N237" s="87">
        <v>1336.0067999999999</v>
      </c>
      <c r="O237" s="120">
        <v>48336.55261725343</v>
      </c>
      <c r="P237" s="121">
        <v>56519.855964851522</v>
      </c>
      <c r="Q237" s="310">
        <v>24796.517161333504</v>
      </c>
      <c r="R237" s="314">
        <v>73133.069778586942</v>
      </c>
      <c r="S237" s="315">
        <v>81316.373126185033</v>
      </c>
      <c r="U237" s="7" t="s">
        <v>4811</v>
      </c>
    </row>
    <row r="238" spans="1:21" ht="16.5" thickBot="1">
      <c r="A238" s="1311" t="s">
        <v>4588</v>
      </c>
      <c r="B238" s="1315">
        <f t="shared" si="12"/>
        <v>90</v>
      </c>
      <c r="C238" s="1315" t="s">
        <v>3</v>
      </c>
      <c r="D238" s="1315">
        <f t="shared" si="13"/>
        <v>360</v>
      </c>
      <c r="E238" s="1315" t="s">
        <v>3</v>
      </c>
      <c r="F238" s="1313">
        <f t="shared" si="14"/>
        <v>1850</v>
      </c>
      <c r="G238" s="1315" t="s">
        <v>3</v>
      </c>
      <c r="H238" s="1312">
        <v>4</v>
      </c>
      <c r="I238" s="1314" t="s">
        <v>45</v>
      </c>
      <c r="J238" s="184">
        <v>90</v>
      </c>
      <c r="K238" s="75">
        <v>360</v>
      </c>
      <c r="L238" s="75">
        <v>1850</v>
      </c>
      <c r="M238" s="185">
        <v>29.307535245395552</v>
      </c>
      <c r="N238" s="87">
        <v>1382.0759999999998</v>
      </c>
      <c r="O238" s="120">
        <v>49418.554996078994</v>
      </c>
      <c r="P238" s="121">
        <v>57786.584420220541</v>
      </c>
      <c r="Q238" s="310">
        <v>25580.69622101307</v>
      </c>
      <c r="R238" s="314">
        <v>74999.251217092067</v>
      </c>
      <c r="S238" s="315">
        <v>83367.280641233607</v>
      </c>
      <c r="U238" s="7" t="s">
        <v>4812</v>
      </c>
    </row>
    <row r="239" spans="1:21" ht="16.5" thickBot="1">
      <c r="A239" s="1311" t="s">
        <v>4588</v>
      </c>
      <c r="B239" s="1315">
        <f t="shared" si="12"/>
        <v>90</v>
      </c>
      <c r="C239" s="1315" t="s">
        <v>3</v>
      </c>
      <c r="D239" s="1315">
        <f t="shared" si="13"/>
        <v>360</v>
      </c>
      <c r="E239" s="1315" t="s">
        <v>3</v>
      </c>
      <c r="F239" s="1313">
        <f t="shared" si="14"/>
        <v>1900</v>
      </c>
      <c r="G239" s="1315" t="s">
        <v>3</v>
      </c>
      <c r="H239" s="1312">
        <v>4</v>
      </c>
      <c r="I239" s="1314" t="s">
        <v>45</v>
      </c>
      <c r="J239" s="184">
        <v>90</v>
      </c>
      <c r="K239" s="75">
        <v>360</v>
      </c>
      <c r="L239" s="75">
        <v>1900</v>
      </c>
      <c r="M239" s="185">
        <v>30.054153937603253</v>
      </c>
      <c r="N239" s="87">
        <v>1428.1451999999999</v>
      </c>
      <c r="O239" s="120">
        <v>50500.55737490458</v>
      </c>
      <c r="P239" s="121">
        <v>59053.312875589545</v>
      </c>
      <c r="Q239" s="310">
        <v>26134.293362515993</v>
      </c>
      <c r="R239" s="314">
        <v>76634.85073742058</v>
      </c>
      <c r="S239" s="315">
        <v>85187.606238105538</v>
      </c>
      <c r="U239" s="7" t="s">
        <v>4813</v>
      </c>
    </row>
    <row r="240" spans="1:21" ht="16.5" thickBot="1">
      <c r="A240" s="1311" t="s">
        <v>4588</v>
      </c>
      <c r="B240" s="1315">
        <f t="shared" si="12"/>
        <v>90</v>
      </c>
      <c r="C240" s="1315" t="s">
        <v>3</v>
      </c>
      <c r="D240" s="1315">
        <f t="shared" si="13"/>
        <v>360</v>
      </c>
      <c r="E240" s="1315" t="s">
        <v>3</v>
      </c>
      <c r="F240" s="1313">
        <f t="shared" si="14"/>
        <v>1950</v>
      </c>
      <c r="G240" s="1315" t="s">
        <v>3</v>
      </c>
      <c r="H240" s="1312">
        <v>4</v>
      </c>
      <c r="I240" s="1314" t="s">
        <v>45</v>
      </c>
      <c r="J240" s="184">
        <v>90</v>
      </c>
      <c r="K240" s="75">
        <v>360</v>
      </c>
      <c r="L240" s="75">
        <v>1950</v>
      </c>
      <c r="M240" s="185">
        <v>30.800772629810957</v>
      </c>
      <c r="N240" s="87">
        <v>1474.2143999999998</v>
      </c>
      <c r="O240" s="120">
        <v>51582.559753730151</v>
      </c>
      <c r="P240" s="121">
        <v>60320.041330958564</v>
      </c>
      <c r="Q240" s="310">
        <v>26687.890504018917</v>
      </c>
      <c r="R240" s="314">
        <v>78270.450257749064</v>
      </c>
      <c r="S240" s="315">
        <v>87007.931834977484</v>
      </c>
      <c r="U240" s="7" t="s">
        <v>4814</v>
      </c>
    </row>
    <row r="241" spans="1:21" ht="16.5" thickBot="1">
      <c r="A241" s="1311" t="s">
        <v>4588</v>
      </c>
      <c r="B241" s="1315">
        <f t="shared" si="12"/>
        <v>90</v>
      </c>
      <c r="C241" s="1315" t="s">
        <v>3</v>
      </c>
      <c r="D241" s="1315">
        <f t="shared" si="13"/>
        <v>360</v>
      </c>
      <c r="E241" s="1315" t="s">
        <v>3</v>
      </c>
      <c r="F241" s="1313">
        <f t="shared" si="14"/>
        <v>2000</v>
      </c>
      <c r="G241" s="1315" t="s">
        <v>3</v>
      </c>
      <c r="H241" s="1312">
        <v>4</v>
      </c>
      <c r="I241" s="1314" t="s">
        <v>45</v>
      </c>
      <c r="J241" s="184">
        <v>90</v>
      </c>
      <c r="K241" s="75">
        <v>360</v>
      </c>
      <c r="L241" s="75">
        <v>2000</v>
      </c>
      <c r="M241" s="185">
        <v>31.687856122018651</v>
      </c>
      <c r="N241" s="87">
        <v>1520.2835999999998</v>
      </c>
      <c r="O241" s="120">
        <v>53130.594951113868</v>
      </c>
      <c r="P241" s="121">
        <v>61754.185922848214</v>
      </c>
      <c r="Q241" s="310">
        <v>27472.069423305118</v>
      </c>
      <c r="R241" s="314">
        <v>80602.664374418993</v>
      </c>
      <c r="S241" s="315">
        <v>89226.255346153339</v>
      </c>
      <c r="U241" s="7" t="s">
        <v>4815</v>
      </c>
    </row>
    <row r="242" spans="1:21" ht="16.5" thickBot="1">
      <c r="A242" s="1311" t="s">
        <v>4588</v>
      </c>
      <c r="B242" s="1315">
        <f t="shared" si="12"/>
        <v>90</v>
      </c>
      <c r="C242" s="1315" t="s">
        <v>3</v>
      </c>
      <c r="D242" s="1315">
        <f t="shared" si="13"/>
        <v>360</v>
      </c>
      <c r="E242" s="1315" t="s">
        <v>3</v>
      </c>
      <c r="F242" s="1313">
        <f t="shared" si="14"/>
        <v>2050</v>
      </c>
      <c r="G242" s="1315" t="s">
        <v>3</v>
      </c>
      <c r="H242" s="1312">
        <v>4</v>
      </c>
      <c r="I242" s="1314" t="s">
        <v>45</v>
      </c>
      <c r="J242" s="184">
        <v>90</v>
      </c>
      <c r="K242" s="75">
        <v>360</v>
      </c>
      <c r="L242" s="75">
        <v>2050</v>
      </c>
      <c r="M242" s="185">
        <v>32.434474814226348</v>
      </c>
      <c r="N242" s="87">
        <v>1566.3527999999999</v>
      </c>
      <c r="O242" s="120">
        <v>54212.597329939439</v>
      </c>
      <c r="P242" s="121">
        <v>63020.914378217225</v>
      </c>
      <c r="Q242" s="310">
        <v>28025.666564808042</v>
      </c>
      <c r="R242" s="314">
        <v>82238.263894747477</v>
      </c>
      <c r="S242" s="315">
        <v>91046.58094302527</v>
      </c>
      <c r="U242" s="7" t="s">
        <v>4816</v>
      </c>
    </row>
    <row r="243" spans="1:21" ht="16.5" thickBot="1">
      <c r="A243" s="1311" t="s">
        <v>4588</v>
      </c>
      <c r="B243" s="1312">
        <f t="shared" si="12"/>
        <v>90</v>
      </c>
      <c r="C243" s="1312" t="s">
        <v>3</v>
      </c>
      <c r="D243" s="1312">
        <f t="shared" si="13"/>
        <v>360</v>
      </c>
      <c r="E243" s="1312" t="s">
        <v>3</v>
      </c>
      <c r="F243" s="1313">
        <f t="shared" si="14"/>
        <v>2100</v>
      </c>
      <c r="G243" s="1312" t="s">
        <v>3</v>
      </c>
      <c r="H243" s="1312">
        <v>4</v>
      </c>
      <c r="I243" s="1314" t="s">
        <v>45</v>
      </c>
      <c r="J243" s="184">
        <v>90</v>
      </c>
      <c r="K243" s="75">
        <v>360</v>
      </c>
      <c r="L243" s="75">
        <v>2100</v>
      </c>
      <c r="M243" s="185">
        <v>33.181093506434046</v>
      </c>
      <c r="N243" s="87">
        <v>1612.4219999999998</v>
      </c>
      <c r="O243" s="120">
        <v>55294.599708765018</v>
      </c>
      <c r="P243" s="121">
        <v>64287.642833586237</v>
      </c>
      <c r="Q243" s="310">
        <v>28809.845484094247</v>
      </c>
      <c r="R243" s="314">
        <v>84104.445192859261</v>
      </c>
      <c r="S243" s="315">
        <v>93097.488317680487</v>
      </c>
      <c r="U243" s="7" t="s">
        <v>4817</v>
      </c>
    </row>
    <row r="244" spans="1:21" ht="16.5" thickBot="1">
      <c r="A244" s="1311" t="s">
        <v>4588</v>
      </c>
      <c r="B244" s="1315">
        <f t="shared" si="12"/>
        <v>90</v>
      </c>
      <c r="C244" s="1315" t="s">
        <v>3</v>
      </c>
      <c r="D244" s="1315">
        <f t="shared" si="13"/>
        <v>360</v>
      </c>
      <c r="E244" s="1315" t="s">
        <v>3</v>
      </c>
      <c r="F244" s="1313">
        <f t="shared" si="14"/>
        <v>2150</v>
      </c>
      <c r="G244" s="1315" t="s">
        <v>3</v>
      </c>
      <c r="H244" s="1312">
        <v>4</v>
      </c>
      <c r="I244" s="1314" t="s">
        <v>45</v>
      </c>
      <c r="J244" s="184">
        <v>90</v>
      </c>
      <c r="K244" s="75">
        <v>360</v>
      </c>
      <c r="L244" s="75">
        <v>2150</v>
      </c>
      <c r="M244" s="185">
        <v>33.927712198641743</v>
      </c>
      <c r="N244" s="87">
        <v>1658.4911999999999</v>
      </c>
      <c r="O244" s="120">
        <v>56376.602087590589</v>
      </c>
      <c r="P244" s="121">
        <v>65554.371288955255</v>
      </c>
      <c r="Q244" s="310">
        <v>29363.442625597167</v>
      </c>
      <c r="R244" s="314">
        <v>85740.044713187759</v>
      </c>
      <c r="S244" s="315">
        <v>94917.813914552418</v>
      </c>
      <c r="U244" s="7" t="s">
        <v>4818</v>
      </c>
    </row>
    <row r="245" spans="1:21" ht="16.5" thickBot="1">
      <c r="A245" s="1311" t="s">
        <v>4588</v>
      </c>
      <c r="B245" s="1315">
        <f t="shared" si="12"/>
        <v>90</v>
      </c>
      <c r="C245" s="1315" t="s">
        <v>3</v>
      </c>
      <c r="D245" s="1315">
        <f t="shared" si="13"/>
        <v>360</v>
      </c>
      <c r="E245" s="1315" t="s">
        <v>3</v>
      </c>
      <c r="F245" s="1313">
        <f t="shared" si="14"/>
        <v>2200</v>
      </c>
      <c r="G245" s="1315" t="s">
        <v>3</v>
      </c>
      <c r="H245" s="1312">
        <v>4</v>
      </c>
      <c r="I245" s="1314" t="s">
        <v>45</v>
      </c>
      <c r="J245" s="184">
        <v>90</v>
      </c>
      <c r="K245" s="75">
        <v>360</v>
      </c>
      <c r="L245" s="75">
        <v>2200</v>
      </c>
      <c r="M245" s="185">
        <v>34.674330890849447</v>
      </c>
      <c r="N245" s="87">
        <v>1704.5603999999998</v>
      </c>
      <c r="O245" s="120">
        <v>57458.604466416167</v>
      </c>
      <c r="P245" s="121">
        <v>66821.099603930896</v>
      </c>
      <c r="Q245" s="310">
        <v>30147.621544883372</v>
      </c>
      <c r="R245" s="314">
        <v>87606.226011299543</v>
      </c>
      <c r="S245" s="315">
        <v>96968.721148814264</v>
      </c>
      <c r="U245" s="7" t="s">
        <v>4819</v>
      </c>
    </row>
    <row r="246" spans="1:21" ht="16.5" thickBot="1">
      <c r="A246" s="1311" t="s">
        <v>4588</v>
      </c>
      <c r="B246" s="1315">
        <f t="shared" si="12"/>
        <v>90</v>
      </c>
      <c r="C246" s="1315" t="s">
        <v>3</v>
      </c>
      <c r="D246" s="1315">
        <f t="shared" si="13"/>
        <v>360</v>
      </c>
      <c r="E246" s="1315" t="s">
        <v>3</v>
      </c>
      <c r="F246" s="1313">
        <f t="shared" si="14"/>
        <v>2250</v>
      </c>
      <c r="G246" s="1315" t="s">
        <v>3</v>
      </c>
      <c r="H246" s="1312">
        <v>4</v>
      </c>
      <c r="I246" s="1314" t="s">
        <v>45</v>
      </c>
      <c r="J246" s="184">
        <v>90</v>
      </c>
      <c r="K246" s="75">
        <v>360</v>
      </c>
      <c r="L246" s="75">
        <v>2250</v>
      </c>
      <c r="M246" s="185">
        <v>35.420949583057144</v>
      </c>
      <c r="N246" s="87">
        <v>1750.6295999999998</v>
      </c>
      <c r="O246" s="120">
        <v>58540.606845241738</v>
      </c>
      <c r="P246" s="121">
        <v>68087.828059299922</v>
      </c>
      <c r="Q246" s="310">
        <v>30701.218686386295</v>
      </c>
      <c r="R246" s="314">
        <v>89241.825531628041</v>
      </c>
      <c r="S246" s="315">
        <v>98789.04674568621</v>
      </c>
      <c r="U246" s="7" t="s">
        <v>4820</v>
      </c>
    </row>
    <row r="247" spans="1:21" ht="16.5" thickBot="1">
      <c r="A247" s="1311" t="s">
        <v>4588</v>
      </c>
      <c r="B247" s="1315">
        <f t="shared" si="12"/>
        <v>90</v>
      </c>
      <c r="C247" s="1315" t="s">
        <v>3</v>
      </c>
      <c r="D247" s="1315">
        <f t="shared" si="13"/>
        <v>360</v>
      </c>
      <c r="E247" s="1315" t="s">
        <v>3</v>
      </c>
      <c r="F247" s="1313">
        <f t="shared" si="14"/>
        <v>2300</v>
      </c>
      <c r="G247" s="1315" t="s">
        <v>3</v>
      </c>
      <c r="H247" s="1312">
        <v>4</v>
      </c>
      <c r="I247" s="1314" t="s">
        <v>45</v>
      </c>
      <c r="J247" s="184">
        <v>90</v>
      </c>
      <c r="K247" s="75">
        <v>360</v>
      </c>
      <c r="L247" s="75">
        <v>2300</v>
      </c>
      <c r="M247" s="185">
        <v>36.167568275264834</v>
      </c>
      <c r="N247" s="87">
        <v>1796.6987999999997</v>
      </c>
      <c r="O247" s="120">
        <v>59622.60922406731</v>
      </c>
      <c r="P247" s="121">
        <v>69354.556514668919</v>
      </c>
      <c r="Q247" s="310">
        <v>31254.815827889219</v>
      </c>
      <c r="R247" s="314">
        <v>90877.425051956525</v>
      </c>
      <c r="S247" s="315">
        <v>100609.37234255814</v>
      </c>
      <c r="U247" s="7" t="s">
        <v>4821</v>
      </c>
    </row>
    <row r="248" spans="1:21" ht="16.5" thickBot="1">
      <c r="A248" s="1311" t="s">
        <v>4588</v>
      </c>
      <c r="B248" s="1315">
        <f t="shared" si="12"/>
        <v>90</v>
      </c>
      <c r="C248" s="1315" t="s">
        <v>3</v>
      </c>
      <c r="D248" s="1315">
        <f t="shared" si="13"/>
        <v>360</v>
      </c>
      <c r="E248" s="1315" t="s">
        <v>3</v>
      </c>
      <c r="F248" s="1313">
        <f t="shared" si="14"/>
        <v>2350</v>
      </c>
      <c r="G248" s="1315" t="s">
        <v>3</v>
      </c>
      <c r="H248" s="1312">
        <v>4</v>
      </c>
      <c r="I248" s="1314" t="s">
        <v>45</v>
      </c>
      <c r="J248" s="184">
        <v>90</v>
      </c>
      <c r="K248" s="75">
        <v>360</v>
      </c>
      <c r="L248" s="75">
        <v>2350</v>
      </c>
      <c r="M248" s="185">
        <v>36.914186967472538</v>
      </c>
      <c r="N248" s="87">
        <v>1842.7679999999998</v>
      </c>
      <c r="O248" s="120">
        <v>60704.611602892888</v>
      </c>
      <c r="P248" s="121">
        <v>70621.284970037945</v>
      </c>
      <c r="Q248" s="310">
        <v>32038.99474717542</v>
      </c>
      <c r="R248" s="314">
        <v>92743.606350068309</v>
      </c>
      <c r="S248" s="315">
        <v>102660.27971721336</v>
      </c>
      <c r="U248" s="7" t="s">
        <v>4822</v>
      </c>
    </row>
    <row r="249" spans="1:21" ht="16.5" thickBot="1">
      <c r="A249" s="1311" t="s">
        <v>4588</v>
      </c>
      <c r="B249" s="1315">
        <f t="shared" si="12"/>
        <v>90</v>
      </c>
      <c r="C249" s="1315" t="s">
        <v>3</v>
      </c>
      <c r="D249" s="1315">
        <f t="shared" si="13"/>
        <v>360</v>
      </c>
      <c r="E249" s="1315" t="s">
        <v>3</v>
      </c>
      <c r="F249" s="1313">
        <f t="shared" si="14"/>
        <v>2400</v>
      </c>
      <c r="G249" s="1315" t="s">
        <v>3</v>
      </c>
      <c r="H249" s="1312">
        <v>4</v>
      </c>
      <c r="I249" s="1314" t="s">
        <v>45</v>
      </c>
      <c r="J249" s="184">
        <v>90</v>
      </c>
      <c r="K249" s="75">
        <v>360</v>
      </c>
      <c r="L249" s="75">
        <v>2400</v>
      </c>
      <c r="M249" s="185">
        <v>37.660805659680221</v>
      </c>
      <c r="N249" s="87">
        <v>1888.8371999999997</v>
      </c>
      <c r="O249" s="120">
        <v>61786.613981718459</v>
      </c>
      <c r="P249" s="121">
        <v>71888.013285013585</v>
      </c>
      <c r="Q249" s="310">
        <v>32592.591888678344</v>
      </c>
      <c r="R249" s="314">
        <v>94379.205870396807</v>
      </c>
      <c r="S249" s="315">
        <v>104480.60517369193</v>
      </c>
      <c r="U249" s="7" t="s">
        <v>4823</v>
      </c>
    </row>
    <row r="250" spans="1:21" ht="16.5" thickBot="1">
      <c r="A250" s="1311" t="s">
        <v>4588</v>
      </c>
      <c r="B250" s="1315">
        <f t="shared" si="12"/>
        <v>90</v>
      </c>
      <c r="C250" s="1315" t="s">
        <v>3</v>
      </c>
      <c r="D250" s="1315">
        <f t="shared" si="13"/>
        <v>360</v>
      </c>
      <c r="E250" s="1315" t="s">
        <v>3</v>
      </c>
      <c r="F250" s="1313">
        <f t="shared" si="14"/>
        <v>2450</v>
      </c>
      <c r="G250" s="1315" t="s">
        <v>3</v>
      </c>
      <c r="H250" s="1312">
        <v>4</v>
      </c>
      <c r="I250" s="1314" t="s">
        <v>45</v>
      </c>
      <c r="J250" s="184">
        <v>90</v>
      </c>
      <c r="K250" s="75">
        <v>360</v>
      </c>
      <c r="L250" s="75">
        <v>2450</v>
      </c>
      <c r="M250" s="185">
        <v>38.407424351887933</v>
      </c>
      <c r="N250" s="87">
        <v>1934.9063999999998</v>
      </c>
      <c r="O250" s="120">
        <v>62868.616500937394</v>
      </c>
      <c r="P250" s="121">
        <v>73154.741740382611</v>
      </c>
      <c r="Q250" s="310">
        <v>33376.770807964545</v>
      </c>
      <c r="R250" s="314">
        <v>96245.387308901933</v>
      </c>
      <c r="S250" s="315">
        <v>106531.51254834715</v>
      </c>
      <c r="U250" s="7" t="s">
        <v>4824</v>
      </c>
    </row>
    <row r="251" spans="1:21" ht="16.5" thickBot="1">
      <c r="A251" s="1311" t="s">
        <v>4588</v>
      </c>
      <c r="B251" s="1315">
        <f t="shared" si="12"/>
        <v>90</v>
      </c>
      <c r="C251" s="1315" t="s">
        <v>3</v>
      </c>
      <c r="D251" s="1315">
        <f t="shared" si="13"/>
        <v>360</v>
      </c>
      <c r="E251" s="1315" t="s">
        <v>3</v>
      </c>
      <c r="F251" s="1313">
        <f t="shared" si="14"/>
        <v>2500</v>
      </c>
      <c r="G251" s="1315" t="s">
        <v>3</v>
      </c>
      <c r="H251" s="1312">
        <v>4</v>
      </c>
      <c r="I251" s="1314" t="s">
        <v>45</v>
      </c>
      <c r="J251" s="184">
        <v>90</v>
      </c>
      <c r="K251" s="75">
        <v>360</v>
      </c>
      <c r="L251" s="75">
        <v>2500</v>
      </c>
      <c r="M251" s="185">
        <v>39.512486644095624</v>
      </c>
      <c r="N251" s="87">
        <v>1980.9755999999998</v>
      </c>
      <c r="O251" s="120">
        <v>64681.216672251052</v>
      </c>
      <c r="P251" s="121">
        <v>75342.048567161415</v>
      </c>
      <c r="Q251" s="310">
        <v>33930.367949467472</v>
      </c>
      <c r="R251" s="314">
        <v>98611.584621718532</v>
      </c>
      <c r="S251" s="315">
        <v>109272.41651662889</v>
      </c>
      <c r="U251" s="7" t="s">
        <v>4825</v>
      </c>
    </row>
    <row r="252" spans="1:21" ht="16.5" thickBot="1">
      <c r="A252" s="1311" t="s">
        <v>4588</v>
      </c>
      <c r="B252" s="1315">
        <f t="shared" si="12"/>
        <v>90</v>
      </c>
      <c r="C252" s="1315" t="s">
        <v>3</v>
      </c>
      <c r="D252" s="1315">
        <f t="shared" si="13"/>
        <v>360</v>
      </c>
      <c r="E252" s="1315" t="s">
        <v>3</v>
      </c>
      <c r="F252" s="1313">
        <f t="shared" si="14"/>
        <v>2550</v>
      </c>
      <c r="G252" s="1315" t="s">
        <v>3</v>
      </c>
      <c r="H252" s="1312">
        <v>4</v>
      </c>
      <c r="I252" s="1314" t="s">
        <v>45</v>
      </c>
      <c r="J252" s="184">
        <v>90</v>
      </c>
      <c r="K252" s="75">
        <v>360</v>
      </c>
      <c r="L252" s="75">
        <v>2550</v>
      </c>
      <c r="M252" s="185">
        <v>40.259105336303328</v>
      </c>
      <c r="N252" s="87">
        <v>2027.0447999999999</v>
      </c>
      <c r="O252" s="120">
        <v>66126.416399077396</v>
      </c>
      <c r="P252" s="121">
        <v>76622.816218387059</v>
      </c>
      <c r="Q252" s="310">
        <v>34714.547009147034</v>
      </c>
      <c r="R252" s="314">
        <v>100840.96340822443</v>
      </c>
      <c r="S252" s="315">
        <v>111337.36322753409</v>
      </c>
      <c r="U252" s="7" t="s">
        <v>4826</v>
      </c>
    </row>
    <row r="253" spans="1:21" ht="16.5" thickBot="1">
      <c r="A253" s="1311" t="s">
        <v>4588</v>
      </c>
      <c r="B253" s="1312">
        <f t="shared" si="12"/>
        <v>90</v>
      </c>
      <c r="C253" s="1312" t="s">
        <v>3</v>
      </c>
      <c r="D253" s="1312">
        <f t="shared" si="13"/>
        <v>360</v>
      </c>
      <c r="E253" s="1312" t="s">
        <v>3</v>
      </c>
      <c r="F253" s="1313">
        <f t="shared" si="14"/>
        <v>2600</v>
      </c>
      <c r="G253" s="1312" t="s">
        <v>3</v>
      </c>
      <c r="H253" s="1312">
        <v>4</v>
      </c>
      <c r="I253" s="1314" t="s">
        <v>45</v>
      </c>
      <c r="J253" s="184">
        <v>90</v>
      </c>
      <c r="K253" s="75">
        <v>360</v>
      </c>
      <c r="L253" s="75">
        <v>2600</v>
      </c>
      <c r="M253" s="185">
        <v>41.005724028511025</v>
      </c>
      <c r="N253" s="87">
        <v>2073.1139999999996</v>
      </c>
      <c r="O253" s="120">
        <v>67208.418777902974</v>
      </c>
      <c r="P253" s="121">
        <v>77889.544673756085</v>
      </c>
      <c r="Q253" s="310">
        <v>35268.144150649961</v>
      </c>
      <c r="R253" s="314">
        <v>102476.56292855294</v>
      </c>
      <c r="S253" s="315">
        <v>113157.68882440604</v>
      </c>
      <c r="U253" s="7" t="s">
        <v>4827</v>
      </c>
    </row>
    <row r="254" spans="1:21" ht="16.5" thickBot="1">
      <c r="A254" s="1311" t="s">
        <v>4588</v>
      </c>
      <c r="B254" s="1315">
        <f t="shared" si="12"/>
        <v>90</v>
      </c>
      <c r="C254" s="1315" t="s">
        <v>3</v>
      </c>
      <c r="D254" s="1315">
        <f t="shared" si="13"/>
        <v>360</v>
      </c>
      <c r="E254" s="1315" t="s">
        <v>3</v>
      </c>
      <c r="F254" s="1313">
        <f t="shared" si="14"/>
        <v>2650</v>
      </c>
      <c r="G254" s="1315" t="s">
        <v>3</v>
      </c>
      <c r="H254" s="1312">
        <v>4</v>
      </c>
      <c r="I254" s="1314" t="s">
        <v>45</v>
      </c>
      <c r="J254" s="184">
        <v>90</v>
      </c>
      <c r="K254" s="75">
        <v>360</v>
      </c>
      <c r="L254" s="75">
        <v>2650</v>
      </c>
      <c r="M254" s="185">
        <v>41.752342720718715</v>
      </c>
      <c r="N254" s="87">
        <v>2119.1831999999995</v>
      </c>
      <c r="O254" s="120">
        <v>68290.421156728553</v>
      </c>
      <c r="P254" s="121">
        <v>79156.273129125097</v>
      </c>
      <c r="Q254" s="310">
        <v>36052.323069936159</v>
      </c>
      <c r="R254" s="314">
        <v>104342.74422666471</v>
      </c>
      <c r="S254" s="315">
        <v>115208.59619906126</v>
      </c>
      <c r="U254" s="7" t="s">
        <v>4828</v>
      </c>
    </row>
    <row r="255" spans="1:21" ht="16.5" thickBot="1">
      <c r="A255" s="1311" t="s">
        <v>4588</v>
      </c>
      <c r="B255" s="1315">
        <f t="shared" si="12"/>
        <v>90</v>
      </c>
      <c r="C255" s="1315" t="s">
        <v>3</v>
      </c>
      <c r="D255" s="1315">
        <f t="shared" si="13"/>
        <v>360</v>
      </c>
      <c r="E255" s="1315" t="s">
        <v>3</v>
      </c>
      <c r="F255" s="1313">
        <f t="shared" si="14"/>
        <v>2700</v>
      </c>
      <c r="G255" s="1315" t="s">
        <v>3</v>
      </c>
      <c r="H255" s="1312">
        <v>4</v>
      </c>
      <c r="I255" s="1314" t="s">
        <v>45</v>
      </c>
      <c r="J255" s="184">
        <v>90</v>
      </c>
      <c r="K255" s="75">
        <v>360</v>
      </c>
      <c r="L255" s="75">
        <v>2700</v>
      </c>
      <c r="M255" s="185">
        <v>42.49896141292642</v>
      </c>
      <c r="N255" s="87">
        <v>2165.2523999999999</v>
      </c>
      <c r="O255" s="120">
        <v>69372.423675947488</v>
      </c>
      <c r="P255" s="121">
        <v>80423.001584494108</v>
      </c>
      <c r="Q255" s="310">
        <v>36605.920211439086</v>
      </c>
      <c r="R255" s="314">
        <v>105978.34388738658</v>
      </c>
      <c r="S255" s="315">
        <v>117028.92179593319</v>
      </c>
      <c r="U255" s="7" t="s">
        <v>4829</v>
      </c>
    </row>
    <row r="256" spans="1:21" ht="16.5" thickBot="1">
      <c r="A256" s="1311" t="s">
        <v>4588</v>
      </c>
      <c r="B256" s="1315">
        <f t="shared" si="12"/>
        <v>90</v>
      </c>
      <c r="C256" s="1315" t="s">
        <v>3</v>
      </c>
      <c r="D256" s="1315">
        <f t="shared" si="13"/>
        <v>360</v>
      </c>
      <c r="E256" s="1315" t="s">
        <v>3</v>
      </c>
      <c r="F256" s="1313">
        <f t="shared" si="14"/>
        <v>2750</v>
      </c>
      <c r="G256" s="1315" t="s">
        <v>3</v>
      </c>
      <c r="H256" s="1312">
        <v>4</v>
      </c>
      <c r="I256" s="1314" t="s">
        <v>45</v>
      </c>
      <c r="J256" s="184">
        <v>90</v>
      </c>
      <c r="K256" s="75">
        <v>360</v>
      </c>
      <c r="L256" s="75">
        <v>2750</v>
      </c>
      <c r="M256" s="185">
        <v>43.24558010513411</v>
      </c>
      <c r="N256" s="87">
        <v>2211.3215999999998</v>
      </c>
      <c r="O256" s="120">
        <v>70454.426054773066</v>
      </c>
      <c r="P256" s="121">
        <v>81689.729899469748</v>
      </c>
      <c r="Q256" s="310">
        <v>37159.517352942006</v>
      </c>
      <c r="R256" s="314">
        <v>107613.94340771507</v>
      </c>
      <c r="S256" s="315">
        <v>118849.24725241176</v>
      </c>
      <c r="U256" s="7" t="s">
        <v>4830</v>
      </c>
    </row>
    <row r="257" spans="1:21" ht="16.5" thickBot="1">
      <c r="A257" s="1311" t="s">
        <v>4588</v>
      </c>
      <c r="B257" s="1315">
        <f t="shared" si="12"/>
        <v>90</v>
      </c>
      <c r="C257" s="1315" t="s">
        <v>3</v>
      </c>
      <c r="D257" s="1315">
        <f t="shared" si="13"/>
        <v>360</v>
      </c>
      <c r="E257" s="1315" t="s">
        <v>3</v>
      </c>
      <c r="F257" s="1313">
        <f t="shared" si="14"/>
        <v>2800</v>
      </c>
      <c r="G257" s="1315" t="s">
        <v>3</v>
      </c>
      <c r="H257" s="1312">
        <v>4</v>
      </c>
      <c r="I257" s="1314" t="s">
        <v>45</v>
      </c>
      <c r="J257" s="184">
        <v>90</v>
      </c>
      <c r="K257" s="75">
        <v>360</v>
      </c>
      <c r="L257" s="75">
        <v>2800</v>
      </c>
      <c r="M257" s="185">
        <v>43.992198797341821</v>
      </c>
      <c r="N257" s="87">
        <v>2257.3908000000001</v>
      </c>
      <c r="O257" s="120">
        <v>71536.428433598645</v>
      </c>
      <c r="P257" s="121">
        <v>82956.45835483876</v>
      </c>
      <c r="Q257" s="310">
        <v>37943.696272228204</v>
      </c>
      <c r="R257" s="314">
        <v>109480.12470582685</v>
      </c>
      <c r="S257" s="315">
        <v>120900.15462706696</v>
      </c>
      <c r="U257" s="7" t="s">
        <v>4831</v>
      </c>
    </row>
    <row r="258" spans="1:21" ht="16.5" thickBot="1">
      <c r="A258" s="1311" t="s">
        <v>4588</v>
      </c>
      <c r="B258" s="1315">
        <f t="shared" si="12"/>
        <v>90</v>
      </c>
      <c r="C258" s="1315" t="s">
        <v>3</v>
      </c>
      <c r="D258" s="1315">
        <f t="shared" si="13"/>
        <v>360</v>
      </c>
      <c r="E258" s="1315" t="s">
        <v>3</v>
      </c>
      <c r="F258" s="1313">
        <f t="shared" si="14"/>
        <v>2850</v>
      </c>
      <c r="G258" s="1315" t="s">
        <v>3</v>
      </c>
      <c r="H258" s="1312">
        <v>4</v>
      </c>
      <c r="I258" s="1314" t="s">
        <v>45</v>
      </c>
      <c r="J258" s="184">
        <v>90</v>
      </c>
      <c r="K258" s="75">
        <v>360</v>
      </c>
      <c r="L258" s="75">
        <v>2850</v>
      </c>
      <c r="M258" s="185">
        <v>44.738817489549504</v>
      </c>
      <c r="N258" s="87">
        <v>2303.4599999999996</v>
      </c>
      <c r="O258" s="120">
        <v>72618.430812424209</v>
      </c>
      <c r="P258" s="121">
        <v>84223.186810207786</v>
      </c>
      <c r="Q258" s="310">
        <v>38497.293413731131</v>
      </c>
      <c r="R258" s="314">
        <v>111115.72422615535</v>
      </c>
      <c r="S258" s="315">
        <v>122720.48022393891</v>
      </c>
      <c r="U258" s="7" t="s">
        <v>4832</v>
      </c>
    </row>
    <row r="259" spans="1:21" ht="16.5" thickBot="1">
      <c r="A259" s="1311" t="s">
        <v>4588</v>
      </c>
      <c r="B259" s="1315">
        <f t="shared" si="12"/>
        <v>90</v>
      </c>
      <c r="C259" s="1315" t="s">
        <v>3</v>
      </c>
      <c r="D259" s="1315">
        <f t="shared" si="13"/>
        <v>360</v>
      </c>
      <c r="E259" s="1315" t="s">
        <v>3</v>
      </c>
      <c r="F259" s="1313">
        <f t="shared" si="14"/>
        <v>2900</v>
      </c>
      <c r="G259" s="1315" t="s">
        <v>3</v>
      </c>
      <c r="H259" s="1312">
        <v>4</v>
      </c>
      <c r="I259" s="1314" t="s">
        <v>45</v>
      </c>
      <c r="J259" s="184">
        <v>90</v>
      </c>
      <c r="K259" s="75">
        <v>360</v>
      </c>
      <c r="L259" s="75">
        <v>2900</v>
      </c>
      <c r="M259" s="185">
        <v>45.485436181757208</v>
      </c>
      <c r="N259" s="87">
        <v>2349.5291999999995</v>
      </c>
      <c r="O259" s="120">
        <v>73700.433191249787</v>
      </c>
      <c r="P259" s="121">
        <v>85489.915265576798</v>
      </c>
      <c r="Q259" s="310">
        <v>39281.472333017329</v>
      </c>
      <c r="R259" s="314">
        <v>112981.90552426712</v>
      </c>
      <c r="S259" s="315">
        <v>124771.38759859413</v>
      </c>
      <c r="U259" s="7" t="s">
        <v>4833</v>
      </c>
    </row>
    <row r="260" spans="1:21" ht="16.5" thickBot="1">
      <c r="A260" s="1311" t="s">
        <v>4588</v>
      </c>
      <c r="B260" s="1315">
        <f t="shared" si="12"/>
        <v>90</v>
      </c>
      <c r="C260" s="1315" t="s">
        <v>3</v>
      </c>
      <c r="D260" s="1315">
        <f t="shared" si="13"/>
        <v>360</v>
      </c>
      <c r="E260" s="1315" t="s">
        <v>3</v>
      </c>
      <c r="F260" s="1313">
        <f t="shared" si="14"/>
        <v>2950</v>
      </c>
      <c r="G260" s="1315" t="s">
        <v>3</v>
      </c>
      <c r="H260" s="1312">
        <v>4</v>
      </c>
      <c r="I260" s="1314" t="s">
        <v>45</v>
      </c>
      <c r="J260" s="184">
        <v>90</v>
      </c>
      <c r="K260" s="75">
        <v>360</v>
      </c>
      <c r="L260" s="75">
        <v>2950</v>
      </c>
      <c r="M260" s="185">
        <v>46.232054873964913</v>
      </c>
      <c r="N260" s="87">
        <v>2395.5983999999999</v>
      </c>
      <c r="O260" s="120">
        <v>74782.435570075366</v>
      </c>
      <c r="P260" s="121">
        <v>86756.643720945809</v>
      </c>
      <c r="Q260" s="310">
        <v>39835.069474520256</v>
      </c>
      <c r="R260" s="314">
        <v>114617.50504459563</v>
      </c>
      <c r="S260" s="315">
        <v>126591.71319546606</v>
      </c>
      <c r="U260" s="7" t="s">
        <v>4834</v>
      </c>
    </row>
    <row r="261" spans="1:21" ht="16.5" thickBot="1">
      <c r="A261" s="1316" t="s">
        <v>4588</v>
      </c>
      <c r="B261" s="1317">
        <f t="shared" si="12"/>
        <v>90</v>
      </c>
      <c r="C261" s="1317" t="s">
        <v>3</v>
      </c>
      <c r="D261" s="1317">
        <f t="shared" si="13"/>
        <v>360</v>
      </c>
      <c r="E261" s="1317" t="s">
        <v>3</v>
      </c>
      <c r="F261" s="1318">
        <f t="shared" si="14"/>
        <v>3000</v>
      </c>
      <c r="G261" s="1317" t="s">
        <v>3</v>
      </c>
      <c r="H261" s="1319">
        <v>4</v>
      </c>
      <c r="I261" s="1320" t="s">
        <v>45</v>
      </c>
      <c r="J261" s="321">
        <v>90</v>
      </c>
      <c r="K261" s="322">
        <v>360</v>
      </c>
      <c r="L261" s="322">
        <v>3000</v>
      </c>
      <c r="M261" s="332">
        <v>47.259603166172603</v>
      </c>
      <c r="N261" s="306">
        <v>2441.6675999999998</v>
      </c>
      <c r="O261" s="308">
        <v>76128.062989268947</v>
      </c>
      <c r="P261" s="336">
        <v>88286.997076289466</v>
      </c>
      <c r="Q261" s="323">
        <v>40619.248393806454</v>
      </c>
      <c r="R261" s="1321">
        <v>116747.3113830754</v>
      </c>
      <c r="S261" s="325">
        <v>128906.24547009592</v>
      </c>
      <c r="U261" s="7" t="s">
        <v>4835</v>
      </c>
    </row>
    <row r="262" spans="1:21" ht="19.5" thickBot="1">
      <c r="A262" s="2580" t="s">
        <v>67</v>
      </c>
      <c r="B262" s="2581"/>
      <c r="C262" s="2581"/>
      <c r="D262" s="2581"/>
      <c r="E262" s="2581"/>
      <c r="F262" s="2581"/>
      <c r="G262" s="2581"/>
      <c r="H262" s="2581"/>
      <c r="I262" s="2581"/>
      <c r="J262" s="2581"/>
      <c r="K262" s="2581"/>
      <c r="L262" s="2581"/>
      <c r="M262" s="2581"/>
      <c r="N262" s="2581"/>
      <c r="O262" s="2581"/>
      <c r="P262" s="2581"/>
      <c r="Q262" s="2581"/>
      <c r="R262" s="2581"/>
      <c r="S262" s="2582"/>
      <c r="U262" s="7"/>
    </row>
    <row r="263" spans="1:21" ht="16.5" thickBot="1">
      <c r="A263" s="2583" t="s">
        <v>4589</v>
      </c>
      <c r="B263" s="2584"/>
      <c r="C263" s="2584"/>
      <c r="D263" s="2584"/>
      <c r="E263" s="2584"/>
      <c r="F263" s="2584"/>
      <c r="G263" s="2584"/>
      <c r="H263" s="2584"/>
      <c r="I263" s="2584"/>
      <c r="J263" s="2584"/>
      <c r="K263" s="2584"/>
      <c r="L263" s="2584"/>
      <c r="M263" s="2584"/>
      <c r="N263" s="2584"/>
      <c r="O263" s="2584"/>
      <c r="P263" s="2584"/>
      <c r="Q263" s="2584"/>
      <c r="R263" s="2584"/>
      <c r="S263" s="2585"/>
      <c r="U263" s="7"/>
    </row>
    <row r="264" spans="1:21" ht="16.5" thickBot="1">
      <c r="A264" s="1311" t="s">
        <v>4588</v>
      </c>
      <c r="B264" s="1312">
        <f>J264</f>
        <v>90</v>
      </c>
      <c r="C264" s="1312" t="s">
        <v>3</v>
      </c>
      <c r="D264" s="1312">
        <f>K264</f>
        <v>400</v>
      </c>
      <c r="E264" s="1312" t="s">
        <v>3</v>
      </c>
      <c r="F264" s="1313">
        <f>L264</f>
        <v>600</v>
      </c>
      <c r="G264" s="1312" t="s">
        <v>3</v>
      </c>
      <c r="H264" s="1312">
        <v>4</v>
      </c>
      <c r="I264" s="1314" t="s">
        <v>45</v>
      </c>
      <c r="J264" s="326">
        <v>90</v>
      </c>
      <c r="K264" s="327">
        <v>400</v>
      </c>
      <c r="L264" s="327">
        <v>600</v>
      </c>
      <c r="M264" s="334">
        <v>10.902968298939962</v>
      </c>
      <c r="N264" s="302">
        <v>243.89956105199997</v>
      </c>
      <c r="O264" s="304">
        <v>21723.376933676478</v>
      </c>
      <c r="P264" s="331">
        <v>25979.444257052815</v>
      </c>
      <c r="Q264" s="328">
        <v>9871.7007401553401</v>
      </c>
      <c r="R264" s="1322">
        <v>31595.077673831816</v>
      </c>
      <c r="S264" s="330">
        <v>35851.144997208154</v>
      </c>
      <c r="U264" s="7" t="s">
        <v>4836</v>
      </c>
    </row>
    <row r="265" spans="1:21" ht="16.5" thickBot="1">
      <c r="A265" s="1311" t="s">
        <v>4588</v>
      </c>
      <c r="B265" s="1315">
        <f t="shared" ref="B265:B312" si="15">J265</f>
        <v>90</v>
      </c>
      <c r="C265" s="1315" t="s">
        <v>3</v>
      </c>
      <c r="D265" s="1315">
        <f t="shared" ref="D265:D312" si="16">K265</f>
        <v>400</v>
      </c>
      <c r="E265" s="1315" t="s">
        <v>3</v>
      </c>
      <c r="F265" s="1313">
        <f t="shared" ref="F265:F312" si="17">L265</f>
        <v>650</v>
      </c>
      <c r="G265" s="1315" t="s">
        <v>3</v>
      </c>
      <c r="H265" s="1312">
        <v>4</v>
      </c>
      <c r="I265" s="1314" t="s">
        <v>45</v>
      </c>
      <c r="J265" s="184">
        <v>90</v>
      </c>
      <c r="K265" s="75">
        <v>400</v>
      </c>
      <c r="L265" s="75">
        <v>650</v>
      </c>
      <c r="M265" s="185">
        <v>11.689495721042398</v>
      </c>
      <c r="N265" s="87">
        <v>292.67947326239994</v>
      </c>
      <c r="O265" s="120">
        <v>22824.967977191591</v>
      </c>
      <c r="P265" s="121">
        <v>27279.444816187432</v>
      </c>
      <c r="Q265" s="310">
        <v>10474.092577548676</v>
      </c>
      <c r="R265" s="314">
        <v>33299.060554740267</v>
      </c>
      <c r="S265" s="315">
        <v>37753.537393736107</v>
      </c>
      <c r="U265" s="7" t="s">
        <v>4837</v>
      </c>
    </row>
    <row r="266" spans="1:21" ht="16.5" thickBot="1">
      <c r="A266" s="1311" t="s">
        <v>4588</v>
      </c>
      <c r="B266" s="1315">
        <f t="shared" si="15"/>
        <v>90</v>
      </c>
      <c r="C266" s="1315" t="s">
        <v>3</v>
      </c>
      <c r="D266" s="1315">
        <f t="shared" si="16"/>
        <v>400</v>
      </c>
      <c r="E266" s="1315" t="s">
        <v>3</v>
      </c>
      <c r="F266" s="1313">
        <f t="shared" si="17"/>
        <v>700</v>
      </c>
      <c r="G266" s="1315" t="s">
        <v>3</v>
      </c>
      <c r="H266" s="1312">
        <v>4</v>
      </c>
      <c r="I266" s="1314" t="s">
        <v>45</v>
      </c>
      <c r="J266" s="184">
        <v>90</v>
      </c>
      <c r="K266" s="75">
        <v>400</v>
      </c>
      <c r="L266" s="75">
        <v>700</v>
      </c>
      <c r="M266" s="185">
        <v>12.476023143144829</v>
      </c>
      <c r="N266" s="87">
        <v>341.45938547279991</v>
      </c>
      <c r="O266" s="120">
        <v>23926.559020706703</v>
      </c>
      <c r="P266" s="121">
        <v>28579.445375322044</v>
      </c>
      <c r="Q266" s="310">
        <v>11307.066052331927</v>
      </c>
      <c r="R266" s="314">
        <v>35233.625073038631</v>
      </c>
      <c r="S266" s="315">
        <v>39886.511427653968</v>
      </c>
      <c r="U266" s="7" t="s">
        <v>4838</v>
      </c>
    </row>
    <row r="267" spans="1:21" ht="16.5" thickBot="1">
      <c r="A267" s="1311" t="s">
        <v>4588</v>
      </c>
      <c r="B267" s="1315">
        <f t="shared" si="15"/>
        <v>90</v>
      </c>
      <c r="C267" s="1315" t="s">
        <v>3</v>
      </c>
      <c r="D267" s="1315">
        <f t="shared" si="16"/>
        <v>400</v>
      </c>
      <c r="E267" s="1315" t="s">
        <v>3</v>
      </c>
      <c r="F267" s="1313">
        <f t="shared" si="17"/>
        <v>750</v>
      </c>
      <c r="G267" s="1315" t="s">
        <v>3</v>
      </c>
      <c r="H267" s="1312">
        <v>4</v>
      </c>
      <c r="I267" s="1314" t="s">
        <v>45</v>
      </c>
      <c r="J267" s="184">
        <v>90</v>
      </c>
      <c r="K267" s="75">
        <v>400</v>
      </c>
      <c r="L267" s="75">
        <v>750</v>
      </c>
      <c r="M267" s="185">
        <v>13.262550565247263</v>
      </c>
      <c r="N267" s="87">
        <v>390.23929768319999</v>
      </c>
      <c r="O267" s="120">
        <v>25028.15020461518</v>
      </c>
      <c r="P267" s="121">
        <v>29879.445934456653</v>
      </c>
      <c r="Q267" s="310">
        <v>11909.457889725263</v>
      </c>
      <c r="R267" s="314">
        <v>36937.608094340445</v>
      </c>
      <c r="S267" s="315">
        <v>41788.903824181914</v>
      </c>
      <c r="U267" s="7" t="s">
        <v>4839</v>
      </c>
    </row>
    <row r="268" spans="1:21" ht="16.5" thickBot="1">
      <c r="A268" s="1311" t="s">
        <v>4588</v>
      </c>
      <c r="B268" s="1315">
        <f t="shared" si="15"/>
        <v>90</v>
      </c>
      <c r="C268" s="1315" t="s">
        <v>3</v>
      </c>
      <c r="D268" s="1315">
        <f t="shared" si="16"/>
        <v>400</v>
      </c>
      <c r="E268" s="1315" t="s">
        <v>3</v>
      </c>
      <c r="F268" s="1313">
        <f t="shared" si="17"/>
        <v>800</v>
      </c>
      <c r="G268" s="1315" t="s">
        <v>3</v>
      </c>
      <c r="H268" s="1312">
        <v>4</v>
      </c>
      <c r="I268" s="1314" t="s">
        <v>45</v>
      </c>
      <c r="J268" s="184">
        <v>90</v>
      </c>
      <c r="K268" s="75">
        <v>400</v>
      </c>
      <c r="L268" s="75">
        <v>800</v>
      </c>
      <c r="M268" s="185">
        <v>14.049077987349698</v>
      </c>
      <c r="N268" s="87">
        <v>439.01920989359996</v>
      </c>
      <c r="O268" s="120">
        <v>26494.322734291953</v>
      </c>
      <c r="P268" s="121">
        <v>31193.485829841269</v>
      </c>
      <c r="Q268" s="310">
        <v>12511.84958672524</v>
      </c>
      <c r="R268" s="314">
        <v>39006.172321017191</v>
      </c>
      <c r="S268" s="315">
        <v>43705.335416566508</v>
      </c>
      <c r="U268" s="7" t="s">
        <v>4840</v>
      </c>
    </row>
    <row r="269" spans="1:21" ht="16.5" thickBot="1">
      <c r="A269" s="1311" t="s">
        <v>4588</v>
      </c>
      <c r="B269" s="1315">
        <f t="shared" si="15"/>
        <v>90</v>
      </c>
      <c r="C269" s="1315" t="s">
        <v>3</v>
      </c>
      <c r="D269" s="1315">
        <f t="shared" si="16"/>
        <v>400</v>
      </c>
      <c r="E269" s="1315" t="s">
        <v>3</v>
      </c>
      <c r="F269" s="1313">
        <f t="shared" si="17"/>
        <v>850</v>
      </c>
      <c r="G269" s="1315" t="s">
        <v>3</v>
      </c>
      <c r="H269" s="1312">
        <v>4</v>
      </c>
      <c r="I269" s="1314" t="s">
        <v>45</v>
      </c>
      <c r="J269" s="184">
        <v>90</v>
      </c>
      <c r="K269" s="75">
        <v>400</v>
      </c>
      <c r="L269" s="75">
        <v>850</v>
      </c>
      <c r="M269" s="185">
        <v>14.835605409452132</v>
      </c>
      <c r="N269" s="87">
        <v>487.79912210399993</v>
      </c>
      <c r="O269" s="120">
        <v>27595.913777807069</v>
      </c>
      <c r="P269" s="121">
        <v>32493.486388975882</v>
      </c>
      <c r="Q269" s="310">
        <v>13344.823201901852</v>
      </c>
      <c r="R269" s="314">
        <v>40940.73697970892</v>
      </c>
      <c r="S269" s="315">
        <v>45838.309590877732</v>
      </c>
      <c r="U269" s="7" t="s">
        <v>4841</v>
      </c>
    </row>
    <row r="270" spans="1:21" ht="16.5" thickBot="1">
      <c r="A270" s="1311" t="s">
        <v>4588</v>
      </c>
      <c r="B270" s="1315">
        <f t="shared" si="15"/>
        <v>90</v>
      </c>
      <c r="C270" s="1315" t="s">
        <v>3</v>
      </c>
      <c r="D270" s="1315">
        <f t="shared" si="16"/>
        <v>400</v>
      </c>
      <c r="E270" s="1315" t="s">
        <v>3</v>
      </c>
      <c r="F270" s="1313">
        <f t="shared" si="17"/>
        <v>900</v>
      </c>
      <c r="G270" s="1315" t="s">
        <v>3</v>
      </c>
      <c r="H270" s="1312">
        <v>4</v>
      </c>
      <c r="I270" s="1314" t="s">
        <v>45</v>
      </c>
      <c r="J270" s="184">
        <v>90</v>
      </c>
      <c r="K270" s="75">
        <v>400</v>
      </c>
      <c r="L270" s="75">
        <v>900</v>
      </c>
      <c r="M270" s="185">
        <v>15.622132831554566</v>
      </c>
      <c r="N270" s="87">
        <v>536.57903431440002</v>
      </c>
      <c r="O270" s="120">
        <v>28697.504961715546</v>
      </c>
      <c r="P270" s="121">
        <v>33793.486948110498</v>
      </c>
      <c r="Q270" s="310">
        <v>13947.21489890183</v>
      </c>
      <c r="R270" s="314">
        <v>42644.719860617377</v>
      </c>
      <c r="S270" s="315">
        <v>47740.701847012329</v>
      </c>
      <c r="U270" s="7" t="s">
        <v>4842</v>
      </c>
    </row>
    <row r="271" spans="1:21" ht="16.5" thickBot="1">
      <c r="A271" s="1311" t="s">
        <v>4588</v>
      </c>
      <c r="B271" s="1315">
        <f t="shared" si="15"/>
        <v>90</v>
      </c>
      <c r="C271" s="1315" t="s">
        <v>3</v>
      </c>
      <c r="D271" s="1315">
        <f t="shared" si="16"/>
        <v>400</v>
      </c>
      <c r="E271" s="1315" t="s">
        <v>3</v>
      </c>
      <c r="F271" s="1313">
        <f t="shared" si="17"/>
        <v>950</v>
      </c>
      <c r="G271" s="1315" t="s">
        <v>3</v>
      </c>
      <c r="H271" s="1312">
        <v>4</v>
      </c>
      <c r="I271" s="1314" t="s">
        <v>45</v>
      </c>
      <c r="J271" s="184">
        <v>90</v>
      </c>
      <c r="K271" s="75">
        <v>400</v>
      </c>
      <c r="L271" s="75">
        <v>950</v>
      </c>
      <c r="M271" s="185">
        <v>16.408660253657001</v>
      </c>
      <c r="N271" s="87">
        <v>585.35894652479988</v>
      </c>
      <c r="O271" s="120">
        <v>29799.096005230655</v>
      </c>
      <c r="P271" s="121">
        <v>35093.48750724511</v>
      </c>
      <c r="Q271" s="310">
        <v>14780.188514078442</v>
      </c>
      <c r="R271" s="314">
        <v>44579.284519309098</v>
      </c>
      <c r="S271" s="315">
        <v>49873.676021323554</v>
      </c>
      <c r="U271" s="7" t="s">
        <v>4843</v>
      </c>
    </row>
    <row r="272" spans="1:21" ht="16.5" thickBot="1">
      <c r="A272" s="1311" t="s">
        <v>4588</v>
      </c>
      <c r="B272" s="1315">
        <f t="shared" si="15"/>
        <v>90</v>
      </c>
      <c r="C272" s="1315" t="s">
        <v>3</v>
      </c>
      <c r="D272" s="1315">
        <f t="shared" si="16"/>
        <v>400</v>
      </c>
      <c r="E272" s="1315" t="s">
        <v>3</v>
      </c>
      <c r="F272" s="1313">
        <f t="shared" si="17"/>
        <v>1000</v>
      </c>
      <c r="G272" s="1315" t="s">
        <v>3</v>
      </c>
      <c r="H272" s="1312">
        <v>4</v>
      </c>
      <c r="I272" s="1314" t="s">
        <v>45</v>
      </c>
      <c r="J272" s="184">
        <v>90</v>
      </c>
      <c r="K272" s="75">
        <v>400</v>
      </c>
      <c r="L272" s="75">
        <v>1000</v>
      </c>
      <c r="M272" s="185">
        <v>17.351259675759437</v>
      </c>
      <c r="N272" s="87">
        <v>634.13885873519996</v>
      </c>
      <c r="O272" s="120">
        <v>30971.894702599129</v>
      </c>
      <c r="P272" s="121">
        <v>36464.695579839718</v>
      </c>
      <c r="Q272" s="310">
        <v>15382.580351471779</v>
      </c>
      <c r="R272" s="314">
        <v>46354.475054070906</v>
      </c>
      <c r="S272" s="315">
        <v>51847.275931311495</v>
      </c>
      <c r="U272" s="7" t="s">
        <v>4844</v>
      </c>
    </row>
    <row r="273" spans="1:21" ht="16.5" thickBot="1">
      <c r="A273" s="1311" t="s">
        <v>4588</v>
      </c>
      <c r="B273" s="1315">
        <f t="shared" si="15"/>
        <v>90</v>
      </c>
      <c r="C273" s="1315" t="s">
        <v>3</v>
      </c>
      <c r="D273" s="1315">
        <f t="shared" si="16"/>
        <v>400</v>
      </c>
      <c r="E273" s="1315" t="s">
        <v>3</v>
      </c>
      <c r="F273" s="1313">
        <f t="shared" si="17"/>
        <v>1050</v>
      </c>
      <c r="G273" s="1315" t="s">
        <v>3</v>
      </c>
      <c r="H273" s="1312">
        <v>4</v>
      </c>
      <c r="I273" s="1314" t="s">
        <v>45</v>
      </c>
      <c r="J273" s="184">
        <v>90</v>
      </c>
      <c r="K273" s="75">
        <v>400</v>
      </c>
      <c r="L273" s="75">
        <v>1050</v>
      </c>
      <c r="M273" s="185">
        <v>18.137787097861871</v>
      </c>
      <c r="N273" s="87">
        <v>682.91877094559982</v>
      </c>
      <c r="O273" s="120">
        <v>32073.485746114246</v>
      </c>
      <c r="P273" s="121">
        <v>37764.696138974192</v>
      </c>
      <c r="Q273" s="310">
        <v>16215.553826255029</v>
      </c>
      <c r="R273" s="314">
        <v>48289.039572369278</v>
      </c>
      <c r="S273" s="315">
        <v>53980.249965229217</v>
      </c>
      <c r="U273" s="7" t="s">
        <v>4845</v>
      </c>
    </row>
    <row r="274" spans="1:21" ht="16.5" thickBot="1">
      <c r="A274" s="1311" t="s">
        <v>4588</v>
      </c>
      <c r="B274" s="1312">
        <f t="shared" si="15"/>
        <v>90</v>
      </c>
      <c r="C274" s="1312" t="s">
        <v>3</v>
      </c>
      <c r="D274" s="1312">
        <f t="shared" si="16"/>
        <v>400</v>
      </c>
      <c r="E274" s="1312" t="s">
        <v>3</v>
      </c>
      <c r="F274" s="1313">
        <f t="shared" si="17"/>
        <v>1100</v>
      </c>
      <c r="G274" s="1312" t="s">
        <v>3</v>
      </c>
      <c r="H274" s="1312">
        <v>4</v>
      </c>
      <c r="I274" s="1314" t="s">
        <v>45</v>
      </c>
      <c r="J274" s="184">
        <v>90</v>
      </c>
      <c r="K274" s="75">
        <v>400</v>
      </c>
      <c r="L274" s="75">
        <v>1100</v>
      </c>
      <c r="M274" s="185">
        <v>18.924314519964302</v>
      </c>
      <c r="N274" s="87">
        <v>731.6986831559999</v>
      </c>
      <c r="O274" s="120">
        <v>33175.076930022718</v>
      </c>
      <c r="P274" s="121">
        <v>39064.69669810895</v>
      </c>
      <c r="Q274" s="310">
        <v>16817.945663648366</v>
      </c>
      <c r="R274" s="314">
        <v>49993.022593671085</v>
      </c>
      <c r="S274" s="315">
        <v>55882.642361757316</v>
      </c>
      <c r="U274" s="7" t="s">
        <v>4846</v>
      </c>
    </row>
    <row r="275" spans="1:21" ht="16.5" thickBot="1">
      <c r="A275" s="1311" t="s">
        <v>4588</v>
      </c>
      <c r="B275" s="1315">
        <f t="shared" si="15"/>
        <v>90</v>
      </c>
      <c r="C275" s="1315" t="s">
        <v>3</v>
      </c>
      <c r="D275" s="1315">
        <f t="shared" si="16"/>
        <v>400</v>
      </c>
      <c r="E275" s="1315" t="s">
        <v>3</v>
      </c>
      <c r="F275" s="1313">
        <f t="shared" si="17"/>
        <v>1150</v>
      </c>
      <c r="G275" s="1315" t="s">
        <v>3</v>
      </c>
      <c r="H275" s="1312">
        <v>4</v>
      </c>
      <c r="I275" s="1314" t="s">
        <v>45</v>
      </c>
      <c r="J275" s="184">
        <v>90</v>
      </c>
      <c r="K275" s="75">
        <v>400</v>
      </c>
      <c r="L275" s="75">
        <v>1150</v>
      </c>
      <c r="M275" s="185">
        <v>19.710841942066736</v>
      </c>
      <c r="N275" s="87">
        <v>780.47859536639999</v>
      </c>
      <c r="O275" s="120">
        <v>34276.667973537835</v>
      </c>
      <c r="P275" s="121">
        <v>40364.697257243555</v>
      </c>
      <c r="Q275" s="310">
        <v>17420.33736064834</v>
      </c>
      <c r="R275" s="314">
        <v>51697.005334186179</v>
      </c>
      <c r="S275" s="315">
        <v>57785.034617891899</v>
      </c>
      <c r="U275" s="7" t="s">
        <v>4847</v>
      </c>
    </row>
    <row r="276" spans="1:21" ht="16.5" thickBot="1">
      <c r="A276" s="1311" t="s">
        <v>4588</v>
      </c>
      <c r="B276" s="1315">
        <f t="shared" si="15"/>
        <v>90</v>
      </c>
      <c r="C276" s="1315" t="s">
        <v>3</v>
      </c>
      <c r="D276" s="1315">
        <f t="shared" si="16"/>
        <v>400</v>
      </c>
      <c r="E276" s="1315" t="s">
        <v>3</v>
      </c>
      <c r="F276" s="1313">
        <f t="shared" si="17"/>
        <v>1200</v>
      </c>
      <c r="G276" s="1315" t="s">
        <v>3</v>
      </c>
      <c r="H276" s="1312">
        <v>4</v>
      </c>
      <c r="I276" s="1314" t="s">
        <v>45</v>
      </c>
      <c r="J276" s="184">
        <v>90</v>
      </c>
      <c r="K276" s="75">
        <v>400</v>
      </c>
      <c r="L276" s="75">
        <v>1200</v>
      </c>
      <c r="M276" s="185">
        <v>20.497369364169174</v>
      </c>
      <c r="N276" s="87">
        <v>829.25850757679984</v>
      </c>
      <c r="O276" s="120">
        <v>35378.259157446308</v>
      </c>
      <c r="P276" s="121">
        <v>41664.697816378175</v>
      </c>
      <c r="Q276" s="310">
        <v>18253.310975824952</v>
      </c>
      <c r="R276" s="314">
        <v>53631.570133271263</v>
      </c>
      <c r="S276" s="315">
        <v>59918.008792203123</v>
      </c>
      <c r="U276" s="7" t="s">
        <v>4848</v>
      </c>
    </row>
    <row r="277" spans="1:21" ht="16.5" thickBot="1">
      <c r="A277" s="1311" t="s">
        <v>4588</v>
      </c>
      <c r="B277" s="1315">
        <f t="shared" si="15"/>
        <v>90</v>
      </c>
      <c r="C277" s="1315" t="s">
        <v>3</v>
      </c>
      <c r="D277" s="1315">
        <f t="shared" si="16"/>
        <v>400</v>
      </c>
      <c r="E277" s="1315" t="s">
        <v>3</v>
      </c>
      <c r="F277" s="1313">
        <f t="shared" si="17"/>
        <v>1250</v>
      </c>
      <c r="G277" s="1315" t="s">
        <v>3</v>
      </c>
      <c r="H277" s="1312">
        <v>4</v>
      </c>
      <c r="I277" s="1314" t="s">
        <v>45</v>
      </c>
      <c r="J277" s="184">
        <v>90</v>
      </c>
      <c r="K277" s="75">
        <v>400</v>
      </c>
      <c r="L277" s="75">
        <v>1250</v>
      </c>
      <c r="M277" s="185">
        <v>21.283896786271612</v>
      </c>
      <c r="N277" s="87">
        <v>878.03841978719993</v>
      </c>
      <c r="O277" s="120">
        <v>36479.850200961417</v>
      </c>
      <c r="P277" s="121">
        <v>42964.698375512788</v>
      </c>
      <c r="Q277" s="310">
        <v>18855.702672824929</v>
      </c>
      <c r="R277" s="314">
        <v>55335.55287378635</v>
      </c>
      <c r="S277" s="315">
        <v>61820.401048337721</v>
      </c>
      <c r="U277" s="7" t="s">
        <v>4849</v>
      </c>
    </row>
    <row r="278" spans="1:21" ht="16.5" thickBot="1">
      <c r="A278" s="1311" t="s">
        <v>4588</v>
      </c>
      <c r="B278" s="1315">
        <f t="shared" si="15"/>
        <v>90</v>
      </c>
      <c r="C278" s="1315" t="s">
        <v>3</v>
      </c>
      <c r="D278" s="1315">
        <f t="shared" si="16"/>
        <v>400</v>
      </c>
      <c r="E278" s="1315" t="s">
        <v>3</v>
      </c>
      <c r="F278" s="1313">
        <f t="shared" si="17"/>
        <v>1300</v>
      </c>
      <c r="G278" s="1315" t="s">
        <v>3</v>
      </c>
      <c r="H278" s="1312">
        <v>4</v>
      </c>
      <c r="I278" s="1314" t="s">
        <v>45</v>
      </c>
      <c r="J278" s="184">
        <v>90</v>
      </c>
      <c r="K278" s="75">
        <v>400</v>
      </c>
      <c r="L278" s="75">
        <v>1300</v>
      </c>
      <c r="M278" s="185">
        <v>22.070424208374043</v>
      </c>
      <c r="N278" s="87">
        <v>926.81833199759978</v>
      </c>
      <c r="O278" s="120">
        <v>37581.441384869897</v>
      </c>
      <c r="P278" s="121">
        <v>44264.698934647393</v>
      </c>
      <c r="Q278" s="310">
        <v>19688.676288001541</v>
      </c>
      <c r="R278" s="314">
        <v>57270.117672871434</v>
      </c>
      <c r="S278" s="315">
        <v>63953.375222648931</v>
      </c>
      <c r="U278" s="7" t="s">
        <v>4850</v>
      </c>
    </row>
    <row r="279" spans="1:21" ht="16.5" thickBot="1">
      <c r="A279" s="1311" t="s">
        <v>4588</v>
      </c>
      <c r="B279" s="1315">
        <f t="shared" si="15"/>
        <v>90</v>
      </c>
      <c r="C279" s="1315" t="s">
        <v>3</v>
      </c>
      <c r="D279" s="1315">
        <f t="shared" si="16"/>
        <v>400</v>
      </c>
      <c r="E279" s="1315" t="s">
        <v>3</v>
      </c>
      <c r="F279" s="1313">
        <f t="shared" si="17"/>
        <v>1350</v>
      </c>
      <c r="G279" s="1315" t="s">
        <v>3</v>
      </c>
      <c r="H279" s="1312">
        <v>4</v>
      </c>
      <c r="I279" s="1314" t="s">
        <v>45</v>
      </c>
      <c r="J279" s="184">
        <v>90</v>
      </c>
      <c r="K279" s="75">
        <v>400</v>
      </c>
      <c r="L279" s="75">
        <v>1350</v>
      </c>
      <c r="M279" s="185">
        <v>22.856951630476477</v>
      </c>
      <c r="N279" s="87">
        <v>975.59824420799987</v>
      </c>
      <c r="O279" s="120">
        <v>38683.032428385006</v>
      </c>
      <c r="P279" s="121">
        <v>45564.699493782013</v>
      </c>
      <c r="Q279" s="310">
        <v>20291.067985001515</v>
      </c>
      <c r="R279" s="314">
        <v>58974.100413386521</v>
      </c>
      <c r="S279" s="315">
        <v>65855.767478783528</v>
      </c>
      <c r="U279" s="7" t="s">
        <v>4851</v>
      </c>
    </row>
    <row r="280" spans="1:21" ht="16.5" thickBot="1">
      <c r="A280" s="1311" t="s">
        <v>4588</v>
      </c>
      <c r="B280" s="1315">
        <f t="shared" si="15"/>
        <v>90</v>
      </c>
      <c r="C280" s="1315" t="s">
        <v>3</v>
      </c>
      <c r="D280" s="1315">
        <f t="shared" si="16"/>
        <v>400</v>
      </c>
      <c r="E280" s="1315" t="s">
        <v>3</v>
      </c>
      <c r="F280" s="1313">
        <f t="shared" si="17"/>
        <v>1400</v>
      </c>
      <c r="G280" s="1315" t="s">
        <v>3</v>
      </c>
      <c r="H280" s="1312">
        <v>4</v>
      </c>
      <c r="I280" s="1314" t="s">
        <v>45</v>
      </c>
      <c r="J280" s="184">
        <v>90</v>
      </c>
      <c r="K280" s="75">
        <v>400</v>
      </c>
      <c r="L280" s="75">
        <v>1400</v>
      </c>
      <c r="M280" s="185">
        <v>23.643479052578915</v>
      </c>
      <c r="N280" s="87">
        <v>1024.3781564183998</v>
      </c>
      <c r="O280" s="120">
        <v>39784.623612293479</v>
      </c>
      <c r="P280" s="121">
        <v>46864.699912523261</v>
      </c>
      <c r="Q280" s="310">
        <v>21124.04160017813</v>
      </c>
      <c r="R280" s="314">
        <v>60908.665212471606</v>
      </c>
      <c r="S280" s="315">
        <v>67988.741512701396</v>
      </c>
      <c r="U280" s="7" t="s">
        <v>4852</v>
      </c>
    </row>
    <row r="281" spans="1:21" ht="16.5" thickBot="1">
      <c r="A281" s="1311" t="s">
        <v>4588</v>
      </c>
      <c r="B281" s="1315">
        <f t="shared" si="15"/>
        <v>90</v>
      </c>
      <c r="C281" s="1315" t="s">
        <v>3</v>
      </c>
      <c r="D281" s="1315">
        <f t="shared" si="16"/>
        <v>400</v>
      </c>
      <c r="E281" s="1315" t="s">
        <v>3</v>
      </c>
      <c r="F281" s="1313">
        <f t="shared" si="17"/>
        <v>1450</v>
      </c>
      <c r="G281" s="1315" t="s">
        <v>3</v>
      </c>
      <c r="H281" s="1312">
        <v>4</v>
      </c>
      <c r="I281" s="1314" t="s">
        <v>45</v>
      </c>
      <c r="J281" s="184">
        <v>90</v>
      </c>
      <c r="K281" s="75">
        <v>400</v>
      </c>
      <c r="L281" s="75">
        <v>1450</v>
      </c>
      <c r="M281" s="185">
        <v>24.430006474681349</v>
      </c>
      <c r="N281" s="87">
        <v>1073.1580686288</v>
      </c>
      <c r="O281" s="120">
        <v>40886.214655808595</v>
      </c>
      <c r="P281" s="121">
        <v>48164.700471657867</v>
      </c>
      <c r="Q281" s="310">
        <v>21726.433297178104</v>
      </c>
      <c r="R281" s="314">
        <v>62612.647952986699</v>
      </c>
      <c r="S281" s="315">
        <v>69891.133768835978</v>
      </c>
      <c r="U281" s="7" t="s">
        <v>4853</v>
      </c>
    </row>
    <row r="282" spans="1:21" ht="16.5" thickBot="1">
      <c r="A282" s="1311" t="s">
        <v>4588</v>
      </c>
      <c r="B282" s="1315">
        <f t="shared" si="15"/>
        <v>90</v>
      </c>
      <c r="C282" s="1315" t="s">
        <v>3</v>
      </c>
      <c r="D282" s="1315">
        <f t="shared" si="16"/>
        <v>400</v>
      </c>
      <c r="E282" s="1315" t="s">
        <v>3</v>
      </c>
      <c r="F282" s="1313">
        <f t="shared" si="17"/>
        <v>1500</v>
      </c>
      <c r="G282" s="1315" t="s">
        <v>3</v>
      </c>
      <c r="H282" s="1312">
        <v>4</v>
      </c>
      <c r="I282" s="1314" t="s">
        <v>45</v>
      </c>
      <c r="J282" s="184">
        <v>90</v>
      </c>
      <c r="K282" s="75">
        <v>400</v>
      </c>
      <c r="L282" s="75">
        <v>1500</v>
      </c>
      <c r="M282" s="185">
        <v>25.615076696783781</v>
      </c>
      <c r="N282" s="87">
        <v>1121.9379808391998</v>
      </c>
      <c r="O282" s="120">
        <v>42752.578605684983</v>
      </c>
      <c r="P282" s="121">
        <v>50440.800484483436</v>
      </c>
      <c r="Q282" s="310">
        <v>22559.406912354716</v>
      </c>
      <c r="R282" s="314">
        <v>65311.985518039699</v>
      </c>
      <c r="S282" s="315">
        <v>73000.207396838145</v>
      </c>
      <c r="U282" s="7" t="s">
        <v>4854</v>
      </c>
    </row>
    <row r="283" spans="1:21" ht="16.5" thickBot="1">
      <c r="A283" s="1311" t="s">
        <v>4588</v>
      </c>
      <c r="B283" s="1315">
        <f t="shared" si="15"/>
        <v>90</v>
      </c>
      <c r="C283" s="1315" t="s">
        <v>3</v>
      </c>
      <c r="D283" s="1315">
        <f t="shared" si="16"/>
        <v>400</v>
      </c>
      <c r="E283" s="1315" t="s">
        <v>3</v>
      </c>
      <c r="F283" s="1313">
        <f t="shared" si="17"/>
        <v>1550</v>
      </c>
      <c r="G283" s="1315" t="s">
        <v>3</v>
      </c>
      <c r="H283" s="1312">
        <v>4</v>
      </c>
      <c r="I283" s="1314" t="s">
        <v>45</v>
      </c>
      <c r="J283" s="184">
        <v>90</v>
      </c>
      <c r="K283" s="75">
        <v>400</v>
      </c>
      <c r="L283" s="75">
        <v>1550</v>
      </c>
      <c r="M283" s="185">
        <v>26.401604118886219</v>
      </c>
      <c r="N283" s="87">
        <v>1170.7178930495998</v>
      </c>
      <c r="O283" s="120">
        <v>43854.169649200092</v>
      </c>
      <c r="P283" s="121">
        <v>51740.801043618048</v>
      </c>
      <c r="Q283" s="310">
        <v>23161.79860935469</v>
      </c>
      <c r="R283" s="314">
        <v>67015.968258554785</v>
      </c>
      <c r="S283" s="315">
        <v>74902.599652972742</v>
      </c>
      <c r="U283" s="7" t="s">
        <v>4855</v>
      </c>
    </row>
    <row r="284" spans="1:21" ht="16.5" thickBot="1">
      <c r="A284" s="1311" t="s">
        <v>4588</v>
      </c>
      <c r="B284" s="1312">
        <f t="shared" si="15"/>
        <v>90</v>
      </c>
      <c r="C284" s="1312" t="s">
        <v>3</v>
      </c>
      <c r="D284" s="1312">
        <f t="shared" si="16"/>
        <v>400</v>
      </c>
      <c r="E284" s="1312" t="s">
        <v>3</v>
      </c>
      <c r="F284" s="1313">
        <f t="shared" si="17"/>
        <v>1600</v>
      </c>
      <c r="G284" s="1312" t="s">
        <v>3</v>
      </c>
      <c r="H284" s="1312">
        <v>4</v>
      </c>
      <c r="I284" s="1314" t="s">
        <v>45</v>
      </c>
      <c r="J284" s="184">
        <v>90</v>
      </c>
      <c r="K284" s="75">
        <v>400</v>
      </c>
      <c r="L284" s="75">
        <v>1600</v>
      </c>
      <c r="M284" s="185">
        <v>27.18813154098865</v>
      </c>
      <c r="N284" s="87">
        <v>1219.49780526</v>
      </c>
      <c r="O284" s="120">
        <v>44955.760833108572</v>
      </c>
      <c r="P284" s="121">
        <v>53040.801602752661</v>
      </c>
      <c r="Q284" s="310">
        <v>23764.190446748027</v>
      </c>
      <c r="R284" s="314">
        <v>68719.951279856599</v>
      </c>
      <c r="S284" s="315">
        <v>76804.992049500695</v>
      </c>
      <c r="U284" s="7" t="s">
        <v>4856</v>
      </c>
    </row>
    <row r="285" spans="1:21" ht="16.5" thickBot="1">
      <c r="A285" s="1311" t="s">
        <v>4588</v>
      </c>
      <c r="B285" s="1315">
        <f t="shared" si="15"/>
        <v>90</v>
      </c>
      <c r="C285" s="1315" t="s">
        <v>3</v>
      </c>
      <c r="D285" s="1315">
        <f t="shared" si="16"/>
        <v>400</v>
      </c>
      <c r="E285" s="1315" t="s">
        <v>3</v>
      </c>
      <c r="F285" s="1313">
        <f t="shared" si="17"/>
        <v>1650</v>
      </c>
      <c r="G285" s="1315" t="s">
        <v>3</v>
      </c>
      <c r="H285" s="1312">
        <v>4</v>
      </c>
      <c r="I285" s="1314" t="s">
        <v>45</v>
      </c>
      <c r="J285" s="184">
        <v>90</v>
      </c>
      <c r="K285" s="75">
        <v>400</v>
      </c>
      <c r="L285" s="75">
        <v>1650</v>
      </c>
      <c r="M285" s="185">
        <v>27.974658963091088</v>
      </c>
      <c r="N285" s="87">
        <v>1268.2777174703999</v>
      </c>
      <c r="O285" s="120">
        <v>46057.351876623688</v>
      </c>
      <c r="P285" s="121">
        <v>54340.802161887274</v>
      </c>
      <c r="Q285" s="310">
        <v>24597.164061924639</v>
      </c>
      <c r="R285" s="314">
        <v>70654.515938548328</v>
      </c>
      <c r="S285" s="315">
        <v>78937.966223811905</v>
      </c>
      <c r="U285" s="7" t="s">
        <v>4857</v>
      </c>
    </row>
    <row r="286" spans="1:21" ht="16.5" thickBot="1">
      <c r="A286" s="1311" t="s">
        <v>4588</v>
      </c>
      <c r="B286" s="1315">
        <f t="shared" si="15"/>
        <v>90</v>
      </c>
      <c r="C286" s="1315" t="s">
        <v>3</v>
      </c>
      <c r="D286" s="1315">
        <f t="shared" si="16"/>
        <v>400</v>
      </c>
      <c r="E286" s="1315" t="s">
        <v>3</v>
      </c>
      <c r="F286" s="1313">
        <f t="shared" si="17"/>
        <v>1700</v>
      </c>
      <c r="G286" s="1315" t="s">
        <v>3</v>
      </c>
      <c r="H286" s="1312">
        <v>4</v>
      </c>
      <c r="I286" s="1314" t="s">
        <v>45</v>
      </c>
      <c r="J286" s="184">
        <v>90</v>
      </c>
      <c r="K286" s="75">
        <v>400</v>
      </c>
      <c r="L286" s="75">
        <v>1700</v>
      </c>
      <c r="M286" s="185">
        <v>28.761186385193522</v>
      </c>
      <c r="N286" s="87">
        <v>1317.0576296807999</v>
      </c>
      <c r="O286" s="120">
        <v>47158.943060532161</v>
      </c>
      <c r="P286" s="121">
        <v>55640.802721021886</v>
      </c>
      <c r="Q286" s="310">
        <v>25199.55575892462</v>
      </c>
      <c r="R286" s="314">
        <v>72358.498819456785</v>
      </c>
      <c r="S286" s="315">
        <v>80840.358479946502</v>
      </c>
      <c r="U286" s="7" t="s">
        <v>4858</v>
      </c>
    </row>
    <row r="287" spans="1:21" ht="16.5" thickBot="1">
      <c r="A287" s="1311" t="s">
        <v>4588</v>
      </c>
      <c r="B287" s="1315">
        <f t="shared" si="15"/>
        <v>90</v>
      </c>
      <c r="C287" s="1315" t="s">
        <v>3</v>
      </c>
      <c r="D287" s="1315">
        <f t="shared" si="16"/>
        <v>400</v>
      </c>
      <c r="E287" s="1315" t="s">
        <v>3</v>
      </c>
      <c r="F287" s="1313">
        <f t="shared" si="17"/>
        <v>1750</v>
      </c>
      <c r="G287" s="1315" t="s">
        <v>3</v>
      </c>
      <c r="H287" s="1312">
        <v>4</v>
      </c>
      <c r="I287" s="1314" t="s">
        <v>45</v>
      </c>
      <c r="J287" s="184">
        <v>90</v>
      </c>
      <c r="K287" s="75">
        <v>400</v>
      </c>
      <c r="L287" s="75">
        <v>1750</v>
      </c>
      <c r="M287" s="185">
        <v>29.547713807295956</v>
      </c>
      <c r="N287" s="87">
        <v>1365.8375418911996</v>
      </c>
      <c r="O287" s="120">
        <v>48260.534104047278</v>
      </c>
      <c r="P287" s="121">
        <v>56940.803280156506</v>
      </c>
      <c r="Q287" s="310">
        <v>26032.529374101232</v>
      </c>
      <c r="R287" s="314">
        <v>74293.063478148513</v>
      </c>
      <c r="S287" s="315">
        <v>82973.332654257742</v>
      </c>
      <c r="U287" s="7" t="s">
        <v>4859</v>
      </c>
    </row>
    <row r="288" spans="1:21" ht="16.5" thickBot="1">
      <c r="A288" s="1311" t="s">
        <v>4588</v>
      </c>
      <c r="B288" s="1315">
        <f t="shared" si="15"/>
        <v>90</v>
      </c>
      <c r="C288" s="1315" t="s">
        <v>3</v>
      </c>
      <c r="D288" s="1315">
        <f t="shared" si="16"/>
        <v>400</v>
      </c>
      <c r="E288" s="1315" t="s">
        <v>3</v>
      </c>
      <c r="F288" s="1313">
        <f t="shared" si="17"/>
        <v>1800</v>
      </c>
      <c r="G288" s="1315" t="s">
        <v>3</v>
      </c>
      <c r="H288" s="1312">
        <v>4</v>
      </c>
      <c r="I288" s="1314" t="s">
        <v>45</v>
      </c>
      <c r="J288" s="184">
        <v>90</v>
      </c>
      <c r="K288" s="75">
        <v>400</v>
      </c>
      <c r="L288" s="75">
        <v>1800</v>
      </c>
      <c r="M288" s="185">
        <v>30.334241229398391</v>
      </c>
      <c r="N288" s="87">
        <v>1414.6174541015998</v>
      </c>
      <c r="O288" s="120">
        <v>49362.125287955743</v>
      </c>
      <c r="P288" s="121">
        <v>58240.803839291111</v>
      </c>
      <c r="Q288" s="310">
        <v>26634.921071101206</v>
      </c>
      <c r="R288" s="314">
        <v>75997.046359056956</v>
      </c>
      <c r="S288" s="315">
        <v>84875.72491039231</v>
      </c>
      <c r="U288" s="7" t="s">
        <v>4860</v>
      </c>
    </row>
    <row r="289" spans="1:21" ht="16.5" thickBot="1">
      <c r="A289" s="1311" t="s">
        <v>4588</v>
      </c>
      <c r="B289" s="1315">
        <f t="shared" si="15"/>
        <v>90</v>
      </c>
      <c r="C289" s="1315" t="s">
        <v>3</v>
      </c>
      <c r="D289" s="1315">
        <f t="shared" si="16"/>
        <v>400</v>
      </c>
      <c r="E289" s="1315" t="s">
        <v>3</v>
      </c>
      <c r="F289" s="1313">
        <f t="shared" si="17"/>
        <v>1850</v>
      </c>
      <c r="G289" s="1315" t="s">
        <v>3</v>
      </c>
      <c r="H289" s="1312">
        <v>4</v>
      </c>
      <c r="I289" s="1314" t="s">
        <v>45</v>
      </c>
      <c r="J289" s="184">
        <v>90</v>
      </c>
      <c r="K289" s="75">
        <v>400</v>
      </c>
      <c r="L289" s="75">
        <v>1850</v>
      </c>
      <c r="M289" s="185">
        <v>31.120768651500825</v>
      </c>
      <c r="N289" s="87">
        <v>1463.3973663119998</v>
      </c>
      <c r="O289" s="120">
        <v>50463.716331470867</v>
      </c>
      <c r="P289" s="121">
        <v>59540.804398425724</v>
      </c>
      <c r="Q289" s="310">
        <v>27467.894686277818</v>
      </c>
      <c r="R289" s="314">
        <v>77931.611017748684</v>
      </c>
      <c r="S289" s="315">
        <v>87008.699084703549</v>
      </c>
      <c r="U289" s="7" t="s">
        <v>4861</v>
      </c>
    </row>
    <row r="290" spans="1:21" ht="16.5" thickBot="1">
      <c r="A290" s="1311" t="s">
        <v>4588</v>
      </c>
      <c r="B290" s="1315">
        <f t="shared" si="15"/>
        <v>90</v>
      </c>
      <c r="C290" s="1315" t="s">
        <v>3</v>
      </c>
      <c r="D290" s="1315">
        <f t="shared" si="16"/>
        <v>400</v>
      </c>
      <c r="E290" s="1315" t="s">
        <v>3</v>
      </c>
      <c r="F290" s="1313">
        <f t="shared" si="17"/>
        <v>1900</v>
      </c>
      <c r="G290" s="1315" t="s">
        <v>3</v>
      </c>
      <c r="H290" s="1312">
        <v>4</v>
      </c>
      <c r="I290" s="1314" t="s">
        <v>45</v>
      </c>
      <c r="J290" s="184">
        <v>90</v>
      </c>
      <c r="K290" s="75">
        <v>400</v>
      </c>
      <c r="L290" s="75">
        <v>1900</v>
      </c>
      <c r="M290" s="185">
        <v>31.907296073603256</v>
      </c>
      <c r="N290" s="87">
        <v>1512.1772785223998</v>
      </c>
      <c r="O290" s="120">
        <v>51565.307515379332</v>
      </c>
      <c r="P290" s="121">
        <v>60840.804957560336</v>
      </c>
      <c r="Q290" s="310">
        <v>28070.286383277791</v>
      </c>
      <c r="R290" s="314">
        <v>79635.593898657127</v>
      </c>
      <c r="S290" s="315">
        <v>88911.091340838131</v>
      </c>
      <c r="U290" s="7" t="s">
        <v>4862</v>
      </c>
    </row>
    <row r="291" spans="1:21" ht="16.5" thickBot="1">
      <c r="A291" s="1311" t="s">
        <v>4588</v>
      </c>
      <c r="B291" s="1315">
        <f t="shared" si="15"/>
        <v>90</v>
      </c>
      <c r="C291" s="1315" t="s">
        <v>3</v>
      </c>
      <c r="D291" s="1315">
        <f t="shared" si="16"/>
        <v>400</v>
      </c>
      <c r="E291" s="1315" t="s">
        <v>3</v>
      </c>
      <c r="F291" s="1313">
        <f t="shared" si="17"/>
        <v>1950</v>
      </c>
      <c r="G291" s="1315" t="s">
        <v>3</v>
      </c>
      <c r="H291" s="1312">
        <v>4</v>
      </c>
      <c r="I291" s="1314" t="s">
        <v>45</v>
      </c>
      <c r="J291" s="184">
        <v>90</v>
      </c>
      <c r="K291" s="75">
        <v>400</v>
      </c>
      <c r="L291" s="75">
        <v>1950</v>
      </c>
      <c r="M291" s="185">
        <v>32.693823495705701</v>
      </c>
      <c r="N291" s="87">
        <v>1560.9571907328</v>
      </c>
      <c r="O291" s="120">
        <v>52666.898558894456</v>
      </c>
      <c r="P291" s="121">
        <v>62140.805516694949</v>
      </c>
      <c r="Q291" s="310">
        <v>28672.678220671129</v>
      </c>
      <c r="R291" s="314">
        <v>81339.576779565585</v>
      </c>
      <c r="S291" s="315">
        <v>90813.48373736607</v>
      </c>
      <c r="U291" s="7" t="s">
        <v>4863</v>
      </c>
    </row>
    <row r="292" spans="1:21" ht="16.5" thickBot="1">
      <c r="A292" s="1311" t="s">
        <v>4588</v>
      </c>
      <c r="B292" s="1315">
        <f t="shared" si="15"/>
        <v>90</v>
      </c>
      <c r="C292" s="1315" t="s">
        <v>3</v>
      </c>
      <c r="D292" s="1315">
        <f t="shared" si="16"/>
        <v>400</v>
      </c>
      <c r="E292" s="1315" t="s">
        <v>3</v>
      </c>
      <c r="F292" s="1313">
        <f t="shared" si="17"/>
        <v>2000</v>
      </c>
      <c r="G292" s="1315" t="s">
        <v>3</v>
      </c>
      <c r="H292" s="1312">
        <v>4</v>
      </c>
      <c r="I292" s="1314" t="s">
        <v>45</v>
      </c>
      <c r="J292" s="184">
        <v>90</v>
      </c>
      <c r="K292" s="75">
        <v>400</v>
      </c>
      <c r="L292" s="75">
        <v>2000</v>
      </c>
      <c r="M292" s="185">
        <v>33.636422917808119</v>
      </c>
      <c r="N292" s="87">
        <v>1609.7371029431997</v>
      </c>
      <c r="O292" s="120">
        <v>54243.02717008123</v>
      </c>
      <c r="P292" s="121">
        <v>63615.342963696196</v>
      </c>
      <c r="Q292" s="310">
        <v>29505.651695454384</v>
      </c>
      <c r="R292" s="314">
        <v>83748.678865535621</v>
      </c>
      <c r="S292" s="315">
        <v>93120.994659150572</v>
      </c>
      <c r="U292" s="7" t="s">
        <v>4864</v>
      </c>
    </row>
    <row r="293" spans="1:21" ht="16.5" thickBot="1">
      <c r="A293" s="1311" t="s">
        <v>4588</v>
      </c>
      <c r="B293" s="1315">
        <f t="shared" si="15"/>
        <v>90</v>
      </c>
      <c r="C293" s="1315" t="s">
        <v>3</v>
      </c>
      <c r="D293" s="1315">
        <f t="shared" si="16"/>
        <v>400</v>
      </c>
      <c r="E293" s="1315" t="s">
        <v>3</v>
      </c>
      <c r="F293" s="1313">
        <f t="shared" si="17"/>
        <v>2050</v>
      </c>
      <c r="G293" s="1315" t="s">
        <v>3</v>
      </c>
      <c r="H293" s="1312">
        <v>4</v>
      </c>
      <c r="I293" s="1314" t="s">
        <v>45</v>
      </c>
      <c r="J293" s="184">
        <v>90</v>
      </c>
      <c r="K293" s="75">
        <v>400</v>
      </c>
      <c r="L293" s="75">
        <v>2050</v>
      </c>
      <c r="M293" s="185">
        <v>34.422950339910564</v>
      </c>
      <c r="N293" s="87">
        <v>1658.5170151535997</v>
      </c>
      <c r="O293" s="120">
        <v>55344.618213596339</v>
      </c>
      <c r="P293" s="121">
        <v>64915.343522830808</v>
      </c>
      <c r="Q293" s="310">
        <v>30108.043532847722</v>
      </c>
      <c r="R293" s="314">
        <v>85452.661746444064</v>
      </c>
      <c r="S293" s="315">
        <v>95023.387055678526</v>
      </c>
      <c r="U293" s="7" t="s">
        <v>4865</v>
      </c>
    </row>
    <row r="294" spans="1:21" ht="16.5" thickBot="1">
      <c r="A294" s="1311" t="s">
        <v>4588</v>
      </c>
      <c r="B294" s="1312">
        <f t="shared" si="15"/>
        <v>90</v>
      </c>
      <c r="C294" s="1312" t="s">
        <v>3</v>
      </c>
      <c r="D294" s="1312">
        <f t="shared" si="16"/>
        <v>400</v>
      </c>
      <c r="E294" s="1312" t="s">
        <v>3</v>
      </c>
      <c r="F294" s="1313">
        <f t="shared" si="17"/>
        <v>2100</v>
      </c>
      <c r="G294" s="1312" t="s">
        <v>3</v>
      </c>
      <c r="H294" s="1312">
        <v>4</v>
      </c>
      <c r="I294" s="1314" t="s">
        <v>45</v>
      </c>
      <c r="J294" s="184">
        <v>90</v>
      </c>
      <c r="K294" s="75">
        <v>400</v>
      </c>
      <c r="L294" s="75">
        <v>2100</v>
      </c>
      <c r="M294" s="185">
        <v>35.209477762012995</v>
      </c>
      <c r="N294" s="87">
        <v>1707.2969273639997</v>
      </c>
      <c r="O294" s="120">
        <v>56446.209397504805</v>
      </c>
      <c r="P294" s="121">
        <v>66215.344081965435</v>
      </c>
      <c r="Q294" s="310">
        <v>30941.01700763097</v>
      </c>
      <c r="R294" s="314">
        <v>87387.226405135778</v>
      </c>
      <c r="S294" s="315">
        <v>97156.361089596408</v>
      </c>
      <c r="U294" s="7" t="s">
        <v>4866</v>
      </c>
    </row>
    <row r="295" spans="1:21" ht="16.5" thickBot="1">
      <c r="A295" s="1311" t="s">
        <v>4588</v>
      </c>
      <c r="B295" s="1315">
        <f t="shared" si="15"/>
        <v>90</v>
      </c>
      <c r="C295" s="1315" t="s">
        <v>3</v>
      </c>
      <c r="D295" s="1315">
        <f t="shared" si="16"/>
        <v>400</v>
      </c>
      <c r="E295" s="1315" t="s">
        <v>3</v>
      </c>
      <c r="F295" s="1313">
        <f t="shared" si="17"/>
        <v>2150</v>
      </c>
      <c r="G295" s="1315" t="s">
        <v>3</v>
      </c>
      <c r="H295" s="1312">
        <v>4</v>
      </c>
      <c r="I295" s="1314" t="s">
        <v>45</v>
      </c>
      <c r="J295" s="184">
        <v>90</v>
      </c>
      <c r="K295" s="75">
        <v>400</v>
      </c>
      <c r="L295" s="75">
        <v>2150</v>
      </c>
      <c r="M295" s="185">
        <v>35.996005184115432</v>
      </c>
      <c r="N295" s="87">
        <v>1756.0768395743999</v>
      </c>
      <c r="O295" s="120">
        <v>57547.800441019928</v>
      </c>
      <c r="P295" s="121">
        <v>67515.344641100048</v>
      </c>
      <c r="Q295" s="310">
        <v>31543.408845024307</v>
      </c>
      <c r="R295" s="314">
        <v>89091.209286044235</v>
      </c>
      <c r="S295" s="315">
        <v>99058.753486124362</v>
      </c>
      <c r="U295" s="7" t="s">
        <v>4867</v>
      </c>
    </row>
    <row r="296" spans="1:21" ht="16.5" thickBot="1">
      <c r="A296" s="1311" t="s">
        <v>4588</v>
      </c>
      <c r="B296" s="1315">
        <f t="shared" si="15"/>
        <v>90</v>
      </c>
      <c r="C296" s="1315" t="s">
        <v>3</v>
      </c>
      <c r="D296" s="1315">
        <f t="shared" si="16"/>
        <v>400</v>
      </c>
      <c r="E296" s="1315" t="s">
        <v>3</v>
      </c>
      <c r="F296" s="1313">
        <f t="shared" si="17"/>
        <v>2200</v>
      </c>
      <c r="G296" s="1315" t="s">
        <v>3</v>
      </c>
      <c r="H296" s="1312">
        <v>4</v>
      </c>
      <c r="I296" s="1314" t="s">
        <v>45</v>
      </c>
      <c r="J296" s="184">
        <v>90</v>
      </c>
      <c r="K296" s="75">
        <v>400</v>
      </c>
      <c r="L296" s="75">
        <v>2200</v>
      </c>
      <c r="M296" s="185">
        <v>36.782532606217863</v>
      </c>
      <c r="N296" s="87">
        <v>1804.8567517847998</v>
      </c>
      <c r="O296" s="120">
        <v>58649.391624928394</v>
      </c>
      <c r="P296" s="121">
        <v>68815.345200234646</v>
      </c>
      <c r="Q296" s="310">
        <v>32376.382319807555</v>
      </c>
      <c r="R296" s="314">
        <v>91025.773944735949</v>
      </c>
      <c r="S296" s="315">
        <v>101191.7275200422</v>
      </c>
      <c r="U296" s="7" t="s">
        <v>4868</v>
      </c>
    </row>
    <row r="297" spans="1:21" ht="16.5" thickBot="1">
      <c r="A297" s="1311" t="s">
        <v>4588</v>
      </c>
      <c r="B297" s="1315">
        <f t="shared" si="15"/>
        <v>90</v>
      </c>
      <c r="C297" s="1315" t="s">
        <v>3</v>
      </c>
      <c r="D297" s="1315">
        <f t="shared" si="16"/>
        <v>400</v>
      </c>
      <c r="E297" s="1315" t="s">
        <v>3</v>
      </c>
      <c r="F297" s="1313">
        <f t="shared" si="17"/>
        <v>2250</v>
      </c>
      <c r="G297" s="1315" t="s">
        <v>3</v>
      </c>
      <c r="H297" s="1312">
        <v>4</v>
      </c>
      <c r="I297" s="1314" t="s">
        <v>45</v>
      </c>
      <c r="J297" s="184">
        <v>90</v>
      </c>
      <c r="K297" s="75">
        <v>400</v>
      </c>
      <c r="L297" s="75">
        <v>2250</v>
      </c>
      <c r="M297" s="185">
        <v>37.569060028320294</v>
      </c>
      <c r="N297" s="87">
        <v>1853.6366639951996</v>
      </c>
      <c r="O297" s="120">
        <v>59750.982668443517</v>
      </c>
      <c r="P297" s="121">
        <v>70115.345759369258</v>
      </c>
      <c r="Q297" s="310">
        <v>32978.774157200758</v>
      </c>
      <c r="R297" s="314">
        <v>92729.756825644276</v>
      </c>
      <c r="S297" s="315">
        <v>103094.11991657002</v>
      </c>
      <c r="U297" s="7" t="s">
        <v>4869</v>
      </c>
    </row>
    <row r="298" spans="1:21" ht="16.5" thickBot="1">
      <c r="A298" s="1311" t="s">
        <v>4588</v>
      </c>
      <c r="B298" s="1315">
        <f t="shared" si="15"/>
        <v>90</v>
      </c>
      <c r="C298" s="1315" t="s">
        <v>3</v>
      </c>
      <c r="D298" s="1315">
        <f t="shared" si="16"/>
        <v>400</v>
      </c>
      <c r="E298" s="1315" t="s">
        <v>3</v>
      </c>
      <c r="F298" s="1313">
        <f t="shared" si="17"/>
        <v>2300</v>
      </c>
      <c r="G298" s="1315" t="s">
        <v>3</v>
      </c>
      <c r="H298" s="1312">
        <v>4</v>
      </c>
      <c r="I298" s="1314" t="s">
        <v>45</v>
      </c>
      <c r="J298" s="184">
        <v>90</v>
      </c>
      <c r="K298" s="75">
        <v>400</v>
      </c>
      <c r="L298" s="75">
        <v>2300</v>
      </c>
      <c r="M298" s="185">
        <v>38.355587450422732</v>
      </c>
      <c r="N298" s="87">
        <v>1902.4165762055998</v>
      </c>
      <c r="O298" s="120">
        <v>60852.573852351983</v>
      </c>
      <c r="P298" s="121">
        <v>71415.346318503871</v>
      </c>
      <c r="Q298" s="310">
        <v>33581.165854200874</v>
      </c>
      <c r="R298" s="314">
        <v>94433.739706552849</v>
      </c>
      <c r="S298" s="315">
        <v>104996.51217270474</v>
      </c>
      <c r="U298" s="7" t="s">
        <v>4870</v>
      </c>
    </row>
    <row r="299" spans="1:21" ht="16.5" thickBot="1">
      <c r="A299" s="1311" t="s">
        <v>4588</v>
      </c>
      <c r="B299" s="1315">
        <f t="shared" si="15"/>
        <v>90</v>
      </c>
      <c r="C299" s="1315" t="s">
        <v>3</v>
      </c>
      <c r="D299" s="1315">
        <f t="shared" si="16"/>
        <v>400</v>
      </c>
      <c r="E299" s="1315" t="s">
        <v>3</v>
      </c>
      <c r="F299" s="1313">
        <f t="shared" si="17"/>
        <v>2350</v>
      </c>
      <c r="G299" s="1315" t="s">
        <v>3</v>
      </c>
      <c r="H299" s="1312">
        <v>4</v>
      </c>
      <c r="I299" s="1314" t="s">
        <v>45</v>
      </c>
      <c r="J299" s="184">
        <v>90</v>
      </c>
      <c r="K299" s="75">
        <v>400</v>
      </c>
      <c r="L299" s="75">
        <v>2350</v>
      </c>
      <c r="M299" s="185">
        <v>39.14211487252517</v>
      </c>
      <c r="N299" s="87">
        <v>1951.1964884159997</v>
      </c>
      <c r="O299" s="120">
        <v>61954.164895867092</v>
      </c>
      <c r="P299" s="121">
        <v>72715.346877638498</v>
      </c>
      <c r="Q299" s="310">
        <v>34414.139469377486</v>
      </c>
      <c r="R299" s="314">
        <v>96368.304365244578</v>
      </c>
      <c r="S299" s="315">
        <v>107129.48634701598</v>
      </c>
      <c r="U299" s="7" t="s">
        <v>4871</v>
      </c>
    </row>
    <row r="300" spans="1:21" ht="16.5" thickBot="1">
      <c r="A300" s="1311" t="s">
        <v>4588</v>
      </c>
      <c r="B300" s="1315">
        <f t="shared" si="15"/>
        <v>90</v>
      </c>
      <c r="C300" s="1315" t="s">
        <v>3</v>
      </c>
      <c r="D300" s="1315">
        <f t="shared" si="16"/>
        <v>400</v>
      </c>
      <c r="E300" s="1315" t="s">
        <v>3</v>
      </c>
      <c r="F300" s="1313">
        <f t="shared" si="17"/>
        <v>2400</v>
      </c>
      <c r="G300" s="1315" t="s">
        <v>3</v>
      </c>
      <c r="H300" s="1312">
        <v>4</v>
      </c>
      <c r="I300" s="1314" t="s">
        <v>45</v>
      </c>
      <c r="J300" s="184">
        <v>90</v>
      </c>
      <c r="K300" s="75">
        <v>400</v>
      </c>
      <c r="L300" s="75">
        <v>2400</v>
      </c>
      <c r="M300" s="185">
        <v>39.928642294627593</v>
      </c>
      <c r="N300" s="87">
        <v>1999.9764006263995</v>
      </c>
      <c r="O300" s="120">
        <v>63055.756079775572</v>
      </c>
      <c r="P300" s="121">
        <v>74015.347436773111</v>
      </c>
      <c r="Q300" s="310">
        <v>35016.531306770819</v>
      </c>
      <c r="R300" s="314">
        <v>98072.287386546392</v>
      </c>
      <c r="S300" s="315">
        <v>109031.87874354393</v>
      </c>
      <c r="U300" s="7" t="s">
        <v>4872</v>
      </c>
    </row>
    <row r="301" spans="1:21" ht="16.5" thickBot="1">
      <c r="A301" s="1311" t="s">
        <v>4588</v>
      </c>
      <c r="B301" s="1315">
        <f t="shared" si="15"/>
        <v>90</v>
      </c>
      <c r="C301" s="1315" t="s">
        <v>3</v>
      </c>
      <c r="D301" s="1315">
        <f t="shared" si="16"/>
        <v>400</v>
      </c>
      <c r="E301" s="1315" t="s">
        <v>3</v>
      </c>
      <c r="F301" s="1313">
        <f t="shared" si="17"/>
        <v>2450</v>
      </c>
      <c r="G301" s="1315" t="s">
        <v>3</v>
      </c>
      <c r="H301" s="1312">
        <v>4</v>
      </c>
      <c r="I301" s="1314" t="s">
        <v>45</v>
      </c>
      <c r="J301" s="184">
        <v>90</v>
      </c>
      <c r="K301" s="75">
        <v>400</v>
      </c>
      <c r="L301" s="75">
        <v>2450</v>
      </c>
      <c r="M301" s="185">
        <v>40.715169716730031</v>
      </c>
      <c r="N301" s="87">
        <v>2048.7563128367997</v>
      </c>
      <c r="O301" s="120">
        <v>64157.347123290681</v>
      </c>
      <c r="P301" s="121">
        <v>75315.347995907723</v>
      </c>
      <c r="Q301" s="310">
        <v>35849.504781554067</v>
      </c>
      <c r="R301" s="314">
        <v>100006.85190484475</v>
      </c>
      <c r="S301" s="315">
        <v>111164.85277746178</v>
      </c>
      <c r="U301" s="7" t="s">
        <v>4873</v>
      </c>
    </row>
    <row r="302" spans="1:21" ht="16.5" thickBot="1">
      <c r="A302" s="1311" t="s">
        <v>4588</v>
      </c>
      <c r="B302" s="1315">
        <f t="shared" si="15"/>
        <v>90</v>
      </c>
      <c r="C302" s="1315" t="s">
        <v>3</v>
      </c>
      <c r="D302" s="1315">
        <f t="shared" si="16"/>
        <v>400</v>
      </c>
      <c r="E302" s="1315" t="s">
        <v>3</v>
      </c>
      <c r="F302" s="1313">
        <f t="shared" si="17"/>
        <v>2500</v>
      </c>
      <c r="G302" s="1315" t="s">
        <v>3</v>
      </c>
      <c r="H302" s="1312">
        <v>4</v>
      </c>
      <c r="I302" s="1314" t="s">
        <v>45</v>
      </c>
      <c r="J302" s="184">
        <v>90</v>
      </c>
      <c r="K302" s="75">
        <v>400</v>
      </c>
      <c r="L302" s="75">
        <v>2500</v>
      </c>
      <c r="M302" s="185">
        <v>41.900239938832463</v>
      </c>
      <c r="N302" s="87">
        <v>2097.5362250471994</v>
      </c>
      <c r="O302" s="120">
        <v>66023.711073167069</v>
      </c>
      <c r="P302" s="121">
        <v>77591.448008733278</v>
      </c>
      <c r="Q302" s="310">
        <v>36451.896618947409</v>
      </c>
      <c r="R302" s="314">
        <v>102475.60769211448</v>
      </c>
      <c r="S302" s="315">
        <v>114043.34462768069</v>
      </c>
      <c r="U302" s="7" t="s">
        <v>4874</v>
      </c>
    </row>
    <row r="303" spans="1:21" ht="16.5" thickBot="1">
      <c r="A303" s="1311" t="s">
        <v>4588</v>
      </c>
      <c r="B303" s="1315">
        <f t="shared" si="15"/>
        <v>90</v>
      </c>
      <c r="C303" s="1315" t="s">
        <v>3</v>
      </c>
      <c r="D303" s="1315">
        <f t="shared" si="16"/>
        <v>400</v>
      </c>
      <c r="E303" s="1315" t="s">
        <v>3</v>
      </c>
      <c r="F303" s="1313">
        <f t="shared" si="17"/>
        <v>2550</v>
      </c>
      <c r="G303" s="1315" t="s">
        <v>3</v>
      </c>
      <c r="H303" s="1312">
        <v>4</v>
      </c>
      <c r="I303" s="1314" t="s">
        <v>45</v>
      </c>
      <c r="J303" s="184">
        <v>90</v>
      </c>
      <c r="K303" s="75">
        <v>400</v>
      </c>
      <c r="L303" s="75">
        <v>2550</v>
      </c>
      <c r="M303" s="185">
        <v>42.686767360934915</v>
      </c>
      <c r="N303" s="87">
        <v>2146.3161372576001</v>
      </c>
      <c r="O303" s="120">
        <v>67489.883602843853</v>
      </c>
      <c r="P303" s="121">
        <v>78905.487904117894</v>
      </c>
      <c r="Q303" s="310">
        <v>37284.870093730657</v>
      </c>
      <c r="R303" s="314">
        <v>104774.75369657451</v>
      </c>
      <c r="S303" s="315">
        <v>116190.35799784855</v>
      </c>
      <c r="U303" s="7" t="s">
        <v>4875</v>
      </c>
    </row>
    <row r="304" spans="1:21" ht="16.5" thickBot="1">
      <c r="A304" s="1311" t="s">
        <v>4588</v>
      </c>
      <c r="B304" s="1312">
        <f t="shared" si="15"/>
        <v>90</v>
      </c>
      <c r="C304" s="1312" t="s">
        <v>3</v>
      </c>
      <c r="D304" s="1312">
        <f t="shared" si="16"/>
        <v>400</v>
      </c>
      <c r="E304" s="1312" t="s">
        <v>3</v>
      </c>
      <c r="F304" s="1313">
        <f t="shared" si="17"/>
        <v>2600</v>
      </c>
      <c r="G304" s="1312" t="s">
        <v>3</v>
      </c>
      <c r="H304" s="1312">
        <v>4</v>
      </c>
      <c r="I304" s="1314" t="s">
        <v>45</v>
      </c>
      <c r="J304" s="184">
        <v>90</v>
      </c>
      <c r="K304" s="75">
        <v>400</v>
      </c>
      <c r="L304" s="75">
        <v>2600</v>
      </c>
      <c r="M304" s="185">
        <v>43.473294783037339</v>
      </c>
      <c r="N304" s="87">
        <v>2195.0960494679998</v>
      </c>
      <c r="O304" s="120">
        <v>68591.474646358969</v>
      </c>
      <c r="P304" s="121">
        <v>80205.488322859135</v>
      </c>
      <c r="Q304" s="310">
        <v>37887.261931123991</v>
      </c>
      <c r="R304" s="314">
        <v>106478.73657748295</v>
      </c>
      <c r="S304" s="315">
        <v>118092.75025398313</v>
      </c>
      <c r="U304" s="7" t="s">
        <v>4876</v>
      </c>
    </row>
    <row r="305" spans="1:21" ht="16.5" thickBot="1">
      <c r="A305" s="1311" t="s">
        <v>4588</v>
      </c>
      <c r="B305" s="1315">
        <f t="shared" si="15"/>
        <v>90</v>
      </c>
      <c r="C305" s="1315" t="s">
        <v>3</v>
      </c>
      <c r="D305" s="1315">
        <f t="shared" si="16"/>
        <v>400</v>
      </c>
      <c r="E305" s="1315" t="s">
        <v>3</v>
      </c>
      <c r="F305" s="1313">
        <f t="shared" si="17"/>
        <v>2650</v>
      </c>
      <c r="G305" s="1315" t="s">
        <v>3</v>
      </c>
      <c r="H305" s="1312">
        <v>4</v>
      </c>
      <c r="I305" s="1314" t="s">
        <v>45</v>
      </c>
      <c r="J305" s="184">
        <v>90</v>
      </c>
      <c r="K305" s="75">
        <v>400</v>
      </c>
      <c r="L305" s="75">
        <v>2650</v>
      </c>
      <c r="M305" s="185">
        <v>44.25982220513977</v>
      </c>
      <c r="N305" s="87">
        <v>2243.8759616783996</v>
      </c>
      <c r="O305" s="120">
        <v>69693.065830267442</v>
      </c>
      <c r="P305" s="121">
        <v>81505.488881993748</v>
      </c>
      <c r="Q305" s="310">
        <v>38720.235405907246</v>
      </c>
      <c r="R305" s="314">
        <v>108413.30123617468</v>
      </c>
      <c r="S305" s="315">
        <v>120225.72428790099</v>
      </c>
      <c r="U305" s="7" t="s">
        <v>4877</v>
      </c>
    </row>
    <row r="306" spans="1:21" ht="16.5" thickBot="1">
      <c r="A306" s="1311" t="s">
        <v>4588</v>
      </c>
      <c r="B306" s="1315">
        <f t="shared" si="15"/>
        <v>90</v>
      </c>
      <c r="C306" s="1315" t="s">
        <v>3</v>
      </c>
      <c r="D306" s="1315">
        <f t="shared" si="16"/>
        <v>400</v>
      </c>
      <c r="E306" s="1315" t="s">
        <v>3</v>
      </c>
      <c r="F306" s="1313">
        <f t="shared" si="17"/>
        <v>2700</v>
      </c>
      <c r="G306" s="1315" t="s">
        <v>3</v>
      </c>
      <c r="H306" s="1312">
        <v>4</v>
      </c>
      <c r="I306" s="1314" t="s">
        <v>45</v>
      </c>
      <c r="J306" s="184">
        <v>90</v>
      </c>
      <c r="K306" s="75">
        <v>400</v>
      </c>
      <c r="L306" s="75">
        <v>2700</v>
      </c>
      <c r="M306" s="185">
        <v>45.046349627242208</v>
      </c>
      <c r="N306" s="87">
        <v>2292.6558738887998</v>
      </c>
      <c r="O306" s="120">
        <v>70794.656873782544</v>
      </c>
      <c r="P306" s="121">
        <v>82805.489441128375</v>
      </c>
      <c r="Q306" s="310">
        <v>39322.627243300587</v>
      </c>
      <c r="R306" s="314">
        <v>110117.28411708312</v>
      </c>
      <c r="S306" s="315">
        <v>122128.11668442897</v>
      </c>
      <c r="U306" s="7" t="s">
        <v>4878</v>
      </c>
    </row>
    <row r="307" spans="1:21" ht="16.5" thickBot="1">
      <c r="A307" s="1311" t="s">
        <v>4588</v>
      </c>
      <c r="B307" s="1315">
        <f t="shared" si="15"/>
        <v>90</v>
      </c>
      <c r="C307" s="1315" t="s">
        <v>3</v>
      </c>
      <c r="D307" s="1315">
        <f t="shared" si="16"/>
        <v>400</v>
      </c>
      <c r="E307" s="1315" t="s">
        <v>3</v>
      </c>
      <c r="F307" s="1313">
        <f t="shared" si="17"/>
        <v>2750</v>
      </c>
      <c r="G307" s="1315" t="s">
        <v>3</v>
      </c>
      <c r="H307" s="1312">
        <v>4</v>
      </c>
      <c r="I307" s="1314" t="s">
        <v>45</v>
      </c>
      <c r="J307" s="184">
        <v>90</v>
      </c>
      <c r="K307" s="75">
        <v>400</v>
      </c>
      <c r="L307" s="75">
        <v>2750</v>
      </c>
      <c r="M307" s="185">
        <v>45.832877049344638</v>
      </c>
      <c r="N307" s="87">
        <v>2341.4357860991995</v>
      </c>
      <c r="O307" s="120">
        <v>71896.248057691031</v>
      </c>
      <c r="P307" s="121">
        <v>84105.490000262987</v>
      </c>
      <c r="Q307" s="310">
        <v>39925.018940300557</v>
      </c>
      <c r="R307" s="314">
        <v>111821.2669979916</v>
      </c>
      <c r="S307" s="315">
        <v>124030.50894056354</v>
      </c>
      <c r="U307" s="7" t="s">
        <v>4879</v>
      </c>
    </row>
    <row r="308" spans="1:21" ht="16.5" thickBot="1">
      <c r="A308" s="1311" t="s">
        <v>4588</v>
      </c>
      <c r="B308" s="1315">
        <f t="shared" si="15"/>
        <v>90</v>
      </c>
      <c r="C308" s="1315" t="s">
        <v>3</v>
      </c>
      <c r="D308" s="1315">
        <f t="shared" si="16"/>
        <v>400</v>
      </c>
      <c r="E308" s="1315" t="s">
        <v>3</v>
      </c>
      <c r="F308" s="1313">
        <f t="shared" si="17"/>
        <v>2800</v>
      </c>
      <c r="G308" s="1315" t="s">
        <v>3</v>
      </c>
      <c r="H308" s="1312">
        <v>4</v>
      </c>
      <c r="I308" s="1314" t="s">
        <v>45</v>
      </c>
      <c r="J308" s="184">
        <v>90</v>
      </c>
      <c r="K308" s="75">
        <v>400</v>
      </c>
      <c r="L308" s="75">
        <v>2800</v>
      </c>
      <c r="M308" s="185">
        <v>46.619404471447083</v>
      </c>
      <c r="N308" s="87">
        <v>2390.2156983095997</v>
      </c>
      <c r="O308" s="120">
        <v>72997.839101206133</v>
      </c>
      <c r="P308" s="121">
        <v>85405.4905593976</v>
      </c>
      <c r="Q308" s="310">
        <v>40757.992555477169</v>
      </c>
      <c r="R308" s="314">
        <v>113755.83165668329</v>
      </c>
      <c r="S308" s="315">
        <v>126163.48311487478</v>
      </c>
      <c r="U308" s="7" t="s">
        <v>4880</v>
      </c>
    </row>
    <row r="309" spans="1:21" ht="16.5" thickBot="1">
      <c r="A309" s="1311" t="s">
        <v>4588</v>
      </c>
      <c r="B309" s="1315">
        <f t="shared" si="15"/>
        <v>90</v>
      </c>
      <c r="C309" s="1315" t="s">
        <v>3</v>
      </c>
      <c r="D309" s="1315">
        <f t="shared" si="16"/>
        <v>400</v>
      </c>
      <c r="E309" s="1315" t="s">
        <v>3</v>
      </c>
      <c r="F309" s="1313">
        <f t="shared" si="17"/>
        <v>2850</v>
      </c>
      <c r="G309" s="1315" t="s">
        <v>3</v>
      </c>
      <c r="H309" s="1312">
        <v>4</v>
      </c>
      <c r="I309" s="1314" t="s">
        <v>45</v>
      </c>
      <c r="J309" s="184">
        <v>90</v>
      </c>
      <c r="K309" s="75">
        <v>400</v>
      </c>
      <c r="L309" s="75">
        <v>2850</v>
      </c>
      <c r="M309" s="185">
        <v>47.405931893549507</v>
      </c>
      <c r="N309" s="87">
        <v>2438.9956105199999</v>
      </c>
      <c r="O309" s="120">
        <v>74099.43028511462</v>
      </c>
      <c r="P309" s="121">
        <v>86705.491118532198</v>
      </c>
      <c r="Q309" s="310">
        <v>41360.384252477146</v>
      </c>
      <c r="R309" s="314">
        <v>115459.81453759177</v>
      </c>
      <c r="S309" s="315">
        <v>128065.87537100934</v>
      </c>
      <c r="U309" s="7" t="s">
        <v>4881</v>
      </c>
    </row>
    <row r="310" spans="1:21" ht="16.5" thickBot="1">
      <c r="A310" s="1311" t="s">
        <v>4588</v>
      </c>
      <c r="B310" s="1315">
        <f t="shared" si="15"/>
        <v>90</v>
      </c>
      <c r="C310" s="1315" t="s">
        <v>3</v>
      </c>
      <c r="D310" s="1315">
        <f t="shared" si="16"/>
        <v>400</v>
      </c>
      <c r="E310" s="1315" t="s">
        <v>3</v>
      </c>
      <c r="F310" s="1313">
        <f t="shared" si="17"/>
        <v>2900</v>
      </c>
      <c r="G310" s="1315" t="s">
        <v>3</v>
      </c>
      <c r="H310" s="1312">
        <v>4</v>
      </c>
      <c r="I310" s="1314" t="s">
        <v>45</v>
      </c>
      <c r="J310" s="184">
        <v>90</v>
      </c>
      <c r="K310" s="75">
        <v>400</v>
      </c>
      <c r="L310" s="75">
        <v>2900</v>
      </c>
      <c r="M310" s="185">
        <v>48.192459315651938</v>
      </c>
      <c r="N310" s="87">
        <v>2487.7755227303996</v>
      </c>
      <c r="O310" s="120">
        <v>75201.021328629722</v>
      </c>
      <c r="P310" s="121">
        <v>88005.491677666811</v>
      </c>
      <c r="Q310" s="310">
        <v>42193.357867653758</v>
      </c>
      <c r="R310" s="314">
        <v>117394.37919628348</v>
      </c>
      <c r="S310" s="315">
        <v>130198.84954532057</v>
      </c>
      <c r="U310" s="7" t="s">
        <v>4882</v>
      </c>
    </row>
    <row r="311" spans="1:21" ht="16.5" thickBot="1">
      <c r="A311" s="1311" t="s">
        <v>4588</v>
      </c>
      <c r="B311" s="1315">
        <f t="shared" si="15"/>
        <v>90</v>
      </c>
      <c r="C311" s="1315" t="s">
        <v>3</v>
      </c>
      <c r="D311" s="1315">
        <f t="shared" si="16"/>
        <v>400</v>
      </c>
      <c r="E311" s="1315" t="s">
        <v>3</v>
      </c>
      <c r="F311" s="1313">
        <f t="shared" si="17"/>
        <v>2950</v>
      </c>
      <c r="G311" s="1315" t="s">
        <v>3</v>
      </c>
      <c r="H311" s="1312">
        <v>4</v>
      </c>
      <c r="I311" s="1314" t="s">
        <v>45</v>
      </c>
      <c r="J311" s="184">
        <v>90</v>
      </c>
      <c r="K311" s="75">
        <v>400</v>
      </c>
      <c r="L311" s="75">
        <v>2950</v>
      </c>
      <c r="M311" s="185">
        <v>48.978986737754397</v>
      </c>
      <c r="N311" s="87">
        <v>2536.5554349407998</v>
      </c>
      <c r="O311" s="120">
        <v>76302.61251253821</v>
      </c>
      <c r="P311" s="121">
        <v>89305.492236801438</v>
      </c>
      <c r="Q311" s="310">
        <v>42795.749564653735</v>
      </c>
      <c r="R311" s="314">
        <v>119098.36207719194</v>
      </c>
      <c r="S311" s="315">
        <v>132101.24180145518</v>
      </c>
      <c r="U311" s="7" t="s">
        <v>4883</v>
      </c>
    </row>
    <row r="312" spans="1:21" ht="16.5" thickBot="1">
      <c r="A312" s="1311" t="s">
        <v>4588</v>
      </c>
      <c r="B312" s="1315">
        <f t="shared" si="15"/>
        <v>90</v>
      </c>
      <c r="C312" s="1315" t="s">
        <v>3</v>
      </c>
      <c r="D312" s="1315">
        <f t="shared" si="16"/>
        <v>400</v>
      </c>
      <c r="E312" s="1315" t="s">
        <v>3</v>
      </c>
      <c r="F312" s="1313">
        <f t="shared" si="17"/>
        <v>3000</v>
      </c>
      <c r="G312" s="1315" t="s">
        <v>3</v>
      </c>
      <c r="H312" s="1312">
        <v>4</v>
      </c>
      <c r="I312" s="1314" t="s">
        <v>45</v>
      </c>
      <c r="J312" s="186">
        <v>90</v>
      </c>
      <c r="K312" s="147">
        <v>400</v>
      </c>
      <c r="L312" s="147">
        <v>3000</v>
      </c>
      <c r="M312" s="187">
        <v>50.07765815985681</v>
      </c>
      <c r="N312" s="148">
        <v>2585.3353471511996</v>
      </c>
      <c r="O312" s="159">
        <v>77682.07009911332</v>
      </c>
      <c r="P312" s="158">
        <v>90883.359338996044</v>
      </c>
      <c r="Q312" s="311">
        <v>43628.723179830347</v>
      </c>
      <c r="R312" s="316">
        <v>121310.79327894366</v>
      </c>
      <c r="S312" s="317">
        <v>134512.08251882638</v>
      </c>
      <c r="U312" s="7" t="s">
        <v>4884</v>
      </c>
    </row>
  </sheetData>
  <mergeCells count="21">
    <mergeCell ref="A212:S212"/>
    <mergeCell ref="A262:S262"/>
    <mergeCell ref="A263:S263"/>
    <mergeCell ref="A59:S59"/>
    <mergeCell ref="A109:S109"/>
    <mergeCell ref="A110:S110"/>
    <mergeCell ref="A160:S160"/>
    <mergeCell ref="A161:S161"/>
    <mergeCell ref="A211:S211"/>
    <mergeCell ref="A58:S58"/>
    <mergeCell ref="A4:I6"/>
    <mergeCell ref="J4:M5"/>
    <mergeCell ref="N4:N6"/>
    <mergeCell ref="O4:O5"/>
    <mergeCell ref="P4:P5"/>
    <mergeCell ref="Q4:Q5"/>
    <mergeCell ref="R4:R5"/>
    <mergeCell ref="S4:S5"/>
    <mergeCell ref="O6:S6"/>
    <mergeCell ref="A7:S7"/>
    <mergeCell ref="A8:S8"/>
  </mergeCells>
  <hyperlinks>
    <hyperlink ref="A1:I1" location="Главная!A1" display="Вернуться на главную страницу" xr:uid="{41738A47-FE86-4302-A4FE-5543CE99A325}"/>
    <hyperlink ref="A2" location="'Калькулятор теплоотдач ВК'!R1C1" display="Вернуться Калькулятор теплоотдач ВК" xr:uid="{5A00FD0C-CAC8-4A23-BABD-C016BABEBC4B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4B495-DAAE-49CC-A654-72E877A806C3}">
  <sheetPr>
    <tabColor rgb="FFFF9900"/>
  </sheetPr>
  <dimension ref="A1:U312"/>
  <sheetViews>
    <sheetView zoomScale="70" zoomScaleNormal="70" workbookViewId="0">
      <selection activeCell="U2" sqref="U2"/>
    </sheetView>
  </sheetViews>
  <sheetFormatPr defaultRowHeight="15"/>
  <cols>
    <col min="1" max="1" width="10" customWidth="1"/>
    <col min="2" max="2" width="6" customWidth="1"/>
    <col min="3" max="3" width="3" customWidth="1"/>
    <col min="4" max="4" width="6" customWidth="1"/>
    <col min="5" max="5" width="3" customWidth="1"/>
    <col min="6" max="6" width="7.7109375" customWidth="1"/>
    <col min="7" max="7" width="3" customWidth="1"/>
    <col min="8" max="8" width="6" customWidth="1"/>
    <col min="9" max="9" width="4.5703125" customWidth="1"/>
    <col min="10" max="12" width="11.28515625" customWidth="1"/>
    <col min="13" max="13" width="15.5703125" customWidth="1"/>
    <col min="14" max="14" width="19.140625" customWidth="1"/>
    <col min="15" max="16" width="27.7109375" customWidth="1"/>
    <col min="17" max="17" width="26.28515625" customWidth="1"/>
    <col min="18" max="19" width="27.7109375" customWidth="1"/>
    <col min="21" max="21" width="27.140625" customWidth="1"/>
  </cols>
  <sheetData>
    <row r="1" spans="1:21" ht="15.75">
      <c r="A1" s="1306" t="s">
        <v>9</v>
      </c>
      <c r="B1" s="1306"/>
      <c r="C1" s="1306"/>
      <c r="D1" s="1306"/>
      <c r="E1" s="1306"/>
      <c r="F1" s="97"/>
      <c r="G1" s="1306"/>
      <c r="H1" s="1306"/>
      <c r="I1" s="1306"/>
      <c r="J1" s="7"/>
      <c r="K1" s="96"/>
      <c r="L1" s="96"/>
      <c r="M1" s="175"/>
      <c r="N1" s="7"/>
      <c r="O1" s="117"/>
      <c r="P1" s="117"/>
      <c r="Q1" s="117"/>
      <c r="R1" s="117"/>
      <c r="S1" s="117"/>
    </row>
    <row r="2" spans="1:21" ht="15.75">
      <c r="A2" s="956" t="s">
        <v>378</v>
      </c>
      <c r="B2" s="1306"/>
      <c r="C2" s="1306"/>
      <c r="D2" s="1306"/>
      <c r="E2" s="1306"/>
      <c r="F2" s="97"/>
      <c r="G2" s="1306"/>
      <c r="H2" s="1306"/>
      <c r="I2" s="1306"/>
      <c r="J2" s="7"/>
      <c r="K2" s="96"/>
      <c r="L2" s="96"/>
      <c r="M2" s="175"/>
      <c r="N2" s="7"/>
      <c r="O2" s="117"/>
      <c r="P2" s="117"/>
      <c r="Q2" s="117"/>
      <c r="R2" s="117"/>
      <c r="S2" s="117"/>
      <c r="U2" s="74"/>
    </row>
    <row r="3" spans="1:21" ht="16.5" thickBot="1">
      <c r="A3" s="16"/>
      <c r="B3" s="16"/>
      <c r="C3" s="16"/>
      <c r="D3" s="16"/>
      <c r="E3" s="16"/>
      <c r="F3" s="109"/>
      <c r="G3" s="16"/>
      <c r="H3" s="16"/>
      <c r="I3" s="16"/>
      <c r="J3" s="16"/>
      <c r="K3" s="108"/>
      <c r="L3" s="108"/>
      <c r="M3" s="175"/>
      <c r="N3" s="7"/>
      <c r="O3" s="116"/>
      <c r="P3" s="116"/>
      <c r="Q3" s="117"/>
      <c r="R3" s="117"/>
      <c r="S3" s="117"/>
    </row>
    <row r="4" spans="1:21" ht="69.75" customHeight="1">
      <c r="A4" s="2665" t="s">
        <v>8</v>
      </c>
      <c r="B4" s="2666"/>
      <c r="C4" s="2666"/>
      <c r="D4" s="2666"/>
      <c r="E4" s="2666"/>
      <c r="F4" s="2666"/>
      <c r="G4" s="2666"/>
      <c r="H4" s="2666"/>
      <c r="I4" s="2667"/>
      <c r="J4" s="2674" t="s">
        <v>97</v>
      </c>
      <c r="K4" s="2675"/>
      <c r="L4" s="2675"/>
      <c r="M4" s="2676"/>
      <c r="N4" s="2680" t="s">
        <v>96</v>
      </c>
      <c r="O4" s="2683" t="s">
        <v>170</v>
      </c>
      <c r="P4" s="2617" t="s">
        <v>166</v>
      </c>
      <c r="Q4" s="2683" t="s">
        <v>171</v>
      </c>
      <c r="R4" s="2685" t="s">
        <v>460</v>
      </c>
      <c r="S4" s="2590" t="s">
        <v>461</v>
      </c>
    </row>
    <row r="5" spans="1:21" ht="69.75" customHeight="1" thickBot="1">
      <c r="A5" s="2668"/>
      <c r="B5" s="2669"/>
      <c r="C5" s="2669"/>
      <c r="D5" s="2669"/>
      <c r="E5" s="2669"/>
      <c r="F5" s="2669"/>
      <c r="G5" s="2669"/>
      <c r="H5" s="2669"/>
      <c r="I5" s="2670"/>
      <c r="J5" s="2677"/>
      <c r="K5" s="2678"/>
      <c r="L5" s="2678"/>
      <c r="M5" s="2679"/>
      <c r="N5" s="2681"/>
      <c r="O5" s="2684"/>
      <c r="P5" s="2618"/>
      <c r="Q5" s="2684"/>
      <c r="R5" s="2686"/>
      <c r="S5" s="2591"/>
    </row>
    <row r="6" spans="1:21" ht="61.5" customHeight="1" thickBot="1">
      <c r="A6" s="2671"/>
      <c r="B6" s="2672"/>
      <c r="C6" s="2672"/>
      <c r="D6" s="2672"/>
      <c r="E6" s="2672"/>
      <c r="F6" s="2672"/>
      <c r="G6" s="2672"/>
      <c r="H6" s="2672"/>
      <c r="I6" s="2673"/>
      <c r="J6" s="1308" t="s">
        <v>0</v>
      </c>
      <c r="K6" s="1323" t="s">
        <v>1</v>
      </c>
      <c r="L6" s="1323" t="s">
        <v>2</v>
      </c>
      <c r="M6" s="1324" t="s">
        <v>94</v>
      </c>
      <c r="N6" s="2682"/>
      <c r="O6" s="2687" t="s">
        <v>169</v>
      </c>
      <c r="P6" s="2688"/>
      <c r="Q6" s="2688"/>
      <c r="R6" s="2688"/>
      <c r="S6" s="2689"/>
    </row>
    <row r="7" spans="1:21" ht="21.75" thickBot="1">
      <c r="A7" s="2580" t="s">
        <v>520</v>
      </c>
      <c r="B7" s="2581"/>
      <c r="C7" s="2581"/>
      <c r="D7" s="2581"/>
      <c r="E7" s="2581"/>
      <c r="F7" s="2581"/>
      <c r="G7" s="2581"/>
      <c r="H7" s="2581"/>
      <c r="I7" s="2581"/>
      <c r="J7" s="2581"/>
      <c r="K7" s="2581"/>
      <c r="L7" s="2581"/>
      <c r="M7" s="2581"/>
      <c r="N7" s="2581"/>
      <c r="O7" s="2581"/>
      <c r="P7" s="2581"/>
      <c r="Q7" s="2581"/>
      <c r="R7" s="2581"/>
      <c r="S7" s="2582"/>
    </row>
    <row r="8" spans="1:21" ht="16.5" thickBot="1">
      <c r="A8" s="2583" t="s">
        <v>4587</v>
      </c>
      <c r="B8" s="2584"/>
      <c r="C8" s="2584"/>
      <c r="D8" s="2584"/>
      <c r="E8" s="2584"/>
      <c r="F8" s="2584"/>
      <c r="G8" s="2584"/>
      <c r="H8" s="2584"/>
      <c r="I8" s="2584"/>
      <c r="J8" s="2584"/>
      <c r="K8" s="2584"/>
      <c r="L8" s="2584"/>
      <c r="M8" s="2584"/>
      <c r="N8" s="2584"/>
      <c r="O8" s="2584"/>
      <c r="P8" s="2584"/>
      <c r="Q8" s="2584"/>
      <c r="R8" s="2632"/>
      <c r="S8" s="2633"/>
    </row>
    <row r="9" spans="1:21" ht="16.5" thickBot="1">
      <c r="A9" s="1311" t="s">
        <v>4588</v>
      </c>
      <c r="B9" s="1312">
        <f>J9</f>
        <v>110</v>
      </c>
      <c r="C9" s="1312" t="s">
        <v>3</v>
      </c>
      <c r="D9" s="1312">
        <f>K9</f>
        <v>200</v>
      </c>
      <c r="E9" s="1312" t="s">
        <v>3</v>
      </c>
      <c r="F9" s="1313">
        <f>L9</f>
        <v>600</v>
      </c>
      <c r="G9" s="1312" t="s">
        <v>3</v>
      </c>
      <c r="H9" s="1312">
        <v>2</v>
      </c>
      <c r="I9" s="1314" t="s">
        <v>45</v>
      </c>
      <c r="J9" s="181">
        <v>110</v>
      </c>
      <c r="K9" s="143">
        <v>200</v>
      </c>
      <c r="L9" s="143">
        <v>600</v>
      </c>
      <c r="M9" s="190">
        <v>6.6649578936805067</v>
      </c>
      <c r="N9" s="144">
        <v>151.24300797599997</v>
      </c>
      <c r="O9" s="145">
        <v>13768.33087095874</v>
      </c>
      <c r="P9" s="188">
        <v>16560.820695570754</v>
      </c>
      <c r="Q9" s="309">
        <v>6535.0358533845019</v>
      </c>
      <c r="R9" s="318">
        <v>20303.366724343243</v>
      </c>
      <c r="S9" s="313">
        <v>23095.856548955257</v>
      </c>
      <c r="U9" s="7" t="s">
        <v>4885</v>
      </c>
    </row>
    <row r="10" spans="1:21" ht="16.5" thickBot="1">
      <c r="A10" s="1311" t="s">
        <v>4588</v>
      </c>
      <c r="B10" s="1315">
        <f t="shared" ref="B10:B57" si="0">J10</f>
        <v>110</v>
      </c>
      <c r="C10" s="1315" t="s">
        <v>3</v>
      </c>
      <c r="D10" s="1315">
        <f t="shared" ref="D10:D57" si="1">K10</f>
        <v>200</v>
      </c>
      <c r="E10" s="1315" t="s">
        <v>3</v>
      </c>
      <c r="F10" s="1313">
        <f t="shared" ref="F10:F57" si="2">L10</f>
        <v>650</v>
      </c>
      <c r="G10" s="1315" t="s">
        <v>3</v>
      </c>
      <c r="H10" s="1312">
        <v>2</v>
      </c>
      <c r="I10" s="1314" t="s">
        <v>45</v>
      </c>
      <c r="J10" s="184">
        <v>110</v>
      </c>
      <c r="K10" s="75">
        <v>200</v>
      </c>
      <c r="L10" s="75">
        <v>650</v>
      </c>
      <c r="M10" s="191">
        <v>7.1460925284159345</v>
      </c>
      <c r="N10" s="87">
        <v>181.49160957119997</v>
      </c>
      <c r="O10" s="123">
        <v>14395.154242081053</v>
      </c>
      <c r="P10" s="119">
        <v>17331.319966401679</v>
      </c>
      <c r="Q10" s="310">
        <v>6893.4546325058636</v>
      </c>
      <c r="R10" s="319">
        <v>21288.608874586916</v>
      </c>
      <c r="S10" s="315">
        <v>24224.774598907541</v>
      </c>
      <c r="U10" s="7" t="s">
        <v>4886</v>
      </c>
    </row>
    <row r="11" spans="1:21" ht="16.5" thickBot="1">
      <c r="A11" s="1311" t="s">
        <v>4588</v>
      </c>
      <c r="B11" s="1315">
        <f t="shared" si="0"/>
        <v>110</v>
      </c>
      <c r="C11" s="1315" t="s">
        <v>3</v>
      </c>
      <c r="D11" s="1315">
        <f t="shared" si="1"/>
        <v>200</v>
      </c>
      <c r="E11" s="1315" t="s">
        <v>3</v>
      </c>
      <c r="F11" s="1313">
        <f t="shared" si="2"/>
        <v>700</v>
      </c>
      <c r="G11" s="1315" t="s">
        <v>3</v>
      </c>
      <c r="H11" s="1312">
        <v>2</v>
      </c>
      <c r="I11" s="1314" t="s">
        <v>45</v>
      </c>
      <c r="J11" s="184">
        <v>110</v>
      </c>
      <c r="K11" s="75">
        <v>200</v>
      </c>
      <c r="L11" s="75">
        <v>700</v>
      </c>
      <c r="M11" s="191">
        <v>7.6272271631513622</v>
      </c>
      <c r="N11" s="87">
        <v>211.74021116639994</v>
      </c>
      <c r="O11" s="123">
        <v>15021.97775359673</v>
      </c>
      <c r="P11" s="119">
        <v>18101.819237232605</v>
      </c>
      <c r="Q11" s="310">
        <v>7482.4550490171396</v>
      </c>
      <c r="R11" s="319">
        <v>22504.432802613868</v>
      </c>
      <c r="S11" s="315">
        <v>25584.274286249743</v>
      </c>
      <c r="U11" s="7" t="s">
        <v>4887</v>
      </c>
    </row>
    <row r="12" spans="1:21" ht="16.5" thickBot="1">
      <c r="A12" s="1311" t="s">
        <v>4588</v>
      </c>
      <c r="B12" s="1315">
        <f t="shared" si="0"/>
        <v>110</v>
      </c>
      <c r="C12" s="1315" t="s">
        <v>3</v>
      </c>
      <c r="D12" s="1315">
        <f t="shared" si="1"/>
        <v>200</v>
      </c>
      <c r="E12" s="1315" t="s">
        <v>3</v>
      </c>
      <c r="F12" s="1313">
        <f t="shared" si="2"/>
        <v>750</v>
      </c>
      <c r="G12" s="1315" t="s">
        <v>3</v>
      </c>
      <c r="H12" s="1312">
        <v>2</v>
      </c>
      <c r="I12" s="1314" t="s">
        <v>45</v>
      </c>
      <c r="J12" s="184">
        <v>110</v>
      </c>
      <c r="K12" s="75">
        <v>200</v>
      </c>
      <c r="L12" s="75">
        <v>750</v>
      </c>
      <c r="M12" s="191">
        <v>8.1083617978867899</v>
      </c>
      <c r="N12" s="87">
        <v>241.98881276159997</v>
      </c>
      <c r="O12" s="123">
        <v>15648.801124719041</v>
      </c>
      <c r="P12" s="119">
        <v>18872.31850806353</v>
      </c>
      <c r="Q12" s="310">
        <v>7840.8736877451383</v>
      </c>
      <c r="R12" s="319">
        <v>23489.674812464178</v>
      </c>
      <c r="S12" s="315">
        <v>26713.192195808668</v>
      </c>
      <c r="U12" s="7" t="s">
        <v>4888</v>
      </c>
    </row>
    <row r="13" spans="1:21" ht="16.5" thickBot="1">
      <c r="A13" s="1311" t="s">
        <v>4588</v>
      </c>
      <c r="B13" s="1315">
        <f t="shared" si="0"/>
        <v>110</v>
      </c>
      <c r="C13" s="1315" t="s">
        <v>3</v>
      </c>
      <c r="D13" s="1315">
        <f t="shared" si="1"/>
        <v>200</v>
      </c>
      <c r="E13" s="1315" t="s">
        <v>3</v>
      </c>
      <c r="F13" s="1313">
        <f t="shared" si="2"/>
        <v>800</v>
      </c>
      <c r="G13" s="1315" t="s">
        <v>3</v>
      </c>
      <c r="H13" s="1312">
        <v>2</v>
      </c>
      <c r="I13" s="1314" t="s">
        <v>45</v>
      </c>
      <c r="J13" s="184">
        <v>110</v>
      </c>
      <c r="K13" s="75">
        <v>200</v>
      </c>
      <c r="L13" s="75">
        <v>800</v>
      </c>
      <c r="M13" s="191">
        <v>8.5894964326222176</v>
      </c>
      <c r="N13" s="87">
        <v>272.23741435679995</v>
      </c>
      <c r="O13" s="123">
        <v>16633.285993165391</v>
      </c>
      <c r="P13" s="119">
        <v>19656.857115144452</v>
      </c>
      <c r="Q13" s="310">
        <v>8199.2923264731398</v>
      </c>
      <c r="R13" s="319">
        <v>24832.578319638531</v>
      </c>
      <c r="S13" s="315">
        <v>27856.149441617592</v>
      </c>
      <c r="U13" s="7" t="s">
        <v>4889</v>
      </c>
    </row>
    <row r="14" spans="1:21" ht="16.5" thickBot="1">
      <c r="A14" s="1311" t="s">
        <v>4588</v>
      </c>
      <c r="B14" s="1315">
        <f t="shared" si="0"/>
        <v>110</v>
      </c>
      <c r="C14" s="1315" t="s">
        <v>3</v>
      </c>
      <c r="D14" s="1315">
        <f t="shared" si="1"/>
        <v>200</v>
      </c>
      <c r="E14" s="1315" t="s">
        <v>3</v>
      </c>
      <c r="F14" s="1313">
        <f t="shared" si="2"/>
        <v>850</v>
      </c>
      <c r="G14" s="1315" t="s">
        <v>3</v>
      </c>
      <c r="H14" s="1312">
        <v>2</v>
      </c>
      <c r="I14" s="1314" t="s">
        <v>45</v>
      </c>
      <c r="J14" s="184">
        <v>110</v>
      </c>
      <c r="K14" s="75">
        <v>200</v>
      </c>
      <c r="L14" s="75">
        <v>850</v>
      </c>
      <c r="M14" s="191">
        <v>9.0706310673576436</v>
      </c>
      <c r="N14" s="87">
        <v>302.48601595199995</v>
      </c>
      <c r="O14" s="123">
        <v>17260.109364287706</v>
      </c>
      <c r="P14" s="119">
        <v>20427.356385975378</v>
      </c>
      <c r="Q14" s="310">
        <v>8788.2927429844149</v>
      </c>
      <c r="R14" s="319">
        <v>26048.402107272123</v>
      </c>
      <c r="S14" s="315">
        <v>29215.649128959791</v>
      </c>
      <c r="U14" s="7" t="s">
        <v>4890</v>
      </c>
    </row>
    <row r="15" spans="1:21" ht="16.5" thickBot="1">
      <c r="A15" s="1311" t="s">
        <v>4588</v>
      </c>
      <c r="B15" s="1315">
        <f t="shared" si="0"/>
        <v>110</v>
      </c>
      <c r="C15" s="1315" t="s">
        <v>3</v>
      </c>
      <c r="D15" s="1315">
        <f t="shared" si="1"/>
        <v>200</v>
      </c>
      <c r="E15" s="1315" t="s">
        <v>3</v>
      </c>
      <c r="F15" s="1313">
        <f t="shared" si="2"/>
        <v>900</v>
      </c>
      <c r="G15" s="1315" t="s">
        <v>3</v>
      </c>
      <c r="H15" s="1312">
        <v>2</v>
      </c>
      <c r="I15" s="1314" t="s">
        <v>45</v>
      </c>
      <c r="J15" s="184">
        <v>110</v>
      </c>
      <c r="K15" s="75">
        <v>200</v>
      </c>
      <c r="L15" s="75">
        <v>900</v>
      </c>
      <c r="M15" s="191">
        <v>9.5517657020930749</v>
      </c>
      <c r="N15" s="87">
        <v>332.73461754719995</v>
      </c>
      <c r="O15" s="123">
        <v>17886.932875803381</v>
      </c>
      <c r="P15" s="119">
        <v>21197.855516412943</v>
      </c>
      <c r="Q15" s="310">
        <v>9146.7115221057775</v>
      </c>
      <c r="R15" s="319">
        <v>27033.644397909156</v>
      </c>
      <c r="S15" s="315">
        <v>30344.567038518719</v>
      </c>
      <c r="U15" s="7" t="s">
        <v>4891</v>
      </c>
    </row>
    <row r="16" spans="1:21" ht="16.5" thickBot="1">
      <c r="A16" s="1311" t="s">
        <v>4588</v>
      </c>
      <c r="B16" s="1315">
        <f t="shared" si="0"/>
        <v>110</v>
      </c>
      <c r="C16" s="1315" t="s">
        <v>3</v>
      </c>
      <c r="D16" s="1315">
        <f t="shared" si="1"/>
        <v>200</v>
      </c>
      <c r="E16" s="1315" t="s">
        <v>3</v>
      </c>
      <c r="F16" s="1313">
        <f t="shared" si="2"/>
        <v>950</v>
      </c>
      <c r="G16" s="1315" t="s">
        <v>3</v>
      </c>
      <c r="H16" s="1312">
        <v>2</v>
      </c>
      <c r="I16" s="1314" t="s">
        <v>45</v>
      </c>
      <c r="J16" s="184">
        <v>110</v>
      </c>
      <c r="K16" s="75">
        <v>200</v>
      </c>
      <c r="L16" s="75">
        <v>950</v>
      </c>
      <c r="M16" s="191">
        <v>10.032900336828501</v>
      </c>
      <c r="N16" s="87">
        <v>362.98321914239995</v>
      </c>
      <c r="O16" s="123">
        <v>18513.756246925692</v>
      </c>
      <c r="P16" s="119">
        <v>21968.354787243865</v>
      </c>
      <c r="Q16" s="310">
        <v>9735.7119386170507</v>
      </c>
      <c r="R16" s="319">
        <v>28249.468185542741</v>
      </c>
      <c r="S16" s="315">
        <v>31704.066725860917</v>
      </c>
      <c r="U16" s="7" t="s">
        <v>4892</v>
      </c>
    </row>
    <row r="17" spans="1:21" ht="16.5" thickBot="1">
      <c r="A17" s="1311" t="s">
        <v>4588</v>
      </c>
      <c r="B17" s="1315">
        <f t="shared" si="0"/>
        <v>110</v>
      </c>
      <c r="C17" s="1315" t="s">
        <v>3</v>
      </c>
      <c r="D17" s="1315">
        <f t="shared" si="1"/>
        <v>200</v>
      </c>
      <c r="E17" s="1315" t="s">
        <v>3</v>
      </c>
      <c r="F17" s="1313">
        <f t="shared" si="2"/>
        <v>1000</v>
      </c>
      <c r="G17" s="1315" t="s">
        <v>3</v>
      </c>
      <c r="H17" s="1312">
        <v>2</v>
      </c>
      <c r="I17" s="1314" t="s">
        <v>45</v>
      </c>
      <c r="J17" s="184">
        <v>110</v>
      </c>
      <c r="K17" s="75">
        <v>200</v>
      </c>
      <c r="L17" s="75">
        <v>1000</v>
      </c>
      <c r="M17" s="191">
        <v>10.592070971563928</v>
      </c>
      <c r="N17" s="87">
        <v>393.23182073759995</v>
      </c>
      <c r="O17" s="123">
        <v>19176.183515171368</v>
      </c>
      <c r="P17" s="119">
        <v>22774.457814804791</v>
      </c>
      <c r="Q17" s="310">
        <v>10094.130577345051</v>
      </c>
      <c r="R17" s="319">
        <v>29270.314092516419</v>
      </c>
      <c r="S17" s="315">
        <v>32868.588392149846</v>
      </c>
      <c r="U17" s="7" t="s">
        <v>4893</v>
      </c>
    </row>
    <row r="18" spans="1:21" ht="16.5" thickBot="1">
      <c r="A18" s="1311" t="s">
        <v>4588</v>
      </c>
      <c r="B18" s="1315">
        <f t="shared" si="0"/>
        <v>110</v>
      </c>
      <c r="C18" s="1315" t="s">
        <v>3</v>
      </c>
      <c r="D18" s="1315">
        <f t="shared" si="1"/>
        <v>200</v>
      </c>
      <c r="E18" s="1315" t="s">
        <v>3</v>
      </c>
      <c r="F18" s="1313">
        <f t="shared" si="2"/>
        <v>1050</v>
      </c>
      <c r="G18" s="1315" t="s">
        <v>3</v>
      </c>
      <c r="H18" s="1312">
        <v>2</v>
      </c>
      <c r="I18" s="1314" t="s">
        <v>45</v>
      </c>
      <c r="J18" s="184">
        <v>110</v>
      </c>
      <c r="K18" s="75">
        <v>200</v>
      </c>
      <c r="L18" s="75">
        <v>1050</v>
      </c>
      <c r="M18" s="191">
        <v>11.073205606299357</v>
      </c>
      <c r="N18" s="87">
        <v>423.48042233279989</v>
      </c>
      <c r="O18" s="123">
        <v>19803.007026687043</v>
      </c>
      <c r="P18" s="119">
        <v>23544.95708563572</v>
      </c>
      <c r="Q18" s="310">
        <v>10683.130993856326</v>
      </c>
      <c r="R18" s="319">
        <v>30486.138020543367</v>
      </c>
      <c r="S18" s="315">
        <v>34228.088079492045</v>
      </c>
      <c r="U18" s="7" t="s">
        <v>4894</v>
      </c>
    </row>
    <row r="19" spans="1:21" ht="16.5" thickBot="1">
      <c r="A19" s="1311" t="s">
        <v>4588</v>
      </c>
      <c r="B19" s="1312">
        <f t="shared" si="0"/>
        <v>110</v>
      </c>
      <c r="C19" s="1312" t="s">
        <v>3</v>
      </c>
      <c r="D19" s="1312">
        <f t="shared" si="1"/>
        <v>200</v>
      </c>
      <c r="E19" s="1312" t="s">
        <v>3</v>
      </c>
      <c r="F19" s="1313">
        <f t="shared" si="2"/>
        <v>1100</v>
      </c>
      <c r="G19" s="1312" t="s">
        <v>3</v>
      </c>
      <c r="H19" s="1312">
        <v>2</v>
      </c>
      <c r="I19" s="1314" t="s">
        <v>45</v>
      </c>
      <c r="J19" s="184">
        <v>110</v>
      </c>
      <c r="K19" s="75">
        <v>200</v>
      </c>
      <c r="L19" s="75">
        <v>1100</v>
      </c>
      <c r="M19" s="191">
        <v>11.554340241034783</v>
      </c>
      <c r="N19" s="87">
        <v>453.72902392799995</v>
      </c>
      <c r="O19" s="123">
        <v>20429.830397809354</v>
      </c>
      <c r="P19" s="119">
        <v>24315.456356466642</v>
      </c>
      <c r="Q19" s="310">
        <v>11041.549772977691</v>
      </c>
      <c r="R19" s="319">
        <v>31471.380170787044</v>
      </c>
      <c r="S19" s="315">
        <v>35357.006129444329</v>
      </c>
      <c r="U19" s="7" t="s">
        <v>4895</v>
      </c>
    </row>
    <row r="20" spans="1:21" ht="16.5" thickBot="1">
      <c r="A20" s="1311" t="s">
        <v>4588</v>
      </c>
      <c r="B20" s="1315">
        <f t="shared" si="0"/>
        <v>110</v>
      </c>
      <c r="C20" s="1315" t="s">
        <v>3</v>
      </c>
      <c r="D20" s="1315">
        <f t="shared" si="1"/>
        <v>200</v>
      </c>
      <c r="E20" s="1315" t="s">
        <v>3</v>
      </c>
      <c r="F20" s="1313">
        <f t="shared" si="2"/>
        <v>1150</v>
      </c>
      <c r="G20" s="1315" t="s">
        <v>3</v>
      </c>
      <c r="H20" s="1312">
        <v>2</v>
      </c>
      <c r="I20" s="1314" t="s">
        <v>45</v>
      </c>
      <c r="J20" s="184">
        <v>110</v>
      </c>
      <c r="K20" s="75">
        <v>200</v>
      </c>
      <c r="L20" s="75">
        <v>1150</v>
      </c>
      <c r="M20" s="191">
        <v>12.035474875770211</v>
      </c>
      <c r="N20" s="87">
        <v>483.97762552319995</v>
      </c>
      <c r="O20" s="123">
        <v>21056.653909325029</v>
      </c>
      <c r="P20" s="119">
        <v>25085.955627297568</v>
      </c>
      <c r="Q20" s="310">
        <v>11399.96841170569</v>
      </c>
      <c r="R20" s="319">
        <v>32456.622321030718</v>
      </c>
      <c r="S20" s="315">
        <v>36485.924039003257</v>
      </c>
      <c r="U20" s="7" t="s">
        <v>4896</v>
      </c>
    </row>
    <row r="21" spans="1:21" ht="16.5" thickBot="1">
      <c r="A21" s="1311" t="s">
        <v>4588</v>
      </c>
      <c r="B21" s="1315">
        <f t="shared" si="0"/>
        <v>110</v>
      </c>
      <c r="C21" s="1315" t="s">
        <v>3</v>
      </c>
      <c r="D21" s="1315">
        <f t="shared" si="1"/>
        <v>200</v>
      </c>
      <c r="E21" s="1315" t="s">
        <v>3</v>
      </c>
      <c r="F21" s="1313">
        <f t="shared" si="2"/>
        <v>1200</v>
      </c>
      <c r="G21" s="1315" t="s">
        <v>3</v>
      </c>
      <c r="H21" s="1312">
        <v>2</v>
      </c>
      <c r="I21" s="1314" t="s">
        <v>45</v>
      </c>
      <c r="J21" s="184">
        <v>110</v>
      </c>
      <c r="K21" s="75">
        <v>200</v>
      </c>
      <c r="L21" s="75">
        <v>1200</v>
      </c>
      <c r="M21" s="191">
        <v>12.516609510505642</v>
      </c>
      <c r="N21" s="87">
        <v>514.22622711839995</v>
      </c>
      <c r="O21" s="123">
        <v>21683.47728044734</v>
      </c>
      <c r="P21" s="119">
        <v>25856.45489812849</v>
      </c>
      <c r="Q21" s="310">
        <v>11988.968828216965</v>
      </c>
      <c r="R21" s="319">
        <v>33672.446108664306</v>
      </c>
      <c r="S21" s="315">
        <v>37845.423726345456</v>
      </c>
      <c r="U21" s="7" t="s">
        <v>4897</v>
      </c>
    </row>
    <row r="22" spans="1:21" ht="16.5" thickBot="1">
      <c r="A22" s="1311" t="s">
        <v>4588</v>
      </c>
      <c r="B22" s="1315">
        <f t="shared" si="0"/>
        <v>110</v>
      </c>
      <c r="C22" s="1315" t="s">
        <v>3</v>
      </c>
      <c r="D22" s="1315">
        <f t="shared" si="1"/>
        <v>200</v>
      </c>
      <c r="E22" s="1315" t="s">
        <v>3</v>
      </c>
      <c r="F22" s="1313">
        <f t="shared" si="2"/>
        <v>1250</v>
      </c>
      <c r="G22" s="1315" t="s">
        <v>3</v>
      </c>
      <c r="H22" s="1312">
        <v>2</v>
      </c>
      <c r="I22" s="1314" t="s">
        <v>45</v>
      </c>
      <c r="J22" s="184">
        <v>110</v>
      </c>
      <c r="K22" s="75">
        <v>200</v>
      </c>
      <c r="L22" s="75">
        <v>1250</v>
      </c>
      <c r="M22" s="191">
        <v>12.997744145241068</v>
      </c>
      <c r="N22" s="87">
        <v>544.47482871359989</v>
      </c>
      <c r="O22" s="123">
        <v>22310.300791963014</v>
      </c>
      <c r="P22" s="119">
        <v>26626.954168959419</v>
      </c>
      <c r="Q22" s="310">
        <v>12347.387466944965</v>
      </c>
      <c r="R22" s="319">
        <v>34657.688258907976</v>
      </c>
      <c r="S22" s="315">
        <v>38974.341635904384</v>
      </c>
      <c r="U22" s="7" t="s">
        <v>4898</v>
      </c>
    </row>
    <row r="23" spans="1:21" ht="16.5" thickBot="1">
      <c r="A23" s="1311" t="s">
        <v>4588</v>
      </c>
      <c r="B23" s="1315">
        <f t="shared" si="0"/>
        <v>110</v>
      </c>
      <c r="C23" s="1315" t="s">
        <v>3</v>
      </c>
      <c r="D23" s="1315">
        <f t="shared" si="1"/>
        <v>200</v>
      </c>
      <c r="E23" s="1315" t="s">
        <v>3</v>
      </c>
      <c r="F23" s="1313">
        <f t="shared" si="2"/>
        <v>1300</v>
      </c>
      <c r="G23" s="1315" t="s">
        <v>3</v>
      </c>
      <c r="H23" s="1312">
        <v>2</v>
      </c>
      <c r="I23" s="1314" t="s">
        <v>45</v>
      </c>
      <c r="J23" s="184">
        <v>110</v>
      </c>
      <c r="K23" s="75">
        <v>200</v>
      </c>
      <c r="L23" s="75">
        <v>1300</v>
      </c>
      <c r="M23" s="191">
        <v>13.478878779976498</v>
      </c>
      <c r="N23" s="87">
        <v>574.72343030879983</v>
      </c>
      <c r="O23" s="123">
        <v>22937.124163085329</v>
      </c>
      <c r="P23" s="119">
        <v>27397.453439790344</v>
      </c>
      <c r="Q23" s="310">
        <v>12936.38788345624</v>
      </c>
      <c r="R23" s="319">
        <v>35873.512046541568</v>
      </c>
      <c r="S23" s="315">
        <v>40333.841323246583</v>
      </c>
      <c r="U23" s="7" t="s">
        <v>4899</v>
      </c>
    </row>
    <row r="24" spans="1:21" ht="16.5" thickBot="1">
      <c r="A24" s="1311" t="s">
        <v>4588</v>
      </c>
      <c r="B24" s="1315">
        <f t="shared" si="0"/>
        <v>110</v>
      </c>
      <c r="C24" s="1315" t="s">
        <v>3</v>
      </c>
      <c r="D24" s="1315">
        <f t="shared" si="1"/>
        <v>200</v>
      </c>
      <c r="E24" s="1315" t="s">
        <v>3</v>
      </c>
      <c r="F24" s="1313">
        <f t="shared" si="2"/>
        <v>1350</v>
      </c>
      <c r="G24" s="1315" t="s">
        <v>3</v>
      </c>
      <c r="H24" s="1312">
        <v>2</v>
      </c>
      <c r="I24" s="1314" t="s">
        <v>45</v>
      </c>
      <c r="J24" s="184">
        <v>110</v>
      </c>
      <c r="K24" s="75">
        <v>200</v>
      </c>
      <c r="L24" s="75">
        <v>1350</v>
      </c>
      <c r="M24" s="191">
        <v>13.960013414711922</v>
      </c>
      <c r="N24" s="87">
        <v>604.97203190399989</v>
      </c>
      <c r="O24" s="123">
        <v>23563.947674601004</v>
      </c>
      <c r="P24" s="119">
        <v>28167.952710621266</v>
      </c>
      <c r="Q24" s="310">
        <v>13294.806662577603</v>
      </c>
      <c r="R24" s="319">
        <v>36858.754337178609</v>
      </c>
      <c r="S24" s="315">
        <v>41462.759373198867</v>
      </c>
      <c r="U24" s="7" t="s">
        <v>4900</v>
      </c>
    </row>
    <row r="25" spans="1:21" ht="16.5" thickBot="1">
      <c r="A25" s="1311" t="s">
        <v>4588</v>
      </c>
      <c r="B25" s="1315">
        <f t="shared" si="0"/>
        <v>110</v>
      </c>
      <c r="C25" s="1315" t="s">
        <v>3</v>
      </c>
      <c r="D25" s="1315">
        <f t="shared" si="1"/>
        <v>200</v>
      </c>
      <c r="E25" s="1315" t="s">
        <v>3</v>
      </c>
      <c r="F25" s="1313">
        <f t="shared" si="2"/>
        <v>1400</v>
      </c>
      <c r="G25" s="1315" t="s">
        <v>3</v>
      </c>
      <c r="H25" s="1312">
        <v>2</v>
      </c>
      <c r="I25" s="1314" t="s">
        <v>45</v>
      </c>
      <c r="J25" s="184">
        <v>110</v>
      </c>
      <c r="K25" s="75">
        <v>200</v>
      </c>
      <c r="L25" s="75">
        <v>1400</v>
      </c>
      <c r="M25" s="191">
        <v>14.441148049447349</v>
      </c>
      <c r="N25" s="87">
        <v>635.22063349919995</v>
      </c>
      <c r="O25" s="123">
        <v>24190.771186116683</v>
      </c>
      <c r="P25" s="119">
        <v>28938.451841058832</v>
      </c>
      <c r="Q25" s="310">
        <v>13883.807079088876</v>
      </c>
      <c r="R25" s="319">
        <v>38074.578265205557</v>
      </c>
      <c r="S25" s="315">
        <v>42822.258920147709</v>
      </c>
      <c r="U25" s="7" t="s">
        <v>4901</v>
      </c>
    </row>
    <row r="26" spans="1:21" ht="16.5" thickBot="1">
      <c r="A26" s="1311" t="s">
        <v>4588</v>
      </c>
      <c r="B26" s="1315">
        <f t="shared" si="0"/>
        <v>110</v>
      </c>
      <c r="C26" s="1315" t="s">
        <v>3</v>
      </c>
      <c r="D26" s="1315">
        <f t="shared" si="1"/>
        <v>200</v>
      </c>
      <c r="E26" s="1315" t="s">
        <v>3</v>
      </c>
      <c r="F26" s="1313">
        <f t="shared" si="2"/>
        <v>1450</v>
      </c>
      <c r="G26" s="1315" t="s">
        <v>3</v>
      </c>
      <c r="H26" s="1312">
        <v>2</v>
      </c>
      <c r="I26" s="1314" t="s">
        <v>45</v>
      </c>
      <c r="J26" s="184">
        <v>110</v>
      </c>
      <c r="K26" s="75">
        <v>200</v>
      </c>
      <c r="L26" s="75">
        <v>1450</v>
      </c>
      <c r="M26" s="191">
        <v>14.922282684182779</v>
      </c>
      <c r="N26" s="87">
        <v>665.46923509439989</v>
      </c>
      <c r="O26" s="123">
        <v>24817.59455723899</v>
      </c>
      <c r="P26" s="119">
        <v>29708.951111889757</v>
      </c>
      <c r="Q26" s="310">
        <v>14242.225717816877</v>
      </c>
      <c r="R26" s="319">
        <v>39059.82027505587</v>
      </c>
      <c r="S26" s="315">
        <v>43951.17682970663</v>
      </c>
      <c r="U26" s="7" t="s">
        <v>4902</v>
      </c>
    </row>
    <row r="27" spans="1:21" ht="16.5" thickBot="1">
      <c r="A27" s="1311" t="s">
        <v>4588</v>
      </c>
      <c r="B27" s="1315">
        <f t="shared" si="0"/>
        <v>110</v>
      </c>
      <c r="C27" s="1315" t="s">
        <v>3</v>
      </c>
      <c r="D27" s="1315">
        <f t="shared" si="1"/>
        <v>200</v>
      </c>
      <c r="E27" s="1315" t="s">
        <v>3</v>
      </c>
      <c r="F27" s="1313">
        <f t="shared" si="2"/>
        <v>1500</v>
      </c>
      <c r="G27" s="1315" t="s">
        <v>3</v>
      </c>
      <c r="H27" s="1312">
        <v>2</v>
      </c>
      <c r="I27" s="1314" t="s">
        <v>45</v>
      </c>
      <c r="J27" s="184">
        <v>110</v>
      </c>
      <c r="K27" s="75">
        <v>200</v>
      </c>
      <c r="L27" s="75">
        <v>1500</v>
      </c>
      <c r="M27" s="191">
        <v>15.632236118918208</v>
      </c>
      <c r="N27" s="87">
        <v>695.71783668959984</v>
      </c>
      <c r="O27" s="123">
        <v>26051.248301910084</v>
      </c>
      <c r="P27" s="119">
        <v>31217.696103630944</v>
      </c>
      <c r="Q27" s="310">
        <v>14831.226134328155</v>
      </c>
      <c r="R27" s="319">
        <v>40882.474436238241</v>
      </c>
      <c r="S27" s="315">
        <v>46048.922237959101</v>
      </c>
      <c r="U27" s="7" t="s">
        <v>4903</v>
      </c>
    </row>
    <row r="28" spans="1:21" ht="16.5" thickBot="1">
      <c r="A28" s="1311" t="s">
        <v>4588</v>
      </c>
      <c r="B28" s="1315">
        <f t="shared" si="0"/>
        <v>110</v>
      </c>
      <c r="C28" s="1315" t="s">
        <v>3</v>
      </c>
      <c r="D28" s="1315">
        <f t="shared" si="1"/>
        <v>200</v>
      </c>
      <c r="E28" s="1315" t="s">
        <v>3</v>
      </c>
      <c r="F28" s="1313">
        <f t="shared" si="2"/>
        <v>1550</v>
      </c>
      <c r="G28" s="1315" t="s">
        <v>3</v>
      </c>
      <c r="H28" s="1312">
        <v>2</v>
      </c>
      <c r="I28" s="1314" t="s">
        <v>45</v>
      </c>
      <c r="J28" s="184">
        <v>110</v>
      </c>
      <c r="K28" s="75">
        <v>200</v>
      </c>
      <c r="L28" s="75">
        <v>1550</v>
      </c>
      <c r="M28" s="191">
        <v>16.113370753653633</v>
      </c>
      <c r="N28" s="87">
        <v>725.96643828479989</v>
      </c>
      <c r="O28" s="123">
        <v>26678.071813425755</v>
      </c>
      <c r="P28" s="119">
        <v>31988.19537446187</v>
      </c>
      <c r="Q28" s="310">
        <v>15189.644913449516</v>
      </c>
      <c r="R28" s="319">
        <v>41867.716726875267</v>
      </c>
      <c r="S28" s="315">
        <v>47177.840287911386</v>
      </c>
      <c r="U28" s="7" t="s">
        <v>4904</v>
      </c>
    </row>
    <row r="29" spans="1:21" ht="16.5" thickBot="1">
      <c r="A29" s="1311" t="s">
        <v>4588</v>
      </c>
      <c r="B29" s="1312">
        <f t="shared" si="0"/>
        <v>110</v>
      </c>
      <c r="C29" s="1312" t="s">
        <v>3</v>
      </c>
      <c r="D29" s="1312">
        <f t="shared" si="1"/>
        <v>200</v>
      </c>
      <c r="E29" s="1312" t="s">
        <v>3</v>
      </c>
      <c r="F29" s="1313">
        <f t="shared" si="2"/>
        <v>1600</v>
      </c>
      <c r="G29" s="1312" t="s">
        <v>3</v>
      </c>
      <c r="H29" s="1312">
        <v>2</v>
      </c>
      <c r="I29" s="1314" t="s">
        <v>45</v>
      </c>
      <c r="J29" s="184">
        <v>110</v>
      </c>
      <c r="K29" s="75">
        <v>200</v>
      </c>
      <c r="L29" s="75">
        <v>1600</v>
      </c>
      <c r="M29" s="191">
        <v>16.594505388389063</v>
      </c>
      <c r="N29" s="87">
        <v>756.21503987999984</v>
      </c>
      <c r="O29" s="123">
        <v>27304.89518454807</v>
      </c>
      <c r="P29" s="119">
        <v>32758.694645292795</v>
      </c>
      <c r="Q29" s="310">
        <v>15548.063552177517</v>
      </c>
      <c r="R29" s="319">
        <v>42852.958736725588</v>
      </c>
      <c r="S29" s="315">
        <v>48306.758197470313</v>
      </c>
      <c r="U29" s="7" t="s">
        <v>4905</v>
      </c>
    </row>
    <row r="30" spans="1:21" ht="16.5" thickBot="1">
      <c r="A30" s="1311" t="s">
        <v>4588</v>
      </c>
      <c r="B30" s="1315">
        <f t="shared" si="0"/>
        <v>110</v>
      </c>
      <c r="C30" s="1315" t="s">
        <v>3</v>
      </c>
      <c r="D30" s="1315">
        <f t="shared" si="1"/>
        <v>200</v>
      </c>
      <c r="E30" s="1315" t="s">
        <v>3</v>
      </c>
      <c r="F30" s="1313">
        <f t="shared" si="2"/>
        <v>1650</v>
      </c>
      <c r="G30" s="1315" t="s">
        <v>3</v>
      </c>
      <c r="H30" s="1312">
        <v>2</v>
      </c>
      <c r="I30" s="1314" t="s">
        <v>45</v>
      </c>
      <c r="J30" s="184">
        <v>110</v>
      </c>
      <c r="K30" s="75">
        <v>200</v>
      </c>
      <c r="L30" s="75">
        <v>1650</v>
      </c>
      <c r="M30" s="191">
        <v>17.075640023124489</v>
      </c>
      <c r="N30" s="87">
        <v>786.46364147519989</v>
      </c>
      <c r="O30" s="123">
        <v>27931.718696063741</v>
      </c>
      <c r="P30" s="119">
        <v>33529.193916123717</v>
      </c>
      <c r="Q30" s="310">
        <v>16137.063968688792</v>
      </c>
      <c r="R30" s="319">
        <v>44068.782664752536</v>
      </c>
      <c r="S30" s="315">
        <v>49666.257884812512</v>
      </c>
      <c r="U30" s="7" t="s">
        <v>4906</v>
      </c>
    </row>
    <row r="31" spans="1:21" ht="16.5" thickBot="1">
      <c r="A31" s="1311" t="s">
        <v>4588</v>
      </c>
      <c r="B31" s="1315">
        <f t="shared" si="0"/>
        <v>110</v>
      </c>
      <c r="C31" s="1315" t="s">
        <v>3</v>
      </c>
      <c r="D31" s="1315">
        <f t="shared" si="1"/>
        <v>200</v>
      </c>
      <c r="E31" s="1315" t="s">
        <v>3</v>
      </c>
      <c r="F31" s="1313">
        <f t="shared" si="2"/>
        <v>1700</v>
      </c>
      <c r="G31" s="1315" t="s">
        <v>3</v>
      </c>
      <c r="H31" s="1312">
        <v>2</v>
      </c>
      <c r="I31" s="1314" t="s">
        <v>45</v>
      </c>
      <c r="J31" s="184">
        <v>110</v>
      </c>
      <c r="K31" s="75">
        <v>200</v>
      </c>
      <c r="L31" s="75">
        <v>1700</v>
      </c>
      <c r="M31" s="191">
        <v>17.556774657859918</v>
      </c>
      <c r="N31" s="87">
        <v>816.71224307039995</v>
      </c>
      <c r="O31" s="123">
        <v>28558.542067186056</v>
      </c>
      <c r="P31" s="119">
        <v>34299.693186954646</v>
      </c>
      <c r="Q31" s="310">
        <v>16495.48260741679</v>
      </c>
      <c r="R31" s="319">
        <v>45054.024674602842</v>
      </c>
      <c r="S31" s="315">
        <v>50795.175794371433</v>
      </c>
      <c r="U31" s="7" t="s">
        <v>4907</v>
      </c>
    </row>
    <row r="32" spans="1:21" ht="16.5" thickBot="1">
      <c r="A32" s="1311" t="s">
        <v>4588</v>
      </c>
      <c r="B32" s="1315">
        <f t="shared" si="0"/>
        <v>110</v>
      </c>
      <c r="C32" s="1315" t="s">
        <v>3</v>
      </c>
      <c r="D32" s="1315">
        <f t="shared" si="1"/>
        <v>200</v>
      </c>
      <c r="E32" s="1315" t="s">
        <v>3</v>
      </c>
      <c r="F32" s="1313">
        <f t="shared" si="2"/>
        <v>1750</v>
      </c>
      <c r="G32" s="1315" t="s">
        <v>3</v>
      </c>
      <c r="H32" s="1312">
        <v>2</v>
      </c>
      <c r="I32" s="1314" t="s">
        <v>45</v>
      </c>
      <c r="J32" s="184">
        <v>110</v>
      </c>
      <c r="K32" s="75">
        <v>200</v>
      </c>
      <c r="L32" s="75">
        <v>1750</v>
      </c>
      <c r="M32" s="191">
        <v>18.037909292595344</v>
      </c>
      <c r="N32" s="87">
        <v>846.96084466559978</v>
      </c>
      <c r="O32" s="123">
        <v>29185.365578701734</v>
      </c>
      <c r="P32" s="119">
        <v>35070.192457785568</v>
      </c>
      <c r="Q32" s="310">
        <v>17084.483023928067</v>
      </c>
      <c r="R32" s="319">
        <v>46269.848602629805</v>
      </c>
      <c r="S32" s="315">
        <v>52154.675481713639</v>
      </c>
      <c r="U32" s="7" t="s">
        <v>4908</v>
      </c>
    </row>
    <row r="33" spans="1:21" ht="16.5" thickBot="1">
      <c r="A33" s="1311" t="s">
        <v>4588</v>
      </c>
      <c r="B33" s="1315">
        <f t="shared" si="0"/>
        <v>110</v>
      </c>
      <c r="C33" s="1315" t="s">
        <v>3</v>
      </c>
      <c r="D33" s="1315">
        <f t="shared" si="1"/>
        <v>200</v>
      </c>
      <c r="E33" s="1315" t="s">
        <v>3</v>
      </c>
      <c r="F33" s="1313">
        <f t="shared" si="2"/>
        <v>1800</v>
      </c>
      <c r="G33" s="1315" t="s">
        <v>3</v>
      </c>
      <c r="H33" s="1312">
        <v>2</v>
      </c>
      <c r="I33" s="1314" t="s">
        <v>45</v>
      </c>
      <c r="J33" s="184">
        <v>110</v>
      </c>
      <c r="K33" s="75">
        <v>200</v>
      </c>
      <c r="L33" s="75">
        <v>1800</v>
      </c>
      <c r="M33" s="191">
        <v>18.519043927330774</v>
      </c>
      <c r="N33" s="87">
        <v>877.20944626079984</v>
      </c>
      <c r="O33" s="123">
        <v>29812.189090217405</v>
      </c>
      <c r="P33" s="119">
        <v>35840.691728616497</v>
      </c>
      <c r="Q33" s="310">
        <v>17442.90180304943</v>
      </c>
      <c r="R33" s="319">
        <v>47255.090893266839</v>
      </c>
      <c r="S33" s="315">
        <v>53283.593531665931</v>
      </c>
      <c r="U33" s="7" t="s">
        <v>4909</v>
      </c>
    </row>
    <row r="34" spans="1:21" ht="16.5" thickBot="1">
      <c r="A34" s="1311" t="s">
        <v>4588</v>
      </c>
      <c r="B34" s="1315">
        <f t="shared" si="0"/>
        <v>110</v>
      </c>
      <c r="C34" s="1315" t="s">
        <v>3</v>
      </c>
      <c r="D34" s="1315">
        <f t="shared" si="1"/>
        <v>200</v>
      </c>
      <c r="E34" s="1315" t="s">
        <v>3</v>
      </c>
      <c r="F34" s="1313">
        <f t="shared" si="2"/>
        <v>1850</v>
      </c>
      <c r="G34" s="1315" t="s">
        <v>3</v>
      </c>
      <c r="H34" s="1312">
        <v>2</v>
      </c>
      <c r="I34" s="1314" t="s">
        <v>45</v>
      </c>
      <c r="J34" s="184">
        <v>110</v>
      </c>
      <c r="K34" s="75">
        <v>200</v>
      </c>
      <c r="L34" s="75">
        <v>1850</v>
      </c>
      <c r="M34" s="191">
        <v>19.0001785620662</v>
      </c>
      <c r="N34" s="87">
        <v>907.45804785599989</v>
      </c>
      <c r="O34" s="123">
        <v>30439.01246133972</v>
      </c>
      <c r="P34" s="119">
        <v>36611.190999447419</v>
      </c>
      <c r="Q34" s="310">
        <v>18031.902219560703</v>
      </c>
      <c r="R34" s="319">
        <v>48470.914680900423</v>
      </c>
      <c r="S34" s="315">
        <v>54643.093219008122</v>
      </c>
      <c r="U34" s="7" t="s">
        <v>4910</v>
      </c>
    </row>
    <row r="35" spans="1:21" ht="16.5" thickBot="1">
      <c r="A35" s="1311" t="s">
        <v>4588</v>
      </c>
      <c r="B35" s="1315">
        <f t="shared" si="0"/>
        <v>110</v>
      </c>
      <c r="C35" s="1315" t="s">
        <v>3</v>
      </c>
      <c r="D35" s="1315">
        <f t="shared" si="1"/>
        <v>200</v>
      </c>
      <c r="E35" s="1315" t="s">
        <v>3</v>
      </c>
      <c r="F35" s="1313">
        <f t="shared" si="2"/>
        <v>1900</v>
      </c>
      <c r="G35" s="1315" t="s">
        <v>3</v>
      </c>
      <c r="H35" s="1312">
        <v>2</v>
      </c>
      <c r="I35" s="1314" t="s">
        <v>45</v>
      </c>
      <c r="J35" s="184">
        <v>110</v>
      </c>
      <c r="K35" s="75">
        <v>200</v>
      </c>
      <c r="L35" s="75">
        <v>1900</v>
      </c>
      <c r="M35" s="191">
        <v>19.481313196801629</v>
      </c>
      <c r="N35" s="87">
        <v>937.70664945119984</v>
      </c>
      <c r="O35" s="123">
        <v>31065.835972855395</v>
      </c>
      <c r="P35" s="119">
        <v>37381.690270278348</v>
      </c>
      <c r="Q35" s="310">
        <v>18390.320858288702</v>
      </c>
      <c r="R35" s="319">
        <v>49456.156831144093</v>
      </c>
      <c r="S35" s="315">
        <v>55772.01112856705</v>
      </c>
      <c r="U35" s="7" t="s">
        <v>4911</v>
      </c>
    </row>
    <row r="36" spans="1:21" ht="16.5" thickBot="1">
      <c r="A36" s="1311" t="s">
        <v>4588</v>
      </c>
      <c r="B36" s="1315">
        <f t="shared" si="0"/>
        <v>110</v>
      </c>
      <c r="C36" s="1315" t="s">
        <v>3</v>
      </c>
      <c r="D36" s="1315">
        <f t="shared" si="1"/>
        <v>200</v>
      </c>
      <c r="E36" s="1315" t="s">
        <v>3</v>
      </c>
      <c r="F36" s="1313">
        <f t="shared" si="2"/>
        <v>1950</v>
      </c>
      <c r="G36" s="1315" t="s">
        <v>3</v>
      </c>
      <c r="H36" s="1312">
        <v>2</v>
      </c>
      <c r="I36" s="1314" t="s">
        <v>45</v>
      </c>
      <c r="J36" s="184">
        <v>110</v>
      </c>
      <c r="K36" s="75">
        <v>200</v>
      </c>
      <c r="L36" s="75">
        <v>1950</v>
      </c>
      <c r="M36" s="191">
        <v>19.962447831537055</v>
      </c>
      <c r="N36" s="87">
        <v>967.95525104639989</v>
      </c>
      <c r="O36" s="123">
        <v>31692.659343977706</v>
      </c>
      <c r="P36" s="119">
        <v>38152.189400715906</v>
      </c>
      <c r="Q36" s="310">
        <v>18748.739497016704</v>
      </c>
      <c r="R36" s="319">
        <v>50441.398840994414</v>
      </c>
      <c r="S36" s="315">
        <v>56900.928897732607</v>
      </c>
      <c r="U36" s="7" t="s">
        <v>4912</v>
      </c>
    </row>
    <row r="37" spans="1:21" ht="16.5" thickBot="1">
      <c r="A37" s="1311" t="s">
        <v>4588</v>
      </c>
      <c r="B37" s="1315">
        <f t="shared" si="0"/>
        <v>110</v>
      </c>
      <c r="C37" s="1315" t="s">
        <v>3</v>
      </c>
      <c r="D37" s="1315">
        <f t="shared" si="1"/>
        <v>200</v>
      </c>
      <c r="E37" s="1315" t="s">
        <v>3</v>
      </c>
      <c r="F37" s="1313">
        <f t="shared" si="2"/>
        <v>2000</v>
      </c>
      <c r="G37" s="1315" t="s">
        <v>3</v>
      </c>
      <c r="H37" s="1312">
        <v>2</v>
      </c>
      <c r="I37" s="1314" t="s">
        <v>45</v>
      </c>
      <c r="J37" s="184">
        <v>110</v>
      </c>
      <c r="K37" s="75">
        <v>200</v>
      </c>
      <c r="L37" s="75">
        <v>2000</v>
      </c>
      <c r="M37" s="191">
        <v>20.521618466272479</v>
      </c>
      <c r="N37" s="87">
        <v>998.20385264159972</v>
      </c>
      <c r="O37" s="123">
        <v>32751.496396810693</v>
      </c>
      <c r="P37" s="119">
        <v>39061.621943076832</v>
      </c>
      <c r="Q37" s="310">
        <v>19337.740053921341</v>
      </c>
      <c r="R37" s="319">
        <v>52089.236450732031</v>
      </c>
      <c r="S37" s="315">
        <v>58399.361996998174</v>
      </c>
      <c r="U37" s="7" t="s">
        <v>4913</v>
      </c>
    </row>
    <row r="38" spans="1:21" ht="16.5" thickBot="1">
      <c r="A38" s="1311" t="s">
        <v>4588</v>
      </c>
      <c r="B38" s="1315">
        <f t="shared" si="0"/>
        <v>110</v>
      </c>
      <c r="C38" s="1315" t="s">
        <v>3</v>
      </c>
      <c r="D38" s="1315">
        <f t="shared" si="1"/>
        <v>200</v>
      </c>
      <c r="E38" s="1315" t="s">
        <v>3</v>
      </c>
      <c r="F38" s="1313">
        <f t="shared" si="2"/>
        <v>2050</v>
      </c>
      <c r="G38" s="1315" t="s">
        <v>3</v>
      </c>
      <c r="H38" s="1312">
        <v>2</v>
      </c>
      <c r="I38" s="1314" t="s">
        <v>45</v>
      </c>
      <c r="J38" s="184">
        <v>110</v>
      </c>
      <c r="K38" s="75">
        <v>200</v>
      </c>
      <c r="L38" s="75">
        <v>2050</v>
      </c>
      <c r="M38" s="191">
        <v>21.002753101007912</v>
      </c>
      <c r="N38" s="87">
        <v>1028.4524542367999</v>
      </c>
      <c r="O38" s="123">
        <v>33378.319908326368</v>
      </c>
      <c r="P38" s="119">
        <v>39832.121213907754</v>
      </c>
      <c r="Q38" s="310">
        <v>19696.15869264934</v>
      </c>
      <c r="R38" s="319">
        <v>53074.478600975708</v>
      </c>
      <c r="S38" s="315">
        <v>59528.279906557094</v>
      </c>
      <c r="U38" s="7" t="s">
        <v>4914</v>
      </c>
    </row>
    <row r="39" spans="1:21" ht="16.5" thickBot="1">
      <c r="A39" s="1311" t="s">
        <v>4588</v>
      </c>
      <c r="B39" s="1312">
        <f t="shared" si="0"/>
        <v>110</v>
      </c>
      <c r="C39" s="1312" t="s">
        <v>3</v>
      </c>
      <c r="D39" s="1312">
        <f t="shared" si="1"/>
        <v>200</v>
      </c>
      <c r="E39" s="1312" t="s">
        <v>3</v>
      </c>
      <c r="F39" s="1313">
        <f t="shared" si="2"/>
        <v>2100</v>
      </c>
      <c r="G39" s="1312" t="s">
        <v>3</v>
      </c>
      <c r="H39" s="1312">
        <v>2</v>
      </c>
      <c r="I39" s="1314" t="s">
        <v>45</v>
      </c>
      <c r="J39" s="184">
        <v>110</v>
      </c>
      <c r="K39" s="75">
        <v>200</v>
      </c>
      <c r="L39" s="75">
        <v>2100</v>
      </c>
      <c r="M39" s="191">
        <v>21.483887735743338</v>
      </c>
      <c r="N39" s="87">
        <v>1058.7010558319998</v>
      </c>
      <c r="O39" s="123">
        <v>34005.143419842047</v>
      </c>
      <c r="P39" s="119">
        <v>40602.620484738683</v>
      </c>
      <c r="Q39" s="310">
        <v>20285.159109160617</v>
      </c>
      <c r="R39" s="319">
        <v>54290.302529002664</v>
      </c>
      <c r="S39" s="315">
        <v>60887.7795938993</v>
      </c>
      <c r="U39" s="7" t="s">
        <v>4915</v>
      </c>
    </row>
    <row r="40" spans="1:21" ht="16.5" thickBot="1">
      <c r="A40" s="1311" t="s">
        <v>4588</v>
      </c>
      <c r="B40" s="1315">
        <f t="shared" si="0"/>
        <v>110</v>
      </c>
      <c r="C40" s="1315" t="s">
        <v>3</v>
      </c>
      <c r="D40" s="1315">
        <f t="shared" si="1"/>
        <v>200</v>
      </c>
      <c r="E40" s="1315" t="s">
        <v>3</v>
      </c>
      <c r="F40" s="1313">
        <f t="shared" si="2"/>
        <v>2150</v>
      </c>
      <c r="G40" s="1315" t="s">
        <v>3</v>
      </c>
      <c r="H40" s="1312">
        <v>2</v>
      </c>
      <c r="I40" s="1314" t="s">
        <v>45</v>
      </c>
      <c r="J40" s="184">
        <v>110</v>
      </c>
      <c r="K40" s="75">
        <v>200</v>
      </c>
      <c r="L40" s="75">
        <v>2150</v>
      </c>
      <c r="M40" s="191">
        <v>21.965022370478763</v>
      </c>
      <c r="N40" s="87">
        <v>1088.9496574271998</v>
      </c>
      <c r="O40" s="123">
        <v>34631.966790964354</v>
      </c>
      <c r="P40" s="119">
        <v>41373.119755569605</v>
      </c>
      <c r="Q40" s="310">
        <v>20643.577747888616</v>
      </c>
      <c r="R40" s="319">
        <v>55275.54453885297</v>
      </c>
      <c r="S40" s="315">
        <v>62016.697503458221</v>
      </c>
      <c r="U40" s="7" t="s">
        <v>4916</v>
      </c>
    </row>
    <row r="41" spans="1:21" ht="16.5" thickBot="1">
      <c r="A41" s="1311" t="s">
        <v>4588</v>
      </c>
      <c r="B41" s="1315">
        <f t="shared" si="0"/>
        <v>110</v>
      </c>
      <c r="C41" s="1315" t="s">
        <v>3</v>
      </c>
      <c r="D41" s="1315">
        <f t="shared" si="1"/>
        <v>200</v>
      </c>
      <c r="E41" s="1315" t="s">
        <v>3</v>
      </c>
      <c r="F41" s="1313">
        <f t="shared" si="2"/>
        <v>2200</v>
      </c>
      <c r="G41" s="1315" t="s">
        <v>3</v>
      </c>
      <c r="H41" s="1312">
        <v>2</v>
      </c>
      <c r="I41" s="1314" t="s">
        <v>45</v>
      </c>
      <c r="J41" s="184">
        <v>110</v>
      </c>
      <c r="K41" s="75">
        <v>200</v>
      </c>
      <c r="L41" s="75">
        <v>2200</v>
      </c>
      <c r="M41" s="191">
        <v>22.446157005214197</v>
      </c>
      <c r="N41" s="87">
        <v>1119.1982590224</v>
      </c>
      <c r="O41" s="123">
        <v>35258.790302480033</v>
      </c>
      <c r="P41" s="119">
        <v>42143.619026400534</v>
      </c>
      <c r="Q41" s="310">
        <v>21232.578164399893</v>
      </c>
      <c r="R41" s="319">
        <v>56491.368466879925</v>
      </c>
      <c r="S41" s="315">
        <v>63376.197190800427</v>
      </c>
      <c r="U41" s="7" t="s">
        <v>4917</v>
      </c>
    </row>
    <row r="42" spans="1:21" ht="16.5" thickBot="1">
      <c r="A42" s="1311" t="s">
        <v>4588</v>
      </c>
      <c r="B42" s="1315">
        <f t="shared" si="0"/>
        <v>110</v>
      </c>
      <c r="C42" s="1315" t="s">
        <v>3</v>
      </c>
      <c r="D42" s="1315">
        <f t="shared" si="1"/>
        <v>200</v>
      </c>
      <c r="E42" s="1315" t="s">
        <v>3</v>
      </c>
      <c r="F42" s="1313">
        <f t="shared" si="2"/>
        <v>2250</v>
      </c>
      <c r="G42" s="1315" t="s">
        <v>3</v>
      </c>
      <c r="H42" s="1312">
        <v>2</v>
      </c>
      <c r="I42" s="1314" t="s">
        <v>45</v>
      </c>
      <c r="J42" s="184">
        <v>110</v>
      </c>
      <c r="K42" s="75">
        <v>200</v>
      </c>
      <c r="L42" s="75">
        <v>2250</v>
      </c>
      <c r="M42" s="191">
        <v>22.927291639949622</v>
      </c>
      <c r="N42" s="87">
        <v>1149.4468606175997</v>
      </c>
      <c r="O42" s="123">
        <v>35885.61367360234</v>
      </c>
      <c r="P42" s="119">
        <v>42914.118297231464</v>
      </c>
      <c r="Q42" s="310">
        <v>21590.996943521255</v>
      </c>
      <c r="R42" s="319">
        <v>57476.610617123595</v>
      </c>
      <c r="S42" s="315">
        <v>64505.115240752719</v>
      </c>
      <c r="U42" s="7" t="s">
        <v>4918</v>
      </c>
    </row>
    <row r="43" spans="1:21" ht="16.5" thickBot="1">
      <c r="A43" s="1311" t="s">
        <v>4588</v>
      </c>
      <c r="B43" s="1315">
        <f t="shared" si="0"/>
        <v>110</v>
      </c>
      <c r="C43" s="1315" t="s">
        <v>3</v>
      </c>
      <c r="D43" s="1315">
        <f t="shared" si="1"/>
        <v>200</v>
      </c>
      <c r="E43" s="1315" t="s">
        <v>3</v>
      </c>
      <c r="F43" s="1313">
        <f t="shared" si="2"/>
        <v>2300</v>
      </c>
      <c r="G43" s="1315" t="s">
        <v>3</v>
      </c>
      <c r="H43" s="1312">
        <v>2</v>
      </c>
      <c r="I43" s="1314" t="s">
        <v>45</v>
      </c>
      <c r="J43" s="184">
        <v>110</v>
      </c>
      <c r="K43" s="75">
        <v>200</v>
      </c>
      <c r="L43" s="75">
        <v>2300</v>
      </c>
      <c r="M43" s="191">
        <v>23.408426274685048</v>
      </c>
      <c r="N43" s="87">
        <v>1179.6954622127998</v>
      </c>
      <c r="O43" s="123">
        <v>36512.437185118019</v>
      </c>
      <c r="P43" s="119">
        <v>43684.617568062386</v>
      </c>
      <c r="Q43" s="310">
        <v>21949.415582249254</v>
      </c>
      <c r="R43" s="319">
        <v>58461.852767367272</v>
      </c>
      <c r="S43" s="315">
        <v>65634.033150311647</v>
      </c>
      <c r="U43" s="7" t="s">
        <v>4919</v>
      </c>
    </row>
    <row r="44" spans="1:21" ht="16.5" thickBot="1">
      <c r="A44" s="1311" t="s">
        <v>4588</v>
      </c>
      <c r="B44" s="1315">
        <f t="shared" si="0"/>
        <v>110</v>
      </c>
      <c r="C44" s="1315" t="s">
        <v>3</v>
      </c>
      <c r="D44" s="1315">
        <f t="shared" si="1"/>
        <v>200</v>
      </c>
      <c r="E44" s="1315" t="s">
        <v>3</v>
      </c>
      <c r="F44" s="1313">
        <f t="shared" si="2"/>
        <v>2350</v>
      </c>
      <c r="G44" s="1315" t="s">
        <v>3</v>
      </c>
      <c r="H44" s="1312">
        <v>2</v>
      </c>
      <c r="I44" s="1314" t="s">
        <v>45</v>
      </c>
      <c r="J44" s="184">
        <v>110</v>
      </c>
      <c r="K44" s="75">
        <v>200</v>
      </c>
      <c r="L44" s="75">
        <v>2350</v>
      </c>
      <c r="M44" s="191">
        <v>23.889560909420474</v>
      </c>
      <c r="N44" s="87">
        <v>1209.9440638079998</v>
      </c>
      <c r="O44" s="123">
        <v>37139.26069663369</v>
      </c>
      <c r="P44" s="119">
        <v>44455.116838893307</v>
      </c>
      <c r="Q44" s="310">
        <v>22538.415998760531</v>
      </c>
      <c r="R44" s="319">
        <v>59677.676695394221</v>
      </c>
      <c r="S44" s="315">
        <v>66993.532837653838</v>
      </c>
      <c r="U44" s="7" t="s">
        <v>4920</v>
      </c>
    </row>
    <row r="45" spans="1:21" ht="16.5" thickBot="1">
      <c r="A45" s="1311" t="s">
        <v>4588</v>
      </c>
      <c r="B45" s="1315">
        <f t="shared" si="0"/>
        <v>110</v>
      </c>
      <c r="C45" s="1315" t="s">
        <v>3</v>
      </c>
      <c r="D45" s="1315">
        <f t="shared" si="1"/>
        <v>200</v>
      </c>
      <c r="E45" s="1315" t="s">
        <v>3</v>
      </c>
      <c r="F45" s="1313">
        <f t="shared" si="2"/>
        <v>2400</v>
      </c>
      <c r="G45" s="1315" t="s">
        <v>3</v>
      </c>
      <c r="H45" s="1312">
        <v>2</v>
      </c>
      <c r="I45" s="1314" t="s">
        <v>45</v>
      </c>
      <c r="J45" s="184">
        <v>110</v>
      </c>
      <c r="K45" s="75">
        <v>200</v>
      </c>
      <c r="L45" s="75">
        <v>2400</v>
      </c>
      <c r="M45" s="191">
        <v>24.3706955441559</v>
      </c>
      <c r="N45" s="87">
        <v>1240.1926654031997</v>
      </c>
      <c r="O45" s="123">
        <v>37766.084067756005</v>
      </c>
      <c r="P45" s="119">
        <v>45225.616109724229</v>
      </c>
      <c r="Q45" s="310">
        <v>22896.83463748853</v>
      </c>
      <c r="R45" s="319">
        <v>60662.918705244534</v>
      </c>
      <c r="S45" s="315">
        <v>68122.450747212759</v>
      </c>
      <c r="U45" s="7" t="s">
        <v>4921</v>
      </c>
    </row>
    <row r="46" spans="1:21" ht="16.5" thickBot="1">
      <c r="A46" s="1311" t="s">
        <v>4588</v>
      </c>
      <c r="B46" s="1315">
        <f t="shared" si="0"/>
        <v>110</v>
      </c>
      <c r="C46" s="1315" t="s">
        <v>3</v>
      </c>
      <c r="D46" s="1315">
        <f t="shared" si="1"/>
        <v>200</v>
      </c>
      <c r="E46" s="1315" t="s">
        <v>3</v>
      </c>
      <c r="F46" s="1313">
        <f t="shared" si="2"/>
        <v>2450</v>
      </c>
      <c r="G46" s="1315" t="s">
        <v>3</v>
      </c>
      <c r="H46" s="1312">
        <v>2</v>
      </c>
      <c r="I46" s="1314" t="s">
        <v>45</v>
      </c>
      <c r="J46" s="184">
        <v>110</v>
      </c>
      <c r="K46" s="75">
        <v>200</v>
      </c>
      <c r="L46" s="75">
        <v>2450</v>
      </c>
      <c r="M46" s="191">
        <v>24.851830178891326</v>
      </c>
      <c r="N46" s="87">
        <v>1270.4412669983999</v>
      </c>
      <c r="O46" s="123">
        <v>38392.907579271683</v>
      </c>
      <c r="P46" s="119">
        <v>45996.115380555158</v>
      </c>
      <c r="Q46" s="310">
        <v>23485.83519439317</v>
      </c>
      <c r="R46" s="319">
        <v>61878.742773664853</v>
      </c>
      <c r="S46" s="315">
        <v>69481.950574948336</v>
      </c>
      <c r="U46" s="7" t="s">
        <v>4922</v>
      </c>
    </row>
    <row r="47" spans="1:21" ht="16.5" thickBot="1">
      <c r="A47" s="1311" t="s">
        <v>4588</v>
      </c>
      <c r="B47" s="1315">
        <f t="shared" si="0"/>
        <v>110</v>
      </c>
      <c r="C47" s="1315" t="s">
        <v>3</v>
      </c>
      <c r="D47" s="1315">
        <f t="shared" si="1"/>
        <v>200</v>
      </c>
      <c r="E47" s="1315" t="s">
        <v>3</v>
      </c>
      <c r="F47" s="1313">
        <f t="shared" si="2"/>
        <v>2500</v>
      </c>
      <c r="G47" s="1315" t="s">
        <v>3</v>
      </c>
      <c r="H47" s="1312">
        <v>2</v>
      </c>
      <c r="I47" s="1314" t="s">
        <v>45</v>
      </c>
      <c r="J47" s="184">
        <v>110</v>
      </c>
      <c r="K47" s="75">
        <v>200</v>
      </c>
      <c r="L47" s="75">
        <v>2500</v>
      </c>
      <c r="M47" s="191">
        <v>25.561783613626758</v>
      </c>
      <c r="N47" s="87">
        <v>1300.6898685935996</v>
      </c>
      <c r="O47" s="123">
        <v>39626.561323942769</v>
      </c>
      <c r="P47" s="119">
        <v>47504.860231902989</v>
      </c>
      <c r="Q47" s="310">
        <v>23844.253833121165</v>
      </c>
      <c r="R47" s="319">
        <v>63470.815157063931</v>
      </c>
      <c r="S47" s="315">
        <v>71349.114065024158</v>
      </c>
      <c r="U47" s="7" t="s">
        <v>4923</v>
      </c>
    </row>
    <row r="48" spans="1:21" ht="16.5" thickBot="1">
      <c r="A48" s="1311" t="s">
        <v>4588</v>
      </c>
      <c r="B48" s="1315">
        <f t="shared" si="0"/>
        <v>110</v>
      </c>
      <c r="C48" s="1315" t="s">
        <v>3</v>
      </c>
      <c r="D48" s="1315">
        <f t="shared" si="1"/>
        <v>200</v>
      </c>
      <c r="E48" s="1315" t="s">
        <v>3</v>
      </c>
      <c r="F48" s="1313">
        <f t="shared" si="2"/>
        <v>2550</v>
      </c>
      <c r="G48" s="1315" t="s">
        <v>3</v>
      </c>
      <c r="H48" s="1312">
        <v>2</v>
      </c>
      <c r="I48" s="1314" t="s">
        <v>45</v>
      </c>
      <c r="J48" s="184">
        <v>110</v>
      </c>
      <c r="K48" s="75">
        <v>200</v>
      </c>
      <c r="L48" s="75">
        <v>2550</v>
      </c>
      <c r="M48" s="191">
        <v>26.042918248362191</v>
      </c>
      <c r="N48" s="87">
        <v>1330.9384701887998</v>
      </c>
      <c r="O48" s="123">
        <v>40611.046051995763</v>
      </c>
      <c r="P48" s="119">
        <v>48289.398838983914</v>
      </c>
      <c r="Q48" s="310">
        <v>24433.254249632446</v>
      </c>
      <c r="R48" s="319">
        <v>65044.300301628209</v>
      </c>
      <c r="S48" s="315">
        <v>72722.653088616353</v>
      </c>
      <c r="U48" s="7" t="s">
        <v>4924</v>
      </c>
    </row>
    <row r="49" spans="1:21" ht="16.5" thickBot="1">
      <c r="A49" s="1311" t="s">
        <v>4588</v>
      </c>
      <c r="B49" s="1312">
        <f t="shared" si="0"/>
        <v>110</v>
      </c>
      <c r="C49" s="1312" t="s">
        <v>3</v>
      </c>
      <c r="D49" s="1312">
        <f t="shared" si="1"/>
        <v>200</v>
      </c>
      <c r="E49" s="1312" t="s">
        <v>3</v>
      </c>
      <c r="F49" s="1313">
        <f t="shared" si="2"/>
        <v>2600</v>
      </c>
      <c r="G49" s="1312" t="s">
        <v>3</v>
      </c>
      <c r="H49" s="1312">
        <v>2</v>
      </c>
      <c r="I49" s="1314" t="s">
        <v>45</v>
      </c>
      <c r="J49" s="184">
        <v>110</v>
      </c>
      <c r="K49" s="75">
        <v>200</v>
      </c>
      <c r="L49" s="75">
        <v>2600</v>
      </c>
      <c r="M49" s="191">
        <v>26.524052883097617</v>
      </c>
      <c r="N49" s="87">
        <v>1361.1870717839997</v>
      </c>
      <c r="O49" s="123">
        <v>41237.869423118071</v>
      </c>
      <c r="P49" s="119">
        <v>49059.898109814836</v>
      </c>
      <c r="Q49" s="310">
        <v>24791.672888360441</v>
      </c>
      <c r="R49" s="319">
        <v>66029.542311478508</v>
      </c>
      <c r="S49" s="315">
        <v>73851.570998175273</v>
      </c>
      <c r="U49" s="7" t="s">
        <v>4925</v>
      </c>
    </row>
    <row r="50" spans="1:21" ht="16.5" thickBot="1">
      <c r="A50" s="1311" t="s">
        <v>4588</v>
      </c>
      <c r="B50" s="1315">
        <f t="shared" si="0"/>
        <v>110</v>
      </c>
      <c r="C50" s="1315" t="s">
        <v>3</v>
      </c>
      <c r="D50" s="1315">
        <f t="shared" si="1"/>
        <v>200</v>
      </c>
      <c r="E50" s="1315" t="s">
        <v>3</v>
      </c>
      <c r="F50" s="1313">
        <f t="shared" si="2"/>
        <v>2650</v>
      </c>
      <c r="G50" s="1315" t="s">
        <v>3</v>
      </c>
      <c r="H50" s="1312">
        <v>2</v>
      </c>
      <c r="I50" s="1314" t="s">
        <v>45</v>
      </c>
      <c r="J50" s="184">
        <v>110</v>
      </c>
      <c r="K50" s="75">
        <v>200</v>
      </c>
      <c r="L50" s="75">
        <v>2650</v>
      </c>
      <c r="M50" s="191">
        <v>27.005187517833043</v>
      </c>
      <c r="N50" s="87">
        <v>1391.4356733791997</v>
      </c>
      <c r="O50" s="123">
        <v>41864.692934633749</v>
      </c>
      <c r="P50" s="119">
        <v>49830.397380645758</v>
      </c>
      <c r="Q50" s="310">
        <v>25380.673304871718</v>
      </c>
      <c r="R50" s="319">
        <v>67245.366239505471</v>
      </c>
      <c r="S50" s="315">
        <v>75211.070685517479</v>
      </c>
      <c r="U50" s="7" t="s">
        <v>4926</v>
      </c>
    </row>
    <row r="51" spans="1:21" ht="16.5" thickBot="1">
      <c r="A51" s="1311" t="s">
        <v>4588</v>
      </c>
      <c r="B51" s="1315">
        <f t="shared" si="0"/>
        <v>110</v>
      </c>
      <c r="C51" s="1315" t="s">
        <v>3</v>
      </c>
      <c r="D51" s="1315">
        <f t="shared" si="1"/>
        <v>200</v>
      </c>
      <c r="E51" s="1315" t="s">
        <v>3</v>
      </c>
      <c r="F51" s="1313">
        <f t="shared" si="2"/>
        <v>2700</v>
      </c>
      <c r="G51" s="1315" t="s">
        <v>3</v>
      </c>
      <c r="H51" s="1312">
        <v>2</v>
      </c>
      <c r="I51" s="1314" t="s">
        <v>45</v>
      </c>
      <c r="J51" s="184">
        <v>110</v>
      </c>
      <c r="K51" s="75">
        <v>200</v>
      </c>
      <c r="L51" s="75">
        <v>2700</v>
      </c>
      <c r="M51" s="191">
        <v>27.486322152568469</v>
      </c>
      <c r="N51" s="87">
        <v>1421.6842749743998</v>
      </c>
      <c r="O51" s="123">
        <v>42491.516446149421</v>
      </c>
      <c r="P51" s="119">
        <v>50600.896651476687</v>
      </c>
      <c r="Q51" s="310">
        <v>25739.09208399308</v>
      </c>
      <c r="R51" s="319">
        <v>68230.608530142505</v>
      </c>
      <c r="S51" s="315">
        <v>76339.988735469771</v>
      </c>
      <c r="U51" s="7" t="s">
        <v>4927</v>
      </c>
    </row>
    <row r="52" spans="1:21" ht="16.5" thickBot="1">
      <c r="A52" s="1311" t="s">
        <v>4588</v>
      </c>
      <c r="B52" s="1315">
        <f t="shared" si="0"/>
        <v>110</v>
      </c>
      <c r="C52" s="1315" t="s">
        <v>3</v>
      </c>
      <c r="D52" s="1315">
        <f t="shared" si="1"/>
        <v>200</v>
      </c>
      <c r="E52" s="1315" t="s">
        <v>3</v>
      </c>
      <c r="F52" s="1313">
        <f t="shared" si="2"/>
        <v>2750</v>
      </c>
      <c r="G52" s="1315" t="s">
        <v>3</v>
      </c>
      <c r="H52" s="1312">
        <v>2</v>
      </c>
      <c r="I52" s="1314" t="s">
        <v>45</v>
      </c>
      <c r="J52" s="184">
        <v>110</v>
      </c>
      <c r="K52" s="75">
        <v>200</v>
      </c>
      <c r="L52" s="75">
        <v>2750</v>
      </c>
      <c r="M52" s="191">
        <v>27.967456787303902</v>
      </c>
      <c r="N52" s="87">
        <v>1451.9328765695998</v>
      </c>
      <c r="O52" s="123">
        <v>43118.339817271735</v>
      </c>
      <c r="P52" s="119">
        <v>51371.395922307609</v>
      </c>
      <c r="Q52" s="310">
        <v>26097.510722721079</v>
      </c>
      <c r="R52" s="319">
        <v>69215.850539992811</v>
      </c>
      <c r="S52" s="315">
        <v>77468.906645028692</v>
      </c>
      <c r="U52" s="7" t="s">
        <v>4928</v>
      </c>
    </row>
    <row r="53" spans="1:21" ht="16.5" thickBot="1">
      <c r="A53" s="1311" t="s">
        <v>4588</v>
      </c>
      <c r="B53" s="1315">
        <f t="shared" si="0"/>
        <v>110</v>
      </c>
      <c r="C53" s="1315" t="s">
        <v>3</v>
      </c>
      <c r="D53" s="1315">
        <f t="shared" si="1"/>
        <v>200</v>
      </c>
      <c r="E53" s="1315" t="s">
        <v>3</v>
      </c>
      <c r="F53" s="1313">
        <f t="shared" si="2"/>
        <v>2800</v>
      </c>
      <c r="G53" s="1315" t="s">
        <v>3</v>
      </c>
      <c r="H53" s="1312">
        <v>2</v>
      </c>
      <c r="I53" s="1314" t="s">
        <v>45</v>
      </c>
      <c r="J53" s="184">
        <v>110</v>
      </c>
      <c r="K53" s="75">
        <v>200</v>
      </c>
      <c r="L53" s="75">
        <v>2800</v>
      </c>
      <c r="M53" s="191">
        <v>28.448591422039328</v>
      </c>
      <c r="N53" s="87">
        <v>1482.1814781647997</v>
      </c>
      <c r="O53" s="123">
        <v>43745.163328787414</v>
      </c>
      <c r="P53" s="119">
        <v>52141.895193138531</v>
      </c>
      <c r="Q53" s="310">
        <v>26686.511139232356</v>
      </c>
      <c r="R53" s="319">
        <v>70431.674468019773</v>
      </c>
      <c r="S53" s="315">
        <v>78828.406332370883</v>
      </c>
      <c r="U53" s="7" t="s">
        <v>4929</v>
      </c>
    </row>
    <row r="54" spans="1:21" ht="16.5" thickBot="1">
      <c r="A54" s="1311" t="s">
        <v>4588</v>
      </c>
      <c r="B54" s="1315">
        <f t="shared" si="0"/>
        <v>110</v>
      </c>
      <c r="C54" s="1315" t="s">
        <v>3</v>
      </c>
      <c r="D54" s="1315">
        <f t="shared" si="1"/>
        <v>200</v>
      </c>
      <c r="E54" s="1315" t="s">
        <v>3</v>
      </c>
      <c r="F54" s="1313">
        <f t="shared" si="2"/>
        <v>2850</v>
      </c>
      <c r="G54" s="1315" t="s">
        <v>3</v>
      </c>
      <c r="H54" s="1312">
        <v>2</v>
      </c>
      <c r="I54" s="1314" t="s">
        <v>45</v>
      </c>
      <c r="J54" s="184">
        <v>110</v>
      </c>
      <c r="K54" s="75">
        <v>200</v>
      </c>
      <c r="L54" s="75">
        <v>2850</v>
      </c>
      <c r="M54" s="191">
        <v>28.929726056774751</v>
      </c>
      <c r="N54" s="87">
        <v>1512.4300797599997</v>
      </c>
      <c r="O54" s="123">
        <v>44371.986699909721</v>
      </c>
      <c r="P54" s="119">
        <v>52912.394463969467</v>
      </c>
      <c r="Q54" s="310">
        <v>27044.929777960355</v>
      </c>
      <c r="R54" s="319">
        <v>71416.91647787008</v>
      </c>
      <c r="S54" s="315">
        <v>79957.324241929819</v>
      </c>
      <c r="U54" s="7" t="s">
        <v>4930</v>
      </c>
    </row>
    <row r="55" spans="1:21" ht="16.5" thickBot="1">
      <c r="A55" s="1311" t="s">
        <v>4588</v>
      </c>
      <c r="B55" s="1315">
        <f t="shared" si="0"/>
        <v>110</v>
      </c>
      <c r="C55" s="1315" t="s">
        <v>3</v>
      </c>
      <c r="D55" s="1315">
        <f t="shared" si="1"/>
        <v>200</v>
      </c>
      <c r="E55" s="1315" t="s">
        <v>3</v>
      </c>
      <c r="F55" s="1313">
        <f t="shared" si="2"/>
        <v>2900</v>
      </c>
      <c r="G55" s="1315" t="s">
        <v>3</v>
      </c>
      <c r="H55" s="1312">
        <v>2</v>
      </c>
      <c r="I55" s="1314" t="s">
        <v>45</v>
      </c>
      <c r="J55" s="184">
        <v>110</v>
      </c>
      <c r="K55" s="75">
        <v>200</v>
      </c>
      <c r="L55" s="75">
        <v>2900</v>
      </c>
      <c r="M55" s="191">
        <v>29.41086069151018</v>
      </c>
      <c r="N55" s="87">
        <v>1542.6786813551996</v>
      </c>
      <c r="O55" s="123">
        <v>44998.8102114254</v>
      </c>
      <c r="P55" s="119">
        <v>53682.893734800389</v>
      </c>
      <c r="Q55" s="310">
        <v>27633.930194471632</v>
      </c>
      <c r="R55" s="319">
        <v>72632.740405897028</v>
      </c>
      <c r="S55" s="315">
        <v>81316.823929272025</v>
      </c>
      <c r="U55" s="7" t="s">
        <v>4931</v>
      </c>
    </row>
    <row r="56" spans="1:21" ht="16.5" thickBot="1">
      <c r="A56" s="1311" t="s">
        <v>4588</v>
      </c>
      <c r="B56" s="1315">
        <f t="shared" si="0"/>
        <v>110</v>
      </c>
      <c r="C56" s="1315" t="s">
        <v>3</v>
      </c>
      <c r="D56" s="1315">
        <f t="shared" si="1"/>
        <v>200</v>
      </c>
      <c r="E56" s="1315" t="s">
        <v>3</v>
      </c>
      <c r="F56" s="1313">
        <f t="shared" si="2"/>
        <v>2950</v>
      </c>
      <c r="G56" s="1315" t="s">
        <v>3</v>
      </c>
      <c r="H56" s="1312">
        <v>2</v>
      </c>
      <c r="I56" s="1314" t="s">
        <v>45</v>
      </c>
      <c r="J56" s="184">
        <v>110</v>
      </c>
      <c r="K56" s="75">
        <v>200</v>
      </c>
      <c r="L56" s="75">
        <v>2950</v>
      </c>
      <c r="M56" s="191">
        <v>29.891995326245613</v>
      </c>
      <c r="N56" s="87">
        <v>1572.9272829503998</v>
      </c>
      <c r="O56" s="123">
        <v>45625.633582547707</v>
      </c>
      <c r="P56" s="119">
        <v>54453.393005631311</v>
      </c>
      <c r="Q56" s="310">
        <v>27992.348973592994</v>
      </c>
      <c r="R56" s="319">
        <v>73617.982556140705</v>
      </c>
      <c r="S56" s="315">
        <v>82445.741979224302</v>
      </c>
      <c r="U56" s="7" t="s">
        <v>4932</v>
      </c>
    </row>
    <row r="57" spans="1:21" ht="16.5" thickBot="1">
      <c r="A57" s="1316" t="s">
        <v>4588</v>
      </c>
      <c r="B57" s="1317">
        <f t="shared" si="0"/>
        <v>110</v>
      </c>
      <c r="C57" s="1317" t="s">
        <v>3</v>
      </c>
      <c r="D57" s="1317">
        <f t="shared" si="1"/>
        <v>200</v>
      </c>
      <c r="E57" s="1317" t="s">
        <v>3</v>
      </c>
      <c r="F57" s="1318">
        <f t="shared" si="2"/>
        <v>3000</v>
      </c>
      <c r="G57" s="1317" t="s">
        <v>3</v>
      </c>
      <c r="H57" s="1319">
        <v>2</v>
      </c>
      <c r="I57" s="1320" t="s">
        <v>45</v>
      </c>
      <c r="J57" s="321">
        <v>110</v>
      </c>
      <c r="K57" s="322">
        <v>200</v>
      </c>
      <c r="L57" s="322">
        <v>3000</v>
      </c>
      <c r="M57" s="337">
        <v>30.529201960981037</v>
      </c>
      <c r="N57" s="306">
        <v>1603.1758845455997</v>
      </c>
      <c r="O57" s="307">
        <v>46459.116123663385</v>
      </c>
      <c r="P57" s="333">
        <v>55430.55130606224</v>
      </c>
      <c r="Q57" s="323">
        <v>28581.349390104271</v>
      </c>
      <c r="R57" s="324">
        <v>75040.46551376766</v>
      </c>
      <c r="S57" s="325">
        <v>84011.900696166515</v>
      </c>
      <c r="U57" s="7" t="s">
        <v>4933</v>
      </c>
    </row>
    <row r="58" spans="1:21" ht="21.75" thickBot="1">
      <c r="A58" s="2580" t="s">
        <v>515</v>
      </c>
      <c r="B58" s="2581"/>
      <c r="C58" s="2581"/>
      <c r="D58" s="2581"/>
      <c r="E58" s="2581"/>
      <c r="F58" s="2581"/>
      <c r="G58" s="2581"/>
      <c r="H58" s="2581"/>
      <c r="I58" s="2581"/>
      <c r="J58" s="2581"/>
      <c r="K58" s="2581"/>
      <c r="L58" s="2581"/>
      <c r="M58" s="2581"/>
      <c r="N58" s="2581"/>
      <c r="O58" s="2581"/>
      <c r="P58" s="2581"/>
      <c r="Q58" s="2581"/>
      <c r="R58" s="2581"/>
      <c r="S58" s="2582"/>
      <c r="U58" s="7"/>
    </row>
    <row r="59" spans="1:21" ht="16.5" thickBot="1">
      <c r="A59" s="2583" t="s">
        <v>4587</v>
      </c>
      <c r="B59" s="2584"/>
      <c r="C59" s="2584"/>
      <c r="D59" s="2584"/>
      <c r="E59" s="2584"/>
      <c r="F59" s="2584"/>
      <c r="G59" s="2584"/>
      <c r="H59" s="2584"/>
      <c r="I59" s="2584"/>
      <c r="J59" s="2584"/>
      <c r="K59" s="2584"/>
      <c r="L59" s="2584"/>
      <c r="M59" s="2584"/>
      <c r="N59" s="2584"/>
      <c r="O59" s="2584"/>
      <c r="P59" s="2584"/>
      <c r="Q59" s="2584"/>
      <c r="R59" s="2584"/>
      <c r="S59" s="2585"/>
      <c r="U59" s="7"/>
    </row>
    <row r="60" spans="1:21" ht="16.5" thickBot="1">
      <c r="A60" s="1311" t="s">
        <v>4588</v>
      </c>
      <c r="B60" s="1312">
        <f>J60</f>
        <v>110</v>
      </c>
      <c r="C60" s="1312" t="s">
        <v>3</v>
      </c>
      <c r="D60" s="1312">
        <f>K60</f>
        <v>260</v>
      </c>
      <c r="E60" s="1312" t="s">
        <v>3</v>
      </c>
      <c r="F60" s="1313">
        <f>L60</f>
        <v>600</v>
      </c>
      <c r="G60" s="1312" t="s">
        <v>3</v>
      </c>
      <c r="H60" s="1312">
        <v>2</v>
      </c>
      <c r="I60" s="1314" t="s">
        <v>45</v>
      </c>
      <c r="J60" s="326">
        <v>110</v>
      </c>
      <c r="K60" s="327">
        <v>260</v>
      </c>
      <c r="L60" s="327">
        <v>600</v>
      </c>
      <c r="M60" s="338">
        <v>7.8423510317857694</v>
      </c>
      <c r="N60" s="302">
        <v>191.09949406990447</v>
      </c>
      <c r="O60" s="303">
        <v>14600.157051183642</v>
      </c>
      <c r="P60" s="335">
        <v>17946.003944648703</v>
      </c>
      <c r="Q60" s="328">
        <v>7536.0353334550891</v>
      </c>
      <c r="R60" s="329">
        <v>22136.192384638729</v>
      </c>
      <c r="S60" s="330">
        <v>25482.039278103792</v>
      </c>
      <c r="U60" s="7" t="s">
        <v>4934</v>
      </c>
    </row>
    <row r="61" spans="1:21" ht="16.5" thickBot="1">
      <c r="A61" s="1311" t="s">
        <v>4588</v>
      </c>
      <c r="B61" s="1315">
        <f t="shared" ref="B61:B108" si="3">J61</f>
        <v>110</v>
      </c>
      <c r="C61" s="1315" t="s">
        <v>3</v>
      </c>
      <c r="D61" s="1315">
        <f t="shared" ref="D61:D108" si="4">K61</f>
        <v>260</v>
      </c>
      <c r="E61" s="1315" t="s">
        <v>3</v>
      </c>
      <c r="F61" s="1313">
        <f t="shared" ref="F61:F108" si="5">L61</f>
        <v>650</v>
      </c>
      <c r="G61" s="1315" t="s">
        <v>3</v>
      </c>
      <c r="H61" s="1312">
        <v>2</v>
      </c>
      <c r="I61" s="1314" t="s">
        <v>45</v>
      </c>
      <c r="J61" s="184">
        <v>110</v>
      </c>
      <c r="K61" s="75">
        <v>260</v>
      </c>
      <c r="L61" s="75">
        <v>650</v>
      </c>
      <c r="M61" s="191">
        <v>8.3833487613633046</v>
      </c>
      <c r="N61" s="87">
        <v>229.31939288388534</v>
      </c>
      <c r="O61" s="123">
        <v>15256.363489536941</v>
      </c>
      <c r="P61" s="119">
        <v>18766.41137112803</v>
      </c>
      <c r="Q61" s="310">
        <v>7967.645945822027</v>
      </c>
      <c r="R61" s="319">
        <v>23224.009435358967</v>
      </c>
      <c r="S61" s="315">
        <v>26734.057316950057</v>
      </c>
      <c r="U61" s="7" t="s">
        <v>4935</v>
      </c>
    </row>
    <row r="62" spans="1:21" ht="16.5" thickBot="1">
      <c r="A62" s="1311" t="s">
        <v>4588</v>
      </c>
      <c r="B62" s="1315">
        <f t="shared" si="3"/>
        <v>110</v>
      </c>
      <c r="C62" s="1315" t="s">
        <v>3</v>
      </c>
      <c r="D62" s="1315">
        <f t="shared" si="4"/>
        <v>260</v>
      </c>
      <c r="E62" s="1315" t="s">
        <v>3</v>
      </c>
      <c r="F62" s="1313">
        <f t="shared" si="5"/>
        <v>700</v>
      </c>
      <c r="G62" s="1315" t="s">
        <v>3</v>
      </c>
      <c r="H62" s="1312">
        <v>2</v>
      </c>
      <c r="I62" s="1314" t="s">
        <v>45</v>
      </c>
      <c r="J62" s="184">
        <v>110</v>
      </c>
      <c r="K62" s="75">
        <v>260</v>
      </c>
      <c r="L62" s="75">
        <v>700</v>
      </c>
      <c r="M62" s="191">
        <v>8.9243464909408363</v>
      </c>
      <c r="N62" s="87">
        <v>267.53929169786625</v>
      </c>
      <c r="O62" s="123">
        <v>15912.570068283603</v>
      </c>
      <c r="P62" s="119">
        <v>19586.818938000717</v>
      </c>
      <c r="Q62" s="310">
        <v>8629.8383359722393</v>
      </c>
      <c r="R62" s="319">
        <v>24542.408404255842</v>
      </c>
      <c r="S62" s="315">
        <v>28216.657273972956</v>
      </c>
      <c r="U62" s="7" t="s">
        <v>4936</v>
      </c>
    </row>
    <row r="63" spans="1:21" ht="16.5" thickBot="1">
      <c r="A63" s="1311" t="s">
        <v>4588</v>
      </c>
      <c r="B63" s="1315">
        <f t="shared" si="3"/>
        <v>110</v>
      </c>
      <c r="C63" s="1315" t="s">
        <v>3</v>
      </c>
      <c r="D63" s="1315">
        <f t="shared" si="4"/>
        <v>260</v>
      </c>
      <c r="E63" s="1315" t="s">
        <v>3</v>
      </c>
      <c r="F63" s="1313">
        <f t="shared" si="5"/>
        <v>750</v>
      </c>
      <c r="G63" s="1315" t="s">
        <v>3</v>
      </c>
      <c r="H63" s="1312">
        <v>2</v>
      </c>
      <c r="I63" s="1314" t="s">
        <v>45</v>
      </c>
      <c r="J63" s="184">
        <v>110</v>
      </c>
      <c r="K63" s="75">
        <v>260</v>
      </c>
      <c r="L63" s="75">
        <v>750</v>
      </c>
      <c r="M63" s="191">
        <v>9.4653442205183698</v>
      </c>
      <c r="N63" s="87">
        <v>305.75919051184718</v>
      </c>
      <c r="O63" s="123">
        <v>16568.776647030267</v>
      </c>
      <c r="P63" s="119">
        <v>20407.226364480041</v>
      </c>
      <c r="Q63" s="310">
        <v>9061.4489483391772</v>
      </c>
      <c r="R63" s="319">
        <v>25630.225595369444</v>
      </c>
      <c r="S63" s="315">
        <v>29468.675312819218</v>
      </c>
      <c r="U63" s="7" t="s">
        <v>4937</v>
      </c>
    </row>
    <row r="64" spans="1:21" ht="16.5" thickBot="1">
      <c r="A64" s="1311" t="s">
        <v>4588</v>
      </c>
      <c r="B64" s="1315">
        <f t="shared" si="3"/>
        <v>110</v>
      </c>
      <c r="C64" s="1315" t="s">
        <v>3</v>
      </c>
      <c r="D64" s="1315">
        <f t="shared" si="4"/>
        <v>260</v>
      </c>
      <c r="E64" s="1315" t="s">
        <v>3</v>
      </c>
      <c r="F64" s="1313">
        <f t="shared" si="5"/>
        <v>800</v>
      </c>
      <c r="G64" s="1315" t="s">
        <v>3</v>
      </c>
      <c r="H64" s="1312">
        <v>2</v>
      </c>
      <c r="I64" s="1314" t="s">
        <v>45</v>
      </c>
      <c r="J64" s="184">
        <v>110</v>
      </c>
      <c r="K64" s="75">
        <v>260</v>
      </c>
      <c r="L64" s="75">
        <v>800</v>
      </c>
      <c r="M64" s="191">
        <v>10.006341950095901</v>
      </c>
      <c r="N64" s="87">
        <v>343.97908932582806</v>
      </c>
      <c r="O64" s="123">
        <v>17584.720438965527</v>
      </c>
      <c r="P64" s="119">
        <v>21241.673127209368</v>
      </c>
      <c r="Q64" s="310">
        <v>9493.059560706115</v>
      </c>
      <c r="R64" s="319">
        <v>27077.779999671642</v>
      </c>
      <c r="S64" s="315">
        <v>30734.732687915483</v>
      </c>
      <c r="U64" s="7" t="s">
        <v>4938</v>
      </c>
    </row>
    <row r="65" spans="1:21" ht="16.5" thickBot="1">
      <c r="A65" s="1311" t="s">
        <v>4588</v>
      </c>
      <c r="B65" s="1315">
        <f t="shared" si="3"/>
        <v>110</v>
      </c>
      <c r="C65" s="1315" t="s">
        <v>3</v>
      </c>
      <c r="D65" s="1315">
        <f t="shared" si="4"/>
        <v>260</v>
      </c>
      <c r="E65" s="1315" t="s">
        <v>3</v>
      </c>
      <c r="F65" s="1313">
        <f t="shared" si="5"/>
        <v>850</v>
      </c>
      <c r="G65" s="1315" t="s">
        <v>3</v>
      </c>
      <c r="H65" s="1312">
        <v>2</v>
      </c>
      <c r="I65" s="1314" t="s">
        <v>45</v>
      </c>
      <c r="J65" s="184">
        <v>110</v>
      </c>
      <c r="K65" s="75">
        <v>260</v>
      </c>
      <c r="L65" s="75">
        <v>850</v>
      </c>
      <c r="M65" s="191">
        <v>10.547339679673433</v>
      </c>
      <c r="N65" s="87">
        <v>382.19898813980893</v>
      </c>
      <c r="O65" s="123">
        <v>18240.927017712194</v>
      </c>
      <c r="P65" s="119">
        <v>22062.080553688691</v>
      </c>
      <c r="Q65" s="310">
        <v>10155.251950856327</v>
      </c>
      <c r="R65" s="319">
        <v>28396.178968568522</v>
      </c>
      <c r="S65" s="315">
        <v>32217.332504545018</v>
      </c>
      <c r="U65" s="7" t="s">
        <v>4939</v>
      </c>
    </row>
    <row r="66" spans="1:21" ht="16.5" thickBot="1">
      <c r="A66" s="1311" t="s">
        <v>4588</v>
      </c>
      <c r="B66" s="1315">
        <f t="shared" si="3"/>
        <v>110</v>
      </c>
      <c r="C66" s="1315" t="s">
        <v>3</v>
      </c>
      <c r="D66" s="1315">
        <f t="shared" si="4"/>
        <v>260</v>
      </c>
      <c r="E66" s="1315" t="s">
        <v>3</v>
      </c>
      <c r="F66" s="1313">
        <f t="shared" si="5"/>
        <v>900</v>
      </c>
      <c r="G66" s="1315" t="s">
        <v>3</v>
      </c>
      <c r="H66" s="1312">
        <v>2</v>
      </c>
      <c r="I66" s="1314" t="s">
        <v>45</v>
      </c>
      <c r="J66" s="184">
        <v>110</v>
      </c>
      <c r="K66" s="75">
        <v>260</v>
      </c>
      <c r="L66" s="75">
        <v>900</v>
      </c>
      <c r="M66" s="191">
        <v>11.088337409250968</v>
      </c>
      <c r="N66" s="87">
        <v>420.41888695378987</v>
      </c>
      <c r="O66" s="123">
        <v>18897.133596458854</v>
      </c>
      <c r="P66" s="119">
        <v>22882.487980168018</v>
      </c>
      <c r="Q66" s="310">
        <v>10586.862563223265</v>
      </c>
      <c r="R66" s="319">
        <v>29483.996159682119</v>
      </c>
      <c r="S66" s="315">
        <v>33469.35054339128</v>
      </c>
      <c r="U66" s="7" t="s">
        <v>4940</v>
      </c>
    </row>
    <row r="67" spans="1:21" ht="16.5" thickBot="1">
      <c r="A67" s="1311" t="s">
        <v>4588</v>
      </c>
      <c r="B67" s="1315">
        <f t="shared" si="3"/>
        <v>110</v>
      </c>
      <c r="C67" s="1315" t="s">
        <v>3</v>
      </c>
      <c r="D67" s="1315">
        <f t="shared" si="4"/>
        <v>260</v>
      </c>
      <c r="E67" s="1315" t="s">
        <v>3</v>
      </c>
      <c r="F67" s="1313">
        <f t="shared" si="5"/>
        <v>950</v>
      </c>
      <c r="G67" s="1315" t="s">
        <v>3</v>
      </c>
      <c r="H67" s="1312">
        <v>2</v>
      </c>
      <c r="I67" s="1314" t="s">
        <v>45</v>
      </c>
      <c r="J67" s="184">
        <v>110</v>
      </c>
      <c r="K67" s="75">
        <v>260</v>
      </c>
      <c r="L67" s="75">
        <v>950</v>
      </c>
      <c r="M67" s="191">
        <v>11.629335138828502</v>
      </c>
      <c r="N67" s="87">
        <v>458.63878576777068</v>
      </c>
      <c r="O67" s="123">
        <v>19553.340034812154</v>
      </c>
      <c r="P67" s="119">
        <v>23702.895547040702</v>
      </c>
      <c r="Q67" s="310">
        <v>11249.054953373477</v>
      </c>
      <c r="R67" s="319">
        <v>30802.394988185632</v>
      </c>
      <c r="S67" s="315">
        <v>34951.950500414183</v>
      </c>
      <c r="U67" s="7" t="s">
        <v>4941</v>
      </c>
    </row>
    <row r="68" spans="1:21" ht="16.5" thickBot="1">
      <c r="A68" s="1311" t="s">
        <v>4588</v>
      </c>
      <c r="B68" s="1315">
        <f t="shared" si="3"/>
        <v>110</v>
      </c>
      <c r="C68" s="1315" t="s">
        <v>3</v>
      </c>
      <c r="D68" s="1315">
        <f t="shared" si="4"/>
        <v>260</v>
      </c>
      <c r="E68" s="1315" t="s">
        <v>3</v>
      </c>
      <c r="F68" s="1313">
        <f t="shared" si="5"/>
        <v>1000</v>
      </c>
      <c r="G68" s="1315" t="s">
        <v>3</v>
      </c>
      <c r="H68" s="1312">
        <v>2</v>
      </c>
      <c r="I68" s="1314" t="s">
        <v>45</v>
      </c>
      <c r="J68" s="184">
        <v>110</v>
      </c>
      <c r="K68" s="75">
        <v>260</v>
      </c>
      <c r="L68" s="75">
        <v>1000</v>
      </c>
      <c r="M68" s="191">
        <v>12.271779668406035</v>
      </c>
      <c r="N68" s="87">
        <v>496.85868458175162</v>
      </c>
      <c r="O68" s="123">
        <v>20255.831497307816</v>
      </c>
      <c r="P68" s="119">
        <v>24569.587857269031</v>
      </c>
      <c r="Q68" s="310">
        <v>11680.665565740415</v>
      </c>
      <c r="R68" s="319">
        <v>31936.497063048231</v>
      </c>
      <c r="S68" s="315">
        <v>36250.253423009446</v>
      </c>
      <c r="U68" s="7" t="s">
        <v>4942</v>
      </c>
    </row>
    <row r="69" spans="1:21" ht="16.5" thickBot="1">
      <c r="A69" s="1311" t="s">
        <v>4588</v>
      </c>
      <c r="B69" s="1315">
        <f t="shared" si="3"/>
        <v>110</v>
      </c>
      <c r="C69" s="1315" t="s">
        <v>3</v>
      </c>
      <c r="D69" s="1315">
        <f t="shared" si="4"/>
        <v>260</v>
      </c>
      <c r="E69" s="1315" t="s">
        <v>3</v>
      </c>
      <c r="F69" s="1313">
        <f t="shared" si="5"/>
        <v>1050</v>
      </c>
      <c r="G69" s="1315" t="s">
        <v>3</v>
      </c>
      <c r="H69" s="1312">
        <v>2</v>
      </c>
      <c r="I69" s="1314" t="s">
        <v>45</v>
      </c>
      <c r="J69" s="184">
        <v>110</v>
      </c>
      <c r="K69" s="75">
        <v>260</v>
      </c>
      <c r="L69" s="75">
        <v>1050</v>
      </c>
      <c r="M69" s="191">
        <v>12.812777397983567</v>
      </c>
      <c r="N69" s="87">
        <v>535.07858339573249</v>
      </c>
      <c r="O69" s="123">
        <v>20912.038076054479</v>
      </c>
      <c r="P69" s="119">
        <v>25389.995283748354</v>
      </c>
      <c r="Q69" s="310">
        <v>12342.857815497266</v>
      </c>
      <c r="R69" s="319">
        <v>33254.895891551743</v>
      </c>
      <c r="S69" s="315">
        <v>37732.853099245622</v>
      </c>
      <c r="U69" s="7" t="s">
        <v>4943</v>
      </c>
    </row>
    <row r="70" spans="1:21" ht="16.5" thickBot="1">
      <c r="A70" s="1311" t="s">
        <v>4588</v>
      </c>
      <c r="B70" s="1312">
        <f t="shared" si="3"/>
        <v>110</v>
      </c>
      <c r="C70" s="1312" t="s">
        <v>3</v>
      </c>
      <c r="D70" s="1312">
        <f t="shared" si="4"/>
        <v>260</v>
      </c>
      <c r="E70" s="1312" t="s">
        <v>3</v>
      </c>
      <c r="F70" s="1313">
        <f t="shared" si="5"/>
        <v>1100</v>
      </c>
      <c r="G70" s="1312" t="s">
        <v>3</v>
      </c>
      <c r="H70" s="1312">
        <v>2</v>
      </c>
      <c r="I70" s="1314" t="s">
        <v>45</v>
      </c>
      <c r="J70" s="184">
        <v>110</v>
      </c>
      <c r="K70" s="75">
        <v>260</v>
      </c>
      <c r="L70" s="75">
        <v>1100</v>
      </c>
      <c r="M70" s="191">
        <v>13.3537751275611</v>
      </c>
      <c r="N70" s="87">
        <v>573.29848220971337</v>
      </c>
      <c r="O70" s="123">
        <v>21568.244514407779</v>
      </c>
      <c r="P70" s="119">
        <v>26210.402710227681</v>
      </c>
      <c r="Q70" s="310">
        <v>12774.468427864203</v>
      </c>
      <c r="R70" s="319">
        <v>34342.712942271981</v>
      </c>
      <c r="S70" s="315">
        <v>38984.871138091883</v>
      </c>
      <c r="U70" s="7" t="s">
        <v>4944</v>
      </c>
    </row>
    <row r="71" spans="1:21" ht="16.5" thickBot="1">
      <c r="A71" s="1311" t="s">
        <v>4588</v>
      </c>
      <c r="B71" s="1315">
        <f t="shared" si="3"/>
        <v>110</v>
      </c>
      <c r="C71" s="1315" t="s">
        <v>3</v>
      </c>
      <c r="D71" s="1315">
        <f t="shared" si="4"/>
        <v>260</v>
      </c>
      <c r="E71" s="1315" t="s">
        <v>3</v>
      </c>
      <c r="F71" s="1313">
        <f t="shared" si="5"/>
        <v>1150</v>
      </c>
      <c r="G71" s="1315" t="s">
        <v>3</v>
      </c>
      <c r="H71" s="1312">
        <v>2</v>
      </c>
      <c r="I71" s="1314" t="s">
        <v>45</v>
      </c>
      <c r="J71" s="184">
        <v>110</v>
      </c>
      <c r="K71" s="75">
        <v>260</v>
      </c>
      <c r="L71" s="75">
        <v>1150</v>
      </c>
      <c r="M71" s="191">
        <v>13.894772857138634</v>
      </c>
      <c r="N71" s="87">
        <v>611.51838102369436</v>
      </c>
      <c r="O71" s="123">
        <v>22224.451093154439</v>
      </c>
      <c r="P71" s="119">
        <v>27030.810136707005</v>
      </c>
      <c r="Q71" s="310">
        <v>13206.07904023114</v>
      </c>
      <c r="R71" s="319">
        <v>35430.530133385575</v>
      </c>
      <c r="S71" s="315">
        <v>40236.889176938144</v>
      </c>
      <c r="U71" s="7" t="s">
        <v>4945</v>
      </c>
    </row>
    <row r="72" spans="1:21" ht="16.5" thickBot="1">
      <c r="A72" s="1311" t="s">
        <v>4588</v>
      </c>
      <c r="B72" s="1315">
        <f t="shared" si="3"/>
        <v>110</v>
      </c>
      <c r="C72" s="1315" t="s">
        <v>3</v>
      </c>
      <c r="D72" s="1315">
        <f t="shared" si="4"/>
        <v>260</v>
      </c>
      <c r="E72" s="1315" t="s">
        <v>3</v>
      </c>
      <c r="F72" s="1313">
        <f t="shared" si="5"/>
        <v>1200</v>
      </c>
      <c r="G72" s="1315" t="s">
        <v>3</v>
      </c>
      <c r="H72" s="1312">
        <v>2</v>
      </c>
      <c r="I72" s="1314" t="s">
        <v>45</v>
      </c>
      <c r="J72" s="184">
        <v>110</v>
      </c>
      <c r="K72" s="75">
        <v>260</v>
      </c>
      <c r="L72" s="75">
        <v>1200</v>
      </c>
      <c r="M72" s="191">
        <v>14.435770586716163</v>
      </c>
      <c r="N72" s="87">
        <v>649.73827983767512</v>
      </c>
      <c r="O72" s="123">
        <v>22880.657671901106</v>
      </c>
      <c r="P72" s="119">
        <v>27851.217703579692</v>
      </c>
      <c r="Q72" s="310">
        <v>13868.271430381354</v>
      </c>
      <c r="R72" s="319">
        <v>36748.929102282462</v>
      </c>
      <c r="S72" s="315">
        <v>41719.489133961048</v>
      </c>
      <c r="U72" s="7" t="s">
        <v>4946</v>
      </c>
    </row>
    <row r="73" spans="1:21" ht="16.5" thickBot="1">
      <c r="A73" s="1311" t="s">
        <v>4588</v>
      </c>
      <c r="B73" s="1315">
        <f t="shared" si="3"/>
        <v>110</v>
      </c>
      <c r="C73" s="1315" t="s">
        <v>3</v>
      </c>
      <c r="D73" s="1315">
        <f t="shared" si="4"/>
        <v>260</v>
      </c>
      <c r="E73" s="1315" t="s">
        <v>3</v>
      </c>
      <c r="F73" s="1313">
        <f t="shared" si="5"/>
        <v>1250</v>
      </c>
      <c r="G73" s="1315" t="s">
        <v>3</v>
      </c>
      <c r="H73" s="1312">
        <v>2</v>
      </c>
      <c r="I73" s="1314" t="s">
        <v>45</v>
      </c>
      <c r="J73" s="184">
        <v>110</v>
      </c>
      <c r="K73" s="75">
        <v>260</v>
      </c>
      <c r="L73" s="75">
        <v>1250</v>
      </c>
      <c r="M73" s="191">
        <v>14.9767683162937</v>
      </c>
      <c r="N73" s="87">
        <v>687.95817865165611</v>
      </c>
      <c r="O73" s="123">
        <v>23536.864110254406</v>
      </c>
      <c r="P73" s="119">
        <v>28671.625130059019</v>
      </c>
      <c r="Q73" s="310">
        <v>14299.882042748291</v>
      </c>
      <c r="R73" s="319">
        <v>37836.746153002699</v>
      </c>
      <c r="S73" s="315">
        <v>42971.507172807309</v>
      </c>
      <c r="U73" s="7" t="s">
        <v>4947</v>
      </c>
    </row>
    <row r="74" spans="1:21" ht="16.5" thickBot="1">
      <c r="A74" s="1311" t="s">
        <v>4588</v>
      </c>
      <c r="B74" s="1315">
        <f t="shared" si="3"/>
        <v>110</v>
      </c>
      <c r="C74" s="1315" t="s">
        <v>3</v>
      </c>
      <c r="D74" s="1315">
        <f t="shared" si="4"/>
        <v>260</v>
      </c>
      <c r="E74" s="1315" t="s">
        <v>3</v>
      </c>
      <c r="F74" s="1313">
        <f t="shared" si="5"/>
        <v>1300</v>
      </c>
      <c r="G74" s="1315" t="s">
        <v>3</v>
      </c>
      <c r="H74" s="1312">
        <v>2</v>
      </c>
      <c r="I74" s="1314" t="s">
        <v>45</v>
      </c>
      <c r="J74" s="184">
        <v>110</v>
      </c>
      <c r="K74" s="75">
        <v>260</v>
      </c>
      <c r="L74" s="75">
        <v>1300</v>
      </c>
      <c r="M74" s="191">
        <v>15.517766045871234</v>
      </c>
      <c r="N74" s="87">
        <v>726.17807746563699</v>
      </c>
      <c r="O74" s="123">
        <v>24193.070689001066</v>
      </c>
      <c r="P74" s="119">
        <v>29492.032556538343</v>
      </c>
      <c r="Q74" s="310">
        <v>14962.074432898504</v>
      </c>
      <c r="R74" s="319">
        <v>39155.145121899572</v>
      </c>
      <c r="S74" s="315">
        <v>44454.106989436848</v>
      </c>
      <c r="U74" s="7" t="s">
        <v>4948</v>
      </c>
    </row>
    <row r="75" spans="1:21" ht="16.5" thickBot="1">
      <c r="A75" s="1311" t="s">
        <v>4588</v>
      </c>
      <c r="B75" s="1315">
        <f t="shared" si="3"/>
        <v>110</v>
      </c>
      <c r="C75" s="1315" t="s">
        <v>3</v>
      </c>
      <c r="D75" s="1315">
        <f t="shared" si="4"/>
        <v>260</v>
      </c>
      <c r="E75" s="1315" t="s">
        <v>3</v>
      </c>
      <c r="F75" s="1313">
        <f t="shared" si="5"/>
        <v>1350</v>
      </c>
      <c r="G75" s="1315" t="s">
        <v>3</v>
      </c>
      <c r="H75" s="1312">
        <v>2</v>
      </c>
      <c r="I75" s="1314" t="s">
        <v>45</v>
      </c>
      <c r="J75" s="184">
        <v>110</v>
      </c>
      <c r="K75" s="75">
        <v>260</v>
      </c>
      <c r="L75" s="75">
        <v>1350</v>
      </c>
      <c r="M75" s="191">
        <v>16.05876377544876</v>
      </c>
      <c r="N75" s="87">
        <v>764.39797627961786</v>
      </c>
      <c r="O75" s="123">
        <v>24849.27726774773</v>
      </c>
      <c r="P75" s="119">
        <v>30312.43998301767</v>
      </c>
      <c r="Q75" s="310">
        <v>15393.685045265442</v>
      </c>
      <c r="R75" s="319">
        <v>40242.962313013173</v>
      </c>
      <c r="S75" s="315">
        <v>45706.12502828311</v>
      </c>
      <c r="U75" s="7" t="s">
        <v>4949</v>
      </c>
    </row>
    <row r="76" spans="1:21" ht="16.5" thickBot="1">
      <c r="A76" s="1311" t="s">
        <v>4588</v>
      </c>
      <c r="B76" s="1315">
        <f t="shared" si="3"/>
        <v>110</v>
      </c>
      <c r="C76" s="1315" t="s">
        <v>3</v>
      </c>
      <c r="D76" s="1315">
        <f t="shared" si="4"/>
        <v>260</v>
      </c>
      <c r="E76" s="1315" t="s">
        <v>3</v>
      </c>
      <c r="F76" s="1313">
        <f t="shared" si="5"/>
        <v>1400</v>
      </c>
      <c r="G76" s="1315" t="s">
        <v>3</v>
      </c>
      <c r="H76" s="1312">
        <v>2</v>
      </c>
      <c r="I76" s="1314" t="s">
        <v>45</v>
      </c>
      <c r="J76" s="184">
        <v>110</v>
      </c>
      <c r="K76" s="75">
        <v>260</v>
      </c>
      <c r="L76" s="75">
        <v>1400</v>
      </c>
      <c r="M76" s="191">
        <v>16.599761505026297</v>
      </c>
      <c r="N76" s="87">
        <v>802.61787509359874</v>
      </c>
      <c r="O76" s="123">
        <v>25505.48384649439</v>
      </c>
      <c r="P76" s="119">
        <v>31132.847409496993</v>
      </c>
      <c r="Q76" s="310">
        <v>16055.877435415654</v>
      </c>
      <c r="R76" s="319">
        <v>41561.361281910045</v>
      </c>
      <c r="S76" s="315">
        <v>47188.724844912649</v>
      </c>
      <c r="U76" s="7" t="s">
        <v>4950</v>
      </c>
    </row>
    <row r="77" spans="1:21" ht="16.5" thickBot="1">
      <c r="A77" s="1311" t="s">
        <v>4588</v>
      </c>
      <c r="B77" s="1315">
        <f t="shared" si="3"/>
        <v>110</v>
      </c>
      <c r="C77" s="1315" t="s">
        <v>3</v>
      </c>
      <c r="D77" s="1315">
        <f t="shared" si="4"/>
        <v>260</v>
      </c>
      <c r="E77" s="1315" t="s">
        <v>3</v>
      </c>
      <c r="F77" s="1313">
        <f t="shared" si="5"/>
        <v>1450</v>
      </c>
      <c r="G77" s="1315" t="s">
        <v>3</v>
      </c>
      <c r="H77" s="1312">
        <v>2</v>
      </c>
      <c r="I77" s="1314" t="s">
        <v>45</v>
      </c>
      <c r="J77" s="184">
        <v>110</v>
      </c>
      <c r="K77" s="75">
        <v>260</v>
      </c>
      <c r="L77" s="75">
        <v>1450</v>
      </c>
      <c r="M77" s="191">
        <v>17.140759234603834</v>
      </c>
      <c r="N77" s="87">
        <v>840.83777390757973</v>
      </c>
      <c r="O77" s="123">
        <v>26161.690284847693</v>
      </c>
      <c r="P77" s="119">
        <v>31953.254976369681</v>
      </c>
      <c r="Q77" s="310">
        <v>16487.48804778259</v>
      </c>
      <c r="R77" s="319">
        <v>42649.178332630283</v>
      </c>
      <c r="S77" s="315">
        <v>48440.743024152267</v>
      </c>
      <c r="U77" s="7" t="s">
        <v>4951</v>
      </c>
    </row>
    <row r="78" spans="1:21" ht="16.5" thickBot="1">
      <c r="A78" s="1311" t="s">
        <v>4588</v>
      </c>
      <c r="B78" s="1315">
        <f t="shared" si="3"/>
        <v>110</v>
      </c>
      <c r="C78" s="1315" t="s">
        <v>3</v>
      </c>
      <c r="D78" s="1315">
        <f t="shared" si="4"/>
        <v>260</v>
      </c>
      <c r="E78" s="1315" t="s">
        <v>3</v>
      </c>
      <c r="F78" s="1313">
        <f t="shared" si="5"/>
        <v>1500</v>
      </c>
      <c r="G78" s="1315" t="s">
        <v>3</v>
      </c>
      <c r="H78" s="1312">
        <v>2</v>
      </c>
      <c r="I78" s="1314" t="s">
        <v>45</v>
      </c>
      <c r="J78" s="184">
        <v>110</v>
      </c>
      <c r="K78" s="75">
        <v>260</v>
      </c>
      <c r="L78" s="75">
        <v>1500</v>
      </c>
      <c r="M78" s="191">
        <v>17.980144564181366</v>
      </c>
      <c r="N78" s="87">
        <v>879.05767272156049</v>
      </c>
      <c r="O78" s="123">
        <v>27493.414689746256</v>
      </c>
      <c r="P78" s="119">
        <v>33620.824873206679</v>
      </c>
      <c r="Q78" s="310">
        <v>17149.680437932802</v>
      </c>
      <c r="R78" s="319">
        <v>44643.095127679058</v>
      </c>
      <c r="S78" s="315">
        <v>50770.505311139481</v>
      </c>
      <c r="U78" s="7" t="s">
        <v>4952</v>
      </c>
    </row>
    <row r="79" spans="1:21" ht="16.5" thickBot="1">
      <c r="A79" s="1311" t="s">
        <v>4588</v>
      </c>
      <c r="B79" s="1315">
        <f t="shared" si="3"/>
        <v>110</v>
      </c>
      <c r="C79" s="1315" t="s">
        <v>3</v>
      </c>
      <c r="D79" s="1315">
        <f t="shared" si="4"/>
        <v>260</v>
      </c>
      <c r="E79" s="1315" t="s">
        <v>3</v>
      </c>
      <c r="F79" s="1313">
        <f t="shared" si="5"/>
        <v>1550</v>
      </c>
      <c r="G79" s="1315" t="s">
        <v>3</v>
      </c>
      <c r="H79" s="1312">
        <v>2</v>
      </c>
      <c r="I79" s="1314" t="s">
        <v>45</v>
      </c>
      <c r="J79" s="184">
        <v>110</v>
      </c>
      <c r="K79" s="75">
        <v>260</v>
      </c>
      <c r="L79" s="75">
        <v>1550</v>
      </c>
      <c r="M79" s="191">
        <v>18.521142293758896</v>
      </c>
      <c r="N79" s="87">
        <v>917.27757153554137</v>
      </c>
      <c r="O79" s="123">
        <v>28149.621128099556</v>
      </c>
      <c r="P79" s="119">
        <v>34441.232299686009</v>
      </c>
      <c r="Q79" s="310">
        <v>17581.29105029974</v>
      </c>
      <c r="R79" s="319">
        <v>45730.912178399296</v>
      </c>
      <c r="S79" s="315">
        <v>52022.52334998575</v>
      </c>
      <c r="U79" s="7" t="s">
        <v>4953</v>
      </c>
    </row>
    <row r="80" spans="1:21" ht="16.5" thickBot="1">
      <c r="A80" s="1311" t="s">
        <v>4588</v>
      </c>
      <c r="B80" s="1312">
        <f t="shared" si="3"/>
        <v>110</v>
      </c>
      <c r="C80" s="1312" t="s">
        <v>3</v>
      </c>
      <c r="D80" s="1312">
        <f t="shared" si="4"/>
        <v>260</v>
      </c>
      <c r="E80" s="1312" t="s">
        <v>3</v>
      </c>
      <c r="F80" s="1313">
        <f t="shared" si="5"/>
        <v>1600</v>
      </c>
      <c r="G80" s="1312" t="s">
        <v>3</v>
      </c>
      <c r="H80" s="1312">
        <v>2</v>
      </c>
      <c r="I80" s="1314" t="s">
        <v>45</v>
      </c>
      <c r="J80" s="184">
        <v>110</v>
      </c>
      <c r="K80" s="75">
        <v>260</v>
      </c>
      <c r="L80" s="75">
        <v>1600</v>
      </c>
      <c r="M80" s="191">
        <v>19.062140023336433</v>
      </c>
      <c r="N80" s="87">
        <v>955.49747034952236</v>
      </c>
      <c r="O80" s="123">
        <v>28805.827706846216</v>
      </c>
      <c r="P80" s="119">
        <v>35261.639726165333</v>
      </c>
      <c r="Q80" s="310">
        <v>18012.901662666678</v>
      </c>
      <c r="R80" s="319">
        <v>46818.72936951289</v>
      </c>
      <c r="S80" s="315">
        <v>53274.541388832011</v>
      </c>
      <c r="U80" s="7" t="s">
        <v>4954</v>
      </c>
    </row>
    <row r="81" spans="1:21" ht="16.5" thickBot="1">
      <c r="A81" s="1311" t="s">
        <v>4588</v>
      </c>
      <c r="B81" s="1315">
        <f t="shared" si="3"/>
        <v>110</v>
      </c>
      <c r="C81" s="1315" t="s">
        <v>3</v>
      </c>
      <c r="D81" s="1315">
        <f t="shared" si="4"/>
        <v>260</v>
      </c>
      <c r="E81" s="1315" t="s">
        <v>3</v>
      </c>
      <c r="F81" s="1313">
        <f t="shared" si="5"/>
        <v>1650</v>
      </c>
      <c r="G81" s="1315" t="s">
        <v>3</v>
      </c>
      <c r="H81" s="1312">
        <v>2</v>
      </c>
      <c r="I81" s="1314" t="s">
        <v>45</v>
      </c>
      <c r="J81" s="184">
        <v>110</v>
      </c>
      <c r="K81" s="75">
        <v>260</v>
      </c>
      <c r="L81" s="75">
        <v>1650</v>
      </c>
      <c r="M81" s="191">
        <v>19.603137752913959</v>
      </c>
      <c r="N81" s="87">
        <v>993.71736916350324</v>
      </c>
      <c r="O81" s="123">
        <v>29462.034285592883</v>
      </c>
      <c r="P81" s="119">
        <v>36082.047152644656</v>
      </c>
      <c r="Q81" s="310">
        <v>18675.09391242353</v>
      </c>
      <c r="R81" s="319">
        <v>48137.128198016413</v>
      </c>
      <c r="S81" s="315">
        <v>54757.141065068186</v>
      </c>
      <c r="U81" s="7" t="s">
        <v>4955</v>
      </c>
    </row>
    <row r="82" spans="1:21" ht="16.5" thickBot="1">
      <c r="A82" s="1311" t="s">
        <v>4588</v>
      </c>
      <c r="B82" s="1315">
        <f t="shared" si="3"/>
        <v>110</v>
      </c>
      <c r="C82" s="1315" t="s">
        <v>3</v>
      </c>
      <c r="D82" s="1315">
        <f t="shared" si="4"/>
        <v>260</v>
      </c>
      <c r="E82" s="1315" t="s">
        <v>3</v>
      </c>
      <c r="F82" s="1313">
        <f t="shared" si="5"/>
        <v>1700</v>
      </c>
      <c r="G82" s="1315" t="s">
        <v>3</v>
      </c>
      <c r="H82" s="1312">
        <v>2</v>
      </c>
      <c r="I82" s="1314" t="s">
        <v>45</v>
      </c>
      <c r="J82" s="184">
        <v>110</v>
      </c>
      <c r="K82" s="75">
        <v>260</v>
      </c>
      <c r="L82" s="75">
        <v>1700</v>
      </c>
      <c r="M82" s="191">
        <v>20.144135482491492</v>
      </c>
      <c r="N82" s="87">
        <v>1031.9372679774842</v>
      </c>
      <c r="O82" s="123">
        <v>30118.240723946183</v>
      </c>
      <c r="P82" s="119">
        <v>36902.454719517344</v>
      </c>
      <c r="Q82" s="310">
        <v>19106.704524790468</v>
      </c>
      <c r="R82" s="319">
        <v>49224.945248736651</v>
      </c>
      <c r="S82" s="315">
        <v>56009.159244307812</v>
      </c>
      <c r="U82" s="7" t="s">
        <v>4956</v>
      </c>
    </row>
    <row r="83" spans="1:21" ht="16.5" thickBot="1">
      <c r="A83" s="1311" t="s">
        <v>4588</v>
      </c>
      <c r="B83" s="1315">
        <f t="shared" si="3"/>
        <v>110</v>
      </c>
      <c r="C83" s="1315" t="s">
        <v>3</v>
      </c>
      <c r="D83" s="1315">
        <f t="shared" si="4"/>
        <v>260</v>
      </c>
      <c r="E83" s="1315" t="s">
        <v>3</v>
      </c>
      <c r="F83" s="1313">
        <f t="shared" si="5"/>
        <v>1750</v>
      </c>
      <c r="G83" s="1315" t="s">
        <v>3</v>
      </c>
      <c r="H83" s="1312">
        <v>2</v>
      </c>
      <c r="I83" s="1314" t="s">
        <v>45</v>
      </c>
      <c r="J83" s="184">
        <v>110</v>
      </c>
      <c r="K83" s="75">
        <v>260</v>
      </c>
      <c r="L83" s="75">
        <v>1750</v>
      </c>
      <c r="M83" s="191">
        <v>20.685133212069026</v>
      </c>
      <c r="N83" s="87">
        <v>1070.157166791465</v>
      </c>
      <c r="O83" s="123">
        <v>30774.447302692843</v>
      </c>
      <c r="P83" s="119">
        <v>37722.862145996667</v>
      </c>
      <c r="Q83" s="310">
        <v>19768.89691494068</v>
      </c>
      <c r="R83" s="319">
        <v>50543.344217633523</v>
      </c>
      <c r="S83" s="315">
        <v>57491.759060937344</v>
      </c>
      <c r="U83" s="7" t="s">
        <v>4957</v>
      </c>
    </row>
    <row r="84" spans="1:21" ht="16.5" thickBot="1">
      <c r="A84" s="1311" t="s">
        <v>4588</v>
      </c>
      <c r="B84" s="1315">
        <f t="shared" si="3"/>
        <v>110</v>
      </c>
      <c r="C84" s="1315" t="s">
        <v>3</v>
      </c>
      <c r="D84" s="1315">
        <f t="shared" si="4"/>
        <v>260</v>
      </c>
      <c r="E84" s="1315" t="s">
        <v>3</v>
      </c>
      <c r="F84" s="1313">
        <f t="shared" si="5"/>
        <v>1800</v>
      </c>
      <c r="G84" s="1315" t="s">
        <v>3</v>
      </c>
      <c r="H84" s="1312">
        <v>2</v>
      </c>
      <c r="I84" s="1314" t="s">
        <v>45</v>
      </c>
      <c r="J84" s="184">
        <v>110</v>
      </c>
      <c r="K84" s="75">
        <v>260</v>
      </c>
      <c r="L84" s="75">
        <v>1800</v>
      </c>
      <c r="M84" s="191">
        <v>21.226130941646563</v>
      </c>
      <c r="N84" s="87">
        <v>1108.377065605446</v>
      </c>
      <c r="O84" s="123">
        <v>31430.653881439506</v>
      </c>
      <c r="P84" s="119">
        <v>38543.269572475998</v>
      </c>
      <c r="Q84" s="310">
        <v>20200.507527307618</v>
      </c>
      <c r="R84" s="319">
        <v>51631.161408747124</v>
      </c>
      <c r="S84" s="315">
        <v>58743.77709978362</v>
      </c>
      <c r="U84" s="7" t="s">
        <v>4958</v>
      </c>
    </row>
    <row r="85" spans="1:21" ht="16.5" thickBot="1">
      <c r="A85" s="1311" t="s">
        <v>4588</v>
      </c>
      <c r="B85" s="1315">
        <f t="shared" si="3"/>
        <v>110</v>
      </c>
      <c r="C85" s="1315" t="s">
        <v>3</v>
      </c>
      <c r="D85" s="1315">
        <f t="shared" si="4"/>
        <v>260</v>
      </c>
      <c r="E85" s="1315" t="s">
        <v>3</v>
      </c>
      <c r="F85" s="1313">
        <f t="shared" si="5"/>
        <v>1850</v>
      </c>
      <c r="G85" s="1315" t="s">
        <v>3</v>
      </c>
      <c r="H85" s="1312">
        <v>2</v>
      </c>
      <c r="I85" s="1314" t="s">
        <v>45</v>
      </c>
      <c r="J85" s="184">
        <v>110</v>
      </c>
      <c r="K85" s="75">
        <v>260</v>
      </c>
      <c r="L85" s="75">
        <v>1850</v>
      </c>
      <c r="M85" s="191">
        <v>21.767128671224093</v>
      </c>
      <c r="N85" s="87">
        <v>1146.5969644194267</v>
      </c>
      <c r="O85" s="123">
        <v>32086.860319792806</v>
      </c>
      <c r="P85" s="119">
        <v>39363.676998955321</v>
      </c>
      <c r="Q85" s="310">
        <v>20862.69991745783</v>
      </c>
      <c r="R85" s="319">
        <v>52949.56023725064</v>
      </c>
      <c r="S85" s="315">
        <v>60226.376916413152</v>
      </c>
      <c r="U85" s="7" t="s">
        <v>4959</v>
      </c>
    </row>
    <row r="86" spans="1:21" ht="16.5" thickBot="1">
      <c r="A86" s="1311" t="s">
        <v>4588</v>
      </c>
      <c r="B86" s="1315">
        <f t="shared" si="3"/>
        <v>110</v>
      </c>
      <c r="C86" s="1315" t="s">
        <v>3</v>
      </c>
      <c r="D86" s="1315">
        <f t="shared" si="4"/>
        <v>260</v>
      </c>
      <c r="E86" s="1315" t="s">
        <v>3</v>
      </c>
      <c r="F86" s="1313">
        <f t="shared" si="5"/>
        <v>1900</v>
      </c>
      <c r="G86" s="1315" t="s">
        <v>3</v>
      </c>
      <c r="H86" s="1312">
        <v>2</v>
      </c>
      <c r="I86" s="1314" t="s">
        <v>45</v>
      </c>
      <c r="J86" s="184">
        <v>110</v>
      </c>
      <c r="K86" s="75">
        <v>260</v>
      </c>
      <c r="L86" s="75">
        <v>1900</v>
      </c>
      <c r="M86" s="191">
        <v>22.308126400801626</v>
      </c>
      <c r="N86" s="87">
        <v>1184.8168632334077</v>
      </c>
      <c r="O86" s="123">
        <v>32743.06689853947</v>
      </c>
      <c r="P86" s="119">
        <v>40184.084425434645</v>
      </c>
      <c r="Q86" s="310">
        <v>21294.310529824768</v>
      </c>
      <c r="R86" s="319">
        <v>54037.377428364241</v>
      </c>
      <c r="S86" s="315">
        <v>61478.394955259413</v>
      </c>
      <c r="U86" s="7" t="s">
        <v>4960</v>
      </c>
    </row>
    <row r="87" spans="1:21" ht="16.5" thickBot="1">
      <c r="A87" s="1311" t="s">
        <v>4588</v>
      </c>
      <c r="B87" s="1315">
        <f t="shared" si="3"/>
        <v>110</v>
      </c>
      <c r="C87" s="1315" t="s">
        <v>3</v>
      </c>
      <c r="D87" s="1315">
        <f t="shared" si="4"/>
        <v>260</v>
      </c>
      <c r="E87" s="1315" t="s">
        <v>3</v>
      </c>
      <c r="F87" s="1313">
        <f t="shared" si="5"/>
        <v>1950</v>
      </c>
      <c r="G87" s="1315" t="s">
        <v>3</v>
      </c>
      <c r="H87" s="1312">
        <v>2</v>
      </c>
      <c r="I87" s="1314" t="s">
        <v>45</v>
      </c>
      <c r="J87" s="184">
        <v>110</v>
      </c>
      <c r="K87" s="75">
        <v>260</v>
      </c>
      <c r="L87" s="75">
        <v>1950</v>
      </c>
      <c r="M87" s="191">
        <v>22.84912413037916</v>
      </c>
      <c r="N87" s="87">
        <v>1223.0367620473887</v>
      </c>
      <c r="O87" s="123">
        <v>33399.273477286129</v>
      </c>
      <c r="P87" s="119">
        <v>41004.491992307332</v>
      </c>
      <c r="Q87" s="310">
        <v>21725.921142191706</v>
      </c>
      <c r="R87" s="319">
        <v>55125.194619477836</v>
      </c>
      <c r="S87" s="315">
        <v>62730.413134499038</v>
      </c>
      <c r="U87" s="7" t="s">
        <v>4961</v>
      </c>
    </row>
    <row r="88" spans="1:21" ht="16.5" thickBot="1">
      <c r="A88" s="1311" t="s">
        <v>4588</v>
      </c>
      <c r="B88" s="1315">
        <f t="shared" si="3"/>
        <v>110</v>
      </c>
      <c r="C88" s="1315" t="s">
        <v>3</v>
      </c>
      <c r="D88" s="1315">
        <f t="shared" si="4"/>
        <v>260</v>
      </c>
      <c r="E88" s="1315" t="s">
        <v>3</v>
      </c>
      <c r="F88" s="1313">
        <f t="shared" si="5"/>
        <v>2000</v>
      </c>
      <c r="G88" s="1315" t="s">
        <v>3</v>
      </c>
      <c r="H88" s="1312">
        <v>2</v>
      </c>
      <c r="I88" s="1314" t="s">
        <v>45</v>
      </c>
      <c r="J88" s="184">
        <v>110</v>
      </c>
      <c r="K88" s="75">
        <v>260</v>
      </c>
      <c r="L88" s="75">
        <v>2000</v>
      </c>
      <c r="M88" s="191">
        <v>23.491568659956691</v>
      </c>
      <c r="N88" s="87">
        <v>1261.2566608613695</v>
      </c>
      <c r="O88" s="123">
        <v>34500.250721020398</v>
      </c>
      <c r="P88" s="119">
        <v>41974.513817335661</v>
      </c>
      <c r="Q88" s="310">
        <v>22388.113532341918</v>
      </c>
      <c r="R88" s="319">
        <v>56888.364253362321</v>
      </c>
      <c r="S88" s="315">
        <v>64362.627349677583</v>
      </c>
      <c r="U88" s="7" t="s">
        <v>4962</v>
      </c>
    </row>
    <row r="89" spans="1:21" ht="16.5" thickBot="1">
      <c r="A89" s="1311" t="s">
        <v>4588</v>
      </c>
      <c r="B89" s="1315">
        <f t="shared" si="3"/>
        <v>110</v>
      </c>
      <c r="C89" s="1315" t="s">
        <v>3</v>
      </c>
      <c r="D89" s="1315">
        <f t="shared" si="4"/>
        <v>260</v>
      </c>
      <c r="E89" s="1315" t="s">
        <v>3</v>
      </c>
      <c r="F89" s="1313">
        <f t="shared" si="5"/>
        <v>2050</v>
      </c>
      <c r="G89" s="1315" t="s">
        <v>3</v>
      </c>
      <c r="H89" s="1312">
        <v>2</v>
      </c>
      <c r="I89" s="1314" t="s">
        <v>45</v>
      </c>
      <c r="J89" s="184">
        <v>110</v>
      </c>
      <c r="K89" s="75">
        <v>260</v>
      </c>
      <c r="L89" s="75">
        <v>2050</v>
      </c>
      <c r="M89" s="191">
        <v>24.032566389534225</v>
      </c>
      <c r="N89" s="87">
        <v>1299.4765596753502</v>
      </c>
      <c r="O89" s="123">
        <v>35156.457299767055</v>
      </c>
      <c r="P89" s="119">
        <v>42794.921243814984</v>
      </c>
      <c r="Q89" s="310">
        <v>22819.724144708856</v>
      </c>
      <c r="R89" s="319">
        <v>57976.181444475907</v>
      </c>
      <c r="S89" s="315">
        <v>65614.645388523844</v>
      </c>
      <c r="U89" s="7" t="s">
        <v>4963</v>
      </c>
    </row>
    <row r="90" spans="1:21" ht="16.5" thickBot="1">
      <c r="A90" s="1311" t="s">
        <v>4588</v>
      </c>
      <c r="B90" s="1312">
        <f t="shared" si="3"/>
        <v>110</v>
      </c>
      <c r="C90" s="1312" t="s">
        <v>3</v>
      </c>
      <c r="D90" s="1312">
        <f t="shared" si="4"/>
        <v>260</v>
      </c>
      <c r="E90" s="1312" t="s">
        <v>3</v>
      </c>
      <c r="F90" s="1313">
        <f t="shared" si="5"/>
        <v>2100</v>
      </c>
      <c r="G90" s="1312" t="s">
        <v>3</v>
      </c>
      <c r="H90" s="1312">
        <v>2</v>
      </c>
      <c r="I90" s="1314" t="s">
        <v>45</v>
      </c>
      <c r="J90" s="184">
        <v>110</v>
      </c>
      <c r="K90" s="75">
        <v>260</v>
      </c>
      <c r="L90" s="75">
        <v>2100</v>
      </c>
      <c r="M90" s="191">
        <v>24.573564119111758</v>
      </c>
      <c r="N90" s="87">
        <v>1337.6964584893312</v>
      </c>
      <c r="O90" s="123">
        <v>35812.663878513718</v>
      </c>
      <c r="P90" s="119">
        <v>43615.328670294308</v>
      </c>
      <c r="Q90" s="310">
        <v>23481.916534859069</v>
      </c>
      <c r="R90" s="319">
        <v>59294.580413372787</v>
      </c>
      <c r="S90" s="315">
        <v>67097.245205153376</v>
      </c>
      <c r="U90" s="7" t="s">
        <v>4964</v>
      </c>
    </row>
    <row r="91" spans="1:21" ht="16.5" thickBot="1">
      <c r="A91" s="1311" t="s">
        <v>4588</v>
      </c>
      <c r="B91" s="1315">
        <f t="shared" si="3"/>
        <v>110</v>
      </c>
      <c r="C91" s="1315" t="s">
        <v>3</v>
      </c>
      <c r="D91" s="1315">
        <f t="shared" si="4"/>
        <v>260</v>
      </c>
      <c r="E91" s="1315" t="s">
        <v>3</v>
      </c>
      <c r="F91" s="1313">
        <f t="shared" si="5"/>
        <v>2150</v>
      </c>
      <c r="G91" s="1315" t="s">
        <v>3</v>
      </c>
      <c r="H91" s="1312">
        <v>2</v>
      </c>
      <c r="I91" s="1314" t="s">
        <v>45</v>
      </c>
      <c r="J91" s="184">
        <v>110</v>
      </c>
      <c r="K91" s="75">
        <v>260</v>
      </c>
      <c r="L91" s="75">
        <v>2150</v>
      </c>
      <c r="M91" s="191">
        <v>25.114561848689291</v>
      </c>
      <c r="N91" s="87">
        <v>1375.9163573033122</v>
      </c>
      <c r="O91" s="123">
        <v>36468.870316867018</v>
      </c>
      <c r="P91" s="119">
        <v>44435.736096773639</v>
      </c>
      <c r="Q91" s="310">
        <v>23913.527147226006</v>
      </c>
      <c r="R91" s="319">
        <v>60382.397464093025</v>
      </c>
      <c r="S91" s="315">
        <v>68349.263243999652</v>
      </c>
      <c r="U91" s="7" t="s">
        <v>4965</v>
      </c>
    </row>
    <row r="92" spans="1:21" ht="16.5" thickBot="1">
      <c r="A92" s="1311" t="s">
        <v>4588</v>
      </c>
      <c r="B92" s="1315">
        <f t="shared" si="3"/>
        <v>110</v>
      </c>
      <c r="C92" s="1315" t="s">
        <v>3</v>
      </c>
      <c r="D92" s="1315">
        <f t="shared" si="4"/>
        <v>260</v>
      </c>
      <c r="E92" s="1315" t="s">
        <v>3</v>
      </c>
      <c r="F92" s="1313">
        <f t="shared" si="5"/>
        <v>2200</v>
      </c>
      <c r="G92" s="1315" t="s">
        <v>3</v>
      </c>
      <c r="H92" s="1312">
        <v>2</v>
      </c>
      <c r="I92" s="1314" t="s">
        <v>45</v>
      </c>
      <c r="J92" s="184">
        <v>110</v>
      </c>
      <c r="K92" s="75">
        <v>260</v>
      </c>
      <c r="L92" s="75">
        <v>2200</v>
      </c>
      <c r="M92" s="191">
        <v>25.655559578266825</v>
      </c>
      <c r="N92" s="87">
        <v>1414.1362561172932</v>
      </c>
      <c r="O92" s="123">
        <v>37125.076895613682</v>
      </c>
      <c r="P92" s="119">
        <v>45256.143663646326</v>
      </c>
      <c r="Q92" s="310">
        <v>24575.719537376219</v>
      </c>
      <c r="R92" s="319">
        <v>61700.796432989897</v>
      </c>
      <c r="S92" s="315">
        <v>69831.863201022541</v>
      </c>
      <c r="U92" s="7" t="s">
        <v>4966</v>
      </c>
    </row>
    <row r="93" spans="1:21" ht="16.5" thickBot="1">
      <c r="A93" s="1311" t="s">
        <v>4588</v>
      </c>
      <c r="B93" s="1315">
        <f t="shared" si="3"/>
        <v>110</v>
      </c>
      <c r="C93" s="1315" t="s">
        <v>3</v>
      </c>
      <c r="D93" s="1315">
        <f t="shared" si="4"/>
        <v>260</v>
      </c>
      <c r="E93" s="1315" t="s">
        <v>3</v>
      </c>
      <c r="F93" s="1313">
        <f t="shared" si="5"/>
        <v>2250</v>
      </c>
      <c r="G93" s="1315" t="s">
        <v>3</v>
      </c>
      <c r="H93" s="1312">
        <v>2</v>
      </c>
      <c r="I93" s="1314" t="s">
        <v>45</v>
      </c>
      <c r="J93" s="184">
        <v>110</v>
      </c>
      <c r="K93" s="75">
        <v>260</v>
      </c>
      <c r="L93" s="75">
        <v>2250</v>
      </c>
      <c r="M93" s="191">
        <v>26.196557307844358</v>
      </c>
      <c r="N93" s="87">
        <v>1452.356154931274</v>
      </c>
      <c r="O93" s="123">
        <v>37781.283474360345</v>
      </c>
      <c r="P93" s="119">
        <v>46076.551090125649</v>
      </c>
      <c r="Q93" s="310">
        <v>25007.330009349789</v>
      </c>
      <c r="R93" s="319">
        <v>62788.613483710134</v>
      </c>
      <c r="S93" s="315">
        <v>71083.881099475431</v>
      </c>
      <c r="U93" s="7" t="s">
        <v>4967</v>
      </c>
    </row>
    <row r="94" spans="1:21" ht="16.5" thickBot="1">
      <c r="A94" s="1311" t="s">
        <v>4588</v>
      </c>
      <c r="B94" s="1315">
        <f t="shared" si="3"/>
        <v>110</v>
      </c>
      <c r="C94" s="1315" t="s">
        <v>3</v>
      </c>
      <c r="D94" s="1315">
        <f t="shared" si="4"/>
        <v>260</v>
      </c>
      <c r="E94" s="1315" t="s">
        <v>3</v>
      </c>
      <c r="F94" s="1313">
        <f t="shared" si="5"/>
        <v>2300</v>
      </c>
      <c r="G94" s="1315" t="s">
        <v>3</v>
      </c>
      <c r="H94" s="1312">
        <v>2</v>
      </c>
      <c r="I94" s="1314" t="s">
        <v>45</v>
      </c>
      <c r="J94" s="184">
        <v>110</v>
      </c>
      <c r="K94" s="75">
        <v>260</v>
      </c>
      <c r="L94" s="75">
        <v>2300</v>
      </c>
      <c r="M94" s="191">
        <v>26.737555037421892</v>
      </c>
      <c r="N94" s="87">
        <v>1490.5760537452547</v>
      </c>
      <c r="O94" s="123">
        <v>38437.490053107009</v>
      </c>
      <c r="P94" s="119">
        <v>46896.958516604966</v>
      </c>
      <c r="Q94" s="310">
        <v>25438.940621716731</v>
      </c>
      <c r="R94" s="319">
        <v>63876.430674823743</v>
      </c>
      <c r="S94" s="315">
        <v>72335.899138321693</v>
      </c>
      <c r="U94" s="7" t="s">
        <v>4968</v>
      </c>
    </row>
    <row r="95" spans="1:21" ht="16.5" thickBot="1">
      <c r="A95" s="1311" t="s">
        <v>4588</v>
      </c>
      <c r="B95" s="1315">
        <f t="shared" si="3"/>
        <v>110</v>
      </c>
      <c r="C95" s="1315" t="s">
        <v>3</v>
      </c>
      <c r="D95" s="1315">
        <f t="shared" si="4"/>
        <v>260</v>
      </c>
      <c r="E95" s="1315" t="s">
        <v>3</v>
      </c>
      <c r="F95" s="1313">
        <f t="shared" si="5"/>
        <v>2350</v>
      </c>
      <c r="G95" s="1315" t="s">
        <v>3</v>
      </c>
      <c r="H95" s="1312">
        <v>2</v>
      </c>
      <c r="I95" s="1314" t="s">
        <v>45</v>
      </c>
      <c r="J95" s="184">
        <v>110</v>
      </c>
      <c r="K95" s="75">
        <v>260</v>
      </c>
      <c r="L95" s="75">
        <v>2350</v>
      </c>
      <c r="M95" s="191">
        <v>27.278552766999425</v>
      </c>
      <c r="N95" s="87">
        <v>1528.7959525592357</v>
      </c>
      <c r="O95" s="123">
        <v>39093.696491460309</v>
      </c>
      <c r="P95" s="119">
        <v>47717.365943084296</v>
      </c>
      <c r="Q95" s="310">
        <v>26101.133011866939</v>
      </c>
      <c r="R95" s="319">
        <v>65194.829503327244</v>
      </c>
      <c r="S95" s="315">
        <v>73818.498954951239</v>
      </c>
      <c r="U95" s="7" t="s">
        <v>4969</v>
      </c>
    </row>
    <row r="96" spans="1:21" ht="16.5" thickBot="1">
      <c r="A96" s="1311" t="s">
        <v>4588</v>
      </c>
      <c r="B96" s="1315">
        <f t="shared" si="3"/>
        <v>110</v>
      </c>
      <c r="C96" s="1315" t="s">
        <v>3</v>
      </c>
      <c r="D96" s="1315">
        <f t="shared" si="4"/>
        <v>260</v>
      </c>
      <c r="E96" s="1315" t="s">
        <v>3</v>
      </c>
      <c r="F96" s="1313">
        <f t="shared" si="5"/>
        <v>2400</v>
      </c>
      <c r="G96" s="1315" t="s">
        <v>3</v>
      </c>
      <c r="H96" s="1312">
        <v>2</v>
      </c>
      <c r="I96" s="1314" t="s">
        <v>45</v>
      </c>
      <c r="J96" s="184">
        <v>110</v>
      </c>
      <c r="K96" s="75">
        <v>260</v>
      </c>
      <c r="L96" s="75">
        <v>2400</v>
      </c>
      <c r="M96" s="191">
        <v>27.819550496576952</v>
      </c>
      <c r="N96" s="87">
        <v>1567.0158513732165</v>
      </c>
      <c r="O96" s="123">
        <v>39749.903070206972</v>
      </c>
      <c r="P96" s="119">
        <v>48537.773369563627</v>
      </c>
      <c r="Q96" s="310">
        <v>26532.743624233881</v>
      </c>
      <c r="R96" s="319">
        <v>66282.64669444086</v>
      </c>
      <c r="S96" s="315">
        <v>75070.516993797501</v>
      </c>
      <c r="U96" s="7" t="s">
        <v>4970</v>
      </c>
    </row>
    <row r="97" spans="1:21" ht="16.5" thickBot="1">
      <c r="A97" s="1311" t="s">
        <v>4588</v>
      </c>
      <c r="B97" s="1315">
        <f t="shared" si="3"/>
        <v>110</v>
      </c>
      <c r="C97" s="1315" t="s">
        <v>3</v>
      </c>
      <c r="D97" s="1315">
        <f t="shared" si="4"/>
        <v>260</v>
      </c>
      <c r="E97" s="1315" t="s">
        <v>3</v>
      </c>
      <c r="F97" s="1313">
        <f t="shared" si="5"/>
        <v>2450</v>
      </c>
      <c r="G97" s="1315" t="s">
        <v>3</v>
      </c>
      <c r="H97" s="1312">
        <v>2</v>
      </c>
      <c r="I97" s="1314" t="s">
        <v>45</v>
      </c>
      <c r="J97" s="184">
        <v>110</v>
      </c>
      <c r="K97" s="75">
        <v>260</v>
      </c>
      <c r="L97" s="75">
        <v>2450</v>
      </c>
      <c r="M97" s="191">
        <v>28.360548226154492</v>
      </c>
      <c r="N97" s="87">
        <v>1605.2357501871975</v>
      </c>
      <c r="O97" s="123">
        <v>40406.109648953636</v>
      </c>
      <c r="P97" s="119">
        <v>49358.180796042951</v>
      </c>
      <c r="Q97" s="310">
        <v>27194.936014384097</v>
      </c>
      <c r="R97" s="319">
        <v>67601.045663337733</v>
      </c>
      <c r="S97" s="315">
        <v>76553.116810427047</v>
      </c>
      <c r="U97" s="7" t="s">
        <v>4971</v>
      </c>
    </row>
    <row r="98" spans="1:21" ht="16.5" thickBot="1">
      <c r="A98" s="1311" t="s">
        <v>4588</v>
      </c>
      <c r="B98" s="1315">
        <f t="shared" si="3"/>
        <v>110</v>
      </c>
      <c r="C98" s="1315" t="s">
        <v>3</v>
      </c>
      <c r="D98" s="1315">
        <f t="shared" si="4"/>
        <v>260</v>
      </c>
      <c r="E98" s="1315" t="s">
        <v>3</v>
      </c>
      <c r="F98" s="1313">
        <f t="shared" si="5"/>
        <v>2500</v>
      </c>
      <c r="G98" s="1315" t="s">
        <v>3</v>
      </c>
      <c r="H98" s="1312">
        <v>2</v>
      </c>
      <c r="I98" s="1314" t="s">
        <v>45</v>
      </c>
      <c r="J98" s="184">
        <v>110</v>
      </c>
      <c r="K98" s="75">
        <v>260</v>
      </c>
      <c r="L98" s="75">
        <v>2500</v>
      </c>
      <c r="M98" s="191">
        <v>29.199933555732024</v>
      </c>
      <c r="N98" s="87">
        <v>1643.4556490011782</v>
      </c>
      <c r="O98" s="123">
        <v>41737.833913458831</v>
      </c>
      <c r="P98" s="119">
        <v>51025.750833273312</v>
      </c>
      <c r="Q98" s="310">
        <v>27626.546626751031</v>
      </c>
      <c r="R98" s="319">
        <v>69364.380540209866</v>
      </c>
      <c r="S98" s="315">
        <v>78652.297460024347</v>
      </c>
      <c r="U98" s="7" t="s">
        <v>4972</v>
      </c>
    </row>
    <row r="99" spans="1:21" ht="16.5" thickBot="1">
      <c r="A99" s="1311" t="s">
        <v>4588</v>
      </c>
      <c r="B99" s="1315">
        <f t="shared" si="3"/>
        <v>110</v>
      </c>
      <c r="C99" s="1315" t="s">
        <v>3</v>
      </c>
      <c r="D99" s="1315">
        <f t="shared" si="4"/>
        <v>260</v>
      </c>
      <c r="E99" s="1315" t="s">
        <v>3</v>
      </c>
      <c r="F99" s="1313">
        <f t="shared" si="5"/>
        <v>2550</v>
      </c>
      <c r="G99" s="1315" t="s">
        <v>3</v>
      </c>
      <c r="H99" s="1312">
        <v>2</v>
      </c>
      <c r="I99" s="1314" t="s">
        <v>45</v>
      </c>
      <c r="J99" s="184">
        <v>110</v>
      </c>
      <c r="K99" s="75">
        <v>260</v>
      </c>
      <c r="L99" s="75">
        <v>2550</v>
      </c>
      <c r="M99" s="191">
        <v>29.740931285309557</v>
      </c>
      <c r="N99" s="87">
        <v>1681.6755478151595</v>
      </c>
      <c r="O99" s="123">
        <v>42753.777845787459</v>
      </c>
      <c r="P99" s="119">
        <v>51860.197596002639</v>
      </c>
      <c r="Q99" s="310">
        <v>28288.739016901247</v>
      </c>
      <c r="R99" s="319">
        <v>71042.516862688703</v>
      </c>
      <c r="S99" s="315">
        <v>80148.936612903883</v>
      </c>
      <c r="U99" s="7" t="s">
        <v>4973</v>
      </c>
    </row>
    <row r="100" spans="1:21" ht="16.5" thickBot="1">
      <c r="A100" s="1311" t="s">
        <v>4588</v>
      </c>
      <c r="B100" s="1312">
        <f t="shared" si="3"/>
        <v>110</v>
      </c>
      <c r="C100" s="1312" t="s">
        <v>3</v>
      </c>
      <c r="D100" s="1312">
        <f t="shared" si="4"/>
        <v>260</v>
      </c>
      <c r="E100" s="1312" t="s">
        <v>3</v>
      </c>
      <c r="F100" s="1313">
        <f t="shared" si="5"/>
        <v>2600</v>
      </c>
      <c r="G100" s="1312" t="s">
        <v>3</v>
      </c>
      <c r="H100" s="1312">
        <v>2</v>
      </c>
      <c r="I100" s="1314" t="s">
        <v>45</v>
      </c>
      <c r="J100" s="184">
        <v>110</v>
      </c>
      <c r="K100" s="75">
        <v>260</v>
      </c>
      <c r="L100" s="75">
        <v>2600</v>
      </c>
      <c r="M100" s="191">
        <v>30.281929014887091</v>
      </c>
      <c r="N100" s="87">
        <v>1719.8954466291402</v>
      </c>
      <c r="O100" s="123">
        <v>43409.984284140759</v>
      </c>
      <c r="P100" s="119">
        <v>52680.605022481956</v>
      </c>
      <c r="Q100" s="310">
        <v>28720.349629268181</v>
      </c>
      <c r="R100" s="319">
        <v>72130.333913408947</v>
      </c>
      <c r="S100" s="315">
        <v>81400.954651750129</v>
      </c>
      <c r="U100" s="7" t="s">
        <v>4974</v>
      </c>
    </row>
    <row r="101" spans="1:21" ht="16.5" thickBot="1">
      <c r="A101" s="1311" t="s">
        <v>4588</v>
      </c>
      <c r="B101" s="1315">
        <f t="shared" si="3"/>
        <v>110</v>
      </c>
      <c r="C101" s="1315" t="s">
        <v>3</v>
      </c>
      <c r="D101" s="1315">
        <f t="shared" si="4"/>
        <v>260</v>
      </c>
      <c r="E101" s="1315" t="s">
        <v>3</v>
      </c>
      <c r="F101" s="1313">
        <f t="shared" si="5"/>
        <v>2650</v>
      </c>
      <c r="G101" s="1315" t="s">
        <v>3</v>
      </c>
      <c r="H101" s="1312">
        <v>2</v>
      </c>
      <c r="I101" s="1314" t="s">
        <v>45</v>
      </c>
      <c r="J101" s="184">
        <v>110</v>
      </c>
      <c r="K101" s="75">
        <v>260</v>
      </c>
      <c r="L101" s="75">
        <v>2650</v>
      </c>
      <c r="M101" s="191">
        <v>30.82292674446462</v>
      </c>
      <c r="N101" s="87">
        <v>1758.115345443121</v>
      </c>
      <c r="O101" s="123">
        <v>44066.190862887423</v>
      </c>
      <c r="P101" s="119">
        <v>53501.012448961286</v>
      </c>
      <c r="Q101" s="310">
        <v>29382.542019418397</v>
      </c>
      <c r="R101" s="319">
        <v>73448.73288230582</v>
      </c>
      <c r="S101" s="315">
        <v>82883.554468379676</v>
      </c>
      <c r="U101" s="7" t="s">
        <v>4975</v>
      </c>
    </row>
    <row r="102" spans="1:21" ht="16.5" thickBot="1">
      <c r="A102" s="1311" t="s">
        <v>4588</v>
      </c>
      <c r="B102" s="1315">
        <f t="shared" si="3"/>
        <v>110</v>
      </c>
      <c r="C102" s="1315" t="s">
        <v>3</v>
      </c>
      <c r="D102" s="1315">
        <f t="shared" si="4"/>
        <v>260</v>
      </c>
      <c r="E102" s="1315" t="s">
        <v>3</v>
      </c>
      <c r="F102" s="1313">
        <f t="shared" si="5"/>
        <v>2700</v>
      </c>
      <c r="G102" s="1315" t="s">
        <v>3</v>
      </c>
      <c r="H102" s="1312">
        <v>2</v>
      </c>
      <c r="I102" s="1314" t="s">
        <v>45</v>
      </c>
      <c r="J102" s="184">
        <v>110</v>
      </c>
      <c r="K102" s="75">
        <v>260</v>
      </c>
      <c r="L102" s="75">
        <v>2700</v>
      </c>
      <c r="M102" s="191">
        <v>31.363924474042154</v>
      </c>
      <c r="N102" s="87">
        <v>1796.335244257102</v>
      </c>
      <c r="O102" s="123">
        <v>44722.397441634086</v>
      </c>
      <c r="P102" s="119">
        <v>54321.41987544061</v>
      </c>
      <c r="Q102" s="310">
        <v>29814.152631785331</v>
      </c>
      <c r="R102" s="319">
        <v>74536.550073419421</v>
      </c>
      <c r="S102" s="315">
        <v>84135.572507225937</v>
      </c>
      <c r="U102" s="7" t="s">
        <v>4976</v>
      </c>
    </row>
    <row r="103" spans="1:21" ht="16.5" thickBot="1">
      <c r="A103" s="1311" t="s">
        <v>4588</v>
      </c>
      <c r="B103" s="1315">
        <f t="shared" si="3"/>
        <v>110</v>
      </c>
      <c r="C103" s="1315" t="s">
        <v>3</v>
      </c>
      <c r="D103" s="1315">
        <f t="shared" si="4"/>
        <v>260</v>
      </c>
      <c r="E103" s="1315" t="s">
        <v>3</v>
      </c>
      <c r="F103" s="1313">
        <f t="shared" si="5"/>
        <v>2750</v>
      </c>
      <c r="G103" s="1315" t="s">
        <v>3</v>
      </c>
      <c r="H103" s="1312">
        <v>2</v>
      </c>
      <c r="I103" s="1314" t="s">
        <v>45</v>
      </c>
      <c r="J103" s="184">
        <v>110</v>
      </c>
      <c r="K103" s="75">
        <v>260</v>
      </c>
      <c r="L103" s="75">
        <v>2750</v>
      </c>
      <c r="M103" s="191">
        <v>31.904922203619684</v>
      </c>
      <c r="N103" s="87">
        <v>1834.5551430710827</v>
      </c>
      <c r="O103" s="123">
        <v>45378.603879987386</v>
      </c>
      <c r="P103" s="119">
        <v>55141.827442313297</v>
      </c>
      <c r="Q103" s="310">
        <v>30245.763244152273</v>
      </c>
      <c r="R103" s="319">
        <v>75624.367124139651</v>
      </c>
      <c r="S103" s="315">
        <v>85387.59068646557</v>
      </c>
      <c r="U103" s="7" t="s">
        <v>4977</v>
      </c>
    </row>
    <row r="104" spans="1:21" ht="16.5" thickBot="1">
      <c r="A104" s="1311" t="s">
        <v>4588</v>
      </c>
      <c r="B104" s="1315">
        <f t="shared" si="3"/>
        <v>110</v>
      </c>
      <c r="C104" s="1315" t="s">
        <v>3</v>
      </c>
      <c r="D104" s="1315">
        <f t="shared" si="4"/>
        <v>260</v>
      </c>
      <c r="E104" s="1315" t="s">
        <v>3</v>
      </c>
      <c r="F104" s="1313">
        <f t="shared" si="5"/>
        <v>2800</v>
      </c>
      <c r="G104" s="1315" t="s">
        <v>3</v>
      </c>
      <c r="H104" s="1312">
        <v>2</v>
      </c>
      <c r="I104" s="1314" t="s">
        <v>45</v>
      </c>
      <c r="J104" s="184">
        <v>110</v>
      </c>
      <c r="K104" s="75">
        <v>260</v>
      </c>
      <c r="L104" s="75">
        <v>2800</v>
      </c>
      <c r="M104" s="191">
        <v>32.445919933197224</v>
      </c>
      <c r="N104" s="87">
        <v>1872.775041885064</v>
      </c>
      <c r="O104" s="123">
        <v>46034.810458734049</v>
      </c>
      <c r="P104" s="119">
        <v>55962.234868792628</v>
      </c>
      <c r="Q104" s="310">
        <v>30907.955493909118</v>
      </c>
      <c r="R104" s="319">
        <v>76942.765952643167</v>
      </c>
      <c r="S104" s="315">
        <v>86870.190362701745</v>
      </c>
      <c r="U104" s="7" t="s">
        <v>4978</v>
      </c>
    </row>
    <row r="105" spans="1:21" ht="16.5" thickBot="1">
      <c r="A105" s="1311" t="s">
        <v>4588</v>
      </c>
      <c r="B105" s="1315">
        <f t="shared" si="3"/>
        <v>110</v>
      </c>
      <c r="C105" s="1315" t="s">
        <v>3</v>
      </c>
      <c r="D105" s="1315">
        <f t="shared" si="4"/>
        <v>260</v>
      </c>
      <c r="E105" s="1315" t="s">
        <v>3</v>
      </c>
      <c r="F105" s="1313">
        <f t="shared" si="5"/>
        <v>2850</v>
      </c>
      <c r="G105" s="1315" t="s">
        <v>3</v>
      </c>
      <c r="H105" s="1312">
        <v>2</v>
      </c>
      <c r="I105" s="1314" t="s">
        <v>45</v>
      </c>
      <c r="J105" s="184">
        <v>110</v>
      </c>
      <c r="K105" s="75">
        <v>260</v>
      </c>
      <c r="L105" s="75">
        <v>2850</v>
      </c>
      <c r="M105" s="191">
        <v>32.986917662774751</v>
      </c>
      <c r="N105" s="87">
        <v>1910.9949406990447</v>
      </c>
      <c r="O105" s="123">
        <v>46691.017037480706</v>
      </c>
      <c r="P105" s="119">
        <v>56782.642295271944</v>
      </c>
      <c r="Q105" s="310">
        <v>31339.566106276056</v>
      </c>
      <c r="R105" s="319">
        <v>78030.583143756754</v>
      </c>
      <c r="S105" s="315">
        <v>88122.208401548007</v>
      </c>
      <c r="U105" s="7" t="s">
        <v>4979</v>
      </c>
    </row>
    <row r="106" spans="1:21" ht="16.5" thickBot="1">
      <c r="A106" s="1311" t="s">
        <v>4588</v>
      </c>
      <c r="B106" s="1315">
        <f t="shared" si="3"/>
        <v>110</v>
      </c>
      <c r="C106" s="1315" t="s">
        <v>3</v>
      </c>
      <c r="D106" s="1315">
        <f t="shared" si="4"/>
        <v>260</v>
      </c>
      <c r="E106" s="1315" t="s">
        <v>3</v>
      </c>
      <c r="F106" s="1313">
        <f t="shared" si="5"/>
        <v>2900</v>
      </c>
      <c r="G106" s="1315" t="s">
        <v>3</v>
      </c>
      <c r="H106" s="1312">
        <v>2</v>
      </c>
      <c r="I106" s="1314" t="s">
        <v>45</v>
      </c>
      <c r="J106" s="184">
        <v>110</v>
      </c>
      <c r="K106" s="75">
        <v>260</v>
      </c>
      <c r="L106" s="75">
        <v>2900</v>
      </c>
      <c r="M106" s="191">
        <v>33.527915392352284</v>
      </c>
      <c r="N106" s="87">
        <v>1949.2148395130255</v>
      </c>
      <c r="O106" s="123">
        <v>47347.223475834013</v>
      </c>
      <c r="P106" s="119">
        <v>57603.049721751275</v>
      </c>
      <c r="Q106" s="310">
        <v>32001.758496426271</v>
      </c>
      <c r="R106" s="319">
        <v>79348.981972260284</v>
      </c>
      <c r="S106" s="315">
        <v>89604.808218177553</v>
      </c>
      <c r="U106" s="7" t="s">
        <v>4980</v>
      </c>
    </row>
    <row r="107" spans="1:21" ht="16.5" thickBot="1">
      <c r="A107" s="1311" t="s">
        <v>4588</v>
      </c>
      <c r="B107" s="1315">
        <f t="shared" si="3"/>
        <v>110</v>
      </c>
      <c r="C107" s="1315" t="s">
        <v>3</v>
      </c>
      <c r="D107" s="1315">
        <f t="shared" si="4"/>
        <v>260</v>
      </c>
      <c r="E107" s="1315" t="s">
        <v>3</v>
      </c>
      <c r="F107" s="1313">
        <f t="shared" si="5"/>
        <v>2950</v>
      </c>
      <c r="G107" s="1315" t="s">
        <v>3</v>
      </c>
      <c r="H107" s="1312">
        <v>2</v>
      </c>
      <c r="I107" s="1314" t="s">
        <v>45</v>
      </c>
      <c r="J107" s="184">
        <v>110</v>
      </c>
      <c r="K107" s="75">
        <v>260</v>
      </c>
      <c r="L107" s="75">
        <v>2950</v>
      </c>
      <c r="M107" s="191">
        <v>34.068913121929818</v>
      </c>
      <c r="N107" s="87">
        <v>1987.4347383270065</v>
      </c>
      <c r="O107" s="123">
        <v>48003.430054580669</v>
      </c>
      <c r="P107" s="119">
        <v>58423.457148230606</v>
      </c>
      <c r="Q107" s="310">
        <v>32433.369108793206</v>
      </c>
      <c r="R107" s="319">
        <v>80436.799163373871</v>
      </c>
      <c r="S107" s="315">
        <v>90856.826257023815</v>
      </c>
      <c r="U107" s="7" t="s">
        <v>4981</v>
      </c>
    </row>
    <row r="108" spans="1:21" ht="16.5" thickBot="1">
      <c r="A108" s="1316" t="s">
        <v>4588</v>
      </c>
      <c r="B108" s="1317">
        <f t="shared" si="3"/>
        <v>110</v>
      </c>
      <c r="C108" s="1317" t="s">
        <v>3</v>
      </c>
      <c r="D108" s="1317">
        <f t="shared" si="4"/>
        <v>260</v>
      </c>
      <c r="E108" s="1317" t="s">
        <v>3</v>
      </c>
      <c r="F108" s="1318">
        <f t="shared" si="5"/>
        <v>3000</v>
      </c>
      <c r="G108" s="1317" t="s">
        <v>3</v>
      </c>
      <c r="H108" s="1319">
        <v>2</v>
      </c>
      <c r="I108" s="1320" t="s">
        <v>45</v>
      </c>
      <c r="J108" s="321">
        <v>110</v>
      </c>
      <c r="K108" s="322">
        <v>260</v>
      </c>
      <c r="L108" s="322">
        <v>3000</v>
      </c>
      <c r="M108" s="337">
        <v>34.812804451507347</v>
      </c>
      <c r="N108" s="306">
        <v>2025.6546371409872</v>
      </c>
      <c r="O108" s="307">
        <v>48887.657916965334</v>
      </c>
      <c r="P108" s="333">
        <v>59471.885998741287</v>
      </c>
      <c r="Q108" s="323">
        <v>33095.561498943418</v>
      </c>
      <c r="R108" s="324">
        <v>81983.219415908752</v>
      </c>
      <c r="S108" s="325">
        <v>92567.447497684712</v>
      </c>
      <c r="U108" s="7" t="s">
        <v>4982</v>
      </c>
    </row>
    <row r="109" spans="1:21" ht="21.75" thickBot="1">
      <c r="A109" s="2580" t="s">
        <v>521</v>
      </c>
      <c r="B109" s="2581"/>
      <c r="C109" s="2581"/>
      <c r="D109" s="2581"/>
      <c r="E109" s="2581"/>
      <c r="F109" s="2581"/>
      <c r="G109" s="2581"/>
      <c r="H109" s="2581"/>
      <c r="I109" s="2581"/>
      <c r="J109" s="2581"/>
      <c r="K109" s="2581"/>
      <c r="L109" s="2581"/>
      <c r="M109" s="2581"/>
      <c r="N109" s="2581"/>
      <c r="O109" s="2581"/>
      <c r="P109" s="2581"/>
      <c r="Q109" s="2581"/>
      <c r="R109" s="2581"/>
      <c r="S109" s="2582"/>
      <c r="U109" s="7"/>
    </row>
    <row r="110" spans="1:21" ht="16.5" thickBot="1">
      <c r="A110" s="2583" t="s">
        <v>4587</v>
      </c>
      <c r="B110" s="2584"/>
      <c r="C110" s="2584"/>
      <c r="D110" s="2584"/>
      <c r="E110" s="2584"/>
      <c r="F110" s="2584"/>
      <c r="G110" s="2584"/>
      <c r="H110" s="2584"/>
      <c r="I110" s="2584"/>
      <c r="J110" s="2584"/>
      <c r="K110" s="2584"/>
      <c r="L110" s="2584"/>
      <c r="M110" s="2584"/>
      <c r="N110" s="2584"/>
      <c r="O110" s="2584"/>
      <c r="P110" s="2584"/>
      <c r="Q110" s="2584"/>
      <c r="R110" s="2584"/>
      <c r="S110" s="2585"/>
      <c r="U110" s="7"/>
    </row>
    <row r="111" spans="1:21" ht="16.5" thickBot="1">
      <c r="A111" s="1311" t="s">
        <v>4588</v>
      </c>
      <c r="B111" s="1312">
        <f>J111</f>
        <v>110</v>
      </c>
      <c r="C111" s="1312" t="s">
        <v>3</v>
      </c>
      <c r="D111" s="1312">
        <f>K111</f>
        <v>300</v>
      </c>
      <c r="E111" s="1312" t="s">
        <v>3</v>
      </c>
      <c r="F111" s="1313">
        <f>L111</f>
        <v>600</v>
      </c>
      <c r="G111" s="1312" t="s">
        <v>3</v>
      </c>
      <c r="H111" s="1312">
        <v>2</v>
      </c>
      <c r="I111" s="1314" t="s">
        <v>45</v>
      </c>
      <c r="J111" s="326">
        <v>110</v>
      </c>
      <c r="K111" s="327">
        <v>300</v>
      </c>
      <c r="L111" s="327">
        <v>600</v>
      </c>
      <c r="M111" s="338">
        <v>8.6272797905226106</v>
      </c>
      <c r="N111" s="302">
        <v>204.69362603085378</v>
      </c>
      <c r="O111" s="303">
        <v>15147.688076279666</v>
      </c>
      <c r="P111" s="331">
        <v>18862.439869504578</v>
      </c>
      <c r="Q111" s="328">
        <v>8203.3683669666007</v>
      </c>
      <c r="R111" s="329">
        <v>23351.056443246267</v>
      </c>
      <c r="S111" s="330">
        <v>27065.808236471181</v>
      </c>
      <c r="U111" s="7" t="s">
        <v>4983</v>
      </c>
    </row>
    <row r="112" spans="1:21" ht="16.5" thickBot="1">
      <c r="A112" s="1311" t="s">
        <v>4588</v>
      </c>
      <c r="B112" s="1315">
        <f t="shared" ref="B112:B159" si="6">J112</f>
        <v>110</v>
      </c>
      <c r="C112" s="1315" t="s">
        <v>3</v>
      </c>
      <c r="D112" s="1315">
        <f t="shared" ref="D112:D159" si="7">K112</f>
        <v>300</v>
      </c>
      <c r="E112" s="1315" t="s">
        <v>3</v>
      </c>
      <c r="F112" s="1313">
        <f t="shared" ref="F112:F159" si="8">L112</f>
        <v>650</v>
      </c>
      <c r="G112" s="1315" t="s">
        <v>3</v>
      </c>
      <c r="H112" s="1312">
        <v>2</v>
      </c>
      <c r="I112" s="1314" t="s">
        <v>45</v>
      </c>
      <c r="J112" s="184">
        <v>110</v>
      </c>
      <c r="K112" s="75">
        <v>300</v>
      </c>
      <c r="L112" s="75">
        <v>650</v>
      </c>
      <c r="M112" s="191">
        <v>9.208186249994883</v>
      </c>
      <c r="N112" s="87">
        <v>245.63235123702452</v>
      </c>
      <c r="O112" s="123">
        <v>15823.483319715868</v>
      </c>
      <c r="P112" s="121">
        <v>19716.119399749503</v>
      </c>
      <c r="Q112" s="310">
        <v>8683.7735348305905</v>
      </c>
      <c r="R112" s="319">
        <v>24507.25685454646</v>
      </c>
      <c r="S112" s="315">
        <v>28399.892934580093</v>
      </c>
      <c r="U112" s="7" t="s">
        <v>4984</v>
      </c>
    </row>
    <row r="113" spans="1:21" ht="16.5" thickBot="1">
      <c r="A113" s="1311" t="s">
        <v>4588</v>
      </c>
      <c r="B113" s="1315">
        <f t="shared" si="6"/>
        <v>110</v>
      </c>
      <c r="C113" s="1315" t="s">
        <v>3</v>
      </c>
      <c r="D113" s="1315">
        <f t="shared" si="7"/>
        <v>300</v>
      </c>
      <c r="E113" s="1315" t="s">
        <v>3</v>
      </c>
      <c r="F113" s="1313">
        <f t="shared" si="8"/>
        <v>700</v>
      </c>
      <c r="G113" s="1315" t="s">
        <v>3</v>
      </c>
      <c r="H113" s="1312">
        <v>2</v>
      </c>
      <c r="I113" s="1314" t="s">
        <v>45</v>
      </c>
      <c r="J113" s="184">
        <v>110</v>
      </c>
      <c r="K113" s="75">
        <v>300</v>
      </c>
      <c r="L113" s="75">
        <v>700</v>
      </c>
      <c r="M113" s="191">
        <v>9.7890927094671518</v>
      </c>
      <c r="N113" s="87">
        <v>286.5710764431953</v>
      </c>
      <c r="O113" s="123">
        <v>16499.278703545428</v>
      </c>
      <c r="P113" s="121">
        <v>20569.798929994427</v>
      </c>
      <c r="Q113" s="310">
        <v>9394.7606208712132</v>
      </c>
      <c r="R113" s="319">
        <v>25894.039324416641</v>
      </c>
      <c r="S113" s="315">
        <v>29964.559550865641</v>
      </c>
      <c r="U113" s="7" t="s">
        <v>4985</v>
      </c>
    </row>
    <row r="114" spans="1:21" ht="16.5" thickBot="1">
      <c r="A114" s="1311" t="s">
        <v>4588</v>
      </c>
      <c r="B114" s="1315">
        <f t="shared" si="6"/>
        <v>110</v>
      </c>
      <c r="C114" s="1315" t="s">
        <v>3</v>
      </c>
      <c r="D114" s="1315">
        <f t="shared" si="7"/>
        <v>300</v>
      </c>
      <c r="E114" s="1315" t="s">
        <v>3</v>
      </c>
      <c r="F114" s="1313">
        <f t="shared" si="8"/>
        <v>750</v>
      </c>
      <c r="G114" s="1315" t="s">
        <v>3</v>
      </c>
      <c r="H114" s="1312">
        <v>2</v>
      </c>
      <c r="I114" s="1314" t="s">
        <v>45</v>
      </c>
      <c r="J114" s="184">
        <v>110</v>
      </c>
      <c r="K114" s="75">
        <v>300</v>
      </c>
      <c r="L114" s="75">
        <v>750</v>
      </c>
      <c r="M114" s="191">
        <v>10.369999168939422</v>
      </c>
      <c r="N114" s="87">
        <v>327.50980164936607</v>
      </c>
      <c r="O114" s="123">
        <v>17175.073946981629</v>
      </c>
      <c r="P114" s="121">
        <v>21423.478600632716</v>
      </c>
      <c r="Q114" s="310">
        <v>9875.165788735203</v>
      </c>
      <c r="R114" s="319">
        <v>27050.23973571683</v>
      </c>
      <c r="S114" s="315">
        <v>31298.644389367917</v>
      </c>
      <c r="U114" s="7" t="s">
        <v>4986</v>
      </c>
    </row>
    <row r="115" spans="1:21" ht="16.5" thickBot="1">
      <c r="A115" s="1311" t="s">
        <v>4588</v>
      </c>
      <c r="B115" s="1315">
        <f t="shared" si="6"/>
        <v>110</v>
      </c>
      <c r="C115" s="1315" t="s">
        <v>3</v>
      </c>
      <c r="D115" s="1315">
        <f t="shared" si="7"/>
        <v>300</v>
      </c>
      <c r="E115" s="1315" t="s">
        <v>3</v>
      </c>
      <c r="F115" s="1313">
        <f t="shared" si="8"/>
        <v>800</v>
      </c>
      <c r="G115" s="1315" t="s">
        <v>3</v>
      </c>
      <c r="H115" s="1312">
        <v>2</v>
      </c>
      <c r="I115" s="1314" t="s">
        <v>45</v>
      </c>
      <c r="J115" s="184">
        <v>110</v>
      </c>
      <c r="K115" s="75">
        <v>300</v>
      </c>
      <c r="L115" s="75">
        <v>800</v>
      </c>
      <c r="M115" s="191">
        <v>10.950905628411691</v>
      </c>
      <c r="N115" s="87">
        <v>368.44852685553678</v>
      </c>
      <c r="O115" s="123">
        <v>18211.990541767318</v>
      </c>
      <c r="P115" s="121">
        <v>22291.19746712764</v>
      </c>
      <c r="Q115" s="310">
        <v>10355.570956599189</v>
      </c>
      <c r="R115" s="319">
        <v>28567.561498366507</v>
      </c>
      <c r="S115" s="315">
        <v>32646.768423726829</v>
      </c>
      <c r="U115" s="7" t="s">
        <v>4987</v>
      </c>
    </row>
    <row r="116" spans="1:21" ht="16.5" thickBot="1">
      <c r="A116" s="1311" t="s">
        <v>4588</v>
      </c>
      <c r="B116" s="1315">
        <f t="shared" si="6"/>
        <v>110</v>
      </c>
      <c r="C116" s="1315" t="s">
        <v>3</v>
      </c>
      <c r="D116" s="1315">
        <f t="shared" si="7"/>
        <v>300</v>
      </c>
      <c r="E116" s="1315" t="s">
        <v>3</v>
      </c>
      <c r="F116" s="1313">
        <f t="shared" si="8"/>
        <v>850</v>
      </c>
      <c r="G116" s="1315" t="s">
        <v>3</v>
      </c>
      <c r="H116" s="1312">
        <v>2</v>
      </c>
      <c r="I116" s="1314" t="s">
        <v>45</v>
      </c>
      <c r="J116" s="184">
        <v>110</v>
      </c>
      <c r="K116" s="75">
        <v>300</v>
      </c>
      <c r="L116" s="75">
        <v>850</v>
      </c>
      <c r="M116" s="191">
        <v>11.53181208788396</v>
      </c>
      <c r="N116" s="87">
        <v>409.38725206170756</v>
      </c>
      <c r="O116" s="123">
        <v>18887.785785203516</v>
      </c>
      <c r="P116" s="121">
        <v>23144.877137765929</v>
      </c>
      <c r="Q116" s="310">
        <v>11066.558042639816</v>
      </c>
      <c r="R116" s="319">
        <v>29954.343827843331</v>
      </c>
      <c r="S116" s="315">
        <v>34211.435180405744</v>
      </c>
      <c r="U116" s="7" t="s">
        <v>4988</v>
      </c>
    </row>
    <row r="117" spans="1:21" ht="16.5" thickBot="1">
      <c r="A117" s="1311" t="s">
        <v>4588</v>
      </c>
      <c r="B117" s="1315">
        <f t="shared" si="6"/>
        <v>110</v>
      </c>
      <c r="C117" s="1315" t="s">
        <v>3</v>
      </c>
      <c r="D117" s="1315">
        <f t="shared" si="7"/>
        <v>300</v>
      </c>
      <c r="E117" s="1315" t="s">
        <v>3</v>
      </c>
      <c r="F117" s="1313">
        <f t="shared" si="8"/>
        <v>900</v>
      </c>
      <c r="G117" s="1315" t="s">
        <v>3</v>
      </c>
      <c r="H117" s="1312">
        <v>2</v>
      </c>
      <c r="I117" s="1314" t="s">
        <v>45</v>
      </c>
      <c r="J117" s="184">
        <v>110</v>
      </c>
      <c r="K117" s="75">
        <v>300</v>
      </c>
      <c r="L117" s="75">
        <v>900</v>
      </c>
      <c r="M117" s="191">
        <v>12.112718547356231</v>
      </c>
      <c r="N117" s="87">
        <v>450.32597726787833</v>
      </c>
      <c r="O117" s="123">
        <v>19563.581028639717</v>
      </c>
      <c r="P117" s="121">
        <v>23998.556668010857</v>
      </c>
      <c r="Q117" s="310">
        <v>11546.963210503804</v>
      </c>
      <c r="R117" s="319">
        <v>31110.544239143521</v>
      </c>
      <c r="S117" s="315">
        <v>35545.519878514664</v>
      </c>
      <c r="U117" s="7" t="s">
        <v>4989</v>
      </c>
    </row>
    <row r="118" spans="1:21" ht="16.5" thickBot="1">
      <c r="A118" s="1311" t="s">
        <v>4588</v>
      </c>
      <c r="B118" s="1315">
        <f t="shared" si="6"/>
        <v>110</v>
      </c>
      <c r="C118" s="1315" t="s">
        <v>3</v>
      </c>
      <c r="D118" s="1315">
        <f t="shared" si="7"/>
        <v>300</v>
      </c>
      <c r="E118" s="1315" t="s">
        <v>3</v>
      </c>
      <c r="F118" s="1313">
        <f t="shared" si="8"/>
        <v>950</v>
      </c>
      <c r="G118" s="1315" t="s">
        <v>3</v>
      </c>
      <c r="H118" s="1312">
        <v>2</v>
      </c>
      <c r="I118" s="1314" t="s">
        <v>45</v>
      </c>
      <c r="J118" s="184">
        <v>110</v>
      </c>
      <c r="K118" s="75">
        <v>300</v>
      </c>
      <c r="L118" s="75">
        <v>950</v>
      </c>
      <c r="M118" s="191">
        <v>12.693625006828501</v>
      </c>
      <c r="N118" s="87">
        <v>491.26470247404905</v>
      </c>
      <c r="O118" s="123">
        <v>20239.376272075915</v>
      </c>
      <c r="P118" s="121">
        <v>24852.236198255778</v>
      </c>
      <c r="Q118" s="310">
        <v>12257.950156151066</v>
      </c>
      <c r="R118" s="319">
        <v>32497.326428226981</v>
      </c>
      <c r="S118" s="315">
        <v>37110.186354406847</v>
      </c>
      <c r="U118" s="7" t="s">
        <v>4990</v>
      </c>
    </row>
    <row r="119" spans="1:21" ht="16.5" thickBot="1">
      <c r="A119" s="1311" t="s">
        <v>4588</v>
      </c>
      <c r="B119" s="1315">
        <f t="shared" si="6"/>
        <v>110</v>
      </c>
      <c r="C119" s="1315" t="s">
        <v>3</v>
      </c>
      <c r="D119" s="1315">
        <f t="shared" si="7"/>
        <v>300</v>
      </c>
      <c r="E119" s="1315" t="s">
        <v>3</v>
      </c>
      <c r="F119" s="1313">
        <f t="shared" si="8"/>
        <v>1000</v>
      </c>
      <c r="G119" s="1315" t="s">
        <v>3</v>
      </c>
      <c r="H119" s="1312">
        <v>2</v>
      </c>
      <c r="I119" s="1314" t="s">
        <v>45</v>
      </c>
      <c r="J119" s="184">
        <v>110</v>
      </c>
      <c r="K119" s="75">
        <v>300</v>
      </c>
      <c r="L119" s="75">
        <v>1000</v>
      </c>
      <c r="M119" s="191">
        <v>13.39158546630077</v>
      </c>
      <c r="N119" s="87">
        <v>532.20342768021987</v>
      </c>
      <c r="O119" s="123">
        <v>20968.577150607118</v>
      </c>
      <c r="P119" s="121">
        <v>25759.321503989071</v>
      </c>
      <c r="Q119" s="310">
        <v>12738.355464408416</v>
      </c>
      <c r="R119" s="319">
        <v>33706.932615015532</v>
      </c>
      <c r="S119" s="315">
        <v>38497.676968397485</v>
      </c>
      <c r="U119" s="7" t="s">
        <v>4991</v>
      </c>
    </row>
    <row r="120" spans="1:21" ht="16.5" thickBot="1">
      <c r="A120" s="1311" t="s">
        <v>4588</v>
      </c>
      <c r="B120" s="1315">
        <f t="shared" si="6"/>
        <v>110</v>
      </c>
      <c r="C120" s="1315" t="s">
        <v>3</v>
      </c>
      <c r="D120" s="1315">
        <f t="shared" si="7"/>
        <v>300</v>
      </c>
      <c r="E120" s="1315" t="s">
        <v>3</v>
      </c>
      <c r="F120" s="1313">
        <f t="shared" si="8"/>
        <v>1050</v>
      </c>
      <c r="G120" s="1315" t="s">
        <v>3</v>
      </c>
      <c r="H120" s="1312">
        <v>2</v>
      </c>
      <c r="I120" s="1314" t="s">
        <v>45</v>
      </c>
      <c r="J120" s="184">
        <v>110</v>
      </c>
      <c r="K120" s="75">
        <v>300</v>
      </c>
      <c r="L120" s="75">
        <v>1050</v>
      </c>
      <c r="M120" s="191">
        <v>13.972491925773042</v>
      </c>
      <c r="N120" s="87">
        <v>573.14215288639059</v>
      </c>
      <c r="O120" s="123">
        <v>21644.372394043319</v>
      </c>
      <c r="P120" s="121">
        <v>26613.001034233992</v>
      </c>
      <c r="Q120" s="310">
        <v>13449.342410055679</v>
      </c>
      <c r="R120" s="319">
        <v>35093.714804099</v>
      </c>
      <c r="S120" s="315">
        <v>40062.343444289669</v>
      </c>
      <c r="U120" s="7" t="s">
        <v>4992</v>
      </c>
    </row>
    <row r="121" spans="1:21" ht="16.5" thickBot="1">
      <c r="A121" s="1311" t="s">
        <v>4588</v>
      </c>
      <c r="B121" s="1312">
        <f t="shared" si="6"/>
        <v>110</v>
      </c>
      <c r="C121" s="1312" t="s">
        <v>3</v>
      </c>
      <c r="D121" s="1312">
        <f t="shared" si="7"/>
        <v>300</v>
      </c>
      <c r="E121" s="1312" t="s">
        <v>3</v>
      </c>
      <c r="F121" s="1313">
        <f t="shared" si="8"/>
        <v>1100</v>
      </c>
      <c r="G121" s="1312" t="s">
        <v>3</v>
      </c>
      <c r="H121" s="1312">
        <v>2</v>
      </c>
      <c r="I121" s="1314" t="s">
        <v>45</v>
      </c>
      <c r="J121" s="184">
        <v>110</v>
      </c>
      <c r="K121" s="75">
        <v>300</v>
      </c>
      <c r="L121" s="75">
        <v>1100</v>
      </c>
      <c r="M121" s="191">
        <v>14.553398385245309</v>
      </c>
      <c r="N121" s="87">
        <v>614.08087809256131</v>
      </c>
      <c r="O121" s="123">
        <v>22320.167637479517</v>
      </c>
      <c r="P121" s="121">
        <v>27466.680704872284</v>
      </c>
      <c r="Q121" s="310">
        <v>13929.747718313029</v>
      </c>
      <c r="R121" s="319">
        <v>36249.915355792546</v>
      </c>
      <c r="S121" s="315">
        <v>41396.428423185309</v>
      </c>
      <c r="U121" s="7" t="s">
        <v>4993</v>
      </c>
    </row>
    <row r="122" spans="1:21" ht="16.5" thickBot="1">
      <c r="A122" s="1311" t="s">
        <v>4588</v>
      </c>
      <c r="B122" s="1315">
        <f t="shared" si="6"/>
        <v>110</v>
      </c>
      <c r="C122" s="1315" t="s">
        <v>3</v>
      </c>
      <c r="D122" s="1315">
        <f t="shared" si="7"/>
        <v>300</v>
      </c>
      <c r="E122" s="1315" t="s">
        <v>3</v>
      </c>
      <c r="F122" s="1313">
        <f t="shared" si="8"/>
        <v>1150</v>
      </c>
      <c r="G122" s="1315" t="s">
        <v>3</v>
      </c>
      <c r="H122" s="1312">
        <v>2</v>
      </c>
      <c r="I122" s="1314" t="s">
        <v>45</v>
      </c>
      <c r="J122" s="184">
        <v>110</v>
      </c>
      <c r="K122" s="75">
        <v>300</v>
      </c>
      <c r="L122" s="75">
        <v>1150</v>
      </c>
      <c r="M122" s="191">
        <v>15.13430484471758</v>
      </c>
      <c r="N122" s="87">
        <v>655.01960329873214</v>
      </c>
      <c r="O122" s="123">
        <v>22995.962880915718</v>
      </c>
      <c r="P122" s="121">
        <v>28320.360235117205</v>
      </c>
      <c r="Q122" s="310">
        <v>14410.152886177015</v>
      </c>
      <c r="R122" s="319">
        <v>37406.115767092735</v>
      </c>
      <c r="S122" s="315">
        <v>42730.513121294221</v>
      </c>
      <c r="U122" s="7" t="s">
        <v>4994</v>
      </c>
    </row>
    <row r="123" spans="1:21" ht="16.5" thickBot="1">
      <c r="A123" s="1311" t="s">
        <v>4588</v>
      </c>
      <c r="B123" s="1315">
        <f t="shared" si="6"/>
        <v>110</v>
      </c>
      <c r="C123" s="1315" t="s">
        <v>3</v>
      </c>
      <c r="D123" s="1315">
        <f t="shared" si="7"/>
        <v>300</v>
      </c>
      <c r="E123" s="1315" t="s">
        <v>3</v>
      </c>
      <c r="F123" s="1313">
        <f t="shared" si="8"/>
        <v>1200</v>
      </c>
      <c r="G123" s="1315" t="s">
        <v>3</v>
      </c>
      <c r="H123" s="1312">
        <v>2</v>
      </c>
      <c r="I123" s="1314" t="s">
        <v>45</v>
      </c>
      <c r="J123" s="184">
        <v>110</v>
      </c>
      <c r="K123" s="75">
        <v>300</v>
      </c>
      <c r="L123" s="75">
        <v>1200</v>
      </c>
      <c r="M123" s="191">
        <v>15.715211304189848</v>
      </c>
      <c r="N123" s="87">
        <v>695.95832850490285</v>
      </c>
      <c r="O123" s="123">
        <v>23671.75812435192</v>
      </c>
      <c r="P123" s="121">
        <v>29174.039765362129</v>
      </c>
      <c r="Q123" s="310">
        <v>15121.139831824277</v>
      </c>
      <c r="R123" s="319">
        <v>38792.897956176195</v>
      </c>
      <c r="S123" s="315">
        <v>44295.179597186405</v>
      </c>
      <c r="U123" s="7" t="s">
        <v>4995</v>
      </c>
    </row>
    <row r="124" spans="1:21" ht="16.5" thickBot="1">
      <c r="A124" s="1311" t="s">
        <v>4588</v>
      </c>
      <c r="B124" s="1315">
        <f t="shared" si="6"/>
        <v>110</v>
      </c>
      <c r="C124" s="1315" t="s">
        <v>3</v>
      </c>
      <c r="D124" s="1315">
        <f t="shared" si="7"/>
        <v>300</v>
      </c>
      <c r="E124" s="1315" t="s">
        <v>3</v>
      </c>
      <c r="F124" s="1313">
        <f t="shared" si="8"/>
        <v>1250</v>
      </c>
      <c r="G124" s="1315" t="s">
        <v>3</v>
      </c>
      <c r="H124" s="1312">
        <v>2</v>
      </c>
      <c r="I124" s="1314" t="s">
        <v>45</v>
      </c>
      <c r="J124" s="184">
        <v>110</v>
      </c>
      <c r="K124" s="75">
        <v>300</v>
      </c>
      <c r="L124" s="75">
        <v>1250</v>
      </c>
      <c r="M124" s="191">
        <v>16.296117763662121</v>
      </c>
      <c r="N124" s="87">
        <v>736.89705371107357</v>
      </c>
      <c r="O124" s="123">
        <v>24347.553508181481</v>
      </c>
      <c r="P124" s="121">
        <v>30027.719436000418</v>
      </c>
      <c r="Q124" s="310">
        <v>15601.545140081627</v>
      </c>
      <c r="R124" s="319">
        <v>39949.098648263112</v>
      </c>
      <c r="S124" s="315">
        <v>45629.264576082045</v>
      </c>
      <c r="U124" s="7" t="s">
        <v>4996</v>
      </c>
    </row>
    <row r="125" spans="1:21" ht="16.5" thickBot="1">
      <c r="A125" s="1311" t="s">
        <v>4588</v>
      </c>
      <c r="B125" s="1315">
        <f t="shared" si="6"/>
        <v>110</v>
      </c>
      <c r="C125" s="1315" t="s">
        <v>3</v>
      </c>
      <c r="D125" s="1315">
        <f t="shared" si="7"/>
        <v>300</v>
      </c>
      <c r="E125" s="1315" t="s">
        <v>3</v>
      </c>
      <c r="F125" s="1313">
        <f t="shared" si="8"/>
        <v>1300</v>
      </c>
      <c r="G125" s="1315" t="s">
        <v>3</v>
      </c>
      <c r="H125" s="1312">
        <v>2</v>
      </c>
      <c r="I125" s="1314" t="s">
        <v>45</v>
      </c>
      <c r="J125" s="184">
        <v>110</v>
      </c>
      <c r="K125" s="75">
        <v>300</v>
      </c>
      <c r="L125" s="75">
        <v>1300</v>
      </c>
      <c r="M125" s="191">
        <v>16.877024223134391</v>
      </c>
      <c r="N125" s="87">
        <v>777.83577891724428</v>
      </c>
      <c r="O125" s="123">
        <v>25023.348751617683</v>
      </c>
      <c r="P125" s="121">
        <v>30881.398966245342</v>
      </c>
      <c r="Q125" s="310">
        <v>16312.53208572889</v>
      </c>
      <c r="R125" s="319">
        <v>41335.880837346573</v>
      </c>
      <c r="S125" s="315">
        <v>47193.931051974228</v>
      </c>
      <c r="U125" s="7" t="s">
        <v>4997</v>
      </c>
    </row>
    <row r="126" spans="1:21" ht="16.5" thickBot="1">
      <c r="A126" s="1311" t="s">
        <v>4588</v>
      </c>
      <c r="B126" s="1315">
        <f t="shared" si="6"/>
        <v>110</v>
      </c>
      <c r="C126" s="1315" t="s">
        <v>3</v>
      </c>
      <c r="D126" s="1315">
        <f t="shared" si="7"/>
        <v>300</v>
      </c>
      <c r="E126" s="1315" t="s">
        <v>3</v>
      </c>
      <c r="F126" s="1313">
        <f t="shared" si="8"/>
        <v>1350</v>
      </c>
      <c r="G126" s="1315" t="s">
        <v>3</v>
      </c>
      <c r="H126" s="1312">
        <v>2</v>
      </c>
      <c r="I126" s="1314" t="s">
        <v>45</v>
      </c>
      <c r="J126" s="184">
        <v>110</v>
      </c>
      <c r="K126" s="75">
        <v>300</v>
      </c>
      <c r="L126" s="75">
        <v>1350</v>
      </c>
      <c r="M126" s="191">
        <v>17.457930682606658</v>
      </c>
      <c r="N126" s="87">
        <v>818.77450412341511</v>
      </c>
      <c r="O126" s="123">
        <v>25699.143995053877</v>
      </c>
      <c r="P126" s="121">
        <v>31735.078636883634</v>
      </c>
      <c r="Q126" s="310">
        <v>16792.937253592878</v>
      </c>
      <c r="R126" s="319">
        <v>42492.081248646755</v>
      </c>
      <c r="S126" s="315">
        <v>48528.015890476512</v>
      </c>
      <c r="U126" s="7" t="s">
        <v>4998</v>
      </c>
    </row>
    <row r="127" spans="1:21" ht="16.5" thickBot="1">
      <c r="A127" s="1311" t="s">
        <v>4588</v>
      </c>
      <c r="B127" s="1315">
        <f t="shared" si="6"/>
        <v>110</v>
      </c>
      <c r="C127" s="1315" t="s">
        <v>3</v>
      </c>
      <c r="D127" s="1315">
        <f t="shared" si="7"/>
        <v>300</v>
      </c>
      <c r="E127" s="1315" t="s">
        <v>3</v>
      </c>
      <c r="F127" s="1313">
        <f t="shared" si="8"/>
        <v>1400</v>
      </c>
      <c r="G127" s="1315" t="s">
        <v>3</v>
      </c>
      <c r="H127" s="1312">
        <v>2</v>
      </c>
      <c r="I127" s="1314" t="s">
        <v>45</v>
      </c>
      <c r="J127" s="184">
        <v>110</v>
      </c>
      <c r="K127" s="75">
        <v>300</v>
      </c>
      <c r="L127" s="75">
        <v>1400</v>
      </c>
      <c r="M127" s="191">
        <v>18.038837142078929</v>
      </c>
      <c r="N127" s="87">
        <v>859.71322932958594</v>
      </c>
      <c r="O127" s="123">
        <v>26374.939238490078</v>
      </c>
      <c r="P127" s="121">
        <v>32588.758167128555</v>
      </c>
      <c r="Q127" s="310">
        <v>17503.924339633504</v>
      </c>
      <c r="R127" s="319">
        <v>43878.863578123579</v>
      </c>
      <c r="S127" s="315">
        <v>50092.682506762059</v>
      </c>
      <c r="U127" s="7" t="s">
        <v>4999</v>
      </c>
    </row>
    <row r="128" spans="1:21" ht="16.5" thickBot="1">
      <c r="A128" s="1311" t="s">
        <v>4588</v>
      </c>
      <c r="B128" s="1315">
        <f t="shared" si="6"/>
        <v>110</v>
      </c>
      <c r="C128" s="1315" t="s">
        <v>3</v>
      </c>
      <c r="D128" s="1315">
        <f t="shared" si="7"/>
        <v>300</v>
      </c>
      <c r="E128" s="1315" t="s">
        <v>3</v>
      </c>
      <c r="F128" s="1313">
        <f t="shared" si="8"/>
        <v>1450</v>
      </c>
      <c r="G128" s="1315" t="s">
        <v>3</v>
      </c>
      <c r="H128" s="1312">
        <v>2</v>
      </c>
      <c r="I128" s="1314" t="s">
        <v>45</v>
      </c>
      <c r="J128" s="184">
        <v>110</v>
      </c>
      <c r="K128" s="75">
        <v>300</v>
      </c>
      <c r="L128" s="75">
        <v>1450</v>
      </c>
      <c r="M128" s="191">
        <v>18.6197436015512</v>
      </c>
      <c r="N128" s="87">
        <v>900.65195453575666</v>
      </c>
      <c r="O128" s="123">
        <v>27050.73448192628</v>
      </c>
      <c r="P128" s="121">
        <v>33442.437697373483</v>
      </c>
      <c r="Q128" s="310">
        <v>17984.32950749735</v>
      </c>
      <c r="R128" s="319">
        <v>45035.06398942363</v>
      </c>
      <c r="S128" s="315">
        <v>51426.767204870834</v>
      </c>
      <c r="U128" s="7" t="s">
        <v>5000</v>
      </c>
    </row>
    <row r="129" spans="1:21" ht="16.5" thickBot="1">
      <c r="A129" s="1311" t="s">
        <v>4588</v>
      </c>
      <c r="B129" s="1315">
        <f t="shared" si="6"/>
        <v>110</v>
      </c>
      <c r="C129" s="1315" t="s">
        <v>3</v>
      </c>
      <c r="D129" s="1315">
        <f t="shared" si="7"/>
        <v>300</v>
      </c>
      <c r="E129" s="1315" t="s">
        <v>3</v>
      </c>
      <c r="F129" s="1313">
        <f t="shared" si="8"/>
        <v>1500</v>
      </c>
      <c r="G129" s="1315" t="s">
        <v>3</v>
      </c>
      <c r="H129" s="1312">
        <v>2</v>
      </c>
      <c r="I129" s="1314" t="s">
        <v>45</v>
      </c>
      <c r="J129" s="184">
        <v>110</v>
      </c>
      <c r="K129" s="75">
        <v>300</v>
      </c>
      <c r="L129" s="75">
        <v>1500</v>
      </c>
      <c r="M129" s="191">
        <v>19.545416861023469</v>
      </c>
      <c r="N129" s="87">
        <v>941.59067974192726</v>
      </c>
      <c r="O129" s="123">
        <v>28450.179029160339</v>
      </c>
      <c r="P129" s="121">
        <v>35218.230800447142</v>
      </c>
      <c r="Q129" s="310">
        <v>18695.316593538118</v>
      </c>
      <c r="R129" s="319">
        <v>47145.495622698458</v>
      </c>
      <c r="S129" s="315">
        <v>53913.54739398526</v>
      </c>
      <c r="U129" s="7" t="s">
        <v>5001</v>
      </c>
    </row>
    <row r="130" spans="1:21" ht="16.5" thickBot="1">
      <c r="A130" s="1311" t="s">
        <v>4588</v>
      </c>
      <c r="B130" s="1315">
        <f t="shared" si="6"/>
        <v>110</v>
      </c>
      <c r="C130" s="1315" t="s">
        <v>3</v>
      </c>
      <c r="D130" s="1315">
        <f t="shared" si="7"/>
        <v>300</v>
      </c>
      <c r="E130" s="1315" t="s">
        <v>3</v>
      </c>
      <c r="F130" s="1313">
        <f t="shared" si="8"/>
        <v>1550</v>
      </c>
      <c r="G130" s="1315" t="s">
        <v>3</v>
      </c>
      <c r="H130" s="1312">
        <v>2</v>
      </c>
      <c r="I130" s="1314" t="s">
        <v>45</v>
      </c>
      <c r="J130" s="184">
        <v>110</v>
      </c>
      <c r="K130" s="75">
        <v>300</v>
      </c>
      <c r="L130" s="75">
        <v>1550</v>
      </c>
      <c r="M130" s="191">
        <v>20.126323320495743</v>
      </c>
      <c r="N130" s="87">
        <v>982.52940494809809</v>
      </c>
      <c r="O130" s="123">
        <v>29125.974272596406</v>
      </c>
      <c r="P130" s="121">
        <v>36071.910471085437</v>
      </c>
      <c r="Q130" s="310">
        <v>19175.721761402103</v>
      </c>
      <c r="R130" s="319">
        <v>48301.696033998509</v>
      </c>
      <c r="S130" s="315">
        <v>55247.632232487536</v>
      </c>
      <c r="U130" s="7" t="s">
        <v>5002</v>
      </c>
    </row>
    <row r="131" spans="1:21" ht="16.5" thickBot="1">
      <c r="A131" s="1311" t="s">
        <v>4588</v>
      </c>
      <c r="B131" s="1312">
        <f t="shared" si="6"/>
        <v>110</v>
      </c>
      <c r="C131" s="1312" t="s">
        <v>3</v>
      </c>
      <c r="D131" s="1312">
        <f t="shared" si="7"/>
        <v>300</v>
      </c>
      <c r="E131" s="1312" t="s">
        <v>3</v>
      </c>
      <c r="F131" s="1313">
        <f t="shared" si="8"/>
        <v>1600</v>
      </c>
      <c r="G131" s="1312" t="s">
        <v>3</v>
      </c>
      <c r="H131" s="1312">
        <v>2</v>
      </c>
      <c r="I131" s="1314" t="s">
        <v>45</v>
      </c>
      <c r="J131" s="184">
        <v>110</v>
      </c>
      <c r="K131" s="75">
        <v>300</v>
      </c>
      <c r="L131" s="75">
        <v>1600</v>
      </c>
      <c r="M131" s="191">
        <v>20.70722977996801</v>
      </c>
      <c r="N131" s="87">
        <v>1023.4681301542689</v>
      </c>
      <c r="O131" s="123">
        <v>29801.76965642611</v>
      </c>
      <c r="P131" s="121">
        <v>36925.590001330354</v>
      </c>
      <c r="Q131" s="310">
        <v>19656.126929266091</v>
      </c>
      <c r="R131" s="319">
        <v>49457.8965856922</v>
      </c>
      <c r="S131" s="315">
        <v>56581.716930596449</v>
      </c>
      <c r="U131" s="7" t="s">
        <v>5003</v>
      </c>
    </row>
    <row r="132" spans="1:21" ht="16.5" thickBot="1">
      <c r="A132" s="1311" t="s">
        <v>4588</v>
      </c>
      <c r="B132" s="1315">
        <f t="shared" si="6"/>
        <v>110</v>
      </c>
      <c r="C132" s="1315" t="s">
        <v>3</v>
      </c>
      <c r="D132" s="1315">
        <f t="shared" si="7"/>
        <v>300</v>
      </c>
      <c r="E132" s="1315" t="s">
        <v>3</v>
      </c>
      <c r="F132" s="1313">
        <f t="shared" si="8"/>
        <v>1650</v>
      </c>
      <c r="G132" s="1315" t="s">
        <v>3</v>
      </c>
      <c r="H132" s="1312">
        <v>2</v>
      </c>
      <c r="I132" s="1314" t="s">
        <v>45</v>
      </c>
      <c r="J132" s="184">
        <v>110</v>
      </c>
      <c r="K132" s="75">
        <v>300</v>
      </c>
      <c r="L132" s="75">
        <v>1650</v>
      </c>
      <c r="M132" s="191">
        <v>21.288136239440277</v>
      </c>
      <c r="N132" s="87">
        <v>1064.4068553604397</v>
      </c>
      <c r="O132" s="123">
        <v>30477.564899862304</v>
      </c>
      <c r="P132" s="121">
        <v>37779.26967196865</v>
      </c>
      <c r="Q132" s="310">
        <v>20367.114015306717</v>
      </c>
      <c r="R132" s="319">
        <v>50844.678915169017</v>
      </c>
      <c r="S132" s="315">
        <v>58146.383687275367</v>
      </c>
      <c r="U132" s="7" t="s">
        <v>5004</v>
      </c>
    </row>
    <row r="133" spans="1:21" ht="16.5" thickBot="1">
      <c r="A133" s="1311" t="s">
        <v>4588</v>
      </c>
      <c r="B133" s="1315">
        <f t="shared" si="6"/>
        <v>110</v>
      </c>
      <c r="C133" s="1315" t="s">
        <v>3</v>
      </c>
      <c r="D133" s="1315">
        <f t="shared" si="7"/>
        <v>300</v>
      </c>
      <c r="E133" s="1315" t="s">
        <v>3</v>
      </c>
      <c r="F133" s="1313">
        <f t="shared" si="8"/>
        <v>1700</v>
      </c>
      <c r="G133" s="1315" t="s">
        <v>3</v>
      </c>
      <c r="H133" s="1312">
        <v>2</v>
      </c>
      <c r="I133" s="1314" t="s">
        <v>45</v>
      </c>
      <c r="J133" s="184">
        <v>110</v>
      </c>
      <c r="K133" s="75">
        <v>300</v>
      </c>
      <c r="L133" s="75">
        <v>1700</v>
      </c>
      <c r="M133" s="191">
        <v>21.869042698912551</v>
      </c>
      <c r="N133" s="87">
        <v>1105.3455805666106</v>
      </c>
      <c r="O133" s="123">
        <v>31153.360143298505</v>
      </c>
      <c r="P133" s="121">
        <v>38632.949202213567</v>
      </c>
      <c r="Q133" s="310">
        <v>20847.519183170705</v>
      </c>
      <c r="R133" s="319">
        <v>52000.879326469207</v>
      </c>
      <c r="S133" s="315">
        <v>59480.468385384273</v>
      </c>
      <c r="U133" s="7" t="s">
        <v>5005</v>
      </c>
    </row>
    <row r="134" spans="1:21" ht="16.5" thickBot="1">
      <c r="A134" s="1311" t="s">
        <v>4588</v>
      </c>
      <c r="B134" s="1315">
        <f t="shared" si="6"/>
        <v>110</v>
      </c>
      <c r="C134" s="1315" t="s">
        <v>3</v>
      </c>
      <c r="D134" s="1315">
        <f t="shared" si="7"/>
        <v>300</v>
      </c>
      <c r="E134" s="1315" t="s">
        <v>3</v>
      </c>
      <c r="F134" s="1313">
        <f t="shared" si="8"/>
        <v>1750</v>
      </c>
      <c r="G134" s="1315" t="s">
        <v>3</v>
      </c>
      <c r="H134" s="1312">
        <v>2</v>
      </c>
      <c r="I134" s="1314" t="s">
        <v>45</v>
      </c>
      <c r="J134" s="184">
        <v>110</v>
      </c>
      <c r="K134" s="75">
        <v>300</v>
      </c>
      <c r="L134" s="75">
        <v>1750</v>
      </c>
      <c r="M134" s="191">
        <v>22.449949158384818</v>
      </c>
      <c r="N134" s="87">
        <v>1146.2843057727812</v>
      </c>
      <c r="O134" s="123">
        <v>31829.155386734707</v>
      </c>
      <c r="P134" s="121">
        <v>39486.628732458499</v>
      </c>
      <c r="Q134" s="310">
        <v>21558.506269211328</v>
      </c>
      <c r="R134" s="319">
        <v>53387.661655946038</v>
      </c>
      <c r="S134" s="315">
        <v>61045.135001669827</v>
      </c>
      <c r="U134" s="7" t="s">
        <v>5006</v>
      </c>
    </row>
    <row r="135" spans="1:21" ht="16.5" thickBot="1">
      <c r="A135" s="1311" t="s">
        <v>4588</v>
      </c>
      <c r="B135" s="1315">
        <f t="shared" si="6"/>
        <v>110</v>
      </c>
      <c r="C135" s="1315" t="s">
        <v>3</v>
      </c>
      <c r="D135" s="1315">
        <f t="shared" si="7"/>
        <v>300</v>
      </c>
      <c r="E135" s="1315" t="s">
        <v>3</v>
      </c>
      <c r="F135" s="1313">
        <f t="shared" si="8"/>
        <v>1800</v>
      </c>
      <c r="G135" s="1315" t="s">
        <v>3</v>
      </c>
      <c r="H135" s="1312">
        <v>2</v>
      </c>
      <c r="I135" s="1314" t="s">
        <v>45</v>
      </c>
      <c r="J135" s="184">
        <v>110</v>
      </c>
      <c r="K135" s="75">
        <v>300</v>
      </c>
      <c r="L135" s="75">
        <v>1800</v>
      </c>
      <c r="M135" s="191">
        <v>23.030855617857085</v>
      </c>
      <c r="N135" s="87">
        <v>1187.2230309789518</v>
      </c>
      <c r="O135" s="123">
        <v>32504.950630170908</v>
      </c>
      <c r="P135" s="121">
        <v>40340.30840309678</v>
      </c>
      <c r="Q135" s="310">
        <v>22038.911437075316</v>
      </c>
      <c r="R135" s="319">
        <v>54543.862067246228</v>
      </c>
      <c r="S135" s="315">
        <v>62379.219840172096</v>
      </c>
      <c r="U135" s="7" t="s">
        <v>5007</v>
      </c>
    </row>
    <row r="136" spans="1:21" ht="16.5" thickBot="1">
      <c r="A136" s="1311" t="s">
        <v>4588</v>
      </c>
      <c r="B136" s="1315">
        <f t="shared" si="6"/>
        <v>110</v>
      </c>
      <c r="C136" s="1315" t="s">
        <v>3</v>
      </c>
      <c r="D136" s="1315">
        <f t="shared" si="7"/>
        <v>300</v>
      </c>
      <c r="E136" s="1315" t="s">
        <v>3</v>
      </c>
      <c r="F136" s="1313">
        <f t="shared" si="8"/>
        <v>1850</v>
      </c>
      <c r="G136" s="1315" t="s">
        <v>3</v>
      </c>
      <c r="H136" s="1312">
        <v>2</v>
      </c>
      <c r="I136" s="1314" t="s">
        <v>45</v>
      </c>
      <c r="J136" s="184">
        <v>110</v>
      </c>
      <c r="K136" s="75">
        <v>300</v>
      </c>
      <c r="L136" s="75">
        <v>1850</v>
      </c>
      <c r="M136" s="191">
        <v>23.611762077329356</v>
      </c>
      <c r="N136" s="87">
        <v>1228.1617561851226</v>
      </c>
      <c r="O136" s="123">
        <v>33180.745873607106</v>
      </c>
      <c r="P136" s="121">
        <v>41193.987933341705</v>
      </c>
      <c r="Q136" s="310">
        <v>22749.898382722578</v>
      </c>
      <c r="R136" s="319">
        <v>55930.644256329688</v>
      </c>
      <c r="S136" s="315">
        <v>63943.88631606428</v>
      </c>
      <c r="U136" s="7" t="s">
        <v>5008</v>
      </c>
    </row>
    <row r="137" spans="1:21" ht="16.5" thickBot="1">
      <c r="A137" s="1311" t="s">
        <v>4588</v>
      </c>
      <c r="B137" s="1315">
        <f t="shared" si="6"/>
        <v>110</v>
      </c>
      <c r="C137" s="1315" t="s">
        <v>3</v>
      </c>
      <c r="D137" s="1315">
        <f t="shared" si="7"/>
        <v>300</v>
      </c>
      <c r="E137" s="1315" t="s">
        <v>3</v>
      </c>
      <c r="F137" s="1313">
        <f t="shared" si="8"/>
        <v>1900</v>
      </c>
      <c r="G137" s="1315" t="s">
        <v>3</v>
      </c>
      <c r="H137" s="1312">
        <v>2</v>
      </c>
      <c r="I137" s="1314" t="s">
        <v>45</v>
      </c>
      <c r="J137" s="184">
        <v>110</v>
      </c>
      <c r="K137" s="75">
        <v>300</v>
      </c>
      <c r="L137" s="75">
        <v>1900</v>
      </c>
      <c r="M137" s="191">
        <v>24.192668536801627</v>
      </c>
      <c r="N137" s="87">
        <v>1269.1004813912934</v>
      </c>
      <c r="O137" s="123">
        <v>33856.541117043307</v>
      </c>
      <c r="P137" s="121">
        <v>42047.667603979993</v>
      </c>
      <c r="Q137" s="310">
        <v>23230.30369097993</v>
      </c>
      <c r="R137" s="319">
        <v>57086.844808023234</v>
      </c>
      <c r="S137" s="315">
        <v>65277.97129495992</v>
      </c>
      <c r="U137" s="7" t="s">
        <v>5009</v>
      </c>
    </row>
    <row r="138" spans="1:21" ht="16.5" thickBot="1">
      <c r="A138" s="1311" t="s">
        <v>4588</v>
      </c>
      <c r="B138" s="1315">
        <f t="shared" si="6"/>
        <v>110</v>
      </c>
      <c r="C138" s="1315" t="s">
        <v>3</v>
      </c>
      <c r="D138" s="1315">
        <f t="shared" si="7"/>
        <v>300</v>
      </c>
      <c r="E138" s="1315" t="s">
        <v>3</v>
      </c>
      <c r="F138" s="1313">
        <f t="shared" si="8"/>
        <v>1950</v>
      </c>
      <c r="G138" s="1315" t="s">
        <v>3</v>
      </c>
      <c r="H138" s="1312">
        <v>2</v>
      </c>
      <c r="I138" s="1314" t="s">
        <v>45</v>
      </c>
      <c r="J138" s="184">
        <v>110</v>
      </c>
      <c r="K138" s="75">
        <v>300</v>
      </c>
      <c r="L138" s="75">
        <v>1950</v>
      </c>
      <c r="M138" s="191">
        <v>24.773574996273897</v>
      </c>
      <c r="N138" s="87">
        <v>1310.0392065974643</v>
      </c>
      <c r="O138" s="123">
        <v>34532.336360479509</v>
      </c>
      <c r="P138" s="121">
        <v>42901.347134224918</v>
      </c>
      <c r="Q138" s="310">
        <v>23710.708858843918</v>
      </c>
      <c r="R138" s="319">
        <v>58243.045219323423</v>
      </c>
      <c r="S138" s="315">
        <v>66612.055993068832</v>
      </c>
      <c r="U138" s="7" t="s">
        <v>5010</v>
      </c>
    </row>
    <row r="139" spans="1:21" ht="16.5" thickBot="1">
      <c r="A139" s="1311" t="s">
        <v>4588</v>
      </c>
      <c r="B139" s="1315">
        <f t="shared" si="6"/>
        <v>110</v>
      </c>
      <c r="C139" s="1315" t="s">
        <v>3</v>
      </c>
      <c r="D139" s="1315">
        <f t="shared" si="7"/>
        <v>300</v>
      </c>
      <c r="E139" s="1315" t="s">
        <v>3</v>
      </c>
      <c r="F139" s="1313">
        <f t="shared" si="8"/>
        <v>2000</v>
      </c>
      <c r="G139" s="1315" t="s">
        <v>3</v>
      </c>
      <c r="H139" s="1312">
        <v>2</v>
      </c>
      <c r="I139" s="1314" t="s">
        <v>45</v>
      </c>
      <c r="J139" s="184">
        <v>110</v>
      </c>
      <c r="K139" s="75">
        <v>300</v>
      </c>
      <c r="L139" s="75">
        <v>2000</v>
      </c>
      <c r="M139" s="191">
        <v>25.471535455746164</v>
      </c>
      <c r="N139" s="87">
        <v>1350.9779318036349</v>
      </c>
      <c r="O139" s="123">
        <v>35661.407158410198</v>
      </c>
      <c r="P139" s="121">
        <v>43911.761814364843</v>
      </c>
      <c r="Q139" s="310">
        <v>24421.695804491177</v>
      </c>
      <c r="R139" s="319">
        <v>60083.102962901379</v>
      </c>
      <c r="S139" s="315">
        <v>68333.457618856017</v>
      </c>
      <c r="U139" s="7" t="s">
        <v>5011</v>
      </c>
    </row>
    <row r="140" spans="1:21" ht="16.5" thickBot="1">
      <c r="A140" s="1311" t="s">
        <v>4588</v>
      </c>
      <c r="B140" s="1315">
        <f t="shared" si="6"/>
        <v>110</v>
      </c>
      <c r="C140" s="1315" t="s">
        <v>3</v>
      </c>
      <c r="D140" s="1315">
        <f t="shared" si="7"/>
        <v>300</v>
      </c>
      <c r="E140" s="1315" t="s">
        <v>3</v>
      </c>
      <c r="F140" s="1313">
        <f t="shared" si="8"/>
        <v>2050</v>
      </c>
      <c r="G140" s="1315" t="s">
        <v>3</v>
      </c>
      <c r="H140" s="1312">
        <v>2</v>
      </c>
      <c r="I140" s="1314" t="s">
        <v>45</v>
      </c>
      <c r="J140" s="184">
        <v>110</v>
      </c>
      <c r="K140" s="75">
        <v>300</v>
      </c>
      <c r="L140" s="75">
        <v>2050</v>
      </c>
      <c r="M140" s="191">
        <v>26.052441915218438</v>
      </c>
      <c r="N140" s="87">
        <v>1391.9166570098057</v>
      </c>
      <c r="O140" s="123">
        <v>36337.2024018464</v>
      </c>
      <c r="P140" s="121">
        <v>44765.441485003132</v>
      </c>
      <c r="Q140" s="310">
        <v>24902.101112748529</v>
      </c>
      <c r="R140" s="319">
        <v>61239.303514594925</v>
      </c>
      <c r="S140" s="315">
        <v>69667.542597751657</v>
      </c>
      <c r="U140" s="7" t="s">
        <v>5012</v>
      </c>
    </row>
    <row r="141" spans="1:21" ht="16.5" thickBot="1">
      <c r="A141" s="1311" t="s">
        <v>4588</v>
      </c>
      <c r="B141" s="1312">
        <f t="shared" si="6"/>
        <v>110</v>
      </c>
      <c r="C141" s="1312" t="s">
        <v>3</v>
      </c>
      <c r="D141" s="1312">
        <f t="shared" si="7"/>
        <v>300</v>
      </c>
      <c r="E141" s="1312" t="s">
        <v>3</v>
      </c>
      <c r="F141" s="1313">
        <f t="shared" si="8"/>
        <v>2100</v>
      </c>
      <c r="G141" s="1312" t="s">
        <v>3</v>
      </c>
      <c r="H141" s="1312">
        <v>2</v>
      </c>
      <c r="I141" s="1314" t="s">
        <v>45</v>
      </c>
      <c r="J141" s="184">
        <v>110</v>
      </c>
      <c r="K141" s="75">
        <v>300</v>
      </c>
      <c r="L141" s="75">
        <v>2100</v>
      </c>
      <c r="M141" s="191">
        <v>26.633348374690705</v>
      </c>
      <c r="N141" s="87">
        <v>1432.8553822159765</v>
      </c>
      <c r="O141" s="123">
        <v>37012.997645282594</v>
      </c>
      <c r="P141" s="121">
        <v>45619.121015248056</v>
      </c>
      <c r="Q141" s="310">
        <v>25613.088058395791</v>
      </c>
      <c r="R141" s="319">
        <v>62626.085703678385</v>
      </c>
      <c r="S141" s="315">
        <v>71232.20907364384</v>
      </c>
      <c r="U141" s="7" t="s">
        <v>5013</v>
      </c>
    </row>
    <row r="142" spans="1:21" ht="16.5" thickBot="1">
      <c r="A142" s="1311" t="s">
        <v>4588</v>
      </c>
      <c r="B142" s="1315">
        <f t="shared" si="6"/>
        <v>110</v>
      </c>
      <c r="C142" s="1315" t="s">
        <v>3</v>
      </c>
      <c r="D142" s="1315">
        <f t="shared" si="7"/>
        <v>300</v>
      </c>
      <c r="E142" s="1315" t="s">
        <v>3</v>
      </c>
      <c r="F142" s="1313">
        <f t="shared" si="8"/>
        <v>2150</v>
      </c>
      <c r="G142" s="1315" t="s">
        <v>3</v>
      </c>
      <c r="H142" s="1312">
        <v>2</v>
      </c>
      <c r="I142" s="1314" t="s">
        <v>45</v>
      </c>
      <c r="J142" s="184">
        <v>110</v>
      </c>
      <c r="K142" s="75">
        <v>300</v>
      </c>
      <c r="L142" s="75">
        <v>2150</v>
      </c>
      <c r="M142" s="191">
        <v>27.214254834162972</v>
      </c>
      <c r="N142" s="87">
        <v>1473.7941074221471</v>
      </c>
      <c r="O142" s="123">
        <v>37688.793029112159</v>
      </c>
      <c r="P142" s="121">
        <v>46472.800545492988</v>
      </c>
      <c r="Q142" s="310">
        <v>26093.493366653143</v>
      </c>
      <c r="R142" s="319">
        <v>63782.286395765303</v>
      </c>
      <c r="S142" s="315">
        <v>72566.293912146124</v>
      </c>
      <c r="U142" s="7" t="s">
        <v>5014</v>
      </c>
    </row>
    <row r="143" spans="1:21" ht="16.5" thickBot="1">
      <c r="A143" s="1311" t="s">
        <v>4588</v>
      </c>
      <c r="B143" s="1315">
        <f t="shared" si="6"/>
        <v>110</v>
      </c>
      <c r="C143" s="1315" t="s">
        <v>3</v>
      </c>
      <c r="D143" s="1315">
        <f t="shared" si="7"/>
        <v>300</v>
      </c>
      <c r="E143" s="1315" t="s">
        <v>3</v>
      </c>
      <c r="F143" s="1313">
        <f t="shared" si="8"/>
        <v>2200</v>
      </c>
      <c r="G143" s="1315" t="s">
        <v>3</v>
      </c>
      <c r="H143" s="1312">
        <v>2</v>
      </c>
      <c r="I143" s="1314" t="s">
        <v>45</v>
      </c>
      <c r="J143" s="184">
        <v>110</v>
      </c>
      <c r="K143" s="75">
        <v>300</v>
      </c>
      <c r="L143" s="75">
        <v>2200</v>
      </c>
      <c r="M143" s="191">
        <v>27.795161293635246</v>
      </c>
      <c r="N143" s="87">
        <v>1514.732832628318</v>
      </c>
      <c r="O143" s="123">
        <v>38364.588272548361</v>
      </c>
      <c r="P143" s="121">
        <v>47326.480216131276</v>
      </c>
      <c r="Q143" s="310">
        <v>26804.480312300402</v>
      </c>
      <c r="R143" s="319">
        <v>65169.068584848763</v>
      </c>
      <c r="S143" s="315">
        <v>74130.960528431679</v>
      </c>
      <c r="U143" s="7" t="s">
        <v>5015</v>
      </c>
    </row>
    <row r="144" spans="1:21" ht="16.5" thickBot="1">
      <c r="A144" s="1311" t="s">
        <v>4588</v>
      </c>
      <c r="B144" s="1315">
        <f t="shared" si="6"/>
        <v>110</v>
      </c>
      <c r="C144" s="1315" t="s">
        <v>3</v>
      </c>
      <c r="D144" s="1315">
        <f t="shared" si="7"/>
        <v>300</v>
      </c>
      <c r="E144" s="1315" t="s">
        <v>3</v>
      </c>
      <c r="F144" s="1313">
        <f t="shared" si="8"/>
        <v>2250</v>
      </c>
      <c r="G144" s="1315" t="s">
        <v>3</v>
      </c>
      <c r="H144" s="1312">
        <v>2</v>
      </c>
      <c r="I144" s="1314" t="s">
        <v>45</v>
      </c>
      <c r="J144" s="184">
        <v>110</v>
      </c>
      <c r="K144" s="75">
        <v>300</v>
      </c>
      <c r="L144" s="75">
        <v>2250</v>
      </c>
      <c r="M144" s="191">
        <v>28.37606775310751</v>
      </c>
      <c r="N144" s="87">
        <v>1555.6715578344886</v>
      </c>
      <c r="O144" s="123">
        <v>39040.383515984555</v>
      </c>
      <c r="P144" s="121">
        <v>48180.159746376201</v>
      </c>
      <c r="Q144" s="310">
        <v>27284.885480164394</v>
      </c>
      <c r="R144" s="319">
        <v>66325.268996148952</v>
      </c>
      <c r="S144" s="315">
        <v>75465.045226540591</v>
      </c>
      <c r="U144" s="7" t="s">
        <v>5016</v>
      </c>
    </row>
    <row r="145" spans="1:21" ht="16.5" thickBot="1">
      <c r="A145" s="1311" t="s">
        <v>4588</v>
      </c>
      <c r="B145" s="1315">
        <f t="shared" si="6"/>
        <v>110</v>
      </c>
      <c r="C145" s="1315" t="s">
        <v>3</v>
      </c>
      <c r="D145" s="1315">
        <f t="shared" si="7"/>
        <v>300</v>
      </c>
      <c r="E145" s="1315" t="s">
        <v>3</v>
      </c>
      <c r="F145" s="1313">
        <f t="shared" si="8"/>
        <v>2300</v>
      </c>
      <c r="G145" s="1315" t="s">
        <v>3</v>
      </c>
      <c r="H145" s="1312">
        <v>2</v>
      </c>
      <c r="I145" s="1314" t="s">
        <v>45</v>
      </c>
      <c r="J145" s="184">
        <v>110</v>
      </c>
      <c r="K145" s="75">
        <v>300</v>
      </c>
      <c r="L145" s="75">
        <v>2300</v>
      </c>
      <c r="M145" s="191">
        <v>28.95697421257978</v>
      </c>
      <c r="N145" s="87">
        <v>1596.6102830406594</v>
      </c>
      <c r="O145" s="123">
        <v>39716.178759420756</v>
      </c>
      <c r="P145" s="121">
        <v>49033.839417014489</v>
      </c>
      <c r="Q145" s="310">
        <v>27765.290788421746</v>
      </c>
      <c r="R145" s="319">
        <v>67481.469547842498</v>
      </c>
      <c r="S145" s="315">
        <v>76799.130205436231</v>
      </c>
      <c r="U145" s="7" t="s">
        <v>5017</v>
      </c>
    </row>
    <row r="146" spans="1:21" ht="16.5" thickBot="1">
      <c r="A146" s="1311" t="s">
        <v>4588</v>
      </c>
      <c r="B146" s="1315">
        <f t="shared" si="6"/>
        <v>110</v>
      </c>
      <c r="C146" s="1315" t="s">
        <v>3</v>
      </c>
      <c r="D146" s="1315">
        <f t="shared" si="7"/>
        <v>300</v>
      </c>
      <c r="E146" s="1315" t="s">
        <v>3</v>
      </c>
      <c r="F146" s="1313">
        <f t="shared" si="8"/>
        <v>2350</v>
      </c>
      <c r="G146" s="1315" t="s">
        <v>3</v>
      </c>
      <c r="H146" s="1312">
        <v>2</v>
      </c>
      <c r="I146" s="1314" t="s">
        <v>45</v>
      </c>
      <c r="J146" s="184">
        <v>110</v>
      </c>
      <c r="K146" s="75">
        <v>300</v>
      </c>
      <c r="L146" s="75">
        <v>2350</v>
      </c>
      <c r="M146" s="191">
        <v>29.537880672052058</v>
      </c>
      <c r="N146" s="87">
        <v>1637.5490082468302</v>
      </c>
      <c r="O146" s="123">
        <v>40391.974002856958</v>
      </c>
      <c r="P146" s="121">
        <v>49887.518947259414</v>
      </c>
      <c r="Q146" s="310">
        <v>28476.277734069005</v>
      </c>
      <c r="R146" s="319">
        <v>68868.251736925959</v>
      </c>
      <c r="S146" s="315">
        <v>78363.796681328415</v>
      </c>
      <c r="U146" s="7" t="s">
        <v>5018</v>
      </c>
    </row>
    <row r="147" spans="1:21" ht="16.5" thickBot="1">
      <c r="A147" s="1311" t="s">
        <v>4588</v>
      </c>
      <c r="B147" s="1315">
        <f t="shared" si="6"/>
        <v>110</v>
      </c>
      <c r="C147" s="1315" t="s">
        <v>3</v>
      </c>
      <c r="D147" s="1315">
        <f t="shared" si="7"/>
        <v>300</v>
      </c>
      <c r="E147" s="1315" t="s">
        <v>3</v>
      </c>
      <c r="F147" s="1313">
        <f t="shared" si="8"/>
        <v>2400</v>
      </c>
      <c r="G147" s="1315" t="s">
        <v>3</v>
      </c>
      <c r="H147" s="1312">
        <v>2</v>
      </c>
      <c r="I147" s="1314" t="s">
        <v>45</v>
      </c>
      <c r="J147" s="184">
        <v>110</v>
      </c>
      <c r="K147" s="75">
        <v>300</v>
      </c>
      <c r="L147" s="75">
        <v>2400</v>
      </c>
      <c r="M147" s="191">
        <v>30.118787131524318</v>
      </c>
      <c r="N147" s="87">
        <v>1678.4877334530008</v>
      </c>
      <c r="O147" s="123">
        <v>41067.769246293159</v>
      </c>
      <c r="P147" s="121">
        <v>50741.198477504331</v>
      </c>
      <c r="Q147" s="310">
        <v>28956.682901932996</v>
      </c>
      <c r="R147" s="319">
        <v>70024.452148226148</v>
      </c>
      <c r="S147" s="315">
        <v>79697.881379437327</v>
      </c>
      <c r="U147" s="7" t="s">
        <v>5019</v>
      </c>
    </row>
    <row r="148" spans="1:21" ht="16.5" thickBot="1">
      <c r="A148" s="1311" t="s">
        <v>4588</v>
      </c>
      <c r="B148" s="1315">
        <f t="shared" si="6"/>
        <v>110</v>
      </c>
      <c r="C148" s="1315" t="s">
        <v>3</v>
      </c>
      <c r="D148" s="1315">
        <f t="shared" si="7"/>
        <v>300</v>
      </c>
      <c r="E148" s="1315" t="s">
        <v>3</v>
      </c>
      <c r="F148" s="1313">
        <f t="shared" si="8"/>
        <v>2450</v>
      </c>
      <c r="G148" s="1315" t="s">
        <v>3</v>
      </c>
      <c r="H148" s="1312">
        <v>2</v>
      </c>
      <c r="I148" s="1314" t="s">
        <v>45</v>
      </c>
      <c r="J148" s="184">
        <v>110</v>
      </c>
      <c r="K148" s="75">
        <v>300</v>
      </c>
      <c r="L148" s="75">
        <v>2450</v>
      </c>
      <c r="M148" s="191">
        <v>30.699693590996596</v>
      </c>
      <c r="N148" s="87">
        <v>1719.4264586591719</v>
      </c>
      <c r="O148" s="123">
        <v>41743.564489729222</v>
      </c>
      <c r="P148" s="121">
        <v>51594.878148142627</v>
      </c>
      <c r="Q148" s="310">
        <v>29667.669987973619</v>
      </c>
      <c r="R148" s="319">
        <v>71411.234477702848</v>
      </c>
      <c r="S148" s="315">
        <v>81262.548136116238</v>
      </c>
      <c r="U148" s="7" t="s">
        <v>5020</v>
      </c>
    </row>
    <row r="149" spans="1:21" ht="16.5" thickBot="1">
      <c r="A149" s="1311" t="s">
        <v>4588</v>
      </c>
      <c r="B149" s="1315">
        <f t="shared" si="6"/>
        <v>110</v>
      </c>
      <c r="C149" s="1315" t="s">
        <v>3</v>
      </c>
      <c r="D149" s="1315">
        <f t="shared" si="7"/>
        <v>300</v>
      </c>
      <c r="E149" s="1315" t="s">
        <v>3</v>
      </c>
      <c r="F149" s="1313">
        <f t="shared" si="8"/>
        <v>2500</v>
      </c>
      <c r="G149" s="1315" t="s">
        <v>3</v>
      </c>
      <c r="H149" s="1312">
        <v>2</v>
      </c>
      <c r="I149" s="1314" t="s">
        <v>45</v>
      </c>
      <c r="J149" s="184">
        <v>110</v>
      </c>
      <c r="K149" s="75">
        <v>300</v>
      </c>
      <c r="L149" s="75">
        <v>2500</v>
      </c>
      <c r="M149" s="191">
        <v>31.625366850468861</v>
      </c>
      <c r="N149" s="87">
        <v>1760.3651838653425</v>
      </c>
      <c r="O149" s="123">
        <v>43143.009177356784</v>
      </c>
      <c r="P149" s="121">
        <v>53370.671251216292</v>
      </c>
      <c r="Q149" s="310">
        <v>30148.075155837607</v>
      </c>
      <c r="R149" s="319">
        <v>73291.084333194391</v>
      </c>
      <c r="S149" s="315">
        <v>83518.746407053899</v>
      </c>
      <c r="U149" s="7" t="s">
        <v>5021</v>
      </c>
    </row>
    <row r="150" spans="1:21" ht="16.5" thickBot="1">
      <c r="A150" s="1311" t="s">
        <v>4588</v>
      </c>
      <c r="B150" s="1315">
        <f t="shared" si="6"/>
        <v>110</v>
      </c>
      <c r="C150" s="1315" t="s">
        <v>3</v>
      </c>
      <c r="D150" s="1315">
        <f t="shared" si="7"/>
        <v>300</v>
      </c>
      <c r="E150" s="1315" t="s">
        <v>3</v>
      </c>
      <c r="F150" s="1313">
        <f t="shared" si="8"/>
        <v>2550</v>
      </c>
      <c r="G150" s="1315" t="s">
        <v>3</v>
      </c>
      <c r="H150" s="1312">
        <v>2</v>
      </c>
      <c r="I150" s="1314" t="s">
        <v>45</v>
      </c>
      <c r="J150" s="184">
        <v>110</v>
      </c>
      <c r="K150" s="75">
        <v>300</v>
      </c>
      <c r="L150" s="75">
        <v>2550</v>
      </c>
      <c r="M150" s="191">
        <v>32.206273309941132</v>
      </c>
      <c r="N150" s="87">
        <v>1801.3039090715133</v>
      </c>
      <c r="O150" s="123">
        <v>44179.925772142473</v>
      </c>
      <c r="P150" s="121">
        <v>54238.390117711213</v>
      </c>
      <c r="Q150" s="310">
        <v>30859.06224187823</v>
      </c>
      <c r="R150" s="319">
        <v>75038.988014020695</v>
      </c>
      <c r="S150" s="315">
        <v>85097.452359589442</v>
      </c>
      <c r="U150" s="7" t="s">
        <v>5022</v>
      </c>
    </row>
    <row r="151" spans="1:21" ht="16.5" thickBot="1">
      <c r="A151" s="1311" t="s">
        <v>4588</v>
      </c>
      <c r="B151" s="1312">
        <f t="shared" si="6"/>
        <v>110</v>
      </c>
      <c r="C151" s="1312" t="s">
        <v>3</v>
      </c>
      <c r="D151" s="1312">
        <f t="shared" si="7"/>
        <v>300</v>
      </c>
      <c r="E151" s="1312" t="s">
        <v>3</v>
      </c>
      <c r="F151" s="1313">
        <f t="shared" si="8"/>
        <v>2600</v>
      </c>
      <c r="G151" s="1312" t="s">
        <v>3</v>
      </c>
      <c r="H151" s="1312">
        <v>2</v>
      </c>
      <c r="I151" s="1314" t="s">
        <v>45</v>
      </c>
      <c r="J151" s="184">
        <v>110</v>
      </c>
      <c r="K151" s="75">
        <v>300</v>
      </c>
      <c r="L151" s="75">
        <v>2600</v>
      </c>
      <c r="M151" s="191">
        <v>32.787179769413399</v>
      </c>
      <c r="N151" s="87">
        <v>1842.2426342776839</v>
      </c>
      <c r="O151" s="123">
        <v>44855.721015578674</v>
      </c>
      <c r="P151" s="121">
        <v>55092.069788349501</v>
      </c>
      <c r="Q151" s="310">
        <v>31339.467409742221</v>
      </c>
      <c r="R151" s="319">
        <v>76195.188425320899</v>
      </c>
      <c r="S151" s="315">
        <v>86431.537198091726</v>
      </c>
      <c r="U151" s="7" t="s">
        <v>5023</v>
      </c>
    </row>
    <row r="152" spans="1:21" ht="16.5" thickBot="1">
      <c r="A152" s="1311" t="s">
        <v>4588</v>
      </c>
      <c r="B152" s="1315">
        <f t="shared" si="6"/>
        <v>110</v>
      </c>
      <c r="C152" s="1315" t="s">
        <v>3</v>
      </c>
      <c r="D152" s="1315">
        <f t="shared" si="7"/>
        <v>300</v>
      </c>
      <c r="E152" s="1315" t="s">
        <v>3</v>
      </c>
      <c r="F152" s="1313">
        <f t="shared" si="8"/>
        <v>2650</v>
      </c>
      <c r="G152" s="1315" t="s">
        <v>3</v>
      </c>
      <c r="H152" s="1312">
        <v>2</v>
      </c>
      <c r="I152" s="1314" t="s">
        <v>45</v>
      </c>
      <c r="J152" s="184">
        <v>110</v>
      </c>
      <c r="K152" s="75">
        <v>300</v>
      </c>
      <c r="L152" s="75">
        <v>2650</v>
      </c>
      <c r="M152" s="191">
        <v>33.368086228885673</v>
      </c>
      <c r="N152" s="87">
        <v>1883.1813594838545</v>
      </c>
      <c r="O152" s="123">
        <v>45531.516259014876</v>
      </c>
      <c r="P152" s="121">
        <v>55945.749318594426</v>
      </c>
      <c r="Q152" s="310">
        <v>32050.45435538948</v>
      </c>
      <c r="R152" s="319">
        <v>77581.970614404359</v>
      </c>
      <c r="S152" s="315">
        <v>87996.20367398391</v>
      </c>
      <c r="U152" s="7" t="s">
        <v>5024</v>
      </c>
    </row>
    <row r="153" spans="1:21" ht="16.5" thickBot="1">
      <c r="A153" s="1311" t="s">
        <v>4588</v>
      </c>
      <c r="B153" s="1315">
        <f t="shared" si="6"/>
        <v>110</v>
      </c>
      <c r="C153" s="1315" t="s">
        <v>3</v>
      </c>
      <c r="D153" s="1315">
        <f t="shared" si="7"/>
        <v>300</v>
      </c>
      <c r="E153" s="1315" t="s">
        <v>3</v>
      </c>
      <c r="F153" s="1313">
        <f t="shared" si="8"/>
        <v>2700</v>
      </c>
      <c r="G153" s="1315" t="s">
        <v>3</v>
      </c>
      <c r="H153" s="1312">
        <v>2</v>
      </c>
      <c r="I153" s="1314" t="s">
        <v>45</v>
      </c>
      <c r="J153" s="184">
        <v>110</v>
      </c>
      <c r="K153" s="75">
        <v>300</v>
      </c>
      <c r="L153" s="75">
        <v>2700</v>
      </c>
      <c r="M153" s="191">
        <v>33.948992688357947</v>
      </c>
      <c r="N153" s="87">
        <v>1924.1200846900256</v>
      </c>
      <c r="O153" s="123">
        <v>46207.311502451077</v>
      </c>
      <c r="P153" s="121">
        <v>56799.428848839343</v>
      </c>
      <c r="Q153" s="310">
        <v>32530.859663646832</v>
      </c>
      <c r="R153" s="319">
        <v>78738.171166097905</v>
      </c>
      <c r="S153" s="315">
        <v>89330.288512486179</v>
      </c>
      <c r="U153" s="7" t="s">
        <v>5025</v>
      </c>
    </row>
    <row r="154" spans="1:21" ht="16.5" thickBot="1">
      <c r="A154" s="1311" t="s">
        <v>4588</v>
      </c>
      <c r="B154" s="1315">
        <f t="shared" si="6"/>
        <v>110</v>
      </c>
      <c r="C154" s="1315" t="s">
        <v>3</v>
      </c>
      <c r="D154" s="1315">
        <f t="shared" si="7"/>
        <v>300</v>
      </c>
      <c r="E154" s="1315" t="s">
        <v>3</v>
      </c>
      <c r="F154" s="1313">
        <f t="shared" si="8"/>
        <v>2750</v>
      </c>
      <c r="G154" s="1315" t="s">
        <v>3</v>
      </c>
      <c r="H154" s="1312">
        <v>2</v>
      </c>
      <c r="I154" s="1314" t="s">
        <v>45</v>
      </c>
      <c r="J154" s="184">
        <v>110</v>
      </c>
      <c r="K154" s="75">
        <v>300</v>
      </c>
      <c r="L154" s="75">
        <v>2750</v>
      </c>
      <c r="M154" s="191">
        <v>34.529899147830214</v>
      </c>
      <c r="N154" s="87">
        <v>1965.0588098961962</v>
      </c>
      <c r="O154" s="123">
        <v>46883.106745887271</v>
      </c>
      <c r="P154" s="121">
        <v>57653.108519477639</v>
      </c>
      <c r="Q154" s="310">
        <v>33011.264831510824</v>
      </c>
      <c r="R154" s="319">
        <v>79894.371577398095</v>
      </c>
      <c r="S154" s="315">
        <v>90664.373350988462</v>
      </c>
      <c r="U154" s="7" t="s">
        <v>5026</v>
      </c>
    </row>
    <row r="155" spans="1:21" ht="16.5" thickBot="1">
      <c r="A155" s="1311" t="s">
        <v>4588</v>
      </c>
      <c r="B155" s="1315">
        <f t="shared" si="6"/>
        <v>110</v>
      </c>
      <c r="C155" s="1315" t="s">
        <v>3</v>
      </c>
      <c r="D155" s="1315">
        <f t="shared" si="7"/>
        <v>300</v>
      </c>
      <c r="E155" s="1315" t="s">
        <v>3</v>
      </c>
      <c r="F155" s="1313">
        <f t="shared" si="8"/>
        <v>2800</v>
      </c>
      <c r="G155" s="1315" t="s">
        <v>3</v>
      </c>
      <c r="H155" s="1312">
        <v>2</v>
      </c>
      <c r="I155" s="1314" t="s">
        <v>45</v>
      </c>
      <c r="J155" s="184">
        <v>110</v>
      </c>
      <c r="K155" s="75">
        <v>300</v>
      </c>
      <c r="L155" s="75">
        <v>2800</v>
      </c>
      <c r="M155" s="191">
        <v>35.110805607302488</v>
      </c>
      <c r="N155" s="87">
        <v>2005.9975351023672</v>
      </c>
      <c r="O155" s="123">
        <v>47558.90198932348</v>
      </c>
      <c r="P155" s="121">
        <v>58506.788049722556</v>
      </c>
      <c r="Q155" s="310">
        <v>33722.251777158082</v>
      </c>
      <c r="R155" s="319">
        <v>81281.153766481555</v>
      </c>
      <c r="S155" s="315">
        <v>92229.039826880646</v>
      </c>
      <c r="U155" s="7" t="s">
        <v>5027</v>
      </c>
    </row>
    <row r="156" spans="1:21" ht="16.5" thickBot="1">
      <c r="A156" s="1311" t="s">
        <v>4588</v>
      </c>
      <c r="B156" s="1315">
        <f t="shared" si="6"/>
        <v>110</v>
      </c>
      <c r="C156" s="1315" t="s">
        <v>3</v>
      </c>
      <c r="D156" s="1315">
        <f t="shared" si="7"/>
        <v>300</v>
      </c>
      <c r="E156" s="1315" t="s">
        <v>3</v>
      </c>
      <c r="F156" s="1313">
        <f t="shared" si="8"/>
        <v>2850</v>
      </c>
      <c r="G156" s="1315" t="s">
        <v>3</v>
      </c>
      <c r="H156" s="1312">
        <v>2</v>
      </c>
      <c r="I156" s="1314" t="s">
        <v>45</v>
      </c>
      <c r="J156" s="184">
        <v>110</v>
      </c>
      <c r="K156" s="75">
        <v>300</v>
      </c>
      <c r="L156" s="75">
        <v>2850</v>
      </c>
      <c r="M156" s="191">
        <v>35.691712066774755</v>
      </c>
      <c r="N156" s="87">
        <v>2046.9362603085378</v>
      </c>
      <c r="O156" s="123">
        <v>48234.697232759674</v>
      </c>
      <c r="P156" s="121">
        <v>59360.467720360852</v>
      </c>
      <c r="Q156" s="310">
        <v>34202.657085415434</v>
      </c>
      <c r="R156" s="319">
        <v>82437.354318175116</v>
      </c>
      <c r="S156" s="315">
        <v>93563.124805776286</v>
      </c>
      <c r="U156" s="7" t="s">
        <v>5028</v>
      </c>
    </row>
    <row r="157" spans="1:21" ht="16.5" thickBot="1">
      <c r="A157" s="1311" t="s">
        <v>4588</v>
      </c>
      <c r="B157" s="1315">
        <f t="shared" si="6"/>
        <v>110</v>
      </c>
      <c r="C157" s="1315" t="s">
        <v>3</v>
      </c>
      <c r="D157" s="1315">
        <f t="shared" si="7"/>
        <v>300</v>
      </c>
      <c r="E157" s="1315" t="s">
        <v>3</v>
      </c>
      <c r="F157" s="1313">
        <f t="shared" si="8"/>
        <v>2900</v>
      </c>
      <c r="G157" s="1315" t="s">
        <v>3</v>
      </c>
      <c r="H157" s="1312">
        <v>2</v>
      </c>
      <c r="I157" s="1314" t="s">
        <v>45</v>
      </c>
      <c r="J157" s="184">
        <v>110</v>
      </c>
      <c r="K157" s="75">
        <v>300</v>
      </c>
      <c r="L157" s="75">
        <v>2900</v>
      </c>
      <c r="M157" s="191">
        <v>36.272618526247022</v>
      </c>
      <c r="N157" s="87">
        <v>2087.8749855147084</v>
      </c>
      <c r="O157" s="123">
        <v>48910.492476195737</v>
      </c>
      <c r="P157" s="121">
        <v>60214.147250605769</v>
      </c>
      <c r="Q157" s="310">
        <v>34913.644031062693</v>
      </c>
      <c r="R157" s="319">
        <v>83824.13650725843</v>
      </c>
      <c r="S157" s="315">
        <v>95127.791281668469</v>
      </c>
      <c r="U157" s="7" t="s">
        <v>5029</v>
      </c>
    </row>
    <row r="158" spans="1:21" ht="16.5" thickBot="1">
      <c r="A158" s="1311" t="s">
        <v>4588</v>
      </c>
      <c r="B158" s="1315">
        <f t="shared" si="6"/>
        <v>110</v>
      </c>
      <c r="C158" s="1315" t="s">
        <v>3</v>
      </c>
      <c r="D158" s="1315">
        <f t="shared" si="7"/>
        <v>300</v>
      </c>
      <c r="E158" s="1315" t="s">
        <v>3</v>
      </c>
      <c r="F158" s="1313">
        <f t="shared" si="8"/>
        <v>2950</v>
      </c>
      <c r="G158" s="1315" t="s">
        <v>3</v>
      </c>
      <c r="H158" s="1312">
        <v>2</v>
      </c>
      <c r="I158" s="1314" t="s">
        <v>45</v>
      </c>
      <c r="J158" s="184">
        <v>110</v>
      </c>
      <c r="K158" s="75">
        <v>300</v>
      </c>
      <c r="L158" s="75">
        <v>2950</v>
      </c>
      <c r="M158" s="191">
        <v>36.853524985719289</v>
      </c>
      <c r="N158" s="87">
        <v>2128.8137107208795</v>
      </c>
      <c r="O158" s="123">
        <v>49586.287719632077</v>
      </c>
      <c r="P158" s="121">
        <v>61067.826780850701</v>
      </c>
      <c r="Q158" s="310">
        <v>35394.049339320045</v>
      </c>
      <c r="R158" s="319">
        <v>84980.337058952122</v>
      </c>
      <c r="S158" s="315">
        <v>96461.876120170753</v>
      </c>
      <c r="U158" s="7" t="s">
        <v>5030</v>
      </c>
    </row>
    <row r="159" spans="1:21" ht="16.5" thickBot="1">
      <c r="A159" s="1316" t="s">
        <v>4588</v>
      </c>
      <c r="B159" s="1317">
        <f t="shared" si="6"/>
        <v>110</v>
      </c>
      <c r="C159" s="1317" t="s">
        <v>3</v>
      </c>
      <c r="D159" s="1317">
        <f t="shared" si="7"/>
        <v>300</v>
      </c>
      <c r="E159" s="1317" t="s">
        <v>3</v>
      </c>
      <c r="F159" s="1318">
        <f t="shared" si="8"/>
        <v>3000</v>
      </c>
      <c r="G159" s="1317" t="s">
        <v>3</v>
      </c>
      <c r="H159" s="1319">
        <v>2</v>
      </c>
      <c r="I159" s="1320" t="s">
        <v>45</v>
      </c>
      <c r="J159" s="321">
        <v>110</v>
      </c>
      <c r="K159" s="322">
        <v>300</v>
      </c>
      <c r="L159" s="322">
        <v>3000</v>
      </c>
      <c r="M159" s="337">
        <v>37.668539445191563</v>
      </c>
      <c r="N159" s="306">
        <v>2169.7524359270501</v>
      </c>
      <c r="O159" s="307">
        <v>50504.345749398271</v>
      </c>
      <c r="P159" s="336">
        <v>62163.769237818989</v>
      </c>
      <c r="Q159" s="323">
        <v>36105.036284967304</v>
      </c>
      <c r="R159" s="324">
        <v>86609.382034365583</v>
      </c>
      <c r="S159" s="325">
        <v>98268.805522786293</v>
      </c>
      <c r="U159" s="7" t="s">
        <v>5031</v>
      </c>
    </row>
    <row r="160" spans="1:21" ht="21.75" thickBot="1">
      <c r="A160" s="2580" t="s">
        <v>522</v>
      </c>
      <c r="B160" s="2581"/>
      <c r="C160" s="2581"/>
      <c r="D160" s="2581"/>
      <c r="E160" s="2581"/>
      <c r="F160" s="2581"/>
      <c r="G160" s="2581"/>
      <c r="H160" s="2581"/>
      <c r="I160" s="2581"/>
      <c r="J160" s="2581"/>
      <c r="K160" s="2581"/>
      <c r="L160" s="2581"/>
      <c r="M160" s="2581"/>
      <c r="N160" s="2581"/>
      <c r="O160" s="2581"/>
      <c r="P160" s="2581"/>
      <c r="Q160" s="2581"/>
      <c r="R160" s="2581"/>
      <c r="S160" s="2582"/>
      <c r="U160" s="7"/>
    </row>
    <row r="161" spans="1:21" ht="16.5" thickBot="1">
      <c r="A161" s="2583" t="s">
        <v>4587</v>
      </c>
      <c r="B161" s="2584"/>
      <c r="C161" s="2584"/>
      <c r="D161" s="2584"/>
      <c r="E161" s="2584"/>
      <c r="F161" s="2584"/>
      <c r="G161" s="2584"/>
      <c r="H161" s="2584"/>
      <c r="I161" s="2584"/>
      <c r="J161" s="2584"/>
      <c r="K161" s="2584"/>
      <c r="L161" s="2584"/>
      <c r="M161" s="2584"/>
      <c r="N161" s="2584"/>
      <c r="O161" s="2584"/>
      <c r="P161" s="2584"/>
      <c r="Q161" s="2584"/>
      <c r="R161" s="2584"/>
      <c r="S161" s="2585"/>
      <c r="U161" s="7"/>
    </row>
    <row r="162" spans="1:21" ht="16.5" thickBot="1">
      <c r="A162" s="1311" t="s">
        <v>4588</v>
      </c>
      <c r="B162" s="1312">
        <f>J162</f>
        <v>110</v>
      </c>
      <c r="C162" s="1312" t="s">
        <v>3</v>
      </c>
      <c r="D162" s="1312">
        <f>K162</f>
        <v>360</v>
      </c>
      <c r="E162" s="1312" t="s">
        <v>3</v>
      </c>
      <c r="F162" s="1313">
        <f>L162</f>
        <v>600</v>
      </c>
      <c r="G162" s="1312" t="s">
        <v>3</v>
      </c>
      <c r="H162" s="1312">
        <v>2</v>
      </c>
      <c r="I162" s="1314" t="s">
        <v>45</v>
      </c>
      <c r="J162" s="326">
        <v>110</v>
      </c>
      <c r="K162" s="327">
        <v>360</v>
      </c>
      <c r="L162" s="327">
        <v>600</v>
      </c>
      <c r="M162" s="338">
        <v>9.9014353075752446</v>
      </c>
      <c r="N162" s="302">
        <v>257.37022667275915</v>
      </c>
      <c r="O162" s="303">
        <v>15979.514256504566</v>
      </c>
      <c r="P162" s="331">
        <v>20247.623118582531</v>
      </c>
      <c r="Q162" s="328">
        <v>9204.3678470371888</v>
      </c>
      <c r="R162" s="329">
        <v>25183.882103541757</v>
      </c>
      <c r="S162" s="330">
        <v>29451.99096561972</v>
      </c>
      <c r="U162" s="7" t="s">
        <v>5032</v>
      </c>
    </row>
    <row r="163" spans="1:21" ht="16.5" thickBot="1">
      <c r="A163" s="1311" t="s">
        <v>4588</v>
      </c>
      <c r="B163" s="1315">
        <f t="shared" ref="B163:B210" si="9">J163</f>
        <v>110</v>
      </c>
      <c r="C163" s="1315" t="s">
        <v>3</v>
      </c>
      <c r="D163" s="1315">
        <f t="shared" ref="D163:D210" si="10">K163</f>
        <v>360</v>
      </c>
      <c r="E163" s="1315" t="s">
        <v>3</v>
      </c>
      <c r="F163" s="1313">
        <f t="shared" ref="F163:F210" si="11">L163</f>
        <v>650</v>
      </c>
      <c r="G163" s="1315" t="s">
        <v>3</v>
      </c>
      <c r="H163" s="1312">
        <v>2</v>
      </c>
      <c r="I163" s="1314" t="s">
        <v>45</v>
      </c>
      <c r="J163" s="184">
        <v>110</v>
      </c>
      <c r="K163" s="75">
        <v>360</v>
      </c>
      <c r="L163" s="75">
        <v>650</v>
      </c>
      <c r="M163" s="191">
        <v>10.550268393468569</v>
      </c>
      <c r="N163" s="87">
        <v>308.84427200731096</v>
      </c>
      <c r="O163" s="123">
        <v>16684.692707565115</v>
      </c>
      <c r="P163" s="121">
        <v>21151.210944869217</v>
      </c>
      <c r="Q163" s="310">
        <v>9757.9649885401141</v>
      </c>
      <c r="R163" s="319">
        <v>26442.657696105227</v>
      </c>
      <c r="S163" s="315">
        <v>30909.175933409329</v>
      </c>
      <c r="U163" s="7" t="s">
        <v>5033</v>
      </c>
    </row>
    <row r="164" spans="1:21" ht="16.5" thickBot="1">
      <c r="A164" s="1311" t="s">
        <v>4588</v>
      </c>
      <c r="B164" s="1315">
        <f t="shared" si="9"/>
        <v>110</v>
      </c>
      <c r="C164" s="1315" t="s">
        <v>3</v>
      </c>
      <c r="D164" s="1315">
        <f t="shared" si="10"/>
        <v>360</v>
      </c>
      <c r="E164" s="1315" t="s">
        <v>3</v>
      </c>
      <c r="F164" s="1313">
        <f t="shared" si="11"/>
        <v>700</v>
      </c>
      <c r="G164" s="1315" t="s">
        <v>3</v>
      </c>
      <c r="H164" s="1312">
        <v>2</v>
      </c>
      <c r="I164" s="1314" t="s">
        <v>45</v>
      </c>
      <c r="J164" s="184">
        <v>110</v>
      </c>
      <c r="K164" s="75">
        <v>360</v>
      </c>
      <c r="L164" s="75">
        <v>700</v>
      </c>
      <c r="M164" s="191">
        <v>11.199101479361889</v>
      </c>
      <c r="N164" s="87">
        <v>360.31831734186278</v>
      </c>
      <c r="O164" s="123">
        <v>17389.871018232305</v>
      </c>
      <c r="P164" s="121">
        <v>22054.79863076254</v>
      </c>
      <c r="Q164" s="310">
        <v>10542.143907826316</v>
      </c>
      <c r="R164" s="319">
        <v>27932.014926058619</v>
      </c>
      <c r="S164" s="315">
        <v>32596.942538588853</v>
      </c>
      <c r="U164" s="7" t="s">
        <v>5034</v>
      </c>
    </row>
    <row r="165" spans="1:21" ht="16.5" thickBot="1">
      <c r="A165" s="1311" t="s">
        <v>4588</v>
      </c>
      <c r="B165" s="1315">
        <f t="shared" si="9"/>
        <v>110</v>
      </c>
      <c r="C165" s="1315" t="s">
        <v>3</v>
      </c>
      <c r="D165" s="1315">
        <f t="shared" si="10"/>
        <v>360</v>
      </c>
      <c r="E165" s="1315" t="s">
        <v>3</v>
      </c>
      <c r="F165" s="1313">
        <f t="shared" si="11"/>
        <v>750</v>
      </c>
      <c r="G165" s="1315" t="s">
        <v>3</v>
      </c>
      <c r="H165" s="1312">
        <v>2</v>
      </c>
      <c r="I165" s="1314" t="s">
        <v>45</v>
      </c>
      <c r="J165" s="184">
        <v>110</v>
      </c>
      <c r="K165" s="75">
        <v>360</v>
      </c>
      <c r="L165" s="75">
        <v>750</v>
      </c>
      <c r="M165" s="191">
        <v>11.84793456525521</v>
      </c>
      <c r="N165" s="87">
        <v>411.79236267641465</v>
      </c>
      <c r="O165" s="123">
        <v>18095.049328899491</v>
      </c>
      <c r="P165" s="121">
        <v>22958.38645704923</v>
      </c>
      <c r="Q165" s="310">
        <v>11095.741049329239</v>
      </c>
      <c r="R165" s="319">
        <v>29190.790378228732</v>
      </c>
      <c r="S165" s="315">
        <v>34054.127506378471</v>
      </c>
      <c r="U165" s="7" t="s">
        <v>5035</v>
      </c>
    </row>
    <row r="166" spans="1:21" ht="16.5" thickBot="1">
      <c r="A166" s="1311" t="s">
        <v>4588</v>
      </c>
      <c r="B166" s="1315">
        <f t="shared" si="9"/>
        <v>110</v>
      </c>
      <c r="C166" s="1315" t="s">
        <v>3</v>
      </c>
      <c r="D166" s="1315">
        <f t="shared" si="10"/>
        <v>360</v>
      </c>
      <c r="E166" s="1315" t="s">
        <v>3</v>
      </c>
      <c r="F166" s="1313">
        <f t="shared" si="11"/>
        <v>800</v>
      </c>
      <c r="G166" s="1315" t="s">
        <v>3</v>
      </c>
      <c r="H166" s="1312">
        <v>2</v>
      </c>
      <c r="I166" s="1314" t="s">
        <v>45</v>
      </c>
      <c r="J166" s="184">
        <v>110</v>
      </c>
      <c r="K166" s="75">
        <v>360</v>
      </c>
      <c r="L166" s="75">
        <v>800</v>
      </c>
      <c r="M166" s="191">
        <v>12.496767651148534</v>
      </c>
      <c r="N166" s="87">
        <v>463.26640801096647</v>
      </c>
      <c r="O166" s="123">
        <v>19163.424987567454</v>
      </c>
      <c r="P166" s="121">
        <v>23876.013619585916</v>
      </c>
      <c r="Q166" s="310">
        <v>11649.338190832164</v>
      </c>
      <c r="R166" s="319">
        <v>30812.763178399618</v>
      </c>
      <c r="S166" s="315">
        <v>35525.351810418084</v>
      </c>
      <c r="U166" s="7" t="s">
        <v>5036</v>
      </c>
    </row>
    <row r="167" spans="1:21" ht="16.5" thickBot="1">
      <c r="A167" s="1311" t="s">
        <v>4588</v>
      </c>
      <c r="B167" s="1315">
        <f t="shared" si="9"/>
        <v>110</v>
      </c>
      <c r="C167" s="1315" t="s">
        <v>3</v>
      </c>
      <c r="D167" s="1315">
        <f t="shared" si="10"/>
        <v>360</v>
      </c>
      <c r="E167" s="1315" t="s">
        <v>3</v>
      </c>
      <c r="F167" s="1313">
        <f t="shared" si="11"/>
        <v>850</v>
      </c>
      <c r="G167" s="1315" t="s">
        <v>3</v>
      </c>
      <c r="H167" s="1312">
        <v>2</v>
      </c>
      <c r="I167" s="1314" t="s">
        <v>45</v>
      </c>
      <c r="J167" s="184">
        <v>110</v>
      </c>
      <c r="K167" s="75">
        <v>360</v>
      </c>
      <c r="L167" s="75">
        <v>850</v>
      </c>
      <c r="M167" s="191">
        <v>13.145600737041857</v>
      </c>
      <c r="N167" s="87">
        <v>514.74045334551829</v>
      </c>
      <c r="O167" s="123">
        <v>19868.603438628004</v>
      </c>
      <c r="P167" s="121">
        <v>24779.601305479242</v>
      </c>
      <c r="Q167" s="310">
        <v>12433.517110118366</v>
      </c>
      <c r="R167" s="319">
        <v>32302.12054874637</v>
      </c>
      <c r="S167" s="315">
        <v>37213.118415597608</v>
      </c>
      <c r="U167" s="7" t="s">
        <v>5037</v>
      </c>
    </row>
    <row r="168" spans="1:21" ht="16.5" thickBot="1">
      <c r="A168" s="1311" t="s">
        <v>4588</v>
      </c>
      <c r="B168" s="1315">
        <f t="shared" si="9"/>
        <v>110</v>
      </c>
      <c r="C168" s="1315" t="s">
        <v>3</v>
      </c>
      <c r="D168" s="1315">
        <f t="shared" si="10"/>
        <v>360</v>
      </c>
      <c r="E168" s="1315" t="s">
        <v>3</v>
      </c>
      <c r="F168" s="1313">
        <f t="shared" si="11"/>
        <v>900</v>
      </c>
      <c r="G168" s="1315" t="s">
        <v>3</v>
      </c>
      <c r="H168" s="1312">
        <v>2</v>
      </c>
      <c r="I168" s="1314" t="s">
        <v>45</v>
      </c>
      <c r="J168" s="184">
        <v>110</v>
      </c>
      <c r="K168" s="75">
        <v>360</v>
      </c>
      <c r="L168" s="75">
        <v>900</v>
      </c>
      <c r="M168" s="191">
        <v>13.794433822935179</v>
      </c>
      <c r="N168" s="87">
        <v>566.21449868007016</v>
      </c>
      <c r="O168" s="123">
        <v>20573.781749295191</v>
      </c>
      <c r="P168" s="121">
        <v>25683.189131765928</v>
      </c>
      <c r="Q168" s="310">
        <v>12987.114251621291</v>
      </c>
      <c r="R168" s="319">
        <v>33560.89600091648</v>
      </c>
      <c r="S168" s="315">
        <v>38670.303383387218</v>
      </c>
      <c r="U168" s="7" t="s">
        <v>5038</v>
      </c>
    </row>
    <row r="169" spans="1:21" ht="16.5" thickBot="1">
      <c r="A169" s="1311" t="s">
        <v>4588</v>
      </c>
      <c r="B169" s="1315">
        <f t="shared" si="9"/>
        <v>110</v>
      </c>
      <c r="C169" s="1315" t="s">
        <v>3</v>
      </c>
      <c r="D169" s="1315">
        <f t="shared" si="10"/>
        <v>360</v>
      </c>
      <c r="E169" s="1315" t="s">
        <v>3</v>
      </c>
      <c r="F169" s="1313">
        <f t="shared" si="11"/>
        <v>950</v>
      </c>
      <c r="G169" s="1315" t="s">
        <v>3</v>
      </c>
      <c r="H169" s="1312">
        <v>2</v>
      </c>
      <c r="I169" s="1314" t="s">
        <v>45</v>
      </c>
      <c r="J169" s="184">
        <v>110</v>
      </c>
      <c r="K169" s="75">
        <v>360</v>
      </c>
      <c r="L169" s="75">
        <v>950</v>
      </c>
      <c r="M169" s="191">
        <v>14.4432669088285</v>
      </c>
      <c r="N169" s="87">
        <v>617.68854401462193</v>
      </c>
      <c r="O169" s="123">
        <v>21278.960059962381</v>
      </c>
      <c r="P169" s="121">
        <v>26586.776958052618</v>
      </c>
      <c r="Q169" s="310">
        <v>13771.293170907491</v>
      </c>
      <c r="R169" s="319">
        <v>35050.253230869872</v>
      </c>
      <c r="S169" s="315">
        <v>40358.070128960113</v>
      </c>
      <c r="U169" s="7" t="s">
        <v>5039</v>
      </c>
    </row>
    <row r="170" spans="1:21" ht="16.5" thickBot="1">
      <c r="A170" s="1311" t="s">
        <v>4588</v>
      </c>
      <c r="B170" s="1315">
        <f t="shared" si="9"/>
        <v>110</v>
      </c>
      <c r="C170" s="1315" t="s">
        <v>3</v>
      </c>
      <c r="D170" s="1315">
        <f t="shared" si="10"/>
        <v>360</v>
      </c>
      <c r="E170" s="1315" t="s">
        <v>3</v>
      </c>
      <c r="F170" s="1313">
        <f t="shared" si="11"/>
        <v>1000</v>
      </c>
      <c r="G170" s="1315" t="s">
        <v>3</v>
      </c>
      <c r="H170" s="1312">
        <v>2</v>
      </c>
      <c r="I170" s="1314" t="s">
        <v>45</v>
      </c>
      <c r="J170" s="184">
        <v>110</v>
      </c>
      <c r="K170" s="75">
        <v>360</v>
      </c>
      <c r="L170" s="75">
        <v>1000</v>
      </c>
      <c r="M170" s="191">
        <v>15.232564794721824</v>
      </c>
      <c r="N170" s="87">
        <v>669.1625893491738</v>
      </c>
      <c r="O170" s="123">
        <v>22048.225132743566</v>
      </c>
      <c r="P170" s="121">
        <v>27554.451406059947</v>
      </c>
      <c r="Q170" s="310">
        <v>14324.890312410414</v>
      </c>
      <c r="R170" s="319">
        <v>36373.115445153977</v>
      </c>
      <c r="S170" s="315">
        <v>41879.341718470358</v>
      </c>
      <c r="U170" s="7" t="s">
        <v>5040</v>
      </c>
    </row>
    <row r="171" spans="1:21" ht="16.5" thickBot="1">
      <c r="A171" s="1311" t="s">
        <v>4588</v>
      </c>
      <c r="B171" s="1315">
        <f t="shared" si="9"/>
        <v>110</v>
      </c>
      <c r="C171" s="1315" t="s">
        <v>3</v>
      </c>
      <c r="D171" s="1315">
        <f t="shared" si="10"/>
        <v>360</v>
      </c>
      <c r="E171" s="1315" t="s">
        <v>3</v>
      </c>
      <c r="F171" s="1313">
        <f t="shared" si="11"/>
        <v>1050</v>
      </c>
      <c r="G171" s="1315" t="s">
        <v>3</v>
      </c>
      <c r="H171" s="1312">
        <v>2</v>
      </c>
      <c r="I171" s="1314" t="s">
        <v>45</v>
      </c>
      <c r="J171" s="184">
        <v>110</v>
      </c>
      <c r="K171" s="75">
        <v>360</v>
      </c>
      <c r="L171" s="75">
        <v>1050</v>
      </c>
      <c r="M171" s="191">
        <v>15.881397880615147</v>
      </c>
      <c r="N171" s="87">
        <v>720.63663468372556</v>
      </c>
      <c r="O171" s="123">
        <v>22753.403443410756</v>
      </c>
      <c r="P171" s="121">
        <v>28458.039232346633</v>
      </c>
      <c r="Q171" s="310">
        <v>15109.069231696616</v>
      </c>
      <c r="R171" s="319">
        <v>37862.472675107376</v>
      </c>
      <c r="S171" s="315">
        <v>43567.108464043253</v>
      </c>
      <c r="U171" s="7" t="s">
        <v>5041</v>
      </c>
    </row>
    <row r="172" spans="1:21" ht="16.5" thickBot="1">
      <c r="A172" s="1311" t="s">
        <v>4588</v>
      </c>
      <c r="B172" s="1312">
        <f t="shared" si="9"/>
        <v>110</v>
      </c>
      <c r="C172" s="1312" t="s">
        <v>3</v>
      </c>
      <c r="D172" s="1312">
        <f t="shared" si="10"/>
        <v>360</v>
      </c>
      <c r="E172" s="1312" t="s">
        <v>3</v>
      </c>
      <c r="F172" s="1313">
        <f t="shared" si="11"/>
        <v>1100</v>
      </c>
      <c r="G172" s="1312" t="s">
        <v>3</v>
      </c>
      <c r="H172" s="1312">
        <v>2</v>
      </c>
      <c r="I172" s="1314" t="s">
        <v>45</v>
      </c>
      <c r="J172" s="184">
        <v>110</v>
      </c>
      <c r="K172" s="75">
        <v>360</v>
      </c>
      <c r="L172" s="75">
        <v>1100</v>
      </c>
      <c r="M172" s="191">
        <v>16.530230966508469</v>
      </c>
      <c r="N172" s="87">
        <v>772.11068001827744</v>
      </c>
      <c r="O172" s="123">
        <v>23458.581894471306</v>
      </c>
      <c r="P172" s="121">
        <v>29361.627058633319</v>
      </c>
      <c r="Q172" s="310">
        <v>15662.66637319954</v>
      </c>
      <c r="R172" s="319">
        <v>39121.248267670846</v>
      </c>
      <c r="S172" s="315">
        <v>45024.293431832863</v>
      </c>
      <c r="U172" s="7" t="s">
        <v>5042</v>
      </c>
    </row>
    <row r="173" spans="1:21" ht="16.5" thickBot="1">
      <c r="A173" s="1311" t="s">
        <v>4588</v>
      </c>
      <c r="B173" s="1315">
        <f t="shared" si="9"/>
        <v>110</v>
      </c>
      <c r="C173" s="1315" t="s">
        <v>3</v>
      </c>
      <c r="D173" s="1315">
        <f t="shared" si="10"/>
        <v>360</v>
      </c>
      <c r="E173" s="1315" t="s">
        <v>3</v>
      </c>
      <c r="F173" s="1313">
        <f t="shared" si="11"/>
        <v>1150</v>
      </c>
      <c r="G173" s="1315" t="s">
        <v>3</v>
      </c>
      <c r="H173" s="1312">
        <v>2</v>
      </c>
      <c r="I173" s="1314" t="s">
        <v>45</v>
      </c>
      <c r="J173" s="184">
        <v>110</v>
      </c>
      <c r="K173" s="75">
        <v>360</v>
      </c>
      <c r="L173" s="75">
        <v>1150</v>
      </c>
      <c r="M173" s="191">
        <v>17.179064052401792</v>
      </c>
      <c r="N173" s="87">
        <v>823.58472535282931</v>
      </c>
      <c r="O173" s="123">
        <v>24163.760205138489</v>
      </c>
      <c r="P173" s="121">
        <v>30265.214744526646</v>
      </c>
      <c r="Q173" s="310">
        <v>16216.263514702467</v>
      </c>
      <c r="R173" s="319">
        <v>40380.02371984096</v>
      </c>
      <c r="S173" s="315">
        <v>46481.478259229116</v>
      </c>
      <c r="U173" s="7" t="s">
        <v>5043</v>
      </c>
    </row>
    <row r="174" spans="1:21" ht="16.5" thickBot="1">
      <c r="A174" s="1311" t="s">
        <v>4588</v>
      </c>
      <c r="B174" s="1315">
        <f t="shared" si="9"/>
        <v>110</v>
      </c>
      <c r="C174" s="1315" t="s">
        <v>3</v>
      </c>
      <c r="D174" s="1315">
        <f t="shared" si="10"/>
        <v>360</v>
      </c>
      <c r="E174" s="1315" t="s">
        <v>3</v>
      </c>
      <c r="F174" s="1313">
        <f t="shared" si="11"/>
        <v>1200</v>
      </c>
      <c r="G174" s="1315" t="s">
        <v>3</v>
      </c>
      <c r="H174" s="1312">
        <v>2</v>
      </c>
      <c r="I174" s="1314" t="s">
        <v>45</v>
      </c>
      <c r="J174" s="184">
        <v>110</v>
      </c>
      <c r="K174" s="75">
        <v>360</v>
      </c>
      <c r="L174" s="75">
        <v>1200</v>
      </c>
      <c r="M174" s="191">
        <v>17.827897138295111</v>
      </c>
      <c r="N174" s="87">
        <v>875.05877068738107</v>
      </c>
      <c r="O174" s="123">
        <v>24868.938515805679</v>
      </c>
      <c r="P174" s="121">
        <v>31168.802570813332</v>
      </c>
      <c r="Q174" s="310">
        <v>17000.442574382028</v>
      </c>
      <c r="R174" s="319">
        <v>41869.381090187708</v>
      </c>
      <c r="S174" s="315">
        <v>48169.24514519536</v>
      </c>
      <c r="U174" s="7" t="s">
        <v>5044</v>
      </c>
    </row>
    <row r="175" spans="1:21" ht="16.5" thickBot="1">
      <c r="A175" s="1311" t="s">
        <v>4588</v>
      </c>
      <c r="B175" s="1315">
        <f t="shared" si="9"/>
        <v>110</v>
      </c>
      <c r="C175" s="1315" t="s">
        <v>3</v>
      </c>
      <c r="D175" s="1315">
        <f t="shared" si="10"/>
        <v>360</v>
      </c>
      <c r="E175" s="1315" t="s">
        <v>3</v>
      </c>
      <c r="F175" s="1313">
        <f t="shared" si="11"/>
        <v>1250</v>
      </c>
      <c r="G175" s="1315" t="s">
        <v>3</v>
      </c>
      <c r="H175" s="1312">
        <v>2</v>
      </c>
      <c r="I175" s="1314" t="s">
        <v>45</v>
      </c>
      <c r="J175" s="184">
        <v>110</v>
      </c>
      <c r="K175" s="75">
        <v>360</v>
      </c>
      <c r="L175" s="75">
        <v>1250</v>
      </c>
      <c r="M175" s="191">
        <v>18.476730224188437</v>
      </c>
      <c r="N175" s="87">
        <v>926.53281602193294</v>
      </c>
      <c r="O175" s="123">
        <v>25574.116826472866</v>
      </c>
      <c r="P175" s="121">
        <v>32072.390397100018</v>
      </c>
      <c r="Q175" s="310">
        <v>17554.039715884952</v>
      </c>
      <c r="R175" s="319">
        <v>43128.156542357814</v>
      </c>
      <c r="S175" s="315">
        <v>49626.43011298497</v>
      </c>
      <c r="U175" s="7" t="s">
        <v>5045</v>
      </c>
    </row>
    <row r="176" spans="1:21" ht="16.5" thickBot="1">
      <c r="A176" s="1311" t="s">
        <v>4588</v>
      </c>
      <c r="B176" s="1315">
        <f t="shared" si="9"/>
        <v>110</v>
      </c>
      <c r="C176" s="1315" t="s">
        <v>3</v>
      </c>
      <c r="D176" s="1315">
        <f t="shared" si="10"/>
        <v>360</v>
      </c>
      <c r="E176" s="1315" t="s">
        <v>3</v>
      </c>
      <c r="F176" s="1313">
        <f t="shared" si="11"/>
        <v>1300</v>
      </c>
      <c r="G176" s="1315" t="s">
        <v>3</v>
      </c>
      <c r="H176" s="1312">
        <v>2</v>
      </c>
      <c r="I176" s="1314" t="s">
        <v>45</v>
      </c>
      <c r="J176" s="184">
        <v>110</v>
      </c>
      <c r="K176" s="75">
        <v>360</v>
      </c>
      <c r="L176" s="75">
        <v>1300</v>
      </c>
      <c r="M176" s="191">
        <v>19.125563310081759</v>
      </c>
      <c r="N176" s="87">
        <v>978.00686135648471</v>
      </c>
      <c r="O176" s="123">
        <v>26279.295137140056</v>
      </c>
      <c r="P176" s="121">
        <v>32975.978082993344</v>
      </c>
      <c r="Q176" s="310">
        <v>18338.218635171153</v>
      </c>
      <c r="R176" s="319">
        <v>44617.513772311213</v>
      </c>
      <c r="S176" s="315">
        <v>51314.196718164501</v>
      </c>
      <c r="U176" s="7" t="s">
        <v>5046</v>
      </c>
    </row>
    <row r="177" spans="1:21" ht="16.5" thickBot="1">
      <c r="A177" s="1311" t="s">
        <v>4588</v>
      </c>
      <c r="B177" s="1315">
        <f t="shared" si="9"/>
        <v>110</v>
      </c>
      <c r="C177" s="1315" t="s">
        <v>3</v>
      </c>
      <c r="D177" s="1315">
        <f t="shared" si="10"/>
        <v>360</v>
      </c>
      <c r="E177" s="1315" t="s">
        <v>3</v>
      </c>
      <c r="F177" s="1313">
        <f t="shared" si="11"/>
        <v>1350</v>
      </c>
      <c r="G177" s="1315" t="s">
        <v>3</v>
      </c>
      <c r="H177" s="1312">
        <v>2</v>
      </c>
      <c r="I177" s="1314" t="s">
        <v>45</v>
      </c>
      <c r="J177" s="184">
        <v>110</v>
      </c>
      <c r="K177" s="75">
        <v>360</v>
      </c>
      <c r="L177" s="75">
        <v>1350</v>
      </c>
      <c r="M177" s="191">
        <v>19.774396395975081</v>
      </c>
      <c r="N177" s="87">
        <v>1029.4809066910366</v>
      </c>
      <c r="O177" s="123">
        <v>26984.473588200606</v>
      </c>
      <c r="P177" s="121">
        <v>33879.565909280034</v>
      </c>
      <c r="Q177" s="310">
        <v>18891.815776674081</v>
      </c>
      <c r="R177" s="319">
        <v>45876.289364874683</v>
      </c>
      <c r="S177" s="315">
        <v>52771.381685954111</v>
      </c>
      <c r="U177" s="7" t="s">
        <v>5047</v>
      </c>
    </row>
    <row r="178" spans="1:21" ht="16.5" thickBot="1">
      <c r="A178" s="1311" t="s">
        <v>4588</v>
      </c>
      <c r="B178" s="1315">
        <f t="shared" si="9"/>
        <v>110</v>
      </c>
      <c r="C178" s="1315" t="s">
        <v>3</v>
      </c>
      <c r="D178" s="1315">
        <f t="shared" si="10"/>
        <v>360</v>
      </c>
      <c r="E178" s="1315" t="s">
        <v>3</v>
      </c>
      <c r="F178" s="1313">
        <f t="shared" si="11"/>
        <v>1400</v>
      </c>
      <c r="G178" s="1315" t="s">
        <v>3</v>
      </c>
      <c r="H178" s="1312">
        <v>2</v>
      </c>
      <c r="I178" s="1314" t="s">
        <v>45</v>
      </c>
      <c r="J178" s="184">
        <v>110</v>
      </c>
      <c r="K178" s="75">
        <v>360</v>
      </c>
      <c r="L178" s="75">
        <v>1400</v>
      </c>
      <c r="M178" s="191">
        <v>20.423229481868404</v>
      </c>
      <c r="N178" s="87">
        <v>1080.9549520255885</v>
      </c>
      <c r="O178" s="123">
        <v>27689.651898867793</v>
      </c>
      <c r="P178" s="121">
        <v>34783.153735566717</v>
      </c>
      <c r="Q178" s="310">
        <v>19675.994695960278</v>
      </c>
      <c r="R178" s="319">
        <v>47365.646594828067</v>
      </c>
      <c r="S178" s="315">
        <v>54459.148431526992</v>
      </c>
      <c r="U178" s="7" t="s">
        <v>5048</v>
      </c>
    </row>
    <row r="179" spans="1:21" ht="16.5" thickBot="1">
      <c r="A179" s="1311" t="s">
        <v>4588</v>
      </c>
      <c r="B179" s="1315">
        <f t="shared" si="9"/>
        <v>110</v>
      </c>
      <c r="C179" s="1315" t="s">
        <v>3</v>
      </c>
      <c r="D179" s="1315">
        <f t="shared" si="10"/>
        <v>360</v>
      </c>
      <c r="E179" s="1315" t="s">
        <v>3</v>
      </c>
      <c r="F179" s="1313">
        <f t="shared" si="11"/>
        <v>1450</v>
      </c>
      <c r="G179" s="1315" t="s">
        <v>3</v>
      </c>
      <c r="H179" s="1312">
        <v>2</v>
      </c>
      <c r="I179" s="1314" t="s">
        <v>45</v>
      </c>
      <c r="J179" s="184">
        <v>110</v>
      </c>
      <c r="K179" s="75">
        <v>360</v>
      </c>
      <c r="L179" s="75">
        <v>1450</v>
      </c>
      <c r="M179" s="191">
        <v>21.072062567761726</v>
      </c>
      <c r="N179" s="87">
        <v>1132.4289973601403</v>
      </c>
      <c r="O179" s="123">
        <v>28394.830209534983</v>
      </c>
      <c r="P179" s="121">
        <v>35686.741421460043</v>
      </c>
      <c r="Q179" s="310">
        <v>20229.591837463206</v>
      </c>
      <c r="R179" s="319">
        <v>48624.422046998188</v>
      </c>
      <c r="S179" s="315">
        <v>55916.333258923245</v>
      </c>
      <c r="U179" s="7" t="s">
        <v>5049</v>
      </c>
    </row>
    <row r="180" spans="1:21" ht="16.5" thickBot="1">
      <c r="A180" s="1311" t="s">
        <v>4588</v>
      </c>
      <c r="B180" s="1315">
        <f t="shared" si="9"/>
        <v>110</v>
      </c>
      <c r="C180" s="1315" t="s">
        <v>3</v>
      </c>
      <c r="D180" s="1315">
        <f t="shared" si="10"/>
        <v>360</v>
      </c>
      <c r="E180" s="1315" t="s">
        <v>3</v>
      </c>
      <c r="F180" s="1313">
        <f t="shared" si="11"/>
        <v>1500</v>
      </c>
      <c r="G180" s="1315" t="s">
        <v>3</v>
      </c>
      <c r="H180" s="1312">
        <v>2</v>
      </c>
      <c r="I180" s="1314" t="s">
        <v>45</v>
      </c>
      <c r="J180" s="184">
        <v>110</v>
      </c>
      <c r="K180" s="75">
        <v>360</v>
      </c>
      <c r="L180" s="75">
        <v>1500</v>
      </c>
      <c r="M180" s="191">
        <v>22.13523125365505</v>
      </c>
      <c r="N180" s="87">
        <v>1183.903042694692</v>
      </c>
      <c r="O180" s="123">
        <v>29892.345416996519</v>
      </c>
      <c r="P180" s="121">
        <v>37621.359570022883</v>
      </c>
      <c r="Q180" s="310">
        <v>21013.770756749404</v>
      </c>
      <c r="R180" s="319">
        <v>50906.116173745919</v>
      </c>
      <c r="S180" s="315">
        <v>58635.130326772283</v>
      </c>
      <c r="U180" s="7" t="s">
        <v>5050</v>
      </c>
    </row>
    <row r="181" spans="1:21" ht="16.5" thickBot="1">
      <c r="A181" s="1311" t="s">
        <v>4588</v>
      </c>
      <c r="B181" s="1315">
        <f t="shared" si="9"/>
        <v>110</v>
      </c>
      <c r="C181" s="1315" t="s">
        <v>3</v>
      </c>
      <c r="D181" s="1315">
        <f t="shared" si="10"/>
        <v>360</v>
      </c>
      <c r="E181" s="1315" t="s">
        <v>3</v>
      </c>
      <c r="F181" s="1313">
        <f t="shared" si="11"/>
        <v>1550</v>
      </c>
      <c r="G181" s="1315" t="s">
        <v>3</v>
      </c>
      <c r="H181" s="1312">
        <v>2</v>
      </c>
      <c r="I181" s="1314" t="s">
        <v>45</v>
      </c>
      <c r="J181" s="184">
        <v>110</v>
      </c>
      <c r="K181" s="75">
        <v>360</v>
      </c>
      <c r="L181" s="75">
        <v>1550</v>
      </c>
      <c r="M181" s="191">
        <v>22.784064339548372</v>
      </c>
      <c r="N181" s="87">
        <v>1235.3770880292439</v>
      </c>
      <c r="O181" s="123">
        <v>30597.523727663705</v>
      </c>
      <c r="P181" s="121">
        <v>38524.947396309566</v>
      </c>
      <c r="Q181" s="310">
        <v>21567.367898252327</v>
      </c>
      <c r="R181" s="319">
        <v>52164.891625916032</v>
      </c>
      <c r="S181" s="315">
        <v>60092.315294561893</v>
      </c>
      <c r="U181" s="7" t="s">
        <v>5051</v>
      </c>
    </row>
    <row r="182" spans="1:21" ht="16.5" thickBot="1">
      <c r="A182" s="1311" t="s">
        <v>4588</v>
      </c>
      <c r="B182" s="1312">
        <f t="shared" si="9"/>
        <v>110</v>
      </c>
      <c r="C182" s="1312" t="s">
        <v>3</v>
      </c>
      <c r="D182" s="1312">
        <f t="shared" si="10"/>
        <v>360</v>
      </c>
      <c r="E182" s="1312" t="s">
        <v>3</v>
      </c>
      <c r="F182" s="1313">
        <f t="shared" si="11"/>
        <v>1600</v>
      </c>
      <c r="G182" s="1312" t="s">
        <v>3</v>
      </c>
      <c r="H182" s="1312">
        <v>2</v>
      </c>
      <c r="I182" s="1314" t="s">
        <v>45</v>
      </c>
      <c r="J182" s="184">
        <v>110</v>
      </c>
      <c r="K182" s="75">
        <v>360</v>
      </c>
      <c r="L182" s="75">
        <v>1600</v>
      </c>
      <c r="M182" s="191">
        <v>23.432897425441691</v>
      </c>
      <c r="N182" s="87">
        <v>1286.8511333637957</v>
      </c>
      <c r="O182" s="123">
        <v>31302.702038330892</v>
      </c>
      <c r="P182" s="121">
        <v>39428.5350822029</v>
      </c>
      <c r="Q182" s="310">
        <v>22120.965039755254</v>
      </c>
      <c r="R182" s="319">
        <v>53423.667078086146</v>
      </c>
      <c r="S182" s="315">
        <v>61549.500121958154</v>
      </c>
      <c r="U182" s="7" t="s">
        <v>5052</v>
      </c>
    </row>
    <row r="183" spans="1:21" ht="16.5" thickBot="1">
      <c r="A183" s="1311" t="s">
        <v>4588</v>
      </c>
      <c r="B183" s="1315">
        <f t="shared" si="9"/>
        <v>110</v>
      </c>
      <c r="C183" s="1315" t="s">
        <v>3</v>
      </c>
      <c r="D183" s="1315">
        <f t="shared" si="10"/>
        <v>360</v>
      </c>
      <c r="E183" s="1315" t="s">
        <v>3</v>
      </c>
      <c r="F183" s="1313">
        <f t="shared" si="11"/>
        <v>1650</v>
      </c>
      <c r="G183" s="1315" t="s">
        <v>3</v>
      </c>
      <c r="H183" s="1312">
        <v>2</v>
      </c>
      <c r="I183" s="1314" t="s">
        <v>45</v>
      </c>
      <c r="J183" s="184">
        <v>110</v>
      </c>
      <c r="K183" s="75">
        <v>360</v>
      </c>
      <c r="L183" s="75">
        <v>1650</v>
      </c>
      <c r="M183" s="191">
        <v>24.081730511335017</v>
      </c>
      <c r="N183" s="87">
        <v>1338.3251786983476</v>
      </c>
      <c r="O183" s="123">
        <v>32007.880489391446</v>
      </c>
      <c r="P183" s="121">
        <v>40332.122908489582</v>
      </c>
      <c r="Q183" s="310">
        <v>22905.143959041456</v>
      </c>
      <c r="R183" s="319">
        <v>54913.024448432901</v>
      </c>
      <c r="S183" s="315">
        <v>63237.266867531041</v>
      </c>
      <c r="U183" s="7" t="s">
        <v>5053</v>
      </c>
    </row>
    <row r="184" spans="1:21" ht="16.5" thickBot="1">
      <c r="A184" s="1311" t="s">
        <v>4588</v>
      </c>
      <c r="B184" s="1315">
        <f t="shared" si="9"/>
        <v>110</v>
      </c>
      <c r="C184" s="1315" t="s">
        <v>3</v>
      </c>
      <c r="D184" s="1315">
        <f t="shared" si="10"/>
        <v>360</v>
      </c>
      <c r="E184" s="1315" t="s">
        <v>3</v>
      </c>
      <c r="F184" s="1313">
        <f t="shared" si="11"/>
        <v>1700</v>
      </c>
      <c r="G184" s="1315" t="s">
        <v>3</v>
      </c>
      <c r="H184" s="1312">
        <v>2</v>
      </c>
      <c r="I184" s="1314" t="s">
        <v>45</v>
      </c>
      <c r="J184" s="184">
        <v>110</v>
      </c>
      <c r="K184" s="75">
        <v>360</v>
      </c>
      <c r="L184" s="75">
        <v>1700</v>
      </c>
      <c r="M184" s="191">
        <v>24.73056359722834</v>
      </c>
      <c r="N184" s="87">
        <v>1389.7992240328995</v>
      </c>
      <c r="O184" s="123">
        <v>32713.058800058632</v>
      </c>
      <c r="P184" s="121">
        <v>41235.710734776272</v>
      </c>
      <c r="Q184" s="310">
        <v>23458.741100544379</v>
      </c>
      <c r="R184" s="319">
        <v>56171.799900603015</v>
      </c>
      <c r="S184" s="315">
        <v>64694.451835320651</v>
      </c>
      <c r="U184" s="7" t="s">
        <v>5054</v>
      </c>
    </row>
    <row r="185" spans="1:21" ht="16.5" thickBot="1">
      <c r="A185" s="1311" t="s">
        <v>4588</v>
      </c>
      <c r="B185" s="1315">
        <f t="shared" si="9"/>
        <v>110</v>
      </c>
      <c r="C185" s="1315" t="s">
        <v>3</v>
      </c>
      <c r="D185" s="1315">
        <f t="shared" si="10"/>
        <v>360</v>
      </c>
      <c r="E185" s="1315" t="s">
        <v>3</v>
      </c>
      <c r="F185" s="1313">
        <f t="shared" si="11"/>
        <v>1750</v>
      </c>
      <c r="G185" s="1315" t="s">
        <v>3</v>
      </c>
      <c r="H185" s="1312">
        <v>2</v>
      </c>
      <c r="I185" s="1314" t="s">
        <v>45</v>
      </c>
      <c r="J185" s="184">
        <v>110</v>
      </c>
      <c r="K185" s="75">
        <v>360</v>
      </c>
      <c r="L185" s="75">
        <v>1750</v>
      </c>
      <c r="M185" s="191">
        <v>25.379396683121659</v>
      </c>
      <c r="N185" s="87">
        <v>1441.2732693674511</v>
      </c>
      <c r="O185" s="123">
        <v>33418.237110725815</v>
      </c>
      <c r="P185" s="121">
        <v>42139.298420669598</v>
      </c>
      <c r="Q185" s="310">
        <v>24242.920019830581</v>
      </c>
      <c r="R185" s="319">
        <v>57661.157130556399</v>
      </c>
      <c r="S185" s="315">
        <v>66382.218440500175</v>
      </c>
      <c r="U185" s="7" t="s">
        <v>5055</v>
      </c>
    </row>
    <row r="186" spans="1:21" ht="16.5" thickBot="1">
      <c r="A186" s="1311" t="s">
        <v>4588</v>
      </c>
      <c r="B186" s="1315">
        <f t="shared" si="9"/>
        <v>110</v>
      </c>
      <c r="C186" s="1315" t="s">
        <v>3</v>
      </c>
      <c r="D186" s="1315">
        <f t="shared" si="10"/>
        <v>360</v>
      </c>
      <c r="E186" s="1315" t="s">
        <v>3</v>
      </c>
      <c r="F186" s="1313">
        <f t="shared" si="11"/>
        <v>1800</v>
      </c>
      <c r="G186" s="1315" t="s">
        <v>3</v>
      </c>
      <c r="H186" s="1312">
        <v>2</v>
      </c>
      <c r="I186" s="1314" t="s">
        <v>45</v>
      </c>
      <c r="J186" s="184">
        <v>110</v>
      </c>
      <c r="K186" s="75">
        <v>360</v>
      </c>
      <c r="L186" s="75">
        <v>1800</v>
      </c>
      <c r="M186" s="191">
        <v>26.028229769014985</v>
      </c>
      <c r="N186" s="87">
        <v>1492.747314702003</v>
      </c>
      <c r="O186" s="123">
        <v>34123.415421393009</v>
      </c>
      <c r="P186" s="121">
        <v>43042.886246956281</v>
      </c>
      <c r="Q186" s="310">
        <v>24796.517161333504</v>
      </c>
      <c r="R186" s="319">
        <v>58919.932582726513</v>
      </c>
      <c r="S186" s="315">
        <v>67839.403408289785</v>
      </c>
      <c r="U186" s="7" t="s">
        <v>5056</v>
      </c>
    </row>
    <row r="187" spans="1:21" ht="16.5" thickBot="1">
      <c r="A187" s="1311" t="s">
        <v>4588</v>
      </c>
      <c r="B187" s="1315">
        <f t="shared" si="9"/>
        <v>110</v>
      </c>
      <c r="C187" s="1315" t="s">
        <v>3</v>
      </c>
      <c r="D187" s="1315">
        <f t="shared" si="10"/>
        <v>360</v>
      </c>
      <c r="E187" s="1315" t="s">
        <v>3</v>
      </c>
      <c r="F187" s="1313">
        <f t="shared" si="11"/>
        <v>1850</v>
      </c>
      <c r="G187" s="1315" t="s">
        <v>3</v>
      </c>
      <c r="H187" s="1312">
        <v>2</v>
      </c>
      <c r="I187" s="1314" t="s">
        <v>45</v>
      </c>
      <c r="J187" s="184">
        <v>110</v>
      </c>
      <c r="K187" s="75">
        <v>360</v>
      </c>
      <c r="L187" s="75">
        <v>1850</v>
      </c>
      <c r="M187" s="191">
        <v>26.677062854908304</v>
      </c>
      <c r="N187" s="87">
        <v>1544.2213600365549</v>
      </c>
      <c r="O187" s="123">
        <v>34828.593732060195</v>
      </c>
      <c r="P187" s="121">
        <v>43946.474073242971</v>
      </c>
      <c r="Q187" s="310">
        <v>25580.69622101307</v>
      </c>
      <c r="R187" s="319">
        <v>60409.289953073268</v>
      </c>
      <c r="S187" s="315">
        <v>69527.170294256037</v>
      </c>
      <c r="U187" s="7" t="s">
        <v>5057</v>
      </c>
    </row>
    <row r="188" spans="1:21" ht="16.5" thickBot="1">
      <c r="A188" s="1311" t="s">
        <v>4588</v>
      </c>
      <c r="B188" s="1315">
        <f t="shared" si="9"/>
        <v>110</v>
      </c>
      <c r="C188" s="1315" t="s">
        <v>3</v>
      </c>
      <c r="D188" s="1315">
        <f t="shared" si="10"/>
        <v>360</v>
      </c>
      <c r="E188" s="1315" t="s">
        <v>3</v>
      </c>
      <c r="F188" s="1313">
        <f t="shared" si="11"/>
        <v>1900</v>
      </c>
      <c r="G188" s="1315" t="s">
        <v>3</v>
      </c>
      <c r="H188" s="1312">
        <v>2</v>
      </c>
      <c r="I188" s="1314" t="s">
        <v>45</v>
      </c>
      <c r="J188" s="184">
        <v>110</v>
      </c>
      <c r="K188" s="75">
        <v>360</v>
      </c>
      <c r="L188" s="75">
        <v>1900</v>
      </c>
      <c r="M188" s="191">
        <v>27.32589594080163</v>
      </c>
      <c r="N188" s="87">
        <v>1595.6954053711067</v>
      </c>
      <c r="O188" s="123">
        <v>35533.772183120745</v>
      </c>
      <c r="P188" s="121">
        <v>44850.061759136297</v>
      </c>
      <c r="Q188" s="310">
        <v>26134.293362515993</v>
      </c>
      <c r="R188" s="319">
        <v>61668.065545636739</v>
      </c>
      <c r="S188" s="315">
        <v>70984.35512165229</v>
      </c>
      <c r="U188" s="7" t="s">
        <v>5058</v>
      </c>
    </row>
    <row r="189" spans="1:21" ht="16.5" thickBot="1">
      <c r="A189" s="1311" t="s">
        <v>4588</v>
      </c>
      <c r="B189" s="1315">
        <f t="shared" si="9"/>
        <v>110</v>
      </c>
      <c r="C189" s="1315" t="s">
        <v>3</v>
      </c>
      <c r="D189" s="1315">
        <f t="shared" si="10"/>
        <v>360</v>
      </c>
      <c r="E189" s="1315" t="s">
        <v>3</v>
      </c>
      <c r="F189" s="1313">
        <f t="shared" si="11"/>
        <v>1950</v>
      </c>
      <c r="G189" s="1315" t="s">
        <v>3</v>
      </c>
      <c r="H189" s="1312">
        <v>2</v>
      </c>
      <c r="I189" s="1314" t="s">
        <v>45</v>
      </c>
      <c r="J189" s="184">
        <v>110</v>
      </c>
      <c r="K189" s="75">
        <v>360</v>
      </c>
      <c r="L189" s="75">
        <v>1950</v>
      </c>
      <c r="M189" s="191">
        <v>27.974729026694948</v>
      </c>
      <c r="N189" s="87">
        <v>1647.1694507056586</v>
      </c>
      <c r="O189" s="123">
        <v>36238.950493787932</v>
      </c>
      <c r="P189" s="121">
        <v>45753.649585422987</v>
      </c>
      <c r="Q189" s="310">
        <v>26687.890504018917</v>
      </c>
      <c r="R189" s="319">
        <v>62926.840997806852</v>
      </c>
      <c r="S189" s="315">
        <v>72441.5400894419</v>
      </c>
      <c r="U189" s="7" t="s">
        <v>5059</v>
      </c>
    </row>
    <row r="190" spans="1:21" ht="16.5" thickBot="1">
      <c r="A190" s="1311" t="s">
        <v>4588</v>
      </c>
      <c r="B190" s="1315">
        <f t="shared" si="9"/>
        <v>110</v>
      </c>
      <c r="C190" s="1315" t="s">
        <v>3</v>
      </c>
      <c r="D190" s="1315">
        <f t="shared" si="10"/>
        <v>360</v>
      </c>
      <c r="E190" s="1315" t="s">
        <v>3</v>
      </c>
      <c r="F190" s="1313">
        <f t="shared" si="11"/>
        <v>2000</v>
      </c>
      <c r="G190" s="1315" t="s">
        <v>3</v>
      </c>
      <c r="H190" s="1312">
        <v>2</v>
      </c>
      <c r="I190" s="1314" t="s">
        <v>45</v>
      </c>
      <c r="J190" s="184">
        <v>110</v>
      </c>
      <c r="K190" s="75">
        <v>360</v>
      </c>
      <c r="L190" s="75">
        <v>2000</v>
      </c>
      <c r="M190" s="191">
        <v>28.764026912588267</v>
      </c>
      <c r="N190" s="87">
        <v>1698.6434960402103</v>
      </c>
      <c r="O190" s="123">
        <v>37410.1614826199</v>
      </c>
      <c r="P190" s="121">
        <v>46824.653688623672</v>
      </c>
      <c r="Q190" s="310">
        <v>27472.069423305118</v>
      </c>
      <c r="R190" s="319">
        <v>64882.230905925018</v>
      </c>
      <c r="S190" s="315">
        <v>74296.72311192879</v>
      </c>
      <c r="U190" s="7" t="s">
        <v>5060</v>
      </c>
    </row>
    <row r="191" spans="1:21" ht="16.5" thickBot="1">
      <c r="A191" s="1311" t="s">
        <v>4588</v>
      </c>
      <c r="B191" s="1315">
        <f t="shared" si="9"/>
        <v>110</v>
      </c>
      <c r="C191" s="1315" t="s">
        <v>3</v>
      </c>
      <c r="D191" s="1315">
        <f t="shared" si="10"/>
        <v>360</v>
      </c>
      <c r="E191" s="1315" t="s">
        <v>3</v>
      </c>
      <c r="F191" s="1313">
        <f t="shared" si="11"/>
        <v>2050</v>
      </c>
      <c r="G191" s="1315" t="s">
        <v>3</v>
      </c>
      <c r="H191" s="1312">
        <v>2</v>
      </c>
      <c r="I191" s="1314" t="s">
        <v>45</v>
      </c>
      <c r="J191" s="184">
        <v>110</v>
      </c>
      <c r="K191" s="75">
        <v>360</v>
      </c>
      <c r="L191" s="75">
        <v>2050</v>
      </c>
      <c r="M191" s="191">
        <v>29.412859998481597</v>
      </c>
      <c r="N191" s="87">
        <v>1750.1175413747621</v>
      </c>
      <c r="O191" s="123">
        <v>38115.339793287087</v>
      </c>
      <c r="P191" s="121">
        <v>47728.241374517005</v>
      </c>
      <c r="Q191" s="310">
        <v>28025.666564808042</v>
      </c>
      <c r="R191" s="319">
        <v>66141.006358095125</v>
      </c>
      <c r="S191" s="315">
        <v>75753.907939325043</v>
      </c>
      <c r="U191" s="7" t="s">
        <v>5061</v>
      </c>
    </row>
    <row r="192" spans="1:21" ht="16.5" thickBot="1">
      <c r="A192" s="1311" t="s">
        <v>4588</v>
      </c>
      <c r="B192" s="1312">
        <f t="shared" si="9"/>
        <v>110</v>
      </c>
      <c r="C192" s="1312" t="s">
        <v>3</v>
      </c>
      <c r="D192" s="1312">
        <f t="shared" si="10"/>
        <v>360</v>
      </c>
      <c r="E192" s="1312" t="s">
        <v>3</v>
      </c>
      <c r="F192" s="1313">
        <f t="shared" si="11"/>
        <v>2100</v>
      </c>
      <c r="G192" s="1312" t="s">
        <v>3</v>
      </c>
      <c r="H192" s="1312">
        <v>2</v>
      </c>
      <c r="I192" s="1314" t="s">
        <v>45</v>
      </c>
      <c r="J192" s="184">
        <v>110</v>
      </c>
      <c r="K192" s="75">
        <v>360</v>
      </c>
      <c r="L192" s="75">
        <v>2100</v>
      </c>
      <c r="M192" s="191">
        <v>30.061693084374916</v>
      </c>
      <c r="N192" s="87">
        <v>1801.591586709314</v>
      </c>
      <c r="O192" s="123">
        <v>38820.51824434763</v>
      </c>
      <c r="P192" s="121">
        <v>48631.829200803688</v>
      </c>
      <c r="Q192" s="310">
        <v>28809.845484094247</v>
      </c>
      <c r="R192" s="319">
        <v>67630.36372844188</v>
      </c>
      <c r="S192" s="315">
        <v>77441.674684897938</v>
      </c>
      <c r="U192" s="7" t="s">
        <v>5062</v>
      </c>
    </row>
    <row r="193" spans="1:21" ht="16.5" thickBot="1">
      <c r="A193" s="1311" t="s">
        <v>4588</v>
      </c>
      <c r="B193" s="1315">
        <f t="shared" si="9"/>
        <v>110</v>
      </c>
      <c r="C193" s="1315" t="s">
        <v>3</v>
      </c>
      <c r="D193" s="1315">
        <f t="shared" si="10"/>
        <v>360</v>
      </c>
      <c r="E193" s="1315" t="s">
        <v>3</v>
      </c>
      <c r="F193" s="1313">
        <f t="shared" si="11"/>
        <v>2150</v>
      </c>
      <c r="G193" s="1315" t="s">
        <v>3</v>
      </c>
      <c r="H193" s="1312">
        <v>2</v>
      </c>
      <c r="I193" s="1314" t="s">
        <v>45</v>
      </c>
      <c r="J193" s="184">
        <v>110</v>
      </c>
      <c r="K193" s="75">
        <v>360</v>
      </c>
      <c r="L193" s="75">
        <v>2150</v>
      </c>
      <c r="M193" s="191">
        <v>30.710526170268242</v>
      </c>
      <c r="N193" s="87">
        <v>1853.0656320438659</v>
      </c>
      <c r="O193" s="123">
        <v>39525.696555014816</v>
      </c>
      <c r="P193" s="121">
        <v>49535.417027090378</v>
      </c>
      <c r="Q193" s="310">
        <v>29363.442625597167</v>
      </c>
      <c r="R193" s="319">
        <v>68889.139180611979</v>
      </c>
      <c r="S193" s="315">
        <v>78898.859652687548</v>
      </c>
      <c r="U193" s="7" t="s">
        <v>5063</v>
      </c>
    </row>
    <row r="194" spans="1:21" ht="16.5" thickBot="1">
      <c r="A194" s="1311" t="s">
        <v>4588</v>
      </c>
      <c r="B194" s="1315">
        <f t="shared" si="9"/>
        <v>110</v>
      </c>
      <c r="C194" s="1315" t="s">
        <v>3</v>
      </c>
      <c r="D194" s="1315">
        <f t="shared" si="10"/>
        <v>360</v>
      </c>
      <c r="E194" s="1315" t="s">
        <v>3</v>
      </c>
      <c r="F194" s="1313">
        <f t="shared" si="11"/>
        <v>2200</v>
      </c>
      <c r="G194" s="1315" t="s">
        <v>3</v>
      </c>
      <c r="H194" s="1312">
        <v>2</v>
      </c>
      <c r="I194" s="1314" t="s">
        <v>45</v>
      </c>
      <c r="J194" s="184">
        <v>110</v>
      </c>
      <c r="K194" s="75">
        <v>360</v>
      </c>
      <c r="L194" s="75">
        <v>2200</v>
      </c>
      <c r="M194" s="191">
        <v>31.359359256161561</v>
      </c>
      <c r="N194" s="87">
        <v>1904.5396773784178</v>
      </c>
      <c r="O194" s="123">
        <v>40230.87486568201</v>
      </c>
      <c r="P194" s="121">
        <v>50439.004712983704</v>
      </c>
      <c r="Q194" s="310">
        <v>30147.621544883372</v>
      </c>
      <c r="R194" s="319">
        <v>70378.496410565378</v>
      </c>
      <c r="S194" s="315">
        <v>80586.626257867072</v>
      </c>
      <c r="U194" s="7" t="s">
        <v>5064</v>
      </c>
    </row>
    <row r="195" spans="1:21" ht="16.5" thickBot="1">
      <c r="A195" s="1311" t="s">
        <v>4588</v>
      </c>
      <c r="B195" s="1315">
        <f t="shared" si="9"/>
        <v>110</v>
      </c>
      <c r="C195" s="1315" t="s">
        <v>3</v>
      </c>
      <c r="D195" s="1315">
        <f t="shared" si="10"/>
        <v>360</v>
      </c>
      <c r="E195" s="1315" t="s">
        <v>3</v>
      </c>
      <c r="F195" s="1313">
        <f t="shared" si="11"/>
        <v>2250</v>
      </c>
      <c r="G195" s="1315" t="s">
        <v>3</v>
      </c>
      <c r="H195" s="1312">
        <v>2</v>
      </c>
      <c r="I195" s="1314" t="s">
        <v>45</v>
      </c>
      <c r="J195" s="184">
        <v>110</v>
      </c>
      <c r="K195" s="75">
        <v>360</v>
      </c>
      <c r="L195" s="75">
        <v>2250</v>
      </c>
      <c r="M195" s="191">
        <v>32.00819234205489</v>
      </c>
      <c r="N195" s="87">
        <v>1956.0137227129694</v>
      </c>
      <c r="O195" s="123">
        <v>40936.053176349196</v>
      </c>
      <c r="P195" s="121">
        <v>51342.592539270387</v>
      </c>
      <c r="Q195" s="310">
        <v>30701.218686386295</v>
      </c>
      <c r="R195" s="319">
        <v>71637.271862735492</v>
      </c>
      <c r="S195" s="315">
        <v>82043.811225656682</v>
      </c>
      <c r="U195" s="7" t="s">
        <v>5065</v>
      </c>
    </row>
    <row r="196" spans="1:21" ht="16.5" thickBot="1">
      <c r="A196" s="1311" t="s">
        <v>4588</v>
      </c>
      <c r="B196" s="1315">
        <f t="shared" si="9"/>
        <v>110</v>
      </c>
      <c r="C196" s="1315" t="s">
        <v>3</v>
      </c>
      <c r="D196" s="1315">
        <f t="shared" si="10"/>
        <v>360</v>
      </c>
      <c r="E196" s="1315" t="s">
        <v>3</v>
      </c>
      <c r="F196" s="1313">
        <f t="shared" si="11"/>
        <v>2300</v>
      </c>
      <c r="G196" s="1315" t="s">
        <v>3</v>
      </c>
      <c r="H196" s="1312">
        <v>2</v>
      </c>
      <c r="I196" s="1314" t="s">
        <v>45</v>
      </c>
      <c r="J196" s="184">
        <v>110</v>
      </c>
      <c r="K196" s="75">
        <v>360</v>
      </c>
      <c r="L196" s="75">
        <v>2300</v>
      </c>
      <c r="M196" s="191">
        <v>32.657025427948206</v>
      </c>
      <c r="N196" s="87">
        <v>2007.4877680475213</v>
      </c>
      <c r="O196" s="123">
        <v>41641.231487016383</v>
      </c>
      <c r="P196" s="121">
        <v>52246.180365557077</v>
      </c>
      <c r="Q196" s="310">
        <v>31254.815827889219</v>
      </c>
      <c r="R196" s="319">
        <v>72896.047314905605</v>
      </c>
      <c r="S196" s="315">
        <v>83500.996193446292</v>
      </c>
      <c r="U196" s="7" t="s">
        <v>5066</v>
      </c>
    </row>
    <row r="197" spans="1:21" ht="16.5" thickBot="1">
      <c r="A197" s="1311" t="s">
        <v>4588</v>
      </c>
      <c r="B197" s="1315">
        <f t="shared" si="9"/>
        <v>110</v>
      </c>
      <c r="C197" s="1315" t="s">
        <v>3</v>
      </c>
      <c r="D197" s="1315">
        <f t="shared" si="10"/>
        <v>360</v>
      </c>
      <c r="E197" s="1315" t="s">
        <v>3</v>
      </c>
      <c r="F197" s="1313">
        <f t="shared" si="11"/>
        <v>2350</v>
      </c>
      <c r="G197" s="1315" t="s">
        <v>3</v>
      </c>
      <c r="H197" s="1312">
        <v>2</v>
      </c>
      <c r="I197" s="1314" t="s">
        <v>45</v>
      </c>
      <c r="J197" s="184">
        <v>110</v>
      </c>
      <c r="K197" s="75">
        <v>360</v>
      </c>
      <c r="L197" s="75">
        <v>2350</v>
      </c>
      <c r="M197" s="191">
        <v>33.305858513841528</v>
      </c>
      <c r="N197" s="87">
        <v>2058.9618133820732</v>
      </c>
      <c r="O197" s="123">
        <v>42346.409938076933</v>
      </c>
      <c r="P197" s="121">
        <v>53149.768051450403</v>
      </c>
      <c r="Q197" s="310">
        <v>32038.99474717542</v>
      </c>
      <c r="R197" s="319">
        <v>74385.404685252346</v>
      </c>
      <c r="S197" s="315">
        <v>85188.76279862583</v>
      </c>
      <c r="U197" s="7" t="s">
        <v>5067</v>
      </c>
    </row>
    <row r="198" spans="1:21" ht="16.5" thickBot="1">
      <c r="A198" s="1311" t="s">
        <v>4588</v>
      </c>
      <c r="B198" s="1315">
        <f t="shared" si="9"/>
        <v>110</v>
      </c>
      <c r="C198" s="1315" t="s">
        <v>3</v>
      </c>
      <c r="D198" s="1315">
        <f t="shared" si="10"/>
        <v>360</v>
      </c>
      <c r="E198" s="1315" t="s">
        <v>3</v>
      </c>
      <c r="F198" s="1313">
        <f t="shared" si="11"/>
        <v>2400</v>
      </c>
      <c r="G198" s="1315" t="s">
        <v>3</v>
      </c>
      <c r="H198" s="1312">
        <v>2</v>
      </c>
      <c r="I198" s="1314" t="s">
        <v>45</v>
      </c>
      <c r="J198" s="184">
        <v>110</v>
      </c>
      <c r="K198" s="75">
        <v>360</v>
      </c>
      <c r="L198" s="75">
        <v>2400</v>
      </c>
      <c r="M198" s="191">
        <v>33.954691599734851</v>
      </c>
      <c r="N198" s="87">
        <v>2110.4358587166248</v>
      </c>
      <c r="O198" s="123">
        <v>43051.588248744119</v>
      </c>
      <c r="P198" s="121">
        <v>54053.355877737085</v>
      </c>
      <c r="Q198" s="310">
        <v>32592.591888678344</v>
      </c>
      <c r="R198" s="319">
        <v>75644.18013742246</v>
      </c>
      <c r="S198" s="315">
        <v>86645.947766415426</v>
      </c>
      <c r="U198" s="7" t="s">
        <v>5068</v>
      </c>
    </row>
    <row r="199" spans="1:21" ht="16.5" thickBot="1">
      <c r="A199" s="1311" t="s">
        <v>4588</v>
      </c>
      <c r="B199" s="1315">
        <f t="shared" si="9"/>
        <v>110</v>
      </c>
      <c r="C199" s="1315" t="s">
        <v>3</v>
      </c>
      <c r="D199" s="1315">
        <f t="shared" si="10"/>
        <v>360</v>
      </c>
      <c r="E199" s="1315" t="s">
        <v>3</v>
      </c>
      <c r="F199" s="1313">
        <f t="shared" si="11"/>
        <v>2450</v>
      </c>
      <c r="G199" s="1315" t="s">
        <v>3</v>
      </c>
      <c r="H199" s="1312">
        <v>2</v>
      </c>
      <c r="I199" s="1314" t="s">
        <v>45</v>
      </c>
      <c r="J199" s="184">
        <v>110</v>
      </c>
      <c r="K199" s="75">
        <v>360</v>
      </c>
      <c r="L199" s="75">
        <v>2450</v>
      </c>
      <c r="M199" s="191">
        <v>34.60352468562818</v>
      </c>
      <c r="N199" s="87">
        <v>2161.9099040511769</v>
      </c>
      <c r="O199" s="123">
        <v>43756.766559411313</v>
      </c>
      <c r="P199" s="121">
        <v>54956.943704023775</v>
      </c>
      <c r="Q199" s="310">
        <v>33376.770807964545</v>
      </c>
      <c r="R199" s="319">
        <v>77133.537367375859</v>
      </c>
      <c r="S199" s="315">
        <v>88333.714511988321</v>
      </c>
      <c r="U199" s="7" t="s">
        <v>5069</v>
      </c>
    </row>
    <row r="200" spans="1:21" ht="16.5" thickBot="1">
      <c r="A200" s="1311" t="s">
        <v>4588</v>
      </c>
      <c r="B200" s="1315">
        <f t="shared" si="9"/>
        <v>110</v>
      </c>
      <c r="C200" s="1315" t="s">
        <v>3</v>
      </c>
      <c r="D200" s="1315">
        <f t="shared" si="10"/>
        <v>360</v>
      </c>
      <c r="E200" s="1315" t="s">
        <v>3</v>
      </c>
      <c r="F200" s="1313">
        <f t="shared" si="11"/>
        <v>2500</v>
      </c>
      <c r="G200" s="1315" t="s">
        <v>3</v>
      </c>
      <c r="H200" s="1312">
        <v>2</v>
      </c>
      <c r="I200" s="1314" t="s">
        <v>45</v>
      </c>
      <c r="J200" s="184">
        <v>110</v>
      </c>
      <c r="K200" s="75">
        <v>360</v>
      </c>
      <c r="L200" s="75">
        <v>2500</v>
      </c>
      <c r="M200" s="191">
        <v>35.666693371521497</v>
      </c>
      <c r="N200" s="87">
        <v>2213.3839493857286</v>
      </c>
      <c r="O200" s="123">
        <v>45254.281766872846</v>
      </c>
      <c r="P200" s="121">
        <v>56891.561712193252</v>
      </c>
      <c r="Q200" s="310">
        <v>33930.367949467472</v>
      </c>
      <c r="R200" s="319">
        <v>79184.649716340326</v>
      </c>
      <c r="S200" s="315">
        <v>90821.929661660717</v>
      </c>
      <c r="U200" s="7" t="s">
        <v>5070</v>
      </c>
    </row>
    <row r="201" spans="1:21" ht="16.5" thickBot="1">
      <c r="A201" s="1311" t="s">
        <v>4588</v>
      </c>
      <c r="B201" s="1315">
        <f t="shared" si="9"/>
        <v>110</v>
      </c>
      <c r="C201" s="1315" t="s">
        <v>3</v>
      </c>
      <c r="D201" s="1315">
        <f t="shared" si="10"/>
        <v>360</v>
      </c>
      <c r="E201" s="1315" t="s">
        <v>3</v>
      </c>
      <c r="F201" s="1313">
        <f t="shared" si="11"/>
        <v>2550</v>
      </c>
      <c r="G201" s="1315" t="s">
        <v>3</v>
      </c>
      <c r="H201" s="1312">
        <v>2</v>
      </c>
      <c r="I201" s="1314" t="s">
        <v>45</v>
      </c>
      <c r="J201" s="184">
        <v>110</v>
      </c>
      <c r="K201" s="75">
        <v>360</v>
      </c>
      <c r="L201" s="75">
        <v>2550</v>
      </c>
      <c r="M201" s="191">
        <v>36.315526457414819</v>
      </c>
      <c r="N201" s="87">
        <v>2264.8579947202807</v>
      </c>
      <c r="O201" s="123">
        <v>46322.657425540805</v>
      </c>
      <c r="P201" s="121">
        <v>57809.188874729938</v>
      </c>
      <c r="Q201" s="310">
        <v>34714.547009147034</v>
      </c>
      <c r="R201" s="319">
        <v>81037.204434687839</v>
      </c>
      <c r="S201" s="315">
        <v>92523.735883876972</v>
      </c>
      <c r="U201" s="7" t="s">
        <v>5071</v>
      </c>
    </row>
    <row r="202" spans="1:21" ht="16.5" thickBot="1">
      <c r="A202" s="1311" t="s">
        <v>4588</v>
      </c>
      <c r="B202" s="1312">
        <f t="shared" si="9"/>
        <v>110</v>
      </c>
      <c r="C202" s="1312" t="s">
        <v>3</v>
      </c>
      <c r="D202" s="1312">
        <f t="shared" si="10"/>
        <v>360</v>
      </c>
      <c r="E202" s="1312" t="s">
        <v>3</v>
      </c>
      <c r="F202" s="1313">
        <f t="shared" si="11"/>
        <v>2600</v>
      </c>
      <c r="G202" s="1312" t="s">
        <v>3</v>
      </c>
      <c r="H202" s="1312">
        <v>2</v>
      </c>
      <c r="I202" s="1314" t="s">
        <v>45</v>
      </c>
      <c r="J202" s="184">
        <v>110</v>
      </c>
      <c r="K202" s="75">
        <v>360</v>
      </c>
      <c r="L202" s="75">
        <v>2600</v>
      </c>
      <c r="M202" s="191">
        <v>36.964359543308142</v>
      </c>
      <c r="N202" s="87">
        <v>2316.3320400548323</v>
      </c>
      <c r="O202" s="123">
        <v>47027.835876601363</v>
      </c>
      <c r="P202" s="121">
        <v>58712.776701016628</v>
      </c>
      <c r="Q202" s="310">
        <v>35268.144150649961</v>
      </c>
      <c r="R202" s="319">
        <v>82295.980027251324</v>
      </c>
      <c r="S202" s="315">
        <v>93980.920851666597</v>
      </c>
      <c r="U202" s="7" t="s">
        <v>5072</v>
      </c>
    </row>
    <row r="203" spans="1:21" ht="16.5" thickBot="1">
      <c r="A203" s="1311" t="s">
        <v>4588</v>
      </c>
      <c r="B203" s="1315">
        <f t="shared" si="9"/>
        <v>110</v>
      </c>
      <c r="C203" s="1315" t="s">
        <v>3</v>
      </c>
      <c r="D203" s="1315">
        <f t="shared" si="10"/>
        <v>360</v>
      </c>
      <c r="E203" s="1315" t="s">
        <v>3</v>
      </c>
      <c r="F203" s="1313">
        <f t="shared" si="11"/>
        <v>2650</v>
      </c>
      <c r="G203" s="1315" t="s">
        <v>3</v>
      </c>
      <c r="H203" s="1312">
        <v>2</v>
      </c>
      <c r="I203" s="1314" t="s">
        <v>45</v>
      </c>
      <c r="J203" s="184">
        <v>110</v>
      </c>
      <c r="K203" s="75">
        <v>360</v>
      </c>
      <c r="L203" s="75">
        <v>2650</v>
      </c>
      <c r="M203" s="191">
        <v>37.613192629201464</v>
      </c>
      <c r="N203" s="87">
        <v>2367.806085389384</v>
      </c>
      <c r="O203" s="123">
        <v>47733.014187268549</v>
      </c>
      <c r="P203" s="121">
        <v>59616.364386909954</v>
      </c>
      <c r="Q203" s="310">
        <v>36052.323069936159</v>
      </c>
      <c r="R203" s="319">
        <v>83785.337257204708</v>
      </c>
      <c r="S203" s="315">
        <v>95668.687456846121</v>
      </c>
      <c r="U203" s="7" t="s">
        <v>5073</v>
      </c>
    </row>
    <row r="204" spans="1:21" ht="16.5" thickBot="1">
      <c r="A204" s="1311" t="s">
        <v>4588</v>
      </c>
      <c r="B204" s="1315">
        <f t="shared" si="9"/>
        <v>110</v>
      </c>
      <c r="C204" s="1315" t="s">
        <v>3</v>
      </c>
      <c r="D204" s="1315">
        <f t="shared" si="10"/>
        <v>360</v>
      </c>
      <c r="E204" s="1315" t="s">
        <v>3</v>
      </c>
      <c r="F204" s="1313">
        <f t="shared" si="11"/>
        <v>2700</v>
      </c>
      <c r="G204" s="1315" t="s">
        <v>3</v>
      </c>
      <c r="H204" s="1312">
        <v>2</v>
      </c>
      <c r="I204" s="1314" t="s">
        <v>45</v>
      </c>
      <c r="J204" s="184">
        <v>110</v>
      </c>
      <c r="K204" s="75">
        <v>360</v>
      </c>
      <c r="L204" s="75">
        <v>2700</v>
      </c>
      <c r="M204" s="191">
        <v>38.262025715094786</v>
      </c>
      <c r="N204" s="87">
        <v>2419.2801307239361</v>
      </c>
      <c r="O204" s="123">
        <v>48438.192497935735</v>
      </c>
      <c r="P204" s="121">
        <v>60519.952213196637</v>
      </c>
      <c r="Q204" s="310">
        <v>36605.920211439086</v>
      </c>
      <c r="R204" s="319">
        <v>85044.112709374822</v>
      </c>
      <c r="S204" s="315">
        <v>97125.872424635716</v>
      </c>
      <c r="U204" s="7" t="s">
        <v>5074</v>
      </c>
    </row>
    <row r="205" spans="1:21" ht="16.5" thickBot="1">
      <c r="A205" s="1311" t="s">
        <v>4588</v>
      </c>
      <c r="B205" s="1315">
        <f t="shared" si="9"/>
        <v>110</v>
      </c>
      <c r="C205" s="1315" t="s">
        <v>3</v>
      </c>
      <c r="D205" s="1315">
        <f t="shared" si="10"/>
        <v>360</v>
      </c>
      <c r="E205" s="1315" t="s">
        <v>3</v>
      </c>
      <c r="F205" s="1313">
        <f t="shared" si="11"/>
        <v>2750</v>
      </c>
      <c r="G205" s="1315" t="s">
        <v>3</v>
      </c>
      <c r="H205" s="1312">
        <v>2</v>
      </c>
      <c r="I205" s="1314" t="s">
        <v>45</v>
      </c>
      <c r="J205" s="184">
        <v>110</v>
      </c>
      <c r="K205" s="75">
        <v>360</v>
      </c>
      <c r="L205" s="75">
        <v>2750</v>
      </c>
      <c r="M205" s="191">
        <v>38.910858800988102</v>
      </c>
      <c r="N205" s="87">
        <v>2470.7541760584877</v>
      </c>
      <c r="O205" s="123">
        <v>49143.370808602922</v>
      </c>
      <c r="P205" s="121">
        <v>61423.540039483327</v>
      </c>
      <c r="Q205" s="310">
        <v>37159.517352942006</v>
      </c>
      <c r="R205" s="319">
        <v>86302.888161544921</v>
      </c>
      <c r="S205" s="315">
        <v>98583.05739242534</v>
      </c>
      <c r="U205" s="7" t="s">
        <v>5075</v>
      </c>
    </row>
    <row r="206" spans="1:21" ht="16.5" thickBot="1">
      <c r="A206" s="1311" t="s">
        <v>4588</v>
      </c>
      <c r="B206" s="1315">
        <f t="shared" si="9"/>
        <v>110</v>
      </c>
      <c r="C206" s="1315" t="s">
        <v>3</v>
      </c>
      <c r="D206" s="1315">
        <f t="shared" si="10"/>
        <v>360</v>
      </c>
      <c r="E206" s="1315" t="s">
        <v>3</v>
      </c>
      <c r="F206" s="1313">
        <f t="shared" si="11"/>
        <v>2800</v>
      </c>
      <c r="G206" s="1315" t="s">
        <v>3</v>
      </c>
      <c r="H206" s="1312">
        <v>2</v>
      </c>
      <c r="I206" s="1314" t="s">
        <v>45</v>
      </c>
      <c r="J206" s="184">
        <v>110</v>
      </c>
      <c r="K206" s="75">
        <v>360</v>
      </c>
      <c r="L206" s="75">
        <v>2800</v>
      </c>
      <c r="M206" s="191">
        <v>39.559691886881431</v>
      </c>
      <c r="N206" s="87">
        <v>2522.2282213930398</v>
      </c>
      <c r="O206" s="123">
        <v>49848.549119270116</v>
      </c>
      <c r="P206" s="121">
        <v>62327.127725376653</v>
      </c>
      <c r="Q206" s="310">
        <v>37943.696272228204</v>
      </c>
      <c r="R206" s="319">
        <v>87792.24539149832</v>
      </c>
      <c r="S206" s="315">
        <v>100270.82399760486</v>
      </c>
      <c r="U206" s="7" t="s">
        <v>5076</v>
      </c>
    </row>
    <row r="207" spans="1:21" ht="16.5" thickBot="1">
      <c r="A207" s="1311" t="s">
        <v>4588</v>
      </c>
      <c r="B207" s="1315">
        <f t="shared" si="9"/>
        <v>110</v>
      </c>
      <c r="C207" s="1315" t="s">
        <v>3</v>
      </c>
      <c r="D207" s="1315">
        <f t="shared" si="10"/>
        <v>360</v>
      </c>
      <c r="E207" s="1315" t="s">
        <v>3</v>
      </c>
      <c r="F207" s="1313">
        <f t="shared" si="11"/>
        <v>2850</v>
      </c>
      <c r="G207" s="1315" t="s">
        <v>3</v>
      </c>
      <c r="H207" s="1312">
        <v>2</v>
      </c>
      <c r="I207" s="1314" t="s">
        <v>45</v>
      </c>
      <c r="J207" s="184">
        <v>110</v>
      </c>
      <c r="K207" s="75">
        <v>360</v>
      </c>
      <c r="L207" s="75">
        <v>2850</v>
      </c>
      <c r="M207" s="191">
        <v>40.208524972774754</v>
      </c>
      <c r="N207" s="87">
        <v>2573.7022667275915</v>
      </c>
      <c r="O207" s="123">
        <v>50553.727570330659</v>
      </c>
      <c r="P207" s="121">
        <v>63230.715551663343</v>
      </c>
      <c r="Q207" s="310">
        <v>38497.293413731131</v>
      </c>
      <c r="R207" s="319">
        <v>89051.02098406179</v>
      </c>
      <c r="S207" s="315">
        <v>101728.00896539447</v>
      </c>
      <c r="U207" s="7" t="s">
        <v>5077</v>
      </c>
    </row>
    <row r="208" spans="1:21" ht="16.5" thickBot="1">
      <c r="A208" s="1311" t="s">
        <v>4588</v>
      </c>
      <c r="B208" s="1315">
        <f t="shared" si="9"/>
        <v>110</v>
      </c>
      <c r="C208" s="1315" t="s">
        <v>3</v>
      </c>
      <c r="D208" s="1315">
        <f t="shared" si="10"/>
        <v>360</v>
      </c>
      <c r="E208" s="1315" t="s">
        <v>3</v>
      </c>
      <c r="F208" s="1313">
        <f t="shared" si="11"/>
        <v>2900</v>
      </c>
      <c r="G208" s="1315" t="s">
        <v>3</v>
      </c>
      <c r="H208" s="1312">
        <v>2</v>
      </c>
      <c r="I208" s="1314" t="s">
        <v>45</v>
      </c>
      <c r="J208" s="184">
        <v>110</v>
      </c>
      <c r="K208" s="75">
        <v>360</v>
      </c>
      <c r="L208" s="75">
        <v>2900</v>
      </c>
      <c r="M208" s="191">
        <v>40.857358058668076</v>
      </c>
      <c r="N208" s="87">
        <v>2625.1763120621431</v>
      </c>
      <c r="O208" s="123">
        <v>51258.905880997845</v>
      </c>
      <c r="P208" s="121">
        <v>64134.303377950026</v>
      </c>
      <c r="Q208" s="310">
        <v>39281.472333017329</v>
      </c>
      <c r="R208" s="319">
        <v>90540.378214015174</v>
      </c>
      <c r="S208" s="315">
        <v>103415.77571096735</v>
      </c>
      <c r="U208" s="7" t="s">
        <v>5078</v>
      </c>
    </row>
    <row r="209" spans="1:21" ht="16.5" thickBot="1">
      <c r="A209" s="1311" t="s">
        <v>4588</v>
      </c>
      <c r="B209" s="1315">
        <f t="shared" si="9"/>
        <v>110</v>
      </c>
      <c r="C209" s="1315" t="s">
        <v>3</v>
      </c>
      <c r="D209" s="1315">
        <f t="shared" si="10"/>
        <v>360</v>
      </c>
      <c r="E209" s="1315" t="s">
        <v>3</v>
      </c>
      <c r="F209" s="1313">
        <f t="shared" si="11"/>
        <v>2950</v>
      </c>
      <c r="G209" s="1315" t="s">
        <v>3</v>
      </c>
      <c r="H209" s="1312">
        <v>2</v>
      </c>
      <c r="I209" s="1314" t="s">
        <v>45</v>
      </c>
      <c r="J209" s="184">
        <v>110</v>
      </c>
      <c r="K209" s="75">
        <v>360</v>
      </c>
      <c r="L209" s="75">
        <v>2950</v>
      </c>
      <c r="M209" s="191">
        <v>41.506191144561399</v>
      </c>
      <c r="N209" s="87">
        <v>2676.6503573966952</v>
      </c>
      <c r="O209" s="123">
        <v>51964.084191665039</v>
      </c>
      <c r="P209" s="121">
        <v>65037.891063843352</v>
      </c>
      <c r="Q209" s="310">
        <v>39835.069474520256</v>
      </c>
      <c r="R209" s="319">
        <v>91799.153666185302</v>
      </c>
      <c r="S209" s="315">
        <v>104872.96053836361</v>
      </c>
      <c r="U209" s="7" t="s">
        <v>5079</v>
      </c>
    </row>
    <row r="210" spans="1:21" ht="16.5" thickBot="1">
      <c r="A210" s="1316" t="s">
        <v>4588</v>
      </c>
      <c r="B210" s="1317">
        <f t="shared" si="9"/>
        <v>110</v>
      </c>
      <c r="C210" s="1317" t="s">
        <v>3</v>
      </c>
      <c r="D210" s="1317">
        <f t="shared" si="10"/>
        <v>360</v>
      </c>
      <c r="E210" s="1317" t="s">
        <v>3</v>
      </c>
      <c r="F210" s="1318">
        <f t="shared" si="11"/>
        <v>3000</v>
      </c>
      <c r="G210" s="1317" t="s">
        <v>3</v>
      </c>
      <c r="H210" s="1319">
        <v>2</v>
      </c>
      <c r="I210" s="1320" t="s">
        <v>45</v>
      </c>
      <c r="J210" s="321">
        <v>110</v>
      </c>
      <c r="K210" s="322">
        <v>360</v>
      </c>
      <c r="L210" s="322">
        <v>3000</v>
      </c>
      <c r="M210" s="337">
        <v>42.435953830454721</v>
      </c>
      <c r="N210" s="306">
        <v>2728.1244027312468</v>
      </c>
      <c r="O210" s="307">
        <v>52932.88754270022</v>
      </c>
      <c r="P210" s="336">
        <v>66205.103930498037</v>
      </c>
      <c r="Q210" s="323">
        <v>40619.248393806454</v>
      </c>
      <c r="R210" s="324">
        <v>93552.135936506675</v>
      </c>
      <c r="S210" s="325">
        <v>106824.35232430449</v>
      </c>
      <c r="U210" s="7" t="s">
        <v>5080</v>
      </c>
    </row>
    <row r="211" spans="1:21" ht="21.75" thickBot="1">
      <c r="A211" s="2580" t="s">
        <v>522</v>
      </c>
      <c r="B211" s="2581"/>
      <c r="C211" s="2581"/>
      <c r="D211" s="2581"/>
      <c r="E211" s="2581"/>
      <c r="F211" s="2581"/>
      <c r="G211" s="2581"/>
      <c r="H211" s="2581"/>
      <c r="I211" s="2581"/>
      <c r="J211" s="2581"/>
      <c r="K211" s="2581"/>
      <c r="L211" s="2581"/>
      <c r="M211" s="2581"/>
      <c r="N211" s="2581"/>
      <c r="O211" s="2581"/>
      <c r="P211" s="2581"/>
      <c r="Q211" s="2581"/>
      <c r="R211" s="2581"/>
      <c r="S211" s="2582"/>
      <c r="U211" s="7"/>
    </row>
    <row r="212" spans="1:21" ht="16.5" thickBot="1">
      <c r="A212" s="2583" t="s">
        <v>4589</v>
      </c>
      <c r="B212" s="2584"/>
      <c r="C212" s="2584"/>
      <c r="D212" s="2584"/>
      <c r="E212" s="2584"/>
      <c r="F212" s="2584"/>
      <c r="G212" s="2584"/>
      <c r="H212" s="2584"/>
      <c r="I212" s="2584"/>
      <c r="J212" s="2584"/>
      <c r="K212" s="2584"/>
      <c r="L212" s="2584"/>
      <c r="M212" s="2584"/>
      <c r="N212" s="2584"/>
      <c r="O212" s="2584"/>
      <c r="P212" s="2584"/>
      <c r="Q212" s="2584"/>
      <c r="R212" s="2584"/>
      <c r="S212" s="2585"/>
      <c r="U212" s="7"/>
    </row>
    <row r="213" spans="1:21" ht="16.5" thickBot="1">
      <c r="A213" s="1311" t="s">
        <v>4588</v>
      </c>
      <c r="B213" s="1312">
        <f>J213</f>
        <v>110</v>
      </c>
      <c r="C213" s="1312" t="s">
        <v>3</v>
      </c>
      <c r="D213" s="1312">
        <f>K213</f>
        <v>360</v>
      </c>
      <c r="E213" s="1312" t="s">
        <v>3</v>
      </c>
      <c r="F213" s="1313">
        <f>L213</f>
        <v>600</v>
      </c>
      <c r="G213" s="1312" t="s">
        <v>3</v>
      </c>
      <c r="H213" s="1312">
        <v>4</v>
      </c>
      <c r="I213" s="1314" t="s">
        <v>45</v>
      </c>
      <c r="J213" s="326">
        <v>110</v>
      </c>
      <c r="K213" s="327">
        <v>360</v>
      </c>
      <c r="L213" s="327">
        <v>600</v>
      </c>
      <c r="M213" s="338">
        <v>10.555127540203118</v>
      </c>
      <c r="N213" s="302">
        <v>282.82442491511995</v>
      </c>
      <c r="O213" s="303">
        <v>21686.73763550468</v>
      </c>
      <c r="P213" s="331">
        <v>25954.846357189283</v>
      </c>
      <c r="Q213" s="328">
        <v>9204.3678470371888</v>
      </c>
      <c r="R213" s="329">
        <v>30891.105482541869</v>
      </c>
      <c r="S213" s="330">
        <v>35159.214204226475</v>
      </c>
      <c r="U213" s="7" t="s">
        <v>5081</v>
      </c>
    </row>
    <row r="214" spans="1:21" ht="16.5" thickBot="1">
      <c r="A214" s="1311" t="s">
        <v>4588</v>
      </c>
      <c r="B214" s="1315">
        <f t="shared" ref="B214:B261" si="12">J214</f>
        <v>110</v>
      </c>
      <c r="C214" s="1315" t="s">
        <v>3</v>
      </c>
      <c r="D214" s="1315">
        <f t="shared" ref="D214:D261" si="13">K214</f>
        <v>360</v>
      </c>
      <c r="E214" s="1315" t="s">
        <v>3</v>
      </c>
      <c r="F214" s="1313">
        <f t="shared" ref="F214:F261" si="14">L214</f>
        <v>650</v>
      </c>
      <c r="G214" s="1315" t="s">
        <v>3</v>
      </c>
      <c r="H214" s="1312">
        <v>4</v>
      </c>
      <c r="I214" s="1314" t="s">
        <v>45</v>
      </c>
      <c r="J214" s="184">
        <v>110</v>
      </c>
      <c r="K214" s="75">
        <v>360</v>
      </c>
      <c r="L214" s="75">
        <v>650</v>
      </c>
      <c r="M214" s="191">
        <v>11.31744623241082</v>
      </c>
      <c r="N214" s="87">
        <v>339.38930989814395</v>
      </c>
      <c r="O214" s="123">
        <v>22786.082385219794</v>
      </c>
      <c r="P214" s="121">
        <v>27252.600622523896</v>
      </c>
      <c r="Q214" s="310">
        <v>9757.9649885401141</v>
      </c>
      <c r="R214" s="319">
        <v>32544.04737375991</v>
      </c>
      <c r="S214" s="315">
        <v>37010.565611064012</v>
      </c>
      <c r="U214" s="7" t="s">
        <v>5082</v>
      </c>
    </row>
    <row r="215" spans="1:21" ht="16.5" thickBot="1">
      <c r="A215" s="1311" t="s">
        <v>4588</v>
      </c>
      <c r="B215" s="1315">
        <f t="shared" si="12"/>
        <v>110</v>
      </c>
      <c r="C215" s="1315" t="s">
        <v>3</v>
      </c>
      <c r="D215" s="1315">
        <f t="shared" si="13"/>
        <v>360</v>
      </c>
      <c r="E215" s="1315" t="s">
        <v>3</v>
      </c>
      <c r="F215" s="1313">
        <f t="shared" si="14"/>
        <v>700</v>
      </c>
      <c r="G215" s="1315" t="s">
        <v>3</v>
      </c>
      <c r="H215" s="1312">
        <v>4</v>
      </c>
      <c r="I215" s="1314" t="s">
        <v>45</v>
      </c>
      <c r="J215" s="184">
        <v>110</v>
      </c>
      <c r="K215" s="75">
        <v>360</v>
      </c>
      <c r="L215" s="75">
        <v>700</v>
      </c>
      <c r="M215" s="191">
        <v>12.079764924618514</v>
      </c>
      <c r="N215" s="87">
        <v>395.95419488116789</v>
      </c>
      <c r="O215" s="123">
        <v>23885.427275328268</v>
      </c>
      <c r="P215" s="121">
        <v>28550.35488785851</v>
      </c>
      <c r="Q215" s="310">
        <v>10542.143907826316</v>
      </c>
      <c r="R215" s="319">
        <v>34427.571183154585</v>
      </c>
      <c r="S215" s="315">
        <v>39092.498795684827</v>
      </c>
      <c r="U215" s="7" t="s">
        <v>5083</v>
      </c>
    </row>
    <row r="216" spans="1:21" ht="16.5" thickBot="1">
      <c r="A216" s="1311" t="s">
        <v>4588</v>
      </c>
      <c r="B216" s="1315">
        <f t="shared" si="12"/>
        <v>110</v>
      </c>
      <c r="C216" s="1315" t="s">
        <v>3</v>
      </c>
      <c r="D216" s="1315">
        <f t="shared" si="13"/>
        <v>360</v>
      </c>
      <c r="E216" s="1315" t="s">
        <v>3</v>
      </c>
      <c r="F216" s="1313">
        <f t="shared" si="14"/>
        <v>750</v>
      </c>
      <c r="G216" s="1315" t="s">
        <v>3</v>
      </c>
      <c r="H216" s="1312">
        <v>4</v>
      </c>
      <c r="I216" s="1314" t="s">
        <v>45</v>
      </c>
      <c r="J216" s="184">
        <v>110</v>
      </c>
      <c r="K216" s="75">
        <v>360</v>
      </c>
      <c r="L216" s="75">
        <v>750</v>
      </c>
      <c r="M216" s="191">
        <v>12.84208361682621</v>
      </c>
      <c r="N216" s="87">
        <v>452.51907986419195</v>
      </c>
      <c r="O216" s="123">
        <v>24984.772025043378</v>
      </c>
      <c r="P216" s="121">
        <v>29848.10915319312</v>
      </c>
      <c r="Q216" s="310">
        <v>11095.741049329239</v>
      </c>
      <c r="R216" s="319">
        <v>36080.513074372619</v>
      </c>
      <c r="S216" s="315">
        <v>40943.850202522357</v>
      </c>
      <c r="U216" s="7" t="s">
        <v>5084</v>
      </c>
    </row>
    <row r="217" spans="1:21" ht="16.5" thickBot="1">
      <c r="A217" s="1311" t="s">
        <v>4588</v>
      </c>
      <c r="B217" s="1315">
        <f t="shared" si="12"/>
        <v>110</v>
      </c>
      <c r="C217" s="1315" t="s">
        <v>3</v>
      </c>
      <c r="D217" s="1315">
        <f t="shared" si="13"/>
        <v>360</v>
      </c>
      <c r="E217" s="1315" t="s">
        <v>3</v>
      </c>
      <c r="F217" s="1313">
        <f t="shared" si="14"/>
        <v>800</v>
      </c>
      <c r="G217" s="1315" t="s">
        <v>3</v>
      </c>
      <c r="H217" s="1312">
        <v>4</v>
      </c>
      <c r="I217" s="1314" t="s">
        <v>45</v>
      </c>
      <c r="J217" s="184">
        <v>110</v>
      </c>
      <c r="K217" s="75">
        <v>360</v>
      </c>
      <c r="L217" s="75">
        <v>800</v>
      </c>
      <c r="M217" s="191">
        <v>13.604402309033912</v>
      </c>
      <c r="N217" s="87">
        <v>509.0839648472159</v>
      </c>
      <c r="O217" s="123">
        <v>26447.314263152628</v>
      </c>
      <c r="P217" s="121">
        <v>31159.902754777733</v>
      </c>
      <c r="Q217" s="310">
        <v>11649.338190832164</v>
      </c>
      <c r="R217" s="319">
        <v>38096.652453984789</v>
      </c>
      <c r="S217" s="315">
        <v>42809.240945609898</v>
      </c>
      <c r="U217" s="7" t="s">
        <v>5085</v>
      </c>
    </row>
    <row r="218" spans="1:21" ht="16.5" thickBot="1">
      <c r="A218" s="1311" t="s">
        <v>4588</v>
      </c>
      <c r="B218" s="1315">
        <f t="shared" si="12"/>
        <v>110</v>
      </c>
      <c r="C218" s="1315" t="s">
        <v>3</v>
      </c>
      <c r="D218" s="1315">
        <f t="shared" si="13"/>
        <v>360</v>
      </c>
      <c r="E218" s="1315" t="s">
        <v>3</v>
      </c>
      <c r="F218" s="1313">
        <f t="shared" si="14"/>
        <v>850</v>
      </c>
      <c r="G218" s="1315" t="s">
        <v>3</v>
      </c>
      <c r="H218" s="1312">
        <v>4</v>
      </c>
      <c r="I218" s="1314" t="s">
        <v>45</v>
      </c>
      <c r="J218" s="184">
        <v>110</v>
      </c>
      <c r="K218" s="75">
        <v>360</v>
      </c>
      <c r="L218" s="75">
        <v>850</v>
      </c>
      <c r="M218" s="191">
        <v>14.366721001241604</v>
      </c>
      <c r="N218" s="87">
        <v>565.6488498302399</v>
      </c>
      <c r="O218" s="123">
        <v>27546.659012867745</v>
      </c>
      <c r="P218" s="121">
        <v>32457.657020112343</v>
      </c>
      <c r="Q218" s="310">
        <v>12433.517110118366</v>
      </c>
      <c r="R218" s="319">
        <v>39980.176122986115</v>
      </c>
      <c r="S218" s="315">
        <v>44891.174130230705</v>
      </c>
      <c r="U218" s="7" t="s">
        <v>5086</v>
      </c>
    </row>
    <row r="219" spans="1:21" ht="16.5" thickBot="1">
      <c r="A219" s="1311" t="s">
        <v>4588</v>
      </c>
      <c r="B219" s="1315">
        <f t="shared" si="12"/>
        <v>110</v>
      </c>
      <c r="C219" s="1315" t="s">
        <v>3</v>
      </c>
      <c r="D219" s="1315">
        <f t="shared" si="13"/>
        <v>360</v>
      </c>
      <c r="E219" s="1315" t="s">
        <v>3</v>
      </c>
      <c r="F219" s="1313">
        <f t="shared" si="14"/>
        <v>900</v>
      </c>
      <c r="G219" s="1315" t="s">
        <v>3</v>
      </c>
      <c r="H219" s="1312">
        <v>4</v>
      </c>
      <c r="I219" s="1314" t="s">
        <v>45</v>
      </c>
      <c r="J219" s="184">
        <v>110</v>
      </c>
      <c r="K219" s="75">
        <v>360</v>
      </c>
      <c r="L219" s="75">
        <v>900</v>
      </c>
      <c r="M219" s="191">
        <v>15.129039693449306</v>
      </c>
      <c r="N219" s="87">
        <v>622.21373481326395</v>
      </c>
      <c r="O219" s="123">
        <v>28646.003902976216</v>
      </c>
      <c r="P219" s="121">
        <v>33755.411285446957</v>
      </c>
      <c r="Q219" s="310">
        <v>12987.114251621291</v>
      </c>
      <c r="R219" s="319">
        <v>41633.118154597505</v>
      </c>
      <c r="S219" s="315">
        <v>46742.52553706825</v>
      </c>
      <c r="U219" s="7" t="s">
        <v>5087</v>
      </c>
    </row>
    <row r="220" spans="1:21" ht="16.5" thickBot="1">
      <c r="A220" s="1311" t="s">
        <v>4588</v>
      </c>
      <c r="B220" s="1315">
        <f t="shared" si="12"/>
        <v>110</v>
      </c>
      <c r="C220" s="1315" t="s">
        <v>3</v>
      </c>
      <c r="D220" s="1315">
        <f t="shared" si="13"/>
        <v>360</v>
      </c>
      <c r="E220" s="1315" t="s">
        <v>3</v>
      </c>
      <c r="F220" s="1313">
        <f t="shared" si="14"/>
        <v>950</v>
      </c>
      <c r="G220" s="1315" t="s">
        <v>3</v>
      </c>
      <c r="H220" s="1312">
        <v>4</v>
      </c>
      <c r="I220" s="1314" t="s">
        <v>45</v>
      </c>
      <c r="J220" s="184">
        <v>110</v>
      </c>
      <c r="K220" s="75">
        <v>360</v>
      </c>
      <c r="L220" s="75">
        <v>950</v>
      </c>
      <c r="M220" s="191">
        <v>15.891358385657002</v>
      </c>
      <c r="N220" s="87">
        <v>678.7786197962879</v>
      </c>
      <c r="O220" s="123">
        <v>29745.348652691333</v>
      </c>
      <c r="P220" s="121">
        <v>35053.165550781567</v>
      </c>
      <c r="Q220" s="310">
        <v>13771.293170907491</v>
      </c>
      <c r="R220" s="319">
        <v>43516.641823598824</v>
      </c>
      <c r="S220" s="315">
        <v>48824.458721689058</v>
      </c>
      <c r="U220" s="7" t="s">
        <v>5088</v>
      </c>
    </row>
    <row r="221" spans="1:21" ht="16.5" thickBot="1">
      <c r="A221" s="1311" t="s">
        <v>4588</v>
      </c>
      <c r="B221" s="1315">
        <f t="shared" si="12"/>
        <v>110</v>
      </c>
      <c r="C221" s="1315" t="s">
        <v>3</v>
      </c>
      <c r="D221" s="1315">
        <f t="shared" si="13"/>
        <v>360</v>
      </c>
      <c r="E221" s="1315" t="s">
        <v>3</v>
      </c>
      <c r="F221" s="1313">
        <f t="shared" si="14"/>
        <v>1000</v>
      </c>
      <c r="G221" s="1315" t="s">
        <v>3</v>
      </c>
      <c r="H221" s="1312">
        <v>4</v>
      </c>
      <c r="I221" s="1314" t="s">
        <v>45</v>
      </c>
      <c r="J221" s="184">
        <v>110</v>
      </c>
      <c r="K221" s="75">
        <v>360</v>
      </c>
      <c r="L221" s="75">
        <v>1000</v>
      </c>
      <c r="M221" s="191">
        <v>16.7941418778647</v>
      </c>
      <c r="N221" s="87">
        <v>735.34350477931184</v>
      </c>
      <c r="O221" s="123">
        <v>30908.780304913806</v>
      </c>
      <c r="P221" s="121">
        <v>36415.006578230183</v>
      </c>
      <c r="Q221" s="310">
        <v>14324.890312410414</v>
      </c>
      <c r="R221" s="319">
        <v>45233.67061732422</v>
      </c>
      <c r="S221" s="315">
        <v>50739.896890640593</v>
      </c>
      <c r="U221" s="7" t="s">
        <v>5089</v>
      </c>
    </row>
    <row r="222" spans="1:21" ht="16.5" thickBot="1">
      <c r="A222" s="1311" t="s">
        <v>4588</v>
      </c>
      <c r="B222" s="1315">
        <f t="shared" si="12"/>
        <v>110</v>
      </c>
      <c r="C222" s="1315" t="s">
        <v>3</v>
      </c>
      <c r="D222" s="1315">
        <f t="shared" si="13"/>
        <v>360</v>
      </c>
      <c r="E222" s="1315" t="s">
        <v>3</v>
      </c>
      <c r="F222" s="1313">
        <f t="shared" si="14"/>
        <v>1050</v>
      </c>
      <c r="G222" s="1315" t="s">
        <v>3</v>
      </c>
      <c r="H222" s="1312">
        <v>4</v>
      </c>
      <c r="I222" s="1314" t="s">
        <v>45</v>
      </c>
      <c r="J222" s="184">
        <v>110</v>
      </c>
      <c r="K222" s="75">
        <v>360</v>
      </c>
      <c r="L222" s="75">
        <v>1050</v>
      </c>
      <c r="M222" s="191">
        <v>17.556460570072399</v>
      </c>
      <c r="N222" s="87">
        <v>791.90838976233579</v>
      </c>
      <c r="O222" s="123">
        <v>32008.125054628919</v>
      </c>
      <c r="P222" s="121">
        <v>37712.760843564793</v>
      </c>
      <c r="Q222" s="310">
        <v>15109.069231696616</v>
      </c>
      <c r="R222" s="319">
        <v>47117.194286325539</v>
      </c>
      <c r="S222" s="315">
        <v>52821.830075261409</v>
      </c>
      <c r="U222" s="7" t="s">
        <v>5090</v>
      </c>
    </row>
    <row r="223" spans="1:21" ht="16.5" thickBot="1">
      <c r="A223" s="1311" t="s">
        <v>4588</v>
      </c>
      <c r="B223" s="1312">
        <f t="shared" si="12"/>
        <v>110</v>
      </c>
      <c r="C223" s="1312" t="s">
        <v>3</v>
      </c>
      <c r="D223" s="1312">
        <f t="shared" si="13"/>
        <v>360</v>
      </c>
      <c r="E223" s="1312" t="s">
        <v>3</v>
      </c>
      <c r="F223" s="1313">
        <f t="shared" si="14"/>
        <v>1100</v>
      </c>
      <c r="G223" s="1312" t="s">
        <v>3</v>
      </c>
      <c r="H223" s="1312">
        <v>4</v>
      </c>
      <c r="I223" s="1314" t="s">
        <v>45</v>
      </c>
      <c r="J223" s="184">
        <v>110</v>
      </c>
      <c r="K223" s="75">
        <v>360</v>
      </c>
      <c r="L223" s="75">
        <v>1100</v>
      </c>
      <c r="M223" s="191">
        <v>18.318779262280092</v>
      </c>
      <c r="N223" s="87">
        <v>848.47327474535984</v>
      </c>
      <c r="O223" s="123">
        <v>33107.469944737393</v>
      </c>
      <c r="P223" s="121">
        <v>39010.51510889941</v>
      </c>
      <c r="Q223" s="310">
        <v>15662.66637319954</v>
      </c>
      <c r="R223" s="319">
        <v>48770.136317936936</v>
      </c>
      <c r="S223" s="315">
        <v>54673.181482098953</v>
      </c>
      <c r="U223" s="7" t="s">
        <v>5091</v>
      </c>
    </row>
    <row r="224" spans="1:21" ht="16.5" thickBot="1">
      <c r="A224" s="1311" t="s">
        <v>4588</v>
      </c>
      <c r="B224" s="1315">
        <f t="shared" si="12"/>
        <v>110</v>
      </c>
      <c r="C224" s="1315" t="s">
        <v>3</v>
      </c>
      <c r="D224" s="1315">
        <f t="shared" si="13"/>
        <v>360</v>
      </c>
      <c r="E224" s="1315" t="s">
        <v>3</v>
      </c>
      <c r="F224" s="1313">
        <f t="shared" si="14"/>
        <v>1150</v>
      </c>
      <c r="G224" s="1315" t="s">
        <v>3</v>
      </c>
      <c r="H224" s="1312">
        <v>4</v>
      </c>
      <c r="I224" s="1314" t="s">
        <v>45</v>
      </c>
      <c r="J224" s="184">
        <v>110</v>
      </c>
      <c r="K224" s="75">
        <v>360</v>
      </c>
      <c r="L224" s="75">
        <v>1150</v>
      </c>
      <c r="M224" s="191">
        <v>19.081097954487788</v>
      </c>
      <c r="N224" s="87">
        <v>905.0381597283839</v>
      </c>
      <c r="O224" s="123">
        <v>34206.814694452507</v>
      </c>
      <c r="P224" s="121">
        <v>40308.26937423402</v>
      </c>
      <c r="Q224" s="310">
        <v>16216.263514702467</v>
      </c>
      <c r="R224" s="319">
        <v>50423.078209154977</v>
      </c>
      <c r="S224" s="315">
        <v>56524.53288893649</v>
      </c>
      <c r="U224" s="7" t="s">
        <v>5092</v>
      </c>
    </row>
    <row r="225" spans="1:21" ht="16.5" thickBot="1">
      <c r="A225" s="1311" t="s">
        <v>4588</v>
      </c>
      <c r="B225" s="1315">
        <f t="shared" si="12"/>
        <v>110</v>
      </c>
      <c r="C225" s="1315" t="s">
        <v>3</v>
      </c>
      <c r="D225" s="1315">
        <f t="shared" si="13"/>
        <v>360</v>
      </c>
      <c r="E225" s="1315" t="s">
        <v>3</v>
      </c>
      <c r="F225" s="1313">
        <f t="shared" si="14"/>
        <v>1200</v>
      </c>
      <c r="G225" s="1315" t="s">
        <v>3</v>
      </c>
      <c r="H225" s="1312">
        <v>4</v>
      </c>
      <c r="I225" s="1314" t="s">
        <v>45</v>
      </c>
      <c r="J225" s="184">
        <v>110</v>
      </c>
      <c r="K225" s="75">
        <v>360</v>
      </c>
      <c r="L225" s="75">
        <v>1200</v>
      </c>
      <c r="M225" s="191">
        <v>19.843416646695488</v>
      </c>
      <c r="N225" s="87">
        <v>961.60304471140785</v>
      </c>
      <c r="O225" s="123">
        <v>35306.159584560985</v>
      </c>
      <c r="P225" s="121">
        <v>41606.023639568637</v>
      </c>
      <c r="Q225" s="310">
        <v>17000.442574382028</v>
      </c>
      <c r="R225" s="319">
        <v>52306.602158943017</v>
      </c>
      <c r="S225" s="315">
        <v>58606.466213950669</v>
      </c>
      <c r="U225" s="7" t="s">
        <v>5093</v>
      </c>
    </row>
    <row r="226" spans="1:21" ht="16.5" thickBot="1">
      <c r="A226" s="1311" t="s">
        <v>4588</v>
      </c>
      <c r="B226" s="1315">
        <f t="shared" si="12"/>
        <v>110</v>
      </c>
      <c r="C226" s="1315" t="s">
        <v>3</v>
      </c>
      <c r="D226" s="1315">
        <f t="shared" si="13"/>
        <v>360</v>
      </c>
      <c r="E226" s="1315" t="s">
        <v>3</v>
      </c>
      <c r="F226" s="1313">
        <f t="shared" si="14"/>
        <v>1250</v>
      </c>
      <c r="G226" s="1315" t="s">
        <v>3</v>
      </c>
      <c r="H226" s="1312">
        <v>4</v>
      </c>
      <c r="I226" s="1314" t="s">
        <v>45</v>
      </c>
      <c r="J226" s="184">
        <v>110</v>
      </c>
      <c r="K226" s="75">
        <v>360</v>
      </c>
      <c r="L226" s="75">
        <v>1250</v>
      </c>
      <c r="M226" s="191">
        <v>20.605735338903187</v>
      </c>
      <c r="N226" s="87">
        <v>1018.1679296944318</v>
      </c>
      <c r="O226" s="123">
        <v>36405.504334276098</v>
      </c>
      <c r="P226" s="121">
        <v>42903.777904903247</v>
      </c>
      <c r="Q226" s="310">
        <v>17554.039715884952</v>
      </c>
      <c r="R226" s="319">
        <v>53959.54405016105</v>
      </c>
      <c r="S226" s="315">
        <v>60457.817620788199</v>
      </c>
      <c r="U226" s="7" t="s">
        <v>5094</v>
      </c>
    </row>
    <row r="227" spans="1:21" ht="16.5" thickBot="1">
      <c r="A227" s="1311" t="s">
        <v>4588</v>
      </c>
      <c r="B227" s="1315">
        <f t="shared" si="12"/>
        <v>110</v>
      </c>
      <c r="C227" s="1315" t="s">
        <v>3</v>
      </c>
      <c r="D227" s="1315">
        <f t="shared" si="13"/>
        <v>360</v>
      </c>
      <c r="E227" s="1315" t="s">
        <v>3</v>
      </c>
      <c r="F227" s="1313">
        <f t="shared" si="14"/>
        <v>1300</v>
      </c>
      <c r="G227" s="1315" t="s">
        <v>3</v>
      </c>
      <c r="H227" s="1312">
        <v>4</v>
      </c>
      <c r="I227" s="1314" t="s">
        <v>45</v>
      </c>
      <c r="J227" s="184">
        <v>110</v>
      </c>
      <c r="K227" s="75">
        <v>360</v>
      </c>
      <c r="L227" s="75">
        <v>1300</v>
      </c>
      <c r="M227" s="191">
        <v>21.368054031110887</v>
      </c>
      <c r="N227" s="87">
        <v>1074.7328146774557</v>
      </c>
      <c r="O227" s="123">
        <v>37504.849224384569</v>
      </c>
      <c r="P227" s="121">
        <v>44201.532170237857</v>
      </c>
      <c r="Q227" s="310">
        <v>18338.218635171153</v>
      </c>
      <c r="R227" s="319">
        <v>55843.067859555726</v>
      </c>
      <c r="S227" s="315">
        <v>62539.750805409014</v>
      </c>
      <c r="U227" s="7" t="s">
        <v>5095</v>
      </c>
    </row>
    <row r="228" spans="1:21" ht="16.5" thickBot="1">
      <c r="A228" s="1311" t="s">
        <v>4588</v>
      </c>
      <c r="B228" s="1315">
        <f t="shared" si="12"/>
        <v>110</v>
      </c>
      <c r="C228" s="1315" t="s">
        <v>3</v>
      </c>
      <c r="D228" s="1315">
        <f t="shared" si="13"/>
        <v>360</v>
      </c>
      <c r="E228" s="1315" t="s">
        <v>3</v>
      </c>
      <c r="F228" s="1313">
        <f t="shared" si="14"/>
        <v>1350</v>
      </c>
      <c r="G228" s="1315" t="s">
        <v>3</v>
      </c>
      <c r="H228" s="1312">
        <v>4</v>
      </c>
      <c r="I228" s="1314" t="s">
        <v>45</v>
      </c>
      <c r="J228" s="184">
        <v>110</v>
      </c>
      <c r="K228" s="75">
        <v>360</v>
      </c>
      <c r="L228" s="75">
        <v>1350</v>
      </c>
      <c r="M228" s="191">
        <v>22.13037272331858</v>
      </c>
      <c r="N228" s="87">
        <v>1131.2976996604798</v>
      </c>
      <c r="O228" s="123">
        <v>38604.193974099682</v>
      </c>
      <c r="P228" s="121">
        <v>45499.286435572474</v>
      </c>
      <c r="Q228" s="310">
        <v>18891.815776674081</v>
      </c>
      <c r="R228" s="319">
        <v>57496.009750773766</v>
      </c>
      <c r="S228" s="315">
        <v>64391.102212246551</v>
      </c>
      <c r="U228" s="7" t="s">
        <v>5096</v>
      </c>
    </row>
    <row r="229" spans="1:21" ht="16.5" thickBot="1">
      <c r="A229" s="1311" t="s">
        <v>4588</v>
      </c>
      <c r="B229" s="1315">
        <f t="shared" si="12"/>
        <v>110</v>
      </c>
      <c r="C229" s="1315" t="s">
        <v>3</v>
      </c>
      <c r="D229" s="1315">
        <f t="shared" si="13"/>
        <v>360</v>
      </c>
      <c r="E229" s="1315" t="s">
        <v>3</v>
      </c>
      <c r="F229" s="1313">
        <f t="shared" si="14"/>
        <v>1400</v>
      </c>
      <c r="G229" s="1315" t="s">
        <v>3</v>
      </c>
      <c r="H229" s="1312">
        <v>4</v>
      </c>
      <c r="I229" s="1314" t="s">
        <v>45</v>
      </c>
      <c r="J229" s="184">
        <v>110</v>
      </c>
      <c r="K229" s="75">
        <v>360</v>
      </c>
      <c r="L229" s="75">
        <v>1400</v>
      </c>
      <c r="M229" s="191">
        <v>22.892691415526279</v>
      </c>
      <c r="N229" s="87">
        <v>1187.8625846435039</v>
      </c>
      <c r="O229" s="123">
        <v>39703.53886420816</v>
      </c>
      <c r="P229" s="121">
        <v>46797.040700906946</v>
      </c>
      <c r="Q229" s="310">
        <v>19675.994695960278</v>
      </c>
      <c r="R229" s="319">
        <v>59379.533560168435</v>
      </c>
      <c r="S229" s="315">
        <v>66473.035396867228</v>
      </c>
      <c r="U229" s="7" t="s">
        <v>5097</v>
      </c>
    </row>
    <row r="230" spans="1:21" ht="16.5" thickBot="1">
      <c r="A230" s="1311" t="s">
        <v>4588</v>
      </c>
      <c r="B230" s="1315">
        <f t="shared" si="12"/>
        <v>110</v>
      </c>
      <c r="C230" s="1315" t="s">
        <v>3</v>
      </c>
      <c r="D230" s="1315">
        <f t="shared" si="13"/>
        <v>360</v>
      </c>
      <c r="E230" s="1315" t="s">
        <v>3</v>
      </c>
      <c r="F230" s="1313">
        <f t="shared" si="14"/>
        <v>1450</v>
      </c>
      <c r="G230" s="1315" t="s">
        <v>3</v>
      </c>
      <c r="H230" s="1312">
        <v>4</v>
      </c>
      <c r="I230" s="1314" t="s">
        <v>45</v>
      </c>
      <c r="J230" s="184">
        <v>110</v>
      </c>
      <c r="K230" s="75">
        <v>360</v>
      </c>
      <c r="L230" s="75">
        <v>1450</v>
      </c>
      <c r="M230" s="191">
        <v>23.655010107733979</v>
      </c>
      <c r="N230" s="87">
        <v>1244.4274696265279</v>
      </c>
      <c r="O230" s="123">
        <v>40802.883613923274</v>
      </c>
      <c r="P230" s="121">
        <v>48094.794966241694</v>
      </c>
      <c r="Q230" s="310">
        <v>20229.591837463206</v>
      </c>
      <c r="R230" s="319">
        <v>61032.475451386475</v>
      </c>
      <c r="S230" s="315">
        <v>68324.386803704896</v>
      </c>
      <c r="U230" s="7" t="s">
        <v>5098</v>
      </c>
    </row>
    <row r="231" spans="1:21" ht="16.5" thickBot="1">
      <c r="A231" s="1311" t="s">
        <v>4588</v>
      </c>
      <c r="B231" s="1315">
        <f t="shared" si="12"/>
        <v>110</v>
      </c>
      <c r="C231" s="1315" t="s">
        <v>3</v>
      </c>
      <c r="D231" s="1315">
        <f t="shared" si="13"/>
        <v>360</v>
      </c>
      <c r="E231" s="1315" t="s">
        <v>3</v>
      </c>
      <c r="F231" s="1313">
        <f t="shared" si="14"/>
        <v>1500</v>
      </c>
      <c r="G231" s="1315" t="s">
        <v>3</v>
      </c>
      <c r="H231" s="1312">
        <v>4</v>
      </c>
      <c r="I231" s="1314" t="s">
        <v>45</v>
      </c>
      <c r="J231" s="184">
        <v>110</v>
      </c>
      <c r="K231" s="75">
        <v>360</v>
      </c>
      <c r="L231" s="75">
        <v>1500</v>
      </c>
      <c r="M231" s="191">
        <v>24.83166439994168</v>
      </c>
      <c r="N231" s="87">
        <v>1300.9923546095517</v>
      </c>
      <c r="O231" s="123">
        <v>42694.565260432733</v>
      </c>
      <c r="P231" s="121">
        <v>50423.579413459098</v>
      </c>
      <c r="Q231" s="310">
        <v>21013.770756749404</v>
      </c>
      <c r="R231" s="319">
        <v>63708.33601718214</v>
      </c>
      <c r="S231" s="315">
        <v>71437.350170208505</v>
      </c>
      <c r="U231" s="7" t="s">
        <v>5099</v>
      </c>
    </row>
    <row r="232" spans="1:21" ht="16.5" thickBot="1">
      <c r="A232" s="1311" t="s">
        <v>4588</v>
      </c>
      <c r="B232" s="1315">
        <f t="shared" si="12"/>
        <v>110</v>
      </c>
      <c r="C232" s="1315" t="s">
        <v>3</v>
      </c>
      <c r="D232" s="1315">
        <f t="shared" si="13"/>
        <v>360</v>
      </c>
      <c r="E232" s="1315" t="s">
        <v>3</v>
      </c>
      <c r="F232" s="1313">
        <f t="shared" si="14"/>
        <v>1550</v>
      </c>
      <c r="G232" s="1315" t="s">
        <v>3</v>
      </c>
      <c r="H232" s="1312">
        <v>4</v>
      </c>
      <c r="I232" s="1314" t="s">
        <v>45</v>
      </c>
      <c r="J232" s="184">
        <v>110</v>
      </c>
      <c r="K232" s="75">
        <v>360</v>
      </c>
      <c r="L232" s="75">
        <v>1550</v>
      </c>
      <c r="M232" s="191">
        <v>25.593983092149376</v>
      </c>
      <c r="N232" s="87">
        <v>1357.5572395925758</v>
      </c>
      <c r="O232" s="123">
        <v>43793.910150541211</v>
      </c>
      <c r="P232" s="121">
        <v>51721.333678793708</v>
      </c>
      <c r="Q232" s="310">
        <v>21567.367898252327</v>
      </c>
      <c r="R232" s="319">
        <v>65361.278048793538</v>
      </c>
      <c r="S232" s="315">
        <v>73288.701577046042</v>
      </c>
      <c r="U232" s="7" t="s">
        <v>5100</v>
      </c>
    </row>
    <row r="233" spans="1:21" ht="16.5" thickBot="1">
      <c r="A233" s="1311" t="s">
        <v>4588</v>
      </c>
      <c r="B233" s="1312">
        <f t="shared" si="12"/>
        <v>110</v>
      </c>
      <c r="C233" s="1312" t="s">
        <v>3</v>
      </c>
      <c r="D233" s="1312">
        <f t="shared" si="13"/>
        <v>360</v>
      </c>
      <c r="E233" s="1312" t="s">
        <v>3</v>
      </c>
      <c r="F233" s="1313">
        <f t="shared" si="14"/>
        <v>1600</v>
      </c>
      <c r="G233" s="1312" t="s">
        <v>3</v>
      </c>
      <c r="H233" s="1312">
        <v>4</v>
      </c>
      <c r="I233" s="1314" t="s">
        <v>45</v>
      </c>
      <c r="J233" s="184">
        <v>110</v>
      </c>
      <c r="K233" s="75">
        <v>360</v>
      </c>
      <c r="L233" s="75">
        <v>1600</v>
      </c>
      <c r="M233" s="191">
        <v>26.356301784357065</v>
      </c>
      <c r="N233" s="87">
        <v>1414.1221245755996</v>
      </c>
      <c r="O233" s="123">
        <v>44893.254900256325</v>
      </c>
      <c r="P233" s="121">
        <v>53019.087944128325</v>
      </c>
      <c r="Q233" s="310">
        <v>22120.965039755254</v>
      </c>
      <c r="R233" s="319">
        <v>67014.219940011579</v>
      </c>
      <c r="S233" s="315">
        <v>75140.052983883579</v>
      </c>
      <c r="U233" s="7" t="s">
        <v>5101</v>
      </c>
    </row>
    <row r="234" spans="1:21" ht="16.5" thickBot="1">
      <c r="A234" s="1311" t="s">
        <v>4588</v>
      </c>
      <c r="B234" s="1315">
        <f t="shared" si="12"/>
        <v>110</v>
      </c>
      <c r="C234" s="1315" t="s">
        <v>3</v>
      </c>
      <c r="D234" s="1315">
        <f t="shared" si="13"/>
        <v>360</v>
      </c>
      <c r="E234" s="1315" t="s">
        <v>3</v>
      </c>
      <c r="F234" s="1313">
        <f t="shared" si="14"/>
        <v>1650</v>
      </c>
      <c r="G234" s="1315" t="s">
        <v>3</v>
      </c>
      <c r="H234" s="1312">
        <v>4</v>
      </c>
      <c r="I234" s="1314" t="s">
        <v>45</v>
      </c>
      <c r="J234" s="184">
        <v>110</v>
      </c>
      <c r="K234" s="75">
        <v>360</v>
      </c>
      <c r="L234" s="75">
        <v>1650</v>
      </c>
      <c r="M234" s="191">
        <v>27.118620476564764</v>
      </c>
      <c r="N234" s="87">
        <v>1470.6870095586237</v>
      </c>
      <c r="O234" s="123">
        <v>45992.599790364802</v>
      </c>
      <c r="P234" s="121">
        <v>54316.842209462935</v>
      </c>
      <c r="Q234" s="310">
        <v>22905.143959041456</v>
      </c>
      <c r="R234" s="319">
        <v>68897.743749406261</v>
      </c>
      <c r="S234" s="315">
        <v>77221.986168504387</v>
      </c>
      <c r="U234" s="7" t="s">
        <v>5102</v>
      </c>
    </row>
    <row r="235" spans="1:21" ht="16.5" thickBot="1">
      <c r="A235" s="1311" t="s">
        <v>4588</v>
      </c>
      <c r="B235" s="1315">
        <f t="shared" si="12"/>
        <v>110</v>
      </c>
      <c r="C235" s="1315" t="s">
        <v>3</v>
      </c>
      <c r="D235" s="1315">
        <f t="shared" si="13"/>
        <v>360</v>
      </c>
      <c r="E235" s="1315" t="s">
        <v>3</v>
      </c>
      <c r="F235" s="1313">
        <f t="shared" si="14"/>
        <v>1700</v>
      </c>
      <c r="G235" s="1315" t="s">
        <v>3</v>
      </c>
      <c r="H235" s="1312">
        <v>4</v>
      </c>
      <c r="I235" s="1314" t="s">
        <v>45</v>
      </c>
      <c r="J235" s="184">
        <v>110</v>
      </c>
      <c r="K235" s="75">
        <v>360</v>
      </c>
      <c r="L235" s="75">
        <v>1700</v>
      </c>
      <c r="M235" s="191">
        <v>27.880939168772464</v>
      </c>
      <c r="N235" s="87">
        <v>1527.2518945416477</v>
      </c>
      <c r="O235" s="123">
        <v>47091.944540079909</v>
      </c>
      <c r="P235" s="121">
        <v>55614.596474797552</v>
      </c>
      <c r="Q235" s="310">
        <v>23458.741100544379</v>
      </c>
      <c r="R235" s="319">
        <v>70550.685640624288</v>
      </c>
      <c r="S235" s="315">
        <v>79073.337575341924</v>
      </c>
      <c r="U235" s="7" t="s">
        <v>5103</v>
      </c>
    </row>
    <row r="236" spans="1:21" ht="16.5" thickBot="1">
      <c r="A236" s="1311" t="s">
        <v>4588</v>
      </c>
      <c r="B236" s="1315">
        <f t="shared" si="12"/>
        <v>110</v>
      </c>
      <c r="C236" s="1315" t="s">
        <v>3</v>
      </c>
      <c r="D236" s="1315">
        <f t="shared" si="13"/>
        <v>360</v>
      </c>
      <c r="E236" s="1315" t="s">
        <v>3</v>
      </c>
      <c r="F236" s="1313">
        <f t="shared" si="14"/>
        <v>1750</v>
      </c>
      <c r="G236" s="1315" t="s">
        <v>3</v>
      </c>
      <c r="H236" s="1312">
        <v>4</v>
      </c>
      <c r="I236" s="1314" t="s">
        <v>45</v>
      </c>
      <c r="J236" s="184">
        <v>110</v>
      </c>
      <c r="K236" s="75">
        <v>360</v>
      </c>
      <c r="L236" s="75">
        <v>1750</v>
      </c>
      <c r="M236" s="191">
        <v>28.64325786098016</v>
      </c>
      <c r="N236" s="87">
        <v>1583.8167795246716</v>
      </c>
      <c r="O236" s="123">
        <v>48191.289430188386</v>
      </c>
      <c r="P236" s="121">
        <v>56912.350740132162</v>
      </c>
      <c r="Q236" s="310">
        <v>24242.920019830581</v>
      </c>
      <c r="R236" s="319">
        <v>72434.209450018971</v>
      </c>
      <c r="S236" s="315">
        <v>81155.270759962747</v>
      </c>
      <c r="U236" s="7" t="s">
        <v>5104</v>
      </c>
    </row>
    <row r="237" spans="1:21" ht="16.5" thickBot="1">
      <c r="A237" s="1311" t="s">
        <v>4588</v>
      </c>
      <c r="B237" s="1315">
        <f t="shared" si="12"/>
        <v>110</v>
      </c>
      <c r="C237" s="1315" t="s">
        <v>3</v>
      </c>
      <c r="D237" s="1315">
        <f t="shared" si="13"/>
        <v>360</v>
      </c>
      <c r="E237" s="1315" t="s">
        <v>3</v>
      </c>
      <c r="F237" s="1313">
        <f t="shared" si="14"/>
        <v>1800</v>
      </c>
      <c r="G237" s="1315" t="s">
        <v>3</v>
      </c>
      <c r="H237" s="1312">
        <v>4</v>
      </c>
      <c r="I237" s="1314" t="s">
        <v>45</v>
      </c>
      <c r="J237" s="184">
        <v>110</v>
      </c>
      <c r="K237" s="75">
        <v>360</v>
      </c>
      <c r="L237" s="75">
        <v>1800</v>
      </c>
      <c r="M237" s="191">
        <v>29.40557655318786</v>
      </c>
      <c r="N237" s="87">
        <v>1640.3816645076956</v>
      </c>
      <c r="O237" s="123">
        <v>49290.634179903493</v>
      </c>
      <c r="P237" s="121">
        <v>58210.105005466772</v>
      </c>
      <c r="Q237" s="310">
        <v>24796.517161333504</v>
      </c>
      <c r="R237" s="319">
        <v>74087.151341236997</v>
      </c>
      <c r="S237" s="315">
        <v>83006.622166800284</v>
      </c>
      <c r="U237" s="7" t="s">
        <v>5105</v>
      </c>
    </row>
    <row r="238" spans="1:21" ht="16.5" thickBot="1">
      <c r="A238" s="1311" t="s">
        <v>4588</v>
      </c>
      <c r="B238" s="1315">
        <f t="shared" si="12"/>
        <v>110</v>
      </c>
      <c r="C238" s="1315" t="s">
        <v>3</v>
      </c>
      <c r="D238" s="1315">
        <f t="shared" si="13"/>
        <v>360</v>
      </c>
      <c r="E238" s="1315" t="s">
        <v>3</v>
      </c>
      <c r="F238" s="1313">
        <f t="shared" si="14"/>
        <v>1850</v>
      </c>
      <c r="G238" s="1315" t="s">
        <v>3</v>
      </c>
      <c r="H238" s="1312">
        <v>4</v>
      </c>
      <c r="I238" s="1314" t="s">
        <v>45</v>
      </c>
      <c r="J238" s="184">
        <v>110</v>
      </c>
      <c r="K238" s="75">
        <v>360</v>
      </c>
      <c r="L238" s="75">
        <v>1850</v>
      </c>
      <c r="M238" s="191">
        <v>30.167895245395549</v>
      </c>
      <c r="N238" s="87">
        <v>1696.9465494907197</v>
      </c>
      <c r="O238" s="123">
        <v>50389.979070011977</v>
      </c>
      <c r="P238" s="121">
        <v>59507.859270801389</v>
      </c>
      <c r="Q238" s="310">
        <v>25580.69622101307</v>
      </c>
      <c r="R238" s="319">
        <v>75970.675291025051</v>
      </c>
      <c r="S238" s="315">
        <v>85088.555491814463</v>
      </c>
      <c r="U238" s="7" t="s">
        <v>5106</v>
      </c>
    </row>
    <row r="239" spans="1:21" ht="16.5" thickBot="1">
      <c r="A239" s="1311" t="s">
        <v>4588</v>
      </c>
      <c r="B239" s="1315">
        <f t="shared" si="12"/>
        <v>110</v>
      </c>
      <c r="C239" s="1315" t="s">
        <v>3</v>
      </c>
      <c r="D239" s="1315">
        <f t="shared" si="13"/>
        <v>360</v>
      </c>
      <c r="E239" s="1315" t="s">
        <v>3</v>
      </c>
      <c r="F239" s="1313">
        <f t="shared" si="14"/>
        <v>1900</v>
      </c>
      <c r="G239" s="1315" t="s">
        <v>3</v>
      </c>
      <c r="H239" s="1312">
        <v>4</v>
      </c>
      <c r="I239" s="1314" t="s">
        <v>45</v>
      </c>
      <c r="J239" s="184">
        <v>110</v>
      </c>
      <c r="K239" s="75">
        <v>360</v>
      </c>
      <c r="L239" s="75">
        <v>1900</v>
      </c>
      <c r="M239" s="191">
        <v>30.930213937603252</v>
      </c>
      <c r="N239" s="87">
        <v>1753.5114344737437</v>
      </c>
      <c r="O239" s="123">
        <v>51489.323819727091</v>
      </c>
      <c r="P239" s="121">
        <v>60805.613536135999</v>
      </c>
      <c r="Q239" s="310">
        <v>26134.293362515993</v>
      </c>
      <c r="R239" s="319">
        <v>77623.617182243092</v>
      </c>
      <c r="S239" s="315">
        <v>86939.906898652</v>
      </c>
      <c r="U239" s="7" t="s">
        <v>5107</v>
      </c>
    </row>
    <row r="240" spans="1:21" ht="16.5" thickBot="1">
      <c r="A240" s="1311" t="s">
        <v>4588</v>
      </c>
      <c r="B240" s="1315">
        <f t="shared" si="12"/>
        <v>110</v>
      </c>
      <c r="C240" s="1315" t="s">
        <v>3</v>
      </c>
      <c r="D240" s="1315">
        <f t="shared" si="13"/>
        <v>360</v>
      </c>
      <c r="E240" s="1315" t="s">
        <v>3</v>
      </c>
      <c r="F240" s="1313">
        <f t="shared" si="14"/>
        <v>1950</v>
      </c>
      <c r="G240" s="1315" t="s">
        <v>3</v>
      </c>
      <c r="H240" s="1312">
        <v>4</v>
      </c>
      <c r="I240" s="1314" t="s">
        <v>45</v>
      </c>
      <c r="J240" s="184">
        <v>110</v>
      </c>
      <c r="K240" s="75">
        <v>360</v>
      </c>
      <c r="L240" s="75">
        <v>1950</v>
      </c>
      <c r="M240" s="191">
        <v>31.692532629810955</v>
      </c>
      <c r="N240" s="87">
        <v>1810.0763194567678</v>
      </c>
      <c r="O240" s="123">
        <v>52588.668709835561</v>
      </c>
      <c r="P240" s="121">
        <v>62103.367801470617</v>
      </c>
      <c r="Q240" s="310">
        <v>26687.890504018917</v>
      </c>
      <c r="R240" s="319">
        <v>79276.559213854474</v>
      </c>
      <c r="S240" s="315">
        <v>88791.258305489537</v>
      </c>
      <c r="U240" s="7" t="s">
        <v>5108</v>
      </c>
    </row>
    <row r="241" spans="1:21" ht="16.5" thickBot="1">
      <c r="A241" s="1311" t="s">
        <v>4588</v>
      </c>
      <c r="B241" s="1315">
        <f t="shared" si="12"/>
        <v>110</v>
      </c>
      <c r="C241" s="1315" t="s">
        <v>3</v>
      </c>
      <c r="D241" s="1315">
        <f t="shared" si="13"/>
        <v>360</v>
      </c>
      <c r="E241" s="1315" t="s">
        <v>3</v>
      </c>
      <c r="F241" s="1313">
        <f t="shared" si="14"/>
        <v>2000</v>
      </c>
      <c r="G241" s="1315" t="s">
        <v>3</v>
      </c>
      <c r="H241" s="1312">
        <v>4</v>
      </c>
      <c r="I241" s="1314" t="s">
        <v>45</v>
      </c>
      <c r="J241" s="184">
        <v>110</v>
      </c>
      <c r="K241" s="75">
        <v>360</v>
      </c>
      <c r="L241" s="75">
        <v>2000</v>
      </c>
      <c r="M241" s="191">
        <v>32.595316122018644</v>
      </c>
      <c r="N241" s="87">
        <v>1866.6412044397916</v>
      </c>
      <c r="O241" s="123">
        <v>54154.046278108806</v>
      </c>
      <c r="P241" s="121">
        <v>63568.538343719229</v>
      </c>
      <c r="Q241" s="310">
        <v>27472.069423305118</v>
      </c>
      <c r="R241" s="319">
        <v>81626.115701413917</v>
      </c>
      <c r="S241" s="315">
        <v>91040.607767024339</v>
      </c>
      <c r="U241" s="7" t="s">
        <v>5109</v>
      </c>
    </row>
    <row r="242" spans="1:21" ht="16.5" thickBot="1">
      <c r="A242" s="1311" t="s">
        <v>4588</v>
      </c>
      <c r="B242" s="1315">
        <f t="shared" si="12"/>
        <v>110</v>
      </c>
      <c r="C242" s="1315" t="s">
        <v>3</v>
      </c>
      <c r="D242" s="1315">
        <f t="shared" si="13"/>
        <v>360</v>
      </c>
      <c r="E242" s="1315" t="s">
        <v>3</v>
      </c>
      <c r="F242" s="1313">
        <f t="shared" si="14"/>
        <v>2050</v>
      </c>
      <c r="G242" s="1315" t="s">
        <v>3</v>
      </c>
      <c r="H242" s="1312">
        <v>4</v>
      </c>
      <c r="I242" s="1314" t="s">
        <v>45</v>
      </c>
      <c r="J242" s="184">
        <v>110</v>
      </c>
      <c r="K242" s="75">
        <v>360</v>
      </c>
      <c r="L242" s="75">
        <v>2050</v>
      </c>
      <c r="M242" s="191">
        <v>33.357634814226344</v>
      </c>
      <c r="N242" s="87">
        <v>1923.2060894228157</v>
      </c>
      <c r="O242" s="123">
        <v>55253.39102782392</v>
      </c>
      <c r="P242" s="121">
        <v>64866.292609053839</v>
      </c>
      <c r="Q242" s="310">
        <v>28025.666564808042</v>
      </c>
      <c r="R242" s="319">
        <v>83279.057592631958</v>
      </c>
      <c r="S242" s="315">
        <v>92891.959173861876</v>
      </c>
      <c r="U242" s="7" t="s">
        <v>5110</v>
      </c>
    </row>
    <row r="243" spans="1:21" ht="16.5" thickBot="1">
      <c r="A243" s="1311" t="s">
        <v>4588</v>
      </c>
      <c r="B243" s="1312">
        <f t="shared" si="12"/>
        <v>110</v>
      </c>
      <c r="C243" s="1312" t="s">
        <v>3</v>
      </c>
      <c r="D243" s="1312">
        <f t="shared" si="13"/>
        <v>360</v>
      </c>
      <c r="E243" s="1312" t="s">
        <v>3</v>
      </c>
      <c r="F243" s="1313">
        <f t="shared" si="14"/>
        <v>2100</v>
      </c>
      <c r="G243" s="1312" t="s">
        <v>3</v>
      </c>
      <c r="H243" s="1312">
        <v>4</v>
      </c>
      <c r="I243" s="1314" t="s">
        <v>45</v>
      </c>
      <c r="J243" s="184">
        <v>110</v>
      </c>
      <c r="K243" s="75">
        <v>360</v>
      </c>
      <c r="L243" s="75">
        <v>2100</v>
      </c>
      <c r="M243" s="191">
        <v>34.119953506434044</v>
      </c>
      <c r="N243" s="87">
        <v>1979.7709744058398</v>
      </c>
      <c r="O243" s="123">
        <v>56352.735777539034</v>
      </c>
      <c r="P243" s="121">
        <v>66164.046874388456</v>
      </c>
      <c r="Q243" s="310">
        <v>28809.845484094247</v>
      </c>
      <c r="R243" s="319">
        <v>85162.581261633284</v>
      </c>
      <c r="S243" s="315">
        <v>94973.892358482699</v>
      </c>
      <c r="U243" s="7" t="s">
        <v>5111</v>
      </c>
    </row>
    <row r="244" spans="1:21" ht="16.5" thickBot="1">
      <c r="A244" s="1311" t="s">
        <v>4588</v>
      </c>
      <c r="B244" s="1315">
        <f t="shared" si="12"/>
        <v>110</v>
      </c>
      <c r="C244" s="1315" t="s">
        <v>3</v>
      </c>
      <c r="D244" s="1315">
        <f t="shared" si="13"/>
        <v>360</v>
      </c>
      <c r="E244" s="1315" t="s">
        <v>3</v>
      </c>
      <c r="F244" s="1313">
        <f t="shared" si="14"/>
        <v>2150</v>
      </c>
      <c r="G244" s="1315" t="s">
        <v>3</v>
      </c>
      <c r="H244" s="1312">
        <v>4</v>
      </c>
      <c r="I244" s="1314" t="s">
        <v>45</v>
      </c>
      <c r="J244" s="184">
        <v>110</v>
      </c>
      <c r="K244" s="75">
        <v>360</v>
      </c>
      <c r="L244" s="75">
        <v>2150</v>
      </c>
      <c r="M244" s="191">
        <v>34.882272198641743</v>
      </c>
      <c r="N244" s="87">
        <v>2036.3358593888636</v>
      </c>
      <c r="O244" s="123">
        <v>57452.080667647511</v>
      </c>
      <c r="P244" s="121">
        <v>67461.801139723058</v>
      </c>
      <c r="Q244" s="310">
        <v>29363.442625597167</v>
      </c>
      <c r="R244" s="319">
        <v>86815.523293244682</v>
      </c>
      <c r="S244" s="315">
        <v>96825.243765320221</v>
      </c>
      <c r="U244" s="7" t="s">
        <v>5112</v>
      </c>
    </row>
    <row r="245" spans="1:21" ht="16.5" thickBot="1">
      <c r="A245" s="1311" t="s">
        <v>4588</v>
      </c>
      <c r="B245" s="1315">
        <f t="shared" si="12"/>
        <v>110</v>
      </c>
      <c r="C245" s="1315" t="s">
        <v>3</v>
      </c>
      <c r="D245" s="1315">
        <f t="shared" si="13"/>
        <v>360</v>
      </c>
      <c r="E245" s="1315" t="s">
        <v>3</v>
      </c>
      <c r="F245" s="1313">
        <f t="shared" si="14"/>
        <v>2200</v>
      </c>
      <c r="G245" s="1315" t="s">
        <v>3</v>
      </c>
      <c r="H245" s="1312">
        <v>4</v>
      </c>
      <c r="I245" s="1314" t="s">
        <v>45</v>
      </c>
      <c r="J245" s="184">
        <v>110</v>
      </c>
      <c r="K245" s="75">
        <v>360</v>
      </c>
      <c r="L245" s="75">
        <v>2200</v>
      </c>
      <c r="M245" s="191">
        <v>35.644590890849443</v>
      </c>
      <c r="N245" s="87">
        <v>2092.9007443718879</v>
      </c>
      <c r="O245" s="123">
        <v>58551.425417362625</v>
      </c>
      <c r="P245" s="121">
        <v>68759.555405057676</v>
      </c>
      <c r="Q245" s="310">
        <v>30147.621544883372</v>
      </c>
      <c r="R245" s="319">
        <v>88699.046962245993</v>
      </c>
      <c r="S245" s="315">
        <v>98907.176949941044</v>
      </c>
      <c r="U245" s="7" t="s">
        <v>5113</v>
      </c>
    </row>
    <row r="246" spans="1:21" ht="16.5" thickBot="1">
      <c r="A246" s="1311" t="s">
        <v>4588</v>
      </c>
      <c r="B246" s="1315">
        <f t="shared" si="12"/>
        <v>110</v>
      </c>
      <c r="C246" s="1315" t="s">
        <v>3</v>
      </c>
      <c r="D246" s="1315">
        <f t="shared" si="13"/>
        <v>360</v>
      </c>
      <c r="E246" s="1315" t="s">
        <v>3</v>
      </c>
      <c r="F246" s="1313">
        <f t="shared" si="14"/>
        <v>2250</v>
      </c>
      <c r="G246" s="1315" t="s">
        <v>3</v>
      </c>
      <c r="H246" s="1312">
        <v>4</v>
      </c>
      <c r="I246" s="1314" t="s">
        <v>45</v>
      </c>
      <c r="J246" s="184">
        <v>110</v>
      </c>
      <c r="K246" s="75">
        <v>360</v>
      </c>
      <c r="L246" s="75">
        <v>2250</v>
      </c>
      <c r="M246" s="191">
        <v>36.406909583057143</v>
      </c>
      <c r="N246" s="87">
        <v>2149.4656293549115</v>
      </c>
      <c r="O246" s="123">
        <v>59650.770307471095</v>
      </c>
      <c r="P246" s="121">
        <v>70057.309670392293</v>
      </c>
      <c r="Q246" s="310">
        <v>30701.218686386295</v>
      </c>
      <c r="R246" s="319">
        <v>90351.988993857391</v>
      </c>
      <c r="S246" s="315">
        <v>100758.52835677858</v>
      </c>
      <c r="U246" s="7" t="s">
        <v>5114</v>
      </c>
    </row>
    <row r="247" spans="1:21" ht="16.5" thickBot="1">
      <c r="A247" s="1311" t="s">
        <v>4588</v>
      </c>
      <c r="B247" s="1315">
        <f t="shared" si="12"/>
        <v>110</v>
      </c>
      <c r="C247" s="1315" t="s">
        <v>3</v>
      </c>
      <c r="D247" s="1315">
        <f t="shared" si="13"/>
        <v>360</v>
      </c>
      <c r="E247" s="1315" t="s">
        <v>3</v>
      </c>
      <c r="F247" s="1313">
        <f t="shared" si="14"/>
        <v>2300</v>
      </c>
      <c r="G247" s="1315" t="s">
        <v>3</v>
      </c>
      <c r="H247" s="1312">
        <v>4</v>
      </c>
      <c r="I247" s="1314" t="s">
        <v>45</v>
      </c>
      <c r="J247" s="184">
        <v>110</v>
      </c>
      <c r="K247" s="75">
        <v>360</v>
      </c>
      <c r="L247" s="75">
        <v>2300</v>
      </c>
      <c r="M247" s="191">
        <v>37.169228275264828</v>
      </c>
      <c r="N247" s="87">
        <v>2206.0305143379355</v>
      </c>
      <c r="O247" s="123">
        <v>60750.115057186209</v>
      </c>
      <c r="P247" s="121">
        <v>71355.06393572691</v>
      </c>
      <c r="Q247" s="310">
        <v>31254.815827889219</v>
      </c>
      <c r="R247" s="319">
        <v>92004.930885075431</v>
      </c>
      <c r="S247" s="315">
        <v>102609.87976361613</v>
      </c>
      <c r="U247" s="7" t="s">
        <v>5115</v>
      </c>
    </row>
    <row r="248" spans="1:21" ht="16.5" thickBot="1">
      <c r="A248" s="1311" t="s">
        <v>4588</v>
      </c>
      <c r="B248" s="1315">
        <f t="shared" si="12"/>
        <v>110</v>
      </c>
      <c r="C248" s="1315" t="s">
        <v>3</v>
      </c>
      <c r="D248" s="1315">
        <f t="shared" si="13"/>
        <v>360</v>
      </c>
      <c r="E248" s="1315" t="s">
        <v>3</v>
      </c>
      <c r="F248" s="1313">
        <f t="shared" si="14"/>
        <v>2350</v>
      </c>
      <c r="G248" s="1315" t="s">
        <v>3</v>
      </c>
      <c r="H248" s="1312">
        <v>4</v>
      </c>
      <c r="I248" s="1314" t="s">
        <v>45</v>
      </c>
      <c r="J248" s="184">
        <v>110</v>
      </c>
      <c r="K248" s="75">
        <v>360</v>
      </c>
      <c r="L248" s="75">
        <v>2350</v>
      </c>
      <c r="M248" s="191">
        <v>37.931546967472535</v>
      </c>
      <c r="N248" s="87">
        <v>2262.5953993209596</v>
      </c>
      <c r="O248" s="123">
        <v>61849.459947294694</v>
      </c>
      <c r="P248" s="121">
        <v>72652.818201061513</v>
      </c>
      <c r="Q248" s="310">
        <v>32038.99474717542</v>
      </c>
      <c r="R248" s="319">
        <v>93888.454694470114</v>
      </c>
      <c r="S248" s="315">
        <v>104691.81294823694</v>
      </c>
      <c r="U248" s="7" t="s">
        <v>5116</v>
      </c>
    </row>
    <row r="249" spans="1:21" ht="16.5" thickBot="1">
      <c r="A249" s="1311" t="s">
        <v>4588</v>
      </c>
      <c r="B249" s="1315">
        <f t="shared" si="12"/>
        <v>110</v>
      </c>
      <c r="C249" s="1315" t="s">
        <v>3</v>
      </c>
      <c r="D249" s="1315">
        <f t="shared" si="13"/>
        <v>360</v>
      </c>
      <c r="E249" s="1315" t="s">
        <v>3</v>
      </c>
      <c r="F249" s="1313">
        <f t="shared" si="14"/>
        <v>2400</v>
      </c>
      <c r="G249" s="1315" t="s">
        <v>3</v>
      </c>
      <c r="H249" s="1312">
        <v>4</v>
      </c>
      <c r="I249" s="1314" t="s">
        <v>45</v>
      </c>
      <c r="J249" s="184">
        <v>110</v>
      </c>
      <c r="K249" s="75">
        <v>360</v>
      </c>
      <c r="L249" s="75">
        <v>2400</v>
      </c>
      <c r="M249" s="191">
        <v>38.69386565968022</v>
      </c>
      <c r="N249" s="87">
        <v>2319.1602843039832</v>
      </c>
      <c r="O249" s="123">
        <v>62948.8046970098</v>
      </c>
      <c r="P249" s="121">
        <v>73950.57246639613</v>
      </c>
      <c r="Q249" s="310">
        <v>32592.591888678344</v>
      </c>
      <c r="R249" s="319">
        <v>95541.39658568814</v>
      </c>
      <c r="S249" s="315">
        <v>106543.16435507448</v>
      </c>
      <c r="U249" s="7" t="s">
        <v>5117</v>
      </c>
    </row>
    <row r="250" spans="1:21" ht="16.5" thickBot="1">
      <c r="A250" s="1311" t="s">
        <v>4588</v>
      </c>
      <c r="B250" s="1315">
        <f t="shared" si="12"/>
        <v>110</v>
      </c>
      <c r="C250" s="1315" t="s">
        <v>3</v>
      </c>
      <c r="D250" s="1315">
        <f t="shared" si="13"/>
        <v>360</v>
      </c>
      <c r="E250" s="1315" t="s">
        <v>3</v>
      </c>
      <c r="F250" s="1313">
        <f t="shared" si="14"/>
        <v>2450</v>
      </c>
      <c r="G250" s="1315" t="s">
        <v>3</v>
      </c>
      <c r="H250" s="1312">
        <v>4</v>
      </c>
      <c r="I250" s="1314" t="s">
        <v>45</v>
      </c>
      <c r="J250" s="184">
        <v>110</v>
      </c>
      <c r="K250" s="75">
        <v>360</v>
      </c>
      <c r="L250" s="75">
        <v>2450</v>
      </c>
      <c r="M250" s="191">
        <v>39.456184351887927</v>
      </c>
      <c r="N250" s="87">
        <v>2375.7251692870077</v>
      </c>
      <c r="O250" s="123">
        <v>64048.149587118271</v>
      </c>
      <c r="P250" s="121">
        <v>75248.326731730747</v>
      </c>
      <c r="Q250" s="310">
        <v>33376.770807964545</v>
      </c>
      <c r="R250" s="319">
        <v>97424.920395082823</v>
      </c>
      <c r="S250" s="315">
        <v>108625.0975396953</v>
      </c>
      <c r="U250" s="7" t="s">
        <v>5118</v>
      </c>
    </row>
    <row r="251" spans="1:21" ht="16.5" thickBot="1">
      <c r="A251" s="1311" t="s">
        <v>4588</v>
      </c>
      <c r="B251" s="1315">
        <f t="shared" si="12"/>
        <v>110</v>
      </c>
      <c r="C251" s="1315" t="s">
        <v>3</v>
      </c>
      <c r="D251" s="1315">
        <f t="shared" si="13"/>
        <v>360</v>
      </c>
      <c r="E251" s="1315" t="s">
        <v>3</v>
      </c>
      <c r="F251" s="1313">
        <f t="shared" si="14"/>
        <v>2500</v>
      </c>
      <c r="G251" s="1315" t="s">
        <v>3</v>
      </c>
      <c r="H251" s="1312">
        <v>4</v>
      </c>
      <c r="I251" s="1314" t="s">
        <v>45</v>
      </c>
      <c r="J251" s="184">
        <v>110</v>
      </c>
      <c r="K251" s="75">
        <v>360</v>
      </c>
      <c r="L251" s="75">
        <v>2500</v>
      </c>
      <c r="M251" s="191">
        <v>40.632838644095621</v>
      </c>
      <c r="N251" s="87">
        <v>2432.2900542700313</v>
      </c>
      <c r="O251" s="123">
        <v>65939.83123362773</v>
      </c>
      <c r="P251" s="121">
        <v>77577.111178948137</v>
      </c>
      <c r="Q251" s="310">
        <v>33930.367949467472</v>
      </c>
      <c r="R251" s="319">
        <v>99870.199183095203</v>
      </c>
      <c r="S251" s="315">
        <v>111507.47912841561</v>
      </c>
      <c r="U251" s="7" t="s">
        <v>5119</v>
      </c>
    </row>
    <row r="252" spans="1:21" ht="16.5" thickBot="1">
      <c r="A252" s="1311" t="s">
        <v>4588</v>
      </c>
      <c r="B252" s="1315">
        <f t="shared" si="12"/>
        <v>110</v>
      </c>
      <c r="C252" s="1315" t="s">
        <v>3</v>
      </c>
      <c r="D252" s="1315">
        <f t="shared" si="13"/>
        <v>360</v>
      </c>
      <c r="E252" s="1315" t="s">
        <v>3</v>
      </c>
      <c r="F252" s="1313">
        <f t="shared" si="14"/>
        <v>2550</v>
      </c>
      <c r="G252" s="1315" t="s">
        <v>3</v>
      </c>
      <c r="H252" s="1312">
        <v>4</v>
      </c>
      <c r="I252" s="1314" t="s">
        <v>45</v>
      </c>
      <c r="J252" s="184">
        <v>110</v>
      </c>
      <c r="K252" s="75">
        <v>360</v>
      </c>
      <c r="L252" s="75">
        <v>2550</v>
      </c>
      <c r="M252" s="191">
        <v>41.395157336303328</v>
      </c>
      <c r="N252" s="87">
        <v>2488.8549392530558</v>
      </c>
      <c r="O252" s="123">
        <v>67402.373471736981</v>
      </c>
      <c r="P252" s="121">
        <v>78888.904780532743</v>
      </c>
      <c r="Q252" s="310">
        <v>34714.547009147034</v>
      </c>
      <c r="R252" s="319">
        <v>102116.92048088401</v>
      </c>
      <c r="S252" s="315">
        <v>113603.45178967978</v>
      </c>
      <c r="U252" s="7" t="s">
        <v>5120</v>
      </c>
    </row>
    <row r="253" spans="1:21" ht="16.5" thickBot="1">
      <c r="A253" s="1311" t="s">
        <v>4588</v>
      </c>
      <c r="B253" s="1312">
        <f t="shared" si="12"/>
        <v>110</v>
      </c>
      <c r="C253" s="1312" t="s">
        <v>3</v>
      </c>
      <c r="D253" s="1312">
        <f t="shared" si="13"/>
        <v>360</v>
      </c>
      <c r="E253" s="1312" t="s">
        <v>3</v>
      </c>
      <c r="F253" s="1313">
        <f t="shared" si="14"/>
        <v>2600</v>
      </c>
      <c r="G253" s="1312" t="s">
        <v>3</v>
      </c>
      <c r="H253" s="1312">
        <v>4</v>
      </c>
      <c r="I253" s="1314" t="s">
        <v>45</v>
      </c>
      <c r="J253" s="184">
        <v>110</v>
      </c>
      <c r="K253" s="75">
        <v>360</v>
      </c>
      <c r="L253" s="75">
        <v>2600</v>
      </c>
      <c r="M253" s="191">
        <v>42.15747602851102</v>
      </c>
      <c r="N253" s="87">
        <v>2545.4198242360794</v>
      </c>
      <c r="O253" s="123">
        <v>68501.718221452102</v>
      </c>
      <c r="P253" s="121">
        <v>80186.65904586736</v>
      </c>
      <c r="Q253" s="310">
        <v>35268.144150649961</v>
      </c>
      <c r="R253" s="319">
        <v>103769.86237210207</v>
      </c>
      <c r="S253" s="315">
        <v>115454.80319651731</v>
      </c>
      <c r="U253" s="7" t="s">
        <v>5121</v>
      </c>
    </row>
    <row r="254" spans="1:21" ht="16.5" thickBot="1">
      <c r="A254" s="1311" t="s">
        <v>4588</v>
      </c>
      <c r="B254" s="1315">
        <f t="shared" si="12"/>
        <v>110</v>
      </c>
      <c r="C254" s="1315" t="s">
        <v>3</v>
      </c>
      <c r="D254" s="1315">
        <f t="shared" si="13"/>
        <v>360</v>
      </c>
      <c r="E254" s="1315" t="s">
        <v>3</v>
      </c>
      <c r="F254" s="1313">
        <f t="shared" si="14"/>
        <v>2650</v>
      </c>
      <c r="G254" s="1315" t="s">
        <v>3</v>
      </c>
      <c r="H254" s="1312">
        <v>4</v>
      </c>
      <c r="I254" s="1314" t="s">
        <v>45</v>
      </c>
      <c r="J254" s="184">
        <v>110</v>
      </c>
      <c r="K254" s="75">
        <v>360</v>
      </c>
      <c r="L254" s="75">
        <v>2650</v>
      </c>
      <c r="M254" s="191">
        <v>42.919794720718713</v>
      </c>
      <c r="N254" s="87">
        <v>2601.9847092191035</v>
      </c>
      <c r="O254" s="123">
        <v>69601.063111560579</v>
      </c>
      <c r="P254" s="121">
        <v>81484.413311201977</v>
      </c>
      <c r="Q254" s="310">
        <v>36052.323069936159</v>
      </c>
      <c r="R254" s="319">
        <v>105653.38618149674</v>
      </c>
      <c r="S254" s="315">
        <v>117536.73638113814</v>
      </c>
      <c r="U254" s="7" t="s">
        <v>5122</v>
      </c>
    </row>
    <row r="255" spans="1:21" ht="16.5" thickBot="1">
      <c r="A255" s="1311" t="s">
        <v>4588</v>
      </c>
      <c r="B255" s="1315">
        <f t="shared" si="12"/>
        <v>110</v>
      </c>
      <c r="C255" s="1315" t="s">
        <v>3</v>
      </c>
      <c r="D255" s="1315">
        <f t="shared" si="13"/>
        <v>360</v>
      </c>
      <c r="E255" s="1315" t="s">
        <v>3</v>
      </c>
      <c r="F255" s="1313">
        <f t="shared" si="14"/>
        <v>2700</v>
      </c>
      <c r="G255" s="1315" t="s">
        <v>3</v>
      </c>
      <c r="H255" s="1312">
        <v>4</v>
      </c>
      <c r="I255" s="1314" t="s">
        <v>45</v>
      </c>
      <c r="J255" s="184">
        <v>110</v>
      </c>
      <c r="K255" s="75">
        <v>360</v>
      </c>
      <c r="L255" s="75">
        <v>2700</v>
      </c>
      <c r="M255" s="191">
        <v>43.682113412926412</v>
      </c>
      <c r="N255" s="87">
        <v>2658.5495942021275</v>
      </c>
      <c r="O255" s="123">
        <v>70700.407861275686</v>
      </c>
      <c r="P255" s="121">
        <v>82782.167576536594</v>
      </c>
      <c r="Q255" s="310">
        <v>36605.920211439086</v>
      </c>
      <c r="R255" s="319">
        <v>107306.32807271476</v>
      </c>
      <c r="S255" s="315">
        <v>119388.08778797567</v>
      </c>
      <c r="U255" s="7" t="s">
        <v>5123</v>
      </c>
    </row>
    <row r="256" spans="1:21" ht="16.5" thickBot="1">
      <c r="A256" s="1311" t="s">
        <v>4588</v>
      </c>
      <c r="B256" s="1315">
        <f t="shared" si="12"/>
        <v>110</v>
      </c>
      <c r="C256" s="1315" t="s">
        <v>3</v>
      </c>
      <c r="D256" s="1315">
        <f t="shared" si="13"/>
        <v>360</v>
      </c>
      <c r="E256" s="1315" t="s">
        <v>3</v>
      </c>
      <c r="F256" s="1313">
        <f t="shared" si="14"/>
        <v>2750</v>
      </c>
      <c r="G256" s="1315" t="s">
        <v>3</v>
      </c>
      <c r="H256" s="1312">
        <v>4</v>
      </c>
      <c r="I256" s="1314" t="s">
        <v>45</v>
      </c>
      <c r="J256" s="184">
        <v>110</v>
      </c>
      <c r="K256" s="75">
        <v>360</v>
      </c>
      <c r="L256" s="75">
        <v>2750</v>
      </c>
      <c r="M256" s="191">
        <v>44.444432105134098</v>
      </c>
      <c r="N256" s="87">
        <v>2715.1144791851516</v>
      </c>
      <c r="O256" s="123">
        <v>71799.752751384163</v>
      </c>
      <c r="P256" s="121">
        <v>84079.921841871197</v>
      </c>
      <c r="Q256" s="310">
        <v>37159.517352942006</v>
      </c>
      <c r="R256" s="319">
        <v>108959.27010432616</v>
      </c>
      <c r="S256" s="315">
        <v>121239.4391948132</v>
      </c>
      <c r="U256" s="7" t="s">
        <v>5124</v>
      </c>
    </row>
    <row r="257" spans="1:21" ht="16.5" thickBot="1">
      <c r="A257" s="1311" t="s">
        <v>4588</v>
      </c>
      <c r="B257" s="1315">
        <f t="shared" si="12"/>
        <v>110</v>
      </c>
      <c r="C257" s="1315" t="s">
        <v>3</v>
      </c>
      <c r="D257" s="1315">
        <f t="shared" si="13"/>
        <v>360</v>
      </c>
      <c r="E257" s="1315" t="s">
        <v>3</v>
      </c>
      <c r="F257" s="1313">
        <f t="shared" si="14"/>
        <v>2800</v>
      </c>
      <c r="G257" s="1315" t="s">
        <v>3</v>
      </c>
      <c r="H257" s="1312">
        <v>4</v>
      </c>
      <c r="I257" s="1314" t="s">
        <v>45</v>
      </c>
      <c r="J257" s="184">
        <v>110</v>
      </c>
      <c r="K257" s="75">
        <v>360</v>
      </c>
      <c r="L257" s="75">
        <v>2800</v>
      </c>
      <c r="M257" s="191">
        <v>45.206750797341819</v>
      </c>
      <c r="N257" s="87">
        <v>2771.6793641681757</v>
      </c>
      <c r="O257" s="123">
        <v>72899.09750109927</v>
      </c>
      <c r="P257" s="121">
        <v>85377.676107205814</v>
      </c>
      <c r="Q257" s="310">
        <v>37943.696272228204</v>
      </c>
      <c r="R257" s="319">
        <v>110842.79377332747</v>
      </c>
      <c r="S257" s="315">
        <v>123321.37237943402</v>
      </c>
      <c r="U257" s="7" t="s">
        <v>5125</v>
      </c>
    </row>
    <row r="258" spans="1:21" ht="16.5" thickBot="1">
      <c r="A258" s="1311" t="s">
        <v>4588</v>
      </c>
      <c r="B258" s="1315">
        <f t="shared" si="12"/>
        <v>110</v>
      </c>
      <c r="C258" s="1315" t="s">
        <v>3</v>
      </c>
      <c r="D258" s="1315">
        <f t="shared" si="13"/>
        <v>360</v>
      </c>
      <c r="E258" s="1315" t="s">
        <v>3</v>
      </c>
      <c r="F258" s="1313">
        <f t="shared" si="14"/>
        <v>2850</v>
      </c>
      <c r="G258" s="1315" t="s">
        <v>3</v>
      </c>
      <c r="H258" s="1312">
        <v>4</v>
      </c>
      <c r="I258" s="1314" t="s">
        <v>45</v>
      </c>
      <c r="J258" s="184">
        <v>110</v>
      </c>
      <c r="K258" s="75">
        <v>360</v>
      </c>
      <c r="L258" s="75">
        <v>2850</v>
      </c>
      <c r="M258" s="191">
        <v>45.969069489549504</v>
      </c>
      <c r="N258" s="87">
        <v>2828.2442491511993</v>
      </c>
      <c r="O258" s="123">
        <v>73998.442391207762</v>
      </c>
      <c r="P258" s="121">
        <v>86675.430372540432</v>
      </c>
      <c r="Q258" s="310">
        <v>38497.293413731131</v>
      </c>
      <c r="R258" s="319">
        <v>112495.73580493889</v>
      </c>
      <c r="S258" s="315">
        <v>125172.72378627156</v>
      </c>
      <c r="U258" s="7" t="s">
        <v>5126</v>
      </c>
    </row>
    <row r="259" spans="1:21" ht="16.5" thickBot="1">
      <c r="A259" s="1311" t="s">
        <v>4588</v>
      </c>
      <c r="B259" s="1315">
        <f t="shared" si="12"/>
        <v>110</v>
      </c>
      <c r="C259" s="1315" t="s">
        <v>3</v>
      </c>
      <c r="D259" s="1315">
        <f t="shared" si="13"/>
        <v>360</v>
      </c>
      <c r="E259" s="1315" t="s">
        <v>3</v>
      </c>
      <c r="F259" s="1313">
        <f t="shared" si="14"/>
        <v>2900</v>
      </c>
      <c r="G259" s="1315" t="s">
        <v>3</v>
      </c>
      <c r="H259" s="1312">
        <v>4</v>
      </c>
      <c r="I259" s="1314" t="s">
        <v>45</v>
      </c>
      <c r="J259" s="184">
        <v>110</v>
      </c>
      <c r="K259" s="75">
        <v>360</v>
      </c>
      <c r="L259" s="75">
        <v>2900</v>
      </c>
      <c r="M259" s="191">
        <v>46.731388181757204</v>
      </c>
      <c r="N259" s="87">
        <v>2884.8091341342233</v>
      </c>
      <c r="O259" s="123">
        <v>75097.787140922868</v>
      </c>
      <c r="P259" s="121">
        <v>87973.184637875034</v>
      </c>
      <c r="Q259" s="310">
        <v>39281.472333017329</v>
      </c>
      <c r="R259" s="319">
        <v>114379.2594739402</v>
      </c>
      <c r="S259" s="315">
        <v>127254.65697089236</v>
      </c>
      <c r="U259" s="7" t="s">
        <v>5127</v>
      </c>
    </row>
    <row r="260" spans="1:21" ht="16.5" thickBot="1">
      <c r="A260" s="1311" t="s">
        <v>4588</v>
      </c>
      <c r="B260" s="1315">
        <f t="shared" si="12"/>
        <v>110</v>
      </c>
      <c r="C260" s="1315" t="s">
        <v>3</v>
      </c>
      <c r="D260" s="1315">
        <f t="shared" si="13"/>
        <v>360</v>
      </c>
      <c r="E260" s="1315" t="s">
        <v>3</v>
      </c>
      <c r="F260" s="1313">
        <f t="shared" si="14"/>
        <v>2950</v>
      </c>
      <c r="G260" s="1315" t="s">
        <v>3</v>
      </c>
      <c r="H260" s="1312">
        <v>4</v>
      </c>
      <c r="I260" s="1314" t="s">
        <v>45</v>
      </c>
      <c r="J260" s="184">
        <v>110</v>
      </c>
      <c r="K260" s="75">
        <v>360</v>
      </c>
      <c r="L260" s="75">
        <v>2950</v>
      </c>
      <c r="M260" s="191">
        <v>47.493706873964911</v>
      </c>
      <c r="N260" s="87">
        <v>2941.3740191172474</v>
      </c>
      <c r="O260" s="123">
        <v>76197.132031031346</v>
      </c>
      <c r="P260" s="121">
        <v>89270.938903209651</v>
      </c>
      <c r="Q260" s="310">
        <v>39835.069474520256</v>
      </c>
      <c r="R260" s="319">
        <v>116032.20150555161</v>
      </c>
      <c r="S260" s="315">
        <v>129106.00837772992</v>
      </c>
      <c r="U260" s="7" t="s">
        <v>5128</v>
      </c>
    </row>
    <row r="261" spans="1:21" ht="16.5" thickBot="1">
      <c r="A261" s="1316" t="s">
        <v>4588</v>
      </c>
      <c r="B261" s="1317">
        <f t="shared" si="12"/>
        <v>110</v>
      </c>
      <c r="C261" s="1317" t="s">
        <v>3</v>
      </c>
      <c r="D261" s="1317">
        <f t="shared" si="13"/>
        <v>360</v>
      </c>
      <c r="E261" s="1317" t="s">
        <v>3</v>
      </c>
      <c r="F261" s="1318">
        <f t="shared" si="14"/>
        <v>3000</v>
      </c>
      <c r="G261" s="1317" t="s">
        <v>3</v>
      </c>
      <c r="H261" s="1319">
        <v>4</v>
      </c>
      <c r="I261" s="1320" t="s">
        <v>45</v>
      </c>
      <c r="J261" s="321">
        <v>110</v>
      </c>
      <c r="K261" s="322">
        <v>360</v>
      </c>
      <c r="L261" s="322">
        <v>3000</v>
      </c>
      <c r="M261" s="337">
        <v>48.536955166172596</v>
      </c>
      <c r="N261" s="306">
        <v>2997.9389041002714</v>
      </c>
      <c r="O261" s="307">
        <v>77560.101821114455</v>
      </c>
      <c r="P261" s="336">
        <v>90832.318208912271</v>
      </c>
      <c r="Q261" s="323">
        <v>40619.248393806454</v>
      </c>
      <c r="R261" s="324">
        <v>118179.35021492091</v>
      </c>
      <c r="S261" s="325">
        <v>131451.56660271873</v>
      </c>
      <c r="U261" s="7" t="s">
        <v>5129</v>
      </c>
    </row>
    <row r="262" spans="1:21" ht="21.75" thickBot="1">
      <c r="A262" s="2580" t="s">
        <v>523</v>
      </c>
      <c r="B262" s="2581"/>
      <c r="C262" s="2581"/>
      <c r="D262" s="2581"/>
      <c r="E262" s="2581"/>
      <c r="F262" s="2581"/>
      <c r="G262" s="2581"/>
      <c r="H262" s="2581"/>
      <c r="I262" s="2581"/>
      <c r="J262" s="2581"/>
      <c r="K262" s="2581"/>
      <c r="L262" s="2581"/>
      <c r="M262" s="2581"/>
      <c r="N262" s="2581"/>
      <c r="O262" s="2581"/>
      <c r="P262" s="2581"/>
      <c r="Q262" s="2581"/>
      <c r="R262" s="2581"/>
      <c r="S262" s="2582"/>
      <c r="U262" s="7"/>
    </row>
    <row r="263" spans="1:21" ht="16.5" thickBot="1">
      <c r="A263" s="2583" t="s">
        <v>4589</v>
      </c>
      <c r="B263" s="2584"/>
      <c r="C263" s="2584"/>
      <c r="D263" s="2584"/>
      <c r="E263" s="2584"/>
      <c r="F263" s="2584"/>
      <c r="G263" s="2584"/>
      <c r="H263" s="2584"/>
      <c r="I263" s="2584"/>
      <c r="J263" s="2584"/>
      <c r="K263" s="2584"/>
      <c r="L263" s="2584"/>
      <c r="M263" s="2584"/>
      <c r="N263" s="2584"/>
      <c r="O263" s="2584"/>
      <c r="P263" s="2584"/>
      <c r="Q263" s="2584"/>
      <c r="R263" s="2584"/>
      <c r="S263" s="2585"/>
      <c r="U263" s="7"/>
    </row>
    <row r="264" spans="1:21" ht="16.5" thickBot="1">
      <c r="A264" s="1311" t="s">
        <v>4588</v>
      </c>
      <c r="B264" s="1312">
        <f>J264</f>
        <v>110</v>
      </c>
      <c r="C264" s="1312" t="s">
        <v>3</v>
      </c>
      <c r="D264" s="1312">
        <f>K264</f>
        <v>400</v>
      </c>
      <c r="E264" s="1312" t="s">
        <v>3</v>
      </c>
      <c r="F264" s="1313">
        <f>L264</f>
        <v>600</v>
      </c>
      <c r="G264" s="1312" t="s">
        <v>3</v>
      </c>
      <c r="H264" s="1312">
        <v>4</v>
      </c>
      <c r="I264" s="1314" t="s">
        <v>45</v>
      </c>
      <c r="J264" s="326">
        <v>110</v>
      </c>
      <c r="K264" s="327">
        <v>400</v>
      </c>
      <c r="L264" s="327">
        <v>600</v>
      </c>
      <c r="M264" s="338">
        <v>11.34005629893996</v>
      </c>
      <c r="N264" s="302">
        <v>295.74414864368867</v>
      </c>
      <c r="O264" s="303">
        <v>22234.268660600705</v>
      </c>
      <c r="P264" s="331">
        <v>26871.282282045155</v>
      </c>
      <c r="Q264" s="328">
        <v>9871.7007401553401</v>
      </c>
      <c r="R264" s="329">
        <v>32105.969400756047</v>
      </c>
      <c r="S264" s="330">
        <v>36742.983022200497</v>
      </c>
      <c r="U264" s="7" t="s">
        <v>5130</v>
      </c>
    </row>
    <row r="265" spans="1:21" ht="16.5" thickBot="1">
      <c r="A265" s="1311" t="s">
        <v>4588</v>
      </c>
      <c r="B265" s="1315">
        <f t="shared" ref="B265:B312" si="15">J265</f>
        <v>110</v>
      </c>
      <c r="C265" s="1315" t="s">
        <v>3</v>
      </c>
      <c r="D265" s="1315">
        <f t="shared" ref="D265:D312" si="16">K265</f>
        <v>400</v>
      </c>
      <c r="E265" s="1315" t="s">
        <v>3</v>
      </c>
      <c r="F265" s="1313">
        <f t="shared" ref="F265:F312" si="17">L265</f>
        <v>650</v>
      </c>
      <c r="G265" s="1315" t="s">
        <v>3</v>
      </c>
      <c r="H265" s="1312">
        <v>4</v>
      </c>
      <c r="I265" s="1314" t="s">
        <v>45</v>
      </c>
      <c r="J265" s="184">
        <v>110</v>
      </c>
      <c r="K265" s="75">
        <v>400</v>
      </c>
      <c r="L265" s="75">
        <v>650</v>
      </c>
      <c r="M265" s="191">
        <v>12.142283721042396</v>
      </c>
      <c r="N265" s="87">
        <v>354.8929783724264</v>
      </c>
      <c r="O265" s="123">
        <v>23353.202215398578</v>
      </c>
      <c r="P265" s="121">
        <v>28202.308651145369</v>
      </c>
      <c r="Q265" s="310">
        <v>10474.092577548676</v>
      </c>
      <c r="R265" s="319">
        <v>33827.294792947258</v>
      </c>
      <c r="S265" s="315">
        <v>38676.401228694041</v>
      </c>
      <c r="U265" s="7" t="s">
        <v>5131</v>
      </c>
    </row>
    <row r="266" spans="1:21" ht="16.5" thickBot="1">
      <c r="A266" s="1311" t="s">
        <v>4588</v>
      </c>
      <c r="B266" s="1315">
        <f t="shared" si="15"/>
        <v>110</v>
      </c>
      <c r="C266" s="1315" t="s">
        <v>3</v>
      </c>
      <c r="D266" s="1315">
        <f t="shared" si="16"/>
        <v>400</v>
      </c>
      <c r="E266" s="1315" t="s">
        <v>3</v>
      </c>
      <c r="F266" s="1313">
        <f t="shared" si="17"/>
        <v>700</v>
      </c>
      <c r="G266" s="1315" t="s">
        <v>3</v>
      </c>
      <c r="H266" s="1312">
        <v>4</v>
      </c>
      <c r="I266" s="1314" t="s">
        <v>45</v>
      </c>
      <c r="J266" s="184">
        <v>110</v>
      </c>
      <c r="K266" s="75">
        <v>400</v>
      </c>
      <c r="L266" s="75">
        <v>700</v>
      </c>
      <c r="M266" s="191">
        <v>12.94451114314483</v>
      </c>
      <c r="N266" s="87">
        <v>414.04180810116412</v>
      </c>
      <c r="O266" s="123">
        <v>24472.135770196732</v>
      </c>
      <c r="P266" s="121">
        <v>29533.33502024558</v>
      </c>
      <c r="Q266" s="310">
        <v>11307.066052331927</v>
      </c>
      <c r="R266" s="319">
        <v>35779.201822528659</v>
      </c>
      <c r="S266" s="315">
        <v>40840.401072577508</v>
      </c>
      <c r="U266" s="7" t="s">
        <v>5132</v>
      </c>
    </row>
    <row r="267" spans="1:21" ht="16.5" thickBot="1">
      <c r="A267" s="1311" t="s">
        <v>4588</v>
      </c>
      <c r="B267" s="1315">
        <f t="shared" si="15"/>
        <v>110</v>
      </c>
      <c r="C267" s="1315" t="s">
        <v>3</v>
      </c>
      <c r="D267" s="1315">
        <f t="shared" si="16"/>
        <v>400</v>
      </c>
      <c r="E267" s="1315" t="s">
        <v>3</v>
      </c>
      <c r="F267" s="1313">
        <f t="shared" si="17"/>
        <v>750</v>
      </c>
      <c r="G267" s="1315" t="s">
        <v>3</v>
      </c>
      <c r="H267" s="1312">
        <v>4</v>
      </c>
      <c r="I267" s="1314" t="s">
        <v>45</v>
      </c>
      <c r="J267" s="184">
        <v>110</v>
      </c>
      <c r="K267" s="75">
        <v>400</v>
      </c>
      <c r="L267" s="75">
        <v>750</v>
      </c>
      <c r="M267" s="191">
        <v>13.746738565247263</v>
      </c>
      <c r="N267" s="87">
        <v>473.1906378299019</v>
      </c>
      <c r="O267" s="123">
        <v>25591.069324994744</v>
      </c>
      <c r="P267" s="121">
        <v>30864.361389345795</v>
      </c>
      <c r="Q267" s="310">
        <v>11909.457889725263</v>
      </c>
      <c r="R267" s="319">
        <v>37500.527214720008</v>
      </c>
      <c r="S267" s="315">
        <v>42773.81927907106</v>
      </c>
      <c r="U267" s="7" t="s">
        <v>5133</v>
      </c>
    </row>
    <row r="268" spans="1:21" ht="16.5" thickBot="1">
      <c r="A268" s="1311" t="s">
        <v>4588</v>
      </c>
      <c r="B268" s="1315">
        <f t="shared" si="15"/>
        <v>110</v>
      </c>
      <c r="C268" s="1315" t="s">
        <v>3</v>
      </c>
      <c r="D268" s="1315">
        <f t="shared" si="16"/>
        <v>400</v>
      </c>
      <c r="E268" s="1315" t="s">
        <v>3</v>
      </c>
      <c r="F268" s="1313">
        <f t="shared" si="17"/>
        <v>800</v>
      </c>
      <c r="G268" s="1315" t="s">
        <v>3</v>
      </c>
      <c r="H268" s="1312">
        <v>4</v>
      </c>
      <c r="I268" s="1314" t="s">
        <v>45</v>
      </c>
      <c r="J268" s="184">
        <v>110</v>
      </c>
      <c r="K268" s="75">
        <v>400</v>
      </c>
      <c r="L268" s="75">
        <v>800</v>
      </c>
      <c r="M268" s="191">
        <v>14.548965987349698</v>
      </c>
      <c r="N268" s="87">
        <v>532.33946755863963</v>
      </c>
      <c r="O268" s="123">
        <v>27074.584225561055</v>
      </c>
      <c r="P268" s="121">
        <v>32209.42709469601</v>
      </c>
      <c r="Q268" s="310">
        <v>12511.84958672524</v>
      </c>
      <c r="R268" s="319">
        <v>39586.433812286297</v>
      </c>
      <c r="S268" s="315">
        <v>44721.276681421252</v>
      </c>
      <c r="U268" s="7" t="s">
        <v>5134</v>
      </c>
    </row>
    <row r="269" spans="1:21" ht="16.5" thickBot="1">
      <c r="A269" s="1311" t="s">
        <v>4588</v>
      </c>
      <c r="B269" s="1315">
        <f t="shared" si="15"/>
        <v>110</v>
      </c>
      <c r="C269" s="1315" t="s">
        <v>3</v>
      </c>
      <c r="D269" s="1315">
        <f t="shared" si="16"/>
        <v>400</v>
      </c>
      <c r="E269" s="1315" t="s">
        <v>3</v>
      </c>
      <c r="F269" s="1313">
        <f t="shared" si="17"/>
        <v>850</v>
      </c>
      <c r="G269" s="1315" t="s">
        <v>3</v>
      </c>
      <c r="H269" s="1312">
        <v>4</v>
      </c>
      <c r="I269" s="1314" t="s">
        <v>45</v>
      </c>
      <c r="J269" s="184">
        <v>110</v>
      </c>
      <c r="K269" s="75">
        <v>400</v>
      </c>
      <c r="L269" s="75">
        <v>850</v>
      </c>
      <c r="M269" s="191">
        <v>15.351193409452133</v>
      </c>
      <c r="N269" s="87">
        <v>591.48829728737735</v>
      </c>
      <c r="O269" s="123">
        <v>28193.51778035907</v>
      </c>
      <c r="P269" s="121">
        <v>33540.453463796221</v>
      </c>
      <c r="Q269" s="310">
        <v>13344.823201901852</v>
      </c>
      <c r="R269" s="319">
        <v>41538.340982260925</v>
      </c>
      <c r="S269" s="315">
        <v>46885.276665698075</v>
      </c>
      <c r="U269" s="7" t="s">
        <v>5135</v>
      </c>
    </row>
    <row r="270" spans="1:21" ht="16.5" thickBot="1">
      <c r="A270" s="1311" t="s">
        <v>4588</v>
      </c>
      <c r="B270" s="1315">
        <f t="shared" si="15"/>
        <v>110</v>
      </c>
      <c r="C270" s="1315" t="s">
        <v>3</v>
      </c>
      <c r="D270" s="1315">
        <f t="shared" si="16"/>
        <v>400</v>
      </c>
      <c r="E270" s="1315" t="s">
        <v>3</v>
      </c>
      <c r="F270" s="1313">
        <f t="shared" si="17"/>
        <v>900</v>
      </c>
      <c r="G270" s="1315" t="s">
        <v>3</v>
      </c>
      <c r="H270" s="1312">
        <v>4</v>
      </c>
      <c r="I270" s="1314" t="s">
        <v>45</v>
      </c>
      <c r="J270" s="184">
        <v>110</v>
      </c>
      <c r="K270" s="75">
        <v>400</v>
      </c>
      <c r="L270" s="75">
        <v>900</v>
      </c>
      <c r="M270" s="191">
        <v>16.153420831554566</v>
      </c>
      <c r="N270" s="87">
        <v>650.63712701611519</v>
      </c>
      <c r="O270" s="123">
        <v>29312.451335157082</v>
      </c>
      <c r="P270" s="121">
        <v>34871.479973289795</v>
      </c>
      <c r="Q270" s="310">
        <v>13947.21489890183</v>
      </c>
      <c r="R270" s="319">
        <v>43259.66623405891</v>
      </c>
      <c r="S270" s="315">
        <v>48818.694872191627</v>
      </c>
      <c r="U270" s="7" t="s">
        <v>5136</v>
      </c>
    </row>
    <row r="271" spans="1:21" ht="16.5" thickBot="1">
      <c r="A271" s="1311" t="s">
        <v>4588</v>
      </c>
      <c r="B271" s="1315">
        <f t="shared" si="15"/>
        <v>110</v>
      </c>
      <c r="C271" s="1315" t="s">
        <v>3</v>
      </c>
      <c r="D271" s="1315">
        <f t="shared" si="16"/>
        <v>400</v>
      </c>
      <c r="E271" s="1315" t="s">
        <v>3</v>
      </c>
      <c r="F271" s="1313">
        <f t="shared" si="17"/>
        <v>950</v>
      </c>
      <c r="G271" s="1315" t="s">
        <v>3</v>
      </c>
      <c r="H271" s="1312">
        <v>4</v>
      </c>
      <c r="I271" s="1314" t="s">
        <v>45</v>
      </c>
      <c r="J271" s="184">
        <v>110</v>
      </c>
      <c r="K271" s="75">
        <v>400</v>
      </c>
      <c r="L271" s="75">
        <v>950</v>
      </c>
      <c r="M271" s="191">
        <v>16.955648253657003</v>
      </c>
      <c r="N271" s="87">
        <v>709.7859567448528</v>
      </c>
      <c r="O271" s="123">
        <v>30431.384889955094</v>
      </c>
      <c r="P271" s="121">
        <v>36202.506342390006</v>
      </c>
      <c r="Q271" s="310">
        <v>14780.188514078442</v>
      </c>
      <c r="R271" s="319">
        <v>45211.573404033537</v>
      </c>
      <c r="S271" s="315">
        <v>50982.69485646845</v>
      </c>
      <c r="U271" s="7" t="s">
        <v>5137</v>
      </c>
    </row>
    <row r="272" spans="1:21" ht="16.5" thickBot="1">
      <c r="A272" s="1311" t="s">
        <v>4588</v>
      </c>
      <c r="B272" s="1315">
        <f t="shared" si="15"/>
        <v>110</v>
      </c>
      <c r="C272" s="1315" t="s">
        <v>3</v>
      </c>
      <c r="D272" s="1315">
        <f t="shared" si="16"/>
        <v>400</v>
      </c>
      <c r="E272" s="1315" t="s">
        <v>3</v>
      </c>
      <c r="F272" s="1313">
        <f t="shared" si="17"/>
        <v>1000</v>
      </c>
      <c r="G272" s="1315" t="s">
        <v>3</v>
      </c>
      <c r="H272" s="1312">
        <v>4</v>
      </c>
      <c r="I272" s="1314" t="s">
        <v>45</v>
      </c>
      <c r="J272" s="184">
        <v>110</v>
      </c>
      <c r="K272" s="75">
        <v>400</v>
      </c>
      <c r="L272" s="75">
        <v>1000</v>
      </c>
      <c r="M272" s="191">
        <v>17.913947675759438</v>
      </c>
      <c r="N272" s="87">
        <v>768.93478647359063</v>
      </c>
      <c r="O272" s="123">
        <v>31621.525958213104</v>
      </c>
      <c r="P272" s="121">
        <v>37604.740224950219</v>
      </c>
      <c r="Q272" s="310">
        <v>15382.580351471779</v>
      </c>
      <c r="R272" s="319">
        <v>47004.106309684881</v>
      </c>
      <c r="S272" s="315">
        <v>52987.320576421997</v>
      </c>
      <c r="U272" s="7" t="s">
        <v>5138</v>
      </c>
    </row>
    <row r="273" spans="1:21" ht="16.5" thickBot="1">
      <c r="A273" s="1311" t="s">
        <v>4588</v>
      </c>
      <c r="B273" s="1315">
        <f t="shared" si="15"/>
        <v>110</v>
      </c>
      <c r="C273" s="1315" t="s">
        <v>3</v>
      </c>
      <c r="D273" s="1315">
        <f t="shared" si="16"/>
        <v>400</v>
      </c>
      <c r="E273" s="1315" t="s">
        <v>3</v>
      </c>
      <c r="F273" s="1313">
        <f t="shared" si="17"/>
        <v>1050</v>
      </c>
      <c r="G273" s="1315" t="s">
        <v>3</v>
      </c>
      <c r="H273" s="1312">
        <v>4</v>
      </c>
      <c r="I273" s="1314" t="s">
        <v>45</v>
      </c>
      <c r="J273" s="184">
        <v>110</v>
      </c>
      <c r="K273" s="75">
        <v>400</v>
      </c>
      <c r="L273" s="75">
        <v>1050</v>
      </c>
      <c r="M273" s="191">
        <v>18.716175097861871</v>
      </c>
      <c r="N273" s="87">
        <v>828.08361620232824</v>
      </c>
      <c r="O273" s="123">
        <v>32740.459513011119</v>
      </c>
      <c r="P273" s="121">
        <v>38935.76659405043</v>
      </c>
      <c r="Q273" s="310">
        <v>16215.553826255029</v>
      </c>
      <c r="R273" s="319">
        <v>48956.013339266152</v>
      </c>
      <c r="S273" s="315">
        <v>55151.320420305463</v>
      </c>
      <c r="U273" s="7" t="s">
        <v>5139</v>
      </c>
    </row>
    <row r="274" spans="1:21" ht="16.5" thickBot="1">
      <c r="A274" s="1311" t="s">
        <v>4588</v>
      </c>
      <c r="B274" s="1312">
        <f t="shared" si="15"/>
        <v>110</v>
      </c>
      <c r="C274" s="1312" t="s">
        <v>3</v>
      </c>
      <c r="D274" s="1312">
        <f t="shared" si="16"/>
        <v>400</v>
      </c>
      <c r="E274" s="1312" t="s">
        <v>3</v>
      </c>
      <c r="F274" s="1313">
        <f t="shared" si="17"/>
        <v>1100</v>
      </c>
      <c r="G274" s="1312" t="s">
        <v>3</v>
      </c>
      <c r="H274" s="1312">
        <v>4</v>
      </c>
      <c r="I274" s="1314" t="s">
        <v>45</v>
      </c>
      <c r="J274" s="184">
        <v>110</v>
      </c>
      <c r="K274" s="75">
        <v>400</v>
      </c>
      <c r="L274" s="75">
        <v>1100</v>
      </c>
      <c r="M274" s="191">
        <v>19.518402519964305</v>
      </c>
      <c r="N274" s="87">
        <v>887.23244593106597</v>
      </c>
      <c r="O274" s="123">
        <v>33859.393067809135</v>
      </c>
      <c r="P274" s="121">
        <v>40266.792963150641</v>
      </c>
      <c r="Q274" s="310">
        <v>16817.945663648366</v>
      </c>
      <c r="R274" s="319">
        <v>50677.338731457501</v>
      </c>
      <c r="S274" s="315">
        <v>57084.738626799008</v>
      </c>
      <c r="U274" s="7" t="s">
        <v>5140</v>
      </c>
    </row>
    <row r="275" spans="1:21" ht="16.5" thickBot="1">
      <c r="A275" s="1311" t="s">
        <v>4588</v>
      </c>
      <c r="B275" s="1315">
        <f t="shared" si="15"/>
        <v>110</v>
      </c>
      <c r="C275" s="1315" t="s">
        <v>3</v>
      </c>
      <c r="D275" s="1315">
        <f t="shared" si="16"/>
        <v>400</v>
      </c>
      <c r="E275" s="1315" t="s">
        <v>3</v>
      </c>
      <c r="F275" s="1313">
        <f t="shared" si="17"/>
        <v>1150</v>
      </c>
      <c r="G275" s="1315" t="s">
        <v>3</v>
      </c>
      <c r="H275" s="1312">
        <v>4</v>
      </c>
      <c r="I275" s="1314" t="s">
        <v>45</v>
      </c>
      <c r="J275" s="184">
        <v>110</v>
      </c>
      <c r="K275" s="75">
        <v>400</v>
      </c>
      <c r="L275" s="75">
        <v>1150</v>
      </c>
      <c r="M275" s="191">
        <v>20.320629942066738</v>
      </c>
      <c r="N275" s="87">
        <v>946.3812756598038</v>
      </c>
      <c r="O275" s="123">
        <v>34978.326482213786</v>
      </c>
      <c r="P275" s="121">
        <v>41597.81933225086</v>
      </c>
      <c r="Q275" s="310">
        <v>17420.33736064834</v>
      </c>
      <c r="R275" s="319">
        <v>52398.663842862123</v>
      </c>
      <c r="S275" s="315">
        <v>59018.156692899196</v>
      </c>
      <c r="U275" s="7" t="s">
        <v>5141</v>
      </c>
    </row>
    <row r="276" spans="1:21" ht="16.5" thickBot="1">
      <c r="A276" s="1311" t="s">
        <v>4588</v>
      </c>
      <c r="B276" s="1315">
        <f t="shared" si="15"/>
        <v>110</v>
      </c>
      <c r="C276" s="1315" t="s">
        <v>3</v>
      </c>
      <c r="D276" s="1315">
        <f t="shared" si="16"/>
        <v>400</v>
      </c>
      <c r="E276" s="1315" t="s">
        <v>3</v>
      </c>
      <c r="F276" s="1313">
        <f t="shared" si="17"/>
        <v>1200</v>
      </c>
      <c r="G276" s="1315" t="s">
        <v>3</v>
      </c>
      <c r="H276" s="1312">
        <v>4</v>
      </c>
      <c r="I276" s="1314" t="s">
        <v>45</v>
      </c>
      <c r="J276" s="184">
        <v>110</v>
      </c>
      <c r="K276" s="75">
        <v>400</v>
      </c>
      <c r="L276" s="75">
        <v>1200</v>
      </c>
      <c r="M276" s="191">
        <v>21.122857364169175</v>
      </c>
      <c r="N276" s="87">
        <v>1005.5301053885414</v>
      </c>
      <c r="O276" s="123">
        <v>36097.260037011794</v>
      </c>
      <c r="P276" s="121">
        <v>42928.845841744434</v>
      </c>
      <c r="Q276" s="310">
        <v>18253.310975824952</v>
      </c>
      <c r="R276" s="319">
        <v>54350.57101283675</v>
      </c>
      <c r="S276" s="315">
        <v>61182.156817569383</v>
      </c>
      <c r="U276" s="7" t="s">
        <v>5142</v>
      </c>
    </row>
    <row r="277" spans="1:21" ht="16.5" thickBot="1">
      <c r="A277" s="1311" t="s">
        <v>4588</v>
      </c>
      <c r="B277" s="1315">
        <f t="shared" si="15"/>
        <v>110</v>
      </c>
      <c r="C277" s="1315" t="s">
        <v>3</v>
      </c>
      <c r="D277" s="1315">
        <f t="shared" si="16"/>
        <v>400</v>
      </c>
      <c r="E277" s="1315" t="s">
        <v>3</v>
      </c>
      <c r="F277" s="1313">
        <f t="shared" si="17"/>
        <v>1250</v>
      </c>
      <c r="G277" s="1315" t="s">
        <v>3</v>
      </c>
      <c r="H277" s="1312">
        <v>4</v>
      </c>
      <c r="I277" s="1314" t="s">
        <v>45</v>
      </c>
      <c r="J277" s="184">
        <v>110</v>
      </c>
      <c r="K277" s="75">
        <v>400</v>
      </c>
      <c r="L277" s="75">
        <v>1250</v>
      </c>
      <c r="M277" s="191">
        <v>21.925084786271611</v>
      </c>
      <c r="N277" s="87">
        <v>1064.6789351172793</v>
      </c>
      <c r="O277" s="123">
        <v>37216.193591809802</v>
      </c>
      <c r="P277" s="121">
        <v>44259.872210844645</v>
      </c>
      <c r="Q277" s="310">
        <v>18855.702672824929</v>
      </c>
      <c r="R277" s="319">
        <v>56071.896264634735</v>
      </c>
      <c r="S277" s="315">
        <v>63115.574883669571</v>
      </c>
      <c r="U277" s="7" t="s">
        <v>5143</v>
      </c>
    </row>
    <row r="278" spans="1:21" ht="16.5" thickBot="1">
      <c r="A278" s="1311" t="s">
        <v>4588</v>
      </c>
      <c r="B278" s="1315">
        <f t="shared" si="15"/>
        <v>110</v>
      </c>
      <c r="C278" s="1315" t="s">
        <v>3</v>
      </c>
      <c r="D278" s="1315">
        <f t="shared" si="16"/>
        <v>400</v>
      </c>
      <c r="E278" s="1315" t="s">
        <v>3</v>
      </c>
      <c r="F278" s="1313">
        <f t="shared" si="17"/>
        <v>1300</v>
      </c>
      <c r="G278" s="1315" t="s">
        <v>3</v>
      </c>
      <c r="H278" s="1312">
        <v>4</v>
      </c>
      <c r="I278" s="1314" t="s">
        <v>45</v>
      </c>
      <c r="J278" s="184">
        <v>110</v>
      </c>
      <c r="K278" s="75">
        <v>400</v>
      </c>
      <c r="L278" s="75">
        <v>1300</v>
      </c>
      <c r="M278" s="191">
        <v>22.727312208374045</v>
      </c>
      <c r="N278" s="87">
        <v>1123.8277648460169</v>
      </c>
      <c r="O278" s="123">
        <v>38335.127146607825</v>
      </c>
      <c r="P278" s="121">
        <v>45590.898579944856</v>
      </c>
      <c r="Q278" s="310">
        <v>19688.676288001541</v>
      </c>
      <c r="R278" s="319">
        <v>58023.803434609363</v>
      </c>
      <c r="S278" s="315">
        <v>65279.574867946401</v>
      </c>
      <c r="U278" s="7" t="s">
        <v>5144</v>
      </c>
    </row>
    <row r="279" spans="1:21" ht="16.5" thickBot="1">
      <c r="A279" s="1311" t="s">
        <v>4588</v>
      </c>
      <c r="B279" s="1315">
        <f t="shared" si="15"/>
        <v>110</v>
      </c>
      <c r="C279" s="1315" t="s">
        <v>3</v>
      </c>
      <c r="D279" s="1315">
        <f t="shared" si="16"/>
        <v>400</v>
      </c>
      <c r="E279" s="1315" t="s">
        <v>3</v>
      </c>
      <c r="F279" s="1313">
        <f t="shared" si="17"/>
        <v>1350</v>
      </c>
      <c r="G279" s="1315" t="s">
        <v>3</v>
      </c>
      <c r="H279" s="1312">
        <v>4</v>
      </c>
      <c r="I279" s="1314" t="s">
        <v>45</v>
      </c>
      <c r="J279" s="184">
        <v>110</v>
      </c>
      <c r="K279" s="75">
        <v>400</v>
      </c>
      <c r="L279" s="75">
        <v>1350</v>
      </c>
      <c r="M279" s="191">
        <v>23.529539630476474</v>
      </c>
      <c r="N279" s="87">
        <v>1182.9765945747547</v>
      </c>
      <c r="O279" s="123">
        <v>39454.060701405833</v>
      </c>
      <c r="P279" s="121">
        <v>46921.924949045075</v>
      </c>
      <c r="Q279" s="310">
        <v>20291.067985001515</v>
      </c>
      <c r="R279" s="319">
        <v>59745.128686407348</v>
      </c>
      <c r="S279" s="315">
        <v>67212.99293404659</v>
      </c>
      <c r="U279" s="7" t="s">
        <v>5145</v>
      </c>
    </row>
    <row r="280" spans="1:21" ht="16.5" thickBot="1">
      <c r="A280" s="1311" t="s">
        <v>4588</v>
      </c>
      <c r="B280" s="1315">
        <f t="shared" si="15"/>
        <v>110</v>
      </c>
      <c r="C280" s="1315" t="s">
        <v>3</v>
      </c>
      <c r="D280" s="1315">
        <f t="shared" si="16"/>
        <v>400</v>
      </c>
      <c r="E280" s="1315" t="s">
        <v>3</v>
      </c>
      <c r="F280" s="1313">
        <f t="shared" si="17"/>
        <v>1400</v>
      </c>
      <c r="G280" s="1315" t="s">
        <v>3</v>
      </c>
      <c r="H280" s="1312">
        <v>4</v>
      </c>
      <c r="I280" s="1314" t="s">
        <v>45</v>
      </c>
      <c r="J280" s="184">
        <v>110</v>
      </c>
      <c r="K280" s="75">
        <v>400</v>
      </c>
      <c r="L280" s="75">
        <v>1400</v>
      </c>
      <c r="M280" s="191">
        <v>24.331767052578915</v>
      </c>
      <c r="N280" s="87">
        <v>1242.1254243034925</v>
      </c>
      <c r="O280" s="123">
        <v>40572.994256203849</v>
      </c>
      <c r="P280" s="121">
        <v>48252.951318145286</v>
      </c>
      <c r="Q280" s="310">
        <v>21124.04160017813</v>
      </c>
      <c r="R280" s="319">
        <v>61697.035856381975</v>
      </c>
      <c r="S280" s="315">
        <v>69376.99291832342</v>
      </c>
      <c r="U280" s="7" t="s">
        <v>5146</v>
      </c>
    </row>
    <row r="281" spans="1:21" ht="16.5" thickBot="1">
      <c r="A281" s="1311" t="s">
        <v>4588</v>
      </c>
      <c r="B281" s="1315">
        <f t="shared" si="15"/>
        <v>110</v>
      </c>
      <c r="C281" s="1315" t="s">
        <v>3</v>
      </c>
      <c r="D281" s="1315">
        <f t="shared" si="16"/>
        <v>400</v>
      </c>
      <c r="E281" s="1315" t="s">
        <v>3</v>
      </c>
      <c r="F281" s="1313">
        <f t="shared" si="17"/>
        <v>1450</v>
      </c>
      <c r="G281" s="1315" t="s">
        <v>3</v>
      </c>
      <c r="H281" s="1312">
        <v>4</v>
      </c>
      <c r="I281" s="1314" t="s">
        <v>45</v>
      </c>
      <c r="J281" s="184">
        <v>110</v>
      </c>
      <c r="K281" s="75">
        <v>400</v>
      </c>
      <c r="L281" s="75">
        <v>1450</v>
      </c>
      <c r="M281" s="191">
        <v>25.133994474681348</v>
      </c>
      <c r="N281" s="87">
        <v>1301.2742540322304</v>
      </c>
      <c r="O281" s="123">
        <v>41691.927811001857</v>
      </c>
      <c r="P281" s="121">
        <v>49583.977687245497</v>
      </c>
      <c r="Q281" s="310">
        <v>21726.433297178104</v>
      </c>
      <c r="R281" s="319">
        <v>63418.361108179961</v>
      </c>
      <c r="S281" s="315">
        <v>71310.410984423594</v>
      </c>
      <c r="U281" s="7" t="s">
        <v>5147</v>
      </c>
    </row>
    <row r="282" spans="1:21" ht="16.5" thickBot="1">
      <c r="A282" s="1311" t="s">
        <v>4588</v>
      </c>
      <c r="B282" s="1315">
        <f t="shared" si="15"/>
        <v>110</v>
      </c>
      <c r="C282" s="1315" t="s">
        <v>3</v>
      </c>
      <c r="D282" s="1315">
        <f t="shared" si="16"/>
        <v>400</v>
      </c>
      <c r="E282" s="1315" t="s">
        <v>3</v>
      </c>
      <c r="F282" s="1313">
        <f t="shared" si="17"/>
        <v>1500</v>
      </c>
      <c r="G282" s="1315" t="s">
        <v>3</v>
      </c>
      <c r="H282" s="1312">
        <v>4</v>
      </c>
      <c r="I282" s="1314" t="s">
        <v>45</v>
      </c>
      <c r="J282" s="184">
        <v>110</v>
      </c>
      <c r="K282" s="75">
        <v>400</v>
      </c>
      <c r="L282" s="75">
        <v>1500</v>
      </c>
      <c r="M282" s="191">
        <v>26.396936696783783</v>
      </c>
      <c r="N282" s="87">
        <v>1360.4230837609678</v>
      </c>
      <c r="O282" s="123">
        <v>43651.32974024018</v>
      </c>
      <c r="P282" s="121">
        <v>52020.985481092917</v>
      </c>
      <c r="Q282" s="310">
        <v>22559.406912354716</v>
      </c>
      <c r="R282" s="319">
        <v>66210.736652594904</v>
      </c>
      <c r="S282" s="315">
        <v>74580.392393447633</v>
      </c>
      <c r="U282" s="7" t="s">
        <v>5148</v>
      </c>
    </row>
    <row r="283" spans="1:21" ht="16.5" thickBot="1">
      <c r="A283" s="1311" t="s">
        <v>4588</v>
      </c>
      <c r="B283" s="1315">
        <f t="shared" si="15"/>
        <v>110</v>
      </c>
      <c r="C283" s="1315" t="s">
        <v>3</v>
      </c>
      <c r="D283" s="1315">
        <f t="shared" si="16"/>
        <v>400</v>
      </c>
      <c r="E283" s="1315" t="s">
        <v>3</v>
      </c>
      <c r="F283" s="1313">
        <f t="shared" si="17"/>
        <v>1550</v>
      </c>
      <c r="G283" s="1315" t="s">
        <v>3</v>
      </c>
      <c r="H283" s="1312">
        <v>4</v>
      </c>
      <c r="I283" s="1314" t="s">
        <v>45</v>
      </c>
      <c r="J283" s="184">
        <v>110</v>
      </c>
      <c r="K283" s="75">
        <v>400</v>
      </c>
      <c r="L283" s="75">
        <v>1550</v>
      </c>
      <c r="M283" s="191">
        <v>27.199164118886216</v>
      </c>
      <c r="N283" s="87">
        <v>1419.5719134897056</v>
      </c>
      <c r="O283" s="123">
        <v>44770.263295038196</v>
      </c>
      <c r="P283" s="121">
        <v>53352.011850193136</v>
      </c>
      <c r="Q283" s="310">
        <v>23161.79860935469</v>
      </c>
      <c r="R283" s="319">
        <v>67932.061904392889</v>
      </c>
      <c r="S283" s="315">
        <v>76513.810459547822</v>
      </c>
      <c r="U283" s="7" t="s">
        <v>5149</v>
      </c>
    </row>
    <row r="284" spans="1:21" ht="16.5" thickBot="1">
      <c r="A284" s="1311" t="s">
        <v>4588</v>
      </c>
      <c r="B284" s="1312">
        <f t="shared" si="15"/>
        <v>110</v>
      </c>
      <c r="C284" s="1312" t="s">
        <v>3</v>
      </c>
      <c r="D284" s="1312">
        <f t="shared" si="16"/>
        <v>400</v>
      </c>
      <c r="E284" s="1312" t="s">
        <v>3</v>
      </c>
      <c r="F284" s="1313">
        <f t="shared" si="17"/>
        <v>1600</v>
      </c>
      <c r="G284" s="1312" t="s">
        <v>3</v>
      </c>
      <c r="H284" s="1312">
        <v>4</v>
      </c>
      <c r="I284" s="1314" t="s">
        <v>45</v>
      </c>
      <c r="J284" s="184">
        <v>110</v>
      </c>
      <c r="K284" s="75">
        <v>400</v>
      </c>
      <c r="L284" s="75">
        <v>1600</v>
      </c>
      <c r="M284" s="191">
        <v>28.001391540988649</v>
      </c>
      <c r="N284" s="87">
        <v>1478.7207432184434</v>
      </c>
      <c r="O284" s="123">
        <v>45889.196849836211</v>
      </c>
      <c r="P284" s="121">
        <v>54683.038219293354</v>
      </c>
      <c r="Q284" s="310">
        <v>23764.190446748027</v>
      </c>
      <c r="R284" s="319">
        <v>69653.387296584231</v>
      </c>
      <c r="S284" s="315">
        <v>78447.228666041381</v>
      </c>
      <c r="U284" s="7" t="s">
        <v>5150</v>
      </c>
    </row>
    <row r="285" spans="1:21" ht="16.5" thickBot="1">
      <c r="A285" s="1311" t="s">
        <v>4588</v>
      </c>
      <c r="B285" s="1315">
        <f t="shared" si="15"/>
        <v>110</v>
      </c>
      <c r="C285" s="1315" t="s">
        <v>3</v>
      </c>
      <c r="D285" s="1315">
        <f t="shared" si="16"/>
        <v>400</v>
      </c>
      <c r="E285" s="1315" t="s">
        <v>3</v>
      </c>
      <c r="F285" s="1313">
        <f t="shared" si="17"/>
        <v>1650</v>
      </c>
      <c r="G285" s="1315" t="s">
        <v>3</v>
      </c>
      <c r="H285" s="1312">
        <v>4</v>
      </c>
      <c r="I285" s="1314" t="s">
        <v>45</v>
      </c>
      <c r="J285" s="184">
        <v>110</v>
      </c>
      <c r="K285" s="75">
        <v>400</v>
      </c>
      <c r="L285" s="75">
        <v>1650</v>
      </c>
      <c r="M285" s="191">
        <v>28.803618963091086</v>
      </c>
      <c r="N285" s="87">
        <v>1537.8695729471813</v>
      </c>
      <c r="O285" s="123">
        <v>47008.130404634219</v>
      </c>
      <c r="P285" s="121">
        <v>56014.064588393558</v>
      </c>
      <c r="Q285" s="310">
        <v>24597.164061924639</v>
      </c>
      <c r="R285" s="319">
        <v>71605.294466558858</v>
      </c>
      <c r="S285" s="315">
        <v>80611.228650318197</v>
      </c>
      <c r="U285" s="7" t="s">
        <v>5151</v>
      </c>
    </row>
    <row r="286" spans="1:21" ht="16.5" thickBot="1">
      <c r="A286" s="1311" t="s">
        <v>4588</v>
      </c>
      <c r="B286" s="1315">
        <f t="shared" si="15"/>
        <v>110</v>
      </c>
      <c r="C286" s="1315" t="s">
        <v>3</v>
      </c>
      <c r="D286" s="1315">
        <f t="shared" si="16"/>
        <v>400</v>
      </c>
      <c r="E286" s="1315" t="s">
        <v>3</v>
      </c>
      <c r="F286" s="1313">
        <f t="shared" si="17"/>
        <v>1700</v>
      </c>
      <c r="G286" s="1315" t="s">
        <v>3</v>
      </c>
      <c r="H286" s="1312">
        <v>4</v>
      </c>
      <c r="I286" s="1314" t="s">
        <v>45</v>
      </c>
      <c r="J286" s="184">
        <v>110</v>
      </c>
      <c r="K286" s="75">
        <v>400</v>
      </c>
      <c r="L286" s="75">
        <v>1700</v>
      </c>
      <c r="M286" s="191">
        <v>29.605846385193523</v>
      </c>
      <c r="N286" s="87">
        <v>1597.0184026759189</v>
      </c>
      <c r="O286" s="123">
        <v>48127.063959432235</v>
      </c>
      <c r="P286" s="121">
        <v>57345.091097887132</v>
      </c>
      <c r="Q286" s="310">
        <v>25199.55575892462</v>
      </c>
      <c r="R286" s="319">
        <v>73326.619718356858</v>
      </c>
      <c r="S286" s="315">
        <v>82544.646856811756</v>
      </c>
      <c r="U286" s="7" t="s">
        <v>5152</v>
      </c>
    </row>
    <row r="287" spans="1:21" ht="16.5" thickBot="1">
      <c r="A287" s="1311" t="s">
        <v>4588</v>
      </c>
      <c r="B287" s="1315">
        <f t="shared" si="15"/>
        <v>110</v>
      </c>
      <c r="C287" s="1315" t="s">
        <v>3</v>
      </c>
      <c r="D287" s="1315">
        <f t="shared" si="16"/>
        <v>400</v>
      </c>
      <c r="E287" s="1315" t="s">
        <v>3</v>
      </c>
      <c r="F287" s="1313">
        <f t="shared" si="17"/>
        <v>1750</v>
      </c>
      <c r="G287" s="1315" t="s">
        <v>3</v>
      </c>
      <c r="H287" s="1312">
        <v>4</v>
      </c>
      <c r="I287" s="1314" t="s">
        <v>45</v>
      </c>
      <c r="J287" s="184">
        <v>110</v>
      </c>
      <c r="K287" s="75">
        <v>400</v>
      </c>
      <c r="L287" s="75">
        <v>1750</v>
      </c>
      <c r="M287" s="191">
        <v>30.408073807295956</v>
      </c>
      <c r="N287" s="87">
        <v>1656.1672324046565</v>
      </c>
      <c r="O287" s="123">
        <v>49245.99751423025</v>
      </c>
      <c r="P287" s="121">
        <v>58676.117466987351</v>
      </c>
      <c r="Q287" s="310">
        <v>26032.529374101232</v>
      </c>
      <c r="R287" s="319">
        <v>75278.526888331486</v>
      </c>
      <c r="S287" s="315">
        <v>84708.646841088586</v>
      </c>
      <c r="U287" s="7" t="s">
        <v>5153</v>
      </c>
    </row>
    <row r="288" spans="1:21" ht="16.5" thickBot="1">
      <c r="A288" s="1311" t="s">
        <v>4588</v>
      </c>
      <c r="B288" s="1315">
        <f t="shared" si="15"/>
        <v>110</v>
      </c>
      <c r="C288" s="1315" t="s">
        <v>3</v>
      </c>
      <c r="D288" s="1315">
        <f t="shared" si="16"/>
        <v>400</v>
      </c>
      <c r="E288" s="1315" t="s">
        <v>3</v>
      </c>
      <c r="F288" s="1313">
        <f t="shared" si="17"/>
        <v>1800</v>
      </c>
      <c r="G288" s="1315" t="s">
        <v>3</v>
      </c>
      <c r="H288" s="1312">
        <v>4</v>
      </c>
      <c r="I288" s="1314" t="s">
        <v>45</v>
      </c>
      <c r="J288" s="184">
        <v>110</v>
      </c>
      <c r="K288" s="75">
        <v>400</v>
      </c>
      <c r="L288" s="75">
        <v>1800</v>
      </c>
      <c r="M288" s="191">
        <v>31.210301229398389</v>
      </c>
      <c r="N288" s="87">
        <v>1715.3160621333943</v>
      </c>
      <c r="O288" s="123">
        <v>50364.931069028265</v>
      </c>
      <c r="P288" s="121">
        <v>60007.143836087562</v>
      </c>
      <c r="Q288" s="310">
        <v>26634.921071101206</v>
      </c>
      <c r="R288" s="319">
        <v>76999.852140129471</v>
      </c>
      <c r="S288" s="315">
        <v>86642.06490718876</v>
      </c>
      <c r="U288" s="7" t="s">
        <v>5154</v>
      </c>
    </row>
    <row r="289" spans="1:21" ht="16.5" thickBot="1">
      <c r="A289" s="1311" t="s">
        <v>4588</v>
      </c>
      <c r="B289" s="1315">
        <f t="shared" si="15"/>
        <v>110</v>
      </c>
      <c r="C289" s="1315" t="s">
        <v>3</v>
      </c>
      <c r="D289" s="1315">
        <f t="shared" si="16"/>
        <v>400</v>
      </c>
      <c r="E289" s="1315" t="s">
        <v>3</v>
      </c>
      <c r="F289" s="1313">
        <f t="shared" si="17"/>
        <v>1850</v>
      </c>
      <c r="G289" s="1315" t="s">
        <v>3</v>
      </c>
      <c r="H289" s="1312">
        <v>4</v>
      </c>
      <c r="I289" s="1314" t="s">
        <v>45</v>
      </c>
      <c r="J289" s="184">
        <v>110</v>
      </c>
      <c r="K289" s="75">
        <v>400</v>
      </c>
      <c r="L289" s="75">
        <v>1850</v>
      </c>
      <c r="M289" s="191">
        <v>32.012528651500823</v>
      </c>
      <c r="N289" s="87">
        <v>1774.4648918621319</v>
      </c>
      <c r="O289" s="123">
        <v>51483.864483432917</v>
      </c>
      <c r="P289" s="121">
        <v>61338.170205187773</v>
      </c>
      <c r="Q289" s="310">
        <v>27467.894686277818</v>
      </c>
      <c r="R289" s="319">
        <v>78951.759169710742</v>
      </c>
      <c r="S289" s="315">
        <v>88806.06489146559</v>
      </c>
      <c r="U289" s="7" t="s">
        <v>5155</v>
      </c>
    </row>
    <row r="290" spans="1:21" ht="16.5" thickBot="1">
      <c r="A290" s="1311" t="s">
        <v>4588</v>
      </c>
      <c r="B290" s="1315">
        <f t="shared" si="15"/>
        <v>110</v>
      </c>
      <c r="C290" s="1315" t="s">
        <v>3</v>
      </c>
      <c r="D290" s="1315">
        <f t="shared" si="16"/>
        <v>400</v>
      </c>
      <c r="E290" s="1315" t="s">
        <v>3</v>
      </c>
      <c r="F290" s="1313">
        <f t="shared" si="17"/>
        <v>1900</v>
      </c>
      <c r="G290" s="1315" t="s">
        <v>3</v>
      </c>
      <c r="H290" s="1312">
        <v>4</v>
      </c>
      <c r="I290" s="1314" t="s">
        <v>45</v>
      </c>
      <c r="J290" s="184">
        <v>110</v>
      </c>
      <c r="K290" s="75">
        <v>400</v>
      </c>
      <c r="L290" s="75">
        <v>1900</v>
      </c>
      <c r="M290" s="191">
        <v>32.814756073603256</v>
      </c>
      <c r="N290" s="87">
        <v>1833.6137215908698</v>
      </c>
      <c r="O290" s="123">
        <v>52602.798038230925</v>
      </c>
      <c r="P290" s="121">
        <v>62669.196574287991</v>
      </c>
      <c r="Q290" s="310">
        <v>28070.286383277791</v>
      </c>
      <c r="R290" s="319">
        <v>80673.084421508713</v>
      </c>
      <c r="S290" s="315">
        <v>90739.482957565779</v>
      </c>
      <c r="U290" s="7" t="s">
        <v>5156</v>
      </c>
    </row>
    <row r="291" spans="1:21" ht="16.5" thickBot="1">
      <c r="A291" s="1311" t="s">
        <v>4588</v>
      </c>
      <c r="B291" s="1315">
        <f t="shared" si="15"/>
        <v>110</v>
      </c>
      <c r="C291" s="1315" t="s">
        <v>3</v>
      </c>
      <c r="D291" s="1315">
        <f t="shared" si="16"/>
        <v>400</v>
      </c>
      <c r="E291" s="1315" t="s">
        <v>3</v>
      </c>
      <c r="F291" s="1313">
        <f t="shared" si="17"/>
        <v>1950</v>
      </c>
      <c r="G291" s="1315" t="s">
        <v>3</v>
      </c>
      <c r="H291" s="1312">
        <v>4</v>
      </c>
      <c r="I291" s="1314" t="s">
        <v>45</v>
      </c>
      <c r="J291" s="184">
        <v>110</v>
      </c>
      <c r="K291" s="75">
        <v>400</v>
      </c>
      <c r="L291" s="75">
        <v>1950</v>
      </c>
      <c r="M291" s="191">
        <v>33.616983495705696</v>
      </c>
      <c r="N291" s="87">
        <v>1892.7625513196076</v>
      </c>
      <c r="O291" s="123">
        <v>53721.731593028941</v>
      </c>
      <c r="P291" s="121">
        <v>64000.222943388202</v>
      </c>
      <c r="Q291" s="310">
        <v>28672.678220671129</v>
      </c>
      <c r="R291" s="319">
        <v>82394.409813700069</v>
      </c>
      <c r="S291" s="315">
        <v>92672.901164059323</v>
      </c>
      <c r="U291" s="7" t="s">
        <v>5157</v>
      </c>
    </row>
    <row r="292" spans="1:21" ht="16.5" thickBot="1">
      <c r="A292" s="1311" t="s">
        <v>4588</v>
      </c>
      <c r="B292" s="1315">
        <f t="shared" si="15"/>
        <v>110</v>
      </c>
      <c r="C292" s="1315" t="s">
        <v>3</v>
      </c>
      <c r="D292" s="1315">
        <f t="shared" si="16"/>
        <v>400</v>
      </c>
      <c r="E292" s="1315" t="s">
        <v>3</v>
      </c>
      <c r="F292" s="1313">
        <f t="shared" si="17"/>
        <v>2000</v>
      </c>
      <c r="G292" s="1315" t="s">
        <v>3</v>
      </c>
      <c r="H292" s="1312">
        <v>4</v>
      </c>
      <c r="I292" s="1314" t="s">
        <v>45</v>
      </c>
      <c r="J292" s="184">
        <v>110</v>
      </c>
      <c r="K292" s="75">
        <v>400</v>
      </c>
      <c r="L292" s="75">
        <v>2000</v>
      </c>
      <c r="M292" s="191">
        <v>34.575282917808124</v>
      </c>
      <c r="N292" s="87">
        <v>1951.9113810483452</v>
      </c>
      <c r="O292" s="123">
        <v>55315.202575105257</v>
      </c>
      <c r="P292" s="121">
        <v>65505.786481141775</v>
      </c>
      <c r="Q292" s="310">
        <v>29505.651695454384</v>
      </c>
      <c r="R292" s="319">
        <v>84820.854270559648</v>
      </c>
      <c r="S292" s="315">
        <v>95011.438176596159</v>
      </c>
      <c r="U292" s="7" t="s">
        <v>5158</v>
      </c>
    </row>
    <row r="293" spans="1:21" ht="16.5" thickBot="1">
      <c r="A293" s="1311" t="s">
        <v>4588</v>
      </c>
      <c r="B293" s="1315">
        <f t="shared" si="15"/>
        <v>110</v>
      </c>
      <c r="C293" s="1315" t="s">
        <v>3</v>
      </c>
      <c r="D293" s="1315">
        <f t="shared" si="16"/>
        <v>400</v>
      </c>
      <c r="E293" s="1315" t="s">
        <v>3</v>
      </c>
      <c r="F293" s="1313">
        <f t="shared" si="17"/>
        <v>2050</v>
      </c>
      <c r="G293" s="1315" t="s">
        <v>3</v>
      </c>
      <c r="H293" s="1312">
        <v>4</v>
      </c>
      <c r="I293" s="1314" t="s">
        <v>45</v>
      </c>
      <c r="J293" s="184">
        <v>110</v>
      </c>
      <c r="K293" s="75">
        <v>400</v>
      </c>
      <c r="L293" s="75">
        <v>2050</v>
      </c>
      <c r="M293" s="191">
        <v>35.377510339910557</v>
      </c>
      <c r="N293" s="87">
        <v>2011.0602107770828</v>
      </c>
      <c r="O293" s="123">
        <v>56434.136129903265</v>
      </c>
      <c r="P293" s="121">
        <v>66836.812850241986</v>
      </c>
      <c r="Q293" s="310">
        <v>30108.043532847722</v>
      </c>
      <c r="R293" s="319">
        <v>86542.17966275099</v>
      </c>
      <c r="S293" s="315">
        <v>96944.856383089704</v>
      </c>
      <c r="U293" s="7" t="s">
        <v>5159</v>
      </c>
    </row>
    <row r="294" spans="1:21" ht="16.5" thickBot="1">
      <c r="A294" s="1311" t="s">
        <v>4588</v>
      </c>
      <c r="B294" s="1312">
        <f t="shared" si="15"/>
        <v>110</v>
      </c>
      <c r="C294" s="1312" t="s">
        <v>3</v>
      </c>
      <c r="D294" s="1312">
        <f t="shared" si="16"/>
        <v>400</v>
      </c>
      <c r="E294" s="1312" t="s">
        <v>3</v>
      </c>
      <c r="F294" s="1313">
        <f t="shared" si="17"/>
        <v>2100</v>
      </c>
      <c r="G294" s="1312" t="s">
        <v>3</v>
      </c>
      <c r="H294" s="1312">
        <v>4</v>
      </c>
      <c r="I294" s="1314" t="s">
        <v>45</v>
      </c>
      <c r="J294" s="184">
        <v>110</v>
      </c>
      <c r="K294" s="75">
        <v>400</v>
      </c>
      <c r="L294" s="75">
        <v>2100</v>
      </c>
      <c r="M294" s="191">
        <v>36.179737762012991</v>
      </c>
      <c r="N294" s="87">
        <v>2070.2090405058207</v>
      </c>
      <c r="O294" s="123">
        <v>57553.069684701273</v>
      </c>
      <c r="P294" s="121">
        <v>68167.839219342204</v>
      </c>
      <c r="Q294" s="310">
        <v>30941.01700763097</v>
      </c>
      <c r="R294" s="319">
        <v>88494.086692332246</v>
      </c>
      <c r="S294" s="315">
        <v>99108.856226973177</v>
      </c>
      <c r="U294" s="7" t="s">
        <v>5160</v>
      </c>
    </row>
    <row r="295" spans="1:21" ht="16.5" thickBot="1">
      <c r="A295" s="1311" t="s">
        <v>4588</v>
      </c>
      <c r="B295" s="1315">
        <f t="shared" si="15"/>
        <v>110</v>
      </c>
      <c r="C295" s="1315" t="s">
        <v>3</v>
      </c>
      <c r="D295" s="1315">
        <f t="shared" si="16"/>
        <v>400</v>
      </c>
      <c r="E295" s="1315" t="s">
        <v>3</v>
      </c>
      <c r="F295" s="1313">
        <f t="shared" si="17"/>
        <v>2150</v>
      </c>
      <c r="G295" s="1315" t="s">
        <v>3</v>
      </c>
      <c r="H295" s="1312">
        <v>4</v>
      </c>
      <c r="I295" s="1314" t="s">
        <v>45</v>
      </c>
      <c r="J295" s="184">
        <v>110</v>
      </c>
      <c r="K295" s="75">
        <v>400</v>
      </c>
      <c r="L295" s="75">
        <v>2150</v>
      </c>
      <c r="M295" s="191">
        <v>36.981965184115431</v>
      </c>
      <c r="N295" s="87">
        <v>2129.3578702345585</v>
      </c>
      <c r="O295" s="123">
        <v>58672.003239499289</v>
      </c>
      <c r="P295" s="121">
        <v>69498.865588442408</v>
      </c>
      <c r="Q295" s="310">
        <v>31543.408845024307</v>
      </c>
      <c r="R295" s="319">
        <v>90215.412084523588</v>
      </c>
      <c r="S295" s="315">
        <v>101042.27443346672</v>
      </c>
      <c r="U295" s="7" t="s">
        <v>5161</v>
      </c>
    </row>
    <row r="296" spans="1:21" ht="16.5" thickBot="1">
      <c r="A296" s="1311" t="s">
        <v>4588</v>
      </c>
      <c r="B296" s="1315">
        <f t="shared" si="15"/>
        <v>110</v>
      </c>
      <c r="C296" s="1315" t="s">
        <v>3</v>
      </c>
      <c r="D296" s="1315">
        <f t="shared" si="16"/>
        <v>400</v>
      </c>
      <c r="E296" s="1315" t="s">
        <v>3</v>
      </c>
      <c r="F296" s="1313">
        <f t="shared" si="17"/>
        <v>2200</v>
      </c>
      <c r="G296" s="1315" t="s">
        <v>3</v>
      </c>
      <c r="H296" s="1312">
        <v>4</v>
      </c>
      <c r="I296" s="1314" t="s">
        <v>45</v>
      </c>
      <c r="J296" s="184">
        <v>110</v>
      </c>
      <c r="K296" s="75">
        <v>400</v>
      </c>
      <c r="L296" s="75">
        <v>2200</v>
      </c>
      <c r="M296" s="191">
        <v>37.784192606217864</v>
      </c>
      <c r="N296" s="87">
        <v>2188.5066999632963</v>
      </c>
      <c r="O296" s="123">
        <v>59790.936794297297</v>
      </c>
      <c r="P296" s="121">
        <v>70829.891957542626</v>
      </c>
      <c r="Q296" s="310">
        <v>32376.382319807555</v>
      </c>
      <c r="R296" s="319">
        <v>92167.319114104845</v>
      </c>
      <c r="S296" s="315">
        <v>103206.27427735018</v>
      </c>
      <c r="U296" s="7" t="s">
        <v>5162</v>
      </c>
    </row>
    <row r="297" spans="1:21" ht="16.5" thickBot="1">
      <c r="A297" s="1311" t="s">
        <v>4588</v>
      </c>
      <c r="B297" s="1315">
        <f t="shared" si="15"/>
        <v>110</v>
      </c>
      <c r="C297" s="1315" t="s">
        <v>3</v>
      </c>
      <c r="D297" s="1315">
        <f t="shared" si="16"/>
        <v>400</v>
      </c>
      <c r="E297" s="1315" t="s">
        <v>3</v>
      </c>
      <c r="F297" s="1313">
        <f t="shared" si="17"/>
        <v>2250</v>
      </c>
      <c r="G297" s="1315" t="s">
        <v>3</v>
      </c>
      <c r="H297" s="1312">
        <v>4</v>
      </c>
      <c r="I297" s="1314" t="s">
        <v>45</v>
      </c>
      <c r="J297" s="184">
        <v>110</v>
      </c>
      <c r="K297" s="75">
        <v>400</v>
      </c>
      <c r="L297" s="75">
        <v>2250</v>
      </c>
      <c r="M297" s="191">
        <v>38.586420028320298</v>
      </c>
      <c r="N297" s="87">
        <v>2247.6555296920337</v>
      </c>
      <c r="O297" s="123">
        <v>60909.870349095312</v>
      </c>
      <c r="P297" s="121">
        <v>72160.918326642844</v>
      </c>
      <c r="Q297" s="310">
        <v>32978.774157200758</v>
      </c>
      <c r="R297" s="319">
        <v>93888.64450629607</v>
      </c>
      <c r="S297" s="315">
        <v>105139.6924838436</v>
      </c>
      <c r="U297" s="7" t="s">
        <v>5163</v>
      </c>
    </row>
    <row r="298" spans="1:21" ht="16.5" thickBot="1">
      <c r="A298" s="1311" t="s">
        <v>4588</v>
      </c>
      <c r="B298" s="1315">
        <f t="shared" si="15"/>
        <v>110</v>
      </c>
      <c r="C298" s="1315" t="s">
        <v>3</v>
      </c>
      <c r="D298" s="1315">
        <f t="shared" si="16"/>
        <v>400</v>
      </c>
      <c r="E298" s="1315" t="s">
        <v>3</v>
      </c>
      <c r="F298" s="1313">
        <f t="shared" si="17"/>
        <v>2300</v>
      </c>
      <c r="G298" s="1315" t="s">
        <v>3</v>
      </c>
      <c r="H298" s="1312">
        <v>4</v>
      </c>
      <c r="I298" s="1314" t="s">
        <v>45</v>
      </c>
      <c r="J298" s="184">
        <v>110</v>
      </c>
      <c r="K298" s="75">
        <v>400</v>
      </c>
      <c r="L298" s="75">
        <v>2300</v>
      </c>
      <c r="M298" s="191">
        <v>39.388647450422724</v>
      </c>
      <c r="N298" s="87">
        <v>2306.8043594207716</v>
      </c>
      <c r="O298" s="123">
        <v>62028.803903893328</v>
      </c>
      <c r="P298" s="121">
        <v>73491.944695743048</v>
      </c>
      <c r="Q298" s="310">
        <v>33581.165854200874</v>
      </c>
      <c r="R298" s="319">
        <v>95609.969758094201</v>
      </c>
      <c r="S298" s="315">
        <v>107073.11054994393</v>
      </c>
      <c r="U298" s="7" t="s">
        <v>5164</v>
      </c>
    </row>
    <row r="299" spans="1:21" ht="16.5" thickBot="1">
      <c r="A299" s="1311" t="s">
        <v>4588</v>
      </c>
      <c r="B299" s="1315">
        <f t="shared" si="15"/>
        <v>110</v>
      </c>
      <c r="C299" s="1315" t="s">
        <v>3</v>
      </c>
      <c r="D299" s="1315">
        <f t="shared" si="16"/>
        <v>400</v>
      </c>
      <c r="E299" s="1315" t="s">
        <v>3</v>
      </c>
      <c r="F299" s="1313">
        <f t="shared" si="17"/>
        <v>2350</v>
      </c>
      <c r="G299" s="1315" t="s">
        <v>3</v>
      </c>
      <c r="H299" s="1312">
        <v>4</v>
      </c>
      <c r="I299" s="1314" t="s">
        <v>45</v>
      </c>
      <c r="J299" s="184">
        <v>110</v>
      </c>
      <c r="K299" s="75">
        <v>400</v>
      </c>
      <c r="L299" s="75">
        <v>2350</v>
      </c>
      <c r="M299" s="191">
        <v>40.190874872525171</v>
      </c>
      <c r="N299" s="87">
        <v>2365.9531891495094</v>
      </c>
      <c r="O299" s="123">
        <v>63147.737458691343</v>
      </c>
      <c r="P299" s="121">
        <v>74822.971205236638</v>
      </c>
      <c r="Q299" s="310">
        <v>34414.139469377486</v>
      </c>
      <c r="R299" s="319">
        <v>97561.876928068828</v>
      </c>
      <c r="S299" s="315">
        <v>109237.11067461412</v>
      </c>
      <c r="U299" s="7" t="s">
        <v>5165</v>
      </c>
    </row>
    <row r="300" spans="1:21" ht="16.5" thickBot="1">
      <c r="A300" s="1311" t="s">
        <v>4588</v>
      </c>
      <c r="B300" s="1315">
        <f t="shared" si="15"/>
        <v>110</v>
      </c>
      <c r="C300" s="1315" t="s">
        <v>3</v>
      </c>
      <c r="D300" s="1315">
        <f t="shared" si="16"/>
        <v>400</v>
      </c>
      <c r="E300" s="1315" t="s">
        <v>3</v>
      </c>
      <c r="F300" s="1313">
        <f t="shared" si="17"/>
        <v>2400</v>
      </c>
      <c r="G300" s="1315" t="s">
        <v>3</v>
      </c>
      <c r="H300" s="1312">
        <v>4</v>
      </c>
      <c r="I300" s="1314" t="s">
        <v>45</v>
      </c>
      <c r="J300" s="184">
        <v>110</v>
      </c>
      <c r="K300" s="75">
        <v>400</v>
      </c>
      <c r="L300" s="75">
        <v>2400</v>
      </c>
      <c r="M300" s="191">
        <v>40.993102294627597</v>
      </c>
      <c r="N300" s="87">
        <v>2425.1020188782468</v>
      </c>
      <c r="O300" s="123">
        <v>64266.670873095994</v>
      </c>
      <c r="P300" s="121">
        <v>76153.997574336841</v>
      </c>
      <c r="Q300" s="310">
        <v>35016.531306770819</v>
      </c>
      <c r="R300" s="319">
        <v>99283.202179866814</v>
      </c>
      <c r="S300" s="315">
        <v>111170.52888110766</v>
      </c>
      <c r="U300" s="7" t="s">
        <v>5166</v>
      </c>
    </row>
    <row r="301" spans="1:21" ht="16.5" thickBot="1">
      <c r="A301" s="1311" t="s">
        <v>4588</v>
      </c>
      <c r="B301" s="1315">
        <f t="shared" si="15"/>
        <v>110</v>
      </c>
      <c r="C301" s="1315" t="s">
        <v>3</v>
      </c>
      <c r="D301" s="1315">
        <f t="shared" si="16"/>
        <v>400</v>
      </c>
      <c r="E301" s="1315" t="s">
        <v>3</v>
      </c>
      <c r="F301" s="1313">
        <f t="shared" si="17"/>
        <v>2450</v>
      </c>
      <c r="G301" s="1315" t="s">
        <v>3</v>
      </c>
      <c r="H301" s="1312">
        <v>4</v>
      </c>
      <c r="I301" s="1314" t="s">
        <v>45</v>
      </c>
      <c r="J301" s="184">
        <v>110</v>
      </c>
      <c r="K301" s="75">
        <v>400</v>
      </c>
      <c r="L301" s="75">
        <v>2450</v>
      </c>
      <c r="M301" s="191">
        <v>41.795329716730031</v>
      </c>
      <c r="N301" s="87">
        <v>2484.2508486069851</v>
      </c>
      <c r="O301" s="123">
        <v>65385.604427894003</v>
      </c>
      <c r="P301" s="121">
        <v>77485.02394343706</v>
      </c>
      <c r="Q301" s="310">
        <v>35849.504781554067</v>
      </c>
      <c r="R301" s="319">
        <v>101235.10920944807</v>
      </c>
      <c r="S301" s="315">
        <v>113334.52872499113</v>
      </c>
      <c r="U301" s="7" t="s">
        <v>5167</v>
      </c>
    </row>
    <row r="302" spans="1:21" ht="16.5" thickBot="1">
      <c r="A302" s="1311" t="s">
        <v>4588</v>
      </c>
      <c r="B302" s="1315">
        <f t="shared" si="15"/>
        <v>110</v>
      </c>
      <c r="C302" s="1315" t="s">
        <v>3</v>
      </c>
      <c r="D302" s="1315">
        <f t="shared" si="16"/>
        <v>400</v>
      </c>
      <c r="E302" s="1315" t="s">
        <v>3</v>
      </c>
      <c r="F302" s="1313">
        <f t="shared" si="17"/>
        <v>2500</v>
      </c>
      <c r="G302" s="1315" t="s">
        <v>3</v>
      </c>
      <c r="H302" s="1312">
        <v>4</v>
      </c>
      <c r="I302" s="1314" t="s">
        <v>45</v>
      </c>
      <c r="J302" s="184">
        <v>110</v>
      </c>
      <c r="K302" s="75">
        <v>400</v>
      </c>
      <c r="L302" s="75">
        <v>2500</v>
      </c>
      <c r="M302" s="191">
        <v>43.058271938832462</v>
      </c>
      <c r="N302" s="87">
        <v>2543.3996783357225</v>
      </c>
      <c r="O302" s="123">
        <v>67345.006497525697</v>
      </c>
      <c r="P302" s="121">
        <v>79922.031737284487</v>
      </c>
      <c r="Q302" s="310">
        <v>36451.896618947409</v>
      </c>
      <c r="R302" s="319">
        <v>103796.90311647311</v>
      </c>
      <c r="S302" s="315">
        <v>116373.92835623189</v>
      </c>
      <c r="U302" s="7" t="s">
        <v>5168</v>
      </c>
    </row>
    <row r="303" spans="1:21" ht="16.5" thickBot="1">
      <c r="A303" s="1311" t="s">
        <v>4588</v>
      </c>
      <c r="B303" s="1315">
        <f t="shared" si="15"/>
        <v>110</v>
      </c>
      <c r="C303" s="1315" t="s">
        <v>3</v>
      </c>
      <c r="D303" s="1315">
        <f t="shared" si="16"/>
        <v>400</v>
      </c>
      <c r="E303" s="1315" t="s">
        <v>3</v>
      </c>
      <c r="F303" s="1313">
        <f t="shared" si="17"/>
        <v>2550</v>
      </c>
      <c r="G303" s="1315" t="s">
        <v>3</v>
      </c>
      <c r="H303" s="1312">
        <v>4</v>
      </c>
      <c r="I303" s="1314" t="s">
        <v>45</v>
      </c>
      <c r="J303" s="184">
        <v>110</v>
      </c>
      <c r="K303" s="75">
        <v>400</v>
      </c>
      <c r="L303" s="75">
        <v>2550</v>
      </c>
      <c r="M303" s="191">
        <v>43.860499360934909</v>
      </c>
      <c r="N303" s="87">
        <v>2602.5485080644607</v>
      </c>
      <c r="O303" s="123">
        <v>68828.521398091994</v>
      </c>
      <c r="P303" s="121">
        <v>81267.097442634695</v>
      </c>
      <c r="Q303" s="310">
        <v>37284.870093730657</v>
      </c>
      <c r="R303" s="319">
        <v>106113.39149182265</v>
      </c>
      <c r="S303" s="315">
        <v>118551.96753636535</v>
      </c>
      <c r="U303" s="7" t="s">
        <v>5169</v>
      </c>
    </row>
    <row r="304" spans="1:21" ht="16.5" thickBot="1">
      <c r="A304" s="1311" t="s">
        <v>4588</v>
      </c>
      <c r="B304" s="1312">
        <f t="shared" si="15"/>
        <v>110</v>
      </c>
      <c r="C304" s="1312" t="s">
        <v>3</v>
      </c>
      <c r="D304" s="1312">
        <f t="shared" si="16"/>
        <v>400</v>
      </c>
      <c r="E304" s="1312" t="s">
        <v>3</v>
      </c>
      <c r="F304" s="1313">
        <f t="shared" si="17"/>
        <v>2600</v>
      </c>
      <c r="G304" s="1312" t="s">
        <v>3</v>
      </c>
      <c r="H304" s="1312">
        <v>4</v>
      </c>
      <c r="I304" s="1314" t="s">
        <v>45</v>
      </c>
      <c r="J304" s="184">
        <v>110</v>
      </c>
      <c r="K304" s="75">
        <v>400</v>
      </c>
      <c r="L304" s="75">
        <v>2600</v>
      </c>
      <c r="M304" s="191">
        <v>44.662726783037343</v>
      </c>
      <c r="N304" s="87">
        <v>2661.6973377931981</v>
      </c>
      <c r="O304" s="123">
        <v>69947.454952890024</v>
      </c>
      <c r="P304" s="121">
        <v>82598.123811734913</v>
      </c>
      <c r="Q304" s="310">
        <v>37887.261931123991</v>
      </c>
      <c r="R304" s="319">
        <v>107834.71688401402</v>
      </c>
      <c r="S304" s="315">
        <v>120485.3857428589</v>
      </c>
      <c r="U304" s="7" t="s">
        <v>5170</v>
      </c>
    </row>
    <row r="305" spans="1:21" ht="16.5" thickBot="1">
      <c r="A305" s="1311" t="s">
        <v>4588</v>
      </c>
      <c r="B305" s="1315">
        <f t="shared" si="15"/>
        <v>110</v>
      </c>
      <c r="C305" s="1315" t="s">
        <v>3</v>
      </c>
      <c r="D305" s="1315">
        <f t="shared" si="16"/>
        <v>400</v>
      </c>
      <c r="E305" s="1315" t="s">
        <v>3</v>
      </c>
      <c r="F305" s="1313">
        <f t="shared" si="17"/>
        <v>2650</v>
      </c>
      <c r="G305" s="1315" t="s">
        <v>3</v>
      </c>
      <c r="H305" s="1312">
        <v>4</v>
      </c>
      <c r="I305" s="1314" t="s">
        <v>45</v>
      </c>
      <c r="J305" s="184">
        <v>110</v>
      </c>
      <c r="K305" s="75">
        <v>400</v>
      </c>
      <c r="L305" s="75">
        <v>2650</v>
      </c>
      <c r="M305" s="191">
        <v>45.464954205139776</v>
      </c>
      <c r="N305" s="87">
        <v>2720.8461675219355</v>
      </c>
      <c r="O305" s="123">
        <v>71066.388507688025</v>
      </c>
      <c r="P305" s="121">
        <v>83929.150180835117</v>
      </c>
      <c r="Q305" s="310">
        <v>38720.235405907246</v>
      </c>
      <c r="R305" s="319">
        <v>109786.62391359528</v>
      </c>
      <c r="S305" s="315">
        <v>122649.38558674237</v>
      </c>
      <c r="U305" s="7" t="s">
        <v>5171</v>
      </c>
    </row>
    <row r="306" spans="1:21" ht="16.5" thickBot="1">
      <c r="A306" s="1311" t="s">
        <v>4588</v>
      </c>
      <c r="B306" s="1315">
        <f t="shared" si="15"/>
        <v>110</v>
      </c>
      <c r="C306" s="1315" t="s">
        <v>3</v>
      </c>
      <c r="D306" s="1315">
        <f t="shared" si="16"/>
        <v>400</v>
      </c>
      <c r="E306" s="1315" t="s">
        <v>3</v>
      </c>
      <c r="F306" s="1313">
        <f t="shared" si="17"/>
        <v>2700</v>
      </c>
      <c r="G306" s="1315" t="s">
        <v>3</v>
      </c>
      <c r="H306" s="1312">
        <v>4</v>
      </c>
      <c r="I306" s="1314" t="s">
        <v>45</v>
      </c>
      <c r="J306" s="184">
        <v>110</v>
      </c>
      <c r="K306" s="75">
        <v>400</v>
      </c>
      <c r="L306" s="75">
        <v>2700</v>
      </c>
      <c r="M306" s="191">
        <v>46.267181627242209</v>
      </c>
      <c r="N306" s="87">
        <v>2779.9949972506738</v>
      </c>
      <c r="O306" s="123">
        <v>72185.322062486041</v>
      </c>
      <c r="P306" s="121">
        <v>85260.176549935335</v>
      </c>
      <c r="Q306" s="310">
        <v>39322.627243300587</v>
      </c>
      <c r="R306" s="319">
        <v>111507.94930578663</v>
      </c>
      <c r="S306" s="315">
        <v>124582.80379323591</v>
      </c>
      <c r="U306" s="7" t="s">
        <v>5172</v>
      </c>
    </row>
    <row r="307" spans="1:21" ht="16.5" thickBot="1">
      <c r="A307" s="1311" t="s">
        <v>4588</v>
      </c>
      <c r="B307" s="1315">
        <f t="shared" si="15"/>
        <v>110</v>
      </c>
      <c r="C307" s="1315" t="s">
        <v>3</v>
      </c>
      <c r="D307" s="1315">
        <f t="shared" si="16"/>
        <v>400</v>
      </c>
      <c r="E307" s="1315" t="s">
        <v>3</v>
      </c>
      <c r="F307" s="1313">
        <f t="shared" si="17"/>
        <v>2750</v>
      </c>
      <c r="G307" s="1315" t="s">
        <v>3</v>
      </c>
      <c r="H307" s="1312">
        <v>4</v>
      </c>
      <c r="I307" s="1314" t="s">
        <v>45</v>
      </c>
      <c r="J307" s="184">
        <v>110</v>
      </c>
      <c r="K307" s="75">
        <v>400</v>
      </c>
      <c r="L307" s="75">
        <v>2750</v>
      </c>
      <c r="M307" s="191">
        <v>47.069409049344635</v>
      </c>
      <c r="N307" s="87">
        <v>2839.1438269794112</v>
      </c>
      <c r="O307" s="123">
        <v>73304.25561728391</v>
      </c>
      <c r="P307" s="121">
        <v>86591.202919035553</v>
      </c>
      <c r="Q307" s="310">
        <v>39925.018940300557</v>
      </c>
      <c r="R307" s="319">
        <v>113229.27455758446</v>
      </c>
      <c r="S307" s="315">
        <v>126516.2218593361</v>
      </c>
      <c r="U307" s="7" t="s">
        <v>5173</v>
      </c>
    </row>
    <row r="308" spans="1:21" ht="16.5" thickBot="1">
      <c r="A308" s="1311" t="s">
        <v>4588</v>
      </c>
      <c r="B308" s="1315">
        <f t="shared" si="15"/>
        <v>110</v>
      </c>
      <c r="C308" s="1315" t="s">
        <v>3</v>
      </c>
      <c r="D308" s="1315">
        <f t="shared" si="16"/>
        <v>400</v>
      </c>
      <c r="E308" s="1315" t="s">
        <v>3</v>
      </c>
      <c r="F308" s="1313">
        <f t="shared" si="17"/>
        <v>2800</v>
      </c>
      <c r="G308" s="1315" t="s">
        <v>3</v>
      </c>
      <c r="H308" s="1312">
        <v>4</v>
      </c>
      <c r="I308" s="1314" t="s">
        <v>45</v>
      </c>
      <c r="J308" s="184">
        <v>110</v>
      </c>
      <c r="K308" s="75">
        <v>400</v>
      </c>
      <c r="L308" s="75">
        <v>2800</v>
      </c>
      <c r="M308" s="191">
        <v>47.87163647144709</v>
      </c>
      <c r="N308" s="87">
        <v>2898.292656708149</v>
      </c>
      <c r="O308" s="123">
        <v>74423.189172082057</v>
      </c>
      <c r="P308" s="121">
        <v>87922.229428529128</v>
      </c>
      <c r="Q308" s="310">
        <v>40757.992555477169</v>
      </c>
      <c r="R308" s="319">
        <v>115181.18172755922</v>
      </c>
      <c r="S308" s="315">
        <v>128680.22198400629</v>
      </c>
      <c r="U308" s="7" t="s">
        <v>5174</v>
      </c>
    </row>
    <row r="309" spans="1:21" ht="16.5" thickBot="1">
      <c r="A309" s="1311" t="s">
        <v>4588</v>
      </c>
      <c r="B309" s="1315">
        <f t="shared" si="15"/>
        <v>110</v>
      </c>
      <c r="C309" s="1315" t="s">
        <v>3</v>
      </c>
      <c r="D309" s="1315">
        <f t="shared" si="16"/>
        <v>400</v>
      </c>
      <c r="E309" s="1315" t="s">
        <v>3</v>
      </c>
      <c r="F309" s="1313">
        <f t="shared" si="17"/>
        <v>2850</v>
      </c>
      <c r="G309" s="1315" t="s">
        <v>3</v>
      </c>
      <c r="H309" s="1312">
        <v>4</v>
      </c>
      <c r="I309" s="1314" t="s">
        <v>45</v>
      </c>
      <c r="J309" s="184">
        <v>110</v>
      </c>
      <c r="K309" s="75">
        <v>400</v>
      </c>
      <c r="L309" s="75">
        <v>2850</v>
      </c>
      <c r="M309" s="191">
        <v>48.673863893549509</v>
      </c>
      <c r="N309" s="87">
        <v>2957.4414864368869</v>
      </c>
      <c r="O309" s="123">
        <v>75542.122586486716</v>
      </c>
      <c r="P309" s="121">
        <v>89253.255797629332</v>
      </c>
      <c r="Q309" s="310">
        <v>41360.384252477146</v>
      </c>
      <c r="R309" s="319">
        <v>116902.50683896386</v>
      </c>
      <c r="S309" s="315">
        <v>130613.64005010648</v>
      </c>
      <c r="U309" s="7" t="s">
        <v>5175</v>
      </c>
    </row>
    <row r="310" spans="1:21" ht="16.5" thickBot="1">
      <c r="A310" s="1311" t="s">
        <v>4588</v>
      </c>
      <c r="B310" s="1315">
        <f t="shared" si="15"/>
        <v>110</v>
      </c>
      <c r="C310" s="1315" t="s">
        <v>3</v>
      </c>
      <c r="D310" s="1315">
        <f t="shared" si="16"/>
        <v>400</v>
      </c>
      <c r="E310" s="1315" t="s">
        <v>3</v>
      </c>
      <c r="F310" s="1313">
        <f t="shared" si="17"/>
        <v>2900</v>
      </c>
      <c r="G310" s="1315" t="s">
        <v>3</v>
      </c>
      <c r="H310" s="1312">
        <v>4</v>
      </c>
      <c r="I310" s="1314" t="s">
        <v>45</v>
      </c>
      <c r="J310" s="184">
        <v>110</v>
      </c>
      <c r="K310" s="75">
        <v>400</v>
      </c>
      <c r="L310" s="75">
        <v>2900</v>
      </c>
      <c r="M310" s="191">
        <v>49.476091315651935</v>
      </c>
      <c r="N310" s="87">
        <v>3016.5903161656242</v>
      </c>
      <c r="O310" s="123">
        <v>76661.056141284731</v>
      </c>
      <c r="P310" s="121">
        <v>90584.28216672955</v>
      </c>
      <c r="Q310" s="310">
        <v>42193.357867653758</v>
      </c>
      <c r="R310" s="319">
        <v>118854.41400893849</v>
      </c>
      <c r="S310" s="315">
        <v>132777.64003438331</v>
      </c>
      <c r="U310" s="7" t="s">
        <v>5176</v>
      </c>
    </row>
    <row r="311" spans="1:21" ht="16.5" thickBot="1">
      <c r="A311" s="1311" t="s">
        <v>4588</v>
      </c>
      <c r="B311" s="1315">
        <f t="shared" si="15"/>
        <v>110</v>
      </c>
      <c r="C311" s="1315" t="s">
        <v>3</v>
      </c>
      <c r="D311" s="1315">
        <f t="shared" si="16"/>
        <v>400</v>
      </c>
      <c r="E311" s="1315" t="s">
        <v>3</v>
      </c>
      <c r="F311" s="1313">
        <f t="shared" si="17"/>
        <v>2950</v>
      </c>
      <c r="G311" s="1315" t="s">
        <v>3</v>
      </c>
      <c r="H311" s="1312">
        <v>4</v>
      </c>
      <c r="I311" s="1314" t="s">
        <v>45</v>
      </c>
      <c r="J311" s="184">
        <v>110</v>
      </c>
      <c r="K311" s="75">
        <v>400</v>
      </c>
      <c r="L311" s="75">
        <v>2950</v>
      </c>
      <c r="M311" s="191">
        <v>50.27831873775439</v>
      </c>
      <c r="N311" s="87">
        <v>3075.7391458943625</v>
      </c>
      <c r="O311" s="123">
        <v>77779.989696082732</v>
      </c>
      <c r="P311" s="121">
        <v>91915.308535829754</v>
      </c>
      <c r="Q311" s="310">
        <v>42795.749564653735</v>
      </c>
      <c r="R311" s="319">
        <v>120575.73926073647</v>
      </c>
      <c r="S311" s="315">
        <v>134711.0581004835</v>
      </c>
      <c r="U311" s="7" t="s">
        <v>5177</v>
      </c>
    </row>
    <row r="312" spans="1:21" ht="16.5" thickBot="1">
      <c r="A312" s="1311" t="s">
        <v>4588</v>
      </c>
      <c r="B312" s="1315">
        <f t="shared" si="15"/>
        <v>110</v>
      </c>
      <c r="C312" s="1315" t="s">
        <v>3</v>
      </c>
      <c r="D312" s="1315">
        <f t="shared" si="16"/>
        <v>400</v>
      </c>
      <c r="E312" s="1315" t="s">
        <v>3</v>
      </c>
      <c r="F312" s="1313">
        <f t="shared" si="17"/>
        <v>3000</v>
      </c>
      <c r="G312" s="1315" t="s">
        <v>3</v>
      </c>
      <c r="H312" s="1312">
        <v>4</v>
      </c>
      <c r="I312" s="1314" t="s">
        <v>45</v>
      </c>
      <c r="J312" s="186">
        <v>110</v>
      </c>
      <c r="K312" s="147">
        <v>400</v>
      </c>
      <c r="L312" s="147">
        <v>3000</v>
      </c>
      <c r="M312" s="192">
        <v>51.392690159856812</v>
      </c>
      <c r="N312" s="148">
        <v>3134.8879756230999</v>
      </c>
      <c r="O312" s="149">
        <v>79176.789793940756</v>
      </c>
      <c r="P312" s="158">
        <v>93524.201447989966</v>
      </c>
      <c r="Q312" s="311">
        <v>43628.723179830347</v>
      </c>
      <c r="R312" s="320">
        <v>122805.51297377111</v>
      </c>
      <c r="S312" s="317">
        <v>137152.92462782032</v>
      </c>
      <c r="U312" s="7" t="s">
        <v>5178</v>
      </c>
    </row>
  </sheetData>
  <mergeCells count="21">
    <mergeCell ref="A212:S212"/>
    <mergeCell ref="A262:S262"/>
    <mergeCell ref="A263:S263"/>
    <mergeCell ref="A59:S59"/>
    <mergeCell ref="A109:S109"/>
    <mergeCell ref="A110:S110"/>
    <mergeCell ref="A160:S160"/>
    <mergeCell ref="A161:S161"/>
    <mergeCell ref="A211:S211"/>
    <mergeCell ref="A58:S58"/>
    <mergeCell ref="A4:I6"/>
    <mergeCell ref="J4:M5"/>
    <mergeCell ref="N4:N6"/>
    <mergeCell ref="O4:O5"/>
    <mergeCell ref="P4:P5"/>
    <mergeCell ref="Q4:Q5"/>
    <mergeCell ref="R4:R5"/>
    <mergeCell ref="S4:S5"/>
    <mergeCell ref="O6:S6"/>
    <mergeCell ref="A7:S7"/>
    <mergeCell ref="A8:S8"/>
  </mergeCells>
  <hyperlinks>
    <hyperlink ref="A1:I1" location="Главная!A1" display="Вернуться на главную страницу" xr:uid="{442A83A3-081F-4C5D-BB46-3CECFC40EB53}"/>
    <hyperlink ref="A2" location="'Калькулятор теплоотдач ВК'!R1C1" display="Вернуться Калькулятор теплоотдач ВК" xr:uid="{A820E1DD-3B1E-4D5D-8A16-50D4B89E5BD5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BF773-9125-4D44-BE76-AFEE5DA08D70}">
  <sheetPr>
    <tabColor rgb="FFFF9900"/>
  </sheetPr>
  <dimension ref="A1:U312"/>
  <sheetViews>
    <sheetView zoomScale="70" zoomScaleNormal="70" workbookViewId="0">
      <pane ySplit="6" topLeftCell="A7" activePane="bottomLeft" state="frozen"/>
      <selection pane="bottomLeft" activeCell="M13" sqref="M13"/>
    </sheetView>
  </sheetViews>
  <sheetFormatPr defaultRowHeight="15"/>
  <cols>
    <col min="1" max="1" width="10" customWidth="1"/>
    <col min="2" max="2" width="6" customWidth="1"/>
    <col min="3" max="3" width="3" customWidth="1"/>
    <col min="4" max="4" width="6" customWidth="1"/>
    <col min="5" max="5" width="3" customWidth="1"/>
    <col min="6" max="6" width="7.7109375" customWidth="1"/>
    <col min="7" max="7" width="3" customWidth="1"/>
    <col min="8" max="8" width="6" customWidth="1"/>
    <col min="9" max="9" width="4.5703125" customWidth="1"/>
    <col min="10" max="12" width="11.28515625" customWidth="1"/>
    <col min="13" max="13" width="15.5703125" customWidth="1"/>
    <col min="14" max="14" width="19.140625" customWidth="1"/>
    <col min="15" max="16" width="27.7109375" customWidth="1"/>
    <col min="17" max="17" width="26.28515625" customWidth="1"/>
    <col min="18" max="19" width="27.7109375" customWidth="1"/>
    <col min="21" max="21" width="27.140625" customWidth="1"/>
  </cols>
  <sheetData>
    <row r="1" spans="1:21" ht="15.75">
      <c r="A1" s="1306" t="s">
        <v>9</v>
      </c>
      <c r="B1" s="1306"/>
      <c r="C1" s="1306"/>
      <c r="D1" s="1306"/>
      <c r="E1" s="1306"/>
      <c r="F1" s="97"/>
      <c r="G1" s="1306"/>
      <c r="H1" s="1306"/>
      <c r="I1" s="1306"/>
      <c r="J1" s="7"/>
      <c r="K1" s="96"/>
      <c r="L1" s="96"/>
      <c r="M1" s="175"/>
      <c r="N1" s="7"/>
      <c r="O1" s="117"/>
      <c r="P1" s="117"/>
      <c r="Q1" s="117"/>
      <c r="R1" s="117"/>
      <c r="S1" s="117"/>
    </row>
    <row r="2" spans="1:21" ht="15.75">
      <c r="A2" s="956" t="s">
        <v>378</v>
      </c>
      <c r="B2" s="1306"/>
      <c r="C2" s="1306"/>
      <c r="D2" s="1306"/>
      <c r="E2" s="1306"/>
      <c r="F2" s="97"/>
      <c r="G2" s="1306"/>
      <c r="H2" s="1306"/>
      <c r="I2" s="1306"/>
      <c r="J2" s="7"/>
      <c r="K2" s="96"/>
      <c r="L2" s="96"/>
      <c r="M2" s="175"/>
      <c r="N2" s="7"/>
      <c r="O2" s="117"/>
      <c r="P2" s="117"/>
      <c r="Q2" s="117"/>
      <c r="R2" s="117"/>
      <c r="S2" s="117"/>
    </row>
    <row r="3" spans="1:21" ht="16.5" thickBot="1">
      <c r="A3" s="16"/>
      <c r="B3" s="16"/>
      <c r="C3" s="16"/>
      <c r="D3" s="16"/>
      <c r="E3" s="16"/>
      <c r="F3" s="109"/>
      <c r="G3" s="16"/>
      <c r="H3" s="16"/>
      <c r="I3" s="16"/>
      <c r="J3" s="16"/>
      <c r="K3" s="108"/>
      <c r="L3" s="108"/>
      <c r="M3" s="175"/>
      <c r="N3" s="7"/>
      <c r="O3" s="116"/>
      <c r="P3" s="116"/>
      <c r="Q3" s="117"/>
      <c r="R3" s="117"/>
      <c r="S3" s="117"/>
      <c r="U3" s="74"/>
    </row>
    <row r="4" spans="1:21" ht="69.75" customHeight="1">
      <c r="A4" s="2665" t="s">
        <v>8</v>
      </c>
      <c r="B4" s="2666"/>
      <c r="C4" s="2666"/>
      <c r="D4" s="2666"/>
      <c r="E4" s="2666"/>
      <c r="F4" s="2666"/>
      <c r="G4" s="2666"/>
      <c r="H4" s="2666"/>
      <c r="I4" s="2667"/>
      <c r="J4" s="2674" t="s">
        <v>97</v>
      </c>
      <c r="K4" s="2675"/>
      <c r="L4" s="2675"/>
      <c r="M4" s="2676"/>
      <c r="N4" s="2680" t="s">
        <v>96</v>
      </c>
      <c r="O4" s="2683" t="s">
        <v>170</v>
      </c>
      <c r="P4" s="2617" t="s">
        <v>166</v>
      </c>
      <c r="Q4" s="2683" t="s">
        <v>171</v>
      </c>
      <c r="R4" s="2685" t="s">
        <v>460</v>
      </c>
      <c r="S4" s="2590" t="s">
        <v>461</v>
      </c>
    </row>
    <row r="5" spans="1:21" ht="70.5" customHeight="1" thickBot="1">
      <c r="A5" s="2668"/>
      <c r="B5" s="2669"/>
      <c r="C5" s="2669"/>
      <c r="D5" s="2669"/>
      <c r="E5" s="2669"/>
      <c r="F5" s="2669"/>
      <c r="G5" s="2669"/>
      <c r="H5" s="2669"/>
      <c r="I5" s="2670"/>
      <c r="J5" s="2677"/>
      <c r="K5" s="2678"/>
      <c r="L5" s="2678"/>
      <c r="M5" s="2679"/>
      <c r="N5" s="2681"/>
      <c r="O5" s="2684"/>
      <c r="P5" s="2618"/>
      <c r="Q5" s="2684"/>
      <c r="R5" s="2686"/>
      <c r="S5" s="2591"/>
    </row>
    <row r="6" spans="1:21" ht="61.5" customHeight="1" thickBot="1">
      <c r="A6" s="2671"/>
      <c r="B6" s="2672"/>
      <c r="C6" s="2672"/>
      <c r="D6" s="2672"/>
      <c r="E6" s="2672"/>
      <c r="F6" s="2672"/>
      <c r="G6" s="2672"/>
      <c r="H6" s="2672"/>
      <c r="I6" s="2673"/>
      <c r="J6" s="1308" t="s">
        <v>0</v>
      </c>
      <c r="K6" s="1323" t="s">
        <v>1</v>
      </c>
      <c r="L6" s="1323" t="s">
        <v>2</v>
      </c>
      <c r="M6" s="1324" t="s">
        <v>94</v>
      </c>
      <c r="N6" s="2682"/>
      <c r="O6" s="2687" t="s">
        <v>169</v>
      </c>
      <c r="P6" s="2688"/>
      <c r="Q6" s="2688"/>
      <c r="R6" s="2688"/>
      <c r="S6" s="2689"/>
    </row>
    <row r="7" spans="1:21" ht="21.75" thickBot="1">
      <c r="A7" s="2580" t="s">
        <v>520</v>
      </c>
      <c r="B7" s="2581"/>
      <c r="C7" s="2581"/>
      <c r="D7" s="2581"/>
      <c r="E7" s="2581"/>
      <c r="F7" s="2581"/>
      <c r="G7" s="2581"/>
      <c r="H7" s="2581"/>
      <c r="I7" s="2581"/>
      <c r="J7" s="2581"/>
      <c r="K7" s="2581"/>
      <c r="L7" s="2581"/>
      <c r="M7" s="2581"/>
      <c r="N7" s="2581"/>
      <c r="O7" s="2581"/>
      <c r="P7" s="2581"/>
      <c r="Q7" s="2581"/>
      <c r="R7" s="2581"/>
      <c r="S7" s="2582"/>
    </row>
    <row r="8" spans="1:21" ht="16.5" thickBot="1">
      <c r="A8" s="2583" t="s">
        <v>4587</v>
      </c>
      <c r="B8" s="2584"/>
      <c r="C8" s="2584"/>
      <c r="D8" s="2584"/>
      <c r="E8" s="2584"/>
      <c r="F8" s="2584"/>
      <c r="G8" s="2584"/>
      <c r="H8" s="2584"/>
      <c r="I8" s="2584"/>
      <c r="J8" s="2584"/>
      <c r="K8" s="2584"/>
      <c r="L8" s="2584"/>
      <c r="M8" s="2584"/>
      <c r="N8" s="2584"/>
      <c r="O8" s="2584"/>
      <c r="P8" s="2584"/>
      <c r="Q8" s="2584"/>
      <c r="R8" s="2632"/>
      <c r="S8" s="2633"/>
    </row>
    <row r="9" spans="1:21" ht="16.5" thickBot="1">
      <c r="A9" s="1311" t="s">
        <v>4588</v>
      </c>
      <c r="B9" s="1312">
        <f>J9</f>
        <v>150</v>
      </c>
      <c r="C9" s="1312" t="s">
        <v>3</v>
      </c>
      <c r="D9" s="1312">
        <f>K9</f>
        <v>200</v>
      </c>
      <c r="E9" s="1312" t="s">
        <v>3</v>
      </c>
      <c r="F9" s="1313">
        <f>L9</f>
        <v>600</v>
      </c>
      <c r="G9" s="1312" t="s">
        <v>3</v>
      </c>
      <c r="H9" s="1312">
        <v>2</v>
      </c>
      <c r="I9" s="1314" t="s">
        <v>45</v>
      </c>
      <c r="J9" s="181">
        <v>150</v>
      </c>
      <c r="K9" s="143">
        <v>200</v>
      </c>
      <c r="L9" s="143">
        <v>600</v>
      </c>
      <c r="M9" s="201">
        <v>7.2879338936805063</v>
      </c>
      <c r="N9" s="144">
        <v>194.1</v>
      </c>
      <c r="O9" s="145">
        <v>14484.557016107778</v>
      </c>
      <c r="P9" s="188">
        <v>17820.00455203238</v>
      </c>
      <c r="Q9" s="309">
        <v>6535.0358533845019</v>
      </c>
      <c r="R9" s="318">
        <v>21019.59286949228</v>
      </c>
      <c r="S9" s="313">
        <v>24355.040405416883</v>
      </c>
      <c r="U9" s="7" t="s">
        <v>5179</v>
      </c>
    </row>
    <row r="10" spans="1:21" ht="16.5" thickBot="1">
      <c r="A10" s="1311" t="s">
        <v>4588</v>
      </c>
      <c r="B10" s="1315">
        <f t="shared" ref="B10:B57" si="0">J10</f>
        <v>150</v>
      </c>
      <c r="C10" s="1315" t="s">
        <v>3</v>
      </c>
      <c r="D10" s="1315">
        <f t="shared" ref="D10:D57" si="1">K10</f>
        <v>200</v>
      </c>
      <c r="E10" s="1315" t="s">
        <v>3</v>
      </c>
      <c r="F10" s="1313">
        <f t="shared" ref="F10:F57" si="2">L10</f>
        <v>650</v>
      </c>
      <c r="G10" s="1315" t="s">
        <v>3</v>
      </c>
      <c r="H10" s="1312">
        <v>2</v>
      </c>
      <c r="I10" s="1314" t="s">
        <v>45</v>
      </c>
      <c r="J10" s="184">
        <v>150</v>
      </c>
      <c r="K10" s="75">
        <v>200</v>
      </c>
      <c r="L10" s="75">
        <v>650</v>
      </c>
      <c r="M10" s="202">
        <v>7.8004685284159345</v>
      </c>
      <c r="N10" s="87">
        <v>232.92</v>
      </c>
      <c r="O10" s="123">
        <v>15146.065269402528</v>
      </c>
      <c r="P10" s="119">
        <v>18652.555442794506</v>
      </c>
      <c r="Q10" s="310">
        <v>6893.4546325058636</v>
      </c>
      <c r="R10" s="319">
        <v>22039.519901908392</v>
      </c>
      <c r="S10" s="315">
        <v>25546.010075300372</v>
      </c>
      <c r="U10" s="7" t="s">
        <v>5180</v>
      </c>
    </row>
    <row r="11" spans="1:21" ht="16.5" thickBot="1">
      <c r="A11" s="1311" t="s">
        <v>4588</v>
      </c>
      <c r="B11" s="1315">
        <f t="shared" si="0"/>
        <v>150</v>
      </c>
      <c r="C11" s="1315" t="s">
        <v>3</v>
      </c>
      <c r="D11" s="1315">
        <f t="shared" si="1"/>
        <v>200</v>
      </c>
      <c r="E11" s="1315" t="s">
        <v>3</v>
      </c>
      <c r="F11" s="1313">
        <f t="shared" si="2"/>
        <v>700</v>
      </c>
      <c r="G11" s="1315" t="s">
        <v>3</v>
      </c>
      <c r="H11" s="1312">
        <v>2</v>
      </c>
      <c r="I11" s="1314" t="s">
        <v>45</v>
      </c>
      <c r="J11" s="184">
        <v>150</v>
      </c>
      <c r="K11" s="75">
        <v>200</v>
      </c>
      <c r="L11" s="75">
        <v>700</v>
      </c>
      <c r="M11" s="202">
        <v>8.313003163151361</v>
      </c>
      <c r="N11" s="87">
        <v>271.73999999999995</v>
      </c>
      <c r="O11" s="123">
        <v>15807.573663090641</v>
      </c>
      <c r="P11" s="119">
        <v>19485.106473949989</v>
      </c>
      <c r="Q11" s="310">
        <v>7482.4550490171396</v>
      </c>
      <c r="R11" s="319">
        <v>23290.028712107782</v>
      </c>
      <c r="S11" s="315">
        <v>26967.561522967128</v>
      </c>
      <c r="U11" s="7" t="s">
        <v>5181</v>
      </c>
    </row>
    <row r="12" spans="1:21" ht="16.5" thickBot="1">
      <c r="A12" s="1311" t="s">
        <v>4588</v>
      </c>
      <c r="B12" s="1315">
        <f t="shared" si="0"/>
        <v>150</v>
      </c>
      <c r="C12" s="1315" t="s">
        <v>3</v>
      </c>
      <c r="D12" s="1315">
        <f t="shared" si="1"/>
        <v>200</v>
      </c>
      <c r="E12" s="1315" t="s">
        <v>3</v>
      </c>
      <c r="F12" s="1313">
        <f t="shared" si="2"/>
        <v>750</v>
      </c>
      <c r="G12" s="1315" t="s">
        <v>3</v>
      </c>
      <c r="H12" s="1312">
        <v>2</v>
      </c>
      <c r="I12" s="1314" t="s">
        <v>45</v>
      </c>
      <c r="J12" s="184">
        <v>150</v>
      </c>
      <c r="K12" s="75">
        <v>200</v>
      </c>
      <c r="L12" s="75">
        <v>750</v>
      </c>
      <c r="M12" s="202">
        <v>8.8255377978867902</v>
      </c>
      <c r="N12" s="87">
        <v>310.56</v>
      </c>
      <c r="O12" s="123">
        <v>16469.081916385392</v>
      </c>
      <c r="P12" s="119">
        <v>20317.657364712119</v>
      </c>
      <c r="Q12" s="310">
        <v>7840.8736877451383</v>
      </c>
      <c r="R12" s="319">
        <v>24309.95560413053</v>
      </c>
      <c r="S12" s="315">
        <v>28158.531052457256</v>
      </c>
      <c r="U12" s="7" t="s">
        <v>5182</v>
      </c>
    </row>
    <row r="13" spans="1:21" ht="16.5" thickBot="1">
      <c r="A13" s="1311" t="s">
        <v>4588</v>
      </c>
      <c r="B13" s="1315">
        <f t="shared" si="0"/>
        <v>150</v>
      </c>
      <c r="C13" s="1315" t="s">
        <v>3</v>
      </c>
      <c r="D13" s="1315">
        <f t="shared" si="1"/>
        <v>200</v>
      </c>
      <c r="E13" s="1315" t="s">
        <v>3</v>
      </c>
      <c r="F13" s="1313">
        <f t="shared" si="2"/>
        <v>800</v>
      </c>
      <c r="G13" s="1315" t="s">
        <v>3</v>
      </c>
      <c r="H13" s="1312">
        <v>2</v>
      </c>
      <c r="I13" s="1314" t="s">
        <v>45</v>
      </c>
      <c r="J13" s="184">
        <v>150</v>
      </c>
      <c r="K13" s="75">
        <v>200</v>
      </c>
      <c r="L13" s="75">
        <v>800</v>
      </c>
      <c r="M13" s="202">
        <v>9.3380724326222193</v>
      </c>
      <c r="N13" s="87">
        <v>349.38</v>
      </c>
      <c r="O13" s="123">
        <v>17488.251526610817</v>
      </c>
      <c r="P13" s="119">
        <v>21164.247591724245</v>
      </c>
      <c r="Q13" s="310">
        <v>8199.2923264731398</v>
      </c>
      <c r="R13" s="319">
        <v>25687.543853083956</v>
      </c>
      <c r="S13" s="315">
        <v>29363.539918197384</v>
      </c>
      <c r="U13" s="7" t="s">
        <v>5183</v>
      </c>
    </row>
    <row r="14" spans="1:21" ht="16.5" thickBot="1">
      <c r="A14" s="1311" t="s">
        <v>4588</v>
      </c>
      <c r="B14" s="1315">
        <f t="shared" si="0"/>
        <v>150</v>
      </c>
      <c r="C14" s="1315" t="s">
        <v>3</v>
      </c>
      <c r="D14" s="1315">
        <f t="shared" si="1"/>
        <v>200</v>
      </c>
      <c r="E14" s="1315" t="s">
        <v>3</v>
      </c>
      <c r="F14" s="1313">
        <f t="shared" si="2"/>
        <v>850</v>
      </c>
      <c r="G14" s="1315" t="s">
        <v>3</v>
      </c>
      <c r="H14" s="1312">
        <v>2</v>
      </c>
      <c r="I14" s="1314" t="s">
        <v>45</v>
      </c>
      <c r="J14" s="184">
        <v>150</v>
      </c>
      <c r="K14" s="75">
        <v>200</v>
      </c>
      <c r="L14" s="75">
        <v>850</v>
      </c>
      <c r="M14" s="202">
        <v>9.8506070673576449</v>
      </c>
      <c r="N14" s="87">
        <v>388.2</v>
      </c>
      <c r="O14" s="123">
        <v>18149.759779905566</v>
      </c>
      <c r="P14" s="119">
        <v>21996.798622879727</v>
      </c>
      <c r="Q14" s="310">
        <v>8788.2927429844149</v>
      </c>
      <c r="R14" s="319">
        <v>26938.052522889979</v>
      </c>
      <c r="S14" s="315">
        <v>30785.091365864144</v>
      </c>
      <c r="U14" s="7" t="s">
        <v>5184</v>
      </c>
    </row>
    <row r="15" spans="1:21" ht="16.5" thickBot="1">
      <c r="A15" s="1311" t="s">
        <v>4588</v>
      </c>
      <c r="B15" s="1315">
        <f t="shared" si="0"/>
        <v>150</v>
      </c>
      <c r="C15" s="1315" t="s">
        <v>3</v>
      </c>
      <c r="D15" s="1315">
        <f t="shared" si="1"/>
        <v>200</v>
      </c>
      <c r="E15" s="1315" t="s">
        <v>3</v>
      </c>
      <c r="F15" s="1313">
        <f t="shared" si="2"/>
        <v>900</v>
      </c>
      <c r="G15" s="1315" t="s">
        <v>3</v>
      </c>
      <c r="H15" s="1312">
        <v>2</v>
      </c>
      <c r="I15" s="1314" t="s">
        <v>45</v>
      </c>
      <c r="J15" s="184">
        <v>150</v>
      </c>
      <c r="K15" s="75">
        <v>200</v>
      </c>
      <c r="L15" s="75">
        <v>900</v>
      </c>
      <c r="M15" s="202">
        <v>10.363141702093074</v>
      </c>
      <c r="N15" s="87">
        <v>427.02000000000004</v>
      </c>
      <c r="O15" s="123">
        <v>18811.268173593679</v>
      </c>
      <c r="P15" s="119">
        <v>22829.349513641853</v>
      </c>
      <c r="Q15" s="310">
        <v>9146.7115221057775</v>
      </c>
      <c r="R15" s="319">
        <v>27957.979695699454</v>
      </c>
      <c r="S15" s="315">
        <v>31976.061035747633</v>
      </c>
      <c r="U15" s="7" t="s">
        <v>5185</v>
      </c>
    </row>
    <row r="16" spans="1:21" ht="16.5" thickBot="1">
      <c r="A16" s="1311" t="s">
        <v>4588</v>
      </c>
      <c r="B16" s="1315">
        <f t="shared" si="0"/>
        <v>150</v>
      </c>
      <c r="C16" s="1315" t="s">
        <v>3</v>
      </c>
      <c r="D16" s="1315">
        <f t="shared" si="1"/>
        <v>200</v>
      </c>
      <c r="E16" s="1315" t="s">
        <v>3</v>
      </c>
      <c r="F16" s="1313">
        <f t="shared" si="2"/>
        <v>950</v>
      </c>
      <c r="G16" s="1315" t="s">
        <v>3</v>
      </c>
      <c r="H16" s="1312">
        <v>2</v>
      </c>
      <c r="I16" s="1314" t="s">
        <v>45</v>
      </c>
      <c r="J16" s="184">
        <v>150</v>
      </c>
      <c r="K16" s="75">
        <v>200</v>
      </c>
      <c r="L16" s="75">
        <v>950</v>
      </c>
      <c r="M16" s="202">
        <v>10.875676336828501</v>
      </c>
      <c r="N16" s="87">
        <v>465.84</v>
      </c>
      <c r="O16" s="123">
        <v>19472.776426888428</v>
      </c>
      <c r="P16" s="119">
        <v>23661.900404403979</v>
      </c>
      <c r="Q16" s="310">
        <v>9735.7119386170507</v>
      </c>
      <c r="R16" s="319">
        <v>29208.48836550548</v>
      </c>
      <c r="S16" s="315">
        <v>33397.612343021028</v>
      </c>
      <c r="U16" s="7" t="s">
        <v>5186</v>
      </c>
    </row>
    <row r="17" spans="1:21" ht="16.5" thickBot="1">
      <c r="A17" s="1311" t="s">
        <v>4588</v>
      </c>
      <c r="B17" s="1315">
        <f t="shared" si="0"/>
        <v>150</v>
      </c>
      <c r="C17" s="1315" t="s">
        <v>3</v>
      </c>
      <c r="D17" s="1315">
        <f t="shared" si="1"/>
        <v>200</v>
      </c>
      <c r="E17" s="1315" t="s">
        <v>3</v>
      </c>
      <c r="F17" s="1313">
        <f t="shared" si="2"/>
        <v>1000</v>
      </c>
      <c r="G17" s="1315" t="s">
        <v>3</v>
      </c>
      <c r="H17" s="1312">
        <v>2</v>
      </c>
      <c r="I17" s="1314" t="s">
        <v>45</v>
      </c>
      <c r="J17" s="184">
        <v>150</v>
      </c>
      <c r="K17" s="75">
        <v>200</v>
      </c>
      <c r="L17" s="75">
        <v>1000</v>
      </c>
      <c r="M17" s="202">
        <v>11.46624697156393</v>
      </c>
      <c r="N17" s="87">
        <v>504.66</v>
      </c>
      <c r="O17" s="123">
        <v>20169.888577306541</v>
      </c>
      <c r="P17" s="119">
        <v>24530.055051896103</v>
      </c>
      <c r="Q17" s="310">
        <v>10094.130577345051</v>
      </c>
      <c r="R17" s="319">
        <v>30264.019154651593</v>
      </c>
      <c r="S17" s="315">
        <v>34624.185629241154</v>
      </c>
      <c r="U17" s="7" t="s">
        <v>5187</v>
      </c>
    </row>
    <row r="18" spans="1:21" ht="16.5" thickBot="1">
      <c r="A18" s="1311" t="s">
        <v>4588</v>
      </c>
      <c r="B18" s="1315">
        <f t="shared" si="0"/>
        <v>150</v>
      </c>
      <c r="C18" s="1315" t="s">
        <v>3</v>
      </c>
      <c r="D18" s="1315">
        <f t="shared" si="1"/>
        <v>200</v>
      </c>
      <c r="E18" s="1315" t="s">
        <v>3</v>
      </c>
      <c r="F18" s="1313">
        <f t="shared" si="2"/>
        <v>1050</v>
      </c>
      <c r="G18" s="1315" t="s">
        <v>3</v>
      </c>
      <c r="H18" s="1312">
        <v>2</v>
      </c>
      <c r="I18" s="1314" t="s">
        <v>45</v>
      </c>
      <c r="J18" s="184">
        <v>150</v>
      </c>
      <c r="K18" s="75">
        <v>200</v>
      </c>
      <c r="L18" s="75">
        <v>1050</v>
      </c>
      <c r="M18" s="202">
        <v>11.978781606299359</v>
      </c>
      <c r="N18" s="87">
        <v>543.4799999999999</v>
      </c>
      <c r="O18" s="123">
        <v>20831.39683060129</v>
      </c>
      <c r="P18" s="119">
        <v>25362.606083051593</v>
      </c>
      <c r="Q18" s="310">
        <v>10683.130993856326</v>
      </c>
      <c r="R18" s="319">
        <v>31514.527824457618</v>
      </c>
      <c r="S18" s="315">
        <v>36045.737076907921</v>
      </c>
      <c r="U18" s="7" t="s">
        <v>5188</v>
      </c>
    </row>
    <row r="19" spans="1:21" ht="16.5" thickBot="1">
      <c r="A19" s="1311" t="s">
        <v>4588</v>
      </c>
      <c r="B19" s="1312">
        <f t="shared" si="0"/>
        <v>150</v>
      </c>
      <c r="C19" s="1312" t="s">
        <v>3</v>
      </c>
      <c r="D19" s="1312">
        <f t="shared" si="1"/>
        <v>200</v>
      </c>
      <c r="E19" s="1312" t="s">
        <v>3</v>
      </c>
      <c r="F19" s="1313">
        <f t="shared" si="2"/>
        <v>1100</v>
      </c>
      <c r="G19" s="1312" t="s">
        <v>3</v>
      </c>
      <c r="H19" s="1312">
        <v>2</v>
      </c>
      <c r="I19" s="1314" t="s">
        <v>45</v>
      </c>
      <c r="J19" s="184">
        <v>150</v>
      </c>
      <c r="K19" s="75">
        <v>200</v>
      </c>
      <c r="L19" s="75">
        <v>1100</v>
      </c>
      <c r="M19" s="202">
        <v>12.491316241034784</v>
      </c>
      <c r="N19" s="87">
        <v>582.29999999999995</v>
      </c>
      <c r="O19" s="123">
        <v>21492.905083896043</v>
      </c>
      <c r="P19" s="119">
        <v>26195.156973813719</v>
      </c>
      <c r="Q19" s="310">
        <v>11041.549772977691</v>
      </c>
      <c r="R19" s="319">
        <v>32534.454856873734</v>
      </c>
      <c r="S19" s="315">
        <v>37236.706746791409</v>
      </c>
      <c r="U19" s="7" t="s">
        <v>5189</v>
      </c>
    </row>
    <row r="20" spans="1:21" ht="16.5" thickBot="1">
      <c r="A20" s="1311" t="s">
        <v>4588</v>
      </c>
      <c r="B20" s="1315">
        <f t="shared" si="0"/>
        <v>150</v>
      </c>
      <c r="C20" s="1315" t="s">
        <v>3</v>
      </c>
      <c r="D20" s="1315">
        <f t="shared" si="1"/>
        <v>200</v>
      </c>
      <c r="E20" s="1315" t="s">
        <v>3</v>
      </c>
      <c r="F20" s="1313">
        <f t="shared" si="2"/>
        <v>1150</v>
      </c>
      <c r="G20" s="1315" t="s">
        <v>3</v>
      </c>
      <c r="H20" s="1312">
        <v>2</v>
      </c>
      <c r="I20" s="1314" t="s">
        <v>45</v>
      </c>
      <c r="J20" s="184">
        <v>150</v>
      </c>
      <c r="K20" s="75">
        <v>200</v>
      </c>
      <c r="L20" s="75">
        <v>1150</v>
      </c>
      <c r="M20" s="202">
        <v>13.003850875770212</v>
      </c>
      <c r="N20" s="87">
        <v>621.12</v>
      </c>
      <c r="O20" s="123">
        <v>22154.413477584156</v>
      </c>
      <c r="P20" s="119">
        <v>27027.707864575845</v>
      </c>
      <c r="Q20" s="310">
        <v>11399.96841170569</v>
      </c>
      <c r="R20" s="319">
        <v>33554.381889289842</v>
      </c>
      <c r="S20" s="315">
        <v>38427.676276281534</v>
      </c>
      <c r="U20" s="7" t="s">
        <v>5190</v>
      </c>
    </row>
    <row r="21" spans="1:21" ht="16.5" thickBot="1">
      <c r="A21" s="1311" t="s">
        <v>4588</v>
      </c>
      <c r="B21" s="1315">
        <f t="shared" si="0"/>
        <v>150</v>
      </c>
      <c r="C21" s="1315" t="s">
        <v>3</v>
      </c>
      <c r="D21" s="1315">
        <f t="shared" si="1"/>
        <v>200</v>
      </c>
      <c r="E21" s="1315" t="s">
        <v>3</v>
      </c>
      <c r="F21" s="1313">
        <f t="shared" si="2"/>
        <v>1200</v>
      </c>
      <c r="G21" s="1315" t="s">
        <v>3</v>
      </c>
      <c r="H21" s="1312">
        <v>2</v>
      </c>
      <c r="I21" s="1314" t="s">
        <v>45</v>
      </c>
      <c r="J21" s="184">
        <v>150</v>
      </c>
      <c r="K21" s="75">
        <v>200</v>
      </c>
      <c r="L21" s="75">
        <v>1200</v>
      </c>
      <c r="M21" s="202">
        <v>13.516385510505639</v>
      </c>
      <c r="N21" s="87">
        <v>659.93999999999994</v>
      </c>
      <c r="O21" s="123">
        <v>22815.921730878905</v>
      </c>
      <c r="P21" s="119">
        <v>27860.258895731331</v>
      </c>
      <c r="Q21" s="310">
        <v>11988.968828216965</v>
      </c>
      <c r="R21" s="319">
        <v>34804.890559095868</v>
      </c>
      <c r="S21" s="315">
        <v>39849.227723948294</v>
      </c>
      <c r="U21" s="7" t="s">
        <v>5191</v>
      </c>
    </row>
    <row r="22" spans="1:21" ht="16.5" thickBot="1">
      <c r="A22" s="1311" t="s">
        <v>4588</v>
      </c>
      <c r="B22" s="1315">
        <f t="shared" si="0"/>
        <v>150</v>
      </c>
      <c r="C22" s="1315" t="s">
        <v>3</v>
      </c>
      <c r="D22" s="1315">
        <f t="shared" si="1"/>
        <v>200</v>
      </c>
      <c r="E22" s="1315" t="s">
        <v>3</v>
      </c>
      <c r="F22" s="1313">
        <f t="shared" si="2"/>
        <v>1250</v>
      </c>
      <c r="G22" s="1315" t="s">
        <v>3</v>
      </c>
      <c r="H22" s="1312">
        <v>2</v>
      </c>
      <c r="I22" s="1314" t="s">
        <v>45</v>
      </c>
      <c r="J22" s="184">
        <v>150</v>
      </c>
      <c r="K22" s="75">
        <v>200</v>
      </c>
      <c r="L22" s="75">
        <v>1250</v>
      </c>
      <c r="M22" s="202">
        <v>14.028920145241067</v>
      </c>
      <c r="N22" s="87">
        <v>698.76</v>
      </c>
      <c r="O22" s="123">
        <v>23477.430124567018</v>
      </c>
      <c r="P22" s="119">
        <v>28692.809786493457</v>
      </c>
      <c r="Q22" s="310">
        <v>12347.387466944965</v>
      </c>
      <c r="R22" s="319">
        <v>35824.817591511979</v>
      </c>
      <c r="S22" s="315">
        <v>41040.197253438426</v>
      </c>
      <c r="U22" s="7" t="s">
        <v>5192</v>
      </c>
    </row>
    <row r="23" spans="1:21" ht="16.5" thickBot="1">
      <c r="A23" s="1311" t="s">
        <v>4588</v>
      </c>
      <c r="B23" s="1315">
        <f t="shared" si="0"/>
        <v>150</v>
      </c>
      <c r="C23" s="1315" t="s">
        <v>3</v>
      </c>
      <c r="D23" s="1315">
        <f t="shared" si="1"/>
        <v>200</v>
      </c>
      <c r="E23" s="1315" t="s">
        <v>3</v>
      </c>
      <c r="F23" s="1313">
        <f t="shared" si="2"/>
        <v>1300</v>
      </c>
      <c r="G23" s="1315" t="s">
        <v>3</v>
      </c>
      <c r="H23" s="1312">
        <v>2</v>
      </c>
      <c r="I23" s="1314" t="s">
        <v>45</v>
      </c>
      <c r="J23" s="184">
        <v>150</v>
      </c>
      <c r="K23" s="75">
        <v>200</v>
      </c>
      <c r="L23" s="75">
        <v>1300</v>
      </c>
      <c r="M23" s="202">
        <v>14.541454779976497</v>
      </c>
      <c r="N23" s="87">
        <v>737.57999999999993</v>
      </c>
      <c r="O23" s="123">
        <v>24138.938377861767</v>
      </c>
      <c r="P23" s="119">
        <v>29525.360677255441</v>
      </c>
      <c r="Q23" s="310">
        <v>12936.38788345624</v>
      </c>
      <c r="R23" s="319">
        <v>37075.326261318005</v>
      </c>
      <c r="S23" s="315">
        <v>42461.748560711683</v>
      </c>
      <c r="U23" s="7" t="s">
        <v>5193</v>
      </c>
    </row>
    <row r="24" spans="1:21" ht="16.5" thickBot="1">
      <c r="A24" s="1311" t="s">
        <v>4588</v>
      </c>
      <c r="B24" s="1315">
        <f t="shared" si="0"/>
        <v>150</v>
      </c>
      <c r="C24" s="1315" t="s">
        <v>3</v>
      </c>
      <c r="D24" s="1315">
        <f t="shared" si="1"/>
        <v>200</v>
      </c>
      <c r="E24" s="1315" t="s">
        <v>3</v>
      </c>
      <c r="F24" s="1313">
        <f t="shared" si="2"/>
        <v>1350</v>
      </c>
      <c r="G24" s="1315" t="s">
        <v>3</v>
      </c>
      <c r="H24" s="1312">
        <v>2</v>
      </c>
      <c r="I24" s="1314" t="s">
        <v>45</v>
      </c>
      <c r="J24" s="184">
        <v>150</v>
      </c>
      <c r="K24" s="75">
        <v>200</v>
      </c>
      <c r="L24" s="75">
        <v>1350</v>
      </c>
      <c r="M24" s="202">
        <v>15.053989414711921</v>
      </c>
      <c r="N24" s="87">
        <v>776.4</v>
      </c>
      <c r="O24" s="123">
        <v>24800.446631156519</v>
      </c>
      <c r="P24" s="119">
        <v>30357.911708411066</v>
      </c>
      <c r="Q24" s="310">
        <v>13294.806662577603</v>
      </c>
      <c r="R24" s="319">
        <v>38095.253293734124</v>
      </c>
      <c r="S24" s="315">
        <v>43652.718370988667</v>
      </c>
      <c r="U24" s="7" t="s">
        <v>5194</v>
      </c>
    </row>
    <row r="25" spans="1:21" ht="16.5" thickBot="1">
      <c r="A25" s="1311" t="s">
        <v>4588</v>
      </c>
      <c r="B25" s="1315">
        <f t="shared" si="0"/>
        <v>150</v>
      </c>
      <c r="C25" s="1315" t="s">
        <v>3</v>
      </c>
      <c r="D25" s="1315">
        <f t="shared" si="1"/>
        <v>200</v>
      </c>
      <c r="E25" s="1315" t="s">
        <v>3</v>
      </c>
      <c r="F25" s="1313">
        <f t="shared" si="2"/>
        <v>1400</v>
      </c>
      <c r="G25" s="1315" t="s">
        <v>3</v>
      </c>
      <c r="H25" s="1312">
        <v>2</v>
      </c>
      <c r="I25" s="1314" t="s">
        <v>45</v>
      </c>
      <c r="J25" s="184">
        <v>150</v>
      </c>
      <c r="K25" s="75">
        <v>200</v>
      </c>
      <c r="L25" s="75">
        <v>1400</v>
      </c>
      <c r="M25" s="202">
        <v>15.566524049447349</v>
      </c>
      <c r="N25" s="87">
        <v>815.22</v>
      </c>
      <c r="O25" s="123">
        <v>25461.955024844628</v>
      </c>
      <c r="P25" s="119">
        <v>31190.462599173195</v>
      </c>
      <c r="Q25" s="310">
        <v>13883.807079088876</v>
      </c>
      <c r="R25" s="319">
        <v>39345.762103933506</v>
      </c>
      <c r="S25" s="315">
        <v>45074.26967826207</v>
      </c>
      <c r="U25" s="7" t="s">
        <v>5195</v>
      </c>
    </row>
    <row r="26" spans="1:21" ht="16.5" thickBot="1">
      <c r="A26" s="1311" t="s">
        <v>4588</v>
      </c>
      <c r="B26" s="1315">
        <f t="shared" si="0"/>
        <v>150</v>
      </c>
      <c r="C26" s="1315" t="s">
        <v>3</v>
      </c>
      <c r="D26" s="1315">
        <f t="shared" si="1"/>
        <v>200</v>
      </c>
      <c r="E26" s="1315" t="s">
        <v>3</v>
      </c>
      <c r="F26" s="1313">
        <f t="shared" si="2"/>
        <v>1450</v>
      </c>
      <c r="G26" s="1315" t="s">
        <v>3</v>
      </c>
      <c r="H26" s="1312">
        <v>2</v>
      </c>
      <c r="I26" s="1314" t="s">
        <v>45</v>
      </c>
      <c r="J26" s="184">
        <v>150</v>
      </c>
      <c r="K26" s="75">
        <v>200</v>
      </c>
      <c r="L26" s="75">
        <v>1450</v>
      </c>
      <c r="M26" s="202">
        <v>16.079058684182776</v>
      </c>
      <c r="N26" s="87">
        <v>854.04000000000008</v>
      </c>
      <c r="O26" s="123">
        <v>26123.463278139378</v>
      </c>
      <c r="P26" s="119">
        <v>32023.013489935318</v>
      </c>
      <c r="Q26" s="310">
        <v>14242.225717816877</v>
      </c>
      <c r="R26" s="319">
        <v>40365.688995956254</v>
      </c>
      <c r="S26" s="315">
        <v>46265.239207752194</v>
      </c>
      <c r="U26" s="7" t="s">
        <v>5196</v>
      </c>
    </row>
    <row r="27" spans="1:21" ht="16.5" thickBot="1">
      <c r="A27" s="1311" t="s">
        <v>4588</v>
      </c>
      <c r="B27" s="1315">
        <f t="shared" si="0"/>
        <v>150</v>
      </c>
      <c r="C27" s="1315" t="s">
        <v>3</v>
      </c>
      <c r="D27" s="1315">
        <f t="shared" si="1"/>
        <v>200</v>
      </c>
      <c r="E27" s="1315" t="s">
        <v>3</v>
      </c>
      <c r="F27" s="1313">
        <f t="shared" si="2"/>
        <v>1500</v>
      </c>
      <c r="G27" s="1315" t="s">
        <v>3</v>
      </c>
      <c r="H27" s="1312">
        <v>2</v>
      </c>
      <c r="I27" s="1314" t="s">
        <v>45</v>
      </c>
      <c r="J27" s="184">
        <v>150</v>
      </c>
      <c r="K27" s="75">
        <v>200</v>
      </c>
      <c r="L27" s="75">
        <v>1500</v>
      </c>
      <c r="M27" s="202">
        <v>16.881956118918204</v>
      </c>
      <c r="N27" s="87">
        <v>892.8599999999999</v>
      </c>
      <c r="O27" s="123">
        <v>27466.803829851196</v>
      </c>
      <c r="P27" s="119">
        <v>33722.45113573283</v>
      </c>
      <c r="Q27" s="310">
        <v>14831.226134328155</v>
      </c>
      <c r="R27" s="319">
        <v>42298.029964179354</v>
      </c>
      <c r="S27" s="315">
        <v>48553.677270060987</v>
      </c>
      <c r="U27" s="7" t="s">
        <v>5197</v>
      </c>
    </row>
    <row r="28" spans="1:21" ht="16.5" thickBot="1">
      <c r="A28" s="1311" t="s">
        <v>4588</v>
      </c>
      <c r="B28" s="1315">
        <f t="shared" si="0"/>
        <v>150</v>
      </c>
      <c r="C28" s="1315" t="s">
        <v>3</v>
      </c>
      <c r="D28" s="1315">
        <f t="shared" si="1"/>
        <v>200</v>
      </c>
      <c r="E28" s="1315" t="s">
        <v>3</v>
      </c>
      <c r="F28" s="1313">
        <f t="shared" si="2"/>
        <v>1550</v>
      </c>
      <c r="G28" s="1315" t="s">
        <v>3</v>
      </c>
      <c r="H28" s="1312">
        <v>2</v>
      </c>
      <c r="I28" s="1314" t="s">
        <v>45</v>
      </c>
      <c r="J28" s="184">
        <v>150</v>
      </c>
      <c r="K28" s="75">
        <v>200</v>
      </c>
      <c r="L28" s="75">
        <v>1550</v>
      </c>
      <c r="M28" s="202">
        <v>17.394490753653631</v>
      </c>
      <c r="N28" s="87">
        <v>931.68</v>
      </c>
      <c r="O28" s="123">
        <v>28128.312083145942</v>
      </c>
      <c r="P28" s="119">
        <v>34555.002026494956</v>
      </c>
      <c r="Q28" s="310">
        <v>15189.644913449516</v>
      </c>
      <c r="R28" s="319">
        <v>43317.956996595458</v>
      </c>
      <c r="S28" s="315">
        <v>49744.646939944476</v>
      </c>
      <c r="U28" s="7" t="s">
        <v>5198</v>
      </c>
    </row>
    <row r="29" spans="1:21" ht="16.5" thickBot="1">
      <c r="A29" s="1311" t="s">
        <v>4588</v>
      </c>
      <c r="B29" s="1312">
        <f t="shared" si="0"/>
        <v>150</v>
      </c>
      <c r="C29" s="1312" t="s">
        <v>3</v>
      </c>
      <c r="D29" s="1312">
        <f t="shared" si="1"/>
        <v>200</v>
      </c>
      <c r="E29" s="1312" t="s">
        <v>3</v>
      </c>
      <c r="F29" s="1313">
        <f t="shared" si="2"/>
        <v>1600</v>
      </c>
      <c r="G29" s="1312" t="s">
        <v>3</v>
      </c>
      <c r="H29" s="1312">
        <v>2</v>
      </c>
      <c r="I29" s="1314" t="s">
        <v>45</v>
      </c>
      <c r="J29" s="184">
        <v>150</v>
      </c>
      <c r="K29" s="75">
        <v>200</v>
      </c>
      <c r="L29" s="75">
        <v>1600</v>
      </c>
      <c r="M29" s="202">
        <v>17.907025388389062</v>
      </c>
      <c r="N29" s="87">
        <v>970.5</v>
      </c>
      <c r="O29" s="123">
        <v>28789.820476834055</v>
      </c>
      <c r="P29" s="119">
        <v>35387.552917257082</v>
      </c>
      <c r="Q29" s="310">
        <v>15548.063552177517</v>
      </c>
      <c r="R29" s="319">
        <v>44337.88402901157</v>
      </c>
      <c r="S29" s="315">
        <v>50935.616469434601</v>
      </c>
      <c r="U29" s="7" t="s">
        <v>5199</v>
      </c>
    </row>
    <row r="30" spans="1:21" ht="16.5" thickBot="1">
      <c r="A30" s="1311" t="s">
        <v>4588</v>
      </c>
      <c r="B30" s="1315">
        <f t="shared" si="0"/>
        <v>150</v>
      </c>
      <c r="C30" s="1315" t="s">
        <v>3</v>
      </c>
      <c r="D30" s="1315">
        <f t="shared" si="1"/>
        <v>200</v>
      </c>
      <c r="E30" s="1315" t="s">
        <v>3</v>
      </c>
      <c r="F30" s="1313">
        <f t="shared" si="2"/>
        <v>1650</v>
      </c>
      <c r="G30" s="1315" t="s">
        <v>3</v>
      </c>
      <c r="H30" s="1312">
        <v>2</v>
      </c>
      <c r="I30" s="1314" t="s">
        <v>45</v>
      </c>
      <c r="J30" s="184">
        <v>150</v>
      </c>
      <c r="K30" s="75">
        <v>200</v>
      </c>
      <c r="L30" s="75">
        <v>1650</v>
      </c>
      <c r="M30" s="202">
        <v>18.41956002312449</v>
      </c>
      <c r="N30" s="87">
        <v>1009.32</v>
      </c>
      <c r="O30" s="123">
        <v>29451.328730128807</v>
      </c>
      <c r="P30" s="119">
        <v>36220.103948412572</v>
      </c>
      <c r="Q30" s="310">
        <v>16137.063968688792</v>
      </c>
      <c r="R30" s="319">
        <v>45588.392698817595</v>
      </c>
      <c r="S30" s="315">
        <v>52357.167917101367</v>
      </c>
      <c r="U30" s="7" t="s">
        <v>5200</v>
      </c>
    </row>
    <row r="31" spans="1:21" ht="16.5" thickBot="1">
      <c r="A31" s="1311" t="s">
        <v>4588</v>
      </c>
      <c r="B31" s="1315">
        <f t="shared" si="0"/>
        <v>150</v>
      </c>
      <c r="C31" s="1315" t="s">
        <v>3</v>
      </c>
      <c r="D31" s="1315">
        <f t="shared" si="1"/>
        <v>200</v>
      </c>
      <c r="E31" s="1315" t="s">
        <v>3</v>
      </c>
      <c r="F31" s="1313">
        <f t="shared" si="2"/>
        <v>1700</v>
      </c>
      <c r="G31" s="1315" t="s">
        <v>3</v>
      </c>
      <c r="H31" s="1312">
        <v>2</v>
      </c>
      <c r="I31" s="1314" t="s">
        <v>45</v>
      </c>
      <c r="J31" s="184">
        <v>150</v>
      </c>
      <c r="K31" s="75">
        <v>200</v>
      </c>
      <c r="L31" s="75">
        <v>1700</v>
      </c>
      <c r="M31" s="202">
        <v>18.932094657859917</v>
      </c>
      <c r="N31" s="87">
        <v>1048.1400000000001</v>
      </c>
      <c r="O31" s="123">
        <v>30112.837123816917</v>
      </c>
      <c r="P31" s="119">
        <v>37052.654839174698</v>
      </c>
      <c r="Q31" s="310">
        <v>16495.48260741679</v>
      </c>
      <c r="R31" s="319">
        <v>46608.319731233707</v>
      </c>
      <c r="S31" s="315">
        <v>53548.137446591485</v>
      </c>
      <c r="U31" s="7" t="s">
        <v>5201</v>
      </c>
    </row>
    <row r="32" spans="1:21" ht="16.5" thickBot="1">
      <c r="A32" s="1311" t="s">
        <v>4588</v>
      </c>
      <c r="B32" s="1315">
        <f t="shared" si="0"/>
        <v>150</v>
      </c>
      <c r="C32" s="1315" t="s">
        <v>3</v>
      </c>
      <c r="D32" s="1315">
        <f t="shared" si="1"/>
        <v>200</v>
      </c>
      <c r="E32" s="1315" t="s">
        <v>3</v>
      </c>
      <c r="F32" s="1313">
        <f t="shared" si="2"/>
        <v>1750</v>
      </c>
      <c r="G32" s="1315" t="s">
        <v>3</v>
      </c>
      <c r="H32" s="1312">
        <v>2</v>
      </c>
      <c r="I32" s="1314" t="s">
        <v>45</v>
      </c>
      <c r="J32" s="184">
        <v>150</v>
      </c>
      <c r="K32" s="75">
        <v>200</v>
      </c>
      <c r="L32" s="75">
        <v>1750</v>
      </c>
      <c r="M32" s="202">
        <v>19.444629292595344</v>
      </c>
      <c r="N32" s="87">
        <v>1086.9599999999998</v>
      </c>
      <c r="O32" s="123">
        <v>30774.345377111669</v>
      </c>
      <c r="P32" s="119">
        <v>37885.205729936817</v>
      </c>
      <c r="Q32" s="310">
        <v>17084.483023928067</v>
      </c>
      <c r="R32" s="319">
        <v>47858.828401039733</v>
      </c>
      <c r="S32" s="315">
        <v>54969.688753864888</v>
      </c>
      <c r="U32" s="7" t="s">
        <v>5202</v>
      </c>
    </row>
    <row r="33" spans="1:21" ht="16.5" thickBot="1">
      <c r="A33" s="1311" t="s">
        <v>4588</v>
      </c>
      <c r="B33" s="1315">
        <f t="shared" si="0"/>
        <v>150</v>
      </c>
      <c r="C33" s="1315" t="s">
        <v>3</v>
      </c>
      <c r="D33" s="1315">
        <f t="shared" si="1"/>
        <v>200</v>
      </c>
      <c r="E33" s="1315" t="s">
        <v>3</v>
      </c>
      <c r="F33" s="1313">
        <f t="shared" si="2"/>
        <v>1800</v>
      </c>
      <c r="G33" s="1315" t="s">
        <v>3</v>
      </c>
      <c r="H33" s="1312">
        <v>2</v>
      </c>
      <c r="I33" s="1314" t="s">
        <v>45</v>
      </c>
      <c r="J33" s="184">
        <v>150</v>
      </c>
      <c r="K33" s="75">
        <v>200</v>
      </c>
      <c r="L33" s="75">
        <v>1800</v>
      </c>
      <c r="M33" s="202">
        <v>19.957163927330775</v>
      </c>
      <c r="N33" s="87">
        <v>1125.78</v>
      </c>
      <c r="O33" s="123">
        <v>31435.853630406418</v>
      </c>
      <c r="P33" s="119">
        <v>38717.756761092307</v>
      </c>
      <c r="Q33" s="310">
        <v>17442.90180304943</v>
      </c>
      <c r="R33" s="319">
        <v>48878.755433455852</v>
      </c>
      <c r="S33" s="315">
        <v>56160.658564141733</v>
      </c>
      <c r="U33" s="7" t="s">
        <v>5203</v>
      </c>
    </row>
    <row r="34" spans="1:21" ht="16.5" thickBot="1">
      <c r="A34" s="1311" t="s">
        <v>4588</v>
      </c>
      <c r="B34" s="1315">
        <f t="shared" si="0"/>
        <v>150</v>
      </c>
      <c r="C34" s="1315" t="s">
        <v>3</v>
      </c>
      <c r="D34" s="1315">
        <f t="shared" si="1"/>
        <v>200</v>
      </c>
      <c r="E34" s="1315" t="s">
        <v>3</v>
      </c>
      <c r="F34" s="1313">
        <f t="shared" si="2"/>
        <v>1850</v>
      </c>
      <c r="G34" s="1315" t="s">
        <v>3</v>
      </c>
      <c r="H34" s="1312">
        <v>2</v>
      </c>
      <c r="I34" s="1314" t="s">
        <v>45</v>
      </c>
      <c r="J34" s="184">
        <v>150</v>
      </c>
      <c r="K34" s="75">
        <v>200</v>
      </c>
      <c r="L34" s="75">
        <v>1850</v>
      </c>
      <c r="M34" s="202">
        <v>20.469698562066199</v>
      </c>
      <c r="N34" s="87">
        <v>1164.5999999999999</v>
      </c>
      <c r="O34" s="123">
        <v>32097.362024094531</v>
      </c>
      <c r="P34" s="119">
        <v>39550.307651854433</v>
      </c>
      <c r="Q34" s="310">
        <v>18031.902219560703</v>
      </c>
      <c r="R34" s="319">
        <v>50129.264243655234</v>
      </c>
      <c r="S34" s="315">
        <v>57582.209871415136</v>
      </c>
      <c r="U34" s="7" t="s">
        <v>5204</v>
      </c>
    </row>
    <row r="35" spans="1:21" ht="16.5" thickBot="1">
      <c r="A35" s="1311" t="s">
        <v>4588</v>
      </c>
      <c r="B35" s="1315">
        <f t="shared" si="0"/>
        <v>150</v>
      </c>
      <c r="C35" s="1315" t="s">
        <v>3</v>
      </c>
      <c r="D35" s="1315">
        <f t="shared" si="1"/>
        <v>200</v>
      </c>
      <c r="E35" s="1315" t="s">
        <v>3</v>
      </c>
      <c r="F35" s="1313">
        <f t="shared" si="2"/>
        <v>1900</v>
      </c>
      <c r="G35" s="1315" t="s">
        <v>3</v>
      </c>
      <c r="H35" s="1312">
        <v>2</v>
      </c>
      <c r="I35" s="1314" t="s">
        <v>45</v>
      </c>
      <c r="J35" s="184">
        <v>150</v>
      </c>
      <c r="K35" s="75">
        <v>200</v>
      </c>
      <c r="L35" s="75">
        <v>1900</v>
      </c>
      <c r="M35" s="202">
        <v>20.982233196801626</v>
      </c>
      <c r="N35" s="87">
        <v>1203.42</v>
      </c>
      <c r="O35" s="123">
        <v>32758.87027738928</v>
      </c>
      <c r="P35" s="119">
        <v>40382.858542616559</v>
      </c>
      <c r="Q35" s="310">
        <v>18390.320858288702</v>
      </c>
      <c r="R35" s="319">
        <v>51149.191135677982</v>
      </c>
      <c r="S35" s="315">
        <v>58773.179400905261</v>
      </c>
      <c r="U35" s="7" t="s">
        <v>5205</v>
      </c>
    </row>
    <row r="36" spans="1:21" ht="16.5" thickBot="1">
      <c r="A36" s="1311" t="s">
        <v>4588</v>
      </c>
      <c r="B36" s="1315">
        <f t="shared" si="0"/>
        <v>150</v>
      </c>
      <c r="C36" s="1315" t="s">
        <v>3</v>
      </c>
      <c r="D36" s="1315">
        <f t="shared" si="1"/>
        <v>200</v>
      </c>
      <c r="E36" s="1315" t="s">
        <v>3</v>
      </c>
      <c r="F36" s="1313">
        <f t="shared" si="2"/>
        <v>1950</v>
      </c>
      <c r="G36" s="1315" t="s">
        <v>3</v>
      </c>
      <c r="H36" s="1312">
        <v>2</v>
      </c>
      <c r="I36" s="1314" t="s">
        <v>45</v>
      </c>
      <c r="J36" s="184">
        <v>150</v>
      </c>
      <c r="K36" s="75">
        <v>200</v>
      </c>
      <c r="L36" s="75">
        <v>1950</v>
      </c>
      <c r="M36" s="202">
        <v>21.494767831537054</v>
      </c>
      <c r="N36" s="87">
        <v>1242.24</v>
      </c>
      <c r="O36" s="123">
        <v>33420.378671077393</v>
      </c>
      <c r="P36" s="119">
        <v>41215.409433378685</v>
      </c>
      <c r="Q36" s="310">
        <v>18748.739497016704</v>
      </c>
      <c r="R36" s="319">
        <v>52169.118168094094</v>
      </c>
      <c r="S36" s="315">
        <v>59964.148930395386</v>
      </c>
      <c r="U36" s="7" t="s">
        <v>5206</v>
      </c>
    </row>
    <row r="37" spans="1:21" ht="16.5" thickBot="1">
      <c r="A37" s="1311" t="s">
        <v>4588</v>
      </c>
      <c r="B37" s="1315">
        <f t="shared" si="0"/>
        <v>150</v>
      </c>
      <c r="C37" s="1315" t="s">
        <v>3</v>
      </c>
      <c r="D37" s="1315">
        <f t="shared" si="1"/>
        <v>200</v>
      </c>
      <c r="E37" s="1315" t="s">
        <v>3</v>
      </c>
      <c r="F37" s="1313">
        <f t="shared" si="2"/>
        <v>2000</v>
      </c>
      <c r="G37" s="1315" t="s">
        <v>3</v>
      </c>
      <c r="H37" s="1312">
        <v>2</v>
      </c>
      <c r="I37" s="1314" t="s">
        <v>45</v>
      </c>
      <c r="J37" s="184">
        <v>150</v>
      </c>
      <c r="K37" s="75">
        <v>200</v>
      </c>
      <c r="L37" s="75">
        <v>2000</v>
      </c>
      <c r="M37" s="202">
        <v>22.085338466272482</v>
      </c>
      <c r="N37" s="87">
        <v>1281.06</v>
      </c>
      <c r="O37" s="123">
        <v>34513.900606082825</v>
      </c>
      <c r="P37" s="119">
        <v>42186.893736064172</v>
      </c>
      <c r="Q37" s="310">
        <v>19337.740053921341</v>
      </c>
      <c r="R37" s="319">
        <v>53851.640660004166</v>
      </c>
      <c r="S37" s="315">
        <v>61524.633789985513</v>
      </c>
      <c r="U37" s="7" t="s">
        <v>5207</v>
      </c>
    </row>
    <row r="38" spans="1:21" ht="16.5" thickBot="1">
      <c r="A38" s="1311" t="s">
        <v>4588</v>
      </c>
      <c r="B38" s="1315">
        <f t="shared" si="0"/>
        <v>150</v>
      </c>
      <c r="C38" s="1315" t="s">
        <v>3</v>
      </c>
      <c r="D38" s="1315">
        <f t="shared" si="1"/>
        <v>200</v>
      </c>
      <c r="E38" s="1315" t="s">
        <v>3</v>
      </c>
      <c r="F38" s="1313">
        <f t="shared" si="2"/>
        <v>2050</v>
      </c>
      <c r="G38" s="1315" t="s">
        <v>3</v>
      </c>
      <c r="H38" s="1312">
        <v>2</v>
      </c>
      <c r="I38" s="1314" t="s">
        <v>45</v>
      </c>
      <c r="J38" s="184">
        <v>150</v>
      </c>
      <c r="K38" s="75">
        <v>200</v>
      </c>
      <c r="L38" s="75">
        <v>2050</v>
      </c>
      <c r="M38" s="202">
        <v>22.597873101007913</v>
      </c>
      <c r="N38" s="87">
        <v>1319.8799999999999</v>
      </c>
      <c r="O38" s="123">
        <v>35175.408859377567</v>
      </c>
      <c r="P38" s="119">
        <v>43019.444626826291</v>
      </c>
      <c r="Q38" s="310">
        <v>19696.15869264934</v>
      </c>
      <c r="R38" s="319">
        <v>54871.567552026907</v>
      </c>
      <c r="S38" s="315">
        <v>62715.603319475631</v>
      </c>
      <c r="U38" s="7" t="s">
        <v>5208</v>
      </c>
    </row>
    <row r="39" spans="1:21" ht="16.5" thickBot="1">
      <c r="A39" s="1311" t="s">
        <v>4588</v>
      </c>
      <c r="B39" s="1312">
        <f t="shared" si="0"/>
        <v>150</v>
      </c>
      <c r="C39" s="1312" t="s">
        <v>3</v>
      </c>
      <c r="D39" s="1312">
        <f t="shared" si="1"/>
        <v>200</v>
      </c>
      <c r="E39" s="1312" t="s">
        <v>3</v>
      </c>
      <c r="F39" s="1313">
        <f t="shared" si="2"/>
        <v>2100</v>
      </c>
      <c r="G39" s="1312" t="s">
        <v>3</v>
      </c>
      <c r="H39" s="1312">
        <v>2</v>
      </c>
      <c r="I39" s="1314" t="s">
        <v>45</v>
      </c>
      <c r="J39" s="184">
        <v>150</v>
      </c>
      <c r="K39" s="75">
        <v>200</v>
      </c>
      <c r="L39" s="75">
        <v>2100</v>
      </c>
      <c r="M39" s="202">
        <v>23.110407735743337</v>
      </c>
      <c r="N39" s="87">
        <v>1358.7</v>
      </c>
      <c r="O39" s="123">
        <v>35836.917112672316</v>
      </c>
      <c r="P39" s="119">
        <v>43851.995517588424</v>
      </c>
      <c r="Q39" s="310">
        <v>20285.159109160617</v>
      </c>
      <c r="R39" s="319">
        <v>56122.076221832933</v>
      </c>
      <c r="S39" s="315">
        <v>64137.154626749041</v>
      </c>
      <c r="U39" s="7" t="s">
        <v>5209</v>
      </c>
    </row>
    <row r="40" spans="1:21" ht="16.5" thickBot="1">
      <c r="A40" s="1311" t="s">
        <v>4588</v>
      </c>
      <c r="B40" s="1315">
        <f t="shared" si="0"/>
        <v>150</v>
      </c>
      <c r="C40" s="1315" t="s">
        <v>3</v>
      </c>
      <c r="D40" s="1315">
        <f t="shared" si="1"/>
        <v>200</v>
      </c>
      <c r="E40" s="1315" t="s">
        <v>3</v>
      </c>
      <c r="F40" s="1313">
        <f t="shared" si="2"/>
        <v>2150</v>
      </c>
      <c r="G40" s="1315" t="s">
        <v>3</v>
      </c>
      <c r="H40" s="1312">
        <v>2</v>
      </c>
      <c r="I40" s="1314" t="s">
        <v>45</v>
      </c>
      <c r="J40" s="184">
        <v>150</v>
      </c>
      <c r="K40" s="75">
        <v>200</v>
      </c>
      <c r="L40" s="75">
        <v>2150</v>
      </c>
      <c r="M40" s="202">
        <v>23.622942370478768</v>
      </c>
      <c r="N40" s="87">
        <v>1397.52</v>
      </c>
      <c r="O40" s="123">
        <v>36498.425506360436</v>
      </c>
      <c r="P40" s="119">
        <v>44684.546548743914</v>
      </c>
      <c r="Q40" s="310">
        <v>20643.577747888616</v>
      </c>
      <c r="R40" s="319">
        <v>57142.003254249052</v>
      </c>
      <c r="S40" s="315">
        <v>65328.12429663253</v>
      </c>
      <c r="U40" s="7" t="s">
        <v>5210</v>
      </c>
    </row>
    <row r="41" spans="1:21" ht="16.5" thickBot="1">
      <c r="A41" s="1311" t="s">
        <v>4588</v>
      </c>
      <c r="B41" s="1315">
        <f t="shared" si="0"/>
        <v>150</v>
      </c>
      <c r="C41" s="1315" t="s">
        <v>3</v>
      </c>
      <c r="D41" s="1315">
        <f t="shared" si="1"/>
        <v>200</v>
      </c>
      <c r="E41" s="1315" t="s">
        <v>3</v>
      </c>
      <c r="F41" s="1313">
        <f t="shared" si="2"/>
        <v>2200</v>
      </c>
      <c r="G41" s="1315" t="s">
        <v>3</v>
      </c>
      <c r="H41" s="1312">
        <v>2</v>
      </c>
      <c r="I41" s="1314" t="s">
        <v>45</v>
      </c>
      <c r="J41" s="184">
        <v>150</v>
      </c>
      <c r="K41" s="75">
        <v>200</v>
      </c>
      <c r="L41" s="75">
        <v>2200</v>
      </c>
      <c r="M41" s="202">
        <v>24.135477005214199</v>
      </c>
      <c r="N41" s="87">
        <v>1436.34</v>
      </c>
      <c r="O41" s="123">
        <v>37159.933759655185</v>
      </c>
      <c r="P41" s="119">
        <v>45517.097439506033</v>
      </c>
      <c r="Q41" s="310">
        <v>21232.578164399893</v>
      </c>
      <c r="R41" s="319">
        <v>58392.511924055078</v>
      </c>
      <c r="S41" s="315">
        <v>66749.675603905926</v>
      </c>
      <c r="U41" s="7" t="s">
        <v>5211</v>
      </c>
    </row>
    <row r="42" spans="1:21" ht="16.5" thickBot="1">
      <c r="A42" s="1311" t="s">
        <v>4588</v>
      </c>
      <c r="B42" s="1315">
        <f t="shared" si="0"/>
        <v>150</v>
      </c>
      <c r="C42" s="1315" t="s">
        <v>3</v>
      </c>
      <c r="D42" s="1315">
        <f t="shared" si="1"/>
        <v>200</v>
      </c>
      <c r="E42" s="1315" t="s">
        <v>3</v>
      </c>
      <c r="F42" s="1313">
        <f t="shared" si="2"/>
        <v>2250</v>
      </c>
      <c r="G42" s="1315" t="s">
        <v>3</v>
      </c>
      <c r="H42" s="1312">
        <v>2</v>
      </c>
      <c r="I42" s="1314" t="s">
        <v>45</v>
      </c>
      <c r="J42" s="184">
        <v>150</v>
      </c>
      <c r="K42" s="75">
        <v>200</v>
      </c>
      <c r="L42" s="75">
        <v>2250</v>
      </c>
      <c r="M42" s="202">
        <v>24.648011639949623</v>
      </c>
      <c r="N42" s="87">
        <v>1475.1599999999999</v>
      </c>
      <c r="O42" s="123">
        <v>37821.442012949934</v>
      </c>
      <c r="P42" s="119">
        <v>46349.648330268159</v>
      </c>
      <c r="Q42" s="310">
        <v>21590.996943521255</v>
      </c>
      <c r="R42" s="319">
        <v>59412.438956471189</v>
      </c>
      <c r="S42" s="315">
        <v>67940.645273789414</v>
      </c>
      <c r="U42" s="7" t="s">
        <v>5212</v>
      </c>
    </row>
    <row r="43" spans="1:21" ht="16.5" thickBot="1">
      <c r="A43" s="1311" t="s">
        <v>4588</v>
      </c>
      <c r="B43" s="1315">
        <f t="shared" si="0"/>
        <v>150</v>
      </c>
      <c r="C43" s="1315" t="s">
        <v>3</v>
      </c>
      <c r="D43" s="1315">
        <f t="shared" si="1"/>
        <v>200</v>
      </c>
      <c r="E43" s="1315" t="s">
        <v>3</v>
      </c>
      <c r="F43" s="1313">
        <f t="shared" si="2"/>
        <v>2300</v>
      </c>
      <c r="G43" s="1315" t="s">
        <v>3</v>
      </c>
      <c r="H43" s="1312">
        <v>2</v>
      </c>
      <c r="I43" s="1314" t="s">
        <v>45</v>
      </c>
      <c r="J43" s="184">
        <v>150</v>
      </c>
      <c r="K43" s="75">
        <v>200</v>
      </c>
      <c r="L43" s="75">
        <v>2300</v>
      </c>
      <c r="M43" s="202">
        <v>25.16054627468505</v>
      </c>
      <c r="N43" s="87">
        <v>1513.98</v>
      </c>
      <c r="O43" s="123">
        <v>38482.950406638047</v>
      </c>
      <c r="P43" s="119">
        <v>47182.199221030285</v>
      </c>
      <c r="Q43" s="310">
        <v>21949.415582249254</v>
      </c>
      <c r="R43" s="319">
        <v>60432.365988887301</v>
      </c>
      <c r="S43" s="315">
        <v>69131.614803279546</v>
      </c>
      <c r="U43" s="7" t="s">
        <v>5213</v>
      </c>
    </row>
    <row r="44" spans="1:21" ht="16.5" thickBot="1">
      <c r="A44" s="1311" t="s">
        <v>4588</v>
      </c>
      <c r="B44" s="1315">
        <f t="shared" si="0"/>
        <v>150</v>
      </c>
      <c r="C44" s="1315" t="s">
        <v>3</v>
      </c>
      <c r="D44" s="1315">
        <f t="shared" si="1"/>
        <v>200</v>
      </c>
      <c r="E44" s="1315" t="s">
        <v>3</v>
      </c>
      <c r="F44" s="1313">
        <f t="shared" si="2"/>
        <v>2350</v>
      </c>
      <c r="G44" s="1315" t="s">
        <v>3</v>
      </c>
      <c r="H44" s="1312">
        <v>2</v>
      </c>
      <c r="I44" s="1314" t="s">
        <v>45</v>
      </c>
      <c r="J44" s="184">
        <v>150</v>
      </c>
      <c r="K44" s="75">
        <v>200</v>
      </c>
      <c r="L44" s="75">
        <v>2350</v>
      </c>
      <c r="M44" s="202">
        <v>25.673080909420477</v>
      </c>
      <c r="N44" s="87">
        <v>1552.8</v>
      </c>
      <c r="O44" s="123">
        <v>39144.458659932796</v>
      </c>
      <c r="P44" s="119">
        <v>48014.750252185775</v>
      </c>
      <c r="Q44" s="310">
        <v>22538.415998760531</v>
      </c>
      <c r="R44" s="319">
        <v>61682.874658693327</v>
      </c>
      <c r="S44" s="315">
        <v>70553.166250946306</v>
      </c>
      <c r="U44" s="7" t="s">
        <v>5214</v>
      </c>
    </row>
    <row r="45" spans="1:21" ht="16.5" thickBot="1">
      <c r="A45" s="1311" t="s">
        <v>4588</v>
      </c>
      <c r="B45" s="1315">
        <f t="shared" si="0"/>
        <v>150</v>
      </c>
      <c r="C45" s="1315" t="s">
        <v>3</v>
      </c>
      <c r="D45" s="1315">
        <f t="shared" si="1"/>
        <v>200</v>
      </c>
      <c r="E45" s="1315" t="s">
        <v>3</v>
      </c>
      <c r="F45" s="1313">
        <f t="shared" si="2"/>
        <v>2400</v>
      </c>
      <c r="G45" s="1315" t="s">
        <v>3</v>
      </c>
      <c r="H45" s="1312">
        <v>2</v>
      </c>
      <c r="I45" s="1314" t="s">
        <v>45</v>
      </c>
      <c r="J45" s="184">
        <v>150</v>
      </c>
      <c r="K45" s="75">
        <v>200</v>
      </c>
      <c r="L45" s="75">
        <v>2400</v>
      </c>
      <c r="M45" s="202">
        <v>26.185615544155901</v>
      </c>
      <c r="N45" s="87">
        <v>1591.62</v>
      </c>
      <c r="O45" s="123">
        <v>39805.967053620909</v>
      </c>
      <c r="P45" s="119">
        <v>48847.301142947901</v>
      </c>
      <c r="Q45" s="310">
        <v>22896.83463748853</v>
      </c>
      <c r="R45" s="319">
        <v>62702.801691109438</v>
      </c>
      <c r="S45" s="315">
        <v>71744.135780436423</v>
      </c>
      <c r="U45" s="7" t="s">
        <v>5215</v>
      </c>
    </row>
    <row r="46" spans="1:21" ht="16.5" thickBot="1">
      <c r="A46" s="1311" t="s">
        <v>4588</v>
      </c>
      <c r="B46" s="1315">
        <f t="shared" si="0"/>
        <v>150</v>
      </c>
      <c r="C46" s="1315" t="s">
        <v>3</v>
      </c>
      <c r="D46" s="1315">
        <f t="shared" si="1"/>
        <v>200</v>
      </c>
      <c r="E46" s="1315" t="s">
        <v>3</v>
      </c>
      <c r="F46" s="1313">
        <f t="shared" si="2"/>
        <v>2450</v>
      </c>
      <c r="G46" s="1315" t="s">
        <v>3</v>
      </c>
      <c r="H46" s="1312">
        <v>2</v>
      </c>
      <c r="I46" s="1314" t="s">
        <v>45</v>
      </c>
      <c r="J46" s="184">
        <v>150</v>
      </c>
      <c r="K46" s="75">
        <v>200</v>
      </c>
      <c r="L46" s="75">
        <v>2450</v>
      </c>
      <c r="M46" s="202">
        <v>26.698150178891332</v>
      </c>
      <c r="N46" s="87">
        <v>1630.44</v>
      </c>
      <c r="O46" s="123">
        <v>40467.475306915658</v>
      </c>
      <c r="P46" s="119">
        <v>49679.85203371002</v>
      </c>
      <c r="Q46" s="310">
        <v>23485.83519439317</v>
      </c>
      <c r="R46" s="319">
        <v>63953.310501308828</v>
      </c>
      <c r="S46" s="315">
        <v>73165.687228103197</v>
      </c>
      <c r="U46" s="7" t="s">
        <v>5216</v>
      </c>
    </row>
    <row r="47" spans="1:21" ht="16.5" thickBot="1">
      <c r="A47" s="1311" t="s">
        <v>4588</v>
      </c>
      <c r="B47" s="1315">
        <f t="shared" si="0"/>
        <v>150</v>
      </c>
      <c r="C47" s="1315" t="s">
        <v>3</v>
      </c>
      <c r="D47" s="1315">
        <f t="shared" si="1"/>
        <v>200</v>
      </c>
      <c r="E47" s="1315" t="s">
        <v>3</v>
      </c>
      <c r="F47" s="1313">
        <f t="shared" si="2"/>
        <v>2500</v>
      </c>
      <c r="G47" s="1315" t="s">
        <v>3</v>
      </c>
      <c r="H47" s="1312">
        <v>2</v>
      </c>
      <c r="I47" s="1314" t="s">
        <v>45</v>
      </c>
      <c r="J47" s="184">
        <v>150</v>
      </c>
      <c r="K47" s="75">
        <v>200</v>
      </c>
      <c r="L47" s="75">
        <v>2500</v>
      </c>
      <c r="M47" s="202">
        <v>27.501047613626763</v>
      </c>
      <c r="N47" s="87">
        <v>1669.26</v>
      </c>
      <c r="O47" s="123">
        <v>41810.815858627466</v>
      </c>
      <c r="P47" s="119">
        <v>51379.289679507536</v>
      </c>
      <c r="Q47" s="310">
        <v>23844.253833121165</v>
      </c>
      <c r="R47" s="319">
        <v>65655.069691748635</v>
      </c>
      <c r="S47" s="315">
        <v>75223.543512628705</v>
      </c>
      <c r="U47" s="7" t="s">
        <v>5217</v>
      </c>
    </row>
    <row r="48" spans="1:21" ht="16.5" thickBot="1">
      <c r="A48" s="1311" t="s">
        <v>4588</v>
      </c>
      <c r="B48" s="1315">
        <f t="shared" si="0"/>
        <v>150</v>
      </c>
      <c r="C48" s="1315" t="s">
        <v>3</v>
      </c>
      <c r="D48" s="1315">
        <f t="shared" si="1"/>
        <v>200</v>
      </c>
      <c r="E48" s="1315" t="s">
        <v>3</v>
      </c>
      <c r="F48" s="1313">
        <f t="shared" si="2"/>
        <v>2550</v>
      </c>
      <c r="G48" s="1315" t="s">
        <v>3</v>
      </c>
      <c r="H48" s="1312">
        <v>2</v>
      </c>
      <c r="I48" s="1314" t="s">
        <v>45</v>
      </c>
      <c r="J48" s="184">
        <v>150</v>
      </c>
      <c r="K48" s="75">
        <v>200</v>
      </c>
      <c r="L48" s="75">
        <v>2550</v>
      </c>
      <c r="M48" s="202">
        <v>28.013582248362191</v>
      </c>
      <c r="N48" s="87">
        <v>1708.0800000000002</v>
      </c>
      <c r="O48" s="123">
        <v>42829.985468852894</v>
      </c>
      <c r="P48" s="119">
        <v>52225.879906519665</v>
      </c>
      <c r="Q48" s="310">
        <v>24433.254249632446</v>
      </c>
      <c r="R48" s="319">
        <v>67263.239718485333</v>
      </c>
      <c r="S48" s="315">
        <v>76659.134156152111</v>
      </c>
      <c r="U48" s="7" t="s">
        <v>5218</v>
      </c>
    </row>
    <row r="49" spans="1:21" ht="16.5" thickBot="1">
      <c r="A49" s="1311" t="s">
        <v>4588</v>
      </c>
      <c r="B49" s="1312">
        <f t="shared" si="0"/>
        <v>150</v>
      </c>
      <c r="C49" s="1312" t="s">
        <v>3</v>
      </c>
      <c r="D49" s="1312">
        <f t="shared" si="1"/>
        <v>200</v>
      </c>
      <c r="E49" s="1312" t="s">
        <v>3</v>
      </c>
      <c r="F49" s="1313">
        <f t="shared" si="2"/>
        <v>2600</v>
      </c>
      <c r="G49" s="1312" t="s">
        <v>3</v>
      </c>
      <c r="H49" s="1312">
        <v>2</v>
      </c>
      <c r="I49" s="1314" t="s">
        <v>45</v>
      </c>
      <c r="J49" s="184">
        <v>150</v>
      </c>
      <c r="K49" s="75">
        <v>200</v>
      </c>
      <c r="L49" s="75">
        <v>2600</v>
      </c>
      <c r="M49" s="202">
        <v>28.526116883097618</v>
      </c>
      <c r="N49" s="87">
        <v>1746.8999999999999</v>
      </c>
      <c r="O49" s="123">
        <v>43491.49372214765</v>
      </c>
      <c r="P49" s="119">
        <v>53058.430937675148</v>
      </c>
      <c r="Q49" s="310">
        <v>24791.672888360441</v>
      </c>
      <c r="R49" s="319">
        <v>68283.166610508095</v>
      </c>
      <c r="S49" s="315">
        <v>77850.103826035585</v>
      </c>
      <c r="U49" s="7" t="s">
        <v>5219</v>
      </c>
    </row>
    <row r="50" spans="1:21" ht="16.5" thickBot="1">
      <c r="A50" s="1311" t="s">
        <v>4588</v>
      </c>
      <c r="B50" s="1315">
        <f t="shared" si="0"/>
        <v>150</v>
      </c>
      <c r="C50" s="1315" t="s">
        <v>3</v>
      </c>
      <c r="D50" s="1315">
        <f t="shared" si="1"/>
        <v>200</v>
      </c>
      <c r="E50" s="1315" t="s">
        <v>3</v>
      </c>
      <c r="F50" s="1313">
        <f t="shared" si="2"/>
        <v>2650</v>
      </c>
      <c r="G50" s="1315" t="s">
        <v>3</v>
      </c>
      <c r="H50" s="1312">
        <v>2</v>
      </c>
      <c r="I50" s="1314" t="s">
        <v>45</v>
      </c>
      <c r="J50" s="184">
        <v>150</v>
      </c>
      <c r="K50" s="75">
        <v>200</v>
      </c>
      <c r="L50" s="75">
        <v>2650</v>
      </c>
      <c r="M50" s="202">
        <v>29.038651517833046</v>
      </c>
      <c r="N50" s="87">
        <v>1785.7199999999998</v>
      </c>
      <c r="O50" s="123">
        <v>44153.002115835756</v>
      </c>
      <c r="P50" s="119">
        <v>53890.981828437267</v>
      </c>
      <c r="Q50" s="310">
        <v>25380.673304871718</v>
      </c>
      <c r="R50" s="319">
        <v>69533.67542070747</v>
      </c>
      <c r="S50" s="315">
        <v>79271.655133308988</v>
      </c>
      <c r="U50" s="7" t="s">
        <v>5220</v>
      </c>
    </row>
    <row r="51" spans="1:21" ht="16.5" thickBot="1">
      <c r="A51" s="1311" t="s">
        <v>4588</v>
      </c>
      <c r="B51" s="1315">
        <f t="shared" si="0"/>
        <v>150</v>
      </c>
      <c r="C51" s="1315" t="s">
        <v>3</v>
      </c>
      <c r="D51" s="1315">
        <f t="shared" si="1"/>
        <v>200</v>
      </c>
      <c r="E51" s="1315" t="s">
        <v>3</v>
      </c>
      <c r="F51" s="1313">
        <f t="shared" si="2"/>
        <v>2700</v>
      </c>
      <c r="G51" s="1315" t="s">
        <v>3</v>
      </c>
      <c r="H51" s="1312">
        <v>2</v>
      </c>
      <c r="I51" s="1314" t="s">
        <v>45</v>
      </c>
      <c r="J51" s="184">
        <v>150</v>
      </c>
      <c r="K51" s="75">
        <v>200</v>
      </c>
      <c r="L51" s="75">
        <v>2700</v>
      </c>
      <c r="M51" s="202">
        <v>29.551186152568473</v>
      </c>
      <c r="N51" s="87">
        <v>1824.54</v>
      </c>
      <c r="O51" s="123">
        <v>44814.510369130512</v>
      </c>
      <c r="P51" s="119">
        <v>54723.5327191994</v>
      </c>
      <c r="Q51" s="310">
        <v>25739.09208399308</v>
      </c>
      <c r="R51" s="319">
        <v>70553.602453123589</v>
      </c>
      <c r="S51" s="315">
        <v>80462.624803192477</v>
      </c>
      <c r="U51" s="7" t="s">
        <v>5221</v>
      </c>
    </row>
    <row r="52" spans="1:21" ht="16.5" thickBot="1">
      <c r="A52" s="1311" t="s">
        <v>4588</v>
      </c>
      <c r="B52" s="1315">
        <f t="shared" si="0"/>
        <v>150</v>
      </c>
      <c r="C52" s="1315" t="s">
        <v>3</v>
      </c>
      <c r="D52" s="1315">
        <f t="shared" si="1"/>
        <v>200</v>
      </c>
      <c r="E52" s="1315" t="s">
        <v>3</v>
      </c>
      <c r="F52" s="1313">
        <f t="shared" si="2"/>
        <v>2750</v>
      </c>
      <c r="G52" s="1315" t="s">
        <v>3</v>
      </c>
      <c r="H52" s="1312">
        <v>2</v>
      </c>
      <c r="I52" s="1314" t="s">
        <v>45</v>
      </c>
      <c r="J52" s="184">
        <v>150</v>
      </c>
      <c r="K52" s="75">
        <v>200</v>
      </c>
      <c r="L52" s="75">
        <v>2750</v>
      </c>
      <c r="M52" s="202">
        <v>30.0637207873039</v>
      </c>
      <c r="N52" s="87">
        <v>1863.36</v>
      </c>
      <c r="O52" s="123">
        <v>45476.018762818625</v>
      </c>
      <c r="P52" s="119">
        <v>55556.083609961526</v>
      </c>
      <c r="Q52" s="310">
        <v>26097.510722721079</v>
      </c>
      <c r="R52" s="319">
        <v>71573.529485539708</v>
      </c>
      <c r="S52" s="315">
        <v>81653.594332682609</v>
      </c>
      <c r="U52" s="7" t="s">
        <v>5222</v>
      </c>
    </row>
    <row r="53" spans="1:21" ht="16.5" thickBot="1">
      <c r="A53" s="1311" t="s">
        <v>4588</v>
      </c>
      <c r="B53" s="1315">
        <f t="shared" si="0"/>
        <v>150</v>
      </c>
      <c r="C53" s="1315" t="s">
        <v>3</v>
      </c>
      <c r="D53" s="1315">
        <f t="shared" si="1"/>
        <v>200</v>
      </c>
      <c r="E53" s="1315" t="s">
        <v>3</v>
      </c>
      <c r="F53" s="1313">
        <f t="shared" si="2"/>
        <v>2800</v>
      </c>
      <c r="G53" s="1315" t="s">
        <v>3</v>
      </c>
      <c r="H53" s="1312">
        <v>2</v>
      </c>
      <c r="I53" s="1314" t="s">
        <v>45</v>
      </c>
      <c r="J53" s="184">
        <v>150</v>
      </c>
      <c r="K53" s="75">
        <v>200</v>
      </c>
      <c r="L53" s="75">
        <v>2800</v>
      </c>
      <c r="M53" s="202">
        <v>30.576255422039331</v>
      </c>
      <c r="N53" s="87">
        <v>1902.18</v>
      </c>
      <c r="O53" s="123">
        <v>46137.527016113367</v>
      </c>
      <c r="P53" s="119">
        <v>56388.634641117009</v>
      </c>
      <c r="Q53" s="310">
        <v>26686.511139232356</v>
      </c>
      <c r="R53" s="319">
        <v>72824.038155345726</v>
      </c>
      <c r="S53" s="315">
        <v>83075.145780349369</v>
      </c>
      <c r="U53" s="7" t="s">
        <v>5223</v>
      </c>
    </row>
    <row r="54" spans="1:21" ht="16.5" thickBot="1">
      <c r="A54" s="1311" t="s">
        <v>4588</v>
      </c>
      <c r="B54" s="1315">
        <f t="shared" si="0"/>
        <v>150</v>
      </c>
      <c r="C54" s="1315" t="s">
        <v>3</v>
      </c>
      <c r="D54" s="1315">
        <f t="shared" si="1"/>
        <v>200</v>
      </c>
      <c r="E54" s="1315" t="s">
        <v>3</v>
      </c>
      <c r="F54" s="1313">
        <f t="shared" si="2"/>
        <v>2850</v>
      </c>
      <c r="G54" s="1315" t="s">
        <v>3</v>
      </c>
      <c r="H54" s="1312">
        <v>2</v>
      </c>
      <c r="I54" s="1314" t="s">
        <v>45</v>
      </c>
      <c r="J54" s="184">
        <v>150</v>
      </c>
      <c r="K54" s="75">
        <v>200</v>
      </c>
      <c r="L54" s="75">
        <v>2850</v>
      </c>
      <c r="M54" s="202">
        <v>31.088790056774755</v>
      </c>
      <c r="N54" s="87">
        <v>1941</v>
      </c>
      <c r="O54" s="123">
        <v>46799.035269408123</v>
      </c>
      <c r="P54" s="119">
        <v>57221.185531879135</v>
      </c>
      <c r="Q54" s="310">
        <v>27044.929777960355</v>
      </c>
      <c r="R54" s="319">
        <v>73843.965047368474</v>
      </c>
      <c r="S54" s="315">
        <v>84266.115309839486</v>
      </c>
      <c r="U54" s="7" t="s">
        <v>5224</v>
      </c>
    </row>
    <row r="55" spans="1:21" ht="16.5" thickBot="1">
      <c r="A55" s="1311" t="s">
        <v>4588</v>
      </c>
      <c r="B55" s="1315">
        <f t="shared" si="0"/>
        <v>150</v>
      </c>
      <c r="C55" s="1315" t="s">
        <v>3</v>
      </c>
      <c r="D55" s="1315">
        <f t="shared" si="1"/>
        <v>200</v>
      </c>
      <c r="E55" s="1315" t="s">
        <v>3</v>
      </c>
      <c r="F55" s="1313">
        <f t="shared" si="2"/>
        <v>2900</v>
      </c>
      <c r="G55" s="1315" t="s">
        <v>3</v>
      </c>
      <c r="H55" s="1312">
        <v>2</v>
      </c>
      <c r="I55" s="1314" t="s">
        <v>45</v>
      </c>
      <c r="J55" s="184">
        <v>150</v>
      </c>
      <c r="K55" s="75">
        <v>200</v>
      </c>
      <c r="L55" s="75">
        <v>2900</v>
      </c>
      <c r="M55" s="202">
        <v>31.601324691510186</v>
      </c>
      <c r="N55" s="87">
        <v>1979.8199999999997</v>
      </c>
      <c r="O55" s="123">
        <v>47460.543663096229</v>
      </c>
      <c r="P55" s="119">
        <v>58053.736422641261</v>
      </c>
      <c r="Q55" s="310">
        <v>27633.930194471632</v>
      </c>
      <c r="R55" s="319">
        <v>75094.473857567864</v>
      </c>
      <c r="S55" s="315">
        <v>85687.666617112889</v>
      </c>
      <c r="U55" s="7" t="s">
        <v>5225</v>
      </c>
    </row>
    <row r="56" spans="1:21" ht="16.5" thickBot="1">
      <c r="A56" s="1311" t="s">
        <v>4588</v>
      </c>
      <c r="B56" s="1315">
        <f t="shared" si="0"/>
        <v>150</v>
      </c>
      <c r="C56" s="1315" t="s">
        <v>3</v>
      </c>
      <c r="D56" s="1315">
        <f t="shared" si="1"/>
        <v>200</v>
      </c>
      <c r="E56" s="1315" t="s">
        <v>3</v>
      </c>
      <c r="F56" s="1313">
        <f t="shared" si="2"/>
        <v>2950</v>
      </c>
      <c r="G56" s="1315" t="s">
        <v>3</v>
      </c>
      <c r="H56" s="1312">
        <v>2</v>
      </c>
      <c r="I56" s="1314" t="s">
        <v>45</v>
      </c>
      <c r="J56" s="184">
        <v>150</v>
      </c>
      <c r="K56" s="75">
        <v>200</v>
      </c>
      <c r="L56" s="75">
        <v>2950</v>
      </c>
      <c r="M56" s="202">
        <v>32.113859326245617</v>
      </c>
      <c r="N56" s="87">
        <v>2018.64</v>
      </c>
      <c r="O56" s="123">
        <v>48122.051916390985</v>
      </c>
      <c r="P56" s="119">
        <v>58886.287453796751</v>
      </c>
      <c r="Q56" s="310">
        <v>27992.348973592994</v>
      </c>
      <c r="R56" s="319">
        <v>76114.400889983983</v>
      </c>
      <c r="S56" s="315">
        <v>86878.636427389749</v>
      </c>
      <c r="U56" s="7" t="s">
        <v>5226</v>
      </c>
    </row>
    <row r="57" spans="1:21" ht="16.5" thickBot="1">
      <c r="A57" s="1311" t="s">
        <v>4588</v>
      </c>
      <c r="B57" s="1317">
        <f t="shared" si="0"/>
        <v>150</v>
      </c>
      <c r="C57" s="1317" t="s">
        <v>3</v>
      </c>
      <c r="D57" s="1317">
        <f t="shared" si="1"/>
        <v>200</v>
      </c>
      <c r="E57" s="1317" t="s">
        <v>3</v>
      </c>
      <c r="F57" s="1318">
        <f t="shared" si="2"/>
        <v>3000</v>
      </c>
      <c r="G57" s="1317" t="s">
        <v>3</v>
      </c>
      <c r="H57" s="1312">
        <v>2</v>
      </c>
      <c r="I57" s="1314" t="s">
        <v>45</v>
      </c>
      <c r="J57" s="186">
        <v>150</v>
      </c>
      <c r="K57" s="147">
        <v>200</v>
      </c>
      <c r="L57" s="147">
        <v>3000</v>
      </c>
      <c r="M57" s="209">
        <v>32.782465960981042</v>
      </c>
      <c r="N57" s="148">
        <v>2057.46</v>
      </c>
      <c r="O57" s="149">
        <v>48990.219199285741</v>
      </c>
      <c r="P57" s="189">
        <v>59925.497374158869</v>
      </c>
      <c r="Q57" s="311">
        <v>28581.349390104271</v>
      </c>
      <c r="R57" s="320">
        <v>77571.568589390008</v>
      </c>
      <c r="S57" s="317">
        <v>88506.846764263144</v>
      </c>
      <c r="U57" s="7" t="s">
        <v>5227</v>
      </c>
    </row>
    <row r="58" spans="1:21" ht="16.5" thickBot="1">
      <c r="A58" s="2621" t="s">
        <v>50</v>
      </c>
      <c r="B58" s="2622"/>
      <c r="C58" s="2622"/>
      <c r="D58" s="2622"/>
      <c r="E58" s="2622"/>
      <c r="F58" s="2622"/>
      <c r="G58" s="2622"/>
      <c r="H58" s="2622"/>
      <c r="I58" s="2622"/>
      <c r="J58" s="2622"/>
      <c r="K58" s="2622"/>
      <c r="L58" s="2622"/>
      <c r="M58" s="2622"/>
      <c r="N58" s="2622"/>
      <c r="O58" s="2622"/>
      <c r="P58" s="2622"/>
      <c r="Q58" s="2622"/>
      <c r="R58" s="2659"/>
      <c r="S58" s="2660"/>
      <c r="U58" s="7"/>
    </row>
    <row r="59" spans="1:21" ht="16.5" thickBot="1">
      <c r="A59" s="2583" t="s">
        <v>4587</v>
      </c>
      <c r="B59" s="2584"/>
      <c r="C59" s="2584"/>
      <c r="D59" s="2584"/>
      <c r="E59" s="2584"/>
      <c r="F59" s="2584"/>
      <c r="G59" s="2584"/>
      <c r="H59" s="2584"/>
      <c r="I59" s="2584"/>
      <c r="J59" s="2584"/>
      <c r="K59" s="2584"/>
      <c r="L59" s="2584"/>
      <c r="M59" s="2584"/>
      <c r="N59" s="2584"/>
      <c r="O59" s="2584"/>
      <c r="P59" s="2584"/>
      <c r="Q59" s="2584"/>
      <c r="R59" s="2584"/>
      <c r="S59" s="2585"/>
      <c r="U59" s="7"/>
    </row>
    <row r="60" spans="1:21" ht="16.5" thickBot="1">
      <c r="A60" s="1311" t="s">
        <v>4588</v>
      </c>
      <c r="B60" s="1312">
        <f>J60</f>
        <v>150</v>
      </c>
      <c r="C60" s="1312" t="s">
        <v>3</v>
      </c>
      <c r="D60" s="1312">
        <f>K60</f>
        <v>260</v>
      </c>
      <c r="E60" s="1312" t="s">
        <v>3</v>
      </c>
      <c r="F60" s="1313">
        <f>L60</f>
        <v>600</v>
      </c>
      <c r="G60" s="1312" t="s">
        <v>3</v>
      </c>
      <c r="H60" s="1312">
        <v>2</v>
      </c>
      <c r="I60" s="1314" t="s">
        <v>45</v>
      </c>
      <c r="J60" s="181">
        <v>150</v>
      </c>
      <c r="K60" s="143">
        <v>260</v>
      </c>
      <c r="L60" s="143">
        <v>600</v>
      </c>
      <c r="M60" s="201">
        <v>8.5406870317857688</v>
      </c>
      <c r="N60" s="144">
        <v>251.65882160999999</v>
      </c>
      <c r="O60" s="145">
        <v>15406.646441278164</v>
      </c>
      <c r="P60" s="188">
        <v>19361.131553620915</v>
      </c>
      <c r="Q60" s="169">
        <v>7536.0353334550891</v>
      </c>
      <c r="R60" s="318">
        <v>22942.681774733253</v>
      </c>
      <c r="S60" s="313">
        <v>26897.166887076004</v>
      </c>
      <c r="U60" s="7" t="s">
        <v>5228</v>
      </c>
    </row>
    <row r="61" spans="1:21" ht="16.5" thickBot="1">
      <c r="A61" s="1311" t="s">
        <v>4588</v>
      </c>
      <c r="B61" s="1315">
        <f t="shared" ref="B61:B108" si="3">J61</f>
        <v>150</v>
      </c>
      <c r="C61" s="1315" t="s">
        <v>3</v>
      </c>
      <c r="D61" s="1315">
        <f t="shared" ref="D61:D108" si="4">K61</f>
        <v>260</v>
      </c>
      <c r="E61" s="1315" t="s">
        <v>3</v>
      </c>
      <c r="F61" s="1313">
        <f t="shared" ref="F61:F108" si="5">L61</f>
        <v>650</v>
      </c>
      <c r="G61" s="1315" t="s">
        <v>3</v>
      </c>
      <c r="H61" s="1312">
        <v>2</v>
      </c>
      <c r="I61" s="1314" t="s">
        <v>45</v>
      </c>
      <c r="J61" s="184">
        <v>150</v>
      </c>
      <c r="K61" s="75">
        <v>260</v>
      </c>
      <c r="L61" s="75">
        <v>650</v>
      </c>
      <c r="M61" s="202">
        <v>9.1130847613633037</v>
      </c>
      <c r="N61" s="87">
        <v>301.99058593199999</v>
      </c>
      <c r="O61" s="123">
        <v>16097.537902197266</v>
      </c>
      <c r="P61" s="119">
        <v>20243.590740424806</v>
      </c>
      <c r="Q61" s="120">
        <v>7967.645945822027</v>
      </c>
      <c r="R61" s="319">
        <v>24065.183848019293</v>
      </c>
      <c r="S61" s="315">
        <v>28211.236686246833</v>
      </c>
      <c r="U61" s="7" t="s">
        <v>5229</v>
      </c>
    </row>
    <row r="62" spans="1:21" ht="16.5" thickBot="1">
      <c r="A62" s="1311" t="s">
        <v>4588</v>
      </c>
      <c r="B62" s="1315">
        <f t="shared" si="3"/>
        <v>150</v>
      </c>
      <c r="C62" s="1315" t="s">
        <v>3</v>
      </c>
      <c r="D62" s="1315">
        <f t="shared" si="4"/>
        <v>260</v>
      </c>
      <c r="E62" s="1315" t="s">
        <v>3</v>
      </c>
      <c r="F62" s="1313">
        <f t="shared" si="5"/>
        <v>700</v>
      </c>
      <c r="G62" s="1315" t="s">
        <v>3</v>
      </c>
      <c r="H62" s="1312">
        <v>2</v>
      </c>
      <c r="I62" s="1314" t="s">
        <v>45</v>
      </c>
      <c r="J62" s="184">
        <v>150</v>
      </c>
      <c r="K62" s="75">
        <v>260</v>
      </c>
      <c r="L62" s="75">
        <v>700</v>
      </c>
      <c r="M62" s="202">
        <v>9.6854824909408368</v>
      </c>
      <c r="N62" s="87">
        <v>352.32235025399996</v>
      </c>
      <c r="O62" s="123">
        <v>16788.429222723003</v>
      </c>
      <c r="P62" s="119">
        <v>21126.04978683533</v>
      </c>
      <c r="Q62" s="120">
        <v>8629.8383359722393</v>
      </c>
      <c r="R62" s="319">
        <v>25418.267558695243</v>
      </c>
      <c r="S62" s="315">
        <v>29755.88812280757</v>
      </c>
      <c r="U62" s="7" t="s">
        <v>5230</v>
      </c>
    </row>
    <row r="63" spans="1:21" ht="16.5" thickBot="1">
      <c r="A63" s="1311" t="s">
        <v>4588</v>
      </c>
      <c r="B63" s="1315">
        <f t="shared" si="3"/>
        <v>150</v>
      </c>
      <c r="C63" s="1315" t="s">
        <v>3</v>
      </c>
      <c r="D63" s="1315">
        <f t="shared" si="4"/>
        <v>260</v>
      </c>
      <c r="E63" s="1315" t="s">
        <v>3</v>
      </c>
      <c r="F63" s="1313">
        <f t="shared" si="5"/>
        <v>750</v>
      </c>
      <c r="G63" s="1315" t="s">
        <v>3</v>
      </c>
      <c r="H63" s="1312">
        <v>2</v>
      </c>
      <c r="I63" s="1314" t="s">
        <v>45</v>
      </c>
      <c r="J63" s="184">
        <v>150</v>
      </c>
      <c r="K63" s="75">
        <v>260</v>
      </c>
      <c r="L63" s="75">
        <v>750</v>
      </c>
      <c r="M63" s="202">
        <v>10.25788022051837</v>
      </c>
      <c r="N63" s="87">
        <v>402.65411457599998</v>
      </c>
      <c r="O63" s="123">
        <v>17479.320683642105</v>
      </c>
      <c r="P63" s="119">
        <v>22008.508973639218</v>
      </c>
      <c r="Q63" s="120">
        <v>9061.4489483391772</v>
      </c>
      <c r="R63" s="319">
        <v>26540.769631981282</v>
      </c>
      <c r="S63" s="315">
        <v>31069.957921978395</v>
      </c>
      <c r="U63" s="7" t="s">
        <v>5231</v>
      </c>
    </row>
    <row r="64" spans="1:21" ht="16.5" thickBot="1">
      <c r="A64" s="1311" t="s">
        <v>4588</v>
      </c>
      <c r="B64" s="1315">
        <f t="shared" si="3"/>
        <v>150</v>
      </c>
      <c r="C64" s="1315" t="s">
        <v>3</v>
      </c>
      <c r="D64" s="1315">
        <f t="shared" si="4"/>
        <v>260</v>
      </c>
      <c r="E64" s="1315" t="s">
        <v>3</v>
      </c>
      <c r="F64" s="1313">
        <f t="shared" si="5"/>
        <v>800</v>
      </c>
      <c r="G64" s="1315" t="s">
        <v>3</v>
      </c>
      <c r="H64" s="1312">
        <v>2</v>
      </c>
      <c r="I64" s="1314" t="s">
        <v>45</v>
      </c>
      <c r="J64" s="184">
        <v>150</v>
      </c>
      <c r="K64" s="75">
        <v>260</v>
      </c>
      <c r="L64" s="75">
        <v>800</v>
      </c>
      <c r="M64" s="202">
        <v>10.830277950095903</v>
      </c>
      <c r="N64" s="87">
        <v>452.98587889800001</v>
      </c>
      <c r="O64" s="123">
        <v>18529.949357749803</v>
      </c>
      <c r="P64" s="119">
        <v>22905.007356299742</v>
      </c>
      <c r="Q64" s="120">
        <v>9493.059560706115</v>
      </c>
      <c r="R64" s="319">
        <v>28023.008918455918</v>
      </c>
      <c r="S64" s="315">
        <v>32398.066917005857</v>
      </c>
      <c r="U64" s="7" t="s">
        <v>5232</v>
      </c>
    </row>
    <row r="65" spans="1:21" ht="16.5" thickBot="1">
      <c r="A65" s="1311" t="s">
        <v>4588</v>
      </c>
      <c r="B65" s="1315">
        <f t="shared" si="3"/>
        <v>150</v>
      </c>
      <c r="C65" s="1315" t="s">
        <v>3</v>
      </c>
      <c r="D65" s="1315">
        <f t="shared" si="4"/>
        <v>260</v>
      </c>
      <c r="E65" s="1315" t="s">
        <v>3</v>
      </c>
      <c r="F65" s="1313">
        <f t="shared" si="5"/>
        <v>850</v>
      </c>
      <c r="G65" s="1315" t="s">
        <v>3</v>
      </c>
      <c r="H65" s="1312">
        <v>2</v>
      </c>
      <c r="I65" s="1314" t="s">
        <v>45</v>
      </c>
      <c r="J65" s="184">
        <v>150</v>
      </c>
      <c r="K65" s="75">
        <v>260</v>
      </c>
      <c r="L65" s="75">
        <v>850</v>
      </c>
      <c r="M65" s="202">
        <v>11.402675679673436</v>
      </c>
      <c r="N65" s="87">
        <v>503.31764321999998</v>
      </c>
      <c r="O65" s="123">
        <v>19220.840818668905</v>
      </c>
      <c r="P65" s="119">
        <v>23787.46654310363</v>
      </c>
      <c r="Q65" s="120">
        <v>10155.251950856327</v>
      </c>
      <c r="R65" s="319">
        <v>29376.092769525232</v>
      </c>
      <c r="S65" s="315">
        <v>33942.718493959954</v>
      </c>
      <c r="U65" s="7" t="s">
        <v>5233</v>
      </c>
    </row>
    <row r="66" spans="1:21" ht="16.5" thickBot="1">
      <c r="A66" s="1311" t="s">
        <v>4588</v>
      </c>
      <c r="B66" s="1315">
        <f t="shared" si="3"/>
        <v>150</v>
      </c>
      <c r="C66" s="1315" t="s">
        <v>3</v>
      </c>
      <c r="D66" s="1315">
        <f t="shared" si="4"/>
        <v>260</v>
      </c>
      <c r="E66" s="1315" t="s">
        <v>3</v>
      </c>
      <c r="F66" s="1313">
        <f t="shared" si="5"/>
        <v>900</v>
      </c>
      <c r="G66" s="1315" t="s">
        <v>3</v>
      </c>
      <c r="H66" s="1312">
        <v>2</v>
      </c>
      <c r="I66" s="1314" t="s">
        <v>45</v>
      </c>
      <c r="J66" s="184">
        <v>150</v>
      </c>
      <c r="K66" s="75">
        <v>260</v>
      </c>
      <c r="L66" s="75">
        <v>900</v>
      </c>
      <c r="M66" s="202">
        <v>11.975073409250971</v>
      </c>
      <c r="N66" s="87">
        <v>553.64940754200006</v>
      </c>
      <c r="O66" s="123">
        <v>19911.732139194643</v>
      </c>
      <c r="P66" s="119">
        <v>24669.925589514154</v>
      </c>
      <c r="Q66" s="120">
        <v>10586.862563223265</v>
      </c>
      <c r="R66" s="319">
        <v>30498.594702417908</v>
      </c>
      <c r="S66" s="315">
        <v>35256.788152737419</v>
      </c>
      <c r="U66" s="7" t="s">
        <v>5234</v>
      </c>
    </row>
    <row r="67" spans="1:21" ht="16.5" thickBot="1">
      <c r="A67" s="1311" t="s">
        <v>4588</v>
      </c>
      <c r="B67" s="1315">
        <f t="shared" si="3"/>
        <v>150</v>
      </c>
      <c r="C67" s="1315" t="s">
        <v>3</v>
      </c>
      <c r="D67" s="1315">
        <f t="shared" si="4"/>
        <v>260</v>
      </c>
      <c r="E67" s="1315" t="s">
        <v>3</v>
      </c>
      <c r="F67" s="1313">
        <f t="shared" si="5"/>
        <v>950</v>
      </c>
      <c r="G67" s="1315" t="s">
        <v>3</v>
      </c>
      <c r="H67" s="1312">
        <v>2</v>
      </c>
      <c r="I67" s="1314" t="s">
        <v>45</v>
      </c>
      <c r="J67" s="184">
        <v>150</v>
      </c>
      <c r="K67" s="75">
        <v>260</v>
      </c>
      <c r="L67" s="75">
        <v>950</v>
      </c>
      <c r="M67" s="202">
        <v>12.547471138828502</v>
      </c>
      <c r="N67" s="87">
        <v>603.98117186399998</v>
      </c>
      <c r="O67" s="123">
        <v>20602.623600113744</v>
      </c>
      <c r="P67" s="119">
        <v>25552.384776318042</v>
      </c>
      <c r="Q67" s="120">
        <v>11249.054953373477</v>
      </c>
      <c r="R67" s="319">
        <v>31851.678553487222</v>
      </c>
      <c r="S67" s="315">
        <v>36801.439729691519</v>
      </c>
      <c r="U67" s="7" t="s">
        <v>5235</v>
      </c>
    </row>
    <row r="68" spans="1:21" ht="16.5" thickBot="1">
      <c r="A68" s="1311" t="s">
        <v>4588</v>
      </c>
      <c r="B68" s="1315">
        <f t="shared" si="3"/>
        <v>150</v>
      </c>
      <c r="C68" s="1315" t="s">
        <v>3</v>
      </c>
      <c r="D68" s="1315">
        <f t="shared" si="4"/>
        <v>260</v>
      </c>
      <c r="E68" s="1315" t="s">
        <v>3</v>
      </c>
      <c r="F68" s="1313">
        <f t="shared" si="5"/>
        <v>1000</v>
      </c>
      <c r="G68" s="1315" t="s">
        <v>3</v>
      </c>
      <c r="H68" s="1312">
        <v>2</v>
      </c>
      <c r="I68" s="1314" t="s">
        <v>45</v>
      </c>
      <c r="J68" s="184">
        <v>150</v>
      </c>
      <c r="K68" s="75">
        <v>260</v>
      </c>
      <c r="L68" s="75">
        <v>1000</v>
      </c>
      <c r="M68" s="202">
        <v>13.221315668406035</v>
      </c>
      <c r="N68" s="87">
        <v>654.312936186</v>
      </c>
      <c r="O68" s="123">
        <v>21339.79980438848</v>
      </c>
      <c r="P68" s="119">
        <v>26481.128846870932</v>
      </c>
      <c r="Q68" s="120">
        <v>11680.665565740415</v>
      </c>
      <c r="R68" s="319">
        <v>33020.465370128892</v>
      </c>
      <c r="S68" s="315">
        <v>38161.794412611343</v>
      </c>
      <c r="U68" s="7" t="s">
        <v>5236</v>
      </c>
    </row>
    <row r="69" spans="1:21" ht="16.5" thickBot="1">
      <c r="A69" s="1311" t="s">
        <v>4588</v>
      </c>
      <c r="B69" s="1315">
        <f t="shared" si="3"/>
        <v>150</v>
      </c>
      <c r="C69" s="1315" t="s">
        <v>3</v>
      </c>
      <c r="D69" s="1315">
        <f t="shared" si="4"/>
        <v>260</v>
      </c>
      <c r="E69" s="1315" t="s">
        <v>3</v>
      </c>
      <c r="F69" s="1313">
        <f t="shared" si="5"/>
        <v>1050</v>
      </c>
      <c r="G69" s="1315" t="s">
        <v>3</v>
      </c>
      <c r="H69" s="1312">
        <v>2</v>
      </c>
      <c r="I69" s="1314" t="s">
        <v>45</v>
      </c>
      <c r="J69" s="184">
        <v>150</v>
      </c>
      <c r="K69" s="75">
        <v>260</v>
      </c>
      <c r="L69" s="75">
        <v>1050</v>
      </c>
      <c r="M69" s="202">
        <v>13.793713397983568</v>
      </c>
      <c r="N69" s="87">
        <v>704.64470050799991</v>
      </c>
      <c r="O69" s="123">
        <v>22030.691265307578</v>
      </c>
      <c r="P69" s="119">
        <v>27363.587893281456</v>
      </c>
      <c r="Q69" s="120">
        <v>12342.857815497266</v>
      </c>
      <c r="R69" s="319">
        <v>34373.549080804842</v>
      </c>
      <c r="S69" s="315">
        <v>39706.445708778723</v>
      </c>
      <c r="U69" s="7" t="s">
        <v>5237</v>
      </c>
    </row>
    <row r="70" spans="1:21" ht="16.5" thickBot="1">
      <c r="A70" s="1311" t="s">
        <v>4588</v>
      </c>
      <c r="B70" s="1312">
        <f t="shared" si="3"/>
        <v>150</v>
      </c>
      <c r="C70" s="1312" t="s">
        <v>3</v>
      </c>
      <c r="D70" s="1312">
        <f t="shared" si="4"/>
        <v>260</v>
      </c>
      <c r="E70" s="1312" t="s">
        <v>3</v>
      </c>
      <c r="F70" s="1313">
        <f t="shared" si="5"/>
        <v>1100</v>
      </c>
      <c r="G70" s="1312" t="s">
        <v>3</v>
      </c>
      <c r="H70" s="1312">
        <v>2</v>
      </c>
      <c r="I70" s="1314" t="s">
        <v>45</v>
      </c>
      <c r="J70" s="184">
        <v>150</v>
      </c>
      <c r="K70" s="75">
        <v>260</v>
      </c>
      <c r="L70" s="75">
        <v>1100</v>
      </c>
      <c r="M70" s="202">
        <v>14.366111127561101</v>
      </c>
      <c r="N70" s="87">
        <v>754.97646482999994</v>
      </c>
      <c r="O70" s="123">
        <v>22721.582585833316</v>
      </c>
      <c r="P70" s="119">
        <v>28246.047080085344</v>
      </c>
      <c r="Q70" s="120">
        <v>12774.468427864203</v>
      </c>
      <c r="R70" s="319">
        <v>35496.051013697521</v>
      </c>
      <c r="S70" s="315">
        <v>41020.515507949545</v>
      </c>
      <c r="U70" s="7" t="s">
        <v>5238</v>
      </c>
    </row>
    <row r="71" spans="1:21" ht="16.5" thickBot="1">
      <c r="A71" s="1311" t="s">
        <v>4588</v>
      </c>
      <c r="B71" s="1315">
        <f t="shared" si="3"/>
        <v>150</v>
      </c>
      <c r="C71" s="1315" t="s">
        <v>3</v>
      </c>
      <c r="D71" s="1315">
        <f t="shared" si="4"/>
        <v>260</v>
      </c>
      <c r="E71" s="1315" t="s">
        <v>3</v>
      </c>
      <c r="F71" s="1313">
        <f t="shared" si="5"/>
        <v>1150</v>
      </c>
      <c r="G71" s="1315" t="s">
        <v>3</v>
      </c>
      <c r="H71" s="1312">
        <v>2</v>
      </c>
      <c r="I71" s="1314" t="s">
        <v>45</v>
      </c>
      <c r="J71" s="184">
        <v>150</v>
      </c>
      <c r="K71" s="75">
        <v>260</v>
      </c>
      <c r="L71" s="75">
        <v>1150</v>
      </c>
      <c r="M71" s="202">
        <v>14.938508857138633</v>
      </c>
      <c r="N71" s="87">
        <v>805.30822915199997</v>
      </c>
      <c r="O71" s="123">
        <v>23412.474046752417</v>
      </c>
      <c r="P71" s="119">
        <v>29128.506126495868</v>
      </c>
      <c r="Q71" s="120">
        <v>13206.07904023114</v>
      </c>
      <c r="R71" s="319">
        <v>36618.553086983557</v>
      </c>
      <c r="S71" s="315">
        <v>42334.585166727004</v>
      </c>
      <c r="U71" s="7" t="s">
        <v>5239</v>
      </c>
    </row>
    <row r="72" spans="1:21" ht="16.5" thickBot="1">
      <c r="A72" s="1311" t="s">
        <v>4588</v>
      </c>
      <c r="B72" s="1315">
        <f t="shared" si="3"/>
        <v>150</v>
      </c>
      <c r="C72" s="1315" t="s">
        <v>3</v>
      </c>
      <c r="D72" s="1315">
        <f t="shared" si="4"/>
        <v>260</v>
      </c>
      <c r="E72" s="1315" t="s">
        <v>3</v>
      </c>
      <c r="F72" s="1313">
        <f t="shared" si="5"/>
        <v>1200</v>
      </c>
      <c r="G72" s="1315" t="s">
        <v>3</v>
      </c>
      <c r="H72" s="1312">
        <v>2</v>
      </c>
      <c r="I72" s="1314" t="s">
        <v>45</v>
      </c>
      <c r="J72" s="184">
        <v>150</v>
      </c>
      <c r="K72" s="75">
        <v>260</v>
      </c>
      <c r="L72" s="75">
        <v>1200</v>
      </c>
      <c r="M72" s="202">
        <v>15.510906586716164</v>
      </c>
      <c r="N72" s="87">
        <v>855.63999347399999</v>
      </c>
      <c r="O72" s="123">
        <v>24103.365367278155</v>
      </c>
      <c r="P72" s="119">
        <v>30010.965313299756</v>
      </c>
      <c r="Q72" s="120">
        <v>13868.271430381354</v>
      </c>
      <c r="R72" s="319">
        <v>37971.636797659507</v>
      </c>
      <c r="S72" s="315">
        <v>43879.236743681111</v>
      </c>
      <c r="U72" s="7" t="s">
        <v>5240</v>
      </c>
    </row>
    <row r="73" spans="1:21" ht="16.5" thickBot="1">
      <c r="A73" s="1311" t="s">
        <v>4588</v>
      </c>
      <c r="B73" s="1315">
        <f t="shared" si="3"/>
        <v>150</v>
      </c>
      <c r="C73" s="1315" t="s">
        <v>3</v>
      </c>
      <c r="D73" s="1315">
        <f t="shared" si="4"/>
        <v>260</v>
      </c>
      <c r="E73" s="1315" t="s">
        <v>3</v>
      </c>
      <c r="F73" s="1313">
        <f t="shared" si="5"/>
        <v>1250</v>
      </c>
      <c r="G73" s="1315" t="s">
        <v>3</v>
      </c>
      <c r="H73" s="1312">
        <v>2</v>
      </c>
      <c r="I73" s="1314" t="s">
        <v>45</v>
      </c>
      <c r="J73" s="184">
        <v>150</v>
      </c>
      <c r="K73" s="75">
        <v>260</v>
      </c>
      <c r="L73" s="75">
        <v>1250</v>
      </c>
      <c r="M73" s="202">
        <v>16.083304316293699</v>
      </c>
      <c r="N73" s="87">
        <v>905.97175779600002</v>
      </c>
      <c r="O73" s="123">
        <v>24794.256828197256</v>
      </c>
      <c r="P73" s="119">
        <v>30893.424359710283</v>
      </c>
      <c r="Q73" s="120">
        <v>14299.882042748291</v>
      </c>
      <c r="R73" s="319">
        <v>39094.13887094555</v>
      </c>
      <c r="S73" s="315">
        <v>45193.306402458576</v>
      </c>
      <c r="U73" s="7" t="s">
        <v>5241</v>
      </c>
    </row>
    <row r="74" spans="1:21" ht="16.5" thickBot="1">
      <c r="A74" s="1311" t="s">
        <v>4588</v>
      </c>
      <c r="B74" s="1315">
        <f t="shared" si="3"/>
        <v>150</v>
      </c>
      <c r="C74" s="1315" t="s">
        <v>3</v>
      </c>
      <c r="D74" s="1315">
        <f t="shared" si="4"/>
        <v>260</v>
      </c>
      <c r="E74" s="1315" t="s">
        <v>3</v>
      </c>
      <c r="F74" s="1313">
        <f t="shared" si="5"/>
        <v>1300</v>
      </c>
      <c r="G74" s="1315" t="s">
        <v>3</v>
      </c>
      <c r="H74" s="1312">
        <v>2</v>
      </c>
      <c r="I74" s="1314" t="s">
        <v>45</v>
      </c>
      <c r="J74" s="184">
        <v>150</v>
      </c>
      <c r="K74" s="75">
        <v>260</v>
      </c>
      <c r="L74" s="75">
        <v>1300</v>
      </c>
      <c r="M74" s="202">
        <v>16.655702045871234</v>
      </c>
      <c r="N74" s="87">
        <v>956.30352211799993</v>
      </c>
      <c r="O74" s="123">
        <v>25485.148148722994</v>
      </c>
      <c r="P74" s="119">
        <v>31775.883546514171</v>
      </c>
      <c r="Q74" s="120">
        <v>14962.074432898504</v>
      </c>
      <c r="R74" s="319">
        <v>40447.2225816215</v>
      </c>
      <c r="S74" s="315">
        <v>46737.957979412677</v>
      </c>
      <c r="U74" s="7" t="s">
        <v>5242</v>
      </c>
    </row>
    <row r="75" spans="1:21" ht="16.5" thickBot="1">
      <c r="A75" s="1311" t="s">
        <v>4588</v>
      </c>
      <c r="B75" s="1315">
        <f t="shared" si="3"/>
        <v>150</v>
      </c>
      <c r="C75" s="1315" t="s">
        <v>3</v>
      </c>
      <c r="D75" s="1315">
        <f t="shared" si="4"/>
        <v>260</v>
      </c>
      <c r="E75" s="1315" t="s">
        <v>3</v>
      </c>
      <c r="F75" s="1313">
        <f t="shared" si="5"/>
        <v>1350</v>
      </c>
      <c r="G75" s="1315" t="s">
        <v>3</v>
      </c>
      <c r="H75" s="1312">
        <v>2</v>
      </c>
      <c r="I75" s="1314" t="s">
        <v>45</v>
      </c>
      <c r="J75" s="184">
        <v>150</v>
      </c>
      <c r="K75" s="75">
        <v>260</v>
      </c>
      <c r="L75" s="75">
        <v>1350</v>
      </c>
      <c r="M75" s="202">
        <v>17.228099775448761</v>
      </c>
      <c r="N75" s="87">
        <v>1006.63528644</v>
      </c>
      <c r="O75" s="123">
        <v>26176.039609642092</v>
      </c>
      <c r="P75" s="119">
        <v>32658.342733318059</v>
      </c>
      <c r="Q75" s="120">
        <v>15393.685045265442</v>
      </c>
      <c r="R75" s="319">
        <v>41569.724654907535</v>
      </c>
      <c r="S75" s="315">
        <v>48052.027778583499</v>
      </c>
      <c r="U75" s="7" t="s">
        <v>5243</v>
      </c>
    </row>
    <row r="76" spans="1:21" ht="16.5" thickBot="1">
      <c r="A76" s="1311" t="s">
        <v>4588</v>
      </c>
      <c r="B76" s="1315">
        <f t="shared" si="3"/>
        <v>150</v>
      </c>
      <c r="C76" s="1315" t="s">
        <v>3</v>
      </c>
      <c r="D76" s="1315">
        <f t="shared" si="4"/>
        <v>260</v>
      </c>
      <c r="E76" s="1315" t="s">
        <v>3</v>
      </c>
      <c r="F76" s="1313">
        <f t="shared" si="5"/>
        <v>1400</v>
      </c>
      <c r="G76" s="1315" t="s">
        <v>3</v>
      </c>
      <c r="H76" s="1312">
        <v>2</v>
      </c>
      <c r="I76" s="1314" t="s">
        <v>45</v>
      </c>
      <c r="J76" s="184">
        <v>150</v>
      </c>
      <c r="K76" s="75">
        <v>260</v>
      </c>
      <c r="L76" s="75">
        <v>1400</v>
      </c>
      <c r="M76" s="202">
        <v>17.8004975050263</v>
      </c>
      <c r="N76" s="87">
        <v>1056.9670507620001</v>
      </c>
      <c r="O76" s="123">
        <v>26866.930930167833</v>
      </c>
      <c r="P76" s="119">
        <v>33540.801779728587</v>
      </c>
      <c r="Q76" s="120">
        <v>16055.877435415654</v>
      </c>
      <c r="R76" s="319">
        <v>42922.808365583485</v>
      </c>
      <c r="S76" s="315">
        <v>49596.679215144242</v>
      </c>
      <c r="U76" s="7" t="s">
        <v>5244</v>
      </c>
    </row>
    <row r="77" spans="1:21" ht="16.5" thickBot="1">
      <c r="A77" s="1311" t="s">
        <v>4588</v>
      </c>
      <c r="B77" s="1315">
        <f t="shared" si="3"/>
        <v>150</v>
      </c>
      <c r="C77" s="1315" t="s">
        <v>3</v>
      </c>
      <c r="D77" s="1315">
        <f t="shared" si="4"/>
        <v>260</v>
      </c>
      <c r="E77" s="1315" t="s">
        <v>3</v>
      </c>
      <c r="F77" s="1313">
        <f t="shared" si="5"/>
        <v>1450</v>
      </c>
      <c r="G77" s="1315" t="s">
        <v>3</v>
      </c>
      <c r="H77" s="1312">
        <v>2</v>
      </c>
      <c r="I77" s="1314" t="s">
        <v>45</v>
      </c>
      <c r="J77" s="184">
        <v>150</v>
      </c>
      <c r="K77" s="75">
        <v>260</v>
      </c>
      <c r="L77" s="75">
        <v>1450</v>
      </c>
      <c r="M77" s="202">
        <v>18.372895234603835</v>
      </c>
      <c r="N77" s="87">
        <v>1107.2988150840001</v>
      </c>
      <c r="O77" s="123">
        <v>27557.822391086931</v>
      </c>
      <c r="P77" s="119">
        <v>34423.260966532471</v>
      </c>
      <c r="Q77" s="120">
        <v>16487.48804778259</v>
      </c>
      <c r="R77" s="319">
        <v>44045.310438869521</v>
      </c>
      <c r="S77" s="315">
        <v>50910.749014315064</v>
      </c>
      <c r="U77" s="7" t="s">
        <v>5245</v>
      </c>
    </row>
    <row r="78" spans="1:21" ht="16.5" thickBot="1">
      <c r="A78" s="1311" t="s">
        <v>4588</v>
      </c>
      <c r="B78" s="1315">
        <f t="shared" si="3"/>
        <v>150</v>
      </c>
      <c r="C78" s="1315" t="s">
        <v>3</v>
      </c>
      <c r="D78" s="1315">
        <f t="shared" si="4"/>
        <v>260</v>
      </c>
      <c r="E78" s="1315" t="s">
        <v>3</v>
      </c>
      <c r="F78" s="1313">
        <f t="shared" si="5"/>
        <v>1500</v>
      </c>
      <c r="G78" s="1315" t="s">
        <v>3</v>
      </c>
      <c r="H78" s="1312">
        <v>2</v>
      </c>
      <c r="I78" s="1314" t="s">
        <v>45</v>
      </c>
      <c r="J78" s="184">
        <v>150</v>
      </c>
      <c r="K78" s="75">
        <v>260</v>
      </c>
      <c r="L78" s="75">
        <v>1500</v>
      </c>
      <c r="M78" s="202">
        <v>19.324064564181363</v>
      </c>
      <c r="N78" s="87">
        <v>1157.6305794059999</v>
      </c>
      <c r="O78" s="123">
        <v>29020.044391936317</v>
      </c>
      <c r="P78" s="119">
        <v>36318.754433227172</v>
      </c>
      <c r="Q78" s="120">
        <v>17149.680437932802</v>
      </c>
      <c r="R78" s="319">
        <v>46169.724829869119</v>
      </c>
      <c r="S78" s="315">
        <v>53468.434871159974</v>
      </c>
      <c r="U78" s="7" t="s">
        <v>5246</v>
      </c>
    </row>
    <row r="79" spans="1:21" ht="16.5" thickBot="1">
      <c r="A79" s="1311" t="s">
        <v>4588</v>
      </c>
      <c r="B79" s="1315">
        <f t="shared" si="3"/>
        <v>150</v>
      </c>
      <c r="C79" s="1315" t="s">
        <v>3</v>
      </c>
      <c r="D79" s="1315">
        <f t="shared" si="4"/>
        <v>260</v>
      </c>
      <c r="E79" s="1315" t="s">
        <v>3</v>
      </c>
      <c r="F79" s="1313">
        <f t="shared" si="5"/>
        <v>1550</v>
      </c>
      <c r="G79" s="1315" t="s">
        <v>3</v>
      </c>
      <c r="H79" s="1312">
        <v>2</v>
      </c>
      <c r="I79" s="1314" t="s">
        <v>45</v>
      </c>
      <c r="J79" s="184">
        <v>150</v>
      </c>
      <c r="K79" s="75">
        <v>260</v>
      </c>
      <c r="L79" s="75">
        <v>1550</v>
      </c>
      <c r="M79" s="202">
        <v>19.896462293758894</v>
      </c>
      <c r="N79" s="87">
        <v>1207.962343728</v>
      </c>
      <c r="O79" s="123">
        <v>29710.935852855418</v>
      </c>
      <c r="P79" s="119">
        <v>37201.213620031056</v>
      </c>
      <c r="Q79" s="120">
        <v>17581.29105029974</v>
      </c>
      <c r="R79" s="319">
        <v>47292.226903155155</v>
      </c>
      <c r="S79" s="315">
        <v>54782.504670330796</v>
      </c>
      <c r="U79" s="7" t="s">
        <v>5247</v>
      </c>
    </row>
    <row r="80" spans="1:21" ht="16.5" thickBot="1">
      <c r="A80" s="1311" t="s">
        <v>4588</v>
      </c>
      <c r="B80" s="1312">
        <f t="shared" si="3"/>
        <v>150</v>
      </c>
      <c r="C80" s="1312" t="s">
        <v>3</v>
      </c>
      <c r="D80" s="1312">
        <f t="shared" si="4"/>
        <v>260</v>
      </c>
      <c r="E80" s="1312" t="s">
        <v>3</v>
      </c>
      <c r="F80" s="1313">
        <f t="shared" si="5"/>
        <v>1600</v>
      </c>
      <c r="G80" s="1312" t="s">
        <v>3</v>
      </c>
      <c r="H80" s="1312">
        <v>2</v>
      </c>
      <c r="I80" s="1314" t="s">
        <v>45</v>
      </c>
      <c r="J80" s="184">
        <v>150</v>
      </c>
      <c r="K80" s="75">
        <v>260</v>
      </c>
      <c r="L80" s="75">
        <v>1600</v>
      </c>
      <c r="M80" s="202">
        <v>20.468860023336433</v>
      </c>
      <c r="N80" s="87">
        <v>1258.29410805</v>
      </c>
      <c r="O80" s="123">
        <v>30401.827173381156</v>
      </c>
      <c r="P80" s="119">
        <v>38083.672806834948</v>
      </c>
      <c r="Q80" s="120">
        <v>18012.901662666678</v>
      </c>
      <c r="R80" s="319">
        <v>48414.728836047834</v>
      </c>
      <c r="S80" s="315">
        <v>56096.574469501626</v>
      </c>
      <c r="U80" s="7" t="s">
        <v>5248</v>
      </c>
    </row>
    <row r="81" spans="1:21" ht="16.5" thickBot="1">
      <c r="A81" s="1311" t="s">
        <v>4588</v>
      </c>
      <c r="B81" s="1315">
        <f t="shared" si="3"/>
        <v>150</v>
      </c>
      <c r="C81" s="1315" t="s">
        <v>3</v>
      </c>
      <c r="D81" s="1315">
        <f t="shared" si="4"/>
        <v>260</v>
      </c>
      <c r="E81" s="1315" t="s">
        <v>3</v>
      </c>
      <c r="F81" s="1313">
        <f t="shared" si="5"/>
        <v>1650</v>
      </c>
      <c r="G81" s="1315" t="s">
        <v>3</v>
      </c>
      <c r="H81" s="1312">
        <v>2</v>
      </c>
      <c r="I81" s="1314" t="s">
        <v>45</v>
      </c>
      <c r="J81" s="184">
        <v>150</v>
      </c>
      <c r="K81" s="75">
        <v>260</v>
      </c>
      <c r="L81" s="75">
        <v>1650</v>
      </c>
      <c r="M81" s="202">
        <v>21.041257752913964</v>
      </c>
      <c r="N81" s="87">
        <v>1308.625872372</v>
      </c>
      <c r="O81" s="123">
        <v>31092.718634300258</v>
      </c>
      <c r="P81" s="119">
        <v>38966.131853245468</v>
      </c>
      <c r="Q81" s="120">
        <v>18675.09391242353</v>
      </c>
      <c r="R81" s="319">
        <v>49767.812546723784</v>
      </c>
      <c r="S81" s="315">
        <v>57641.225765668998</v>
      </c>
      <c r="U81" s="7" t="s">
        <v>5249</v>
      </c>
    </row>
    <row r="82" spans="1:21" ht="16.5" thickBot="1">
      <c r="A82" s="1311" t="s">
        <v>4588</v>
      </c>
      <c r="B82" s="1315">
        <f t="shared" si="3"/>
        <v>150</v>
      </c>
      <c r="C82" s="1315" t="s">
        <v>3</v>
      </c>
      <c r="D82" s="1315">
        <f t="shared" si="4"/>
        <v>260</v>
      </c>
      <c r="E82" s="1315" t="s">
        <v>3</v>
      </c>
      <c r="F82" s="1313">
        <f t="shared" si="5"/>
        <v>1700</v>
      </c>
      <c r="G82" s="1315" t="s">
        <v>3</v>
      </c>
      <c r="H82" s="1312">
        <v>2</v>
      </c>
      <c r="I82" s="1314" t="s">
        <v>45</v>
      </c>
      <c r="J82" s="184">
        <v>150</v>
      </c>
      <c r="K82" s="75">
        <v>260</v>
      </c>
      <c r="L82" s="75">
        <v>1700</v>
      </c>
      <c r="M82" s="202">
        <v>21.613655482491495</v>
      </c>
      <c r="N82" s="87">
        <v>1358.957636694</v>
      </c>
      <c r="O82" s="123">
        <v>31783.609954825992</v>
      </c>
      <c r="P82" s="119">
        <v>39848.591040049359</v>
      </c>
      <c r="Q82" s="120">
        <v>19106.704524790468</v>
      </c>
      <c r="R82" s="319">
        <v>50890.314479616456</v>
      </c>
      <c r="S82" s="315">
        <v>58955.295564839827</v>
      </c>
      <c r="U82" s="7" t="s">
        <v>5250</v>
      </c>
    </row>
    <row r="83" spans="1:21" ht="16.5" thickBot="1">
      <c r="A83" s="1311" t="s">
        <v>4588</v>
      </c>
      <c r="B83" s="1315">
        <f t="shared" si="3"/>
        <v>150</v>
      </c>
      <c r="C83" s="1315" t="s">
        <v>3</v>
      </c>
      <c r="D83" s="1315">
        <f t="shared" si="4"/>
        <v>260</v>
      </c>
      <c r="E83" s="1315" t="s">
        <v>3</v>
      </c>
      <c r="F83" s="1313">
        <f t="shared" si="5"/>
        <v>1750</v>
      </c>
      <c r="G83" s="1315" t="s">
        <v>3</v>
      </c>
      <c r="H83" s="1312">
        <v>2</v>
      </c>
      <c r="I83" s="1314" t="s">
        <v>45</v>
      </c>
      <c r="J83" s="184">
        <v>150</v>
      </c>
      <c r="K83" s="75">
        <v>260</v>
      </c>
      <c r="L83" s="75">
        <v>1750</v>
      </c>
      <c r="M83" s="202">
        <v>22.186053212069027</v>
      </c>
      <c r="N83" s="87">
        <v>1409.2894010159998</v>
      </c>
      <c r="O83" s="123">
        <v>32474.501415745097</v>
      </c>
      <c r="P83" s="119">
        <v>40731.050086459887</v>
      </c>
      <c r="Q83" s="120">
        <v>19768.89691494068</v>
      </c>
      <c r="R83" s="319">
        <v>52243.398330685777</v>
      </c>
      <c r="S83" s="315">
        <v>60499.947001400564</v>
      </c>
      <c r="U83" s="7" t="s">
        <v>5251</v>
      </c>
    </row>
    <row r="84" spans="1:21" ht="16.5" thickBot="1">
      <c r="A84" s="1311" t="s">
        <v>4588</v>
      </c>
      <c r="B84" s="1315">
        <f t="shared" si="3"/>
        <v>150</v>
      </c>
      <c r="C84" s="1315" t="s">
        <v>3</v>
      </c>
      <c r="D84" s="1315">
        <f t="shared" si="4"/>
        <v>260</v>
      </c>
      <c r="E84" s="1315" t="s">
        <v>3</v>
      </c>
      <c r="F84" s="1313">
        <f t="shared" si="5"/>
        <v>1800</v>
      </c>
      <c r="G84" s="1315" t="s">
        <v>3</v>
      </c>
      <c r="H84" s="1312">
        <v>2</v>
      </c>
      <c r="I84" s="1314" t="s">
        <v>45</v>
      </c>
      <c r="J84" s="184">
        <v>150</v>
      </c>
      <c r="K84" s="75">
        <v>260</v>
      </c>
      <c r="L84" s="75">
        <v>1800</v>
      </c>
      <c r="M84" s="202">
        <v>22.758450941646565</v>
      </c>
      <c r="N84" s="87">
        <v>1459.6211653379999</v>
      </c>
      <c r="O84" s="123">
        <v>33165.392736270835</v>
      </c>
      <c r="P84" s="119">
        <v>41613.509273263771</v>
      </c>
      <c r="Q84" s="120">
        <v>20200.507527307618</v>
      </c>
      <c r="R84" s="319">
        <v>53365.900263578456</v>
      </c>
      <c r="S84" s="315">
        <v>61814.016800571393</v>
      </c>
      <c r="U84" s="7" t="s">
        <v>5252</v>
      </c>
    </row>
    <row r="85" spans="1:21" ht="16.5" thickBot="1">
      <c r="A85" s="1311" t="s">
        <v>4588</v>
      </c>
      <c r="B85" s="1315">
        <f t="shared" si="3"/>
        <v>150</v>
      </c>
      <c r="C85" s="1315" t="s">
        <v>3</v>
      </c>
      <c r="D85" s="1315">
        <f t="shared" si="4"/>
        <v>260</v>
      </c>
      <c r="E85" s="1315" t="s">
        <v>3</v>
      </c>
      <c r="F85" s="1313">
        <f t="shared" si="5"/>
        <v>1850</v>
      </c>
      <c r="G85" s="1315" t="s">
        <v>3</v>
      </c>
      <c r="H85" s="1312">
        <v>2</v>
      </c>
      <c r="I85" s="1314" t="s">
        <v>45</v>
      </c>
      <c r="J85" s="184">
        <v>150</v>
      </c>
      <c r="K85" s="75">
        <v>260</v>
      </c>
      <c r="L85" s="75">
        <v>1850</v>
      </c>
      <c r="M85" s="202">
        <v>23.330848671224096</v>
      </c>
      <c r="N85" s="87">
        <v>1509.9529296599999</v>
      </c>
      <c r="O85" s="123">
        <v>33856.284197189932</v>
      </c>
      <c r="P85" s="119">
        <v>42495.968319674299</v>
      </c>
      <c r="Q85" s="120">
        <v>20862.69991745783</v>
      </c>
      <c r="R85" s="319">
        <v>54718.984114647763</v>
      </c>
      <c r="S85" s="315">
        <v>63358.668237132129</v>
      </c>
      <c r="U85" s="7" t="s">
        <v>5253</v>
      </c>
    </row>
    <row r="86" spans="1:21" ht="16.5" thickBot="1">
      <c r="A86" s="1311" t="s">
        <v>4588</v>
      </c>
      <c r="B86" s="1315">
        <f t="shared" si="3"/>
        <v>150</v>
      </c>
      <c r="C86" s="1315" t="s">
        <v>3</v>
      </c>
      <c r="D86" s="1315">
        <f t="shared" si="4"/>
        <v>260</v>
      </c>
      <c r="E86" s="1315" t="s">
        <v>3</v>
      </c>
      <c r="F86" s="1313">
        <f t="shared" si="5"/>
        <v>1900</v>
      </c>
      <c r="G86" s="1315" t="s">
        <v>3</v>
      </c>
      <c r="H86" s="1312">
        <v>2</v>
      </c>
      <c r="I86" s="1314" t="s">
        <v>45</v>
      </c>
      <c r="J86" s="184">
        <v>150</v>
      </c>
      <c r="K86" s="75">
        <v>260</v>
      </c>
      <c r="L86" s="75">
        <v>1900</v>
      </c>
      <c r="M86" s="202">
        <v>23.903246400801628</v>
      </c>
      <c r="N86" s="87">
        <v>1560.2846939819999</v>
      </c>
      <c r="O86" s="123">
        <v>34547.175517715674</v>
      </c>
      <c r="P86" s="119">
        <v>43378.427506478183</v>
      </c>
      <c r="Q86" s="120">
        <v>21294.310529824768</v>
      </c>
      <c r="R86" s="319">
        <v>55841.486047540442</v>
      </c>
      <c r="S86" s="315">
        <v>64672.738036302952</v>
      </c>
      <c r="U86" s="7" t="s">
        <v>5254</v>
      </c>
    </row>
    <row r="87" spans="1:21" ht="16.5" thickBot="1">
      <c r="A87" s="1311" t="s">
        <v>4588</v>
      </c>
      <c r="B87" s="1315">
        <f t="shared" si="3"/>
        <v>150</v>
      </c>
      <c r="C87" s="1315" t="s">
        <v>3</v>
      </c>
      <c r="D87" s="1315">
        <f t="shared" si="4"/>
        <v>260</v>
      </c>
      <c r="E87" s="1315" t="s">
        <v>3</v>
      </c>
      <c r="F87" s="1313">
        <f t="shared" si="5"/>
        <v>1950</v>
      </c>
      <c r="G87" s="1315" t="s">
        <v>3</v>
      </c>
      <c r="H87" s="1312">
        <v>2</v>
      </c>
      <c r="I87" s="1314" t="s">
        <v>45</v>
      </c>
      <c r="J87" s="184">
        <v>150</v>
      </c>
      <c r="K87" s="75">
        <v>260</v>
      </c>
      <c r="L87" s="75">
        <v>1950</v>
      </c>
      <c r="M87" s="202">
        <v>24.475644130379166</v>
      </c>
      <c r="N87" s="87">
        <v>1610.6164583039999</v>
      </c>
      <c r="O87" s="123">
        <v>35238.066838241408</v>
      </c>
      <c r="P87" s="119">
        <v>44260.886693282075</v>
      </c>
      <c r="Q87" s="120">
        <v>21725.921142191706</v>
      </c>
      <c r="R87" s="319">
        <v>56963.987980433114</v>
      </c>
      <c r="S87" s="315">
        <v>65986.807835473781</v>
      </c>
      <c r="U87" s="7" t="s">
        <v>5255</v>
      </c>
    </row>
    <row r="88" spans="1:21" ht="16.5" thickBot="1">
      <c r="A88" s="1311" t="s">
        <v>4588</v>
      </c>
      <c r="B88" s="1315">
        <f t="shared" si="3"/>
        <v>150</v>
      </c>
      <c r="C88" s="1315" t="s">
        <v>3</v>
      </c>
      <c r="D88" s="1315">
        <f t="shared" si="4"/>
        <v>260</v>
      </c>
      <c r="E88" s="1315" t="s">
        <v>3</v>
      </c>
      <c r="F88" s="1313">
        <f t="shared" si="5"/>
        <v>2000</v>
      </c>
      <c r="G88" s="1315" t="s">
        <v>3</v>
      </c>
      <c r="H88" s="1312">
        <v>2</v>
      </c>
      <c r="I88" s="1314" t="s">
        <v>45</v>
      </c>
      <c r="J88" s="184">
        <v>150</v>
      </c>
      <c r="K88" s="75">
        <v>260</v>
      </c>
      <c r="L88" s="75">
        <v>2000</v>
      </c>
      <c r="M88" s="202">
        <v>25.149488659956692</v>
      </c>
      <c r="N88" s="87">
        <v>1660.9482226259997</v>
      </c>
      <c r="O88" s="123">
        <v>36373.729104541468</v>
      </c>
      <c r="P88" s="119">
        <v>45292.9601382416</v>
      </c>
      <c r="Q88" s="120">
        <v>22388.113532341918</v>
      </c>
      <c r="R88" s="319">
        <v>58761.84263688339</v>
      </c>
      <c r="S88" s="315">
        <v>67681.073670583515</v>
      </c>
      <c r="U88" s="7" t="s">
        <v>5256</v>
      </c>
    </row>
    <row r="89" spans="1:21" ht="16.5" thickBot="1">
      <c r="A89" s="1311" t="s">
        <v>4588</v>
      </c>
      <c r="B89" s="1315">
        <f t="shared" si="3"/>
        <v>150</v>
      </c>
      <c r="C89" s="1315" t="s">
        <v>3</v>
      </c>
      <c r="D89" s="1315">
        <f t="shared" si="4"/>
        <v>260</v>
      </c>
      <c r="E89" s="1315" t="s">
        <v>3</v>
      </c>
      <c r="F89" s="1313">
        <f t="shared" si="5"/>
        <v>2050</v>
      </c>
      <c r="G89" s="1315" t="s">
        <v>3</v>
      </c>
      <c r="H89" s="1312">
        <v>2</v>
      </c>
      <c r="I89" s="1314" t="s">
        <v>45</v>
      </c>
      <c r="J89" s="184">
        <v>150</v>
      </c>
      <c r="K89" s="75">
        <v>260</v>
      </c>
      <c r="L89" s="75">
        <v>2050</v>
      </c>
      <c r="M89" s="202">
        <v>25.721886389534227</v>
      </c>
      <c r="N89" s="87">
        <v>1711.279986948</v>
      </c>
      <c r="O89" s="123">
        <v>37064.620425067209</v>
      </c>
      <c r="P89" s="119">
        <v>46175.419325045485</v>
      </c>
      <c r="Q89" s="120">
        <v>22819.724144708856</v>
      </c>
      <c r="R89" s="319">
        <v>59884.344569776062</v>
      </c>
      <c r="S89" s="315">
        <v>68995.143469754345</v>
      </c>
      <c r="U89" s="7" t="s">
        <v>5257</v>
      </c>
    </row>
    <row r="90" spans="1:21" ht="16.5" thickBot="1">
      <c r="A90" s="1311" t="s">
        <v>4588</v>
      </c>
      <c r="B90" s="1312">
        <f t="shared" si="3"/>
        <v>150</v>
      </c>
      <c r="C90" s="1312" t="s">
        <v>3</v>
      </c>
      <c r="D90" s="1312">
        <f t="shared" si="4"/>
        <v>260</v>
      </c>
      <c r="E90" s="1312" t="s">
        <v>3</v>
      </c>
      <c r="F90" s="1313">
        <f t="shared" si="5"/>
        <v>2100</v>
      </c>
      <c r="G90" s="1312" t="s">
        <v>3</v>
      </c>
      <c r="H90" s="1312">
        <v>2</v>
      </c>
      <c r="I90" s="1314" t="s">
        <v>45</v>
      </c>
      <c r="J90" s="184">
        <v>150</v>
      </c>
      <c r="K90" s="75">
        <v>260</v>
      </c>
      <c r="L90" s="75">
        <v>2100</v>
      </c>
      <c r="M90" s="202">
        <v>26.294284119111758</v>
      </c>
      <c r="N90" s="87">
        <v>1761.61175127</v>
      </c>
      <c r="O90" s="123">
        <v>37755.511885986307</v>
      </c>
      <c r="P90" s="119">
        <v>47057.878371456005</v>
      </c>
      <c r="Q90" s="120">
        <v>23481.916534859069</v>
      </c>
      <c r="R90" s="319">
        <v>61237.428420845376</v>
      </c>
      <c r="S90" s="315">
        <v>70539.794906315074</v>
      </c>
      <c r="U90" s="7" t="s">
        <v>5258</v>
      </c>
    </row>
    <row r="91" spans="1:21" ht="16.5" thickBot="1">
      <c r="A91" s="1311" t="s">
        <v>4588</v>
      </c>
      <c r="B91" s="1315">
        <f t="shared" si="3"/>
        <v>150</v>
      </c>
      <c r="C91" s="1315" t="s">
        <v>3</v>
      </c>
      <c r="D91" s="1315">
        <f t="shared" si="4"/>
        <v>260</v>
      </c>
      <c r="E91" s="1315" t="s">
        <v>3</v>
      </c>
      <c r="F91" s="1313">
        <f t="shared" si="5"/>
        <v>2150</v>
      </c>
      <c r="G91" s="1315" t="s">
        <v>3</v>
      </c>
      <c r="H91" s="1312">
        <v>2</v>
      </c>
      <c r="I91" s="1314" t="s">
        <v>45</v>
      </c>
      <c r="J91" s="184">
        <v>150</v>
      </c>
      <c r="K91" s="75">
        <v>260</v>
      </c>
      <c r="L91" s="75">
        <v>2150</v>
      </c>
      <c r="M91" s="202">
        <v>26.866681848689293</v>
      </c>
      <c r="N91" s="87">
        <v>1811.943515592</v>
      </c>
      <c r="O91" s="123">
        <v>38446.403206512048</v>
      </c>
      <c r="P91" s="119">
        <v>47940.337558259896</v>
      </c>
      <c r="Q91" s="120">
        <v>23913.527147226006</v>
      </c>
      <c r="R91" s="319">
        <v>62359.930353738055</v>
      </c>
      <c r="S91" s="315">
        <v>71853.864705485903</v>
      </c>
      <c r="U91" s="7" t="s">
        <v>5259</v>
      </c>
    </row>
    <row r="92" spans="1:21" ht="16.5" thickBot="1">
      <c r="A92" s="1311" t="s">
        <v>4588</v>
      </c>
      <c r="B92" s="1315">
        <f t="shared" si="3"/>
        <v>150</v>
      </c>
      <c r="C92" s="1315" t="s">
        <v>3</v>
      </c>
      <c r="D92" s="1315">
        <f t="shared" si="4"/>
        <v>260</v>
      </c>
      <c r="E92" s="1315" t="s">
        <v>3</v>
      </c>
      <c r="F92" s="1313">
        <f t="shared" si="5"/>
        <v>2200</v>
      </c>
      <c r="G92" s="1315" t="s">
        <v>3</v>
      </c>
      <c r="H92" s="1312">
        <v>2</v>
      </c>
      <c r="I92" s="1314" t="s">
        <v>45</v>
      </c>
      <c r="J92" s="184">
        <v>150</v>
      </c>
      <c r="K92" s="75">
        <v>260</v>
      </c>
      <c r="L92" s="75">
        <v>2200</v>
      </c>
      <c r="M92" s="202">
        <v>27.439079578266828</v>
      </c>
      <c r="N92" s="87">
        <v>1862.2752799140001</v>
      </c>
      <c r="O92" s="123">
        <v>39137.294667431146</v>
      </c>
      <c r="P92" s="119">
        <v>48822.796745063781</v>
      </c>
      <c r="Q92" s="120">
        <v>24575.719537376219</v>
      </c>
      <c r="R92" s="319">
        <v>63713.014204807361</v>
      </c>
      <c r="S92" s="315">
        <v>73398.516282440003</v>
      </c>
      <c r="U92" s="7" t="s">
        <v>5260</v>
      </c>
    </row>
    <row r="93" spans="1:21" ht="16.5" thickBot="1">
      <c r="A93" s="1311" t="s">
        <v>4588</v>
      </c>
      <c r="B93" s="1315">
        <f t="shared" si="3"/>
        <v>150</v>
      </c>
      <c r="C93" s="1315" t="s">
        <v>3</v>
      </c>
      <c r="D93" s="1315">
        <f t="shared" si="4"/>
        <v>260</v>
      </c>
      <c r="E93" s="1315" t="s">
        <v>3</v>
      </c>
      <c r="F93" s="1313">
        <f t="shared" si="5"/>
        <v>2250</v>
      </c>
      <c r="G93" s="1315" t="s">
        <v>3</v>
      </c>
      <c r="H93" s="1312">
        <v>2</v>
      </c>
      <c r="I93" s="1314" t="s">
        <v>45</v>
      </c>
      <c r="J93" s="184">
        <v>150</v>
      </c>
      <c r="K93" s="75">
        <v>260</v>
      </c>
      <c r="L93" s="75">
        <v>2250</v>
      </c>
      <c r="M93" s="202">
        <v>28.011477307844359</v>
      </c>
      <c r="N93" s="87">
        <v>1912.6070442359999</v>
      </c>
      <c r="O93" s="123">
        <v>39828.18598795688</v>
      </c>
      <c r="P93" s="119">
        <v>49705.255791474316</v>
      </c>
      <c r="Q93" s="120">
        <v>25007.330009349789</v>
      </c>
      <c r="R93" s="319">
        <v>64835.515997306669</v>
      </c>
      <c r="S93" s="315">
        <v>74712.585800824105</v>
      </c>
      <c r="U93" s="7" t="s">
        <v>5261</v>
      </c>
    </row>
    <row r="94" spans="1:21" ht="16.5" thickBot="1">
      <c r="A94" s="1311" t="s">
        <v>4588</v>
      </c>
      <c r="B94" s="1315">
        <f t="shared" si="3"/>
        <v>150</v>
      </c>
      <c r="C94" s="1315" t="s">
        <v>3</v>
      </c>
      <c r="D94" s="1315">
        <f t="shared" si="4"/>
        <v>260</v>
      </c>
      <c r="E94" s="1315" t="s">
        <v>3</v>
      </c>
      <c r="F94" s="1313">
        <f t="shared" si="5"/>
        <v>2300</v>
      </c>
      <c r="G94" s="1315" t="s">
        <v>3</v>
      </c>
      <c r="H94" s="1312">
        <v>2</v>
      </c>
      <c r="I94" s="1314" t="s">
        <v>45</v>
      </c>
      <c r="J94" s="184">
        <v>150</v>
      </c>
      <c r="K94" s="75">
        <v>260</v>
      </c>
      <c r="L94" s="75">
        <v>2300</v>
      </c>
      <c r="M94" s="202">
        <v>28.58387503742189</v>
      </c>
      <c r="N94" s="87">
        <v>1962.9388085579999</v>
      </c>
      <c r="O94" s="123">
        <v>40519.077448875978</v>
      </c>
      <c r="P94" s="119">
        <v>50587.7149782782</v>
      </c>
      <c r="Q94" s="120">
        <v>25438.940621716731</v>
      </c>
      <c r="R94" s="319">
        <v>65958.018070592705</v>
      </c>
      <c r="S94" s="315">
        <v>76026.655599994934</v>
      </c>
      <c r="U94" s="7" t="s">
        <v>5262</v>
      </c>
    </row>
    <row r="95" spans="1:21" ht="16.5" thickBot="1">
      <c r="A95" s="1311" t="s">
        <v>4588</v>
      </c>
      <c r="B95" s="1315">
        <f t="shared" si="3"/>
        <v>150</v>
      </c>
      <c r="C95" s="1315" t="s">
        <v>3</v>
      </c>
      <c r="D95" s="1315">
        <f t="shared" si="4"/>
        <v>260</v>
      </c>
      <c r="E95" s="1315" t="s">
        <v>3</v>
      </c>
      <c r="F95" s="1313">
        <f t="shared" si="5"/>
        <v>2350</v>
      </c>
      <c r="G95" s="1315" t="s">
        <v>3</v>
      </c>
      <c r="H95" s="1312">
        <v>2</v>
      </c>
      <c r="I95" s="1314" t="s">
        <v>45</v>
      </c>
      <c r="J95" s="184">
        <v>150</v>
      </c>
      <c r="K95" s="75">
        <v>260</v>
      </c>
      <c r="L95" s="75">
        <v>2350</v>
      </c>
      <c r="M95" s="202">
        <v>29.156272766999429</v>
      </c>
      <c r="N95" s="87">
        <v>2013.2705728799999</v>
      </c>
      <c r="O95" s="123">
        <v>41209.968769401719</v>
      </c>
      <c r="P95" s="119">
        <v>51470.17402468872</v>
      </c>
      <c r="Q95" s="120">
        <v>26101.133011866939</v>
      </c>
      <c r="R95" s="319">
        <v>67311.101781268662</v>
      </c>
      <c r="S95" s="315">
        <v>77571.307036555663</v>
      </c>
      <c r="U95" s="7" t="s">
        <v>5263</v>
      </c>
    </row>
    <row r="96" spans="1:21" ht="16.5" thickBot="1">
      <c r="A96" s="1311" t="s">
        <v>4588</v>
      </c>
      <c r="B96" s="1315">
        <f t="shared" si="3"/>
        <v>150</v>
      </c>
      <c r="C96" s="1315" t="s">
        <v>3</v>
      </c>
      <c r="D96" s="1315">
        <f t="shared" si="4"/>
        <v>260</v>
      </c>
      <c r="E96" s="1315" t="s">
        <v>3</v>
      </c>
      <c r="F96" s="1313">
        <f t="shared" si="5"/>
        <v>2400</v>
      </c>
      <c r="G96" s="1315" t="s">
        <v>3</v>
      </c>
      <c r="H96" s="1312">
        <v>2</v>
      </c>
      <c r="I96" s="1314" t="s">
        <v>45</v>
      </c>
      <c r="J96" s="184">
        <v>150</v>
      </c>
      <c r="K96" s="75">
        <v>260</v>
      </c>
      <c r="L96" s="75">
        <v>2400</v>
      </c>
      <c r="M96" s="202">
        <v>29.728670496576953</v>
      </c>
      <c r="N96" s="87">
        <v>2063.6023372019999</v>
      </c>
      <c r="O96" s="123">
        <v>41900.860230320817</v>
      </c>
      <c r="P96" s="119">
        <v>52352.633211492612</v>
      </c>
      <c r="Q96" s="120">
        <v>26532.743624233881</v>
      </c>
      <c r="R96" s="319">
        <v>68433.603854554705</v>
      </c>
      <c r="S96" s="315">
        <v>78885.376835726493</v>
      </c>
      <c r="U96" s="7" t="s">
        <v>5264</v>
      </c>
    </row>
    <row r="97" spans="1:21" ht="16.5" thickBot="1">
      <c r="A97" s="1311" t="s">
        <v>4588</v>
      </c>
      <c r="B97" s="1315">
        <f t="shared" si="3"/>
        <v>150</v>
      </c>
      <c r="C97" s="1315" t="s">
        <v>3</v>
      </c>
      <c r="D97" s="1315">
        <f t="shared" si="4"/>
        <v>260</v>
      </c>
      <c r="E97" s="1315" t="s">
        <v>3</v>
      </c>
      <c r="F97" s="1313">
        <f t="shared" si="5"/>
        <v>2450</v>
      </c>
      <c r="G97" s="1315" t="s">
        <v>3</v>
      </c>
      <c r="H97" s="1312">
        <v>2</v>
      </c>
      <c r="I97" s="1314" t="s">
        <v>45</v>
      </c>
      <c r="J97" s="184">
        <v>150</v>
      </c>
      <c r="K97" s="75">
        <v>260</v>
      </c>
      <c r="L97" s="75">
        <v>2450</v>
      </c>
      <c r="M97" s="202">
        <v>30.301068226154499</v>
      </c>
      <c r="N97" s="87">
        <v>2113.9341015240002</v>
      </c>
      <c r="O97" s="123">
        <v>42591.751550846559</v>
      </c>
      <c r="P97" s="119">
        <v>53235.092257903139</v>
      </c>
      <c r="Q97" s="120">
        <v>27194.936014384097</v>
      </c>
      <c r="R97" s="319">
        <v>69786.687565230648</v>
      </c>
      <c r="S97" s="315">
        <v>80430.028272287236</v>
      </c>
      <c r="U97" s="7" t="s">
        <v>5265</v>
      </c>
    </row>
    <row r="98" spans="1:21" ht="16.5" thickBot="1">
      <c r="A98" s="1311" t="s">
        <v>4588</v>
      </c>
      <c r="B98" s="1315">
        <f t="shared" si="3"/>
        <v>150</v>
      </c>
      <c r="C98" s="1315" t="s">
        <v>3</v>
      </c>
      <c r="D98" s="1315">
        <f t="shared" si="4"/>
        <v>260</v>
      </c>
      <c r="E98" s="1315" t="s">
        <v>3</v>
      </c>
      <c r="F98" s="1313">
        <f t="shared" si="5"/>
        <v>2500</v>
      </c>
      <c r="G98" s="1315" t="s">
        <v>3</v>
      </c>
      <c r="H98" s="1312">
        <v>2</v>
      </c>
      <c r="I98" s="1314" t="s">
        <v>45</v>
      </c>
      <c r="J98" s="184">
        <v>150</v>
      </c>
      <c r="K98" s="75">
        <v>260</v>
      </c>
      <c r="L98" s="75">
        <v>2500</v>
      </c>
      <c r="M98" s="202">
        <v>31.252237555732023</v>
      </c>
      <c r="N98" s="87">
        <v>2164.265865846</v>
      </c>
      <c r="O98" s="123">
        <v>44053.973692089312</v>
      </c>
      <c r="P98" s="119">
        <v>55130.585864991197</v>
      </c>
      <c r="Q98" s="120">
        <v>27626.546626751031</v>
      </c>
      <c r="R98" s="319">
        <v>71680.520318840339</v>
      </c>
      <c r="S98" s="315">
        <v>82757.132491742232</v>
      </c>
      <c r="U98" s="7" t="s">
        <v>5266</v>
      </c>
    </row>
    <row r="99" spans="1:21" ht="16.5" thickBot="1">
      <c r="A99" s="1311" t="s">
        <v>4588</v>
      </c>
      <c r="B99" s="1315">
        <f t="shared" si="3"/>
        <v>150</v>
      </c>
      <c r="C99" s="1315" t="s">
        <v>3</v>
      </c>
      <c r="D99" s="1315">
        <f t="shared" si="4"/>
        <v>260</v>
      </c>
      <c r="E99" s="1315" t="s">
        <v>3</v>
      </c>
      <c r="F99" s="1313">
        <f t="shared" si="5"/>
        <v>2550</v>
      </c>
      <c r="G99" s="1315" t="s">
        <v>3</v>
      </c>
      <c r="H99" s="1312">
        <v>2</v>
      </c>
      <c r="I99" s="1314" t="s">
        <v>45</v>
      </c>
      <c r="J99" s="184">
        <v>150</v>
      </c>
      <c r="K99" s="75">
        <v>260</v>
      </c>
      <c r="L99" s="75">
        <v>2550</v>
      </c>
      <c r="M99" s="202">
        <v>31.824635285309558</v>
      </c>
      <c r="N99" s="87">
        <v>2214.5976301680003</v>
      </c>
      <c r="O99" s="123">
        <v>45104.60236619701</v>
      </c>
      <c r="P99" s="119">
        <v>56027.084388045092</v>
      </c>
      <c r="Q99" s="120">
        <v>28288.739016901247</v>
      </c>
      <c r="R99" s="319">
        <v>73393.341383098261</v>
      </c>
      <c r="S99" s="315">
        <v>84315.823404946335</v>
      </c>
      <c r="U99" s="7" t="s">
        <v>5267</v>
      </c>
    </row>
    <row r="100" spans="1:21" ht="16.5" thickBot="1">
      <c r="A100" s="1311" t="s">
        <v>4588</v>
      </c>
      <c r="B100" s="1312">
        <f t="shared" si="3"/>
        <v>150</v>
      </c>
      <c r="C100" s="1312" t="s">
        <v>3</v>
      </c>
      <c r="D100" s="1312">
        <f t="shared" si="4"/>
        <v>260</v>
      </c>
      <c r="E100" s="1312" t="s">
        <v>3</v>
      </c>
      <c r="F100" s="1313">
        <f t="shared" si="5"/>
        <v>2600</v>
      </c>
      <c r="G100" s="1312" t="s">
        <v>3</v>
      </c>
      <c r="H100" s="1312">
        <v>2</v>
      </c>
      <c r="I100" s="1314" t="s">
        <v>45</v>
      </c>
      <c r="J100" s="184">
        <v>150</v>
      </c>
      <c r="K100" s="75">
        <v>260</v>
      </c>
      <c r="L100" s="75">
        <v>2600</v>
      </c>
      <c r="M100" s="202">
        <v>32.397033014887093</v>
      </c>
      <c r="N100" s="87">
        <v>2264.92939449</v>
      </c>
      <c r="O100" s="123">
        <v>45795.493827116108</v>
      </c>
      <c r="P100" s="119">
        <v>56909.543434455605</v>
      </c>
      <c r="Q100" s="120">
        <v>28720.349629268181</v>
      </c>
      <c r="R100" s="319">
        <v>74515.843456384289</v>
      </c>
      <c r="S100" s="315">
        <v>85629.893063723779</v>
      </c>
      <c r="U100" s="7" t="s">
        <v>5268</v>
      </c>
    </row>
    <row r="101" spans="1:21" ht="16.5" thickBot="1">
      <c r="A101" s="1311" t="s">
        <v>4588</v>
      </c>
      <c r="B101" s="1315">
        <f t="shared" si="3"/>
        <v>150</v>
      </c>
      <c r="C101" s="1315" t="s">
        <v>3</v>
      </c>
      <c r="D101" s="1315">
        <f t="shared" si="4"/>
        <v>260</v>
      </c>
      <c r="E101" s="1315" t="s">
        <v>3</v>
      </c>
      <c r="F101" s="1313">
        <f t="shared" si="5"/>
        <v>2650</v>
      </c>
      <c r="G101" s="1315" t="s">
        <v>3</v>
      </c>
      <c r="H101" s="1312">
        <v>2</v>
      </c>
      <c r="I101" s="1314" t="s">
        <v>45</v>
      </c>
      <c r="J101" s="184">
        <v>150</v>
      </c>
      <c r="K101" s="75">
        <v>260</v>
      </c>
      <c r="L101" s="75">
        <v>2650</v>
      </c>
      <c r="M101" s="202">
        <v>32.969430744464624</v>
      </c>
      <c r="N101" s="87">
        <v>2315.2611588119998</v>
      </c>
      <c r="O101" s="123">
        <v>46486.385147641842</v>
      </c>
      <c r="P101" s="119">
        <v>57792.002621259497</v>
      </c>
      <c r="Q101" s="120">
        <v>29382.542019418397</v>
      </c>
      <c r="R101" s="319">
        <v>75868.927167060232</v>
      </c>
      <c r="S101" s="315">
        <v>87174.544640677894</v>
      </c>
      <c r="U101" s="7" t="s">
        <v>5269</v>
      </c>
    </row>
    <row r="102" spans="1:21" ht="16.5" thickBot="1">
      <c r="A102" s="1311" t="s">
        <v>4588</v>
      </c>
      <c r="B102" s="1315">
        <f t="shared" si="3"/>
        <v>150</v>
      </c>
      <c r="C102" s="1315" t="s">
        <v>3</v>
      </c>
      <c r="D102" s="1315">
        <f t="shared" si="4"/>
        <v>260</v>
      </c>
      <c r="E102" s="1315" t="s">
        <v>3</v>
      </c>
      <c r="F102" s="1313">
        <f t="shared" si="5"/>
        <v>2700</v>
      </c>
      <c r="G102" s="1315" t="s">
        <v>3</v>
      </c>
      <c r="H102" s="1312">
        <v>2</v>
      </c>
      <c r="I102" s="1314" t="s">
        <v>45</v>
      </c>
      <c r="J102" s="184">
        <v>150</v>
      </c>
      <c r="K102" s="75">
        <v>260</v>
      </c>
      <c r="L102" s="75">
        <v>2700</v>
      </c>
      <c r="M102" s="202">
        <v>33.541828474042156</v>
      </c>
      <c r="N102" s="87">
        <v>2365.5929231340001</v>
      </c>
      <c r="O102" s="123">
        <v>47177.27660856094</v>
      </c>
      <c r="P102" s="119">
        <v>58674.461667670024</v>
      </c>
      <c r="Q102" s="120">
        <v>29814.152631785331</v>
      </c>
      <c r="R102" s="319">
        <v>76991.429240346275</v>
      </c>
      <c r="S102" s="315">
        <v>88488.614299455352</v>
      </c>
      <c r="U102" s="7" t="s">
        <v>5270</v>
      </c>
    </row>
    <row r="103" spans="1:21" ht="16.5" thickBot="1">
      <c r="A103" s="1311" t="s">
        <v>4588</v>
      </c>
      <c r="B103" s="1315">
        <f t="shared" si="3"/>
        <v>150</v>
      </c>
      <c r="C103" s="1315" t="s">
        <v>3</v>
      </c>
      <c r="D103" s="1315">
        <f t="shared" si="4"/>
        <v>260</v>
      </c>
      <c r="E103" s="1315" t="s">
        <v>3</v>
      </c>
      <c r="F103" s="1313">
        <f t="shared" si="5"/>
        <v>2750</v>
      </c>
      <c r="G103" s="1315" t="s">
        <v>3</v>
      </c>
      <c r="H103" s="1312">
        <v>2</v>
      </c>
      <c r="I103" s="1314" t="s">
        <v>45</v>
      </c>
      <c r="J103" s="184">
        <v>150</v>
      </c>
      <c r="K103" s="75">
        <v>260</v>
      </c>
      <c r="L103" s="75">
        <v>2750</v>
      </c>
      <c r="M103" s="202">
        <v>34.114226203619687</v>
      </c>
      <c r="N103" s="87">
        <v>2415.9246874559999</v>
      </c>
      <c r="O103" s="123">
        <v>47868.167929086681</v>
      </c>
      <c r="P103" s="119">
        <v>59556.920854473916</v>
      </c>
      <c r="Q103" s="120">
        <v>30245.763244152273</v>
      </c>
      <c r="R103" s="319">
        <v>78113.931173238961</v>
      </c>
      <c r="S103" s="315">
        <v>89802.684098626196</v>
      </c>
      <c r="U103" s="7" t="s">
        <v>5271</v>
      </c>
    </row>
    <row r="104" spans="1:21" ht="16.5" thickBot="1">
      <c r="A104" s="1311" t="s">
        <v>4588</v>
      </c>
      <c r="B104" s="1315">
        <f t="shared" si="3"/>
        <v>150</v>
      </c>
      <c r="C104" s="1315" t="s">
        <v>3</v>
      </c>
      <c r="D104" s="1315">
        <f t="shared" si="4"/>
        <v>260</v>
      </c>
      <c r="E104" s="1315" t="s">
        <v>3</v>
      </c>
      <c r="F104" s="1313">
        <f t="shared" si="5"/>
        <v>2800</v>
      </c>
      <c r="G104" s="1315" t="s">
        <v>3</v>
      </c>
      <c r="H104" s="1312">
        <v>2</v>
      </c>
      <c r="I104" s="1314" t="s">
        <v>45</v>
      </c>
      <c r="J104" s="184">
        <v>150</v>
      </c>
      <c r="K104" s="75">
        <v>260</v>
      </c>
      <c r="L104" s="75">
        <v>2800</v>
      </c>
      <c r="M104" s="202">
        <v>34.686623933197225</v>
      </c>
      <c r="N104" s="87">
        <v>2466.2564517780002</v>
      </c>
      <c r="O104" s="123">
        <v>48559.059249612423</v>
      </c>
      <c r="P104" s="119">
        <v>60439.3800412778</v>
      </c>
      <c r="Q104" s="120">
        <v>30907.955493909118</v>
      </c>
      <c r="R104" s="319">
        <v>79467.014743521548</v>
      </c>
      <c r="S104" s="315">
        <v>91347.335535186925</v>
      </c>
      <c r="U104" s="7" t="s">
        <v>5272</v>
      </c>
    </row>
    <row r="105" spans="1:21" ht="16.5" thickBot="1">
      <c r="A105" s="1311" t="s">
        <v>4588</v>
      </c>
      <c r="B105" s="1315">
        <f t="shared" si="3"/>
        <v>150</v>
      </c>
      <c r="C105" s="1315" t="s">
        <v>3</v>
      </c>
      <c r="D105" s="1315">
        <f t="shared" si="4"/>
        <v>260</v>
      </c>
      <c r="E105" s="1315" t="s">
        <v>3</v>
      </c>
      <c r="F105" s="1313">
        <f t="shared" si="5"/>
        <v>2850</v>
      </c>
      <c r="G105" s="1315" t="s">
        <v>3</v>
      </c>
      <c r="H105" s="1312">
        <v>2</v>
      </c>
      <c r="I105" s="1314" t="s">
        <v>45</v>
      </c>
      <c r="J105" s="184">
        <v>150</v>
      </c>
      <c r="K105" s="75">
        <v>260</v>
      </c>
      <c r="L105" s="75">
        <v>2850</v>
      </c>
      <c r="M105" s="202">
        <v>35.259021662774749</v>
      </c>
      <c r="N105" s="87">
        <v>2516.5882161</v>
      </c>
      <c r="O105" s="123">
        <v>49249.950710531521</v>
      </c>
      <c r="P105" s="119">
        <v>61321.83908768832</v>
      </c>
      <c r="Q105" s="120">
        <v>31339.566106276056</v>
      </c>
      <c r="R105" s="319">
        <v>80589.516816807576</v>
      </c>
      <c r="S105" s="315">
        <v>92661.405193964369</v>
      </c>
      <c r="U105" s="7" t="s">
        <v>5273</v>
      </c>
    </row>
    <row r="106" spans="1:21" ht="16.5" thickBot="1">
      <c r="A106" s="1311" t="s">
        <v>4588</v>
      </c>
      <c r="B106" s="1315">
        <f t="shared" si="3"/>
        <v>150</v>
      </c>
      <c r="C106" s="1315" t="s">
        <v>3</v>
      </c>
      <c r="D106" s="1315">
        <f t="shared" si="4"/>
        <v>260</v>
      </c>
      <c r="E106" s="1315" t="s">
        <v>3</v>
      </c>
      <c r="F106" s="1313">
        <f t="shared" si="5"/>
        <v>2900</v>
      </c>
      <c r="G106" s="1315" t="s">
        <v>3</v>
      </c>
      <c r="H106" s="1312">
        <v>2</v>
      </c>
      <c r="I106" s="1314" t="s">
        <v>45</v>
      </c>
      <c r="J106" s="184">
        <v>150</v>
      </c>
      <c r="K106" s="75">
        <v>260</v>
      </c>
      <c r="L106" s="75">
        <v>2900</v>
      </c>
      <c r="M106" s="202">
        <v>35.831419392352288</v>
      </c>
      <c r="N106" s="87">
        <v>2566.9199804219998</v>
      </c>
      <c r="O106" s="123">
        <v>49940.842031057262</v>
      </c>
      <c r="P106" s="119">
        <v>62204.298274492212</v>
      </c>
      <c r="Q106" s="120">
        <v>32001.758496426271</v>
      </c>
      <c r="R106" s="319">
        <v>81942.600527483533</v>
      </c>
      <c r="S106" s="315">
        <v>94206.056770918483</v>
      </c>
      <c r="U106" s="7" t="s">
        <v>5274</v>
      </c>
    </row>
    <row r="107" spans="1:21" ht="16.5" thickBot="1">
      <c r="A107" s="1311" t="s">
        <v>4588</v>
      </c>
      <c r="B107" s="1315">
        <f t="shared" si="3"/>
        <v>150</v>
      </c>
      <c r="C107" s="1315" t="s">
        <v>3</v>
      </c>
      <c r="D107" s="1315">
        <f t="shared" si="4"/>
        <v>260</v>
      </c>
      <c r="E107" s="1315" t="s">
        <v>3</v>
      </c>
      <c r="F107" s="1313">
        <f t="shared" si="5"/>
        <v>2950</v>
      </c>
      <c r="G107" s="1315" t="s">
        <v>3</v>
      </c>
      <c r="H107" s="1312">
        <v>2</v>
      </c>
      <c r="I107" s="1314" t="s">
        <v>45</v>
      </c>
      <c r="J107" s="184">
        <v>150</v>
      </c>
      <c r="K107" s="75">
        <v>260</v>
      </c>
      <c r="L107" s="75">
        <v>2950</v>
      </c>
      <c r="M107" s="202">
        <v>36.403817121929819</v>
      </c>
      <c r="N107" s="87">
        <v>2617.251744744</v>
      </c>
      <c r="O107" s="123">
        <v>50631.73349197636</v>
      </c>
      <c r="P107" s="119">
        <v>63086.75732090274</v>
      </c>
      <c r="Q107" s="120">
        <v>32433.369108793206</v>
      </c>
      <c r="R107" s="319">
        <v>83065.102600769562</v>
      </c>
      <c r="S107" s="315">
        <v>95520.126429695942</v>
      </c>
      <c r="U107" s="7" t="s">
        <v>5275</v>
      </c>
    </row>
    <row r="108" spans="1:21" ht="16.5" thickBot="1">
      <c r="A108" s="1311" t="s">
        <v>4588</v>
      </c>
      <c r="B108" s="1317">
        <f t="shared" si="3"/>
        <v>150</v>
      </c>
      <c r="C108" s="1317" t="s">
        <v>3</v>
      </c>
      <c r="D108" s="1317">
        <f t="shared" si="4"/>
        <v>260</v>
      </c>
      <c r="E108" s="1317" t="s">
        <v>3</v>
      </c>
      <c r="F108" s="1318">
        <f t="shared" si="5"/>
        <v>3000</v>
      </c>
      <c r="G108" s="1317" t="s">
        <v>3</v>
      </c>
      <c r="H108" s="1312">
        <v>2</v>
      </c>
      <c r="I108" s="1314" t="s">
        <v>45</v>
      </c>
      <c r="J108" s="186">
        <v>150</v>
      </c>
      <c r="K108" s="147">
        <v>260</v>
      </c>
      <c r="L108" s="147">
        <v>3000</v>
      </c>
      <c r="M108" s="209">
        <v>37.179108451507346</v>
      </c>
      <c r="N108" s="148">
        <v>2667.5835090659998</v>
      </c>
      <c r="O108" s="149">
        <v>51550.646096140103</v>
      </c>
      <c r="P108" s="189">
        <v>64197.237791344625</v>
      </c>
      <c r="Q108" s="159">
        <v>33095.561498943418</v>
      </c>
      <c r="R108" s="320">
        <v>84646.207595083513</v>
      </c>
      <c r="S108" s="317">
        <v>97292.799290288036</v>
      </c>
      <c r="U108" s="7" t="s">
        <v>5276</v>
      </c>
    </row>
    <row r="109" spans="1:21" ht="16.5" thickBot="1">
      <c r="A109" s="2621" t="s">
        <v>48</v>
      </c>
      <c r="B109" s="2622"/>
      <c r="C109" s="2622"/>
      <c r="D109" s="2622"/>
      <c r="E109" s="2622"/>
      <c r="F109" s="2622"/>
      <c r="G109" s="2622"/>
      <c r="H109" s="2622"/>
      <c r="I109" s="2622"/>
      <c r="J109" s="2622"/>
      <c r="K109" s="2622"/>
      <c r="L109" s="2622"/>
      <c r="M109" s="2622"/>
      <c r="N109" s="2622"/>
      <c r="O109" s="2622"/>
      <c r="P109" s="2622"/>
      <c r="Q109" s="2622"/>
      <c r="R109" s="2622"/>
      <c r="S109" s="2623"/>
      <c r="U109" s="7"/>
    </row>
    <row r="110" spans="1:21" ht="16.5" thickBot="1">
      <c r="A110" s="2583" t="s">
        <v>4587</v>
      </c>
      <c r="B110" s="2584"/>
      <c r="C110" s="2584"/>
      <c r="D110" s="2584"/>
      <c r="E110" s="2584"/>
      <c r="F110" s="2584"/>
      <c r="G110" s="2584"/>
      <c r="H110" s="2584"/>
      <c r="I110" s="2584"/>
      <c r="J110" s="2584"/>
      <c r="K110" s="2584"/>
      <c r="L110" s="2584"/>
      <c r="M110" s="2584"/>
      <c r="N110" s="2584"/>
      <c r="O110" s="2584"/>
      <c r="P110" s="2584"/>
      <c r="Q110" s="2584"/>
      <c r="R110" s="2584"/>
      <c r="S110" s="2585"/>
      <c r="U110" s="7"/>
    </row>
    <row r="111" spans="1:21" ht="16.5" thickBot="1">
      <c r="A111" s="1311" t="s">
        <v>4588</v>
      </c>
      <c r="B111" s="1312">
        <f>J111</f>
        <v>150</v>
      </c>
      <c r="C111" s="1312" t="s">
        <v>3</v>
      </c>
      <c r="D111" s="1312">
        <f>K111</f>
        <v>300</v>
      </c>
      <c r="E111" s="1312" t="s">
        <v>3</v>
      </c>
      <c r="F111" s="1313">
        <f>L111</f>
        <v>600</v>
      </c>
      <c r="G111" s="1312" t="s">
        <v>3</v>
      </c>
      <c r="H111" s="1312">
        <v>2</v>
      </c>
      <c r="I111" s="1314" t="s">
        <v>45</v>
      </c>
      <c r="J111" s="181">
        <v>150</v>
      </c>
      <c r="K111" s="143">
        <v>300</v>
      </c>
      <c r="L111" s="143">
        <v>600</v>
      </c>
      <c r="M111" s="201">
        <v>9.3758557905226105</v>
      </c>
      <c r="N111" s="144">
        <v>276.82799999999997</v>
      </c>
      <c r="O111" s="145">
        <v>16002.653750118452</v>
      </c>
      <c r="P111" s="183">
        <v>20369.830346084367</v>
      </c>
      <c r="Q111" s="169">
        <v>8203.3683669666007</v>
      </c>
      <c r="R111" s="318">
        <v>24206.022117085053</v>
      </c>
      <c r="S111" s="313">
        <v>28573.198713050966</v>
      </c>
      <c r="U111" s="7" t="s">
        <v>5277</v>
      </c>
    </row>
    <row r="112" spans="1:21" ht="16.5" thickBot="1">
      <c r="A112" s="1311" t="s">
        <v>4588</v>
      </c>
      <c r="B112" s="1315">
        <f t="shared" ref="B112:B159" si="6">J112</f>
        <v>150</v>
      </c>
      <c r="C112" s="1315" t="s">
        <v>3</v>
      </c>
      <c r="D112" s="1315">
        <f t="shared" ref="D112:D159" si="7">K112</f>
        <v>300</v>
      </c>
      <c r="E112" s="1315" t="s">
        <v>3</v>
      </c>
      <c r="F112" s="1313">
        <f t="shared" ref="F112:F159" si="8">L112</f>
        <v>650</v>
      </c>
      <c r="G112" s="1315" t="s">
        <v>3</v>
      </c>
      <c r="H112" s="1312">
        <v>2</v>
      </c>
      <c r="I112" s="1314" t="s">
        <v>45</v>
      </c>
      <c r="J112" s="184">
        <v>150</v>
      </c>
      <c r="K112" s="75">
        <v>300</v>
      </c>
      <c r="L112" s="75">
        <v>650</v>
      </c>
      <c r="M112" s="202">
        <v>9.9881622499948826</v>
      </c>
      <c r="N112" s="87">
        <v>332.19359999999995</v>
      </c>
      <c r="O112" s="123">
        <v>16713.133875727093</v>
      </c>
      <c r="P112" s="121">
        <v>21285.561636653856</v>
      </c>
      <c r="Q112" s="120">
        <v>8683.7735348305905</v>
      </c>
      <c r="R112" s="319">
        <v>25396.907410557684</v>
      </c>
      <c r="S112" s="315">
        <v>29969.335171484447</v>
      </c>
      <c r="U112" s="7" t="s">
        <v>5278</v>
      </c>
    </row>
    <row r="113" spans="1:21" ht="16.5" thickBot="1">
      <c r="A113" s="1311" t="s">
        <v>4588</v>
      </c>
      <c r="B113" s="1315">
        <f t="shared" si="6"/>
        <v>150</v>
      </c>
      <c r="C113" s="1315" t="s">
        <v>3</v>
      </c>
      <c r="D113" s="1315">
        <f t="shared" si="7"/>
        <v>300</v>
      </c>
      <c r="E113" s="1315" t="s">
        <v>3</v>
      </c>
      <c r="F113" s="1313">
        <f t="shared" si="8"/>
        <v>700</v>
      </c>
      <c r="G113" s="1315" t="s">
        <v>3</v>
      </c>
      <c r="H113" s="1312">
        <v>2</v>
      </c>
      <c r="I113" s="1314" t="s">
        <v>45</v>
      </c>
      <c r="J113" s="184">
        <v>150</v>
      </c>
      <c r="K113" s="75">
        <v>300</v>
      </c>
      <c r="L113" s="75">
        <v>700</v>
      </c>
      <c r="M113" s="202">
        <v>10.600468709467151</v>
      </c>
      <c r="N113" s="87">
        <v>387.55919999999992</v>
      </c>
      <c r="O113" s="123">
        <v>17423.614001335729</v>
      </c>
      <c r="P113" s="121">
        <v>22201.292927223341</v>
      </c>
      <c r="Q113" s="120">
        <v>9394.7606208712132</v>
      </c>
      <c r="R113" s="319">
        <v>26818.374622206942</v>
      </c>
      <c r="S113" s="315">
        <v>31596.053548094555</v>
      </c>
      <c r="U113" s="7" t="s">
        <v>5279</v>
      </c>
    </row>
    <row r="114" spans="1:21" ht="16.5" thickBot="1">
      <c r="A114" s="1311" t="s">
        <v>4588</v>
      </c>
      <c r="B114" s="1315">
        <f t="shared" si="6"/>
        <v>150</v>
      </c>
      <c r="C114" s="1315" t="s">
        <v>3</v>
      </c>
      <c r="D114" s="1315">
        <f t="shared" si="7"/>
        <v>300</v>
      </c>
      <c r="E114" s="1315" t="s">
        <v>3</v>
      </c>
      <c r="F114" s="1313">
        <f t="shared" si="8"/>
        <v>750</v>
      </c>
      <c r="G114" s="1315" t="s">
        <v>3</v>
      </c>
      <c r="H114" s="1312">
        <v>2</v>
      </c>
      <c r="I114" s="1314" t="s">
        <v>45</v>
      </c>
      <c r="J114" s="184">
        <v>150</v>
      </c>
      <c r="K114" s="75">
        <v>300</v>
      </c>
      <c r="L114" s="75">
        <v>750</v>
      </c>
      <c r="M114" s="202">
        <v>11.212775168939423</v>
      </c>
      <c r="N114" s="87">
        <v>442.9248</v>
      </c>
      <c r="O114" s="123">
        <v>18134.093986551004</v>
      </c>
      <c r="P114" s="121">
        <v>23117.02421779283</v>
      </c>
      <c r="Q114" s="120">
        <v>9875.165788735203</v>
      </c>
      <c r="R114" s="319">
        <v>28009.259775286206</v>
      </c>
      <c r="S114" s="315">
        <v>32992.190006528035</v>
      </c>
      <c r="U114" s="7" t="s">
        <v>5280</v>
      </c>
    </row>
    <row r="115" spans="1:21" ht="16.5" thickBot="1">
      <c r="A115" s="1311" t="s">
        <v>4588</v>
      </c>
      <c r="B115" s="1315">
        <f t="shared" si="6"/>
        <v>150</v>
      </c>
      <c r="C115" s="1315" t="s">
        <v>3</v>
      </c>
      <c r="D115" s="1315">
        <f t="shared" si="7"/>
        <v>300</v>
      </c>
      <c r="E115" s="1315" t="s">
        <v>3</v>
      </c>
      <c r="F115" s="1313">
        <f t="shared" si="8"/>
        <v>800</v>
      </c>
      <c r="G115" s="1315" t="s">
        <v>3</v>
      </c>
      <c r="H115" s="1312">
        <v>2</v>
      </c>
      <c r="I115" s="1314" t="s">
        <v>45</v>
      </c>
      <c r="J115" s="184">
        <v>150</v>
      </c>
      <c r="K115" s="75">
        <v>300</v>
      </c>
      <c r="L115" s="75">
        <v>800</v>
      </c>
      <c r="M115" s="202">
        <v>11.825081628411692</v>
      </c>
      <c r="N115" s="87">
        <v>498.29039999999998</v>
      </c>
      <c r="O115" s="123">
        <v>19205.695463509128</v>
      </c>
      <c r="P115" s="121">
        <v>24046.794844612319</v>
      </c>
      <c r="Q115" s="120">
        <v>10355.570956599189</v>
      </c>
      <c r="R115" s="319">
        <v>29561.266420108317</v>
      </c>
      <c r="S115" s="315">
        <v>34402.365801211505</v>
      </c>
      <c r="U115" s="7" t="s">
        <v>5281</v>
      </c>
    </row>
    <row r="116" spans="1:21" ht="16.5" thickBot="1">
      <c r="A116" s="1311" t="s">
        <v>4588</v>
      </c>
      <c r="B116" s="1315">
        <f t="shared" si="6"/>
        <v>150</v>
      </c>
      <c r="C116" s="1315" t="s">
        <v>3</v>
      </c>
      <c r="D116" s="1315">
        <f t="shared" si="7"/>
        <v>300</v>
      </c>
      <c r="E116" s="1315" t="s">
        <v>3</v>
      </c>
      <c r="F116" s="1313">
        <f t="shared" si="8"/>
        <v>850</v>
      </c>
      <c r="G116" s="1315" t="s">
        <v>3</v>
      </c>
      <c r="H116" s="1312">
        <v>2</v>
      </c>
      <c r="I116" s="1314" t="s">
        <v>45</v>
      </c>
      <c r="J116" s="184">
        <v>150</v>
      </c>
      <c r="K116" s="75">
        <v>300</v>
      </c>
      <c r="L116" s="75">
        <v>850</v>
      </c>
      <c r="M116" s="202">
        <v>12.43738808788396</v>
      </c>
      <c r="N116" s="87">
        <v>553.65599999999995</v>
      </c>
      <c r="O116" s="123">
        <v>19916.175589117767</v>
      </c>
      <c r="P116" s="121">
        <v>24962.525994788441</v>
      </c>
      <c r="Q116" s="120">
        <v>11066.558042639816</v>
      </c>
      <c r="R116" s="319">
        <v>30982.733631757583</v>
      </c>
      <c r="S116" s="315">
        <v>36029.084037428256</v>
      </c>
      <c r="U116" s="7" t="s">
        <v>5282</v>
      </c>
    </row>
    <row r="117" spans="1:21" ht="16.5" thickBot="1">
      <c r="A117" s="1311" t="s">
        <v>4588</v>
      </c>
      <c r="B117" s="1315">
        <f t="shared" si="6"/>
        <v>150</v>
      </c>
      <c r="C117" s="1315" t="s">
        <v>3</v>
      </c>
      <c r="D117" s="1315">
        <f t="shared" si="7"/>
        <v>300</v>
      </c>
      <c r="E117" s="1315" t="s">
        <v>3</v>
      </c>
      <c r="F117" s="1313">
        <f t="shared" si="8"/>
        <v>900</v>
      </c>
      <c r="G117" s="1315" t="s">
        <v>3</v>
      </c>
      <c r="H117" s="1312">
        <v>2</v>
      </c>
      <c r="I117" s="1314" t="s">
        <v>45</v>
      </c>
      <c r="J117" s="184">
        <v>150</v>
      </c>
      <c r="K117" s="75">
        <v>300</v>
      </c>
      <c r="L117" s="75">
        <v>900</v>
      </c>
      <c r="M117" s="202">
        <v>13.049694547356232</v>
      </c>
      <c r="N117" s="87">
        <v>609.02160000000003</v>
      </c>
      <c r="O117" s="123">
        <v>20626.655714726403</v>
      </c>
      <c r="P117" s="121">
        <v>25878.25728535793</v>
      </c>
      <c r="Q117" s="120">
        <v>11546.963210503804</v>
      </c>
      <c r="R117" s="319">
        <v>32173.618925230207</v>
      </c>
      <c r="S117" s="315">
        <v>37425.220495861737</v>
      </c>
      <c r="U117" s="7" t="s">
        <v>5283</v>
      </c>
    </row>
    <row r="118" spans="1:21" ht="16.5" thickBot="1">
      <c r="A118" s="1311" t="s">
        <v>4588</v>
      </c>
      <c r="B118" s="1315">
        <f t="shared" si="6"/>
        <v>150</v>
      </c>
      <c r="C118" s="1315" t="s">
        <v>3</v>
      </c>
      <c r="D118" s="1315">
        <f t="shared" si="7"/>
        <v>300</v>
      </c>
      <c r="E118" s="1315" t="s">
        <v>3</v>
      </c>
      <c r="F118" s="1313">
        <f t="shared" si="8"/>
        <v>950</v>
      </c>
      <c r="G118" s="1315" t="s">
        <v>3</v>
      </c>
      <c r="H118" s="1312">
        <v>2</v>
      </c>
      <c r="I118" s="1314" t="s">
        <v>45</v>
      </c>
      <c r="J118" s="184">
        <v>150</v>
      </c>
      <c r="K118" s="75">
        <v>300</v>
      </c>
      <c r="L118" s="75">
        <v>950</v>
      </c>
      <c r="M118" s="202">
        <v>13.6620010068285</v>
      </c>
      <c r="N118" s="87">
        <v>664.38719999999989</v>
      </c>
      <c r="O118" s="123">
        <v>21337.135840335042</v>
      </c>
      <c r="P118" s="121">
        <v>26793.988575927418</v>
      </c>
      <c r="Q118" s="120">
        <v>12257.950156151066</v>
      </c>
      <c r="R118" s="319">
        <v>33595.085996486108</v>
      </c>
      <c r="S118" s="315">
        <v>39051.938732078488</v>
      </c>
      <c r="U118" s="7" t="s">
        <v>5284</v>
      </c>
    </row>
    <row r="119" spans="1:21" ht="16.5" thickBot="1">
      <c r="A119" s="1311" t="s">
        <v>4588</v>
      </c>
      <c r="B119" s="1315">
        <f t="shared" si="6"/>
        <v>150</v>
      </c>
      <c r="C119" s="1315" t="s">
        <v>3</v>
      </c>
      <c r="D119" s="1315">
        <f t="shared" si="7"/>
        <v>300</v>
      </c>
      <c r="E119" s="1315" t="s">
        <v>3</v>
      </c>
      <c r="F119" s="1313">
        <f t="shared" si="8"/>
        <v>1000</v>
      </c>
      <c r="G119" s="1315" t="s">
        <v>3</v>
      </c>
      <c r="H119" s="1312">
        <v>2</v>
      </c>
      <c r="I119" s="1314" t="s">
        <v>45</v>
      </c>
      <c r="J119" s="184">
        <v>150</v>
      </c>
      <c r="K119" s="75">
        <v>300</v>
      </c>
      <c r="L119" s="75">
        <v>1000</v>
      </c>
      <c r="M119" s="202">
        <v>14.391361466300769</v>
      </c>
      <c r="N119" s="87">
        <v>719.75279999999998</v>
      </c>
      <c r="O119" s="123">
        <v>22101.021601038679</v>
      </c>
      <c r="P119" s="121">
        <v>27763.125501591905</v>
      </c>
      <c r="Q119" s="120">
        <v>12738.355464408416</v>
      </c>
      <c r="R119" s="319">
        <v>34839.377065447094</v>
      </c>
      <c r="S119" s="315">
        <v>40501.480966000323</v>
      </c>
      <c r="U119" s="7" t="s">
        <v>5285</v>
      </c>
    </row>
    <row r="120" spans="1:21" ht="16.5" thickBot="1">
      <c r="A120" s="1311" t="s">
        <v>4588</v>
      </c>
      <c r="B120" s="1315">
        <f t="shared" si="6"/>
        <v>150</v>
      </c>
      <c r="C120" s="1315" t="s">
        <v>3</v>
      </c>
      <c r="D120" s="1315">
        <f t="shared" si="7"/>
        <v>300</v>
      </c>
      <c r="E120" s="1315" t="s">
        <v>3</v>
      </c>
      <c r="F120" s="1313">
        <f t="shared" si="8"/>
        <v>1050</v>
      </c>
      <c r="G120" s="1315" t="s">
        <v>3</v>
      </c>
      <c r="H120" s="1312">
        <v>2</v>
      </c>
      <c r="I120" s="1314" t="s">
        <v>45</v>
      </c>
      <c r="J120" s="184">
        <v>150</v>
      </c>
      <c r="K120" s="75">
        <v>300</v>
      </c>
      <c r="L120" s="75">
        <v>1050</v>
      </c>
      <c r="M120" s="202">
        <v>15.003667925773041</v>
      </c>
      <c r="N120" s="87">
        <v>775.11839999999984</v>
      </c>
      <c r="O120" s="123">
        <v>22811.501726647319</v>
      </c>
      <c r="P120" s="121">
        <v>28678.85665176803</v>
      </c>
      <c r="Q120" s="120">
        <v>13449.342410055679</v>
      </c>
      <c r="R120" s="319">
        <v>36260.844136702995</v>
      </c>
      <c r="S120" s="315">
        <v>42128.199061823711</v>
      </c>
      <c r="U120" s="7" t="s">
        <v>5286</v>
      </c>
    </row>
    <row r="121" spans="1:21" ht="16.5" thickBot="1">
      <c r="A121" s="1311" t="s">
        <v>4588</v>
      </c>
      <c r="B121" s="1312">
        <f t="shared" si="6"/>
        <v>150</v>
      </c>
      <c r="C121" s="1312" t="s">
        <v>3</v>
      </c>
      <c r="D121" s="1312">
        <f t="shared" si="7"/>
        <v>300</v>
      </c>
      <c r="E121" s="1312" t="s">
        <v>3</v>
      </c>
      <c r="F121" s="1313">
        <f t="shared" si="8"/>
        <v>1100</v>
      </c>
      <c r="G121" s="1312" t="s">
        <v>3</v>
      </c>
      <c r="H121" s="1312">
        <v>2</v>
      </c>
      <c r="I121" s="1314" t="s">
        <v>45</v>
      </c>
      <c r="J121" s="184">
        <v>150</v>
      </c>
      <c r="K121" s="75">
        <v>300</v>
      </c>
      <c r="L121" s="75">
        <v>1100</v>
      </c>
      <c r="M121" s="202">
        <v>15.615974385245309</v>
      </c>
      <c r="N121" s="87">
        <v>830.48399999999992</v>
      </c>
      <c r="O121" s="123">
        <v>23521.981852255958</v>
      </c>
      <c r="P121" s="121">
        <v>29594.587942337523</v>
      </c>
      <c r="Q121" s="120">
        <v>13929.747718313029</v>
      </c>
      <c r="R121" s="319">
        <v>37451.72957056899</v>
      </c>
      <c r="S121" s="315">
        <v>43524.335660650555</v>
      </c>
      <c r="U121" s="7" t="s">
        <v>5287</v>
      </c>
    </row>
    <row r="122" spans="1:21" ht="16.5" thickBot="1">
      <c r="A122" s="1311" t="s">
        <v>4588</v>
      </c>
      <c r="B122" s="1315">
        <f t="shared" si="6"/>
        <v>150</v>
      </c>
      <c r="C122" s="1315" t="s">
        <v>3</v>
      </c>
      <c r="D122" s="1315">
        <f t="shared" si="7"/>
        <v>300</v>
      </c>
      <c r="E122" s="1315" t="s">
        <v>3</v>
      </c>
      <c r="F122" s="1313">
        <f t="shared" si="8"/>
        <v>1150</v>
      </c>
      <c r="G122" s="1315" t="s">
        <v>3</v>
      </c>
      <c r="H122" s="1312">
        <v>2</v>
      </c>
      <c r="I122" s="1314" t="s">
        <v>45</v>
      </c>
      <c r="J122" s="184">
        <v>150</v>
      </c>
      <c r="K122" s="75">
        <v>300</v>
      </c>
      <c r="L122" s="75">
        <v>1150</v>
      </c>
      <c r="M122" s="202">
        <v>16.228280844717581</v>
      </c>
      <c r="N122" s="87">
        <v>885.84960000000001</v>
      </c>
      <c r="O122" s="123">
        <v>24232.46197786459</v>
      </c>
      <c r="P122" s="121">
        <v>30510.319232907008</v>
      </c>
      <c r="Q122" s="120">
        <v>14410.152886177015</v>
      </c>
      <c r="R122" s="319">
        <v>38642.614864041607</v>
      </c>
      <c r="S122" s="315">
        <v>44920.472119084021</v>
      </c>
      <c r="U122" s="7" t="s">
        <v>5288</v>
      </c>
    </row>
    <row r="123" spans="1:21" ht="16.5" thickBot="1">
      <c r="A123" s="1311" t="s">
        <v>4588</v>
      </c>
      <c r="B123" s="1315">
        <f t="shared" si="6"/>
        <v>150</v>
      </c>
      <c r="C123" s="1315" t="s">
        <v>3</v>
      </c>
      <c r="D123" s="1315">
        <f t="shared" si="7"/>
        <v>300</v>
      </c>
      <c r="E123" s="1315" t="s">
        <v>3</v>
      </c>
      <c r="F123" s="1313">
        <f t="shared" si="8"/>
        <v>1200</v>
      </c>
      <c r="G123" s="1315" t="s">
        <v>3</v>
      </c>
      <c r="H123" s="1312">
        <v>2</v>
      </c>
      <c r="I123" s="1314" t="s">
        <v>45</v>
      </c>
      <c r="J123" s="184">
        <v>150</v>
      </c>
      <c r="K123" s="75">
        <v>300</v>
      </c>
      <c r="L123" s="75">
        <v>1200</v>
      </c>
      <c r="M123" s="202">
        <v>16.840587304189846</v>
      </c>
      <c r="N123" s="87">
        <v>941.21519999999987</v>
      </c>
      <c r="O123" s="123">
        <v>24942.941963079866</v>
      </c>
      <c r="P123" s="121">
        <v>31426.050523476497</v>
      </c>
      <c r="Q123" s="120">
        <v>15121.139831824277</v>
      </c>
      <c r="R123" s="319">
        <v>40064.081794904145</v>
      </c>
      <c r="S123" s="315">
        <v>46547.190355300772</v>
      </c>
      <c r="U123" s="7" t="s">
        <v>5289</v>
      </c>
    </row>
    <row r="124" spans="1:21" ht="16.5" thickBot="1">
      <c r="A124" s="1311" t="s">
        <v>4588</v>
      </c>
      <c r="B124" s="1315">
        <f t="shared" si="6"/>
        <v>150</v>
      </c>
      <c r="C124" s="1315" t="s">
        <v>3</v>
      </c>
      <c r="D124" s="1315">
        <f t="shared" si="7"/>
        <v>300</v>
      </c>
      <c r="E124" s="1315" t="s">
        <v>3</v>
      </c>
      <c r="F124" s="1313">
        <f t="shared" si="8"/>
        <v>1250</v>
      </c>
      <c r="G124" s="1315" t="s">
        <v>3</v>
      </c>
      <c r="H124" s="1312">
        <v>2</v>
      </c>
      <c r="I124" s="1314" t="s">
        <v>45</v>
      </c>
      <c r="J124" s="184">
        <v>150</v>
      </c>
      <c r="K124" s="75">
        <v>300</v>
      </c>
      <c r="L124" s="75">
        <v>1250</v>
      </c>
      <c r="M124" s="202">
        <v>17.452893763662122</v>
      </c>
      <c r="N124" s="87">
        <v>996.58079999999995</v>
      </c>
      <c r="O124" s="123">
        <v>25653.422088688505</v>
      </c>
      <c r="P124" s="121">
        <v>32341.781673652618</v>
      </c>
      <c r="Q124" s="120">
        <v>15601.545140081627</v>
      </c>
      <c r="R124" s="319">
        <v>41254.967228770132</v>
      </c>
      <c r="S124" s="315">
        <v>47943.326813734246</v>
      </c>
      <c r="U124" s="7" t="s">
        <v>5290</v>
      </c>
    </row>
    <row r="125" spans="1:21" ht="16.5" thickBot="1">
      <c r="A125" s="1311" t="s">
        <v>4588</v>
      </c>
      <c r="B125" s="1315">
        <f t="shared" si="6"/>
        <v>150</v>
      </c>
      <c r="C125" s="1315" t="s">
        <v>3</v>
      </c>
      <c r="D125" s="1315">
        <f t="shared" si="7"/>
        <v>300</v>
      </c>
      <c r="E125" s="1315" t="s">
        <v>3</v>
      </c>
      <c r="F125" s="1313">
        <f t="shared" si="8"/>
        <v>1300</v>
      </c>
      <c r="G125" s="1315" t="s">
        <v>3</v>
      </c>
      <c r="H125" s="1312">
        <v>2</v>
      </c>
      <c r="I125" s="1314" t="s">
        <v>45</v>
      </c>
      <c r="J125" s="184">
        <v>150</v>
      </c>
      <c r="K125" s="75">
        <v>300</v>
      </c>
      <c r="L125" s="75">
        <v>1300</v>
      </c>
      <c r="M125" s="202">
        <v>18.06520022313439</v>
      </c>
      <c r="N125" s="87">
        <v>1051.9463999999998</v>
      </c>
      <c r="O125" s="123">
        <v>26363.902214297144</v>
      </c>
      <c r="P125" s="121">
        <v>33257.512964222107</v>
      </c>
      <c r="Q125" s="120">
        <v>16312.53208572889</v>
      </c>
      <c r="R125" s="319">
        <v>42676.434300026034</v>
      </c>
      <c r="S125" s="315">
        <v>49570.045049950997</v>
      </c>
      <c r="U125" s="7" t="s">
        <v>5291</v>
      </c>
    </row>
    <row r="126" spans="1:21" ht="16.5" thickBot="1">
      <c r="A126" s="1311" t="s">
        <v>4588</v>
      </c>
      <c r="B126" s="1315">
        <f t="shared" si="6"/>
        <v>150</v>
      </c>
      <c r="C126" s="1315" t="s">
        <v>3</v>
      </c>
      <c r="D126" s="1315">
        <f t="shared" si="7"/>
        <v>300</v>
      </c>
      <c r="E126" s="1315" t="s">
        <v>3</v>
      </c>
      <c r="F126" s="1313">
        <f t="shared" si="8"/>
        <v>1350</v>
      </c>
      <c r="G126" s="1315" t="s">
        <v>3</v>
      </c>
      <c r="H126" s="1312">
        <v>2</v>
      </c>
      <c r="I126" s="1314" t="s">
        <v>45</v>
      </c>
      <c r="J126" s="184">
        <v>150</v>
      </c>
      <c r="K126" s="75">
        <v>300</v>
      </c>
      <c r="L126" s="75">
        <v>1350</v>
      </c>
      <c r="M126" s="202">
        <v>18.677506682606655</v>
      </c>
      <c r="N126" s="87">
        <v>1107.3119999999999</v>
      </c>
      <c r="O126" s="123">
        <v>27074.382339905784</v>
      </c>
      <c r="P126" s="121">
        <v>34173.244254791593</v>
      </c>
      <c r="Q126" s="120">
        <v>16792.937253592878</v>
      </c>
      <c r="R126" s="319">
        <v>43867.319593498658</v>
      </c>
      <c r="S126" s="315">
        <v>50966.18150838447</v>
      </c>
      <c r="U126" s="7" t="s">
        <v>5292</v>
      </c>
    </row>
    <row r="127" spans="1:21" ht="16.5" thickBot="1">
      <c r="A127" s="1311" t="s">
        <v>4588</v>
      </c>
      <c r="B127" s="1315">
        <f t="shared" si="6"/>
        <v>150</v>
      </c>
      <c r="C127" s="1315" t="s">
        <v>3</v>
      </c>
      <c r="D127" s="1315">
        <f t="shared" si="7"/>
        <v>300</v>
      </c>
      <c r="E127" s="1315" t="s">
        <v>3</v>
      </c>
      <c r="F127" s="1313">
        <f t="shared" si="8"/>
        <v>1400</v>
      </c>
      <c r="G127" s="1315" t="s">
        <v>3</v>
      </c>
      <c r="H127" s="1312">
        <v>2</v>
      </c>
      <c r="I127" s="1314" t="s">
        <v>45</v>
      </c>
      <c r="J127" s="184">
        <v>150</v>
      </c>
      <c r="K127" s="75">
        <v>300</v>
      </c>
      <c r="L127" s="75">
        <v>1400</v>
      </c>
      <c r="M127" s="202">
        <v>19.289813142078927</v>
      </c>
      <c r="N127" s="87">
        <v>1162.6776</v>
      </c>
      <c r="O127" s="123">
        <v>27784.862465514416</v>
      </c>
      <c r="P127" s="121">
        <v>35088.975545361078</v>
      </c>
      <c r="Q127" s="120">
        <v>17503.924339633504</v>
      </c>
      <c r="R127" s="319">
        <v>45288.786805147916</v>
      </c>
      <c r="S127" s="315">
        <v>52592.899884994578</v>
      </c>
      <c r="U127" s="7" t="s">
        <v>5293</v>
      </c>
    </row>
    <row r="128" spans="1:21" ht="16.5" thickBot="1">
      <c r="A128" s="1311" t="s">
        <v>4588</v>
      </c>
      <c r="B128" s="1315">
        <f t="shared" si="6"/>
        <v>150</v>
      </c>
      <c r="C128" s="1315" t="s">
        <v>3</v>
      </c>
      <c r="D128" s="1315">
        <f t="shared" si="7"/>
        <v>300</v>
      </c>
      <c r="E128" s="1315" t="s">
        <v>3</v>
      </c>
      <c r="F128" s="1313">
        <f t="shared" si="8"/>
        <v>1450</v>
      </c>
      <c r="G128" s="1315" t="s">
        <v>3</v>
      </c>
      <c r="H128" s="1312">
        <v>2</v>
      </c>
      <c r="I128" s="1314" t="s">
        <v>45</v>
      </c>
      <c r="J128" s="184">
        <v>150</v>
      </c>
      <c r="K128" s="75">
        <v>300</v>
      </c>
      <c r="L128" s="75">
        <v>1450</v>
      </c>
      <c r="M128" s="202">
        <v>19.902119601551199</v>
      </c>
      <c r="N128" s="87">
        <v>1218.0432000000001</v>
      </c>
      <c r="O128" s="123">
        <v>28495.342591123055</v>
      </c>
      <c r="P128" s="121">
        <v>36004.70683593057</v>
      </c>
      <c r="Q128" s="120">
        <v>17984.32950749735</v>
      </c>
      <c r="R128" s="319">
        <v>46479.672098620402</v>
      </c>
      <c r="S128" s="315">
        <v>53989.036343427921</v>
      </c>
      <c r="U128" s="7" t="s">
        <v>5294</v>
      </c>
    </row>
    <row r="129" spans="1:21" ht="16.5" thickBot="1">
      <c r="A129" s="1311" t="s">
        <v>4588</v>
      </c>
      <c r="B129" s="1315">
        <f t="shared" si="6"/>
        <v>150</v>
      </c>
      <c r="C129" s="1315" t="s">
        <v>3</v>
      </c>
      <c r="D129" s="1315">
        <f t="shared" si="7"/>
        <v>300</v>
      </c>
      <c r="E129" s="1315" t="s">
        <v>3</v>
      </c>
      <c r="F129" s="1313">
        <f t="shared" si="8"/>
        <v>1500</v>
      </c>
      <c r="G129" s="1315" t="s">
        <v>3</v>
      </c>
      <c r="H129" s="1312">
        <v>2</v>
      </c>
      <c r="I129" s="1314" t="s">
        <v>45</v>
      </c>
      <c r="J129" s="184">
        <v>150</v>
      </c>
      <c r="K129" s="75">
        <v>300</v>
      </c>
      <c r="L129" s="75">
        <v>1500</v>
      </c>
      <c r="M129" s="202">
        <v>20.952136861023469</v>
      </c>
      <c r="N129" s="87">
        <v>1273.4087999999997</v>
      </c>
      <c r="O129" s="123">
        <v>30039.158827570282</v>
      </c>
      <c r="P129" s="121">
        <v>38033.244212991762</v>
      </c>
      <c r="Q129" s="120">
        <v>18695.316593538118</v>
      </c>
      <c r="R129" s="319">
        <v>48734.4754211084</v>
      </c>
      <c r="S129" s="315">
        <v>56728.56080652988</v>
      </c>
      <c r="U129" s="7" t="s">
        <v>5295</v>
      </c>
    </row>
    <row r="130" spans="1:21" ht="16.5" thickBot="1">
      <c r="A130" s="1311" t="s">
        <v>4588</v>
      </c>
      <c r="B130" s="1315">
        <f t="shared" si="6"/>
        <v>150</v>
      </c>
      <c r="C130" s="1315" t="s">
        <v>3</v>
      </c>
      <c r="D130" s="1315">
        <f t="shared" si="7"/>
        <v>300</v>
      </c>
      <c r="E130" s="1315" t="s">
        <v>3</v>
      </c>
      <c r="F130" s="1313">
        <f t="shared" si="8"/>
        <v>1550</v>
      </c>
      <c r="G130" s="1315" t="s">
        <v>3</v>
      </c>
      <c r="H130" s="1312">
        <v>2</v>
      </c>
      <c r="I130" s="1314" t="s">
        <v>45</v>
      </c>
      <c r="J130" s="184">
        <v>150</v>
      </c>
      <c r="K130" s="75">
        <v>300</v>
      </c>
      <c r="L130" s="75">
        <v>1550</v>
      </c>
      <c r="M130" s="202">
        <v>21.564443320495741</v>
      </c>
      <c r="N130" s="87">
        <v>1328.7743999999998</v>
      </c>
      <c r="O130" s="123">
        <v>30749.638953178921</v>
      </c>
      <c r="P130" s="121">
        <v>38948.975503561247</v>
      </c>
      <c r="Q130" s="120">
        <v>19175.721761402103</v>
      </c>
      <c r="R130" s="319">
        <v>49925.360714581024</v>
      </c>
      <c r="S130" s="315">
        <v>58124.697264963354</v>
      </c>
      <c r="U130" s="7" t="s">
        <v>5296</v>
      </c>
    </row>
    <row r="131" spans="1:21" ht="16.5" thickBot="1">
      <c r="A131" s="1311" t="s">
        <v>4588</v>
      </c>
      <c r="B131" s="1312">
        <f t="shared" si="6"/>
        <v>150</v>
      </c>
      <c r="C131" s="1312" t="s">
        <v>3</v>
      </c>
      <c r="D131" s="1312">
        <f t="shared" si="7"/>
        <v>300</v>
      </c>
      <c r="E131" s="1312" t="s">
        <v>3</v>
      </c>
      <c r="F131" s="1313">
        <f t="shared" si="8"/>
        <v>1600</v>
      </c>
      <c r="G131" s="1312" t="s">
        <v>3</v>
      </c>
      <c r="H131" s="1312">
        <v>2</v>
      </c>
      <c r="I131" s="1314" t="s">
        <v>45</v>
      </c>
      <c r="J131" s="184">
        <v>150</v>
      </c>
      <c r="K131" s="75">
        <v>300</v>
      </c>
      <c r="L131" s="75">
        <v>1600</v>
      </c>
      <c r="M131" s="202">
        <v>22.176749779968009</v>
      </c>
      <c r="N131" s="87">
        <v>1384.1399999999999</v>
      </c>
      <c r="O131" s="123">
        <v>31460.119078787557</v>
      </c>
      <c r="P131" s="121">
        <v>39864.706653737368</v>
      </c>
      <c r="Q131" s="120">
        <v>19656.126929266091</v>
      </c>
      <c r="R131" s="319">
        <v>51116.246008053648</v>
      </c>
      <c r="S131" s="315">
        <v>59520.833583003463</v>
      </c>
      <c r="U131" s="7" t="s">
        <v>5297</v>
      </c>
    </row>
    <row r="132" spans="1:21" ht="16.5" thickBot="1">
      <c r="A132" s="1311" t="s">
        <v>4588</v>
      </c>
      <c r="B132" s="1315">
        <f t="shared" si="6"/>
        <v>150</v>
      </c>
      <c r="C132" s="1315" t="s">
        <v>3</v>
      </c>
      <c r="D132" s="1315">
        <f t="shared" si="7"/>
        <v>300</v>
      </c>
      <c r="E132" s="1315" t="s">
        <v>3</v>
      </c>
      <c r="F132" s="1313">
        <f t="shared" si="8"/>
        <v>1650</v>
      </c>
      <c r="G132" s="1315" t="s">
        <v>3</v>
      </c>
      <c r="H132" s="1312">
        <v>2</v>
      </c>
      <c r="I132" s="1314" t="s">
        <v>45</v>
      </c>
      <c r="J132" s="184">
        <v>150</v>
      </c>
      <c r="K132" s="75">
        <v>300</v>
      </c>
      <c r="L132" s="75">
        <v>1650</v>
      </c>
      <c r="M132" s="202">
        <v>22.789056239440278</v>
      </c>
      <c r="N132" s="87">
        <v>1439.5056</v>
      </c>
      <c r="O132" s="123">
        <v>32170.599204396192</v>
      </c>
      <c r="P132" s="121">
        <v>40780.437944306854</v>
      </c>
      <c r="Q132" s="120">
        <v>20367.114015306717</v>
      </c>
      <c r="R132" s="319">
        <v>52537.713219702913</v>
      </c>
      <c r="S132" s="315">
        <v>61147.551959613571</v>
      </c>
      <c r="U132" s="7" t="s">
        <v>5298</v>
      </c>
    </row>
    <row r="133" spans="1:21" ht="16.5" thickBot="1">
      <c r="A133" s="1311" t="s">
        <v>4588</v>
      </c>
      <c r="B133" s="1315">
        <f t="shared" si="6"/>
        <v>150</v>
      </c>
      <c r="C133" s="1315" t="s">
        <v>3</v>
      </c>
      <c r="D133" s="1315">
        <f t="shared" si="7"/>
        <v>300</v>
      </c>
      <c r="E133" s="1315" t="s">
        <v>3</v>
      </c>
      <c r="F133" s="1313">
        <f t="shared" si="8"/>
        <v>1700</v>
      </c>
      <c r="G133" s="1315" t="s">
        <v>3</v>
      </c>
      <c r="H133" s="1312">
        <v>2</v>
      </c>
      <c r="I133" s="1314" t="s">
        <v>45</v>
      </c>
      <c r="J133" s="184">
        <v>150</v>
      </c>
      <c r="K133" s="75">
        <v>300</v>
      </c>
      <c r="L133" s="75">
        <v>1700</v>
      </c>
      <c r="M133" s="202">
        <v>23.40136269891255</v>
      </c>
      <c r="N133" s="87">
        <v>1494.8712</v>
      </c>
      <c r="O133" s="123">
        <v>32881.079330004832</v>
      </c>
      <c r="P133" s="121">
        <v>41696.169234876346</v>
      </c>
      <c r="Q133" s="120">
        <v>20847.519183170705</v>
      </c>
      <c r="R133" s="319">
        <v>53728.598513175537</v>
      </c>
      <c r="S133" s="315">
        <v>62543.688418047052</v>
      </c>
      <c r="U133" s="7" t="s">
        <v>5299</v>
      </c>
    </row>
    <row r="134" spans="1:21" ht="16.5" thickBot="1">
      <c r="A134" s="1311" t="s">
        <v>4588</v>
      </c>
      <c r="B134" s="1315">
        <f t="shared" si="6"/>
        <v>150</v>
      </c>
      <c r="C134" s="1315" t="s">
        <v>3</v>
      </c>
      <c r="D134" s="1315">
        <f t="shared" si="7"/>
        <v>300</v>
      </c>
      <c r="E134" s="1315" t="s">
        <v>3</v>
      </c>
      <c r="F134" s="1313">
        <f t="shared" si="8"/>
        <v>1750</v>
      </c>
      <c r="G134" s="1315" t="s">
        <v>3</v>
      </c>
      <c r="H134" s="1312">
        <v>2</v>
      </c>
      <c r="I134" s="1314" t="s">
        <v>45</v>
      </c>
      <c r="J134" s="184">
        <v>150</v>
      </c>
      <c r="K134" s="75">
        <v>300</v>
      </c>
      <c r="L134" s="75">
        <v>1750</v>
      </c>
      <c r="M134" s="202">
        <v>24.013669158384815</v>
      </c>
      <c r="N134" s="87">
        <v>1550.2367999999997</v>
      </c>
      <c r="O134" s="123">
        <v>33591.559455613467</v>
      </c>
      <c r="P134" s="121">
        <v>42611.900525445832</v>
      </c>
      <c r="Q134" s="120">
        <v>21558.506269211328</v>
      </c>
      <c r="R134" s="319">
        <v>55150.065724824795</v>
      </c>
      <c r="S134" s="315">
        <v>64170.406794657159</v>
      </c>
      <c r="U134" s="7" t="s">
        <v>5300</v>
      </c>
    </row>
    <row r="135" spans="1:21" ht="16.5" thickBot="1">
      <c r="A135" s="1311" t="s">
        <v>4588</v>
      </c>
      <c r="B135" s="1315">
        <f t="shared" si="6"/>
        <v>150</v>
      </c>
      <c r="C135" s="1315" t="s">
        <v>3</v>
      </c>
      <c r="D135" s="1315">
        <f t="shared" si="7"/>
        <v>300</v>
      </c>
      <c r="E135" s="1315" t="s">
        <v>3</v>
      </c>
      <c r="F135" s="1313">
        <f t="shared" si="8"/>
        <v>1800</v>
      </c>
      <c r="G135" s="1315" t="s">
        <v>3</v>
      </c>
      <c r="H135" s="1312">
        <v>2</v>
      </c>
      <c r="I135" s="1314" t="s">
        <v>45</v>
      </c>
      <c r="J135" s="184">
        <v>150</v>
      </c>
      <c r="K135" s="75">
        <v>300</v>
      </c>
      <c r="L135" s="75">
        <v>1800</v>
      </c>
      <c r="M135" s="202">
        <v>24.625975617857087</v>
      </c>
      <c r="N135" s="87">
        <v>1605.6023999999998</v>
      </c>
      <c r="O135" s="123">
        <v>34302.039581222103</v>
      </c>
      <c r="P135" s="121">
        <v>43527.63167562196</v>
      </c>
      <c r="Q135" s="120">
        <v>22038.911437075316</v>
      </c>
      <c r="R135" s="319">
        <v>56340.951018297419</v>
      </c>
      <c r="S135" s="315">
        <v>65566.543112697284</v>
      </c>
      <c r="U135" s="7" t="s">
        <v>5301</v>
      </c>
    </row>
    <row r="136" spans="1:21" ht="16.5" thickBot="1">
      <c r="A136" s="1311" t="s">
        <v>4588</v>
      </c>
      <c r="B136" s="1315">
        <f t="shared" si="6"/>
        <v>150</v>
      </c>
      <c r="C136" s="1315" t="s">
        <v>3</v>
      </c>
      <c r="D136" s="1315">
        <f t="shared" si="7"/>
        <v>300</v>
      </c>
      <c r="E136" s="1315" t="s">
        <v>3</v>
      </c>
      <c r="F136" s="1313">
        <f t="shared" si="8"/>
        <v>1850</v>
      </c>
      <c r="G136" s="1315" t="s">
        <v>3</v>
      </c>
      <c r="H136" s="1312">
        <v>2</v>
      </c>
      <c r="I136" s="1314" t="s">
        <v>45</v>
      </c>
      <c r="J136" s="184">
        <v>150</v>
      </c>
      <c r="K136" s="75">
        <v>300</v>
      </c>
      <c r="L136" s="75">
        <v>1850</v>
      </c>
      <c r="M136" s="202">
        <v>25.238282077329359</v>
      </c>
      <c r="N136" s="87">
        <v>1660.9679999999998</v>
      </c>
      <c r="O136" s="123">
        <v>35012.519706830746</v>
      </c>
      <c r="P136" s="121">
        <v>44443.362966191446</v>
      </c>
      <c r="Q136" s="120">
        <v>22749.898382722578</v>
      </c>
      <c r="R136" s="319">
        <v>57762.418089553321</v>
      </c>
      <c r="S136" s="315">
        <v>67193.26134891402</v>
      </c>
      <c r="U136" s="7" t="s">
        <v>5302</v>
      </c>
    </row>
    <row r="137" spans="1:21" ht="16.5" thickBot="1">
      <c r="A137" s="1311" t="s">
        <v>4588</v>
      </c>
      <c r="B137" s="1315">
        <f t="shared" si="6"/>
        <v>150</v>
      </c>
      <c r="C137" s="1315" t="s">
        <v>3</v>
      </c>
      <c r="D137" s="1315">
        <f t="shared" si="7"/>
        <v>300</v>
      </c>
      <c r="E137" s="1315" t="s">
        <v>3</v>
      </c>
      <c r="F137" s="1313">
        <f t="shared" si="8"/>
        <v>1900</v>
      </c>
      <c r="G137" s="1315" t="s">
        <v>3</v>
      </c>
      <c r="H137" s="1312">
        <v>2</v>
      </c>
      <c r="I137" s="1314" t="s">
        <v>45</v>
      </c>
      <c r="J137" s="184">
        <v>150</v>
      </c>
      <c r="K137" s="75">
        <v>300</v>
      </c>
      <c r="L137" s="75">
        <v>1900</v>
      </c>
      <c r="M137" s="202">
        <v>25.850588536801624</v>
      </c>
      <c r="N137" s="87">
        <v>1716.3335999999999</v>
      </c>
      <c r="O137" s="123">
        <v>35722.999832439382</v>
      </c>
      <c r="P137" s="121">
        <v>45359.094256760931</v>
      </c>
      <c r="Q137" s="120">
        <v>23230.30369097993</v>
      </c>
      <c r="R137" s="319">
        <v>58953.303523419308</v>
      </c>
      <c r="S137" s="315">
        <v>68589.397947740857</v>
      </c>
      <c r="U137" s="7" t="s">
        <v>5303</v>
      </c>
    </row>
    <row r="138" spans="1:21" ht="16.5" thickBot="1">
      <c r="A138" s="1311" t="s">
        <v>4588</v>
      </c>
      <c r="B138" s="1315">
        <f t="shared" si="6"/>
        <v>150</v>
      </c>
      <c r="C138" s="1315" t="s">
        <v>3</v>
      </c>
      <c r="D138" s="1315">
        <f t="shared" si="7"/>
        <v>300</v>
      </c>
      <c r="E138" s="1315" t="s">
        <v>3</v>
      </c>
      <c r="F138" s="1313">
        <f t="shared" si="8"/>
        <v>1950</v>
      </c>
      <c r="G138" s="1315" t="s">
        <v>3</v>
      </c>
      <c r="H138" s="1312">
        <v>2</v>
      </c>
      <c r="I138" s="1314" t="s">
        <v>45</v>
      </c>
      <c r="J138" s="184">
        <v>150</v>
      </c>
      <c r="K138" s="75">
        <v>300</v>
      </c>
      <c r="L138" s="75">
        <v>1950</v>
      </c>
      <c r="M138" s="202">
        <v>26.462894996273896</v>
      </c>
      <c r="N138" s="87">
        <v>1771.6992</v>
      </c>
      <c r="O138" s="123">
        <v>36433.479817654661</v>
      </c>
      <c r="P138" s="121">
        <v>46274.825547330423</v>
      </c>
      <c r="Q138" s="120">
        <v>23710.708858843918</v>
      </c>
      <c r="R138" s="319">
        <v>60144.188676498583</v>
      </c>
      <c r="S138" s="315">
        <v>69985.534406174338</v>
      </c>
      <c r="U138" s="7" t="s">
        <v>5304</v>
      </c>
    </row>
    <row r="139" spans="1:21" ht="16.5" thickBot="1">
      <c r="A139" s="1311" t="s">
        <v>4588</v>
      </c>
      <c r="B139" s="1315">
        <f t="shared" si="6"/>
        <v>150</v>
      </c>
      <c r="C139" s="1315" t="s">
        <v>3</v>
      </c>
      <c r="D139" s="1315">
        <f t="shared" si="7"/>
        <v>300</v>
      </c>
      <c r="E139" s="1315" t="s">
        <v>3</v>
      </c>
      <c r="F139" s="1313">
        <f t="shared" si="8"/>
        <v>2000</v>
      </c>
      <c r="G139" s="1315" t="s">
        <v>3</v>
      </c>
      <c r="H139" s="1312">
        <v>2</v>
      </c>
      <c r="I139" s="1314" t="s">
        <v>45</v>
      </c>
      <c r="J139" s="184">
        <v>150</v>
      </c>
      <c r="K139" s="75">
        <v>300</v>
      </c>
      <c r="L139" s="75">
        <v>2000</v>
      </c>
      <c r="M139" s="202">
        <v>27.192255455746164</v>
      </c>
      <c r="N139" s="87">
        <v>1827.0647999999997</v>
      </c>
      <c r="O139" s="123">
        <v>37597.235497757785</v>
      </c>
      <c r="P139" s="121">
        <v>47347.29198779491</v>
      </c>
      <c r="Q139" s="120">
        <v>24421.695804491177</v>
      </c>
      <c r="R139" s="319">
        <v>62018.931302248966</v>
      </c>
      <c r="S139" s="315">
        <v>71768.987792286091</v>
      </c>
      <c r="U139" s="7" t="s">
        <v>5305</v>
      </c>
    </row>
    <row r="140" spans="1:21" ht="16.5" thickBot="1">
      <c r="A140" s="1311" t="s">
        <v>4588</v>
      </c>
      <c r="B140" s="1315">
        <f t="shared" si="6"/>
        <v>150</v>
      </c>
      <c r="C140" s="1315" t="s">
        <v>3</v>
      </c>
      <c r="D140" s="1315">
        <f t="shared" si="7"/>
        <v>300</v>
      </c>
      <c r="E140" s="1315" t="s">
        <v>3</v>
      </c>
      <c r="F140" s="1313">
        <f t="shared" si="8"/>
        <v>2050</v>
      </c>
      <c r="G140" s="1315" t="s">
        <v>3</v>
      </c>
      <c r="H140" s="1312">
        <v>2</v>
      </c>
      <c r="I140" s="1314" t="s">
        <v>45</v>
      </c>
      <c r="J140" s="184">
        <v>150</v>
      </c>
      <c r="K140" s="75">
        <v>300</v>
      </c>
      <c r="L140" s="75">
        <v>2050</v>
      </c>
      <c r="M140" s="202">
        <v>27.804561915218436</v>
      </c>
      <c r="N140" s="87">
        <v>1882.4303999999997</v>
      </c>
      <c r="O140" s="123">
        <v>38307.715623366421</v>
      </c>
      <c r="P140" s="121">
        <v>48263.023137971031</v>
      </c>
      <c r="Q140" s="120">
        <v>24902.101112748529</v>
      </c>
      <c r="R140" s="319">
        <v>63209.816736114954</v>
      </c>
      <c r="S140" s="315">
        <v>73165.124250719557</v>
      </c>
      <c r="U140" s="7" t="s">
        <v>5306</v>
      </c>
    </row>
    <row r="141" spans="1:21" ht="16.5" thickBot="1">
      <c r="A141" s="1311" t="s">
        <v>4588</v>
      </c>
      <c r="B141" s="1312">
        <f t="shared" si="6"/>
        <v>150</v>
      </c>
      <c r="C141" s="1312" t="s">
        <v>3</v>
      </c>
      <c r="D141" s="1312">
        <f t="shared" si="7"/>
        <v>300</v>
      </c>
      <c r="E141" s="1312" t="s">
        <v>3</v>
      </c>
      <c r="F141" s="1313">
        <f t="shared" si="8"/>
        <v>2100</v>
      </c>
      <c r="G141" s="1312" t="s">
        <v>3</v>
      </c>
      <c r="H141" s="1312">
        <v>2</v>
      </c>
      <c r="I141" s="1314" t="s">
        <v>45</v>
      </c>
      <c r="J141" s="184">
        <v>150</v>
      </c>
      <c r="K141" s="75">
        <v>300</v>
      </c>
      <c r="L141" s="75">
        <v>2100</v>
      </c>
      <c r="M141" s="202">
        <v>28.416868374690704</v>
      </c>
      <c r="N141" s="87">
        <v>1937.7959999999998</v>
      </c>
      <c r="O141" s="123">
        <v>39018.195748975057</v>
      </c>
      <c r="P141" s="121">
        <v>49178.754428540524</v>
      </c>
      <c r="Q141" s="120">
        <v>25613.088058395791</v>
      </c>
      <c r="R141" s="319">
        <v>64631.283807370848</v>
      </c>
      <c r="S141" s="315">
        <v>74791.842486936308</v>
      </c>
      <c r="U141" s="7" t="s">
        <v>5307</v>
      </c>
    </row>
    <row r="142" spans="1:21" ht="16.5" thickBot="1">
      <c r="A142" s="1311" t="s">
        <v>4588</v>
      </c>
      <c r="B142" s="1315">
        <f t="shared" si="6"/>
        <v>150</v>
      </c>
      <c r="C142" s="1315" t="s">
        <v>3</v>
      </c>
      <c r="D142" s="1315">
        <f t="shared" si="7"/>
        <v>300</v>
      </c>
      <c r="E142" s="1315" t="s">
        <v>3</v>
      </c>
      <c r="F142" s="1313">
        <f t="shared" si="8"/>
        <v>2150</v>
      </c>
      <c r="G142" s="1315" t="s">
        <v>3</v>
      </c>
      <c r="H142" s="1312">
        <v>2</v>
      </c>
      <c r="I142" s="1314" t="s">
        <v>45</v>
      </c>
      <c r="J142" s="184">
        <v>150</v>
      </c>
      <c r="K142" s="75">
        <v>300</v>
      </c>
      <c r="L142" s="75">
        <v>2150</v>
      </c>
      <c r="M142" s="202">
        <v>29.029174834162973</v>
      </c>
      <c r="N142" s="87">
        <v>1993.1615999999999</v>
      </c>
      <c r="O142" s="123">
        <v>39728.675874583692</v>
      </c>
      <c r="P142" s="121">
        <v>50094.485719110009</v>
      </c>
      <c r="Q142" s="120">
        <v>26093.493366653143</v>
      </c>
      <c r="R142" s="319">
        <v>65822.169241236843</v>
      </c>
      <c r="S142" s="315">
        <v>76187.97908576316</v>
      </c>
      <c r="U142" s="7" t="s">
        <v>5308</v>
      </c>
    </row>
    <row r="143" spans="1:21" ht="16.5" thickBot="1">
      <c r="A143" s="1311" t="s">
        <v>4588</v>
      </c>
      <c r="B143" s="1315">
        <f t="shared" si="6"/>
        <v>150</v>
      </c>
      <c r="C143" s="1315" t="s">
        <v>3</v>
      </c>
      <c r="D143" s="1315">
        <f t="shared" si="7"/>
        <v>300</v>
      </c>
      <c r="E143" s="1315" t="s">
        <v>3</v>
      </c>
      <c r="F143" s="1313">
        <f t="shared" si="8"/>
        <v>2200</v>
      </c>
      <c r="G143" s="1315" t="s">
        <v>3</v>
      </c>
      <c r="H143" s="1312">
        <v>2</v>
      </c>
      <c r="I143" s="1314" t="s">
        <v>45</v>
      </c>
      <c r="J143" s="184">
        <v>150</v>
      </c>
      <c r="K143" s="75">
        <v>300</v>
      </c>
      <c r="L143" s="75">
        <v>2200</v>
      </c>
      <c r="M143" s="202">
        <v>29.641481293635248</v>
      </c>
      <c r="N143" s="87">
        <v>2048.5272</v>
      </c>
      <c r="O143" s="123">
        <v>40439.156000192335</v>
      </c>
      <c r="P143" s="121">
        <v>51010.217009679502</v>
      </c>
      <c r="Q143" s="120">
        <v>26804.480312300402</v>
      </c>
      <c r="R143" s="319">
        <v>67243.636312492745</v>
      </c>
      <c r="S143" s="315">
        <v>77814.697321979911</v>
      </c>
      <c r="U143" s="7" t="s">
        <v>5309</v>
      </c>
    </row>
    <row r="144" spans="1:21" ht="16.5" thickBot="1">
      <c r="A144" s="1311" t="s">
        <v>4588</v>
      </c>
      <c r="B144" s="1315">
        <f t="shared" si="6"/>
        <v>150</v>
      </c>
      <c r="C144" s="1315" t="s">
        <v>3</v>
      </c>
      <c r="D144" s="1315">
        <f t="shared" si="7"/>
        <v>300</v>
      </c>
      <c r="E144" s="1315" t="s">
        <v>3</v>
      </c>
      <c r="F144" s="1313">
        <f t="shared" si="8"/>
        <v>2250</v>
      </c>
      <c r="G144" s="1315" t="s">
        <v>3</v>
      </c>
      <c r="H144" s="1312">
        <v>2</v>
      </c>
      <c r="I144" s="1314" t="s">
        <v>45</v>
      </c>
      <c r="J144" s="184">
        <v>150</v>
      </c>
      <c r="K144" s="75">
        <v>300</v>
      </c>
      <c r="L144" s="75">
        <v>2250</v>
      </c>
      <c r="M144" s="202">
        <v>30.25378775310751</v>
      </c>
      <c r="N144" s="87">
        <v>2103.8927999999996</v>
      </c>
      <c r="O144" s="123">
        <v>41149.636125800971</v>
      </c>
      <c r="P144" s="121">
        <v>51925.948159855623</v>
      </c>
      <c r="Q144" s="120">
        <v>27284.885480164394</v>
      </c>
      <c r="R144" s="319">
        <v>68434.521605965361</v>
      </c>
      <c r="S144" s="315">
        <v>79210.833640020021</v>
      </c>
      <c r="U144" s="7" t="s">
        <v>5310</v>
      </c>
    </row>
    <row r="145" spans="1:21" ht="16.5" thickBot="1">
      <c r="A145" s="1311" t="s">
        <v>4588</v>
      </c>
      <c r="B145" s="1315">
        <f t="shared" si="6"/>
        <v>150</v>
      </c>
      <c r="C145" s="1315" t="s">
        <v>3</v>
      </c>
      <c r="D145" s="1315">
        <f t="shared" si="7"/>
        <v>300</v>
      </c>
      <c r="E145" s="1315" t="s">
        <v>3</v>
      </c>
      <c r="F145" s="1313">
        <f t="shared" si="8"/>
        <v>2300</v>
      </c>
      <c r="G145" s="1315" t="s">
        <v>3</v>
      </c>
      <c r="H145" s="1312">
        <v>2</v>
      </c>
      <c r="I145" s="1314" t="s">
        <v>45</v>
      </c>
      <c r="J145" s="184">
        <v>150</v>
      </c>
      <c r="K145" s="75">
        <v>300</v>
      </c>
      <c r="L145" s="75">
        <v>2300</v>
      </c>
      <c r="M145" s="202">
        <v>30.866094212579785</v>
      </c>
      <c r="N145" s="87">
        <v>2159.2583999999997</v>
      </c>
      <c r="O145" s="123">
        <v>41860.116251409607</v>
      </c>
      <c r="P145" s="121">
        <v>52841.679450425116</v>
      </c>
      <c r="Q145" s="120">
        <v>27765.290788421746</v>
      </c>
      <c r="R145" s="319">
        <v>69625.407039831349</v>
      </c>
      <c r="S145" s="315">
        <v>80606.970238846858</v>
      </c>
      <c r="U145" s="7" t="s">
        <v>5311</v>
      </c>
    </row>
    <row r="146" spans="1:21" ht="16.5" thickBot="1">
      <c r="A146" s="1311" t="s">
        <v>4588</v>
      </c>
      <c r="B146" s="1315">
        <f t="shared" si="6"/>
        <v>150</v>
      </c>
      <c r="C146" s="1315" t="s">
        <v>3</v>
      </c>
      <c r="D146" s="1315">
        <f t="shared" si="7"/>
        <v>300</v>
      </c>
      <c r="E146" s="1315" t="s">
        <v>3</v>
      </c>
      <c r="F146" s="1313">
        <f t="shared" si="8"/>
        <v>2350</v>
      </c>
      <c r="G146" s="1315" t="s">
        <v>3</v>
      </c>
      <c r="H146" s="1312">
        <v>2</v>
      </c>
      <c r="I146" s="1314" t="s">
        <v>45</v>
      </c>
      <c r="J146" s="184">
        <v>150</v>
      </c>
      <c r="K146" s="75">
        <v>300</v>
      </c>
      <c r="L146" s="75">
        <v>2350</v>
      </c>
      <c r="M146" s="202">
        <v>31.478400672052057</v>
      </c>
      <c r="N146" s="87">
        <v>2214.6239999999998</v>
      </c>
      <c r="O146" s="123">
        <v>42570.59637701825</v>
      </c>
      <c r="P146" s="121">
        <v>53757.410740994594</v>
      </c>
      <c r="Q146" s="120">
        <v>28476.277734069005</v>
      </c>
      <c r="R146" s="319">
        <v>71046.874111087251</v>
      </c>
      <c r="S146" s="315">
        <v>82233.688475063595</v>
      </c>
      <c r="U146" s="7" t="s">
        <v>5312</v>
      </c>
    </row>
    <row r="147" spans="1:21" ht="16.5" thickBot="1">
      <c r="A147" s="1311" t="s">
        <v>4588</v>
      </c>
      <c r="B147" s="1315">
        <f t="shared" si="6"/>
        <v>150</v>
      </c>
      <c r="C147" s="1315" t="s">
        <v>3</v>
      </c>
      <c r="D147" s="1315">
        <f t="shared" si="7"/>
        <v>300</v>
      </c>
      <c r="E147" s="1315" t="s">
        <v>3</v>
      </c>
      <c r="F147" s="1313">
        <f t="shared" si="8"/>
        <v>2400</v>
      </c>
      <c r="G147" s="1315" t="s">
        <v>3</v>
      </c>
      <c r="H147" s="1312">
        <v>2</v>
      </c>
      <c r="I147" s="1314" t="s">
        <v>45</v>
      </c>
      <c r="J147" s="184">
        <v>150</v>
      </c>
      <c r="K147" s="75">
        <v>300</v>
      </c>
      <c r="L147" s="75">
        <v>2400</v>
      </c>
      <c r="M147" s="202">
        <v>32.090707131524319</v>
      </c>
      <c r="N147" s="87">
        <v>2269.9895999999994</v>
      </c>
      <c r="O147" s="123">
        <v>43281.076362233522</v>
      </c>
      <c r="P147" s="121">
        <v>54673.142031564086</v>
      </c>
      <c r="Q147" s="120">
        <v>28956.682901932996</v>
      </c>
      <c r="R147" s="319">
        <v>72237.759264166525</v>
      </c>
      <c r="S147" s="315">
        <v>83629.82493349709</v>
      </c>
      <c r="U147" s="7" t="s">
        <v>5313</v>
      </c>
    </row>
    <row r="148" spans="1:21" ht="16.5" thickBot="1">
      <c r="A148" s="1311" t="s">
        <v>4588</v>
      </c>
      <c r="B148" s="1315">
        <f t="shared" si="6"/>
        <v>150</v>
      </c>
      <c r="C148" s="1315" t="s">
        <v>3</v>
      </c>
      <c r="D148" s="1315">
        <f t="shared" si="7"/>
        <v>300</v>
      </c>
      <c r="E148" s="1315" t="s">
        <v>3</v>
      </c>
      <c r="F148" s="1313">
        <f t="shared" si="8"/>
        <v>2450</v>
      </c>
      <c r="G148" s="1315" t="s">
        <v>3</v>
      </c>
      <c r="H148" s="1312">
        <v>2</v>
      </c>
      <c r="I148" s="1314" t="s">
        <v>45</v>
      </c>
      <c r="J148" s="184">
        <v>150</v>
      </c>
      <c r="K148" s="75">
        <v>300</v>
      </c>
      <c r="L148" s="75">
        <v>2450</v>
      </c>
      <c r="M148" s="202">
        <v>32.703013590996598</v>
      </c>
      <c r="N148" s="87">
        <v>2325.3552</v>
      </c>
      <c r="O148" s="123">
        <v>43991.556487842157</v>
      </c>
      <c r="P148" s="121">
        <v>55588.873181740215</v>
      </c>
      <c r="Q148" s="120">
        <v>29667.669987973619</v>
      </c>
      <c r="R148" s="319">
        <v>73659.226475815783</v>
      </c>
      <c r="S148" s="315">
        <v>85256.543169713841</v>
      </c>
      <c r="U148" s="7" t="s">
        <v>5314</v>
      </c>
    </row>
    <row r="149" spans="1:21" ht="16.5" thickBot="1">
      <c r="A149" s="1311" t="s">
        <v>4588</v>
      </c>
      <c r="B149" s="1315">
        <f t="shared" si="6"/>
        <v>150</v>
      </c>
      <c r="C149" s="1315" t="s">
        <v>3</v>
      </c>
      <c r="D149" s="1315">
        <f t="shared" si="7"/>
        <v>300</v>
      </c>
      <c r="E149" s="1315" t="s">
        <v>3</v>
      </c>
      <c r="F149" s="1313">
        <f t="shared" si="8"/>
        <v>2500</v>
      </c>
      <c r="G149" s="1315" t="s">
        <v>3</v>
      </c>
      <c r="H149" s="1312">
        <v>2</v>
      </c>
      <c r="I149" s="1314" t="s">
        <v>45</v>
      </c>
      <c r="J149" s="184">
        <v>150</v>
      </c>
      <c r="K149" s="75">
        <v>300</v>
      </c>
      <c r="L149" s="75">
        <v>2500</v>
      </c>
      <c r="M149" s="202">
        <v>33.753030850468861</v>
      </c>
      <c r="N149" s="87">
        <v>2380.7207999999996</v>
      </c>
      <c r="O149" s="123">
        <v>45535.372864682744</v>
      </c>
      <c r="P149" s="121">
        <v>57617.41069919477</v>
      </c>
      <c r="Q149" s="120">
        <v>30148.075155837607</v>
      </c>
      <c r="R149" s="319">
        <v>75683.448020520358</v>
      </c>
      <c r="S149" s="315">
        <v>87765.48585503237</v>
      </c>
      <c r="U149" s="7" t="s">
        <v>5315</v>
      </c>
    </row>
    <row r="150" spans="1:21" ht="16.5" thickBot="1">
      <c r="A150" s="1311" t="s">
        <v>4588</v>
      </c>
      <c r="B150" s="1315">
        <f t="shared" si="6"/>
        <v>150</v>
      </c>
      <c r="C150" s="1315" t="s">
        <v>3</v>
      </c>
      <c r="D150" s="1315">
        <f t="shared" si="7"/>
        <v>300</v>
      </c>
      <c r="E150" s="1315" t="s">
        <v>3</v>
      </c>
      <c r="F150" s="1313">
        <f t="shared" si="8"/>
        <v>2550</v>
      </c>
      <c r="G150" s="1315" t="s">
        <v>3</v>
      </c>
      <c r="H150" s="1312">
        <v>2</v>
      </c>
      <c r="I150" s="1314" t="s">
        <v>45</v>
      </c>
      <c r="J150" s="184">
        <v>150</v>
      </c>
      <c r="K150" s="75">
        <v>300</v>
      </c>
      <c r="L150" s="75">
        <v>2550</v>
      </c>
      <c r="M150" s="202">
        <v>34.365337309941133</v>
      </c>
      <c r="N150" s="87">
        <v>2436.0864000000001</v>
      </c>
      <c r="O150" s="123">
        <v>46606.974341640875</v>
      </c>
      <c r="P150" s="121">
        <v>58547.181326014252</v>
      </c>
      <c r="Q150" s="120">
        <v>30859.06224187823</v>
      </c>
      <c r="R150" s="319">
        <v>77466.036583519104</v>
      </c>
      <c r="S150" s="315">
        <v>89406.243567892481</v>
      </c>
      <c r="U150" s="7" t="s">
        <v>5316</v>
      </c>
    </row>
    <row r="151" spans="1:21" ht="16.5" thickBot="1">
      <c r="A151" s="1311" t="s">
        <v>4588</v>
      </c>
      <c r="B151" s="1312">
        <f t="shared" si="6"/>
        <v>150</v>
      </c>
      <c r="C151" s="1312" t="s">
        <v>3</v>
      </c>
      <c r="D151" s="1312">
        <f t="shared" si="7"/>
        <v>300</v>
      </c>
      <c r="E151" s="1312" t="s">
        <v>3</v>
      </c>
      <c r="F151" s="1313">
        <f t="shared" si="8"/>
        <v>2600</v>
      </c>
      <c r="G151" s="1312" t="s">
        <v>3</v>
      </c>
      <c r="H151" s="1312">
        <v>2</v>
      </c>
      <c r="I151" s="1314" t="s">
        <v>45</v>
      </c>
      <c r="J151" s="184">
        <v>150</v>
      </c>
      <c r="K151" s="75">
        <v>300</v>
      </c>
      <c r="L151" s="75">
        <v>2600</v>
      </c>
      <c r="M151" s="202">
        <v>34.977643769413405</v>
      </c>
      <c r="N151" s="87">
        <v>2491.4519999999998</v>
      </c>
      <c r="O151" s="123">
        <v>47317.454467249503</v>
      </c>
      <c r="P151" s="121">
        <v>59462.912476190373</v>
      </c>
      <c r="Q151" s="120">
        <v>31339.467409742221</v>
      </c>
      <c r="R151" s="319">
        <v>78656.921876991721</v>
      </c>
      <c r="S151" s="315">
        <v>90802.379885932591</v>
      </c>
      <c r="U151" s="7" t="s">
        <v>5317</v>
      </c>
    </row>
    <row r="152" spans="1:21" ht="16.5" thickBot="1">
      <c r="A152" s="1311" t="s">
        <v>4588</v>
      </c>
      <c r="B152" s="1315">
        <f t="shared" si="6"/>
        <v>150</v>
      </c>
      <c r="C152" s="1315" t="s">
        <v>3</v>
      </c>
      <c r="D152" s="1315">
        <f t="shared" si="7"/>
        <v>300</v>
      </c>
      <c r="E152" s="1315" t="s">
        <v>3</v>
      </c>
      <c r="F152" s="1313">
        <f t="shared" si="8"/>
        <v>2650</v>
      </c>
      <c r="G152" s="1315" t="s">
        <v>3</v>
      </c>
      <c r="H152" s="1312">
        <v>2</v>
      </c>
      <c r="I152" s="1314" t="s">
        <v>45</v>
      </c>
      <c r="J152" s="184">
        <v>150</v>
      </c>
      <c r="K152" s="75">
        <v>300</v>
      </c>
      <c r="L152" s="75">
        <v>2650</v>
      </c>
      <c r="M152" s="202">
        <v>35.589950228885677</v>
      </c>
      <c r="N152" s="87">
        <v>2546.8175999999994</v>
      </c>
      <c r="O152" s="123">
        <v>48027.934592858146</v>
      </c>
      <c r="P152" s="121">
        <v>60378.643766759866</v>
      </c>
      <c r="Q152" s="120">
        <v>32050.45435538948</v>
      </c>
      <c r="R152" s="319">
        <v>80078.388948247622</v>
      </c>
      <c r="S152" s="315">
        <v>92429.098122149342</v>
      </c>
      <c r="U152" s="7" t="s">
        <v>5318</v>
      </c>
    </row>
    <row r="153" spans="1:21" ht="16.5" thickBot="1">
      <c r="A153" s="1311" t="s">
        <v>4588</v>
      </c>
      <c r="B153" s="1315">
        <f t="shared" si="6"/>
        <v>150</v>
      </c>
      <c r="C153" s="1315" t="s">
        <v>3</v>
      </c>
      <c r="D153" s="1315">
        <f t="shared" si="7"/>
        <v>300</v>
      </c>
      <c r="E153" s="1315" t="s">
        <v>3</v>
      </c>
      <c r="F153" s="1313">
        <f t="shared" si="8"/>
        <v>2700</v>
      </c>
      <c r="G153" s="1315" t="s">
        <v>3</v>
      </c>
      <c r="H153" s="1312">
        <v>2</v>
      </c>
      <c r="I153" s="1314" t="s">
        <v>45</v>
      </c>
      <c r="J153" s="184">
        <v>150</v>
      </c>
      <c r="K153" s="75">
        <v>300</v>
      </c>
      <c r="L153" s="75">
        <v>2700</v>
      </c>
      <c r="M153" s="202">
        <v>36.202256688357949</v>
      </c>
      <c r="N153" s="87">
        <v>2602.1831999999999</v>
      </c>
      <c r="O153" s="123">
        <v>48738.414578073425</v>
      </c>
      <c r="P153" s="121">
        <v>61294.375057329344</v>
      </c>
      <c r="Q153" s="120">
        <v>32530.859663646832</v>
      </c>
      <c r="R153" s="319">
        <v>81269.274241720253</v>
      </c>
      <c r="S153" s="315">
        <v>93825.234720976179</v>
      </c>
      <c r="U153" s="7" t="s">
        <v>5319</v>
      </c>
    </row>
    <row r="154" spans="1:21" ht="16.5" thickBot="1">
      <c r="A154" s="1311" t="s">
        <v>4588</v>
      </c>
      <c r="B154" s="1315">
        <f t="shared" si="6"/>
        <v>150</v>
      </c>
      <c r="C154" s="1315" t="s">
        <v>3</v>
      </c>
      <c r="D154" s="1315">
        <f t="shared" si="7"/>
        <v>300</v>
      </c>
      <c r="E154" s="1315" t="s">
        <v>3</v>
      </c>
      <c r="F154" s="1313">
        <f t="shared" si="8"/>
        <v>2750</v>
      </c>
      <c r="G154" s="1315" t="s">
        <v>3</v>
      </c>
      <c r="H154" s="1312">
        <v>2</v>
      </c>
      <c r="I154" s="1314" t="s">
        <v>45</v>
      </c>
      <c r="J154" s="184">
        <v>150</v>
      </c>
      <c r="K154" s="75">
        <v>300</v>
      </c>
      <c r="L154" s="75">
        <v>2750</v>
      </c>
      <c r="M154" s="202">
        <v>36.814563147830214</v>
      </c>
      <c r="N154" s="87">
        <v>2657.5487999999996</v>
      </c>
      <c r="O154" s="123">
        <v>49448.894703682061</v>
      </c>
      <c r="P154" s="121">
        <v>62210.106347898836</v>
      </c>
      <c r="Q154" s="120">
        <v>33011.264831510824</v>
      </c>
      <c r="R154" s="319">
        <v>82460.159535192885</v>
      </c>
      <c r="S154" s="315">
        <v>95221.37117940966</v>
      </c>
      <c r="U154" s="7" t="s">
        <v>5320</v>
      </c>
    </row>
    <row r="155" spans="1:21" ht="16.5" thickBot="1">
      <c r="A155" s="1311" t="s">
        <v>4588</v>
      </c>
      <c r="B155" s="1315">
        <f t="shared" si="6"/>
        <v>150</v>
      </c>
      <c r="C155" s="1315" t="s">
        <v>3</v>
      </c>
      <c r="D155" s="1315">
        <f t="shared" si="7"/>
        <v>300</v>
      </c>
      <c r="E155" s="1315" t="s">
        <v>3</v>
      </c>
      <c r="F155" s="1313">
        <f t="shared" si="8"/>
        <v>2800</v>
      </c>
      <c r="G155" s="1315" t="s">
        <v>3</v>
      </c>
      <c r="H155" s="1312">
        <v>2</v>
      </c>
      <c r="I155" s="1314" t="s">
        <v>45</v>
      </c>
      <c r="J155" s="184">
        <v>150</v>
      </c>
      <c r="K155" s="75">
        <v>300</v>
      </c>
      <c r="L155" s="75">
        <v>2800</v>
      </c>
      <c r="M155" s="202">
        <v>37.426869607302493</v>
      </c>
      <c r="N155" s="87">
        <v>2712.9144000000001</v>
      </c>
      <c r="O155" s="123">
        <v>50159.374829290704</v>
      </c>
      <c r="P155" s="121">
        <v>63125.837498074965</v>
      </c>
      <c r="Q155" s="120">
        <v>33722.251777158082</v>
      </c>
      <c r="R155" s="319">
        <v>83881.626606448786</v>
      </c>
      <c r="S155" s="315">
        <v>96848.08927523304</v>
      </c>
      <c r="U155" s="7" t="s">
        <v>5321</v>
      </c>
    </row>
    <row r="156" spans="1:21" ht="16.5" thickBot="1">
      <c r="A156" s="1311" t="s">
        <v>4588</v>
      </c>
      <c r="B156" s="1315">
        <f t="shared" si="6"/>
        <v>150</v>
      </c>
      <c r="C156" s="1315" t="s">
        <v>3</v>
      </c>
      <c r="D156" s="1315">
        <f t="shared" si="7"/>
        <v>300</v>
      </c>
      <c r="E156" s="1315" t="s">
        <v>3</v>
      </c>
      <c r="F156" s="1313">
        <f t="shared" si="8"/>
        <v>2850</v>
      </c>
      <c r="G156" s="1315" t="s">
        <v>3</v>
      </c>
      <c r="H156" s="1312">
        <v>2</v>
      </c>
      <c r="I156" s="1314" t="s">
        <v>45</v>
      </c>
      <c r="J156" s="184">
        <v>150</v>
      </c>
      <c r="K156" s="75">
        <v>300</v>
      </c>
      <c r="L156" s="75">
        <v>2850</v>
      </c>
      <c r="M156" s="202">
        <v>38.039176066774758</v>
      </c>
      <c r="N156" s="87">
        <v>2768.2799999999997</v>
      </c>
      <c r="O156" s="123">
        <v>50869.854954899332</v>
      </c>
      <c r="P156" s="121">
        <v>64041.568788644458</v>
      </c>
      <c r="Q156" s="120">
        <v>34202.657085415434</v>
      </c>
      <c r="R156" s="319">
        <v>85072.512040314759</v>
      </c>
      <c r="S156" s="315">
        <v>98244.225874059892</v>
      </c>
      <c r="U156" s="7" t="s">
        <v>5322</v>
      </c>
    </row>
    <row r="157" spans="1:21" ht="16.5" thickBot="1">
      <c r="A157" s="1311" t="s">
        <v>4588</v>
      </c>
      <c r="B157" s="1315">
        <f t="shared" si="6"/>
        <v>150</v>
      </c>
      <c r="C157" s="1315" t="s">
        <v>3</v>
      </c>
      <c r="D157" s="1315">
        <f t="shared" si="7"/>
        <v>300</v>
      </c>
      <c r="E157" s="1315" t="s">
        <v>3</v>
      </c>
      <c r="F157" s="1313">
        <f t="shared" si="8"/>
        <v>2900</v>
      </c>
      <c r="G157" s="1315" t="s">
        <v>3</v>
      </c>
      <c r="H157" s="1312">
        <v>2</v>
      </c>
      <c r="I157" s="1314" t="s">
        <v>45</v>
      </c>
      <c r="J157" s="184">
        <v>150</v>
      </c>
      <c r="K157" s="75">
        <v>300</v>
      </c>
      <c r="L157" s="75">
        <v>2900</v>
      </c>
      <c r="M157" s="202">
        <v>38.65148252624703</v>
      </c>
      <c r="N157" s="87">
        <v>2823.6455999999994</v>
      </c>
      <c r="O157" s="123">
        <v>51580.335080507968</v>
      </c>
      <c r="P157" s="121">
        <v>64957.300079213936</v>
      </c>
      <c r="Q157" s="120">
        <v>34913.644031062693</v>
      </c>
      <c r="R157" s="319">
        <v>86493.979111570661</v>
      </c>
      <c r="S157" s="315">
        <v>99870.944110276629</v>
      </c>
      <c r="U157" s="7" t="s">
        <v>5323</v>
      </c>
    </row>
    <row r="158" spans="1:21" ht="16.5" thickBot="1">
      <c r="A158" s="1311" t="s">
        <v>4588</v>
      </c>
      <c r="B158" s="1315">
        <f t="shared" si="6"/>
        <v>150</v>
      </c>
      <c r="C158" s="1315" t="s">
        <v>3</v>
      </c>
      <c r="D158" s="1315">
        <f t="shared" si="7"/>
        <v>300</v>
      </c>
      <c r="E158" s="1315" t="s">
        <v>3</v>
      </c>
      <c r="F158" s="1313">
        <f t="shared" si="8"/>
        <v>2950</v>
      </c>
      <c r="G158" s="1315" t="s">
        <v>3</v>
      </c>
      <c r="H158" s="1312">
        <v>2</v>
      </c>
      <c r="I158" s="1314" t="s">
        <v>45</v>
      </c>
      <c r="J158" s="184">
        <v>150</v>
      </c>
      <c r="K158" s="75">
        <v>300</v>
      </c>
      <c r="L158" s="75">
        <v>2950</v>
      </c>
      <c r="M158" s="202">
        <v>39.263788985719295</v>
      </c>
      <c r="N158" s="87">
        <v>2879.0111999999999</v>
      </c>
      <c r="O158" s="123">
        <v>52290.815206116611</v>
      </c>
      <c r="P158" s="121">
        <v>65873.031369783435</v>
      </c>
      <c r="Q158" s="120">
        <v>35394.049339320045</v>
      </c>
      <c r="R158" s="319">
        <v>87684.864545436663</v>
      </c>
      <c r="S158" s="315">
        <v>101267.08070910348</v>
      </c>
      <c r="U158" s="7" t="s">
        <v>5324</v>
      </c>
    </row>
    <row r="159" spans="1:21" ht="16.5" thickBot="1">
      <c r="A159" s="1311" t="s">
        <v>4588</v>
      </c>
      <c r="B159" s="1317">
        <f t="shared" si="6"/>
        <v>150</v>
      </c>
      <c r="C159" s="1317" t="s">
        <v>3</v>
      </c>
      <c r="D159" s="1317">
        <f t="shared" si="7"/>
        <v>300</v>
      </c>
      <c r="E159" s="1317" t="s">
        <v>3</v>
      </c>
      <c r="F159" s="1318">
        <f t="shared" si="8"/>
        <v>3000</v>
      </c>
      <c r="G159" s="1317" t="s">
        <v>3</v>
      </c>
      <c r="H159" s="1312">
        <v>2</v>
      </c>
      <c r="I159" s="1314" t="s">
        <v>45</v>
      </c>
      <c r="J159" s="186">
        <v>150</v>
      </c>
      <c r="K159" s="147">
        <v>300</v>
      </c>
      <c r="L159" s="147">
        <v>3000</v>
      </c>
      <c r="M159" s="209">
        <v>40.110203445191573</v>
      </c>
      <c r="N159" s="148">
        <v>2934.3767999999995</v>
      </c>
      <c r="O159" s="149">
        <v>53243.558118055116</v>
      </c>
      <c r="P159" s="158">
        <v>67031.02530628955</v>
      </c>
      <c r="Q159" s="159">
        <v>36105.036284967304</v>
      </c>
      <c r="R159" s="320">
        <v>89348.59440302242</v>
      </c>
      <c r="S159" s="317">
        <v>103136.06159125685</v>
      </c>
      <c r="U159" s="7" t="s">
        <v>5325</v>
      </c>
    </row>
    <row r="160" spans="1:21" ht="16.5" thickBot="1">
      <c r="A160" s="2621" t="s">
        <v>49</v>
      </c>
      <c r="B160" s="2622"/>
      <c r="C160" s="2622"/>
      <c r="D160" s="2622"/>
      <c r="E160" s="2622"/>
      <c r="F160" s="2622"/>
      <c r="G160" s="2622"/>
      <c r="H160" s="2622"/>
      <c r="I160" s="2622"/>
      <c r="J160" s="2622"/>
      <c r="K160" s="2622"/>
      <c r="L160" s="2622"/>
      <c r="M160" s="2622"/>
      <c r="N160" s="2622"/>
      <c r="O160" s="2622"/>
      <c r="P160" s="2622"/>
      <c r="Q160" s="2622"/>
      <c r="R160" s="2622"/>
      <c r="S160" s="2623"/>
      <c r="U160" s="7"/>
    </row>
    <row r="161" spans="1:21" ht="16.5" thickBot="1">
      <c r="A161" s="2583" t="s">
        <v>4587</v>
      </c>
      <c r="B161" s="2584"/>
      <c r="C161" s="2584"/>
      <c r="D161" s="2584"/>
      <c r="E161" s="2584"/>
      <c r="F161" s="2584"/>
      <c r="G161" s="2584"/>
      <c r="H161" s="2584"/>
      <c r="I161" s="2584"/>
      <c r="J161" s="2584"/>
      <c r="K161" s="2584"/>
      <c r="L161" s="2584"/>
      <c r="M161" s="2584"/>
      <c r="N161" s="2584"/>
      <c r="O161" s="2584"/>
      <c r="P161" s="2584"/>
      <c r="Q161" s="2584"/>
      <c r="R161" s="2584"/>
      <c r="S161" s="2585"/>
      <c r="U161" s="7"/>
    </row>
    <row r="162" spans="1:21" ht="16.5" thickBot="1">
      <c r="A162" s="1311" t="s">
        <v>4588</v>
      </c>
      <c r="B162" s="1312">
        <f>J162</f>
        <v>150</v>
      </c>
      <c r="C162" s="1312" t="s">
        <v>3</v>
      </c>
      <c r="D162" s="1312">
        <f>K162</f>
        <v>360</v>
      </c>
      <c r="E162" s="1312" t="s">
        <v>3</v>
      </c>
      <c r="F162" s="1313">
        <f>L162</f>
        <v>600</v>
      </c>
      <c r="G162" s="1312" t="s">
        <v>3</v>
      </c>
      <c r="H162" s="1312">
        <v>2</v>
      </c>
      <c r="I162" s="1314" t="s">
        <v>45</v>
      </c>
      <c r="J162" s="181">
        <v>150</v>
      </c>
      <c r="K162" s="143">
        <v>360</v>
      </c>
      <c r="L162" s="143">
        <v>600</v>
      </c>
      <c r="M162" s="201">
        <v>10.725371307575244</v>
      </c>
      <c r="N162" s="144">
        <v>288.51886074920998</v>
      </c>
      <c r="O162" s="145">
        <v>16924.743175288841</v>
      </c>
      <c r="P162" s="183">
        <v>21910.957347672906</v>
      </c>
      <c r="Q162" s="169">
        <v>9204.3678470371888</v>
      </c>
      <c r="R162" s="318">
        <v>26129.111022326029</v>
      </c>
      <c r="S162" s="313">
        <v>31115.325194710094</v>
      </c>
      <c r="U162" s="7" t="s">
        <v>5326</v>
      </c>
    </row>
    <row r="163" spans="1:21" ht="16.5" thickBot="1">
      <c r="A163" s="1311" t="s">
        <v>4588</v>
      </c>
      <c r="B163" s="1315">
        <f t="shared" ref="B163:B210" si="9">J163</f>
        <v>150</v>
      </c>
      <c r="C163" s="1315" t="s">
        <v>3</v>
      </c>
      <c r="D163" s="1315">
        <f t="shared" ref="D163:D210" si="10">K163</f>
        <v>360</v>
      </c>
      <c r="E163" s="1315" t="s">
        <v>3</v>
      </c>
      <c r="F163" s="1313">
        <f t="shared" ref="F163:F210" si="11">L163</f>
        <v>650</v>
      </c>
      <c r="G163" s="1315" t="s">
        <v>3</v>
      </c>
      <c r="H163" s="1312">
        <v>2</v>
      </c>
      <c r="I163" s="1314" t="s">
        <v>45</v>
      </c>
      <c r="J163" s="184">
        <v>150</v>
      </c>
      <c r="K163" s="75">
        <v>360</v>
      </c>
      <c r="L163" s="75">
        <v>650</v>
      </c>
      <c r="M163" s="202">
        <v>11.405604393468568</v>
      </c>
      <c r="N163" s="87">
        <v>346.22263289905197</v>
      </c>
      <c r="O163" s="123">
        <v>17664.606368128465</v>
      </c>
      <c r="P163" s="121">
        <v>22876.596793890792</v>
      </c>
      <c r="Q163" s="120">
        <v>9757.9649885401141</v>
      </c>
      <c r="R163" s="319">
        <v>27422.571356668581</v>
      </c>
      <c r="S163" s="315">
        <v>32634.561782430908</v>
      </c>
      <c r="U163" s="7" t="s">
        <v>5327</v>
      </c>
    </row>
    <row r="164" spans="1:21" ht="16.5" thickBot="1">
      <c r="A164" s="1311" t="s">
        <v>4588</v>
      </c>
      <c r="B164" s="1315">
        <f t="shared" si="9"/>
        <v>150</v>
      </c>
      <c r="C164" s="1315" t="s">
        <v>3</v>
      </c>
      <c r="D164" s="1315">
        <f t="shared" si="10"/>
        <v>360</v>
      </c>
      <c r="E164" s="1315" t="s">
        <v>3</v>
      </c>
      <c r="F164" s="1313">
        <f t="shared" si="11"/>
        <v>700</v>
      </c>
      <c r="G164" s="1315" t="s">
        <v>3</v>
      </c>
      <c r="H164" s="1312">
        <v>2</v>
      </c>
      <c r="I164" s="1314" t="s">
        <v>45</v>
      </c>
      <c r="J164" s="184">
        <v>150</v>
      </c>
      <c r="K164" s="75">
        <v>360</v>
      </c>
      <c r="L164" s="75">
        <v>700</v>
      </c>
      <c r="M164" s="202">
        <v>12.085837479361889</v>
      </c>
      <c r="N164" s="87">
        <v>403.92640504889397</v>
      </c>
      <c r="O164" s="123">
        <v>18404.469560968093</v>
      </c>
      <c r="P164" s="121">
        <v>23842.236240108679</v>
      </c>
      <c r="Q164" s="120">
        <v>10542.143907826316</v>
      </c>
      <c r="R164" s="319">
        <v>28946.613468794407</v>
      </c>
      <c r="S164" s="315">
        <v>34384.380147934993</v>
      </c>
      <c r="U164" s="7" t="s">
        <v>5328</v>
      </c>
    </row>
    <row r="165" spans="1:21" ht="16.5" thickBot="1">
      <c r="A165" s="1311" t="s">
        <v>4588</v>
      </c>
      <c r="B165" s="1315">
        <f t="shared" si="9"/>
        <v>150</v>
      </c>
      <c r="C165" s="1315" t="s">
        <v>3</v>
      </c>
      <c r="D165" s="1315">
        <f t="shared" si="10"/>
        <v>360</v>
      </c>
      <c r="E165" s="1315" t="s">
        <v>3</v>
      </c>
      <c r="F165" s="1313">
        <f t="shared" si="11"/>
        <v>750</v>
      </c>
      <c r="G165" s="1315" t="s">
        <v>3</v>
      </c>
      <c r="H165" s="1312">
        <v>2</v>
      </c>
      <c r="I165" s="1314" t="s">
        <v>45</v>
      </c>
      <c r="J165" s="184">
        <v>150</v>
      </c>
      <c r="K165" s="75">
        <v>360</v>
      </c>
      <c r="L165" s="75">
        <v>750</v>
      </c>
      <c r="M165" s="202">
        <v>12.766070565255212</v>
      </c>
      <c r="N165" s="87">
        <v>461.63017719873596</v>
      </c>
      <c r="O165" s="123">
        <v>19144.332753807717</v>
      </c>
      <c r="P165" s="121">
        <v>24807.87568632657</v>
      </c>
      <c r="Q165" s="120">
        <v>11095.741049329239</v>
      </c>
      <c r="R165" s="319">
        <v>30240.073803136955</v>
      </c>
      <c r="S165" s="315">
        <v>35903.616735655807</v>
      </c>
      <c r="U165" s="7" t="s">
        <v>5329</v>
      </c>
    </row>
    <row r="166" spans="1:21" ht="16.5" thickBot="1">
      <c r="A166" s="1311" t="s">
        <v>4588</v>
      </c>
      <c r="B166" s="1315">
        <f t="shared" si="9"/>
        <v>150</v>
      </c>
      <c r="C166" s="1315" t="s">
        <v>3</v>
      </c>
      <c r="D166" s="1315">
        <f t="shared" si="10"/>
        <v>360</v>
      </c>
      <c r="E166" s="1315" t="s">
        <v>3</v>
      </c>
      <c r="F166" s="1313">
        <f t="shared" si="11"/>
        <v>800</v>
      </c>
      <c r="G166" s="1315" t="s">
        <v>3</v>
      </c>
      <c r="H166" s="1312">
        <v>2</v>
      </c>
      <c r="I166" s="1314" t="s">
        <v>45</v>
      </c>
      <c r="J166" s="184">
        <v>150</v>
      </c>
      <c r="K166" s="75">
        <v>360</v>
      </c>
      <c r="L166" s="75">
        <v>800</v>
      </c>
      <c r="M166" s="202">
        <v>13.446303651148536</v>
      </c>
      <c r="N166" s="87">
        <v>519.33394934857802</v>
      </c>
      <c r="O166" s="123">
        <v>20247.393435041478</v>
      </c>
      <c r="P166" s="121">
        <v>25787.554468794457</v>
      </c>
      <c r="Q166" s="120">
        <v>11649.338190832164</v>
      </c>
      <c r="R166" s="319">
        <v>31896.731625873643</v>
      </c>
      <c r="S166" s="315">
        <v>37436.892659626625</v>
      </c>
      <c r="U166" s="7" t="s">
        <v>5330</v>
      </c>
    </row>
    <row r="167" spans="1:21" ht="16.5" thickBot="1">
      <c r="A167" s="1311" t="s">
        <v>4588</v>
      </c>
      <c r="B167" s="1315">
        <f t="shared" si="9"/>
        <v>150</v>
      </c>
      <c r="C167" s="1315" t="s">
        <v>3</v>
      </c>
      <c r="D167" s="1315">
        <f t="shared" si="10"/>
        <v>360</v>
      </c>
      <c r="E167" s="1315" t="s">
        <v>3</v>
      </c>
      <c r="F167" s="1313">
        <f t="shared" si="11"/>
        <v>850</v>
      </c>
      <c r="G167" s="1315" t="s">
        <v>3</v>
      </c>
      <c r="H167" s="1312">
        <v>2</v>
      </c>
      <c r="I167" s="1314" t="s">
        <v>45</v>
      </c>
      <c r="J167" s="184">
        <v>150</v>
      </c>
      <c r="K167" s="75">
        <v>360</v>
      </c>
      <c r="L167" s="75">
        <v>850</v>
      </c>
      <c r="M167" s="202">
        <v>14.126536737041857</v>
      </c>
      <c r="N167" s="87">
        <v>577.03772149841996</v>
      </c>
      <c r="O167" s="123">
        <v>20987.256627881106</v>
      </c>
      <c r="P167" s="121">
        <v>26753.193915012343</v>
      </c>
      <c r="Q167" s="120">
        <v>12433.517110118366</v>
      </c>
      <c r="R167" s="319">
        <v>33420.773737999472</v>
      </c>
      <c r="S167" s="315">
        <v>39186.711025130709</v>
      </c>
      <c r="U167" s="7" t="s">
        <v>5331</v>
      </c>
    </row>
    <row r="168" spans="1:21" ht="16.5" thickBot="1">
      <c r="A168" s="1311" t="s">
        <v>4588</v>
      </c>
      <c r="B168" s="1315">
        <f t="shared" si="9"/>
        <v>150</v>
      </c>
      <c r="C168" s="1315" t="s">
        <v>3</v>
      </c>
      <c r="D168" s="1315">
        <f t="shared" si="10"/>
        <v>360</v>
      </c>
      <c r="E168" s="1315" t="s">
        <v>3</v>
      </c>
      <c r="F168" s="1313">
        <f t="shared" si="11"/>
        <v>900</v>
      </c>
      <c r="G168" s="1315" t="s">
        <v>3</v>
      </c>
      <c r="H168" s="1312">
        <v>2</v>
      </c>
      <c r="I168" s="1314" t="s">
        <v>45</v>
      </c>
      <c r="J168" s="184">
        <v>150</v>
      </c>
      <c r="K168" s="75">
        <v>360</v>
      </c>
      <c r="L168" s="75">
        <v>900</v>
      </c>
      <c r="M168" s="202">
        <v>14.806769822935181</v>
      </c>
      <c r="N168" s="87">
        <v>634.74149364826201</v>
      </c>
      <c r="O168" s="123">
        <v>21727.119820720727</v>
      </c>
      <c r="P168" s="121">
        <v>27718.833501623591</v>
      </c>
      <c r="Q168" s="120">
        <v>12987.114251621291</v>
      </c>
      <c r="R168" s="319">
        <v>34714.23407234202</v>
      </c>
      <c r="S168" s="315">
        <v>40705.94775324488</v>
      </c>
      <c r="U168" s="7" t="s">
        <v>5332</v>
      </c>
    </row>
    <row r="169" spans="1:21" ht="16.5" thickBot="1">
      <c r="A169" s="1311" t="s">
        <v>4588</v>
      </c>
      <c r="B169" s="1315">
        <f t="shared" si="9"/>
        <v>150</v>
      </c>
      <c r="C169" s="1315" t="s">
        <v>3</v>
      </c>
      <c r="D169" s="1315">
        <f t="shared" si="10"/>
        <v>360</v>
      </c>
      <c r="E169" s="1315" t="s">
        <v>3</v>
      </c>
      <c r="F169" s="1313">
        <f t="shared" si="11"/>
        <v>950</v>
      </c>
      <c r="G169" s="1315" t="s">
        <v>3</v>
      </c>
      <c r="H169" s="1312">
        <v>2</v>
      </c>
      <c r="I169" s="1314" t="s">
        <v>45</v>
      </c>
      <c r="J169" s="184">
        <v>150</v>
      </c>
      <c r="K169" s="75">
        <v>360</v>
      </c>
      <c r="L169" s="75">
        <v>950</v>
      </c>
      <c r="M169" s="202">
        <v>15.487002908828501</v>
      </c>
      <c r="N169" s="87">
        <v>692.44526579810395</v>
      </c>
      <c r="O169" s="123">
        <v>22466.983013560355</v>
      </c>
      <c r="P169" s="121">
        <v>28684.472947841481</v>
      </c>
      <c r="Q169" s="120">
        <v>13771.293170907491</v>
      </c>
      <c r="R169" s="319">
        <v>36238.276184467846</v>
      </c>
      <c r="S169" s="315">
        <v>42455.766118748972</v>
      </c>
      <c r="U169" s="7" t="s">
        <v>5333</v>
      </c>
    </row>
    <row r="170" spans="1:21" ht="16.5" thickBot="1">
      <c r="A170" s="1311" t="s">
        <v>4588</v>
      </c>
      <c r="B170" s="1315">
        <f t="shared" si="9"/>
        <v>150</v>
      </c>
      <c r="C170" s="1315" t="s">
        <v>3</v>
      </c>
      <c r="D170" s="1315">
        <f t="shared" si="10"/>
        <v>360</v>
      </c>
      <c r="E170" s="1315" t="s">
        <v>3</v>
      </c>
      <c r="F170" s="1313">
        <f t="shared" si="11"/>
        <v>1000</v>
      </c>
      <c r="G170" s="1315" t="s">
        <v>3</v>
      </c>
      <c r="H170" s="1312">
        <v>2</v>
      </c>
      <c r="I170" s="1314" t="s">
        <v>45</v>
      </c>
      <c r="J170" s="184">
        <v>150</v>
      </c>
      <c r="K170" s="75">
        <v>360</v>
      </c>
      <c r="L170" s="75">
        <v>1000</v>
      </c>
      <c r="M170" s="202">
        <v>16.307700794721825</v>
      </c>
      <c r="N170" s="87">
        <v>750.149037947946</v>
      </c>
      <c r="O170" s="123">
        <v>23270.932968513978</v>
      </c>
      <c r="P170" s="121">
        <v>29714.19915617337</v>
      </c>
      <c r="Q170" s="120">
        <v>14324.890312410414</v>
      </c>
      <c r="R170" s="319">
        <v>37595.823280924393</v>
      </c>
      <c r="S170" s="315">
        <v>44039.089468583785</v>
      </c>
      <c r="U170" s="7" t="s">
        <v>5334</v>
      </c>
    </row>
    <row r="171" spans="1:21" ht="16.5" thickBot="1">
      <c r="A171" s="1311" t="s">
        <v>4588</v>
      </c>
      <c r="B171" s="1315">
        <f t="shared" si="9"/>
        <v>150</v>
      </c>
      <c r="C171" s="1315" t="s">
        <v>3</v>
      </c>
      <c r="D171" s="1315">
        <f t="shared" si="10"/>
        <v>360</v>
      </c>
      <c r="E171" s="1315" t="s">
        <v>3</v>
      </c>
      <c r="F171" s="1313">
        <f t="shared" si="11"/>
        <v>1050</v>
      </c>
      <c r="G171" s="1315" t="s">
        <v>3</v>
      </c>
      <c r="H171" s="1312">
        <v>2</v>
      </c>
      <c r="I171" s="1314" t="s">
        <v>45</v>
      </c>
      <c r="J171" s="184">
        <v>150</v>
      </c>
      <c r="K171" s="75">
        <v>360</v>
      </c>
      <c r="L171" s="75">
        <v>1050</v>
      </c>
      <c r="M171" s="202">
        <v>16.987933880615145</v>
      </c>
      <c r="N171" s="87">
        <v>807.85281009778794</v>
      </c>
      <c r="O171" s="123">
        <v>24010.796161353606</v>
      </c>
      <c r="P171" s="121">
        <v>30679.838602391257</v>
      </c>
      <c r="Q171" s="120">
        <v>15109.069231696616</v>
      </c>
      <c r="R171" s="319">
        <v>39119.865393050219</v>
      </c>
      <c r="S171" s="315">
        <v>45788.907834087877</v>
      </c>
      <c r="U171" s="7" t="s">
        <v>5335</v>
      </c>
    </row>
    <row r="172" spans="1:21" ht="16.5" thickBot="1">
      <c r="A172" s="1311" t="s">
        <v>4588</v>
      </c>
      <c r="B172" s="1312">
        <f t="shared" si="9"/>
        <v>150</v>
      </c>
      <c r="C172" s="1312" t="s">
        <v>3</v>
      </c>
      <c r="D172" s="1312">
        <f t="shared" si="10"/>
        <v>360</v>
      </c>
      <c r="E172" s="1312" t="s">
        <v>3</v>
      </c>
      <c r="F172" s="1313">
        <f t="shared" si="11"/>
        <v>1100</v>
      </c>
      <c r="G172" s="1312" t="s">
        <v>3</v>
      </c>
      <c r="H172" s="1312">
        <v>2</v>
      </c>
      <c r="I172" s="1314" t="s">
        <v>45</v>
      </c>
      <c r="J172" s="184">
        <v>150</v>
      </c>
      <c r="K172" s="75">
        <v>360</v>
      </c>
      <c r="L172" s="75">
        <v>1100</v>
      </c>
      <c r="M172" s="202">
        <v>17.668166966508466</v>
      </c>
      <c r="N172" s="87">
        <v>865.55658224762988</v>
      </c>
      <c r="O172" s="123">
        <v>24750.659354193231</v>
      </c>
      <c r="P172" s="121">
        <v>31645.478048609144</v>
      </c>
      <c r="Q172" s="120">
        <v>15662.66637319954</v>
      </c>
      <c r="R172" s="319">
        <v>40413.325727392774</v>
      </c>
      <c r="S172" s="315">
        <v>47308.144421808684</v>
      </c>
      <c r="U172" s="7" t="s">
        <v>5336</v>
      </c>
    </row>
    <row r="173" spans="1:21" ht="16.5" thickBot="1">
      <c r="A173" s="1311" t="s">
        <v>4588</v>
      </c>
      <c r="B173" s="1315">
        <f t="shared" si="9"/>
        <v>150</v>
      </c>
      <c r="C173" s="1315" t="s">
        <v>3</v>
      </c>
      <c r="D173" s="1315">
        <f t="shared" si="10"/>
        <v>360</v>
      </c>
      <c r="E173" s="1315" t="s">
        <v>3</v>
      </c>
      <c r="F173" s="1313">
        <f t="shared" si="11"/>
        <v>1150</v>
      </c>
      <c r="G173" s="1315" t="s">
        <v>3</v>
      </c>
      <c r="H173" s="1312">
        <v>2</v>
      </c>
      <c r="I173" s="1314" t="s">
        <v>45</v>
      </c>
      <c r="J173" s="184">
        <v>150</v>
      </c>
      <c r="K173" s="75">
        <v>360</v>
      </c>
      <c r="L173" s="75">
        <v>1150</v>
      </c>
      <c r="M173" s="202">
        <v>18.348400052401789</v>
      </c>
      <c r="N173" s="87">
        <v>923.26035439747193</v>
      </c>
      <c r="O173" s="123">
        <v>25490.522406639495</v>
      </c>
      <c r="P173" s="121">
        <v>32611.117494827035</v>
      </c>
      <c r="Q173" s="120">
        <v>16216.263514702467</v>
      </c>
      <c r="R173" s="319">
        <v>41706.785921341958</v>
      </c>
      <c r="S173" s="315">
        <v>48827.381009529505</v>
      </c>
      <c r="U173" s="7" t="s">
        <v>5337</v>
      </c>
    </row>
    <row r="174" spans="1:21" ht="16.5" thickBot="1">
      <c r="A174" s="1311" t="s">
        <v>4588</v>
      </c>
      <c r="B174" s="1315">
        <f t="shared" si="9"/>
        <v>150</v>
      </c>
      <c r="C174" s="1315" t="s">
        <v>3</v>
      </c>
      <c r="D174" s="1315">
        <f t="shared" si="10"/>
        <v>360</v>
      </c>
      <c r="E174" s="1315" t="s">
        <v>3</v>
      </c>
      <c r="F174" s="1313">
        <f t="shared" si="11"/>
        <v>1200</v>
      </c>
      <c r="G174" s="1315" t="s">
        <v>3</v>
      </c>
      <c r="H174" s="1312">
        <v>2</v>
      </c>
      <c r="I174" s="1314" t="s">
        <v>45</v>
      </c>
      <c r="J174" s="184">
        <v>150</v>
      </c>
      <c r="K174" s="75">
        <v>360</v>
      </c>
      <c r="L174" s="75">
        <v>1200</v>
      </c>
      <c r="M174" s="202">
        <v>19.02863313829511</v>
      </c>
      <c r="N174" s="87">
        <v>980.96412654731387</v>
      </c>
      <c r="O174" s="123">
        <v>26230.385599479119</v>
      </c>
      <c r="P174" s="121">
        <v>33576.756941044921</v>
      </c>
      <c r="Q174" s="120">
        <v>17000.442574382028</v>
      </c>
      <c r="R174" s="319">
        <v>43230.828173861148</v>
      </c>
      <c r="S174" s="315">
        <v>50577.199515426953</v>
      </c>
      <c r="U174" s="7" t="s">
        <v>5338</v>
      </c>
    </row>
    <row r="175" spans="1:21" ht="16.5" thickBot="1">
      <c r="A175" s="1311" t="s">
        <v>4588</v>
      </c>
      <c r="B175" s="1315">
        <f t="shared" si="9"/>
        <v>150</v>
      </c>
      <c r="C175" s="1315" t="s">
        <v>3</v>
      </c>
      <c r="D175" s="1315">
        <f t="shared" si="10"/>
        <v>360</v>
      </c>
      <c r="E175" s="1315" t="s">
        <v>3</v>
      </c>
      <c r="F175" s="1313">
        <f t="shared" si="11"/>
        <v>1250</v>
      </c>
      <c r="G175" s="1315" t="s">
        <v>3</v>
      </c>
      <c r="H175" s="1312">
        <v>2</v>
      </c>
      <c r="I175" s="1314" t="s">
        <v>45</v>
      </c>
      <c r="J175" s="184">
        <v>150</v>
      </c>
      <c r="K175" s="75">
        <v>360</v>
      </c>
      <c r="L175" s="75">
        <v>1250</v>
      </c>
      <c r="M175" s="202">
        <v>19.708866224188434</v>
      </c>
      <c r="N175" s="87">
        <v>1038.667898697156</v>
      </c>
      <c r="O175" s="123">
        <v>26970.24879231874</v>
      </c>
      <c r="P175" s="121">
        <v>34542.396387262808</v>
      </c>
      <c r="Q175" s="120">
        <v>17554.039715884952</v>
      </c>
      <c r="R175" s="319">
        <v>44524.288508203696</v>
      </c>
      <c r="S175" s="315">
        <v>52096.43610314776</v>
      </c>
      <c r="U175" s="7" t="s">
        <v>5339</v>
      </c>
    </row>
    <row r="176" spans="1:21" ht="16.5" thickBot="1">
      <c r="A176" s="1311" t="s">
        <v>4588</v>
      </c>
      <c r="B176" s="1315">
        <f t="shared" si="9"/>
        <v>150</v>
      </c>
      <c r="C176" s="1315" t="s">
        <v>3</v>
      </c>
      <c r="D176" s="1315">
        <f t="shared" si="10"/>
        <v>360</v>
      </c>
      <c r="E176" s="1315" t="s">
        <v>3</v>
      </c>
      <c r="F176" s="1313">
        <f t="shared" si="11"/>
        <v>1300</v>
      </c>
      <c r="G176" s="1315" t="s">
        <v>3</v>
      </c>
      <c r="H176" s="1312">
        <v>2</v>
      </c>
      <c r="I176" s="1314" t="s">
        <v>45</v>
      </c>
      <c r="J176" s="184">
        <v>150</v>
      </c>
      <c r="K176" s="75">
        <v>360</v>
      </c>
      <c r="L176" s="75">
        <v>1300</v>
      </c>
      <c r="M176" s="202">
        <v>20.389099310081761</v>
      </c>
      <c r="N176" s="87">
        <v>1096.3716708469979</v>
      </c>
      <c r="O176" s="123">
        <v>27710.111985158368</v>
      </c>
      <c r="P176" s="121">
        <v>35508.035833480695</v>
      </c>
      <c r="Q176" s="120">
        <v>18338.218635171153</v>
      </c>
      <c r="R176" s="319">
        <v>46048.330620329521</v>
      </c>
      <c r="S176" s="315">
        <v>53846.254468651852</v>
      </c>
      <c r="U176" s="7" t="s">
        <v>5340</v>
      </c>
    </row>
    <row r="177" spans="1:21" ht="16.5" thickBot="1">
      <c r="A177" s="1311" t="s">
        <v>4588</v>
      </c>
      <c r="B177" s="1315">
        <f t="shared" si="9"/>
        <v>150</v>
      </c>
      <c r="C177" s="1315" t="s">
        <v>3</v>
      </c>
      <c r="D177" s="1315">
        <f t="shared" si="10"/>
        <v>360</v>
      </c>
      <c r="E177" s="1315" t="s">
        <v>3</v>
      </c>
      <c r="F177" s="1313">
        <f t="shared" si="11"/>
        <v>1350</v>
      </c>
      <c r="G177" s="1315" t="s">
        <v>3</v>
      </c>
      <c r="H177" s="1312">
        <v>2</v>
      </c>
      <c r="I177" s="1314" t="s">
        <v>45</v>
      </c>
      <c r="J177" s="184">
        <v>150</v>
      </c>
      <c r="K177" s="75">
        <v>360</v>
      </c>
      <c r="L177" s="75">
        <v>1350</v>
      </c>
      <c r="M177" s="202">
        <v>21.069332395975081</v>
      </c>
      <c r="N177" s="87">
        <v>1154.0754429968399</v>
      </c>
      <c r="O177" s="123">
        <v>28449.975177997992</v>
      </c>
      <c r="P177" s="121">
        <v>36473.675279698582</v>
      </c>
      <c r="Q177" s="120">
        <v>18891.815776674081</v>
      </c>
      <c r="R177" s="319">
        <v>47341.790954672077</v>
      </c>
      <c r="S177" s="315">
        <v>55365.491056372659</v>
      </c>
      <c r="U177" s="7" t="s">
        <v>5341</v>
      </c>
    </row>
    <row r="178" spans="1:21" ht="16.5" thickBot="1">
      <c r="A178" s="1311" t="s">
        <v>4588</v>
      </c>
      <c r="B178" s="1315">
        <f t="shared" si="9"/>
        <v>150</v>
      </c>
      <c r="C178" s="1315" t="s">
        <v>3</v>
      </c>
      <c r="D178" s="1315">
        <f t="shared" si="10"/>
        <v>360</v>
      </c>
      <c r="E178" s="1315" t="s">
        <v>3</v>
      </c>
      <c r="F178" s="1313">
        <f t="shared" si="11"/>
        <v>1400</v>
      </c>
      <c r="G178" s="1315" t="s">
        <v>3</v>
      </c>
      <c r="H178" s="1312">
        <v>2</v>
      </c>
      <c r="I178" s="1314" t="s">
        <v>45</v>
      </c>
      <c r="J178" s="184">
        <v>150</v>
      </c>
      <c r="K178" s="75">
        <v>360</v>
      </c>
      <c r="L178" s="75">
        <v>1400</v>
      </c>
      <c r="M178" s="202">
        <v>21.749565481868402</v>
      </c>
      <c r="N178" s="87">
        <v>1211.779215146682</v>
      </c>
      <c r="O178" s="123">
        <v>29189.83837083762</v>
      </c>
      <c r="P178" s="121">
        <v>37439.314725916469</v>
      </c>
      <c r="Q178" s="120">
        <v>19675.994695960278</v>
      </c>
      <c r="R178" s="319">
        <v>48865.833066797903</v>
      </c>
      <c r="S178" s="315">
        <v>57115.309421876751</v>
      </c>
      <c r="U178" s="7" t="s">
        <v>5342</v>
      </c>
    </row>
    <row r="179" spans="1:21" ht="16.5" thickBot="1">
      <c r="A179" s="1311" t="s">
        <v>4588</v>
      </c>
      <c r="B179" s="1315">
        <f t="shared" si="9"/>
        <v>150</v>
      </c>
      <c r="C179" s="1315" t="s">
        <v>3</v>
      </c>
      <c r="D179" s="1315">
        <f t="shared" si="10"/>
        <v>360</v>
      </c>
      <c r="E179" s="1315" t="s">
        <v>3</v>
      </c>
      <c r="F179" s="1313">
        <f t="shared" si="11"/>
        <v>1450</v>
      </c>
      <c r="G179" s="1315" t="s">
        <v>3</v>
      </c>
      <c r="H179" s="1312">
        <v>2</v>
      </c>
      <c r="I179" s="1314" t="s">
        <v>45</v>
      </c>
      <c r="J179" s="184">
        <v>150</v>
      </c>
      <c r="K179" s="75">
        <v>360</v>
      </c>
      <c r="L179" s="75">
        <v>1450</v>
      </c>
      <c r="M179" s="202">
        <v>22.429798567761726</v>
      </c>
      <c r="N179" s="87">
        <v>1269.482987296524</v>
      </c>
      <c r="O179" s="123">
        <v>29929.701563677245</v>
      </c>
      <c r="P179" s="121">
        <v>38404.954172134356</v>
      </c>
      <c r="Q179" s="120">
        <v>20229.591837463206</v>
      </c>
      <c r="R179" s="319">
        <v>50159.29340114045</v>
      </c>
      <c r="S179" s="315">
        <v>58634.546009597558</v>
      </c>
      <c r="U179" s="7" t="s">
        <v>5343</v>
      </c>
    </row>
    <row r="180" spans="1:21" ht="16.5" thickBot="1">
      <c r="A180" s="1311" t="s">
        <v>4588</v>
      </c>
      <c r="B180" s="1315">
        <f t="shared" si="9"/>
        <v>150</v>
      </c>
      <c r="C180" s="1315" t="s">
        <v>3</v>
      </c>
      <c r="D180" s="1315">
        <f t="shared" si="10"/>
        <v>360</v>
      </c>
      <c r="E180" s="1315" t="s">
        <v>3</v>
      </c>
      <c r="F180" s="1313">
        <f t="shared" si="11"/>
        <v>1500</v>
      </c>
      <c r="G180" s="1315" t="s">
        <v>3</v>
      </c>
      <c r="H180" s="1312">
        <v>2</v>
      </c>
      <c r="I180" s="1314" t="s">
        <v>45</v>
      </c>
      <c r="J180" s="184">
        <v>150</v>
      </c>
      <c r="K180" s="75">
        <v>360</v>
      </c>
      <c r="L180" s="75">
        <v>1500</v>
      </c>
      <c r="M180" s="202">
        <v>23.636151253655044</v>
      </c>
      <c r="N180" s="87">
        <v>1327.1867594463658</v>
      </c>
      <c r="O180" s="123">
        <v>31592.399389655406</v>
      </c>
      <c r="P180" s="121">
        <v>40629.547510486096</v>
      </c>
      <c r="Q180" s="120">
        <v>21013.770756749404</v>
      </c>
      <c r="R180" s="319">
        <v>52606.170146404809</v>
      </c>
      <c r="S180" s="315">
        <v>61643.318267235503</v>
      </c>
      <c r="U180" s="7" t="s">
        <v>5344</v>
      </c>
    </row>
    <row r="181" spans="1:21" ht="16.5" thickBot="1">
      <c r="A181" s="1311" t="s">
        <v>4588</v>
      </c>
      <c r="B181" s="1315">
        <f t="shared" si="9"/>
        <v>150</v>
      </c>
      <c r="C181" s="1315" t="s">
        <v>3</v>
      </c>
      <c r="D181" s="1315">
        <f t="shared" si="10"/>
        <v>360</v>
      </c>
      <c r="E181" s="1315" t="s">
        <v>3</v>
      </c>
      <c r="F181" s="1313">
        <f t="shared" si="11"/>
        <v>1550</v>
      </c>
      <c r="G181" s="1315" t="s">
        <v>3</v>
      </c>
      <c r="H181" s="1312">
        <v>2</v>
      </c>
      <c r="I181" s="1314" t="s">
        <v>45</v>
      </c>
      <c r="J181" s="184">
        <v>150</v>
      </c>
      <c r="K181" s="75">
        <v>360</v>
      </c>
      <c r="L181" s="75">
        <v>1550</v>
      </c>
      <c r="M181" s="202">
        <v>24.316384339548371</v>
      </c>
      <c r="N181" s="87">
        <v>1384.8905315962079</v>
      </c>
      <c r="O181" s="123">
        <v>32332.262582495034</v>
      </c>
      <c r="P181" s="121">
        <v>41595.187097097347</v>
      </c>
      <c r="Q181" s="120">
        <v>21567.367898252327</v>
      </c>
      <c r="R181" s="319">
        <v>53899.630480747364</v>
      </c>
      <c r="S181" s="315">
        <v>63162.554995349674</v>
      </c>
      <c r="U181" s="7" t="s">
        <v>5345</v>
      </c>
    </row>
    <row r="182" spans="1:21" ht="16.5" thickBot="1">
      <c r="A182" s="1311" t="s">
        <v>4588</v>
      </c>
      <c r="B182" s="1312">
        <f t="shared" si="9"/>
        <v>150</v>
      </c>
      <c r="C182" s="1312" t="s">
        <v>3</v>
      </c>
      <c r="D182" s="1312">
        <f t="shared" si="10"/>
        <v>360</v>
      </c>
      <c r="E182" s="1312" t="s">
        <v>3</v>
      </c>
      <c r="F182" s="1313">
        <f t="shared" si="11"/>
        <v>1600</v>
      </c>
      <c r="G182" s="1312" t="s">
        <v>3</v>
      </c>
      <c r="H182" s="1312">
        <v>2</v>
      </c>
      <c r="I182" s="1314" t="s">
        <v>45</v>
      </c>
      <c r="J182" s="184">
        <v>150</v>
      </c>
      <c r="K182" s="75">
        <v>360</v>
      </c>
      <c r="L182" s="75">
        <v>1600</v>
      </c>
      <c r="M182" s="202">
        <v>24.996617425441691</v>
      </c>
      <c r="N182" s="87">
        <v>1442.5943037460499</v>
      </c>
      <c r="O182" s="123">
        <v>33072.125775334658</v>
      </c>
      <c r="P182" s="121">
        <v>42560.826543315234</v>
      </c>
      <c r="Q182" s="120">
        <v>22120.965039755254</v>
      </c>
      <c r="R182" s="319">
        <v>55193.090815089912</v>
      </c>
      <c r="S182" s="315">
        <v>64681.791583070488</v>
      </c>
      <c r="U182" s="7" t="s">
        <v>5346</v>
      </c>
    </row>
    <row r="183" spans="1:21" ht="16.5" thickBot="1">
      <c r="A183" s="1311" t="s">
        <v>4588</v>
      </c>
      <c r="B183" s="1315">
        <f t="shared" si="9"/>
        <v>150</v>
      </c>
      <c r="C183" s="1315" t="s">
        <v>3</v>
      </c>
      <c r="D183" s="1315">
        <f t="shared" si="10"/>
        <v>360</v>
      </c>
      <c r="E183" s="1315" t="s">
        <v>3</v>
      </c>
      <c r="F183" s="1313">
        <f t="shared" si="11"/>
        <v>1650</v>
      </c>
      <c r="G183" s="1315" t="s">
        <v>3</v>
      </c>
      <c r="H183" s="1312">
        <v>2</v>
      </c>
      <c r="I183" s="1314" t="s">
        <v>45</v>
      </c>
      <c r="J183" s="184">
        <v>150</v>
      </c>
      <c r="K183" s="75">
        <v>360</v>
      </c>
      <c r="L183" s="75">
        <v>1650</v>
      </c>
      <c r="M183" s="202">
        <v>25.676850511335015</v>
      </c>
      <c r="N183" s="87">
        <v>1500.298075895892</v>
      </c>
      <c r="O183" s="123">
        <v>33811.988968174279</v>
      </c>
      <c r="P183" s="121">
        <v>43526.465989533121</v>
      </c>
      <c r="Q183" s="120">
        <v>22905.143959041456</v>
      </c>
      <c r="R183" s="319">
        <v>56717.132927215731</v>
      </c>
      <c r="S183" s="315">
        <v>66431.60994857458</v>
      </c>
      <c r="U183" s="7" t="s">
        <v>5347</v>
      </c>
    </row>
    <row r="184" spans="1:21" ht="16.5" thickBot="1">
      <c r="A184" s="1311" t="s">
        <v>4588</v>
      </c>
      <c r="B184" s="1315">
        <f t="shared" si="9"/>
        <v>150</v>
      </c>
      <c r="C184" s="1315" t="s">
        <v>3</v>
      </c>
      <c r="D184" s="1315">
        <f t="shared" si="10"/>
        <v>360</v>
      </c>
      <c r="E184" s="1315" t="s">
        <v>3</v>
      </c>
      <c r="F184" s="1313">
        <f t="shared" si="11"/>
        <v>1700</v>
      </c>
      <c r="G184" s="1315" t="s">
        <v>3</v>
      </c>
      <c r="H184" s="1312">
        <v>2</v>
      </c>
      <c r="I184" s="1314" t="s">
        <v>45</v>
      </c>
      <c r="J184" s="184">
        <v>150</v>
      </c>
      <c r="K184" s="75">
        <v>360</v>
      </c>
      <c r="L184" s="75">
        <v>1700</v>
      </c>
      <c r="M184" s="202">
        <v>26.357083597228339</v>
      </c>
      <c r="N184" s="87">
        <v>1558.0018480457341</v>
      </c>
      <c r="O184" s="123">
        <v>34551.852161013907</v>
      </c>
      <c r="P184" s="121">
        <v>44492.105435751007</v>
      </c>
      <c r="Q184" s="120">
        <v>23458.741100544379</v>
      </c>
      <c r="R184" s="319">
        <v>58010.593261558286</v>
      </c>
      <c r="S184" s="315">
        <v>67950.846536295387</v>
      </c>
      <c r="U184" s="7" t="s">
        <v>5348</v>
      </c>
    </row>
    <row r="185" spans="1:21" ht="16.5" thickBot="1">
      <c r="A185" s="1311" t="s">
        <v>4588</v>
      </c>
      <c r="B185" s="1315">
        <f t="shared" si="9"/>
        <v>150</v>
      </c>
      <c r="C185" s="1315" t="s">
        <v>3</v>
      </c>
      <c r="D185" s="1315">
        <f t="shared" si="10"/>
        <v>360</v>
      </c>
      <c r="E185" s="1315" t="s">
        <v>3</v>
      </c>
      <c r="F185" s="1313">
        <f t="shared" si="11"/>
        <v>1750</v>
      </c>
      <c r="G185" s="1315" t="s">
        <v>3</v>
      </c>
      <c r="H185" s="1312">
        <v>2</v>
      </c>
      <c r="I185" s="1314" t="s">
        <v>45</v>
      </c>
      <c r="J185" s="184">
        <v>150</v>
      </c>
      <c r="K185" s="75">
        <v>360</v>
      </c>
      <c r="L185" s="75">
        <v>1750</v>
      </c>
      <c r="M185" s="202">
        <v>27.037316683121659</v>
      </c>
      <c r="N185" s="87">
        <v>1615.7056201955759</v>
      </c>
      <c r="O185" s="123">
        <v>35291.715353853528</v>
      </c>
      <c r="P185" s="121">
        <v>45457.744881968894</v>
      </c>
      <c r="Q185" s="120">
        <v>24242.920019830581</v>
      </c>
      <c r="R185" s="319">
        <v>59534.635373684112</v>
      </c>
      <c r="S185" s="315">
        <v>69700.664901799479</v>
      </c>
      <c r="U185" s="7" t="s">
        <v>5349</v>
      </c>
    </row>
    <row r="186" spans="1:21" ht="16.5" thickBot="1">
      <c r="A186" s="1311" t="s">
        <v>4588</v>
      </c>
      <c r="B186" s="1315">
        <f t="shared" si="9"/>
        <v>150</v>
      </c>
      <c r="C186" s="1315" t="s">
        <v>3</v>
      </c>
      <c r="D186" s="1315">
        <f t="shared" si="10"/>
        <v>360</v>
      </c>
      <c r="E186" s="1315" t="s">
        <v>3</v>
      </c>
      <c r="F186" s="1313">
        <f t="shared" si="11"/>
        <v>1800</v>
      </c>
      <c r="G186" s="1315" t="s">
        <v>3</v>
      </c>
      <c r="H186" s="1312">
        <v>2</v>
      </c>
      <c r="I186" s="1314" t="s">
        <v>45</v>
      </c>
      <c r="J186" s="184">
        <v>150</v>
      </c>
      <c r="K186" s="75">
        <v>360</v>
      </c>
      <c r="L186" s="75">
        <v>1800</v>
      </c>
      <c r="M186" s="202">
        <v>27.717549769014983</v>
      </c>
      <c r="N186" s="87">
        <v>1673.4093923454179</v>
      </c>
      <c r="O186" s="123">
        <v>36031.578546693156</v>
      </c>
      <c r="P186" s="121">
        <v>46423.384328186781</v>
      </c>
      <c r="Q186" s="120">
        <v>24796.517161333504</v>
      </c>
      <c r="R186" s="319">
        <v>60828.09570802666</v>
      </c>
      <c r="S186" s="315">
        <v>71219.901489520285</v>
      </c>
      <c r="U186" s="7" t="s">
        <v>5350</v>
      </c>
    </row>
    <row r="187" spans="1:21" ht="16.5" thickBot="1">
      <c r="A187" s="1311" t="s">
        <v>4588</v>
      </c>
      <c r="B187" s="1315">
        <f t="shared" si="9"/>
        <v>150</v>
      </c>
      <c r="C187" s="1315" t="s">
        <v>3</v>
      </c>
      <c r="D187" s="1315">
        <f t="shared" si="10"/>
        <v>360</v>
      </c>
      <c r="E187" s="1315" t="s">
        <v>3</v>
      </c>
      <c r="F187" s="1313">
        <f t="shared" si="11"/>
        <v>1850</v>
      </c>
      <c r="G187" s="1315" t="s">
        <v>3</v>
      </c>
      <c r="H187" s="1312">
        <v>2</v>
      </c>
      <c r="I187" s="1314" t="s">
        <v>45</v>
      </c>
      <c r="J187" s="184">
        <v>150</v>
      </c>
      <c r="K187" s="75">
        <v>360</v>
      </c>
      <c r="L187" s="75">
        <v>1850</v>
      </c>
      <c r="M187" s="202">
        <v>28.397782854908304</v>
      </c>
      <c r="N187" s="87">
        <v>1731.1131644952598</v>
      </c>
      <c r="O187" s="123">
        <v>36771.441739532784</v>
      </c>
      <c r="P187" s="121">
        <v>47389.023774404675</v>
      </c>
      <c r="Q187" s="120">
        <v>25580.69622101307</v>
      </c>
      <c r="R187" s="319">
        <v>62352.13796054585</v>
      </c>
      <c r="S187" s="315">
        <v>72969.719995417749</v>
      </c>
      <c r="U187" s="7" t="s">
        <v>5351</v>
      </c>
    </row>
    <row r="188" spans="1:21" ht="16.5" thickBot="1">
      <c r="A188" s="1311" t="s">
        <v>4588</v>
      </c>
      <c r="B188" s="1315">
        <f t="shared" si="9"/>
        <v>150</v>
      </c>
      <c r="C188" s="1315" t="s">
        <v>3</v>
      </c>
      <c r="D188" s="1315">
        <f t="shared" si="10"/>
        <v>360</v>
      </c>
      <c r="E188" s="1315" t="s">
        <v>3</v>
      </c>
      <c r="F188" s="1313">
        <f t="shared" si="11"/>
        <v>1900</v>
      </c>
      <c r="G188" s="1315" t="s">
        <v>3</v>
      </c>
      <c r="H188" s="1312">
        <v>2</v>
      </c>
      <c r="I188" s="1314" t="s">
        <v>45</v>
      </c>
      <c r="J188" s="184">
        <v>150</v>
      </c>
      <c r="K188" s="75">
        <v>360</v>
      </c>
      <c r="L188" s="75">
        <v>1900</v>
      </c>
      <c r="M188" s="202">
        <v>29.078015940801627</v>
      </c>
      <c r="N188" s="87">
        <v>1788.8169366451018</v>
      </c>
      <c r="O188" s="123">
        <v>37511.304932372404</v>
      </c>
      <c r="P188" s="121">
        <v>48354.663220622562</v>
      </c>
      <c r="Q188" s="120">
        <v>26134.293362515993</v>
      </c>
      <c r="R188" s="319">
        <v>63645.598294888398</v>
      </c>
      <c r="S188" s="315">
        <v>74488.956583138555</v>
      </c>
      <c r="U188" s="7" t="s">
        <v>5352</v>
      </c>
    </row>
    <row r="189" spans="1:21" ht="16.5" thickBot="1">
      <c r="A189" s="1311" t="s">
        <v>4588</v>
      </c>
      <c r="B189" s="1315">
        <f t="shared" si="9"/>
        <v>150</v>
      </c>
      <c r="C189" s="1315" t="s">
        <v>3</v>
      </c>
      <c r="D189" s="1315">
        <f t="shared" si="10"/>
        <v>360</v>
      </c>
      <c r="E189" s="1315" t="s">
        <v>3</v>
      </c>
      <c r="F189" s="1313">
        <f t="shared" si="11"/>
        <v>1950</v>
      </c>
      <c r="G189" s="1315" t="s">
        <v>3</v>
      </c>
      <c r="H189" s="1312">
        <v>2</v>
      </c>
      <c r="I189" s="1314" t="s">
        <v>45</v>
      </c>
      <c r="J189" s="184">
        <v>150</v>
      </c>
      <c r="K189" s="75">
        <v>360</v>
      </c>
      <c r="L189" s="75">
        <v>1950</v>
      </c>
      <c r="M189" s="202">
        <v>29.758249026694948</v>
      </c>
      <c r="N189" s="87">
        <v>1846.5207087949439</v>
      </c>
      <c r="O189" s="123">
        <v>38251.168125212032</v>
      </c>
      <c r="P189" s="121">
        <v>49320.302666840449</v>
      </c>
      <c r="Q189" s="120">
        <v>26687.890504018917</v>
      </c>
      <c r="R189" s="319">
        <v>64939.058629230945</v>
      </c>
      <c r="S189" s="315">
        <v>76008.193170859362</v>
      </c>
      <c r="U189" s="7" t="s">
        <v>5353</v>
      </c>
    </row>
    <row r="190" spans="1:21" ht="16.5" thickBot="1">
      <c r="A190" s="1311" t="s">
        <v>4588</v>
      </c>
      <c r="B190" s="1315">
        <f t="shared" si="9"/>
        <v>150</v>
      </c>
      <c r="C190" s="1315" t="s">
        <v>3</v>
      </c>
      <c r="D190" s="1315">
        <f t="shared" si="10"/>
        <v>360</v>
      </c>
      <c r="E190" s="1315" t="s">
        <v>3</v>
      </c>
      <c r="F190" s="1313">
        <f t="shared" si="11"/>
        <v>2000</v>
      </c>
      <c r="G190" s="1315" t="s">
        <v>3</v>
      </c>
      <c r="H190" s="1312">
        <v>2</v>
      </c>
      <c r="I190" s="1314" t="s">
        <v>45</v>
      </c>
      <c r="J190" s="184">
        <v>150</v>
      </c>
      <c r="K190" s="75">
        <v>360</v>
      </c>
      <c r="L190" s="75">
        <v>2000</v>
      </c>
      <c r="M190" s="202">
        <v>30.578946912588268</v>
      </c>
      <c r="N190" s="87">
        <v>1904.2244809447857</v>
      </c>
      <c r="O190" s="123">
        <v>39457.064136609792</v>
      </c>
      <c r="P190" s="121">
        <v>50453.358389972338</v>
      </c>
      <c r="Q190" s="120">
        <v>27472.069423305118</v>
      </c>
      <c r="R190" s="319">
        <v>66929.133559914917</v>
      </c>
      <c r="S190" s="315">
        <v>77925.427813277463</v>
      </c>
      <c r="U190" s="7" t="s">
        <v>5354</v>
      </c>
    </row>
    <row r="191" spans="1:21" ht="16.5" thickBot="1">
      <c r="A191" s="1311" t="s">
        <v>4588</v>
      </c>
      <c r="B191" s="1315">
        <f t="shared" si="9"/>
        <v>150</v>
      </c>
      <c r="C191" s="1315" t="s">
        <v>3</v>
      </c>
      <c r="D191" s="1315">
        <f t="shared" si="10"/>
        <v>360</v>
      </c>
      <c r="E191" s="1315" t="s">
        <v>3</v>
      </c>
      <c r="F191" s="1313">
        <f t="shared" si="11"/>
        <v>2050</v>
      </c>
      <c r="G191" s="1315" t="s">
        <v>3</v>
      </c>
      <c r="H191" s="1312">
        <v>2</v>
      </c>
      <c r="I191" s="1314" t="s">
        <v>45</v>
      </c>
      <c r="J191" s="184">
        <v>150</v>
      </c>
      <c r="K191" s="75">
        <v>360</v>
      </c>
      <c r="L191" s="75">
        <v>2050</v>
      </c>
      <c r="M191" s="202">
        <v>31.259179998481596</v>
      </c>
      <c r="N191" s="87">
        <v>1961.9282530946277</v>
      </c>
      <c r="O191" s="123">
        <v>40196.92732944942</v>
      </c>
      <c r="P191" s="121">
        <v>51418.997836190225</v>
      </c>
      <c r="Q191" s="120">
        <v>28025.666564808042</v>
      </c>
      <c r="R191" s="319">
        <v>68222.593894257458</v>
      </c>
      <c r="S191" s="315">
        <v>79444.66440099827</v>
      </c>
      <c r="U191" s="7" t="s">
        <v>5355</v>
      </c>
    </row>
    <row r="192" spans="1:21" ht="16.5" thickBot="1">
      <c r="A192" s="1311" t="s">
        <v>4588</v>
      </c>
      <c r="B192" s="1312">
        <f t="shared" si="9"/>
        <v>150</v>
      </c>
      <c r="C192" s="1312" t="s">
        <v>3</v>
      </c>
      <c r="D192" s="1312">
        <f t="shared" si="10"/>
        <v>360</v>
      </c>
      <c r="E192" s="1312" t="s">
        <v>3</v>
      </c>
      <c r="F192" s="1313">
        <f t="shared" si="11"/>
        <v>2100</v>
      </c>
      <c r="G192" s="1312" t="s">
        <v>3</v>
      </c>
      <c r="H192" s="1312">
        <v>2</v>
      </c>
      <c r="I192" s="1314" t="s">
        <v>45</v>
      </c>
      <c r="J192" s="184">
        <v>150</v>
      </c>
      <c r="K192" s="75">
        <v>360</v>
      </c>
      <c r="L192" s="75">
        <v>2100</v>
      </c>
      <c r="M192" s="202">
        <v>31.93941308437492</v>
      </c>
      <c r="N192" s="87">
        <v>2019.6320252444698</v>
      </c>
      <c r="O192" s="123">
        <v>40936.790522289048</v>
      </c>
      <c r="P192" s="121">
        <v>52384.637282408112</v>
      </c>
      <c r="Q192" s="120">
        <v>28809.845484094247</v>
      </c>
      <c r="R192" s="319">
        <v>69746.636006383298</v>
      </c>
      <c r="S192" s="315">
        <v>81194.482766502362</v>
      </c>
      <c r="U192" s="7" t="s">
        <v>5356</v>
      </c>
    </row>
    <row r="193" spans="1:21" ht="16.5" thickBot="1">
      <c r="A193" s="1311" t="s">
        <v>4588</v>
      </c>
      <c r="B193" s="1315">
        <f t="shared" si="9"/>
        <v>150</v>
      </c>
      <c r="C193" s="1315" t="s">
        <v>3</v>
      </c>
      <c r="D193" s="1315">
        <f t="shared" si="10"/>
        <v>360</v>
      </c>
      <c r="E193" s="1315" t="s">
        <v>3</v>
      </c>
      <c r="F193" s="1313">
        <f t="shared" si="11"/>
        <v>2150</v>
      </c>
      <c r="G193" s="1315" t="s">
        <v>3</v>
      </c>
      <c r="H193" s="1312">
        <v>2</v>
      </c>
      <c r="I193" s="1314" t="s">
        <v>45</v>
      </c>
      <c r="J193" s="184">
        <v>150</v>
      </c>
      <c r="K193" s="75">
        <v>360</v>
      </c>
      <c r="L193" s="75">
        <v>2150</v>
      </c>
      <c r="M193" s="202">
        <v>32.61964617026824</v>
      </c>
      <c r="N193" s="87">
        <v>2077.3357973943121</v>
      </c>
      <c r="O193" s="123">
        <v>41676.653715128676</v>
      </c>
      <c r="P193" s="121">
        <v>53350.276728625999</v>
      </c>
      <c r="Q193" s="120">
        <v>29363.442625597167</v>
      </c>
      <c r="R193" s="319">
        <v>71040.096340725839</v>
      </c>
      <c r="S193" s="315">
        <v>82713.719354223169</v>
      </c>
      <c r="U193" s="7" t="s">
        <v>5357</v>
      </c>
    </row>
    <row r="194" spans="1:21" ht="16.5" thickBot="1">
      <c r="A194" s="1311" t="s">
        <v>4588</v>
      </c>
      <c r="B194" s="1315">
        <f t="shared" si="9"/>
        <v>150</v>
      </c>
      <c r="C194" s="1315" t="s">
        <v>3</v>
      </c>
      <c r="D194" s="1315">
        <f t="shared" si="10"/>
        <v>360</v>
      </c>
      <c r="E194" s="1315" t="s">
        <v>3</v>
      </c>
      <c r="F194" s="1313">
        <f t="shared" si="11"/>
        <v>2200</v>
      </c>
      <c r="G194" s="1315" t="s">
        <v>3</v>
      </c>
      <c r="H194" s="1312">
        <v>2</v>
      </c>
      <c r="I194" s="1314" t="s">
        <v>45</v>
      </c>
      <c r="J194" s="184">
        <v>150</v>
      </c>
      <c r="K194" s="75">
        <v>360</v>
      </c>
      <c r="L194" s="75">
        <v>2200</v>
      </c>
      <c r="M194" s="202">
        <v>33.29987925616156</v>
      </c>
      <c r="N194" s="87">
        <v>2135.0395695441539</v>
      </c>
      <c r="O194" s="123">
        <v>42416.516907968296</v>
      </c>
      <c r="P194" s="121">
        <v>54315.916174843886</v>
      </c>
      <c r="Q194" s="120">
        <v>30147.621544883372</v>
      </c>
      <c r="R194" s="319">
        <v>72564.138452851665</v>
      </c>
      <c r="S194" s="315">
        <v>84463.537719727261</v>
      </c>
      <c r="U194" s="7" t="s">
        <v>5358</v>
      </c>
    </row>
    <row r="195" spans="1:21" ht="16.5" thickBot="1">
      <c r="A195" s="1311" t="s">
        <v>4588</v>
      </c>
      <c r="B195" s="1315">
        <f t="shared" si="9"/>
        <v>150</v>
      </c>
      <c r="C195" s="1315" t="s">
        <v>3</v>
      </c>
      <c r="D195" s="1315">
        <f t="shared" si="10"/>
        <v>360</v>
      </c>
      <c r="E195" s="1315" t="s">
        <v>3</v>
      </c>
      <c r="F195" s="1313">
        <f t="shared" si="11"/>
        <v>2250</v>
      </c>
      <c r="G195" s="1315" t="s">
        <v>3</v>
      </c>
      <c r="H195" s="1312">
        <v>2</v>
      </c>
      <c r="I195" s="1314" t="s">
        <v>45</v>
      </c>
      <c r="J195" s="184">
        <v>150</v>
      </c>
      <c r="K195" s="75">
        <v>360</v>
      </c>
      <c r="L195" s="75">
        <v>2250</v>
      </c>
      <c r="M195" s="202">
        <v>33.980112342054888</v>
      </c>
      <c r="N195" s="87">
        <v>2192.7433416939957</v>
      </c>
      <c r="O195" s="123">
        <v>43156.380100807917</v>
      </c>
      <c r="P195" s="121">
        <v>55281.555621061772</v>
      </c>
      <c r="Q195" s="120">
        <v>30701.218686386295</v>
      </c>
      <c r="R195" s="319">
        <v>73857.598787194205</v>
      </c>
      <c r="S195" s="315">
        <v>85982.774307448068</v>
      </c>
      <c r="U195" s="7" t="s">
        <v>5359</v>
      </c>
    </row>
    <row r="196" spans="1:21" ht="16.5" thickBot="1">
      <c r="A196" s="1311" t="s">
        <v>4588</v>
      </c>
      <c r="B196" s="1315">
        <f t="shared" si="9"/>
        <v>150</v>
      </c>
      <c r="C196" s="1315" t="s">
        <v>3</v>
      </c>
      <c r="D196" s="1315">
        <f t="shared" si="10"/>
        <v>360</v>
      </c>
      <c r="E196" s="1315" t="s">
        <v>3</v>
      </c>
      <c r="F196" s="1313">
        <f t="shared" si="11"/>
        <v>2300</v>
      </c>
      <c r="G196" s="1315" t="s">
        <v>3</v>
      </c>
      <c r="H196" s="1312">
        <v>2</v>
      </c>
      <c r="I196" s="1314" t="s">
        <v>45</v>
      </c>
      <c r="J196" s="184">
        <v>150</v>
      </c>
      <c r="K196" s="75">
        <v>360</v>
      </c>
      <c r="L196" s="75">
        <v>2300</v>
      </c>
      <c r="M196" s="202">
        <v>34.660345427948208</v>
      </c>
      <c r="N196" s="87">
        <v>2250.447113843838</v>
      </c>
      <c r="O196" s="123">
        <v>43896.243293647545</v>
      </c>
      <c r="P196" s="121">
        <v>56247.195067279667</v>
      </c>
      <c r="Q196" s="120">
        <v>31254.815827889219</v>
      </c>
      <c r="R196" s="319">
        <v>75151.05912153676</v>
      </c>
      <c r="S196" s="315">
        <v>87502.010895168889</v>
      </c>
      <c r="U196" s="7" t="s">
        <v>5360</v>
      </c>
    </row>
    <row r="197" spans="1:21" ht="16.5" thickBot="1">
      <c r="A197" s="1311" t="s">
        <v>4588</v>
      </c>
      <c r="B197" s="1315">
        <f t="shared" si="9"/>
        <v>150</v>
      </c>
      <c r="C197" s="1315" t="s">
        <v>3</v>
      </c>
      <c r="D197" s="1315">
        <f t="shared" si="10"/>
        <v>360</v>
      </c>
      <c r="E197" s="1315" t="s">
        <v>3</v>
      </c>
      <c r="F197" s="1313">
        <f t="shared" si="11"/>
        <v>2350</v>
      </c>
      <c r="G197" s="1315" t="s">
        <v>3</v>
      </c>
      <c r="H197" s="1312">
        <v>2</v>
      </c>
      <c r="I197" s="1314" t="s">
        <v>45</v>
      </c>
      <c r="J197" s="184">
        <v>150</v>
      </c>
      <c r="K197" s="75">
        <v>360</v>
      </c>
      <c r="L197" s="75">
        <v>2350</v>
      </c>
      <c r="M197" s="202">
        <v>35.340578513841528</v>
      </c>
      <c r="N197" s="87">
        <v>2308.1508859936798</v>
      </c>
      <c r="O197" s="123">
        <v>44636.106486487035</v>
      </c>
      <c r="P197" s="121">
        <v>57212.834513497553</v>
      </c>
      <c r="Q197" s="120">
        <v>32038.99474717542</v>
      </c>
      <c r="R197" s="319">
        <v>76675.101233662455</v>
      </c>
      <c r="S197" s="315">
        <v>89251.829260672966</v>
      </c>
      <c r="U197" s="7" t="s">
        <v>5361</v>
      </c>
    </row>
    <row r="198" spans="1:21" ht="16.5" thickBot="1">
      <c r="A198" s="1311" t="s">
        <v>4588</v>
      </c>
      <c r="B198" s="1315">
        <f t="shared" si="9"/>
        <v>150</v>
      </c>
      <c r="C198" s="1315" t="s">
        <v>3</v>
      </c>
      <c r="D198" s="1315">
        <f t="shared" si="10"/>
        <v>360</v>
      </c>
      <c r="E198" s="1315" t="s">
        <v>3</v>
      </c>
      <c r="F198" s="1313">
        <f t="shared" si="11"/>
        <v>2400</v>
      </c>
      <c r="G198" s="1315" t="s">
        <v>3</v>
      </c>
      <c r="H198" s="1312">
        <v>2</v>
      </c>
      <c r="I198" s="1314" t="s">
        <v>45</v>
      </c>
      <c r="J198" s="184">
        <v>150</v>
      </c>
      <c r="K198" s="75">
        <v>360</v>
      </c>
      <c r="L198" s="75">
        <v>2400</v>
      </c>
      <c r="M198" s="202">
        <v>36.020811599734849</v>
      </c>
      <c r="N198" s="87">
        <v>2365.8546581435216</v>
      </c>
      <c r="O198" s="123">
        <v>45375.969679326801</v>
      </c>
      <c r="P198" s="121">
        <v>58178.474100108797</v>
      </c>
      <c r="Q198" s="120">
        <v>32592.591888678344</v>
      </c>
      <c r="R198" s="319">
        <v>77968.561568005141</v>
      </c>
      <c r="S198" s="315">
        <v>90771.065988787144</v>
      </c>
      <c r="U198" s="7" t="s">
        <v>5362</v>
      </c>
    </row>
    <row r="199" spans="1:21" ht="16.5" thickBot="1">
      <c r="A199" s="1311" t="s">
        <v>4588</v>
      </c>
      <c r="B199" s="1315">
        <f t="shared" si="9"/>
        <v>150</v>
      </c>
      <c r="C199" s="1315" t="s">
        <v>3</v>
      </c>
      <c r="D199" s="1315">
        <f t="shared" si="10"/>
        <v>360</v>
      </c>
      <c r="E199" s="1315" t="s">
        <v>3</v>
      </c>
      <c r="F199" s="1313">
        <f t="shared" si="11"/>
        <v>2450</v>
      </c>
      <c r="G199" s="1315" t="s">
        <v>3</v>
      </c>
      <c r="H199" s="1312">
        <v>2</v>
      </c>
      <c r="I199" s="1314" t="s">
        <v>45</v>
      </c>
      <c r="J199" s="184">
        <v>150</v>
      </c>
      <c r="K199" s="75">
        <v>360</v>
      </c>
      <c r="L199" s="75">
        <v>2450</v>
      </c>
      <c r="M199" s="202">
        <v>36.701044685628176</v>
      </c>
      <c r="N199" s="87">
        <v>2423.5584302933639</v>
      </c>
      <c r="O199" s="123">
        <v>46115.832872166415</v>
      </c>
      <c r="P199" s="121">
        <v>59144.113546326684</v>
      </c>
      <c r="Q199" s="120">
        <v>33376.770807964545</v>
      </c>
      <c r="R199" s="319">
        <v>79492.603680130967</v>
      </c>
      <c r="S199" s="315">
        <v>92520.884354291222</v>
      </c>
      <c r="U199" s="7" t="s">
        <v>5363</v>
      </c>
    </row>
    <row r="200" spans="1:21" ht="16.5" thickBot="1">
      <c r="A200" s="1311" t="s">
        <v>4588</v>
      </c>
      <c r="B200" s="1315">
        <f t="shared" si="9"/>
        <v>150</v>
      </c>
      <c r="C200" s="1315" t="s">
        <v>3</v>
      </c>
      <c r="D200" s="1315">
        <f t="shared" si="10"/>
        <v>360</v>
      </c>
      <c r="E200" s="1315" t="s">
        <v>3</v>
      </c>
      <c r="F200" s="1313">
        <f t="shared" si="11"/>
        <v>2500</v>
      </c>
      <c r="G200" s="1315" t="s">
        <v>3</v>
      </c>
      <c r="H200" s="1312">
        <v>2</v>
      </c>
      <c r="I200" s="1314" t="s">
        <v>45</v>
      </c>
      <c r="J200" s="184">
        <v>150</v>
      </c>
      <c r="K200" s="75">
        <v>360</v>
      </c>
      <c r="L200" s="75">
        <v>2500</v>
      </c>
      <c r="M200" s="202">
        <v>37.907397371521498</v>
      </c>
      <c r="N200" s="87">
        <v>2481.2622024432058</v>
      </c>
      <c r="O200" s="123">
        <v>47778.53069814459</v>
      </c>
      <c r="P200" s="121">
        <v>61368.706884678431</v>
      </c>
      <c r="Q200" s="120">
        <v>33930.367949467472</v>
      </c>
      <c r="R200" s="319">
        <v>81708.898647612063</v>
      </c>
      <c r="S200" s="315">
        <v>95299.074834145897</v>
      </c>
      <c r="U200" s="7" t="s">
        <v>5364</v>
      </c>
    </row>
    <row r="201" spans="1:21" ht="16.5" thickBot="1">
      <c r="A201" s="1311" t="s">
        <v>4588</v>
      </c>
      <c r="B201" s="1315">
        <f t="shared" si="9"/>
        <v>150</v>
      </c>
      <c r="C201" s="1315" t="s">
        <v>3</v>
      </c>
      <c r="D201" s="1315">
        <f t="shared" si="10"/>
        <v>360</v>
      </c>
      <c r="E201" s="1315" t="s">
        <v>3</v>
      </c>
      <c r="F201" s="1313">
        <f t="shared" si="11"/>
        <v>2550</v>
      </c>
      <c r="G201" s="1315" t="s">
        <v>3</v>
      </c>
      <c r="H201" s="1312">
        <v>2</v>
      </c>
      <c r="I201" s="1314" t="s">
        <v>45</v>
      </c>
      <c r="J201" s="184">
        <v>150</v>
      </c>
      <c r="K201" s="75">
        <v>360</v>
      </c>
      <c r="L201" s="75">
        <v>2550</v>
      </c>
      <c r="M201" s="202">
        <v>38.587630457414818</v>
      </c>
      <c r="N201" s="87">
        <v>2538.965974593048</v>
      </c>
      <c r="O201" s="123">
        <v>48881.591238984984</v>
      </c>
      <c r="P201" s="121">
        <v>62348.385667146315</v>
      </c>
      <c r="Q201" s="120">
        <v>34714.547009147034</v>
      </c>
      <c r="R201" s="319">
        <v>83596.138248132018</v>
      </c>
      <c r="S201" s="315">
        <v>97062.932676293349</v>
      </c>
      <c r="U201" s="7" t="s">
        <v>5365</v>
      </c>
    </row>
    <row r="202" spans="1:21" ht="16.5" thickBot="1">
      <c r="A202" s="1311" t="s">
        <v>4588</v>
      </c>
      <c r="B202" s="1312">
        <f t="shared" si="9"/>
        <v>150</v>
      </c>
      <c r="C202" s="1312" t="s">
        <v>3</v>
      </c>
      <c r="D202" s="1312">
        <f t="shared" si="10"/>
        <v>360</v>
      </c>
      <c r="E202" s="1312" t="s">
        <v>3</v>
      </c>
      <c r="F202" s="1313">
        <f t="shared" si="11"/>
        <v>2600</v>
      </c>
      <c r="G202" s="1312" t="s">
        <v>3</v>
      </c>
      <c r="H202" s="1312">
        <v>2</v>
      </c>
      <c r="I202" s="1314" t="s">
        <v>45</v>
      </c>
      <c r="J202" s="184">
        <v>150</v>
      </c>
      <c r="K202" s="75">
        <v>360</v>
      </c>
      <c r="L202" s="75">
        <v>2600</v>
      </c>
      <c r="M202" s="202">
        <v>39.267863543308138</v>
      </c>
      <c r="N202" s="87">
        <v>2596.6697467428899</v>
      </c>
      <c r="O202" s="123">
        <v>49621.454431824612</v>
      </c>
      <c r="P202" s="121">
        <v>63314.025113364201</v>
      </c>
      <c r="Q202" s="120">
        <v>35268.144150649961</v>
      </c>
      <c r="R202" s="319">
        <v>84889.598582474573</v>
      </c>
      <c r="S202" s="315">
        <v>98582.16926401417</v>
      </c>
      <c r="U202" s="7" t="s">
        <v>5366</v>
      </c>
    </row>
    <row r="203" spans="1:21" ht="16.5" thickBot="1">
      <c r="A203" s="1311" t="s">
        <v>4588</v>
      </c>
      <c r="B203" s="1315">
        <f t="shared" si="9"/>
        <v>150</v>
      </c>
      <c r="C203" s="1315" t="s">
        <v>3</v>
      </c>
      <c r="D203" s="1315">
        <f t="shared" si="10"/>
        <v>360</v>
      </c>
      <c r="E203" s="1315" t="s">
        <v>3</v>
      </c>
      <c r="F203" s="1313">
        <f t="shared" si="11"/>
        <v>2650</v>
      </c>
      <c r="G203" s="1315" t="s">
        <v>3</v>
      </c>
      <c r="H203" s="1312">
        <v>2</v>
      </c>
      <c r="I203" s="1314" t="s">
        <v>45</v>
      </c>
      <c r="J203" s="184">
        <v>150</v>
      </c>
      <c r="K203" s="75">
        <v>360</v>
      </c>
      <c r="L203" s="75">
        <v>2650</v>
      </c>
      <c r="M203" s="202">
        <v>39.948096629201459</v>
      </c>
      <c r="N203" s="87">
        <v>2654.3735188927317</v>
      </c>
      <c r="O203" s="123">
        <v>50361.317624664232</v>
      </c>
      <c r="P203" s="121">
        <v>64279.664559582096</v>
      </c>
      <c r="Q203" s="120">
        <v>36052.323069936159</v>
      </c>
      <c r="R203" s="319">
        <v>86413.640694600384</v>
      </c>
      <c r="S203" s="315">
        <v>100331.98762951826</v>
      </c>
      <c r="U203" s="7" t="s">
        <v>5367</v>
      </c>
    </row>
    <row r="204" spans="1:21" ht="16.5" thickBot="1">
      <c r="A204" s="1311" t="s">
        <v>4588</v>
      </c>
      <c r="B204" s="1315">
        <f t="shared" si="9"/>
        <v>150</v>
      </c>
      <c r="C204" s="1315" t="s">
        <v>3</v>
      </c>
      <c r="D204" s="1315">
        <f t="shared" si="10"/>
        <v>360</v>
      </c>
      <c r="E204" s="1315" t="s">
        <v>3</v>
      </c>
      <c r="F204" s="1313">
        <f t="shared" si="11"/>
        <v>2700</v>
      </c>
      <c r="G204" s="1315" t="s">
        <v>3</v>
      </c>
      <c r="H204" s="1312">
        <v>2</v>
      </c>
      <c r="I204" s="1314" t="s">
        <v>45</v>
      </c>
      <c r="J204" s="184">
        <v>150</v>
      </c>
      <c r="K204" s="75">
        <v>360</v>
      </c>
      <c r="L204" s="75">
        <v>2700</v>
      </c>
      <c r="M204" s="202">
        <v>40.628329715094786</v>
      </c>
      <c r="N204" s="87">
        <v>2712.077291042574</v>
      </c>
      <c r="O204" s="123">
        <v>51101.18081750386</v>
      </c>
      <c r="P204" s="121">
        <v>65245.304005799982</v>
      </c>
      <c r="Q204" s="120">
        <v>36605.920211439086</v>
      </c>
      <c r="R204" s="319">
        <v>87707.10102894294</v>
      </c>
      <c r="S204" s="315">
        <v>101851.22421723907</v>
      </c>
      <c r="U204" s="7" t="s">
        <v>5368</v>
      </c>
    </row>
    <row r="205" spans="1:21" ht="16.5" thickBot="1">
      <c r="A205" s="1311" t="s">
        <v>4588</v>
      </c>
      <c r="B205" s="1315">
        <f t="shared" si="9"/>
        <v>150</v>
      </c>
      <c r="C205" s="1315" t="s">
        <v>3</v>
      </c>
      <c r="D205" s="1315">
        <f t="shared" si="10"/>
        <v>360</v>
      </c>
      <c r="E205" s="1315" t="s">
        <v>3</v>
      </c>
      <c r="F205" s="1313">
        <f t="shared" si="11"/>
        <v>2750</v>
      </c>
      <c r="G205" s="1315" t="s">
        <v>3</v>
      </c>
      <c r="H205" s="1312">
        <v>2</v>
      </c>
      <c r="I205" s="1314" t="s">
        <v>45</v>
      </c>
      <c r="J205" s="184">
        <v>150</v>
      </c>
      <c r="K205" s="75">
        <v>360</v>
      </c>
      <c r="L205" s="75">
        <v>2750</v>
      </c>
      <c r="M205" s="202">
        <v>41.308562800988099</v>
      </c>
      <c r="N205" s="87">
        <v>2769.7810631924158</v>
      </c>
      <c r="O205" s="123">
        <v>51841.044010343488</v>
      </c>
      <c r="P205" s="121">
        <v>66210.943452017862</v>
      </c>
      <c r="Q205" s="120">
        <v>37159.517352942006</v>
      </c>
      <c r="R205" s="319">
        <v>89000.561363285495</v>
      </c>
      <c r="S205" s="315">
        <v>103370.46080495988</v>
      </c>
      <c r="U205" s="7" t="s">
        <v>5369</v>
      </c>
    </row>
    <row r="206" spans="1:21" ht="16.5" thickBot="1">
      <c r="A206" s="1311" t="s">
        <v>4588</v>
      </c>
      <c r="B206" s="1315">
        <f t="shared" si="9"/>
        <v>150</v>
      </c>
      <c r="C206" s="1315" t="s">
        <v>3</v>
      </c>
      <c r="D206" s="1315">
        <f t="shared" si="10"/>
        <v>360</v>
      </c>
      <c r="E206" s="1315" t="s">
        <v>3</v>
      </c>
      <c r="F206" s="1313">
        <f t="shared" si="11"/>
        <v>2800</v>
      </c>
      <c r="G206" s="1315" t="s">
        <v>3</v>
      </c>
      <c r="H206" s="1312">
        <v>2</v>
      </c>
      <c r="I206" s="1314" t="s">
        <v>45</v>
      </c>
      <c r="J206" s="184">
        <v>150</v>
      </c>
      <c r="K206" s="75">
        <v>360</v>
      </c>
      <c r="L206" s="75">
        <v>2800</v>
      </c>
      <c r="M206" s="202">
        <v>41.988795886881434</v>
      </c>
      <c r="N206" s="87">
        <v>2827.4848353422581</v>
      </c>
      <c r="O206" s="123">
        <v>52580.907203183117</v>
      </c>
      <c r="P206" s="121">
        <v>67176.582898235749</v>
      </c>
      <c r="Q206" s="120">
        <v>37943.696272228204</v>
      </c>
      <c r="R206" s="319">
        <v>90524.603475411321</v>
      </c>
      <c r="S206" s="315">
        <v>105120.27917046395</v>
      </c>
      <c r="U206" s="7" t="s">
        <v>5370</v>
      </c>
    </row>
    <row r="207" spans="1:21" ht="16.5" thickBot="1">
      <c r="A207" s="1311" t="s">
        <v>4588</v>
      </c>
      <c r="B207" s="1315">
        <f t="shared" si="9"/>
        <v>150</v>
      </c>
      <c r="C207" s="1315" t="s">
        <v>3</v>
      </c>
      <c r="D207" s="1315">
        <f t="shared" si="10"/>
        <v>360</v>
      </c>
      <c r="E207" s="1315" t="s">
        <v>3</v>
      </c>
      <c r="F207" s="1313">
        <f t="shared" si="11"/>
        <v>2850</v>
      </c>
      <c r="G207" s="1315" t="s">
        <v>3</v>
      </c>
      <c r="H207" s="1312">
        <v>2</v>
      </c>
      <c r="I207" s="1314" t="s">
        <v>45</v>
      </c>
      <c r="J207" s="184">
        <v>150</v>
      </c>
      <c r="K207" s="75">
        <v>360</v>
      </c>
      <c r="L207" s="75">
        <v>2850</v>
      </c>
      <c r="M207" s="202">
        <v>42.669028972774754</v>
      </c>
      <c r="N207" s="87">
        <v>2885.1886074920999</v>
      </c>
      <c r="O207" s="123">
        <v>53320.770396022737</v>
      </c>
      <c r="P207" s="121">
        <v>68142.22234445365</v>
      </c>
      <c r="Q207" s="120">
        <v>38497.293413731131</v>
      </c>
      <c r="R207" s="319">
        <v>91818.063809753861</v>
      </c>
      <c r="S207" s="315">
        <v>106639.51575818477</v>
      </c>
      <c r="U207" s="7" t="s">
        <v>5371</v>
      </c>
    </row>
    <row r="208" spans="1:21" ht="16.5" thickBot="1">
      <c r="A208" s="1311" t="s">
        <v>4588</v>
      </c>
      <c r="B208" s="1315">
        <f t="shared" si="9"/>
        <v>150</v>
      </c>
      <c r="C208" s="1315" t="s">
        <v>3</v>
      </c>
      <c r="D208" s="1315">
        <f t="shared" si="10"/>
        <v>360</v>
      </c>
      <c r="E208" s="1315" t="s">
        <v>3</v>
      </c>
      <c r="F208" s="1313">
        <f t="shared" si="11"/>
        <v>2900</v>
      </c>
      <c r="G208" s="1315" t="s">
        <v>3</v>
      </c>
      <c r="H208" s="1312">
        <v>2</v>
      </c>
      <c r="I208" s="1314" t="s">
        <v>45</v>
      </c>
      <c r="J208" s="184">
        <v>150</v>
      </c>
      <c r="K208" s="75">
        <v>360</v>
      </c>
      <c r="L208" s="75">
        <v>2900</v>
      </c>
      <c r="M208" s="202">
        <v>43.349262058668074</v>
      </c>
      <c r="N208" s="87">
        <v>2942.8923796419417</v>
      </c>
      <c r="O208" s="123">
        <v>54060.633588862365</v>
      </c>
      <c r="P208" s="121">
        <v>69107.861790671537</v>
      </c>
      <c r="Q208" s="120">
        <v>39281.472333017329</v>
      </c>
      <c r="R208" s="319">
        <v>93342.105921879702</v>
      </c>
      <c r="S208" s="315">
        <v>108389.33412368887</v>
      </c>
      <c r="U208" s="7" t="s">
        <v>5372</v>
      </c>
    </row>
    <row r="209" spans="1:21" ht="16.5" thickBot="1">
      <c r="A209" s="1311" t="s">
        <v>4588</v>
      </c>
      <c r="B209" s="1315">
        <f t="shared" si="9"/>
        <v>150</v>
      </c>
      <c r="C209" s="1315" t="s">
        <v>3</v>
      </c>
      <c r="D209" s="1315">
        <f t="shared" si="10"/>
        <v>360</v>
      </c>
      <c r="E209" s="1315" t="s">
        <v>3</v>
      </c>
      <c r="F209" s="1313">
        <f t="shared" si="11"/>
        <v>2950</v>
      </c>
      <c r="G209" s="1315" t="s">
        <v>3</v>
      </c>
      <c r="H209" s="1312">
        <v>2</v>
      </c>
      <c r="I209" s="1314" t="s">
        <v>45</v>
      </c>
      <c r="J209" s="184">
        <v>150</v>
      </c>
      <c r="K209" s="75">
        <v>360</v>
      </c>
      <c r="L209" s="75">
        <v>2950</v>
      </c>
      <c r="M209" s="202">
        <v>44.029495144561395</v>
      </c>
      <c r="N209" s="87">
        <v>3000.596151791784</v>
      </c>
      <c r="O209" s="123">
        <v>54800.496781701993</v>
      </c>
      <c r="P209" s="121">
        <v>70073.501236889409</v>
      </c>
      <c r="Q209" s="120">
        <v>39835.069474520256</v>
      </c>
      <c r="R209" s="319">
        <v>94635.566256222257</v>
      </c>
      <c r="S209" s="315">
        <v>109908.57071140967</v>
      </c>
      <c r="U209" s="7" t="s">
        <v>5373</v>
      </c>
    </row>
    <row r="210" spans="1:21" ht="16.5" thickBot="1">
      <c r="A210" s="1311" t="s">
        <v>4588</v>
      </c>
      <c r="B210" s="1317">
        <f t="shared" si="9"/>
        <v>150</v>
      </c>
      <c r="C210" s="1317" t="s">
        <v>3</v>
      </c>
      <c r="D210" s="1317">
        <f t="shared" si="10"/>
        <v>360</v>
      </c>
      <c r="E210" s="1317" t="s">
        <v>3</v>
      </c>
      <c r="F210" s="1318">
        <f t="shared" si="11"/>
        <v>3000</v>
      </c>
      <c r="G210" s="1317" t="s">
        <v>3</v>
      </c>
      <c r="H210" s="1312">
        <v>2</v>
      </c>
      <c r="I210" s="1314" t="s">
        <v>45</v>
      </c>
      <c r="J210" s="186">
        <v>150</v>
      </c>
      <c r="K210" s="75">
        <v>360</v>
      </c>
      <c r="L210" s="147">
        <v>3000</v>
      </c>
      <c r="M210" s="209">
        <v>44.990657830454722</v>
      </c>
      <c r="N210" s="148">
        <v>3058.2999239416258</v>
      </c>
      <c r="O210" s="149">
        <v>55803.985014909616</v>
      </c>
      <c r="P210" s="158">
        <v>71302.765723475299</v>
      </c>
      <c r="Q210" s="159">
        <v>40619.248393806454</v>
      </c>
      <c r="R210" s="320">
        <v>96423.233408716071</v>
      </c>
      <c r="S210" s="317">
        <v>111922.01411728175</v>
      </c>
      <c r="U210" s="7" t="s">
        <v>5374</v>
      </c>
    </row>
    <row r="211" spans="1:21" ht="16.5" thickBot="1">
      <c r="A211" s="2621" t="s">
        <v>49</v>
      </c>
      <c r="B211" s="2622"/>
      <c r="C211" s="2622"/>
      <c r="D211" s="2622"/>
      <c r="E211" s="2622"/>
      <c r="F211" s="2622"/>
      <c r="G211" s="2622"/>
      <c r="H211" s="2622"/>
      <c r="I211" s="2622"/>
      <c r="J211" s="2622"/>
      <c r="K211" s="2622"/>
      <c r="L211" s="2622"/>
      <c r="M211" s="2622"/>
      <c r="N211" s="2622"/>
      <c r="O211" s="2622"/>
      <c r="P211" s="2622"/>
      <c r="Q211" s="2622"/>
      <c r="R211" s="2622"/>
      <c r="S211" s="2623"/>
      <c r="U211" s="7"/>
    </row>
    <row r="212" spans="1:21" ht="16.5" thickBot="1">
      <c r="A212" s="2583" t="s">
        <v>4589</v>
      </c>
      <c r="B212" s="2584"/>
      <c r="C212" s="2584"/>
      <c r="D212" s="2584"/>
      <c r="E212" s="2584"/>
      <c r="F212" s="2584"/>
      <c r="G212" s="2584"/>
      <c r="H212" s="2584"/>
      <c r="I212" s="2584"/>
      <c r="J212" s="2584"/>
      <c r="K212" s="2584"/>
      <c r="L212" s="2584"/>
      <c r="M212" s="2584"/>
      <c r="N212" s="2584"/>
      <c r="O212" s="2584"/>
      <c r="P212" s="2584"/>
      <c r="Q212" s="2584"/>
      <c r="R212" s="2584"/>
      <c r="S212" s="2585"/>
      <c r="U212" s="7"/>
    </row>
    <row r="213" spans="1:21" ht="16.5" thickBot="1">
      <c r="A213" s="1311" t="s">
        <v>4588</v>
      </c>
      <c r="B213" s="1312">
        <f>J213</f>
        <v>150</v>
      </c>
      <c r="C213" s="1312" t="s">
        <v>3</v>
      </c>
      <c r="D213" s="1312">
        <f>K213</f>
        <v>360</v>
      </c>
      <c r="E213" s="1312" t="s">
        <v>3</v>
      </c>
      <c r="F213" s="1313">
        <f>L213</f>
        <v>600</v>
      </c>
      <c r="G213" s="1312" t="s">
        <v>3</v>
      </c>
      <c r="H213" s="1312">
        <v>4</v>
      </c>
      <c r="I213" s="1314" t="s">
        <v>45</v>
      </c>
      <c r="J213" s="181">
        <v>150</v>
      </c>
      <c r="K213" s="143">
        <v>360</v>
      </c>
      <c r="L213" s="143">
        <v>600</v>
      </c>
      <c r="M213" s="201">
        <v>11.37906354020312</v>
      </c>
      <c r="N213" s="144">
        <v>317.05369313099999</v>
      </c>
      <c r="O213" s="145">
        <v>22631.966554288952</v>
      </c>
      <c r="P213" s="183">
        <v>27618.180586279657</v>
      </c>
      <c r="Q213" s="169">
        <v>9204.3678470371888</v>
      </c>
      <c r="R213" s="318">
        <v>31836.334401326141</v>
      </c>
      <c r="S213" s="313">
        <v>36822.548433316842</v>
      </c>
      <c r="U213" s="7" t="s">
        <v>5375</v>
      </c>
    </row>
    <row r="214" spans="1:21" ht="16.5" thickBot="1">
      <c r="A214" s="1311" t="s">
        <v>4588</v>
      </c>
      <c r="B214" s="1315">
        <f t="shared" ref="B214:B261" si="12">J214</f>
        <v>150</v>
      </c>
      <c r="C214" s="1315" t="s">
        <v>3</v>
      </c>
      <c r="D214" s="1315">
        <f t="shared" ref="D214:D261" si="13">K214</f>
        <v>360</v>
      </c>
      <c r="E214" s="1315" t="s">
        <v>3</v>
      </c>
      <c r="F214" s="1313">
        <f t="shared" ref="F214:F261" si="14">L214</f>
        <v>650</v>
      </c>
      <c r="G214" s="1315" t="s">
        <v>3</v>
      </c>
      <c r="H214" s="1312">
        <v>4</v>
      </c>
      <c r="I214" s="1314" t="s">
        <v>45</v>
      </c>
      <c r="J214" s="184">
        <v>150</v>
      </c>
      <c r="K214" s="75">
        <v>360</v>
      </c>
      <c r="L214" s="75">
        <v>650</v>
      </c>
      <c r="M214" s="202">
        <v>12.172782232410817</v>
      </c>
      <c r="N214" s="87">
        <v>380.46443175719997</v>
      </c>
      <c r="O214" s="123">
        <v>23765.996186176508</v>
      </c>
      <c r="P214" s="121">
        <v>28977.986611938832</v>
      </c>
      <c r="Q214" s="120">
        <v>9757.9649885401141</v>
      </c>
      <c r="R214" s="319">
        <v>33523.96117471662</v>
      </c>
      <c r="S214" s="315">
        <v>38735.951600478948</v>
      </c>
      <c r="U214" s="7" t="s">
        <v>5376</v>
      </c>
    </row>
    <row r="215" spans="1:21" ht="16.5" thickBot="1">
      <c r="A215" s="1311" t="s">
        <v>4588</v>
      </c>
      <c r="B215" s="1315">
        <f t="shared" si="12"/>
        <v>150</v>
      </c>
      <c r="C215" s="1315" t="s">
        <v>3</v>
      </c>
      <c r="D215" s="1315">
        <f t="shared" si="13"/>
        <v>360</v>
      </c>
      <c r="E215" s="1315" t="s">
        <v>3</v>
      </c>
      <c r="F215" s="1313">
        <f t="shared" si="14"/>
        <v>700</v>
      </c>
      <c r="G215" s="1315" t="s">
        <v>3</v>
      </c>
      <c r="H215" s="1312">
        <v>4</v>
      </c>
      <c r="I215" s="1314" t="s">
        <v>45</v>
      </c>
      <c r="J215" s="184">
        <v>150</v>
      </c>
      <c r="K215" s="75">
        <v>360</v>
      </c>
      <c r="L215" s="75">
        <v>700</v>
      </c>
      <c r="M215" s="202">
        <v>12.966500924618515</v>
      </c>
      <c r="N215" s="87">
        <v>443.87517038339996</v>
      </c>
      <c r="O215" s="123">
        <v>24900.025818064056</v>
      </c>
      <c r="P215" s="121">
        <v>30337.792497204646</v>
      </c>
      <c r="Q215" s="120">
        <v>10542.143907826316</v>
      </c>
      <c r="R215" s="319">
        <v>35442.169725890373</v>
      </c>
      <c r="S215" s="315">
        <v>40879.93640503096</v>
      </c>
      <c r="U215" s="7" t="s">
        <v>5377</v>
      </c>
    </row>
    <row r="216" spans="1:21" ht="16.5" thickBot="1">
      <c r="A216" s="1311" t="s">
        <v>4588</v>
      </c>
      <c r="B216" s="1315">
        <f t="shared" si="12"/>
        <v>150</v>
      </c>
      <c r="C216" s="1315" t="s">
        <v>3</v>
      </c>
      <c r="D216" s="1315">
        <f t="shared" si="13"/>
        <v>360</v>
      </c>
      <c r="E216" s="1315" t="s">
        <v>3</v>
      </c>
      <c r="F216" s="1313">
        <f t="shared" si="14"/>
        <v>750</v>
      </c>
      <c r="G216" s="1315" t="s">
        <v>3</v>
      </c>
      <c r="H216" s="1312">
        <v>4</v>
      </c>
      <c r="I216" s="1314" t="s">
        <v>45</v>
      </c>
      <c r="J216" s="184">
        <v>150</v>
      </c>
      <c r="K216" s="75">
        <v>360</v>
      </c>
      <c r="L216" s="75">
        <v>750</v>
      </c>
      <c r="M216" s="202">
        <v>13.760219616826213</v>
      </c>
      <c r="N216" s="87">
        <v>507.2859090096</v>
      </c>
      <c r="O216" s="123">
        <v>26034.055449951607</v>
      </c>
      <c r="P216" s="121">
        <v>31697.598382470456</v>
      </c>
      <c r="Q216" s="120">
        <v>11095.741049329239</v>
      </c>
      <c r="R216" s="319">
        <v>37129.796499280848</v>
      </c>
      <c r="S216" s="315">
        <v>42793.339431799694</v>
      </c>
      <c r="U216" s="7" t="s">
        <v>5378</v>
      </c>
    </row>
    <row r="217" spans="1:21" ht="16.5" thickBot="1">
      <c r="A217" s="1311" t="s">
        <v>4588</v>
      </c>
      <c r="B217" s="1315">
        <f t="shared" si="12"/>
        <v>150</v>
      </c>
      <c r="C217" s="1315" t="s">
        <v>3</v>
      </c>
      <c r="D217" s="1315">
        <f t="shared" si="13"/>
        <v>360</v>
      </c>
      <c r="E217" s="1315" t="s">
        <v>3</v>
      </c>
      <c r="F217" s="1313">
        <f t="shared" si="14"/>
        <v>800</v>
      </c>
      <c r="G217" s="1315" t="s">
        <v>3</v>
      </c>
      <c r="H217" s="1312">
        <v>4</v>
      </c>
      <c r="I217" s="1314" t="s">
        <v>45</v>
      </c>
      <c r="J217" s="184">
        <v>150</v>
      </c>
      <c r="K217" s="75">
        <v>360</v>
      </c>
      <c r="L217" s="75">
        <v>800</v>
      </c>
      <c r="M217" s="202">
        <v>14.55393830903391</v>
      </c>
      <c r="N217" s="87">
        <v>570.69664763579999</v>
      </c>
      <c r="O217" s="123">
        <v>27531.282570233292</v>
      </c>
      <c r="P217" s="121">
        <v>33071.443744379634</v>
      </c>
      <c r="Q217" s="120">
        <v>11649.338190832164</v>
      </c>
      <c r="R217" s="319">
        <v>39180.620761065453</v>
      </c>
      <c r="S217" s="315">
        <v>44720.781935211795</v>
      </c>
      <c r="U217" s="7" t="s">
        <v>5379</v>
      </c>
    </row>
    <row r="218" spans="1:21" ht="16.5" thickBot="1">
      <c r="A218" s="1311" t="s">
        <v>4588</v>
      </c>
      <c r="B218" s="1315">
        <f t="shared" si="12"/>
        <v>150</v>
      </c>
      <c r="C218" s="1315" t="s">
        <v>3</v>
      </c>
      <c r="D218" s="1315">
        <f t="shared" si="13"/>
        <v>360</v>
      </c>
      <c r="E218" s="1315" t="s">
        <v>3</v>
      </c>
      <c r="F218" s="1313">
        <f t="shared" si="14"/>
        <v>850</v>
      </c>
      <c r="G218" s="1315" t="s">
        <v>3</v>
      </c>
      <c r="H218" s="1312">
        <v>4</v>
      </c>
      <c r="I218" s="1314" t="s">
        <v>45</v>
      </c>
      <c r="J218" s="184">
        <v>150</v>
      </c>
      <c r="K218" s="75">
        <v>360</v>
      </c>
      <c r="L218" s="75">
        <v>850</v>
      </c>
      <c r="M218" s="202">
        <v>15.347657001241606</v>
      </c>
      <c r="N218" s="87">
        <v>634.10738626199998</v>
      </c>
      <c r="O218" s="123">
        <v>28665.312202120844</v>
      </c>
      <c r="P218" s="121">
        <v>34431.249629645441</v>
      </c>
      <c r="Q218" s="120">
        <v>12433.517110118366</v>
      </c>
      <c r="R218" s="319">
        <v>41098.829312239206</v>
      </c>
      <c r="S218" s="315">
        <v>46864.766739763807</v>
      </c>
      <c r="U218" s="7" t="s">
        <v>5380</v>
      </c>
    </row>
    <row r="219" spans="1:21" ht="16.5" thickBot="1">
      <c r="A219" s="1311" t="s">
        <v>4588</v>
      </c>
      <c r="B219" s="1315">
        <f t="shared" si="12"/>
        <v>150</v>
      </c>
      <c r="C219" s="1315" t="s">
        <v>3</v>
      </c>
      <c r="D219" s="1315">
        <f t="shared" si="13"/>
        <v>360</v>
      </c>
      <c r="E219" s="1315" t="s">
        <v>3</v>
      </c>
      <c r="F219" s="1313">
        <f t="shared" si="14"/>
        <v>900</v>
      </c>
      <c r="G219" s="1315" t="s">
        <v>3</v>
      </c>
      <c r="H219" s="1312">
        <v>4</v>
      </c>
      <c r="I219" s="1314" t="s">
        <v>45</v>
      </c>
      <c r="J219" s="184">
        <v>150</v>
      </c>
      <c r="K219" s="75">
        <v>360</v>
      </c>
      <c r="L219" s="75">
        <v>900</v>
      </c>
      <c r="M219" s="202">
        <v>16.141375693449305</v>
      </c>
      <c r="N219" s="87">
        <v>697.51812488820008</v>
      </c>
      <c r="O219" s="123">
        <v>29799.341974401756</v>
      </c>
      <c r="P219" s="121">
        <v>35791.055655304619</v>
      </c>
      <c r="Q219" s="120">
        <v>12987.114251621291</v>
      </c>
      <c r="R219" s="319">
        <v>42786.456226023045</v>
      </c>
      <c r="S219" s="315">
        <v>48778.169906925912</v>
      </c>
      <c r="U219" s="7" t="s">
        <v>5381</v>
      </c>
    </row>
    <row r="220" spans="1:21" ht="16.5" thickBot="1">
      <c r="A220" s="1311" t="s">
        <v>4588</v>
      </c>
      <c r="B220" s="1315">
        <f t="shared" si="12"/>
        <v>150</v>
      </c>
      <c r="C220" s="1315" t="s">
        <v>3</v>
      </c>
      <c r="D220" s="1315">
        <f t="shared" si="13"/>
        <v>360</v>
      </c>
      <c r="E220" s="1315" t="s">
        <v>3</v>
      </c>
      <c r="F220" s="1313">
        <f t="shared" si="14"/>
        <v>950</v>
      </c>
      <c r="G220" s="1315" t="s">
        <v>3</v>
      </c>
      <c r="H220" s="1312">
        <v>4</v>
      </c>
      <c r="I220" s="1314" t="s">
        <v>45</v>
      </c>
      <c r="J220" s="184">
        <v>150</v>
      </c>
      <c r="K220" s="75">
        <v>360</v>
      </c>
      <c r="L220" s="75">
        <v>950</v>
      </c>
      <c r="M220" s="202">
        <v>16.935094385657003</v>
      </c>
      <c r="N220" s="87">
        <v>760.92886351439995</v>
      </c>
      <c r="O220" s="123">
        <v>30933.371606289307</v>
      </c>
      <c r="P220" s="121">
        <v>37150.861540570433</v>
      </c>
      <c r="Q220" s="120">
        <v>13771.293170907491</v>
      </c>
      <c r="R220" s="319">
        <v>44704.664777196798</v>
      </c>
      <c r="S220" s="315">
        <v>50922.154711477924</v>
      </c>
      <c r="U220" s="7" t="s">
        <v>5382</v>
      </c>
    </row>
    <row r="221" spans="1:21" ht="16.5" thickBot="1">
      <c r="A221" s="1311" t="s">
        <v>4588</v>
      </c>
      <c r="B221" s="1315">
        <f t="shared" si="12"/>
        <v>150</v>
      </c>
      <c r="C221" s="1315" t="s">
        <v>3</v>
      </c>
      <c r="D221" s="1315">
        <f t="shared" si="13"/>
        <v>360</v>
      </c>
      <c r="E221" s="1315" t="s">
        <v>3</v>
      </c>
      <c r="F221" s="1313">
        <f t="shared" si="14"/>
        <v>1000</v>
      </c>
      <c r="G221" s="1315" t="s">
        <v>3</v>
      </c>
      <c r="H221" s="1312">
        <v>4</v>
      </c>
      <c r="I221" s="1314" t="s">
        <v>45</v>
      </c>
      <c r="J221" s="184">
        <v>150</v>
      </c>
      <c r="K221" s="75">
        <v>360</v>
      </c>
      <c r="L221" s="75">
        <v>1000</v>
      </c>
      <c r="M221" s="202">
        <v>17.8692778778647</v>
      </c>
      <c r="N221" s="87">
        <v>824.33960214060005</v>
      </c>
      <c r="O221" s="123">
        <v>32131.488000290858</v>
      </c>
      <c r="P221" s="121">
        <v>38574.754187950246</v>
      </c>
      <c r="Q221" s="120">
        <v>14324.890312410414</v>
      </c>
      <c r="R221" s="319">
        <v>46456.378312701272</v>
      </c>
      <c r="S221" s="315">
        <v>52899.644500360664</v>
      </c>
      <c r="U221" s="7" t="s">
        <v>5383</v>
      </c>
    </row>
    <row r="222" spans="1:21" ht="16.5" thickBot="1">
      <c r="A222" s="1311" t="s">
        <v>4588</v>
      </c>
      <c r="B222" s="1315">
        <f t="shared" si="12"/>
        <v>150</v>
      </c>
      <c r="C222" s="1315" t="s">
        <v>3</v>
      </c>
      <c r="D222" s="1315">
        <f t="shared" si="13"/>
        <v>360</v>
      </c>
      <c r="E222" s="1315" t="s">
        <v>3</v>
      </c>
      <c r="F222" s="1313">
        <f t="shared" si="14"/>
        <v>1050</v>
      </c>
      <c r="G222" s="1315" t="s">
        <v>3</v>
      </c>
      <c r="H222" s="1312">
        <v>4</v>
      </c>
      <c r="I222" s="1314" t="s">
        <v>45</v>
      </c>
      <c r="J222" s="184">
        <v>150</v>
      </c>
      <c r="K222" s="75">
        <v>360</v>
      </c>
      <c r="L222" s="75">
        <v>1050</v>
      </c>
      <c r="M222" s="202">
        <v>18.662996570072398</v>
      </c>
      <c r="N222" s="87">
        <v>887.75034076679992</v>
      </c>
      <c r="O222" s="123">
        <v>33265.517632178409</v>
      </c>
      <c r="P222" s="121">
        <v>39934.560213609417</v>
      </c>
      <c r="Q222" s="120">
        <v>15109.069231696616</v>
      </c>
      <c r="R222" s="319">
        <v>48374.586863875025</v>
      </c>
      <c r="S222" s="315">
        <v>55043.629445306033</v>
      </c>
      <c r="U222" s="7" t="s">
        <v>5384</v>
      </c>
    </row>
    <row r="223" spans="1:21" ht="16.5" thickBot="1">
      <c r="A223" s="1311" t="s">
        <v>4588</v>
      </c>
      <c r="B223" s="1312">
        <f t="shared" si="12"/>
        <v>150</v>
      </c>
      <c r="C223" s="1312" t="s">
        <v>3</v>
      </c>
      <c r="D223" s="1312">
        <f t="shared" si="13"/>
        <v>360</v>
      </c>
      <c r="E223" s="1312" t="s">
        <v>3</v>
      </c>
      <c r="F223" s="1313">
        <f t="shared" si="14"/>
        <v>1100</v>
      </c>
      <c r="G223" s="1312" t="s">
        <v>3</v>
      </c>
      <c r="H223" s="1312">
        <v>4</v>
      </c>
      <c r="I223" s="1314" t="s">
        <v>45</v>
      </c>
      <c r="J223" s="184">
        <v>150</v>
      </c>
      <c r="K223" s="75">
        <v>360</v>
      </c>
      <c r="L223" s="75">
        <v>1100</v>
      </c>
      <c r="M223" s="202">
        <v>19.456715262280092</v>
      </c>
      <c r="N223" s="87">
        <v>951.16107939299991</v>
      </c>
      <c r="O223" s="123">
        <v>34399.547404459321</v>
      </c>
      <c r="P223" s="121">
        <v>41294.366098875238</v>
      </c>
      <c r="Q223" s="120">
        <v>15662.66637319954</v>
      </c>
      <c r="R223" s="319">
        <v>50062.213777658864</v>
      </c>
      <c r="S223" s="315">
        <v>56957.032472074774</v>
      </c>
      <c r="U223" s="7" t="s">
        <v>5385</v>
      </c>
    </row>
    <row r="224" spans="1:21" ht="16.5" thickBot="1">
      <c r="A224" s="1311" t="s">
        <v>4588</v>
      </c>
      <c r="B224" s="1315">
        <f t="shared" si="12"/>
        <v>150</v>
      </c>
      <c r="C224" s="1315" t="s">
        <v>3</v>
      </c>
      <c r="D224" s="1315">
        <f t="shared" si="13"/>
        <v>360</v>
      </c>
      <c r="E224" s="1315" t="s">
        <v>3</v>
      </c>
      <c r="F224" s="1313">
        <f t="shared" si="14"/>
        <v>1150</v>
      </c>
      <c r="G224" s="1315" t="s">
        <v>3</v>
      </c>
      <c r="H224" s="1312">
        <v>4</v>
      </c>
      <c r="I224" s="1314" t="s">
        <v>45</v>
      </c>
      <c r="J224" s="184">
        <v>150</v>
      </c>
      <c r="K224" s="75">
        <v>360</v>
      </c>
      <c r="L224" s="75">
        <v>1150</v>
      </c>
      <c r="M224" s="202">
        <v>20.250433954487789</v>
      </c>
      <c r="N224" s="87">
        <v>1014.5718180192</v>
      </c>
      <c r="O224" s="123">
        <v>35533.577036346869</v>
      </c>
      <c r="P224" s="121">
        <v>42654.171984141045</v>
      </c>
      <c r="Q224" s="120">
        <v>16216.263514702467</v>
      </c>
      <c r="R224" s="319">
        <v>51749.840551049332</v>
      </c>
      <c r="S224" s="315">
        <v>58870.435498843508</v>
      </c>
      <c r="U224" s="7" t="s">
        <v>5386</v>
      </c>
    </row>
    <row r="225" spans="1:21" ht="16.5" thickBot="1">
      <c r="A225" s="1311" t="s">
        <v>4588</v>
      </c>
      <c r="B225" s="1315">
        <f t="shared" si="12"/>
        <v>150</v>
      </c>
      <c r="C225" s="1315" t="s">
        <v>3</v>
      </c>
      <c r="D225" s="1315">
        <f t="shared" si="13"/>
        <v>360</v>
      </c>
      <c r="E225" s="1315" t="s">
        <v>3</v>
      </c>
      <c r="F225" s="1313">
        <f t="shared" si="14"/>
        <v>1200</v>
      </c>
      <c r="G225" s="1315" t="s">
        <v>3</v>
      </c>
      <c r="H225" s="1312">
        <v>4</v>
      </c>
      <c r="I225" s="1314" t="s">
        <v>45</v>
      </c>
      <c r="J225" s="184">
        <v>150</v>
      </c>
      <c r="K225" s="75">
        <v>360</v>
      </c>
      <c r="L225" s="75">
        <v>1200</v>
      </c>
      <c r="M225" s="202">
        <v>21.044152646695487</v>
      </c>
      <c r="N225" s="87">
        <v>1077.9825566453999</v>
      </c>
      <c r="O225" s="123">
        <v>36667.606668234417</v>
      </c>
      <c r="P225" s="121">
        <v>44013.978009800223</v>
      </c>
      <c r="Q225" s="120">
        <v>17000.442574382028</v>
      </c>
      <c r="R225" s="319">
        <v>53668.049242616442</v>
      </c>
      <c r="S225" s="315">
        <v>61014.420584182255</v>
      </c>
      <c r="U225" s="7" t="s">
        <v>5387</v>
      </c>
    </row>
    <row r="226" spans="1:21" ht="16.5" thickBot="1">
      <c r="A226" s="1311" t="s">
        <v>4588</v>
      </c>
      <c r="B226" s="1315">
        <f t="shared" si="12"/>
        <v>150</v>
      </c>
      <c r="C226" s="1315" t="s">
        <v>3</v>
      </c>
      <c r="D226" s="1315">
        <f t="shared" si="13"/>
        <v>360</v>
      </c>
      <c r="E226" s="1315" t="s">
        <v>3</v>
      </c>
      <c r="F226" s="1313">
        <f t="shared" si="14"/>
        <v>1250</v>
      </c>
      <c r="G226" s="1315" t="s">
        <v>3</v>
      </c>
      <c r="H226" s="1312">
        <v>4</v>
      </c>
      <c r="I226" s="1314" t="s">
        <v>45</v>
      </c>
      <c r="J226" s="184">
        <v>150</v>
      </c>
      <c r="K226" s="75">
        <v>360</v>
      </c>
      <c r="L226" s="75">
        <v>1250</v>
      </c>
      <c r="M226" s="202">
        <v>21.837871338903188</v>
      </c>
      <c r="N226" s="87">
        <v>1141.3932952716</v>
      </c>
      <c r="O226" s="123">
        <v>37801.636300121972</v>
      </c>
      <c r="P226" s="121">
        <v>45373.78389506603</v>
      </c>
      <c r="Q226" s="120">
        <v>17554.039715884952</v>
      </c>
      <c r="R226" s="319">
        <v>55355.676016006924</v>
      </c>
      <c r="S226" s="315">
        <v>62927.823610950982</v>
      </c>
      <c r="U226" s="7" t="s">
        <v>5388</v>
      </c>
    </row>
    <row r="227" spans="1:21" ht="16.5" thickBot="1">
      <c r="A227" s="1311" t="s">
        <v>4588</v>
      </c>
      <c r="B227" s="1315">
        <f t="shared" si="12"/>
        <v>150</v>
      </c>
      <c r="C227" s="1315" t="s">
        <v>3</v>
      </c>
      <c r="D227" s="1315">
        <f t="shared" si="13"/>
        <v>360</v>
      </c>
      <c r="E227" s="1315" t="s">
        <v>3</v>
      </c>
      <c r="F227" s="1313">
        <f t="shared" si="14"/>
        <v>1300</v>
      </c>
      <c r="G227" s="1315" t="s">
        <v>3</v>
      </c>
      <c r="H227" s="1312">
        <v>4</v>
      </c>
      <c r="I227" s="1314" t="s">
        <v>45</v>
      </c>
      <c r="J227" s="184">
        <v>150</v>
      </c>
      <c r="K227" s="75">
        <v>360</v>
      </c>
      <c r="L227" s="75">
        <v>1300</v>
      </c>
      <c r="M227" s="202">
        <v>22.631590031110886</v>
      </c>
      <c r="N227" s="87">
        <v>1204.8040338977999</v>
      </c>
      <c r="O227" s="123">
        <v>38935.666072402884</v>
      </c>
      <c r="P227" s="121">
        <v>46733.589780331844</v>
      </c>
      <c r="Q227" s="120">
        <v>18338.218635171153</v>
      </c>
      <c r="R227" s="319">
        <v>57273.884707574034</v>
      </c>
      <c r="S227" s="315">
        <v>65071.808415502994</v>
      </c>
      <c r="U227" s="7" t="s">
        <v>5389</v>
      </c>
    </row>
    <row r="228" spans="1:21" ht="16.5" thickBot="1">
      <c r="A228" s="1311" t="s">
        <v>4588</v>
      </c>
      <c r="B228" s="1315">
        <f t="shared" si="12"/>
        <v>150</v>
      </c>
      <c r="C228" s="1315" t="s">
        <v>3</v>
      </c>
      <c r="D228" s="1315">
        <f t="shared" si="13"/>
        <v>360</v>
      </c>
      <c r="E228" s="1315" t="s">
        <v>3</v>
      </c>
      <c r="F228" s="1313">
        <f t="shared" si="14"/>
        <v>1350</v>
      </c>
      <c r="G228" s="1315" t="s">
        <v>3</v>
      </c>
      <c r="H228" s="1312">
        <v>4</v>
      </c>
      <c r="I228" s="1314" t="s">
        <v>45</v>
      </c>
      <c r="J228" s="184">
        <v>150</v>
      </c>
      <c r="K228" s="75">
        <v>360</v>
      </c>
      <c r="L228" s="75">
        <v>1350</v>
      </c>
      <c r="M228" s="202">
        <v>23.425308723318579</v>
      </c>
      <c r="N228" s="87">
        <v>1268.214772524</v>
      </c>
      <c r="O228" s="123">
        <v>40069.695704290432</v>
      </c>
      <c r="P228" s="121">
        <v>48093.395805991022</v>
      </c>
      <c r="Q228" s="120">
        <v>18891.815776674081</v>
      </c>
      <c r="R228" s="319">
        <v>58961.511480964517</v>
      </c>
      <c r="S228" s="315">
        <v>66985.211582665099</v>
      </c>
      <c r="U228" s="7" t="s">
        <v>5390</v>
      </c>
    </row>
    <row r="229" spans="1:21" ht="16.5" thickBot="1">
      <c r="A229" s="1311" t="s">
        <v>4588</v>
      </c>
      <c r="B229" s="1315">
        <f t="shared" si="12"/>
        <v>150</v>
      </c>
      <c r="C229" s="1315" t="s">
        <v>3</v>
      </c>
      <c r="D229" s="1315">
        <f t="shared" si="13"/>
        <v>360</v>
      </c>
      <c r="E229" s="1315" t="s">
        <v>3</v>
      </c>
      <c r="F229" s="1313">
        <f t="shared" si="14"/>
        <v>1400</v>
      </c>
      <c r="G229" s="1315" t="s">
        <v>3</v>
      </c>
      <c r="H229" s="1312">
        <v>4</v>
      </c>
      <c r="I229" s="1314" t="s">
        <v>45</v>
      </c>
      <c r="J229" s="184">
        <v>150</v>
      </c>
      <c r="K229" s="75">
        <v>360</v>
      </c>
      <c r="L229" s="75">
        <v>1400</v>
      </c>
      <c r="M229" s="202">
        <v>24.219027415526277</v>
      </c>
      <c r="N229" s="87">
        <v>1331.6255111502001</v>
      </c>
      <c r="O229" s="123">
        <v>41203.72533617798</v>
      </c>
      <c r="P229" s="121">
        <v>49453.201691256836</v>
      </c>
      <c r="Q229" s="120">
        <v>19675.994695960278</v>
      </c>
      <c r="R229" s="319">
        <v>60879.720032138255</v>
      </c>
      <c r="S229" s="315">
        <v>69129.196387217118</v>
      </c>
      <c r="U229" s="7" t="s">
        <v>5391</v>
      </c>
    </row>
    <row r="230" spans="1:21" ht="16.5" thickBot="1">
      <c r="A230" s="1311" t="s">
        <v>4588</v>
      </c>
      <c r="B230" s="1315">
        <f t="shared" si="12"/>
        <v>150</v>
      </c>
      <c r="C230" s="1315" t="s">
        <v>3</v>
      </c>
      <c r="D230" s="1315">
        <f t="shared" si="13"/>
        <v>360</v>
      </c>
      <c r="E230" s="1315" t="s">
        <v>3</v>
      </c>
      <c r="F230" s="1313">
        <f t="shared" si="14"/>
        <v>1450</v>
      </c>
      <c r="G230" s="1315" t="s">
        <v>3</v>
      </c>
      <c r="H230" s="1312">
        <v>4</v>
      </c>
      <c r="I230" s="1314" t="s">
        <v>45</v>
      </c>
      <c r="J230" s="184">
        <v>150</v>
      </c>
      <c r="K230" s="75">
        <v>360</v>
      </c>
      <c r="L230" s="75">
        <v>1450</v>
      </c>
      <c r="M230" s="202">
        <v>25.012746107733978</v>
      </c>
      <c r="N230" s="87">
        <v>1395.0362497764002</v>
      </c>
      <c r="O230" s="123">
        <v>42337.755108458899</v>
      </c>
      <c r="P230" s="121">
        <v>50813.00757652265</v>
      </c>
      <c r="Q230" s="120">
        <v>20229.591837463206</v>
      </c>
      <c r="R230" s="319">
        <v>62567.346945922109</v>
      </c>
      <c r="S230" s="315">
        <v>71042.599413985852</v>
      </c>
      <c r="U230" s="7" t="s">
        <v>5392</v>
      </c>
    </row>
    <row r="231" spans="1:21" ht="16.5" thickBot="1">
      <c r="A231" s="1311" t="s">
        <v>4588</v>
      </c>
      <c r="B231" s="1315">
        <f t="shared" si="12"/>
        <v>150</v>
      </c>
      <c r="C231" s="1315" t="s">
        <v>3</v>
      </c>
      <c r="D231" s="1315">
        <f t="shared" si="13"/>
        <v>360</v>
      </c>
      <c r="E231" s="1315" t="s">
        <v>3</v>
      </c>
      <c r="F231" s="1313">
        <f t="shared" si="14"/>
        <v>1500</v>
      </c>
      <c r="G231" s="1315" t="s">
        <v>3</v>
      </c>
      <c r="H231" s="1312">
        <v>4</v>
      </c>
      <c r="I231" s="1314" t="s">
        <v>45</v>
      </c>
      <c r="J231" s="184">
        <v>150</v>
      </c>
      <c r="K231" s="75">
        <v>360</v>
      </c>
      <c r="L231" s="75">
        <v>1500</v>
      </c>
      <c r="M231" s="202">
        <v>26.332584399941673</v>
      </c>
      <c r="N231" s="87">
        <v>1458.4469884025998</v>
      </c>
      <c r="O231" s="123">
        <v>44394.61937348498</v>
      </c>
      <c r="P231" s="121">
        <v>53431.767494315674</v>
      </c>
      <c r="Q231" s="120">
        <v>21013.770756749404</v>
      </c>
      <c r="R231" s="319">
        <v>65408.390130234387</v>
      </c>
      <c r="S231" s="315">
        <v>74445.538251065082</v>
      </c>
      <c r="U231" s="7" t="s">
        <v>5393</v>
      </c>
    </row>
    <row r="232" spans="1:21" ht="16.5" thickBot="1">
      <c r="A232" s="1311" t="s">
        <v>4588</v>
      </c>
      <c r="B232" s="1315">
        <f t="shared" si="12"/>
        <v>150</v>
      </c>
      <c r="C232" s="1315" t="s">
        <v>3</v>
      </c>
      <c r="D232" s="1315">
        <f t="shared" si="13"/>
        <v>360</v>
      </c>
      <c r="E232" s="1315" t="s">
        <v>3</v>
      </c>
      <c r="F232" s="1313">
        <f t="shared" si="14"/>
        <v>1550</v>
      </c>
      <c r="G232" s="1315" t="s">
        <v>3</v>
      </c>
      <c r="H232" s="1312">
        <v>4</v>
      </c>
      <c r="I232" s="1314" t="s">
        <v>45</v>
      </c>
      <c r="J232" s="184">
        <v>150</v>
      </c>
      <c r="K232" s="75">
        <v>360</v>
      </c>
      <c r="L232" s="75">
        <v>1550</v>
      </c>
      <c r="M232" s="202">
        <v>27.126303092149371</v>
      </c>
      <c r="N232" s="87">
        <v>1521.8577270287999</v>
      </c>
      <c r="O232" s="123">
        <v>45528.649005372536</v>
      </c>
      <c r="P232" s="121">
        <v>54791.573379581489</v>
      </c>
      <c r="Q232" s="120">
        <v>21567.367898252327</v>
      </c>
      <c r="R232" s="319">
        <v>67096.01690362487</v>
      </c>
      <c r="S232" s="315">
        <v>76358.941277833816</v>
      </c>
      <c r="U232" s="7" t="s">
        <v>5394</v>
      </c>
    </row>
    <row r="233" spans="1:21" ht="16.5" thickBot="1">
      <c r="A233" s="1311" t="s">
        <v>4588</v>
      </c>
      <c r="B233" s="1312">
        <f t="shared" si="12"/>
        <v>150</v>
      </c>
      <c r="C233" s="1312" t="s">
        <v>3</v>
      </c>
      <c r="D233" s="1312">
        <f t="shared" si="13"/>
        <v>360</v>
      </c>
      <c r="E233" s="1312" t="s">
        <v>3</v>
      </c>
      <c r="F233" s="1313">
        <f t="shared" si="14"/>
        <v>1600</v>
      </c>
      <c r="G233" s="1312" t="s">
        <v>3</v>
      </c>
      <c r="H233" s="1312">
        <v>4</v>
      </c>
      <c r="I233" s="1314" t="s">
        <v>45</v>
      </c>
      <c r="J233" s="184">
        <v>150</v>
      </c>
      <c r="K233" s="75">
        <v>360</v>
      </c>
      <c r="L233" s="75">
        <v>1600</v>
      </c>
      <c r="M233" s="202">
        <v>27.920021784357068</v>
      </c>
      <c r="N233" s="87">
        <v>1585.268465655</v>
      </c>
      <c r="O233" s="123">
        <v>46662.678637260084</v>
      </c>
      <c r="P233" s="121">
        <v>56151.379405240667</v>
      </c>
      <c r="Q233" s="120">
        <v>22120.965039755254</v>
      </c>
      <c r="R233" s="319">
        <v>68783.643677015338</v>
      </c>
      <c r="S233" s="315">
        <v>78272.344444995921</v>
      </c>
      <c r="U233" s="7" t="s">
        <v>5395</v>
      </c>
    </row>
    <row r="234" spans="1:21" ht="16.5" thickBot="1">
      <c r="A234" s="1311" t="s">
        <v>4588</v>
      </c>
      <c r="B234" s="1315">
        <f t="shared" si="12"/>
        <v>150</v>
      </c>
      <c r="C234" s="1315" t="s">
        <v>3</v>
      </c>
      <c r="D234" s="1315">
        <f t="shared" si="13"/>
        <v>360</v>
      </c>
      <c r="E234" s="1315" t="s">
        <v>3</v>
      </c>
      <c r="F234" s="1313">
        <f t="shared" si="14"/>
        <v>1650</v>
      </c>
      <c r="G234" s="1315" t="s">
        <v>3</v>
      </c>
      <c r="H234" s="1312">
        <v>4</v>
      </c>
      <c r="I234" s="1314" t="s">
        <v>45</v>
      </c>
      <c r="J234" s="184">
        <v>150</v>
      </c>
      <c r="K234" s="75">
        <v>360</v>
      </c>
      <c r="L234" s="75">
        <v>1650</v>
      </c>
      <c r="M234" s="202">
        <v>28.713740476564766</v>
      </c>
      <c r="N234" s="87">
        <v>1648.6792042812001</v>
      </c>
      <c r="O234" s="123">
        <v>47796.708409540995</v>
      </c>
      <c r="P234" s="121">
        <v>57511.185290506481</v>
      </c>
      <c r="Q234" s="120">
        <v>22905.143959041456</v>
      </c>
      <c r="R234" s="319">
        <v>70701.852368582448</v>
      </c>
      <c r="S234" s="315">
        <v>80416.32924954794</v>
      </c>
      <c r="U234" s="7" t="s">
        <v>5396</v>
      </c>
    </row>
    <row r="235" spans="1:21" ht="16.5" thickBot="1">
      <c r="A235" s="1311" t="s">
        <v>4588</v>
      </c>
      <c r="B235" s="1315">
        <f t="shared" si="12"/>
        <v>150</v>
      </c>
      <c r="C235" s="1315" t="s">
        <v>3</v>
      </c>
      <c r="D235" s="1315">
        <f t="shared" si="13"/>
        <v>360</v>
      </c>
      <c r="E235" s="1315" t="s">
        <v>3</v>
      </c>
      <c r="F235" s="1313">
        <f t="shared" si="14"/>
        <v>1700</v>
      </c>
      <c r="G235" s="1315" t="s">
        <v>3</v>
      </c>
      <c r="H235" s="1312">
        <v>4</v>
      </c>
      <c r="I235" s="1314" t="s">
        <v>45</v>
      </c>
      <c r="J235" s="184">
        <v>150</v>
      </c>
      <c r="K235" s="75">
        <v>360</v>
      </c>
      <c r="L235" s="75">
        <v>1700</v>
      </c>
      <c r="M235" s="202">
        <v>29.507459168772463</v>
      </c>
      <c r="N235" s="87">
        <v>1712.0899429074</v>
      </c>
      <c r="O235" s="123">
        <v>48930.738041428551</v>
      </c>
      <c r="P235" s="121">
        <v>58870.99117577228</v>
      </c>
      <c r="Q235" s="120">
        <v>23458.741100544379</v>
      </c>
      <c r="R235" s="319">
        <v>72389.47914197293</v>
      </c>
      <c r="S235" s="315">
        <v>82329.732276316659</v>
      </c>
      <c r="U235" s="7" t="s">
        <v>5397</v>
      </c>
    </row>
    <row r="236" spans="1:21" ht="16.5" thickBot="1">
      <c r="A236" s="1311" t="s">
        <v>4588</v>
      </c>
      <c r="B236" s="1315">
        <f t="shared" si="12"/>
        <v>150</v>
      </c>
      <c r="C236" s="1315" t="s">
        <v>3</v>
      </c>
      <c r="D236" s="1315">
        <f t="shared" si="13"/>
        <v>360</v>
      </c>
      <c r="E236" s="1315" t="s">
        <v>3</v>
      </c>
      <c r="F236" s="1313">
        <f t="shared" si="14"/>
        <v>1750</v>
      </c>
      <c r="G236" s="1315" t="s">
        <v>3</v>
      </c>
      <c r="H236" s="1312">
        <v>4</v>
      </c>
      <c r="I236" s="1314" t="s">
        <v>45</v>
      </c>
      <c r="J236" s="184">
        <v>150</v>
      </c>
      <c r="K236" s="75">
        <v>360</v>
      </c>
      <c r="L236" s="75">
        <v>1750</v>
      </c>
      <c r="M236" s="202">
        <v>30.301177860980161</v>
      </c>
      <c r="N236" s="87">
        <v>1775.5006815335998</v>
      </c>
      <c r="O236" s="123">
        <v>50064.767673316099</v>
      </c>
      <c r="P236" s="121">
        <v>60230.797201431466</v>
      </c>
      <c r="Q236" s="120">
        <v>24242.920019830581</v>
      </c>
      <c r="R236" s="319">
        <v>74307.687693146683</v>
      </c>
      <c r="S236" s="315">
        <v>84473.71722126205</v>
      </c>
      <c r="U236" s="7" t="s">
        <v>5398</v>
      </c>
    </row>
    <row r="237" spans="1:21" ht="16.5" thickBot="1">
      <c r="A237" s="1311" t="s">
        <v>4588</v>
      </c>
      <c r="B237" s="1315">
        <f t="shared" si="12"/>
        <v>150</v>
      </c>
      <c r="C237" s="1315" t="s">
        <v>3</v>
      </c>
      <c r="D237" s="1315">
        <f t="shared" si="13"/>
        <v>360</v>
      </c>
      <c r="E237" s="1315" t="s">
        <v>3</v>
      </c>
      <c r="F237" s="1313">
        <f t="shared" si="14"/>
        <v>1800</v>
      </c>
      <c r="G237" s="1315" t="s">
        <v>3</v>
      </c>
      <c r="H237" s="1312">
        <v>4</v>
      </c>
      <c r="I237" s="1314" t="s">
        <v>45</v>
      </c>
      <c r="J237" s="184">
        <v>150</v>
      </c>
      <c r="K237" s="75">
        <v>360</v>
      </c>
      <c r="L237" s="75">
        <v>1800</v>
      </c>
      <c r="M237" s="202">
        <v>31.094896553187859</v>
      </c>
      <c r="N237" s="87">
        <v>1838.9114201597999</v>
      </c>
      <c r="O237" s="123">
        <v>51198.797445597011</v>
      </c>
      <c r="P237" s="121">
        <v>61590.603086697272</v>
      </c>
      <c r="Q237" s="120">
        <v>24796.517161333504</v>
      </c>
      <c r="R237" s="319">
        <v>75995.314606930508</v>
      </c>
      <c r="S237" s="315">
        <v>86387.120248030784</v>
      </c>
      <c r="U237" s="7" t="s">
        <v>5399</v>
      </c>
    </row>
    <row r="238" spans="1:21" ht="16.5" thickBot="1">
      <c r="A238" s="1311" t="s">
        <v>4588</v>
      </c>
      <c r="B238" s="1315">
        <f t="shared" si="12"/>
        <v>150</v>
      </c>
      <c r="C238" s="1315" t="s">
        <v>3</v>
      </c>
      <c r="D238" s="1315">
        <f t="shared" si="13"/>
        <v>360</v>
      </c>
      <c r="E238" s="1315" t="s">
        <v>3</v>
      </c>
      <c r="F238" s="1313">
        <f t="shared" si="14"/>
        <v>1850</v>
      </c>
      <c r="G238" s="1315" t="s">
        <v>3</v>
      </c>
      <c r="H238" s="1312">
        <v>4</v>
      </c>
      <c r="I238" s="1314" t="s">
        <v>45</v>
      </c>
      <c r="J238" s="184">
        <v>150</v>
      </c>
      <c r="K238" s="75">
        <v>360</v>
      </c>
      <c r="L238" s="75">
        <v>1850</v>
      </c>
      <c r="M238" s="202">
        <v>31.888615245395549</v>
      </c>
      <c r="N238" s="87">
        <v>1902.3221587859998</v>
      </c>
      <c r="O238" s="123">
        <v>52332.827077484566</v>
      </c>
      <c r="P238" s="121">
        <v>62950.408971963087</v>
      </c>
      <c r="Q238" s="120">
        <v>25580.69622101307</v>
      </c>
      <c r="R238" s="319">
        <v>77913.523298497632</v>
      </c>
      <c r="S238" s="315">
        <v>88531.10519297616</v>
      </c>
      <c r="U238" s="7" t="s">
        <v>5400</v>
      </c>
    </row>
    <row r="239" spans="1:21" ht="16.5" thickBot="1">
      <c r="A239" s="1311" t="s">
        <v>4588</v>
      </c>
      <c r="B239" s="1315">
        <f t="shared" si="12"/>
        <v>150</v>
      </c>
      <c r="C239" s="1315" t="s">
        <v>3</v>
      </c>
      <c r="D239" s="1315">
        <f t="shared" si="13"/>
        <v>360</v>
      </c>
      <c r="E239" s="1315" t="s">
        <v>3</v>
      </c>
      <c r="F239" s="1313">
        <f t="shared" si="14"/>
        <v>1900</v>
      </c>
      <c r="G239" s="1315" t="s">
        <v>3</v>
      </c>
      <c r="H239" s="1312">
        <v>4</v>
      </c>
      <c r="I239" s="1314" t="s">
        <v>45</v>
      </c>
      <c r="J239" s="184">
        <v>150</v>
      </c>
      <c r="K239" s="75">
        <v>360</v>
      </c>
      <c r="L239" s="75">
        <v>1900</v>
      </c>
      <c r="M239" s="202">
        <v>32.682333937603246</v>
      </c>
      <c r="N239" s="87">
        <v>1965.7328974121999</v>
      </c>
      <c r="O239" s="123">
        <v>53466.856709372107</v>
      </c>
      <c r="P239" s="121">
        <v>64310.214997622257</v>
      </c>
      <c r="Q239" s="120">
        <v>26134.293362515993</v>
      </c>
      <c r="R239" s="319">
        <v>79601.1500718881</v>
      </c>
      <c r="S239" s="315">
        <v>90444.50836013825</v>
      </c>
      <c r="U239" s="7" t="s">
        <v>5401</v>
      </c>
    </row>
    <row r="240" spans="1:21" ht="16.5" thickBot="1">
      <c r="A240" s="1311" t="s">
        <v>4588</v>
      </c>
      <c r="B240" s="1315">
        <f t="shared" si="12"/>
        <v>150</v>
      </c>
      <c r="C240" s="1315" t="s">
        <v>3</v>
      </c>
      <c r="D240" s="1315">
        <f t="shared" si="13"/>
        <v>360</v>
      </c>
      <c r="E240" s="1315" t="s">
        <v>3</v>
      </c>
      <c r="F240" s="1313">
        <f t="shared" si="14"/>
        <v>1950</v>
      </c>
      <c r="G240" s="1315" t="s">
        <v>3</v>
      </c>
      <c r="H240" s="1312">
        <v>4</v>
      </c>
      <c r="I240" s="1314" t="s">
        <v>45</v>
      </c>
      <c r="J240" s="184">
        <v>150</v>
      </c>
      <c r="K240" s="75">
        <v>360</v>
      </c>
      <c r="L240" s="75">
        <v>1950</v>
      </c>
      <c r="M240" s="202">
        <v>33.476052629810951</v>
      </c>
      <c r="N240" s="87">
        <v>2029.1436360384</v>
      </c>
      <c r="O240" s="123">
        <v>54600.886341259662</v>
      </c>
      <c r="P240" s="121">
        <v>65670.020882888071</v>
      </c>
      <c r="Q240" s="120">
        <v>26687.890504018917</v>
      </c>
      <c r="R240" s="319">
        <v>81288.776845278582</v>
      </c>
      <c r="S240" s="315">
        <v>92357.911386906984</v>
      </c>
      <c r="U240" s="7" t="s">
        <v>5402</v>
      </c>
    </row>
    <row r="241" spans="1:21" ht="16.5" thickBot="1">
      <c r="A241" s="1311" t="s">
        <v>4588</v>
      </c>
      <c r="B241" s="1315">
        <f t="shared" si="12"/>
        <v>150</v>
      </c>
      <c r="C241" s="1315" t="s">
        <v>3</v>
      </c>
      <c r="D241" s="1315">
        <f t="shared" si="13"/>
        <v>360</v>
      </c>
      <c r="E241" s="1315" t="s">
        <v>3</v>
      </c>
      <c r="F241" s="1313">
        <f t="shared" si="14"/>
        <v>2000</v>
      </c>
      <c r="G241" s="1315" t="s">
        <v>3</v>
      </c>
      <c r="H241" s="1312">
        <v>4</v>
      </c>
      <c r="I241" s="1314" t="s">
        <v>45</v>
      </c>
      <c r="J241" s="184">
        <v>150</v>
      </c>
      <c r="K241" s="75">
        <v>360</v>
      </c>
      <c r="L241" s="75">
        <v>2000</v>
      </c>
      <c r="M241" s="202">
        <v>34.410236122018645</v>
      </c>
      <c r="N241" s="87">
        <v>2092.5543746645999</v>
      </c>
      <c r="O241" s="123">
        <v>56200.948791705348</v>
      </c>
      <c r="P241" s="121">
        <v>67197.24304506788</v>
      </c>
      <c r="Q241" s="120">
        <v>27472.069423305118</v>
      </c>
      <c r="R241" s="319">
        <v>83673.018215010467</v>
      </c>
      <c r="S241" s="315">
        <v>94669.312468372998</v>
      </c>
      <c r="U241" s="7" t="s">
        <v>5403</v>
      </c>
    </row>
    <row r="242" spans="1:21" ht="16.5" thickBot="1">
      <c r="A242" s="1311" t="s">
        <v>4588</v>
      </c>
      <c r="B242" s="1315">
        <f t="shared" si="12"/>
        <v>150</v>
      </c>
      <c r="C242" s="1315" t="s">
        <v>3</v>
      </c>
      <c r="D242" s="1315">
        <f t="shared" si="13"/>
        <v>360</v>
      </c>
      <c r="E242" s="1315" t="s">
        <v>3</v>
      </c>
      <c r="F242" s="1313">
        <f t="shared" si="14"/>
        <v>2050</v>
      </c>
      <c r="G242" s="1315" t="s">
        <v>3</v>
      </c>
      <c r="H242" s="1312">
        <v>4</v>
      </c>
      <c r="I242" s="1314" t="s">
        <v>45</v>
      </c>
      <c r="J242" s="184">
        <v>150</v>
      </c>
      <c r="K242" s="75">
        <v>360</v>
      </c>
      <c r="L242" s="75">
        <v>2050</v>
      </c>
      <c r="M242" s="202">
        <v>35.20395481422635</v>
      </c>
      <c r="N242" s="87">
        <v>2155.9651132907998</v>
      </c>
      <c r="O242" s="123">
        <v>57334.978423592896</v>
      </c>
      <c r="P242" s="121">
        <v>68557.049070727066</v>
      </c>
      <c r="Q242" s="120">
        <v>28025.666564808042</v>
      </c>
      <c r="R242" s="319">
        <v>85360.644988400934</v>
      </c>
      <c r="S242" s="315">
        <v>96582.715635535104</v>
      </c>
      <c r="U242" s="7" t="s">
        <v>5404</v>
      </c>
    </row>
    <row r="243" spans="1:21" ht="16.5" thickBot="1">
      <c r="A243" s="1311" t="s">
        <v>4588</v>
      </c>
      <c r="B243" s="1312">
        <f t="shared" si="12"/>
        <v>150</v>
      </c>
      <c r="C243" s="1312" t="s">
        <v>3</v>
      </c>
      <c r="D243" s="1312">
        <f t="shared" si="13"/>
        <v>360</v>
      </c>
      <c r="E243" s="1312" t="s">
        <v>3</v>
      </c>
      <c r="F243" s="1313">
        <f t="shared" si="14"/>
        <v>2100</v>
      </c>
      <c r="G243" s="1312" t="s">
        <v>3</v>
      </c>
      <c r="H243" s="1312">
        <v>4</v>
      </c>
      <c r="I243" s="1314" t="s">
        <v>45</v>
      </c>
      <c r="J243" s="184">
        <v>150</v>
      </c>
      <c r="K243" s="75">
        <v>360</v>
      </c>
      <c r="L243" s="75">
        <v>2100</v>
      </c>
      <c r="M243" s="202">
        <v>35.99767350643404</v>
      </c>
      <c r="N243" s="87">
        <v>2219.3758519170001</v>
      </c>
      <c r="O243" s="123">
        <v>58469.008195873816</v>
      </c>
      <c r="P243" s="121">
        <v>69916.85495599288</v>
      </c>
      <c r="Q243" s="120">
        <v>28809.845484094247</v>
      </c>
      <c r="R243" s="319">
        <v>87278.853679968059</v>
      </c>
      <c r="S243" s="315">
        <v>98726.700440087123</v>
      </c>
      <c r="U243" s="7" t="s">
        <v>5405</v>
      </c>
    </row>
    <row r="244" spans="1:21" ht="16.5" thickBot="1">
      <c r="A244" s="1311" t="s">
        <v>4588</v>
      </c>
      <c r="B244" s="1315">
        <f t="shared" si="12"/>
        <v>150</v>
      </c>
      <c r="C244" s="1315" t="s">
        <v>3</v>
      </c>
      <c r="D244" s="1315">
        <f t="shared" si="13"/>
        <v>360</v>
      </c>
      <c r="E244" s="1315" t="s">
        <v>3</v>
      </c>
      <c r="F244" s="1313">
        <f t="shared" si="14"/>
        <v>2150</v>
      </c>
      <c r="G244" s="1315" t="s">
        <v>3</v>
      </c>
      <c r="H244" s="1312">
        <v>4</v>
      </c>
      <c r="I244" s="1314" t="s">
        <v>45</v>
      </c>
      <c r="J244" s="184">
        <v>150</v>
      </c>
      <c r="K244" s="75">
        <v>360</v>
      </c>
      <c r="L244" s="75">
        <v>2150</v>
      </c>
      <c r="M244" s="202">
        <v>36.791392198641745</v>
      </c>
      <c r="N244" s="87">
        <v>2282.7865905432</v>
      </c>
      <c r="O244" s="123">
        <v>59603.037827761356</v>
      </c>
      <c r="P244" s="121">
        <v>71276.660841258694</v>
      </c>
      <c r="Q244" s="120">
        <v>29363.442625597167</v>
      </c>
      <c r="R244" s="319">
        <v>88966.480453358527</v>
      </c>
      <c r="S244" s="315">
        <v>100640.10346685586</v>
      </c>
      <c r="U244" s="7" t="s">
        <v>5406</v>
      </c>
    </row>
    <row r="245" spans="1:21" ht="16.5" thickBot="1">
      <c r="A245" s="1311" t="s">
        <v>4588</v>
      </c>
      <c r="B245" s="1315">
        <f t="shared" si="12"/>
        <v>150</v>
      </c>
      <c r="C245" s="1315" t="s">
        <v>3</v>
      </c>
      <c r="D245" s="1315">
        <f t="shared" si="13"/>
        <v>360</v>
      </c>
      <c r="E245" s="1315" t="s">
        <v>3</v>
      </c>
      <c r="F245" s="1313">
        <f t="shared" si="14"/>
        <v>2200</v>
      </c>
      <c r="G245" s="1315" t="s">
        <v>3</v>
      </c>
      <c r="H245" s="1312">
        <v>4</v>
      </c>
      <c r="I245" s="1314" t="s">
        <v>45</v>
      </c>
      <c r="J245" s="184">
        <v>150</v>
      </c>
      <c r="K245" s="75">
        <v>360</v>
      </c>
      <c r="L245" s="75">
        <v>2200</v>
      </c>
      <c r="M245" s="202">
        <v>37.585110890849442</v>
      </c>
      <c r="N245" s="87">
        <v>2346.1973291693998</v>
      </c>
      <c r="O245" s="123">
        <v>60737.067459648912</v>
      </c>
      <c r="P245" s="121">
        <v>72636.466866917865</v>
      </c>
      <c r="Q245" s="120">
        <v>30147.621544883372</v>
      </c>
      <c r="R245" s="319">
        <v>90884.68900453228</v>
      </c>
      <c r="S245" s="315">
        <v>102784.08841180123</v>
      </c>
      <c r="U245" s="7" t="s">
        <v>5407</v>
      </c>
    </row>
    <row r="246" spans="1:21" ht="16.5" thickBot="1">
      <c r="A246" s="1311" t="s">
        <v>4588</v>
      </c>
      <c r="B246" s="1315">
        <f t="shared" si="12"/>
        <v>150</v>
      </c>
      <c r="C246" s="1315" t="s">
        <v>3</v>
      </c>
      <c r="D246" s="1315">
        <f t="shared" si="13"/>
        <v>360</v>
      </c>
      <c r="E246" s="1315" t="s">
        <v>3</v>
      </c>
      <c r="F246" s="1313">
        <f t="shared" si="14"/>
        <v>2250</v>
      </c>
      <c r="G246" s="1315" t="s">
        <v>3</v>
      </c>
      <c r="H246" s="1312">
        <v>4</v>
      </c>
      <c r="I246" s="1314" t="s">
        <v>45</v>
      </c>
      <c r="J246" s="184">
        <v>150</v>
      </c>
      <c r="K246" s="75">
        <v>360</v>
      </c>
      <c r="L246" s="75">
        <v>2250</v>
      </c>
      <c r="M246" s="202">
        <v>38.37882958305714</v>
      </c>
      <c r="N246" s="87">
        <v>2409.6080677955997</v>
      </c>
      <c r="O246" s="123">
        <v>61871.097091536467</v>
      </c>
      <c r="P246" s="121">
        <v>73996.272752183679</v>
      </c>
      <c r="Q246" s="120">
        <v>30701.218686386295</v>
      </c>
      <c r="R246" s="319">
        <v>92572.315777922762</v>
      </c>
      <c r="S246" s="315">
        <v>104697.49143856997</v>
      </c>
      <c r="U246" s="7" t="s">
        <v>5408</v>
      </c>
    </row>
    <row r="247" spans="1:21" ht="16.5" thickBot="1">
      <c r="A247" s="1311" t="s">
        <v>4588</v>
      </c>
      <c r="B247" s="1315">
        <f t="shared" si="12"/>
        <v>150</v>
      </c>
      <c r="C247" s="1315" t="s">
        <v>3</v>
      </c>
      <c r="D247" s="1315">
        <f t="shared" si="13"/>
        <v>360</v>
      </c>
      <c r="E247" s="1315" t="s">
        <v>3</v>
      </c>
      <c r="F247" s="1313">
        <f t="shared" si="14"/>
        <v>2300</v>
      </c>
      <c r="G247" s="1315" t="s">
        <v>3</v>
      </c>
      <c r="H247" s="1312">
        <v>4</v>
      </c>
      <c r="I247" s="1314" t="s">
        <v>45</v>
      </c>
      <c r="J247" s="184">
        <v>150</v>
      </c>
      <c r="K247" s="75">
        <v>360</v>
      </c>
      <c r="L247" s="75">
        <v>2300</v>
      </c>
      <c r="M247" s="202">
        <v>39.17254827526483</v>
      </c>
      <c r="N247" s="87">
        <v>2473.0188064218</v>
      </c>
      <c r="O247" s="123">
        <v>63005.126863817371</v>
      </c>
      <c r="P247" s="121">
        <v>75356.078637449493</v>
      </c>
      <c r="Q247" s="120">
        <v>31254.815827889219</v>
      </c>
      <c r="R247" s="319">
        <v>94259.942691706587</v>
      </c>
      <c r="S247" s="315">
        <v>106610.89446533872</v>
      </c>
      <c r="U247" s="7" t="s">
        <v>5409</v>
      </c>
    </row>
    <row r="248" spans="1:21" ht="16.5" thickBot="1">
      <c r="A248" s="1311" t="s">
        <v>4588</v>
      </c>
      <c r="B248" s="1315">
        <f t="shared" si="12"/>
        <v>150</v>
      </c>
      <c r="C248" s="1315" t="s">
        <v>3</v>
      </c>
      <c r="D248" s="1315">
        <f t="shared" si="13"/>
        <v>360</v>
      </c>
      <c r="E248" s="1315" t="s">
        <v>3</v>
      </c>
      <c r="F248" s="1313">
        <f t="shared" si="14"/>
        <v>2350</v>
      </c>
      <c r="G248" s="1315" t="s">
        <v>3</v>
      </c>
      <c r="H248" s="1312">
        <v>4</v>
      </c>
      <c r="I248" s="1314" t="s">
        <v>45</v>
      </c>
      <c r="J248" s="184">
        <v>150</v>
      </c>
      <c r="K248" s="75">
        <v>360</v>
      </c>
      <c r="L248" s="75">
        <v>2350</v>
      </c>
      <c r="M248" s="202">
        <v>39.966266967472535</v>
      </c>
      <c r="N248" s="87">
        <v>2536.4295450479999</v>
      </c>
      <c r="O248" s="123">
        <v>64139.156495704927</v>
      </c>
      <c r="P248" s="121">
        <v>76715.884663108664</v>
      </c>
      <c r="Q248" s="120">
        <v>32038.99474717542</v>
      </c>
      <c r="R248" s="319">
        <v>96178.151242880354</v>
      </c>
      <c r="S248" s="315">
        <v>108754.87941028408</v>
      </c>
      <c r="U248" s="7" t="s">
        <v>5410</v>
      </c>
    </row>
    <row r="249" spans="1:21" ht="16.5" thickBot="1">
      <c r="A249" s="1311" t="s">
        <v>4588</v>
      </c>
      <c r="B249" s="1315">
        <f t="shared" si="12"/>
        <v>150</v>
      </c>
      <c r="C249" s="1315" t="s">
        <v>3</v>
      </c>
      <c r="D249" s="1315">
        <f t="shared" si="13"/>
        <v>360</v>
      </c>
      <c r="E249" s="1315" t="s">
        <v>3</v>
      </c>
      <c r="F249" s="1313">
        <f t="shared" si="14"/>
        <v>2400</v>
      </c>
      <c r="G249" s="1315" t="s">
        <v>3</v>
      </c>
      <c r="H249" s="1312">
        <v>4</v>
      </c>
      <c r="I249" s="1314" t="s">
        <v>45</v>
      </c>
      <c r="J249" s="184">
        <v>150</v>
      </c>
      <c r="K249" s="75">
        <v>360</v>
      </c>
      <c r="L249" s="75">
        <v>2400</v>
      </c>
      <c r="M249" s="202">
        <v>40.759985659680218</v>
      </c>
      <c r="N249" s="87">
        <v>2599.8402836741998</v>
      </c>
      <c r="O249" s="123">
        <v>65273.186127592482</v>
      </c>
      <c r="P249" s="121">
        <v>78075.690548374478</v>
      </c>
      <c r="Q249" s="120">
        <v>32592.591888678344</v>
      </c>
      <c r="R249" s="319">
        <v>97865.778016270822</v>
      </c>
      <c r="S249" s="315">
        <v>110668.28243705283</v>
      </c>
      <c r="U249" s="7" t="s">
        <v>5411</v>
      </c>
    </row>
    <row r="250" spans="1:21" ht="16.5" thickBot="1">
      <c r="A250" s="1311" t="s">
        <v>4588</v>
      </c>
      <c r="B250" s="1315">
        <f t="shared" si="12"/>
        <v>150</v>
      </c>
      <c r="C250" s="1315" t="s">
        <v>3</v>
      </c>
      <c r="D250" s="1315">
        <f t="shared" si="13"/>
        <v>360</v>
      </c>
      <c r="E250" s="1315" t="s">
        <v>3</v>
      </c>
      <c r="F250" s="1313">
        <f t="shared" si="14"/>
        <v>2450</v>
      </c>
      <c r="G250" s="1315" t="s">
        <v>3</v>
      </c>
      <c r="H250" s="1312">
        <v>4</v>
      </c>
      <c r="I250" s="1314" t="s">
        <v>45</v>
      </c>
      <c r="J250" s="184">
        <v>150</v>
      </c>
      <c r="K250" s="75">
        <v>360</v>
      </c>
      <c r="L250" s="75">
        <v>2450</v>
      </c>
      <c r="M250" s="202">
        <v>41.55370435188793</v>
      </c>
      <c r="N250" s="87">
        <v>2663.2510223004001</v>
      </c>
      <c r="O250" s="123">
        <v>66407.215759480023</v>
      </c>
      <c r="P250" s="121">
        <v>79435.496574033648</v>
      </c>
      <c r="Q250" s="120">
        <v>33376.770807964545</v>
      </c>
      <c r="R250" s="319">
        <v>99783.986567444575</v>
      </c>
      <c r="S250" s="315">
        <v>112812.26738199819</v>
      </c>
      <c r="U250" s="7" t="s">
        <v>5412</v>
      </c>
    </row>
    <row r="251" spans="1:21" ht="16.5" thickBot="1">
      <c r="A251" s="1311" t="s">
        <v>4588</v>
      </c>
      <c r="B251" s="1315">
        <f t="shared" si="12"/>
        <v>150</v>
      </c>
      <c r="C251" s="1315" t="s">
        <v>3</v>
      </c>
      <c r="D251" s="1315">
        <f t="shared" si="13"/>
        <v>360</v>
      </c>
      <c r="E251" s="1315" t="s">
        <v>3</v>
      </c>
      <c r="F251" s="1313">
        <f t="shared" si="14"/>
        <v>2500</v>
      </c>
      <c r="G251" s="1315" t="s">
        <v>3</v>
      </c>
      <c r="H251" s="1312">
        <v>4</v>
      </c>
      <c r="I251" s="1314" t="s">
        <v>45</v>
      </c>
      <c r="J251" s="184">
        <v>150</v>
      </c>
      <c r="K251" s="75">
        <v>360</v>
      </c>
      <c r="L251" s="75">
        <v>2500</v>
      </c>
      <c r="M251" s="202">
        <v>42.873542644095622</v>
      </c>
      <c r="N251" s="87">
        <v>2726.6617609266</v>
      </c>
      <c r="O251" s="123">
        <v>68464.080164899467</v>
      </c>
      <c r="P251" s="121">
        <v>82054.256351433316</v>
      </c>
      <c r="Q251" s="120">
        <v>33930.367949467472</v>
      </c>
      <c r="R251" s="319">
        <v>102394.44811436694</v>
      </c>
      <c r="S251" s="315">
        <v>115984.62430090079</v>
      </c>
      <c r="U251" s="7" t="s">
        <v>5413</v>
      </c>
    </row>
    <row r="252" spans="1:21" ht="16.5" thickBot="1">
      <c r="A252" s="1311" t="s">
        <v>4588</v>
      </c>
      <c r="B252" s="1315">
        <f t="shared" si="12"/>
        <v>150</v>
      </c>
      <c r="C252" s="1315" t="s">
        <v>3</v>
      </c>
      <c r="D252" s="1315">
        <f t="shared" si="13"/>
        <v>360</v>
      </c>
      <c r="E252" s="1315" t="s">
        <v>3</v>
      </c>
      <c r="F252" s="1313">
        <f t="shared" si="14"/>
        <v>2550</v>
      </c>
      <c r="G252" s="1315" t="s">
        <v>3</v>
      </c>
      <c r="H252" s="1312">
        <v>4</v>
      </c>
      <c r="I252" s="1314" t="s">
        <v>45</v>
      </c>
      <c r="J252" s="184">
        <v>150</v>
      </c>
      <c r="K252" s="75">
        <v>360</v>
      </c>
      <c r="L252" s="75">
        <v>2550</v>
      </c>
      <c r="M252" s="202">
        <v>43.667261336303326</v>
      </c>
      <c r="N252" s="87">
        <v>2790.0724995528003</v>
      </c>
      <c r="O252" s="123">
        <v>69961.307144787803</v>
      </c>
      <c r="P252" s="121">
        <v>83428.101572949119</v>
      </c>
      <c r="Q252" s="120">
        <v>34714.547009147034</v>
      </c>
      <c r="R252" s="319">
        <v>104675.85415393484</v>
      </c>
      <c r="S252" s="315">
        <v>118142.64858209615</v>
      </c>
      <c r="U252" s="7" t="s">
        <v>5414</v>
      </c>
    </row>
    <row r="253" spans="1:21" ht="16.5" thickBot="1">
      <c r="A253" s="1311" t="s">
        <v>4588</v>
      </c>
      <c r="B253" s="1312">
        <f t="shared" si="12"/>
        <v>150</v>
      </c>
      <c r="C253" s="1312" t="s">
        <v>3</v>
      </c>
      <c r="D253" s="1312">
        <f t="shared" si="13"/>
        <v>360</v>
      </c>
      <c r="E253" s="1312" t="s">
        <v>3</v>
      </c>
      <c r="F253" s="1313">
        <f t="shared" si="14"/>
        <v>2600</v>
      </c>
      <c r="G253" s="1312" t="s">
        <v>3</v>
      </c>
      <c r="H253" s="1312">
        <v>4</v>
      </c>
      <c r="I253" s="1314" t="s">
        <v>45</v>
      </c>
      <c r="J253" s="184">
        <v>150</v>
      </c>
      <c r="K253" s="75">
        <v>360</v>
      </c>
      <c r="L253" s="75">
        <v>2600</v>
      </c>
      <c r="M253" s="202">
        <v>44.460980028511017</v>
      </c>
      <c r="N253" s="87">
        <v>2853.4832381789997</v>
      </c>
      <c r="O253" s="123">
        <v>71095.336917068722</v>
      </c>
      <c r="P253" s="121">
        <v>84787.907598608304</v>
      </c>
      <c r="Q253" s="120">
        <v>35268.144150649961</v>
      </c>
      <c r="R253" s="319">
        <v>106363.48106771868</v>
      </c>
      <c r="S253" s="315">
        <v>120056.05174925827</v>
      </c>
      <c r="U253" s="7" t="s">
        <v>5415</v>
      </c>
    </row>
    <row r="254" spans="1:21" ht="16.5" thickBot="1">
      <c r="A254" s="1311" t="s">
        <v>4588</v>
      </c>
      <c r="B254" s="1315">
        <f t="shared" si="12"/>
        <v>150</v>
      </c>
      <c r="C254" s="1315" t="s">
        <v>3</v>
      </c>
      <c r="D254" s="1315">
        <f t="shared" si="13"/>
        <v>360</v>
      </c>
      <c r="E254" s="1315" t="s">
        <v>3</v>
      </c>
      <c r="F254" s="1313">
        <f t="shared" si="14"/>
        <v>2650</v>
      </c>
      <c r="G254" s="1315" t="s">
        <v>3</v>
      </c>
      <c r="H254" s="1312">
        <v>4</v>
      </c>
      <c r="I254" s="1314" t="s">
        <v>45</v>
      </c>
      <c r="J254" s="184">
        <v>150</v>
      </c>
      <c r="K254" s="75">
        <v>360</v>
      </c>
      <c r="L254" s="75">
        <v>2650</v>
      </c>
      <c r="M254" s="202">
        <v>45.254698720718714</v>
      </c>
      <c r="N254" s="87">
        <v>2916.8939768051996</v>
      </c>
      <c r="O254" s="123">
        <v>72229.36654895627</v>
      </c>
      <c r="P254" s="121">
        <v>86147.713483874119</v>
      </c>
      <c r="Q254" s="120">
        <v>36052.323069936159</v>
      </c>
      <c r="R254" s="319">
        <v>108281.68961889243</v>
      </c>
      <c r="S254" s="315">
        <v>122200.03655381028</v>
      </c>
      <c r="U254" s="7" t="s">
        <v>5416</v>
      </c>
    </row>
    <row r="255" spans="1:21" ht="16.5" thickBot="1">
      <c r="A255" s="1311" t="s">
        <v>4588</v>
      </c>
      <c r="B255" s="1315">
        <f t="shared" si="12"/>
        <v>150</v>
      </c>
      <c r="C255" s="1315" t="s">
        <v>3</v>
      </c>
      <c r="D255" s="1315">
        <f t="shared" si="13"/>
        <v>360</v>
      </c>
      <c r="E255" s="1315" t="s">
        <v>3</v>
      </c>
      <c r="F255" s="1313">
        <f t="shared" si="14"/>
        <v>2700</v>
      </c>
      <c r="G255" s="1315" t="s">
        <v>3</v>
      </c>
      <c r="H255" s="1312">
        <v>4</v>
      </c>
      <c r="I255" s="1314" t="s">
        <v>45</v>
      </c>
      <c r="J255" s="184">
        <v>150</v>
      </c>
      <c r="K255" s="75">
        <v>360</v>
      </c>
      <c r="L255" s="75">
        <v>2700</v>
      </c>
      <c r="M255" s="202">
        <v>46.048417412926412</v>
      </c>
      <c r="N255" s="87">
        <v>2980.3047154313999</v>
      </c>
      <c r="O255" s="123">
        <v>73363.396180843818</v>
      </c>
      <c r="P255" s="121">
        <v>87507.519369139933</v>
      </c>
      <c r="Q255" s="120">
        <v>36605.920211439086</v>
      </c>
      <c r="R255" s="319">
        <v>109969.3163922829</v>
      </c>
      <c r="S255" s="315">
        <v>124113.43958057903</v>
      </c>
      <c r="U255" s="7" t="s">
        <v>5417</v>
      </c>
    </row>
    <row r="256" spans="1:21" ht="16.5" thickBot="1">
      <c r="A256" s="1311" t="s">
        <v>4588</v>
      </c>
      <c r="B256" s="1315">
        <f t="shared" si="12"/>
        <v>150</v>
      </c>
      <c r="C256" s="1315" t="s">
        <v>3</v>
      </c>
      <c r="D256" s="1315">
        <f t="shared" si="13"/>
        <v>360</v>
      </c>
      <c r="E256" s="1315" t="s">
        <v>3</v>
      </c>
      <c r="F256" s="1313">
        <f t="shared" si="14"/>
        <v>2750</v>
      </c>
      <c r="G256" s="1315" t="s">
        <v>3</v>
      </c>
      <c r="H256" s="1312">
        <v>4</v>
      </c>
      <c r="I256" s="1314" t="s">
        <v>45</v>
      </c>
      <c r="J256" s="184">
        <v>150</v>
      </c>
      <c r="K256" s="75">
        <v>360</v>
      </c>
      <c r="L256" s="75">
        <v>2750</v>
      </c>
      <c r="M256" s="202">
        <v>46.842136105134102</v>
      </c>
      <c r="N256" s="87">
        <v>3043.7154540575998</v>
      </c>
      <c r="O256" s="123">
        <v>74497.425812731366</v>
      </c>
      <c r="P256" s="121">
        <v>88867.325394799103</v>
      </c>
      <c r="Q256" s="120">
        <v>37159.517352942006</v>
      </c>
      <c r="R256" s="319">
        <v>111656.94316567338</v>
      </c>
      <c r="S256" s="315">
        <v>126026.84274774112</v>
      </c>
      <c r="U256" s="7" t="s">
        <v>5418</v>
      </c>
    </row>
    <row r="257" spans="1:21" ht="16.5" thickBot="1">
      <c r="A257" s="1311" t="s">
        <v>4588</v>
      </c>
      <c r="B257" s="1315">
        <f t="shared" si="12"/>
        <v>150</v>
      </c>
      <c r="C257" s="1315" t="s">
        <v>3</v>
      </c>
      <c r="D257" s="1315">
        <f t="shared" si="13"/>
        <v>360</v>
      </c>
      <c r="E257" s="1315" t="s">
        <v>3</v>
      </c>
      <c r="F257" s="1313">
        <f t="shared" si="14"/>
        <v>2800</v>
      </c>
      <c r="G257" s="1315" t="s">
        <v>3</v>
      </c>
      <c r="H257" s="1312">
        <v>4</v>
      </c>
      <c r="I257" s="1314" t="s">
        <v>45</v>
      </c>
      <c r="J257" s="184">
        <v>150</v>
      </c>
      <c r="K257" s="75">
        <v>360</v>
      </c>
      <c r="L257" s="75">
        <v>2800</v>
      </c>
      <c r="M257" s="202">
        <v>47.635854797341821</v>
      </c>
      <c r="N257" s="87">
        <v>3107.1261926838001</v>
      </c>
      <c r="O257" s="123">
        <v>75631.455585012271</v>
      </c>
      <c r="P257" s="121">
        <v>90227.131280064918</v>
      </c>
      <c r="Q257" s="120">
        <v>37943.696272228204</v>
      </c>
      <c r="R257" s="319">
        <v>113575.15185724047</v>
      </c>
      <c r="S257" s="315">
        <v>128170.82755229312</v>
      </c>
      <c r="U257" s="7" t="s">
        <v>5419</v>
      </c>
    </row>
    <row r="258" spans="1:21" ht="16.5" thickBot="1">
      <c r="A258" s="1311" t="s">
        <v>4588</v>
      </c>
      <c r="B258" s="1315">
        <f t="shared" si="12"/>
        <v>150</v>
      </c>
      <c r="C258" s="1315" t="s">
        <v>3</v>
      </c>
      <c r="D258" s="1315">
        <f t="shared" si="13"/>
        <v>360</v>
      </c>
      <c r="E258" s="1315" t="s">
        <v>3</v>
      </c>
      <c r="F258" s="1313">
        <f t="shared" si="14"/>
        <v>2850</v>
      </c>
      <c r="G258" s="1315" t="s">
        <v>3</v>
      </c>
      <c r="H258" s="1312">
        <v>4</v>
      </c>
      <c r="I258" s="1314" t="s">
        <v>45</v>
      </c>
      <c r="J258" s="184">
        <v>150</v>
      </c>
      <c r="K258" s="75">
        <v>360</v>
      </c>
      <c r="L258" s="75">
        <v>2850</v>
      </c>
      <c r="M258" s="202">
        <v>48.429573489549512</v>
      </c>
      <c r="N258" s="87">
        <v>3170.53693131</v>
      </c>
      <c r="O258" s="123">
        <v>76765.485216899833</v>
      </c>
      <c r="P258" s="121">
        <v>91586.937305724088</v>
      </c>
      <c r="Q258" s="120">
        <v>38497.293413731131</v>
      </c>
      <c r="R258" s="319">
        <v>115262.77863063096</v>
      </c>
      <c r="S258" s="315">
        <v>130084.23071945523</v>
      </c>
      <c r="U258" s="7" t="s">
        <v>5420</v>
      </c>
    </row>
    <row r="259" spans="1:21" ht="16.5" thickBot="1">
      <c r="A259" s="1311" t="s">
        <v>4588</v>
      </c>
      <c r="B259" s="1315">
        <f t="shared" si="12"/>
        <v>150</v>
      </c>
      <c r="C259" s="1315" t="s">
        <v>3</v>
      </c>
      <c r="D259" s="1315">
        <f t="shared" si="13"/>
        <v>360</v>
      </c>
      <c r="E259" s="1315" t="s">
        <v>3</v>
      </c>
      <c r="F259" s="1313">
        <f t="shared" si="14"/>
        <v>2900</v>
      </c>
      <c r="G259" s="1315" t="s">
        <v>3</v>
      </c>
      <c r="H259" s="1312">
        <v>4</v>
      </c>
      <c r="I259" s="1314" t="s">
        <v>45</v>
      </c>
      <c r="J259" s="184">
        <v>150</v>
      </c>
      <c r="K259" s="75">
        <v>360</v>
      </c>
      <c r="L259" s="75">
        <v>2900</v>
      </c>
      <c r="M259" s="202">
        <v>49.223292181757202</v>
      </c>
      <c r="N259" s="87">
        <v>3233.9476699361999</v>
      </c>
      <c r="O259" s="123">
        <v>77899.514848787381</v>
      </c>
      <c r="P259" s="121">
        <v>92946.743190989917</v>
      </c>
      <c r="Q259" s="120">
        <v>39281.472333017329</v>
      </c>
      <c r="R259" s="319">
        <v>117180.98718180471</v>
      </c>
      <c r="S259" s="315">
        <v>132228.21552400725</v>
      </c>
      <c r="U259" s="7" t="s">
        <v>5421</v>
      </c>
    </row>
    <row r="260" spans="1:21" ht="16.5" thickBot="1">
      <c r="A260" s="1311" t="s">
        <v>4588</v>
      </c>
      <c r="B260" s="1315">
        <f t="shared" si="12"/>
        <v>150</v>
      </c>
      <c r="C260" s="1315" t="s">
        <v>3</v>
      </c>
      <c r="D260" s="1315">
        <f t="shared" si="13"/>
        <v>360</v>
      </c>
      <c r="E260" s="1315" t="s">
        <v>3</v>
      </c>
      <c r="F260" s="1313">
        <f t="shared" si="14"/>
        <v>2950</v>
      </c>
      <c r="G260" s="1315" t="s">
        <v>3</v>
      </c>
      <c r="H260" s="1312">
        <v>4</v>
      </c>
      <c r="I260" s="1314" t="s">
        <v>45</v>
      </c>
      <c r="J260" s="184">
        <v>150</v>
      </c>
      <c r="K260" s="75">
        <v>360</v>
      </c>
      <c r="L260" s="75">
        <v>2950</v>
      </c>
      <c r="M260" s="202">
        <v>50.017010873964907</v>
      </c>
      <c r="N260" s="87">
        <v>3297.3584085624002</v>
      </c>
      <c r="O260" s="123">
        <v>79033.544621068286</v>
      </c>
      <c r="P260" s="121">
        <v>94306.549076255716</v>
      </c>
      <c r="Q260" s="120">
        <v>39835.069474520256</v>
      </c>
      <c r="R260" s="319">
        <v>118868.61409558853</v>
      </c>
      <c r="S260" s="315">
        <v>134141.61855077598</v>
      </c>
      <c r="U260" s="7" t="s">
        <v>5422</v>
      </c>
    </row>
    <row r="261" spans="1:21" ht="16.5" thickBot="1">
      <c r="A261" s="1311" t="s">
        <v>4588</v>
      </c>
      <c r="B261" s="1317">
        <f t="shared" si="12"/>
        <v>150</v>
      </c>
      <c r="C261" s="1317" t="s">
        <v>3</v>
      </c>
      <c r="D261" s="1317">
        <f t="shared" si="13"/>
        <v>360</v>
      </c>
      <c r="E261" s="1317" t="s">
        <v>3</v>
      </c>
      <c r="F261" s="1318">
        <f t="shared" si="14"/>
        <v>3000</v>
      </c>
      <c r="G261" s="1317" t="s">
        <v>3</v>
      </c>
      <c r="H261" s="1312">
        <v>4</v>
      </c>
      <c r="I261" s="1314" t="s">
        <v>45</v>
      </c>
      <c r="J261" s="186">
        <v>150</v>
      </c>
      <c r="K261" s="147">
        <v>360</v>
      </c>
      <c r="L261" s="147">
        <v>3000</v>
      </c>
      <c r="M261" s="209">
        <v>51.091659166172597</v>
      </c>
      <c r="N261" s="148">
        <v>3360.7691471885996</v>
      </c>
      <c r="O261" s="149">
        <v>80431.199293323836</v>
      </c>
      <c r="P261" s="158">
        <v>95929.98014228289</v>
      </c>
      <c r="Q261" s="159">
        <v>40619.248393806454</v>
      </c>
      <c r="R261" s="320">
        <v>121050.44768713029</v>
      </c>
      <c r="S261" s="317">
        <v>136549.22853608936</v>
      </c>
      <c r="U261" s="7" t="s">
        <v>5423</v>
      </c>
    </row>
    <row r="262" spans="1:21" ht="16.5" thickBot="1">
      <c r="A262" s="2621" t="s">
        <v>67</v>
      </c>
      <c r="B262" s="2622"/>
      <c r="C262" s="2622"/>
      <c r="D262" s="2622"/>
      <c r="E262" s="2622"/>
      <c r="F262" s="2622"/>
      <c r="G262" s="2622"/>
      <c r="H262" s="2622"/>
      <c r="I262" s="2622"/>
      <c r="J262" s="2622"/>
      <c r="K262" s="2622"/>
      <c r="L262" s="2622"/>
      <c r="M262" s="2622"/>
      <c r="N262" s="2622"/>
      <c r="O262" s="2622"/>
      <c r="P262" s="2622"/>
      <c r="Q262" s="2622"/>
      <c r="R262" s="2622"/>
      <c r="S262" s="2623"/>
      <c r="U262" s="7"/>
    </row>
    <row r="263" spans="1:21" ht="16.5" thickBot="1">
      <c r="A263" s="2583" t="s">
        <v>4589</v>
      </c>
      <c r="B263" s="2584"/>
      <c r="C263" s="2584"/>
      <c r="D263" s="2584"/>
      <c r="E263" s="2584"/>
      <c r="F263" s="2584"/>
      <c r="G263" s="2584"/>
      <c r="H263" s="2584"/>
      <c r="I263" s="2584"/>
      <c r="J263" s="2584"/>
      <c r="K263" s="2584"/>
      <c r="L263" s="2584"/>
      <c r="M263" s="2584"/>
      <c r="N263" s="2584"/>
      <c r="O263" s="2584"/>
      <c r="P263" s="2584"/>
      <c r="Q263" s="2584"/>
      <c r="R263" s="2584"/>
      <c r="S263" s="2585"/>
      <c r="U263" s="7"/>
    </row>
    <row r="264" spans="1:21" ht="16.5" thickBot="1">
      <c r="A264" s="1311" t="s">
        <v>4588</v>
      </c>
      <c r="B264" s="1312">
        <f>J264</f>
        <v>150</v>
      </c>
      <c r="C264" s="1312" t="s">
        <v>3</v>
      </c>
      <c r="D264" s="1312">
        <f>K264</f>
        <v>400</v>
      </c>
      <c r="E264" s="1312" t="s">
        <v>3</v>
      </c>
      <c r="F264" s="1313">
        <f>L264</f>
        <v>600</v>
      </c>
      <c r="G264" s="1312" t="s">
        <v>3</v>
      </c>
      <c r="H264" s="1312">
        <v>4</v>
      </c>
      <c r="I264" s="1314" t="s">
        <v>45</v>
      </c>
      <c r="J264" s="181">
        <v>150</v>
      </c>
      <c r="K264" s="143">
        <v>400</v>
      </c>
      <c r="L264" s="143">
        <v>600</v>
      </c>
      <c r="M264" s="201">
        <v>12.214232298939962</v>
      </c>
      <c r="N264" s="144">
        <v>341.4</v>
      </c>
      <c r="O264" s="145">
        <v>23227.973722735878</v>
      </c>
      <c r="P264" s="183">
        <v>28626.879519136466</v>
      </c>
      <c r="Q264" s="169">
        <v>9871.7007401553401</v>
      </c>
      <c r="R264" s="318">
        <v>33099.67446289122</v>
      </c>
      <c r="S264" s="313">
        <v>38498.580259291804</v>
      </c>
      <c r="U264" s="7" t="s">
        <v>5424</v>
      </c>
    </row>
    <row r="265" spans="1:21" ht="16.5" thickBot="1">
      <c r="A265" s="1311" t="s">
        <v>4588</v>
      </c>
      <c r="B265" s="1315">
        <f t="shared" ref="B265:B312" si="15">J265</f>
        <v>150</v>
      </c>
      <c r="C265" s="1315" t="s">
        <v>3</v>
      </c>
      <c r="D265" s="1315">
        <f t="shared" ref="D265:D312" si="16">K265</f>
        <v>400</v>
      </c>
      <c r="E265" s="1315" t="s">
        <v>3</v>
      </c>
      <c r="F265" s="1313">
        <f t="shared" ref="F265:F312" si="17">L265</f>
        <v>650</v>
      </c>
      <c r="G265" s="1315" t="s">
        <v>3</v>
      </c>
      <c r="H265" s="1312">
        <v>4</v>
      </c>
      <c r="I265" s="1314" t="s">
        <v>45</v>
      </c>
      <c r="J265" s="184">
        <v>150</v>
      </c>
      <c r="K265" s="75">
        <v>400</v>
      </c>
      <c r="L265" s="75">
        <v>650</v>
      </c>
      <c r="M265" s="202">
        <v>13.047859721042396</v>
      </c>
      <c r="N265" s="87">
        <v>409.67999999999995</v>
      </c>
      <c r="O265" s="123">
        <v>24381.592159706332</v>
      </c>
      <c r="P265" s="121">
        <v>30019.957508167881</v>
      </c>
      <c r="Q265" s="120">
        <v>10474.092577548676</v>
      </c>
      <c r="R265" s="319">
        <v>34855.684737255011</v>
      </c>
      <c r="S265" s="315">
        <v>40494.050085716561</v>
      </c>
      <c r="U265" s="7" t="s">
        <v>5425</v>
      </c>
    </row>
    <row r="266" spans="1:21" ht="16.5" thickBot="1">
      <c r="A266" s="1311" t="s">
        <v>4588</v>
      </c>
      <c r="B266" s="1315">
        <f t="shared" si="15"/>
        <v>150</v>
      </c>
      <c r="C266" s="1315" t="s">
        <v>3</v>
      </c>
      <c r="D266" s="1315">
        <f t="shared" si="16"/>
        <v>400</v>
      </c>
      <c r="E266" s="1315" t="s">
        <v>3</v>
      </c>
      <c r="F266" s="1313">
        <f t="shared" si="17"/>
        <v>700</v>
      </c>
      <c r="G266" s="1315" t="s">
        <v>3</v>
      </c>
      <c r="H266" s="1312">
        <v>4</v>
      </c>
      <c r="I266" s="1314" t="s">
        <v>45</v>
      </c>
      <c r="J266" s="184">
        <v>150</v>
      </c>
      <c r="K266" s="75">
        <v>400</v>
      </c>
      <c r="L266" s="75">
        <v>700</v>
      </c>
      <c r="M266" s="202">
        <v>13.881487143144831</v>
      </c>
      <c r="N266" s="87">
        <v>477.95999999999992</v>
      </c>
      <c r="O266" s="123">
        <v>25535.210456283417</v>
      </c>
      <c r="P266" s="121">
        <v>31413.035637592657</v>
      </c>
      <c r="Q266" s="120">
        <v>11307.066052331927</v>
      </c>
      <c r="R266" s="319">
        <v>36842.276508615345</v>
      </c>
      <c r="S266" s="315">
        <v>42720.101689924588</v>
      </c>
      <c r="U266" s="7" t="s">
        <v>5426</v>
      </c>
    </row>
    <row r="267" spans="1:21" ht="16.5" thickBot="1">
      <c r="A267" s="1311" t="s">
        <v>4588</v>
      </c>
      <c r="B267" s="1315">
        <f t="shared" si="15"/>
        <v>150</v>
      </c>
      <c r="C267" s="1315" t="s">
        <v>3</v>
      </c>
      <c r="D267" s="1315">
        <f t="shared" si="16"/>
        <v>400</v>
      </c>
      <c r="E267" s="1315" t="s">
        <v>3</v>
      </c>
      <c r="F267" s="1313">
        <f t="shared" si="17"/>
        <v>750</v>
      </c>
      <c r="G267" s="1315" t="s">
        <v>3</v>
      </c>
      <c r="H267" s="1312">
        <v>4</v>
      </c>
      <c r="I267" s="1314" t="s">
        <v>45</v>
      </c>
      <c r="J267" s="184">
        <v>150</v>
      </c>
      <c r="K267" s="75">
        <v>400</v>
      </c>
      <c r="L267" s="75">
        <v>750</v>
      </c>
      <c r="M267" s="202">
        <v>14.715114565247264</v>
      </c>
      <c r="N267" s="87">
        <v>546.24</v>
      </c>
      <c r="O267" s="123">
        <v>26688.828893253871</v>
      </c>
      <c r="P267" s="121">
        <v>32806.113767017428</v>
      </c>
      <c r="Q267" s="120">
        <v>11909.457889725263</v>
      </c>
      <c r="R267" s="319">
        <v>38598.286782979136</v>
      </c>
      <c r="S267" s="315">
        <v>44715.571656742693</v>
      </c>
      <c r="U267" s="7" t="s">
        <v>5427</v>
      </c>
    </row>
    <row r="268" spans="1:21" ht="16.5" thickBot="1">
      <c r="A268" s="1311" t="s">
        <v>4588</v>
      </c>
      <c r="B268" s="1315">
        <f t="shared" si="15"/>
        <v>150</v>
      </c>
      <c r="C268" s="1315" t="s">
        <v>3</v>
      </c>
      <c r="D268" s="1315">
        <f t="shared" si="16"/>
        <v>400</v>
      </c>
      <c r="E268" s="1315" t="s">
        <v>3</v>
      </c>
      <c r="F268" s="1313">
        <f t="shared" si="17"/>
        <v>800</v>
      </c>
      <c r="G268" s="1315" t="s">
        <v>3</v>
      </c>
      <c r="H268" s="1312">
        <v>4</v>
      </c>
      <c r="I268" s="1314" t="s">
        <v>45</v>
      </c>
      <c r="J268" s="184">
        <v>150</v>
      </c>
      <c r="K268" s="75">
        <v>400</v>
      </c>
      <c r="L268" s="75">
        <v>800</v>
      </c>
      <c r="M268" s="202">
        <v>15.548741987349697</v>
      </c>
      <c r="N268" s="87">
        <v>614.52</v>
      </c>
      <c r="O268" s="123">
        <v>28207.02867599262</v>
      </c>
      <c r="P268" s="121">
        <v>34213.23109229884</v>
      </c>
      <c r="Q268" s="120">
        <v>12511.84958672524</v>
      </c>
      <c r="R268" s="319">
        <v>40718.878262717859</v>
      </c>
      <c r="S268" s="315">
        <v>46725.080679024082</v>
      </c>
      <c r="U268" s="7" t="s">
        <v>5428</v>
      </c>
    </row>
    <row r="269" spans="1:21" ht="16.5" thickBot="1">
      <c r="A269" s="1311" t="s">
        <v>4588</v>
      </c>
      <c r="B269" s="1315">
        <f t="shared" si="15"/>
        <v>150</v>
      </c>
      <c r="C269" s="1315" t="s">
        <v>3</v>
      </c>
      <c r="D269" s="1315">
        <f t="shared" si="16"/>
        <v>400</v>
      </c>
      <c r="E269" s="1315" t="s">
        <v>3</v>
      </c>
      <c r="F269" s="1313">
        <f t="shared" si="17"/>
        <v>850</v>
      </c>
      <c r="G269" s="1315" t="s">
        <v>3</v>
      </c>
      <c r="H269" s="1312">
        <v>4</v>
      </c>
      <c r="I269" s="1314" t="s">
        <v>45</v>
      </c>
      <c r="J269" s="184">
        <v>150</v>
      </c>
      <c r="K269" s="75">
        <v>400</v>
      </c>
      <c r="L269" s="75">
        <v>850</v>
      </c>
      <c r="M269" s="202">
        <v>16.382369409452131</v>
      </c>
      <c r="N269" s="87">
        <v>682.8</v>
      </c>
      <c r="O269" s="123">
        <v>29360.647112963066</v>
      </c>
      <c r="P269" s="121">
        <v>35606.309221723619</v>
      </c>
      <c r="Q269" s="120">
        <v>13344.823201901852</v>
      </c>
      <c r="R269" s="319">
        <v>42705.470314864921</v>
      </c>
      <c r="S269" s="315">
        <v>48951.132423625473</v>
      </c>
      <c r="U269" s="7" t="s">
        <v>5429</v>
      </c>
    </row>
    <row r="270" spans="1:21" ht="16.5" thickBot="1">
      <c r="A270" s="1311" t="s">
        <v>4588</v>
      </c>
      <c r="B270" s="1315">
        <f t="shared" si="15"/>
        <v>150</v>
      </c>
      <c r="C270" s="1315" t="s">
        <v>3</v>
      </c>
      <c r="D270" s="1315">
        <f t="shared" si="16"/>
        <v>400</v>
      </c>
      <c r="E270" s="1315" t="s">
        <v>3</v>
      </c>
      <c r="F270" s="1313">
        <f t="shared" si="17"/>
        <v>900</v>
      </c>
      <c r="G270" s="1315" t="s">
        <v>3</v>
      </c>
      <c r="H270" s="1312">
        <v>4</v>
      </c>
      <c r="I270" s="1314" t="s">
        <v>45</v>
      </c>
      <c r="J270" s="184">
        <v>150</v>
      </c>
      <c r="K270" s="75">
        <v>400</v>
      </c>
      <c r="L270" s="75">
        <v>900</v>
      </c>
      <c r="M270" s="202">
        <v>17.215996831554563</v>
      </c>
      <c r="N270" s="87">
        <v>751.08</v>
      </c>
      <c r="O270" s="123">
        <v>30514.265409540156</v>
      </c>
      <c r="P270" s="121">
        <v>36999.387210755034</v>
      </c>
      <c r="Q270" s="120">
        <v>13947.21489890183</v>
      </c>
      <c r="R270" s="319">
        <v>44461.480308441984</v>
      </c>
      <c r="S270" s="315">
        <v>50946.602109656866</v>
      </c>
      <c r="U270" s="7" t="s">
        <v>5430</v>
      </c>
    </row>
    <row r="271" spans="1:21" ht="16.5" thickBot="1">
      <c r="A271" s="1311" t="s">
        <v>4588</v>
      </c>
      <c r="B271" s="1315">
        <f t="shared" si="15"/>
        <v>150</v>
      </c>
      <c r="C271" s="1315" t="s">
        <v>3</v>
      </c>
      <c r="D271" s="1315">
        <f t="shared" si="16"/>
        <v>400</v>
      </c>
      <c r="E271" s="1315" t="s">
        <v>3</v>
      </c>
      <c r="F271" s="1313">
        <f t="shared" si="17"/>
        <v>950</v>
      </c>
      <c r="G271" s="1315" t="s">
        <v>3</v>
      </c>
      <c r="H271" s="1312">
        <v>4</v>
      </c>
      <c r="I271" s="1314" t="s">
        <v>45</v>
      </c>
      <c r="J271" s="184">
        <v>150</v>
      </c>
      <c r="K271" s="75">
        <v>400</v>
      </c>
      <c r="L271" s="75">
        <v>950</v>
      </c>
      <c r="M271" s="202">
        <v>18.049624253657001</v>
      </c>
      <c r="N271" s="87">
        <v>819.3599999999999</v>
      </c>
      <c r="O271" s="123">
        <v>31667.883846510467</v>
      </c>
      <c r="P271" s="121">
        <v>38392.465340179806</v>
      </c>
      <c r="Q271" s="120">
        <v>14780.188514078442</v>
      </c>
      <c r="R271" s="319">
        <v>46448.072360588907</v>
      </c>
      <c r="S271" s="315">
        <v>53172.653854258249</v>
      </c>
      <c r="U271" s="7" t="s">
        <v>5431</v>
      </c>
    </row>
    <row r="272" spans="1:21" ht="16.5" thickBot="1">
      <c r="A272" s="1311" t="s">
        <v>4588</v>
      </c>
      <c r="B272" s="1315">
        <f t="shared" si="15"/>
        <v>150</v>
      </c>
      <c r="C272" s="1315" t="s">
        <v>3</v>
      </c>
      <c r="D272" s="1315">
        <f t="shared" si="16"/>
        <v>400</v>
      </c>
      <c r="E272" s="1315" t="s">
        <v>3</v>
      </c>
      <c r="F272" s="1313">
        <f t="shared" si="17"/>
        <v>1000</v>
      </c>
      <c r="G272" s="1315" t="s">
        <v>3</v>
      </c>
      <c r="H272" s="1312">
        <v>4</v>
      </c>
      <c r="I272" s="1314" t="s">
        <v>45</v>
      </c>
      <c r="J272" s="184">
        <v>150</v>
      </c>
      <c r="K272" s="75">
        <v>400</v>
      </c>
      <c r="L272" s="75">
        <v>1000</v>
      </c>
      <c r="M272" s="202">
        <v>19.039323675759441</v>
      </c>
      <c r="N272" s="87">
        <v>887.64</v>
      </c>
      <c r="O272" s="123">
        <v>32892.709796941053</v>
      </c>
      <c r="P272" s="121">
        <v>39856.750842671223</v>
      </c>
      <c r="Q272" s="120">
        <v>15382.580351471779</v>
      </c>
      <c r="R272" s="319">
        <v>48275.290148412831</v>
      </c>
      <c r="S272" s="315">
        <v>55239.331194143</v>
      </c>
      <c r="U272" s="7" t="s">
        <v>5432</v>
      </c>
    </row>
    <row r="273" spans="1:21" ht="16.5" thickBot="1">
      <c r="A273" s="1311" t="s">
        <v>4588</v>
      </c>
      <c r="B273" s="1315">
        <f t="shared" si="15"/>
        <v>150</v>
      </c>
      <c r="C273" s="1315" t="s">
        <v>3</v>
      </c>
      <c r="D273" s="1315">
        <f t="shared" si="16"/>
        <v>400</v>
      </c>
      <c r="E273" s="1315" t="s">
        <v>3</v>
      </c>
      <c r="F273" s="1313">
        <f t="shared" si="17"/>
        <v>1050</v>
      </c>
      <c r="G273" s="1315" t="s">
        <v>3</v>
      </c>
      <c r="H273" s="1312">
        <v>4</v>
      </c>
      <c r="I273" s="1314" t="s">
        <v>45</v>
      </c>
      <c r="J273" s="184">
        <v>150</v>
      </c>
      <c r="K273" s="75">
        <v>400</v>
      </c>
      <c r="L273" s="75">
        <v>1050</v>
      </c>
      <c r="M273" s="202">
        <v>19.872951097861872</v>
      </c>
      <c r="N273" s="87">
        <v>955.91999999999985</v>
      </c>
      <c r="O273" s="123">
        <v>34046.328093518146</v>
      </c>
      <c r="P273" s="121">
        <v>41249.828972095995</v>
      </c>
      <c r="Q273" s="120">
        <v>16215.553826255029</v>
      </c>
      <c r="R273" s="319">
        <v>50261.881919773179</v>
      </c>
      <c r="S273" s="315">
        <v>57465.382798351027</v>
      </c>
      <c r="U273" s="7" t="s">
        <v>5433</v>
      </c>
    </row>
    <row r="274" spans="1:21" ht="16.5" thickBot="1">
      <c r="A274" s="1311" t="s">
        <v>4588</v>
      </c>
      <c r="B274" s="1312">
        <f t="shared" si="15"/>
        <v>150</v>
      </c>
      <c r="C274" s="1312" t="s">
        <v>3</v>
      </c>
      <c r="D274" s="1312">
        <f t="shared" si="16"/>
        <v>400</v>
      </c>
      <c r="E274" s="1312" t="s">
        <v>3</v>
      </c>
      <c r="F274" s="1313">
        <f t="shared" si="17"/>
        <v>1100</v>
      </c>
      <c r="G274" s="1312" t="s">
        <v>3</v>
      </c>
      <c r="H274" s="1312">
        <v>4</v>
      </c>
      <c r="I274" s="1314" t="s">
        <v>45</v>
      </c>
      <c r="J274" s="184">
        <v>150</v>
      </c>
      <c r="K274" s="75">
        <v>400</v>
      </c>
      <c r="L274" s="75">
        <v>1100</v>
      </c>
      <c r="M274" s="202">
        <v>20.706578519964303</v>
      </c>
      <c r="N274" s="87">
        <v>1024.1999999999998</v>
      </c>
      <c r="O274" s="123">
        <v>35199.946530488596</v>
      </c>
      <c r="P274" s="121">
        <v>42642.90696112741</v>
      </c>
      <c r="Q274" s="120">
        <v>16817.945663648366</v>
      </c>
      <c r="R274" s="319">
        <v>52017.892194136963</v>
      </c>
      <c r="S274" s="315">
        <v>59460.852624775776</v>
      </c>
      <c r="U274" s="7" t="s">
        <v>5434</v>
      </c>
    </row>
    <row r="275" spans="1:21" ht="16.5" thickBot="1">
      <c r="A275" s="1311" t="s">
        <v>4588</v>
      </c>
      <c r="B275" s="1315">
        <f t="shared" si="15"/>
        <v>150</v>
      </c>
      <c r="C275" s="1315" t="s">
        <v>3</v>
      </c>
      <c r="D275" s="1315">
        <f t="shared" si="16"/>
        <v>400</v>
      </c>
      <c r="E275" s="1315" t="s">
        <v>3</v>
      </c>
      <c r="F275" s="1313">
        <f t="shared" si="17"/>
        <v>1150</v>
      </c>
      <c r="G275" s="1315" t="s">
        <v>3</v>
      </c>
      <c r="H275" s="1312">
        <v>4</v>
      </c>
      <c r="I275" s="1314" t="s">
        <v>45</v>
      </c>
      <c r="J275" s="184">
        <v>150</v>
      </c>
      <c r="K275" s="75">
        <v>400</v>
      </c>
      <c r="L275" s="75">
        <v>1150</v>
      </c>
      <c r="M275" s="202">
        <v>21.540205942066738</v>
      </c>
      <c r="N275" s="87">
        <v>1092.48</v>
      </c>
      <c r="O275" s="123">
        <v>36353.564967459046</v>
      </c>
      <c r="P275" s="121">
        <v>44035.985090552043</v>
      </c>
      <c r="Q275" s="120">
        <v>17420.33736064834</v>
      </c>
      <c r="R275" s="319">
        <v>53773.90232810739</v>
      </c>
      <c r="S275" s="315">
        <v>61456.32245120038</v>
      </c>
      <c r="U275" s="7" t="s">
        <v>5435</v>
      </c>
    </row>
    <row r="276" spans="1:21" ht="16.5" thickBot="1">
      <c r="A276" s="1311" t="s">
        <v>4588</v>
      </c>
      <c r="B276" s="1315">
        <f t="shared" si="15"/>
        <v>150</v>
      </c>
      <c r="C276" s="1315" t="s">
        <v>3</v>
      </c>
      <c r="D276" s="1315">
        <f t="shared" si="16"/>
        <v>400</v>
      </c>
      <c r="E276" s="1315" t="s">
        <v>3</v>
      </c>
      <c r="F276" s="1313">
        <f t="shared" si="17"/>
        <v>1200</v>
      </c>
      <c r="G276" s="1315" t="s">
        <v>3</v>
      </c>
      <c r="H276" s="1312">
        <v>4</v>
      </c>
      <c r="I276" s="1314" t="s">
        <v>45</v>
      </c>
      <c r="J276" s="184">
        <v>150</v>
      </c>
      <c r="K276" s="75">
        <v>400</v>
      </c>
      <c r="L276" s="75">
        <v>1200</v>
      </c>
      <c r="M276" s="202">
        <v>22.373833364169172</v>
      </c>
      <c r="N276" s="87">
        <v>1160.76</v>
      </c>
      <c r="O276" s="123">
        <v>37507.183404429496</v>
      </c>
      <c r="P276" s="121">
        <v>45429.063079583597</v>
      </c>
      <c r="Q276" s="120">
        <v>18253.310975824952</v>
      </c>
      <c r="R276" s="319">
        <v>55760.494380254444</v>
      </c>
      <c r="S276" s="315">
        <v>63682.374055408553</v>
      </c>
      <c r="U276" s="7" t="s">
        <v>5436</v>
      </c>
    </row>
    <row r="277" spans="1:21" ht="16.5" thickBot="1">
      <c r="A277" s="1311" t="s">
        <v>4588</v>
      </c>
      <c r="B277" s="1315">
        <f t="shared" si="15"/>
        <v>150</v>
      </c>
      <c r="C277" s="1315" t="s">
        <v>3</v>
      </c>
      <c r="D277" s="1315">
        <f t="shared" si="16"/>
        <v>400</v>
      </c>
      <c r="E277" s="1315" t="s">
        <v>3</v>
      </c>
      <c r="F277" s="1313">
        <f t="shared" si="17"/>
        <v>1250</v>
      </c>
      <c r="G277" s="1315" t="s">
        <v>3</v>
      </c>
      <c r="H277" s="1312">
        <v>4</v>
      </c>
      <c r="I277" s="1314" t="s">
        <v>45</v>
      </c>
      <c r="J277" s="184">
        <v>150</v>
      </c>
      <c r="K277" s="75">
        <v>400</v>
      </c>
      <c r="L277" s="75">
        <v>1250</v>
      </c>
      <c r="M277" s="202">
        <v>23.207460786271611</v>
      </c>
      <c r="N277" s="87">
        <v>1229.04</v>
      </c>
      <c r="O277" s="123">
        <v>38660.801701006589</v>
      </c>
      <c r="P277" s="121">
        <v>46822.141209008238</v>
      </c>
      <c r="Q277" s="120">
        <v>18855.702672824929</v>
      </c>
      <c r="R277" s="319">
        <v>57516.504373831514</v>
      </c>
      <c r="S277" s="315">
        <v>65677.843881833163</v>
      </c>
      <c r="U277" s="7" t="s">
        <v>5437</v>
      </c>
    </row>
    <row r="278" spans="1:21" ht="16.5" thickBot="1">
      <c r="A278" s="1311" t="s">
        <v>4588</v>
      </c>
      <c r="B278" s="1315">
        <f t="shared" si="15"/>
        <v>150</v>
      </c>
      <c r="C278" s="1315" t="s">
        <v>3</v>
      </c>
      <c r="D278" s="1315">
        <f t="shared" si="16"/>
        <v>400</v>
      </c>
      <c r="E278" s="1315" t="s">
        <v>3</v>
      </c>
      <c r="F278" s="1313">
        <f t="shared" si="17"/>
        <v>1300</v>
      </c>
      <c r="G278" s="1315" t="s">
        <v>3</v>
      </c>
      <c r="H278" s="1312">
        <v>4</v>
      </c>
      <c r="I278" s="1314" t="s">
        <v>45</v>
      </c>
      <c r="J278" s="184">
        <v>150</v>
      </c>
      <c r="K278" s="75">
        <v>400</v>
      </c>
      <c r="L278" s="75">
        <v>1300</v>
      </c>
      <c r="M278" s="202">
        <v>24.041088208374042</v>
      </c>
      <c r="N278" s="87">
        <v>1297.32</v>
      </c>
      <c r="O278" s="123">
        <v>39814.420137977031</v>
      </c>
      <c r="P278" s="121">
        <v>48215.219338433148</v>
      </c>
      <c r="Q278" s="120">
        <v>19688.676288001541</v>
      </c>
      <c r="R278" s="319">
        <v>59503.096425978569</v>
      </c>
      <c r="S278" s="315">
        <v>67903.895626434693</v>
      </c>
      <c r="U278" s="7" t="s">
        <v>5438</v>
      </c>
    </row>
    <row r="279" spans="1:21" ht="16.5" thickBot="1">
      <c r="A279" s="1311" t="s">
        <v>4588</v>
      </c>
      <c r="B279" s="1315">
        <f t="shared" si="15"/>
        <v>150</v>
      </c>
      <c r="C279" s="1315" t="s">
        <v>3</v>
      </c>
      <c r="D279" s="1315">
        <f t="shared" si="16"/>
        <v>400</v>
      </c>
      <c r="E279" s="1315" t="s">
        <v>3</v>
      </c>
      <c r="F279" s="1313">
        <f t="shared" si="17"/>
        <v>1350</v>
      </c>
      <c r="G279" s="1315" t="s">
        <v>3</v>
      </c>
      <c r="H279" s="1312">
        <v>4</v>
      </c>
      <c r="I279" s="1314" t="s">
        <v>45</v>
      </c>
      <c r="J279" s="184">
        <v>150</v>
      </c>
      <c r="K279" s="75">
        <v>400</v>
      </c>
      <c r="L279" s="75">
        <v>1350</v>
      </c>
      <c r="M279" s="202">
        <v>24.87471563047648</v>
      </c>
      <c r="N279" s="87">
        <v>1365.6</v>
      </c>
      <c r="O279" s="123">
        <v>40968.038574947481</v>
      </c>
      <c r="P279" s="121">
        <v>49608.297327464563</v>
      </c>
      <c r="Q279" s="120">
        <v>20291.067985001515</v>
      </c>
      <c r="R279" s="319">
        <v>61259.106559948996</v>
      </c>
      <c r="S279" s="315">
        <v>69899.365312466078</v>
      </c>
      <c r="U279" s="7" t="s">
        <v>5439</v>
      </c>
    </row>
    <row r="280" spans="1:21" ht="16.5" thickBot="1">
      <c r="A280" s="1311" t="s">
        <v>4588</v>
      </c>
      <c r="B280" s="1315">
        <f t="shared" si="15"/>
        <v>150</v>
      </c>
      <c r="C280" s="1315" t="s">
        <v>3</v>
      </c>
      <c r="D280" s="1315">
        <f t="shared" si="16"/>
        <v>400</v>
      </c>
      <c r="E280" s="1315" t="s">
        <v>3</v>
      </c>
      <c r="F280" s="1313">
        <f t="shared" si="17"/>
        <v>1400</v>
      </c>
      <c r="G280" s="1315" t="s">
        <v>3</v>
      </c>
      <c r="H280" s="1312">
        <v>4</v>
      </c>
      <c r="I280" s="1314" t="s">
        <v>45</v>
      </c>
      <c r="J280" s="184">
        <v>150</v>
      </c>
      <c r="K280" s="75">
        <v>400</v>
      </c>
      <c r="L280" s="75">
        <v>1400</v>
      </c>
      <c r="M280" s="202">
        <v>25.708343052578911</v>
      </c>
      <c r="N280" s="87">
        <v>1433.8799999999999</v>
      </c>
      <c r="O280" s="123">
        <v>42121.656871524574</v>
      </c>
      <c r="P280" s="121">
        <v>51001.375456889335</v>
      </c>
      <c r="Q280" s="120">
        <v>21124.04160017813</v>
      </c>
      <c r="R280" s="319">
        <v>63245.698471702708</v>
      </c>
      <c r="S280" s="315">
        <v>72125.417057067461</v>
      </c>
      <c r="U280" s="7" t="s">
        <v>5440</v>
      </c>
    </row>
    <row r="281" spans="1:21" ht="16.5" thickBot="1">
      <c r="A281" s="1311" t="s">
        <v>4588</v>
      </c>
      <c r="B281" s="1315">
        <f t="shared" si="15"/>
        <v>150</v>
      </c>
      <c r="C281" s="1315" t="s">
        <v>3</v>
      </c>
      <c r="D281" s="1315">
        <f t="shared" si="16"/>
        <v>400</v>
      </c>
      <c r="E281" s="1315" t="s">
        <v>3</v>
      </c>
      <c r="F281" s="1313">
        <f t="shared" si="17"/>
        <v>1450</v>
      </c>
      <c r="G281" s="1315" t="s">
        <v>3</v>
      </c>
      <c r="H281" s="1312">
        <v>4</v>
      </c>
      <c r="I281" s="1314" t="s">
        <v>45</v>
      </c>
      <c r="J281" s="184">
        <v>150</v>
      </c>
      <c r="K281" s="75">
        <v>400</v>
      </c>
      <c r="L281" s="75">
        <v>1450</v>
      </c>
      <c r="M281" s="202">
        <v>26.541970474681349</v>
      </c>
      <c r="N281" s="87">
        <v>1502.16</v>
      </c>
      <c r="O281" s="123">
        <v>43275.275308495016</v>
      </c>
      <c r="P281" s="121">
        <v>52394.45344592075</v>
      </c>
      <c r="Q281" s="120">
        <v>21726.433297178104</v>
      </c>
      <c r="R281" s="319">
        <v>65001.70860567312</v>
      </c>
      <c r="S281" s="315">
        <v>74120.886743098847</v>
      </c>
      <c r="U281" s="7" t="s">
        <v>5441</v>
      </c>
    </row>
    <row r="282" spans="1:21" ht="16.5" thickBot="1">
      <c r="A282" s="1311" t="s">
        <v>4588</v>
      </c>
      <c r="B282" s="1315">
        <f t="shared" si="15"/>
        <v>150</v>
      </c>
      <c r="C282" s="1315" t="s">
        <v>3</v>
      </c>
      <c r="D282" s="1315">
        <f t="shared" si="16"/>
        <v>400</v>
      </c>
      <c r="E282" s="1315" t="s">
        <v>3</v>
      </c>
      <c r="F282" s="1313">
        <f t="shared" si="17"/>
        <v>1500</v>
      </c>
      <c r="G282" s="1315" t="s">
        <v>3</v>
      </c>
      <c r="H282" s="1312">
        <v>4</v>
      </c>
      <c r="I282" s="1314" t="s">
        <v>45</v>
      </c>
      <c r="J282" s="184">
        <v>150</v>
      </c>
      <c r="K282" s="75">
        <v>400</v>
      </c>
      <c r="L282" s="75">
        <v>1500</v>
      </c>
      <c r="M282" s="202">
        <v>27.960656696783783</v>
      </c>
      <c r="N282" s="87">
        <v>1570.4399999999998</v>
      </c>
      <c r="O282" s="123">
        <v>45413.733809118945</v>
      </c>
      <c r="P282" s="121">
        <v>55146.2571336869</v>
      </c>
      <c r="Q282" s="120">
        <v>22559.406912354716</v>
      </c>
      <c r="R282" s="319">
        <v>67973.140721473668</v>
      </c>
      <c r="S282" s="315">
        <v>77705.664046041609</v>
      </c>
      <c r="U282" s="7" t="s">
        <v>5442</v>
      </c>
    </row>
    <row r="283" spans="1:21" ht="16.5" thickBot="1">
      <c r="A283" s="1311" t="s">
        <v>4588</v>
      </c>
      <c r="B283" s="1315">
        <f t="shared" si="15"/>
        <v>150</v>
      </c>
      <c r="C283" s="1315" t="s">
        <v>3</v>
      </c>
      <c r="D283" s="1315">
        <f t="shared" si="16"/>
        <v>400</v>
      </c>
      <c r="E283" s="1315" t="s">
        <v>3</v>
      </c>
      <c r="F283" s="1313">
        <f t="shared" si="17"/>
        <v>1550</v>
      </c>
      <c r="G283" s="1315" t="s">
        <v>3</v>
      </c>
      <c r="H283" s="1312">
        <v>4</v>
      </c>
      <c r="I283" s="1314" t="s">
        <v>45</v>
      </c>
      <c r="J283" s="184">
        <v>150</v>
      </c>
      <c r="K283" s="75">
        <v>400</v>
      </c>
      <c r="L283" s="75">
        <v>1550</v>
      </c>
      <c r="M283" s="202">
        <v>28.794284118886218</v>
      </c>
      <c r="N283" s="87">
        <v>1638.7199999999998</v>
      </c>
      <c r="O283" s="123">
        <v>46567.352246089395</v>
      </c>
      <c r="P283" s="121">
        <v>56539.33526311168</v>
      </c>
      <c r="Q283" s="120">
        <v>23161.79860935469</v>
      </c>
      <c r="R283" s="319">
        <v>69729.150855444081</v>
      </c>
      <c r="S283" s="315">
        <v>79701.133872466366</v>
      </c>
      <c r="U283" s="7" t="s">
        <v>5443</v>
      </c>
    </row>
    <row r="284" spans="1:21" ht="16.5" thickBot="1">
      <c r="A284" s="1311" t="s">
        <v>4588</v>
      </c>
      <c r="B284" s="1312">
        <f t="shared" si="15"/>
        <v>150</v>
      </c>
      <c r="C284" s="1312" t="s">
        <v>3</v>
      </c>
      <c r="D284" s="1312">
        <f t="shared" si="16"/>
        <v>400</v>
      </c>
      <c r="E284" s="1312" t="s">
        <v>3</v>
      </c>
      <c r="F284" s="1313">
        <f t="shared" si="17"/>
        <v>1600</v>
      </c>
      <c r="G284" s="1312" t="s">
        <v>3</v>
      </c>
      <c r="H284" s="1312">
        <v>4</v>
      </c>
      <c r="I284" s="1314" t="s">
        <v>45</v>
      </c>
      <c r="J284" s="184">
        <v>150</v>
      </c>
      <c r="K284" s="75">
        <v>400</v>
      </c>
      <c r="L284" s="75">
        <v>1600</v>
      </c>
      <c r="M284" s="202">
        <v>29.627911540988645</v>
      </c>
      <c r="N284" s="87">
        <v>1707</v>
      </c>
      <c r="O284" s="123">
        <v>47720.970683059852</v>
      </c>
      <c r="P284" s="121">
        <v>57932.413252143087</v>
      </c>
      <c r="Q284" s="120">
        <v>23764.190446748027</v>
      </c>
      <c r="R284" s="319">
        <v>71485.161129807879</v>
      </c>
      <c r="S284" s="315">
        <v>81696.603698891122</v>
      </c>
      <c r="U284" s="7" t="s">
        <v>5444</v>
      </c>
    </row>
    <row r="285" spans="1:21" ht="16.5" thickBot="1">
      <c r="A285" s="1311" t="s">
        <v>4588</v>
      </c>
      <c r="B285" s="1315">
        <f t="shared" si="15"/>
        <v>150</v>
      </c>
      <c r="C285" s="1315" t="s">
        <v>3</v>
      </c>
      <c r="D285" s="1315">
        <f t="shared" si="16"/>
        <v>400</v>
      </c>
      <c r="E285" s="1315" t="s">
        <v>3</v>
      </c>
      <c r="F285" s="1313">
        <f t="shared" si="17"/>
        <v>1650</v>
      </c>
      <c r="G285" s="1315" t="s">
        <v>3</v>
      </c>
      <c r="H285" s="1312">
        <v>4</v>
      </c>
      <c r="I285" s="1314" t="s">
        <v>45</v>
      </c>
      <c r="J285" s="184">
        <v>150</v>
      </c>
      <c r="K285" s="75">
        <v>400</v>
      </c>
      <c r="L285" s="75">
        <v>1650</v>
      </c>
      <c r="M285" s="202">
        <v>30.461538963091087</v>
      </c>
      <c r="N285" s="87">
        <v>1775.28</v>
      </c>
      <c r="O285" s="123">
        <v>48874.588979636937</v>
      </c>
      <c r="P285" s="121">
        <v>59325.491381567866</v>
      </c>
      <c r="Q285" s="120">
        <v>24597.164061924639</v>
      </c>
      <c r="R285" s="319">
        <v>73471.753041561577</v>
      </c>
      <c r="S285" s="315">
        <v>83922.655443492506</v>
      </c>
      <c r="U285" s="7" t="s">
        <v>5445</v>
      </c>
    </row>
    <row r="286" spans="1:21" ht="16.5" thickBot="1">
      <c r="A286" s="1311" t="s">
        <v>4588</v>
      </c>
      <c r="B286" s="1315">
        <f t="shared" si="15"/>
        <v>150</v>
      </c>
      <c r="C286" s="1315" t="s">
        <v>3</v>
      </c>
      <c r="D286" s="1315">
        <f t="shared" si="16"/>
        <v>400</v>
      </c>
      <c r="E286" s="1315" t="s">
        <v>3</v>
      </c>
      <c r="F286" s="1313">
        <f t="shared" si="17"/>
        <v>1700</v>
      </c>
      <c r="G286" s="1315" t="s">
        <v>3</v>
      </c>
      <c r="H286" s="1312">
        <v>4</v>
      </c>
      <c r="I286" s="1314" t="s">
        <v>45</v>
      </c>
      <c r="J286" s="184">
        <v>150</v>
      </c>
      <c r="K286" s="75">
        <v>400</v>
      </c>
      <c r="L286" s="75">
        <v>1700</v>
      </c>
      <c r="M286" s="202">
        <v>31.295166385193518</v>
      </c>
      <c r="N286" s="87">
        <v>1843.56</v>
      </c>
      <c r="O286" s="123">
        <v>50028.207416607387</v>
      </c>
      <c r="P286" s="121">
        <v>60718.569370599274</v>
      </c>
      <c r="Q286" s="120">
        <v>25199.55575892462</v>
      </c>
      <c r="R286" s="319">
        <v>75227.763175532004</v>
      </c>
      <c r="S286" s="315">
        <v>85918.125129523891</v>
      </c>
      <c r="U286" s="7" t="s">
        <v>5446</v>
      </c>
    </row>
    <row r="287" spans="1:21" ht="16.5" thickBot="1">
      <c r="A287" s="1311" t="s">
        <v>4588</v>
      </c>
      <c r="B287" s="1315">
        <f t="shared" si="15"/>
        <v>150</v>
      </c>
      <c r="C287" s="1315" t="s">
        <v>3</v>
      </c>
      <c r="D287" s="1315">
        <f t="shared" si="16"/>
        <v>400</v>
      </c>
      <c r="E287" s="1315" t="s">
        <v>3</v>
      </c>
      <c r="F287" s="1313">
        <f t="shared" si="17"/>
        <v>1750</v>
      </c>
      <c r="G287" s="1315" t="s">
        <v>3</v>
      </c>
      <c r="H287" s="1312">
        <v>4</v>
      </c>
      <c r="I287" s="1314" t="s">
        <v>45</v>
      </c>
      <c r="J287" s="184">
        <v>150</v>
      </c>
      <c r="K287" s="75">
        <v>400</v>
      </c>
      <c r="L287" s="75">
        <v>1750</v>
      </c>
      <c r="M287" s="202">
        <v>32.128793807295949</v>
      </c>
      <c r="N287" s="87">
        <v>1911.8399999999997</v>
      </c>
      <c r="O287" s="123">
        <v>51181.82585357783</v>
      </c>
      <c r="P287" s="121">
        <v>62111.647500024053</v>
      </c>
      <c r="Q287" s="120">
        <v>26032.529374101232</v>
      </c>
      <c r="R287" s="319">
        <v>77214.355227679058</v>
      </c>
      <c r="S287" s="315">
        <v>88144.176874125289</v>
      </c>
      <c r="U287" s="7" t="s">
        <v>5447</v>
      </c>
    </row>
    <row r="288" spans="1:21" ht="16.5" thickBot="1">
      <c r="A288" s="1311" t="s">
        <v>4588</v>
      </c>
      <c r="B288" s="1315">
        <f t="shared" si="15"/>
        <v>150</v>
      </c>
      <c r="C288" s="1315" t="s">
        <v>3</v>
      </c>
      <c r="D288" s="1315">
        <f t="shared" si="16"/>
        <v>400</v>
      </c>
      <c r="E288" s="1315" t="s">
        <v>3</v>
      </c>
      <c r="F288" s="1313">
        <f t="shared" si="17"/>
        <v>1800</v>
      </c>
      <c r="G288" s="1315" t="s">
        <v>3</v>
      </c>
      <c r="H288" s="1312">
        <v>4</v>
      </c>
      <c r="I288" s="1314" t="s">
        <v>45</v>
      </c>
      <c r="J288" s="184">
        <v>150</v>
      </c>
      <c r="K288" s="75">
        <v>400</v>
      </c>
      <c r="L288" s="75">
        <v>1800</v>
      </c>
      <c r="M288" s="202">
        <v>32.962421229398387</v>
      </c>
      <c r="N288" s="87">
        <v>1980.12</v>
      </c>
      <c r="O288" s="123">
        <v>52335.444150154923</v>
      </c>
      <c r="P288" s="121">
        <v>63504.725629448825</v>
      </c>
      <c r="Q288" s="120">
        <v>26634.921071101206</v>
      </c>
      <c r="R288" s="319">
        <v>78970.365221256128</v>
      </c>
      <c r="S288" s="315">
        <v>90139.646700550031</v>
      </c>
      <c r="U288" s="7" t="s">
        <v>5448</v>
      </c>
    </row>
    <row r="289" spans="1:21" ht="16.5" thickBot="1">
      <c r="A289" s="1311" t="s">
        <v>4588</v>
      </c>
      <c r="B289" s="1315">
        <f t="shared" si="15"/>
        <v>150</v>
      </c>
      <c r="C289" s="1315" t="s">
        <v>3</v>
      </c>
      <c r="D289" s="1315">
        <f t="shared" si="16"/>
        <v>400</v>
      </c>
      <c r="E289" s="1315" t="s">
        <v>3</v>
      </c>
      <c r="F289" s="1313">
        <f t="shared" si="17"/>
        <v>1850</v>
      </c>
      <c r="G289" s="1315" t="s">
        <v>3</v>
      </c>
      <c r="H289" s="1312">
        <v>4</v>
      </c>
      <c r="I289" s="1314" t="s">
        <v>45</v>
      </c>
      <c r="J289" s="184">
        <v>150</v>
      </c>
      <c r="K289" s="75">
        <v>400</v>
      </c>
      <c r="L289" s="75">
        <v>1850</v>
      </c>
      <c r="M289" s="202">
        <v>33.796048651500818</v>
      </c>
      <c r="N289" s="87">
        <v>2048.3999999999996</v>
      </c>
      <c r="O289" s="123">
        <v>53489.062587125372</v>
      </c>
      <c r="P289" s="121">
        <v>64897.803618480233</v>
      </c>
      <c r="Q289" s="120">
        <v>27467.894686277818</v>
      </c>
      <c r="R289" s="319">
        <v>80956.957273403183</v>
      </c>
      <c r="S289" s="315">
        <v>92365.698304758058</v>
      </c>
      <c r="U289" s="7" t="s">
        <v>5449</v>
      </c>
    </row>
    <row r="290" spans="1:21" ht="16.5" thickBot="1">
      <c r="A290" s="1311" t="s">
        <v>4588</v>
      </c>
      <c r="B290" s="1315">
        <f t="shared" si="15"/>
        <v>150</v>
      </c>
      <c r="C290" s="1315" t="s">
        <v>3</v>
      </c>
      <c r="D290" s="1315">
        <f t="shared" si="16"/>
        <v>400</v>
      </c>
      <c r="E290" s="1315" t="s">
        <v>3</v>
      </c>
      <c r="F290" s="1313">
        <f t="shared" si="17"/>
        <v>1900</v>
      </c>
      <c r="G290" s="1315" t="s">
        <v>3</v>
      </c>
      <c r="H290" s="1312">
        <v>4</v>
      </c>
      <c r="I290" s="1314" t="s">
        <v>45</v>
      </c>
      <c r="J290" s="184">
        <v>150</v>
      </c>
      <c r="K290" s="75">
        <v>400</v>
      </c>
      <c r="L290" s="75">
        <v>1900</v>
      </c>
      <c r="M290" s="202">
        <v>34.629676073603257</v>
      </c>
      <c r="N290" s="87">
        <v>2116.6799999999998</v>
      </c>
      <c r="O290" s="123">
        <v>54642.681024095822</v>
      </c>
      <c r="P290" s="121">
        <v>66290.881747905019</v>
      </c>
      <c r="Q290" s="120">
        <v>28070.286383277791</v>
      </c>
      <c r="R290" s="319">
        <v>82712.96740737361</v>
      </c>
      <c r="S290" s="315">
        <v>94361.168131182814</v>
      </c>
      <c r="U290" s="7" t="s">
        <v>5450</v>
      </c>
    </row>
    <row r="291" spans="1:21" ht="16.5" thickBot="1">
      <c r="A291" s="1311" t="s">
        <v>4588</v>
      </c>
      <c r="B291" s="1315">
        <f t="shared" si="15"/>
        <v>150</v>
      </c>
      <c r="C291" s="1315" t="s">
        <v>3</v>
      </c>
      <c r="D291" s="1315">
        <f t="shared" si="16"/>
        <v>400</v>
      </c>
      <c r="E291" s="1315" t="s">
        <v>3</v>
      </c>
      <c r="F291" s="1313">
        <f t="shared" si="17"/>
        <v>1950</v>
      </c>
      <c r="G291" s="1315" t="s">
        <v>3</v>
      </c>
      <c r="H291" s="1312">
        <v>4</v>
      </c>
      <c r="I291" s="1314" t="s">
        <v>45</v>
      </c>
      <c r="J291" s="184">
        <v>150</v>
      </c>
      <c r="K291" s="75">
        <v>400</v>
      </c>
      <c r="L291" s="75">
        <v>1950</v>
      </c>
      <c r="M291" s="202">
        <v>35.463303495705695</v>
      </c>
      <c r="N291" s="87">
        <v>2184.96</v>
      </c>
      <c r="O291" s="123">
        <v>55796.299320672908</v>
      </c>
      <c r="P291" s="121">
        <v>67683.959736936435</v>
      </c>
      <c r="Q291" s="120">
        <v>28672.678220671129</v>
      </c>
      <c r="R291" s="319">
        <v>84468.977541344037</v>
      </c>
      <c r="S291" s="315">
        <v>96356.637957607571</v>
      </c>
      <c r="U291" s="7" t="s">
        <v>5451</v>
      </c>
    </row>
    <row r="292" spans="1:21" ht="16.5" thickBot="1">
      <c r="A292" s="1311" t="s">
        <v>4588</v>
      </c>
      <c r="B292" s="1315">
        <f t="shared" si="15"/>
        <v>150</v>
      </c>
      <c r="C292" s="1315" t="s">
        <v>3</v>
      </c>
      <c r="D292" s="1315">
        <f t="shared" si="16"/>
        <v>400</v>
      </c>
      <c r="E292" s="1315" t="s">
        <v>3</v>
      </c>
      <c r="F292" s="1313">
        <f t="shared" si="17"/>
        <v>2000</v>
      </c>
      <c r="G292" s="1315" t="s">
        <v>3</v>
      </c>
      <c r="H292" s="1312">
        <v>4</v>
      </c>
      <c r="I292" s="1314" t="s">
        <v>45</v>
      </c>
      <c r="J292" s="184">
        <v>150</v>
      </c>
      <c r="K292" s="75">
        <v>400</v>
      </c>
      <c r="L292" s="75">
        <v>2000</v>
      </c>
      <c r="M292" s="202">
        <v>36.453002917808121</v>
      </c>
      <c r="N292" s="87">
        <v>2253.2399999999998</v>
      </c>
      <c r="O292" s="123">
        <v>57424.455184921666</v>
      </c>
      <c r="P292" s="121">
        <v>69251.574894621197</v>
      </c>
      <c r="Q292" s="120">
        <v>29505.651695454384</v>
      </c>
      <c r="R292" s="319">
        <v>86930.106880376057</v>
      </c>
      <c r="S292" s="315">
        <v>98757.226590075588</v>
      </c>
      <c r="U292" s="7" t="s">
        <v>5452</v>
      </c>
    </row>
    <row r="293" spans="1:21" ht="16.5" thickBot="1">
      <c r="A293" s="1311" t="s">
        <v>4588</v>
      </c>
      <c r="B293" s="1315">
        <f t="shared" si="15"/>
        <v>150</v>
      </c>
      <c r="C293" s="1315" t="s">
        <v>3</v>
      </c>
      <c r="D293" s="1315">
        <f t="shared" si="16"/>
        <v>400</v>
      </c>
      <c r="E293" s="1315" t="s">
        <v>3</v>
      </c>
      <c r="F293" s="1313">
        <f t="shared" si="17"/>
        <v>2050</v>
      </c>
      <c r="G293" s="1315" t="s">
        <v>3</v>
      </c>
      <c r="H293" s="1312">
        <v>4</v>
      </c>
      <c r="I293" s="1314" t="s">
        <v>45</v>
      </c>
      <c r="J293" s="184">
        <v>150</v>
      </c>
      <c r="K293" s="75">
        <v>400</v>
      </c>
      <c r="L293" s="75">
        <v>2050</v>
      </c>
      <c r="M293" s="202">
        <v>37.286630339910559</v>
      </c>
      <c r="N293" s="87">
        <v>2321.52</v>
      </c>
      <c r="O293" s="123">
        <v>58578.073621892108</v>
      </c>
      <c r="P293" s="121">
        <v>70644.652883652612</v>
      </c>
      <c r="Q293" s="120">
        <v>30108.043532847722</v>
      </c>
      <c r="R293" s="319">
        <v>88686.117154739826</v>
      </c>
      <c r="S293" s="315">
        <v>100752.69641650033</v>
      </c>
      <c r="U293" s="7" t="s">
        <v>5453</v>
      </c>
    </row>
    <row r="294" spans="1:21" ht="16.5" thickBot="1">
      <c r="A294" s="1311" t="s">
        <v>4588</v>
      </c>
      <c r="B294" s="1312">
        <f t="shared" si="15"/>
        <v>150</v>
      </c>
      <c r="C294" s="1312" t="s">
        <v>3</v>
      </c>
      <c r="D294" s="1312">
        <f t="shared" si="16"/>
        <v>400</v>
      </c>
      <c r="E294" s="1312" t="s">
        <v>3</v>
      </c>
      <c r="F294" s="1313">
        <f t="shared" si="17"/>
        <v>2100</v>
      </c>
      <c r="G294" s="1312" t="s">
        <v>3</v>
      </c>
      <c r="H294" s="1312">
        <v>4</v>
      </c>
      <c r="I294" s="1314" t="s">
        <v>45</v>
      </c>
      <c r="J294" s="184">
        <v>150</v>
      </c>
      <c r="K294" s="75">
        <v>400</v>
      </c>
      <c r="L294" s="75">
        <v>2100</v>
      </c>
      <c r="M294" s="202">
        <v>38.12025776201299</v>
      </c>
      <c r="N294" s="87">
        <v>2389.7999999999997</v>
      </c>
      <c r="O294" s="123">
        <v>59731.692058862565</v>
      </c>
      <c r="P294" s="121">
        <v>72037.731013077399</v>
      </c>
      <c r="Q294" s="120">
        <v>30941.01700763097</v>
      </c>
      <c r="R294" s="319">
        <v>90672.709066493539</v>
      </c>
      <c r="S294" s="315">
        <v>102978.74802070837</v>
      </c>
      <c r="U294" s="7" t="s">
        <v>5454</v>
      </c>
    </row>
    <row r="295" spans="1:21" ht="16.5" thickBot="1">
      <c r="A295" s="1311" t="s">
        <v>4588</v>
      </c>
      <c r="B295" s="1315">
        <f t="shared" si="15"/>
        <v>150</v>
      </c>
      <c r="C295" s="1315" t="s">
        <v>3</v>
      </c>
      <c r="D295" s="1315">
        <f t="shared" si="16"/>
        <v>400</v>
      </c>
      <c r="E295" s="1315" t="s">
        <v>3</v>
      </c>
      <c r="F295" s="1313">
        <f t="shared" si="17"/>
        <v>2150</v>
      </c>
      <c r="G295" s="1315" t="s">
        <v>3</v>
      </c>
      <c r="H295" s="1312">
        <v>4</v>
      </c>
      <c r="I295" s="1314" t="s">
        <v>45</v>
      </c>
      <c r="J295" s="184">
        <v>150</v>
      </c>
      <c r="K295" s="75">
        <v>400</v>
      </c>
      <c r="L295" s="75">
        <v>2150</v>
      </c>
      <c r="M295" s="202">
        <v>38.953885184115428</v>
      </c>
      <c r="N295" s="87">
        <v>2458.08</v>
      </c>
      <c r="O295" s="123">
        <v>60885.310495833015</v>
      </c>
      <c r="P295" s="121">
        <v>73430.809002108799</v>
      </c>
      <c r="Q295" s="120">
        <v>31543.408845024307</v>
      </c>
      <c r="R295" s="319">
        <v>92428.719340857322</v>
      </c>
      <c r="S295" s="315">
        <v>104974.21784713311</v>
      </c>
      <c r="U295" s="7" t="s">
        <v>5455</v>
      </c>
    </row>
    <row r="296" spans="1:21" ht="16.5" thickBot="1">
      <c r="A296" s="1311" t="s">
        <v>4588</v>
      </c>
      <c r="B296" s="1315">
        <f t="shared" si="15"/>
        <v>150</v>
      </c>
      <c r="C296" s="1315" t="s">
        <v>3</v>
      </c>
      <c r="D296" s="1315">
        <f t="shared" si="16"/>
        <v>400</v>
      </c>
      <c r="E296" s="1315" t="s">
        <v>3</v>
      </c>
      <c r="F296" s="1313">
        <f t="shared" si="17"/>
        <v>2200</v>
      </c>
      <c r="G296" s="1315" t="s">
        <v>3</v>
      </c>
      <c r="H296" s="1312">
        <v>4</v>
      </c>
      <c r="I296" s="1314" t="s">
        <v>45</v>
      </c>
      <c r="J296" s="184">
        <v>150</v>
      </c>
      <c r="K296" s="75">
        <v>400</v>
      </c>
      <c r="L296" s="75">
        <v>2200</v>
      </c>
      <c r="M296" s="202">
        <v>39.787512606217859</v>
      </c>
      <c r="N296" s="87">
        <v>2526.36</v>
      </c>
      <c r="O296" s="123">
        <v>62038.928792410101</v>
      </c>
      <c r="P296" s="121">
        <v>74823.887131533585</v>
      </c>
      <c r="Q296" s="120">
        <v>32376.382319807555</v>
      </c>
      <c r="R296" s="319">
        <v>94415.311112217663</v>
      </c>
      <c r="S296" s="315">
        <v>107200.26945134114</v>
      </c>
      <c r="U296" s="7" t="s">
        <v>5456</v>
      </c>
    </row>
    <row r="297" spans="1:21" ht="16.5" thickBot="1">
      <c r="A297" s="1311" t="s">
        <v>4588</v>
      </c>
      <c r="B297" s="1315">
        <f t="shared" si="15"/>
        <v>150</v>
      </c>
      <c r="C297" s="1315" t="s">
        <v>3</v>
      </c>
      <c r="D297" s="1315">
        <f t="shared" si="16"/>
        <v>400</v>
      </c>
      <c r="E297" s="1315" t="s">
        <v>3</v>
      </c>
      <c r="F297" s="1313">
        <f t="shared" si="17"/>
        <v>2250</v>
      </c>
      <c r="G297" s="1315" t="s">
        <v>3</v>
      </c>
      <c r="H297" s="1312">
        <v>4</v>
      </c>
      <c r="I297" s="1314" t="s">
        <v>45</v>
      </c>
      <c r="J297" s="184">
        <v>150</v>
      </c>
      <c r="K297" s="75">
        <v>400</v>
      </c>
      <c r="L297" s="75">
        <v>2250</v>
      </c>
      <c r="M297" s="202">
        <v>40.621140028320298</v>
      </c>
      <c r="N297" s="87">
        <v>2594.64</v>
      </c>
      <c r="O297" s="123">
        <v>63192.547229380558</v>
      </c>
      <c r="P297" s="121">
        <v>76216.965120564986</v>
      </c>
      <c r="Q297" s="120">
        <v>32978.774157200758</v>
      </c>
      <c r="R297" s="319">
        <v>96171.321386581316</v>
      </c>
      <c r="S297" s="315">
        <v>109195.73927776574</v>
      </c>
      <c r="U297" s="7" t="s">
        <v>5457</v>
      </c>
    </row>
    <row r="298" spans="1:21" ht="16.5" thickBot="1">
      <c r="A298" s="1311" t="s">
        <v>4588</v>
      </c>
      <c r="B298" s="1315">
        <f t="shared" si="15"/>
        <v>150</v>
      </c>
      <c r="C298" s="1315" t="s">
        <v>3</v>
      </c>
      <c r="D298" s="1315">
        <f t="shared" si="16"/>
        <v>400</v>
      </c>
      <c r="E298" s="1315" t="s">
        <v>3</v>
      </c>
      <c r="F298" s="1313">
        <f t="shared" si="17"/>
        <v>2300</v>
      </c>
      <c r="G298" s="1315" t="s">
        <v>3</v>
      </c>
      <c r="H298" s="1312">
        <v>4</v>
      </c>
      <c r="I298" s="1314" t="s">
        <v>45</v>
      </c>
      <c r="J298" s="184">
        <v>150</v>
      </c>
      <c r="K298" s="75">
        <v>400</v>
      </c>
      <c r="L298" s="75">
        <v>2300</v>
      </c>
      <c r="M298" s="202">
        <v>41.454767450422722</v>
      </c>
      <c r="N298" s="87">
        <v>2662.9199999999996</v>
      </c>
      <c r="O298" s="123">
        <v>64346.165666351</v>
      </c>
      <c r="P298" s="121">
        <v>77610.043249989758</v>
      </c>
      <c r="Q298" s="120">
        <v>33581.165854200874</v>
      </c>
      <c r="R298" s="319">
        <v>97927.331520551874</v>
      </c>
      <c r="S298" s="315">
        <v>111191.20910419064</v>
      </c>
      <c r="U298" s="7" t="s">
        <v>5458</v>
      </c>
    </row>
    <row r="299" spans="1:21" ht="16.5" thickBot="1">
      <c r="A299" s="1311" t="s">
        <v>4588</v>
      </c>
      <c r="B299" s="1315">
        <f t="shared" si="15"/>
        <v>150</v>
      </c>
      <c r="C299" s="1315" t="s">
        <v>3</v>
      </c>
      <c r="D299" s="1315">
        <f t="shared" si="16"/>
        <v>400</v>
      </c>
      <c r="E299" s="1315" t="s">
        <v>3</v>
      </c>
      <c r="F299" s="1313">
        <f t="shared" si="17"/>
        <v>2350</v>
      </c>
      <c r="G299" s="1315" t="s">
        <v>3</v>
      </c>
      <c r="H299" s="1312">
        <v>4</v>
      </c>
      <c r="I299" s="1314" t="s">
        <v>45</v>
      </c>
      <c r="J299" s="184">
        <v>150</v>
      </c>
      <c r="K299" s="75">
        <v>400</v>
      </c>
      <c r="L299" s="75">
        <v>2350</v>
      </c>
      <c r="M299" s="202">
        <v>42.28839487252516</v>
      </c>
      <c r="N299" s="87">
        <v>2731.2</v>
      </c>
      <c r="O299" s="123">
        <v>65499.783962928093</v>
      </c>
      <c r="P299" s="121">
        <v>79003.121379414544</v>
      </c>
      <c r="Q299" s="120">
        <v>34414.139469377486</v>
      </c>
      <c r="R299" s="319">
        <v>99913.923432305572</v>
      </c>
      <c r="S299" s="315">
        <v>113417.26084879204</v>
      </c>
      <c r="U299" s="7" t="s">
        <v>5459</v>
      </c>
    </row>
    <row r="300" spans="1:21" ht="16.5" thickBot="1">
      <c r="A300" s="1311" t="s">
        <v>4588</v>
      </c>
      <c r="B300" s="1315">
        <f t="shared" si="15"/>
        <v>150</v>
      </c>
      <c r="C300" s="1315" t="s">
        <v>3</v>
      </c>
      <c r="D300" s="1315">
        <f t="shared" si="16"/>
        <v>400</v>
      </c>
      <c r="E300" s="1315" t="s">
        <v>3</v>
      </c>
      <c r="F300" s="1313">
        <f t="shared" si="17"/>
        <v>2400</v>
      </c>
      <c r="G300" s="1315" t="s">
        <v>3</v>
      </c>
      <c r="H300" s="1312">
        <v>4</v>
      </c>
      <c r="I300" s="1314" t="s">
        <v>45</v>
      </c>
      <c r="J300" s="184">
        <v>150</v>
      </c>
      <c r="K300" s="75">
        <v>400</v>
      </c>
      <c r="L300" s="75">
        <v>2400</v>
      </c>
      <c r="M300" s="202">
        <v>43.122022294627598</v>
      </c>
      <c r="N300" s="87">
        <v>2799.4799999999996</v>
      </c>
      <c r="O300" s="123">
        <v>66653.402399898536</v>
      </c>
      <c r="P300" s="121">
        <v>80396.199368445945</v>
      </c>
      <c r="Q300" s="120">
        <v>35016.531306770819</v>
      </c>
      <c r="R300" s="319">
        <v>101669.93370666936</v>
      </c>
      <c r="S300" s="315">
        <v>115412.73067521676</v>
      </c>
      <c r="U300" s="7" t="s">
        <v>5460</v>
      </c>
    </row>
    <row r="301" spans="1:21" ht="16.5" thickBot="1">
      <c r="A301" s="1311" t="s">
        <v>4588</v>
      </c>
      <c r="B301" s="1315">
        <f t="shared" si="15"/>
        <v>150</v>
      </c>
      <c r="C301" s="1315" t="s">
        <v>3</v>
      </c>
      <c r="D301" s="1315">
        <f t="shared" si="16"/>
        <v>400</v>
      </c>
      <c r="E301" s="1315" t="s">
        <v>3</v>
      </c>
      <c r="F301" s="1313">
        <f t="shared" si="17"/>
        <v>2450</v>
      </c>
      <c r="G301" s="1315" t="s">
        <v>3</v>
      </c>
      <c r="H301" s="1312">
        <v>4</v>
      </c>
      <c r="I301" s="1314" t="s">
        <v>45</v>
      </c>
      <c r="J301" s="184">
        <v>150</v>
      </c>
      <c r="K301" s="75">
        <v>400</v>
      </c>
      <c r="L301" s="75">
        <v>2450</v>
      </c>
      <c r="M301" s="202">
        <v>43.955649716730029</v>
      </c>
      <c r="N301" s="87">
        <v>2867.7599999999998</v>
      </c>
      <c r="O301" s="123">
        <v>67807.020836868993</v>
      </c>
      <c r="P301" s="121">
        <v>81789.277497870731</v>
      </c>
      <c r="Q301" s="120">
        <v>35849.504781554067</v>
      </c>
      <c r="R301" s="319">
        <v>103656.52561842307</v>
      </c>
      <c r="S301" s="315">
        <v>117638.78227942481</v>
      </c>
      <c r="U301" s="7" t="s">
        <v>5461</v>
      </c>
    </row>
    <row r="302" spans="1:21" ht="16.5" thickBot="1">
      <c r="A302" s="1311" t="s">
        <v>4588</v>
      </c>
      <c r="B302" s="1315">
        <f t="shared" si="15"/>
        <v>150</v>
      </c>
      <c r="C302" s="1315" t="s">
        <v>3</v>
      </c>
      <c r="D302" s="1315">
        <f t="shared" si="16"/>
        <v>400</v>
      </c>
      <c r="E302" s="1315" t="s">
        <v>3</v>
      </c>
      <c r="F302" s="1313">
        <f t="shared" si="17"/>
        <v>2500</v>
      </c>
      <c r="G302" s="1315" t="s">
        <v>3</v>
      </c>
      <c r="H302" s="1312">
        <v>4</v>
      </c>
      <c r="I302" s="1314" t="s">
        <v>45</v>
      </c>
      <c r="J302" s="184">
        <v>150</v>
      </c>
      <c r="K302" s="75">
        <v>400</v>
      </c>
      <c r="L302" s="75">
        <v>2500</v>
      </c>
      <c r="M302" s="202">
        <v>45.374335938832459</v>
      </c>
      <c r="N302" s="87">
        <v>2936.0399999999995</v>
      </c>
      <c r="O302" s="123">
        <v>69945.479337492914</v>
      </c>
      <c r="P302" s="121">
        <v>84541.081185636882</v>
      </c>
      <c r="Q302" s="120">
        <v>36451.896618947409</v>
      </c>
      <c r="R302" s="319">
        <v>106397.37595644032</v>
      </c>
      <c r="S302" s="315">
        <v>120992.97780458428</v>
      </c>
      <c r="U302" s="7" t="s">
        <v>5462</v>
      </c>
    </row>
    <row r="303" spans="1:21" ht="16.5" thickBot="1">
      <c r="A303" s="1311" t="s">
        <v>4588</v>
      </c>
      <c r="B303" s="1315">
        <f t="shared" si="15"/>
        <v>150</v>
      </c>
      <c r="C303" s="1315" t="s">
        <v>3</v>
      </c>
      <c r="D303" s="1315">
        <f t="shared" si="16"/>
        <v>400</v>
      </c>
      <c r="E303" s="1315" t="s">
        <v>3</v>
      </c>
      <c r="F303" s="1313">
        <f t="shared" si="17"/>
        <v>2550</v>
      </c>
      <c r="G303" s="1315" t="s">
        <v>3</v>
      </c>
      <c r="H303" s="1312">
        <v>4</v>
      </c>
      <c r="I303" s="1314" t="s">
        <v>45</v>
      </c>
      <c r="J303" s="184">
        <v>150</v>
      </c>
      <c r="K303" s="75">
        <v>400</v>
      </c>
      <c r="L303" s="75">
        <v>2550</v>
      </c>
      <c r="M303" s="202">
        <v>46.207963360934912</v>
      </c>
      <c r="N303" s="87">
        <v>3004.32</v>
      </c>
      <c r="O303" s="123">
        <v>71463.679120231667</v>
      </c>
      <c r="P303" s="121">
        <v>85948.198510918301</v>
      </c>
      <c r="Q303" s="120">
        <v>37284.870093730657</v>
      </c>
      <c r="R303" s="319">
        <v>108748.54921396232</v>
      </c>
      <c r="S303" s="315">
        <v>123233.06860464896</v>
      </c>
      <c r="U303" s="7" t="s">
        <v>5463</v>
      </c>
    </row>
    <row r="304" spans="1:21" ht="16.5" thickBot="1">
      <c r="A304" s="1311" t="s">
        <v>4588</v>
      </c>
      <c r="B304" s="1312">
        <f t="shared" si="15"/>
        <v>150</v>
      </c>
      <c r="C304" s="1312" t="s">
        <v>3</v>
      </c>
      <c r="D304" s="1312">
        <f t="shared" si="16"/>
        <v>400</v>
      </c>
      <c r="E304" s="1312" t="s">
        <v>3</v>
      </c>
      <c r="F304" s="1313">
        <f t="shared" si="17"/>
        <v>2600</v>
      </c>
      <c r="G304" s="1312" t="s">
        <v>3</v>
      </c>
      <c r="H304" s="1312">
        <v>4</v>
      </c>
      <c r="I304" s="1314" t="s">
        <v>45</v>
      </c>
      <c r="J304" s="184">
        <v>150</v>
      </c>
      <c r="K304" s="75">
        <v>400</v>
      </c>
      <c r="L304" s="75">
        <v>2600</v>
      </c>
      <c r="M304" s="202">
        <v>47.041590783037336</v>
      </c>
      <c r="N304" s="87">
        <v>3072.6</v>
      </c>
      <c r="O304" s="123">
        <v>72617.297557202124</v>
      </c>
      <c r="P304" s="121">
        <v>87341.276640343058</v>
      </c>
      <c r="Q304" s="120">
        <v>37887.261931123991</v>
      </c>
      <c r="R304" s="319">
        <v>110504.55948832611</v>
      </c>
      <c r="S304" s="315">
        <v>125228.53857146704</v>
      </c>
      <c r="U304" s="7" t="s">
        <v>5464</v>
      </c>
    </row>
    <row r="305" spans="1:21" ht="16.5" thickBot="1">
      <c r="A305" s="1311" t="s">
        <v>4588</v>
      </c>
      <c r="B305" s="1315">
        <f t="shared" si="15"/>
        <v>150</v>
      </c>
      <c r="C305" s="1315" t="s">
        <v>3</v>
      </c>
      <c r="D305" s="1315">
        <f t="shared" si="16"/>
        <v>400</v>
      </c>
      <c r="E305" s="1315" t="s">
        <v>3</v>
      </c>
      <c r="F305" s="1313">
        <f t="shared" si="17"/>
        <v>2650</v>
      </c>
      <c r="G305" s="1315" t="s">
        <v>3</v>
      </c>
      <c r="H305" s="1312">
        <v>4</v>
      </c>
      <c r="I305" s="1314" t="s">
        <v>45</v>
      </c>
      <c r="J305" s="184">
        <v>150</v>
      </c>
      <c r="K305" s="75">
        <v>400</v>
      </c>
      <c r="L305" s="75">
        <v>2650</v>
      </c>
      <c r="M305" s="202">
        <v>47.875218205139774</v>
      </c>
      <c r="N305" s="87">
        <v>3140.8799999999997</v>
      </c>
      <c r="O305" s="123">
        <v>73770.91585377921</v>
      </c>
      <c r="P305" s="121">
        <v>88734.354629374488</v>
      </c>
      <c r="Q305" s="120">
        <v>38720.235405907246</v>
      </c>
      <c r="R305" s="319">
        <v>112491.15125968645</v>
      </c>
      <c r="S305" s="315">
        <v>127454.59003528173</v>
      </c>
      <c r="U305" s="7" t="s">
        <v>5465</v>
      </c>
    </row>
    <row r="306" spans="1:21" ht="16.5" thickBot="1">
      <c r="A306" s="1311" t="s">
        <v>4588</v>
      </c>
      <c r="B306" s="1315">
        <f t="shared" si="15"/>
        <v>150</v>
      </c>
      <c r="C306" s="1315" t="s">
        <v>3</v>
      </c>
      <c r="D306" s="1315">
        <f t="shared" si="16"/>
        <v>400</v>
      </c>
      <c r="E306" s="1315" t="s">
        <v>3</v>
      </c>
      <c r="F306" s="1313">
        <f t="shared" si="17"/>
        <v>2700</v>
      </c>
      <c r="G306" s="1315" t="s">
        <v>3</v>
      </c>
      <c r="H306" s="1312">
        <v>4</v>
      </c>
      <c r="I306" s="1314" t="s">
        <v>45</v>
      </c>
      <c r="J306" s="184">
        <v>150</v>
      </c>
      <c r="K306" s="75">
        <v>400</v>
      </c>
      <c r="L306" s="75">
        <v>2700</v>
      </c>
      <c r="M306" s="202">
        <v>48.708845627242212</v>
      </c>
      <c r="N306" s="87">
        <v>3209.16</v>
      </c>
      <c r="O306" s="123">
        <v>74924.534290749652</v>
      </c>
      <c r="P306" s="121">
        <v>90127.432758799259</v>
      </c>
      <c r="Q306" s="120">
        <v>39322.627243300587</v>
      </c>
      <c r="R306" s="319">
        <v>114247.16153405025</v>
      </c>
      <c r="S306" s="315">
        <v>129450.06000209984</v>
      </c>
      <c r="U306" s="7" t="s">
        <v>5466</v>
      </c>
    </row>
    <row r="307" spans="1:21" ht="16.5" thickBot="1">
      <c r="A307" s="1311" t="s">
        <v>4588</v>
      </c>
      <c r="B307" s="1315">
        <f t="shared" si="15"/>
        <v>150</v>
      </c>
      <c r="C307" s="1315" t="s">
        <v>3</v>
      </c>
      <c r="D307" s="1315">
        <f t="shared" si="16"/>
        <v>400</v>
      </c>
      <c r="E307" s="1315" t="s">
        <v>3</v>
      </c>
      <c r="F307" s="1313">
        <f t="shared" si="17"/>
        <v>2750</v>
      </c>
      <c r="G307" s="1315" t="s">
        <v>3</v>
      </c>
      <c r="H307" s="1312">
        <v>4</v>
      </c>
      <c r="I307" s="1314" t="s">
        <v>45</v>
      </c>
      <c r="J307" s="184">
        <v>150</v>
      </c>
      <c r="K307" s="75">
        <v>400</v>
      </c>
      <c r="L307" s="75">
        <v>2750</v>
      </c>
      <c r="M307" s="202">
        <v>49.542473049344636</v>
      </c>
      <c r="N307" s="87">
        <v>3277.4399999999996</v>
      </c>
      <c r="O307" s="123">
        <v>76078.152727720095</v>
      </c>
      <c r="P307" s="121">
        <v>91520.510747830675</v>
      </c>
      <c r="Q307" s="120">
        <v>39925.018940300557</v>
      </c>
      <c r="R307" s="319">
        <v>116003.17166802066</v>
      </c>
      <c r="S307" s="315">
        <v>131445.52968813124</v>
      </c>
      <c r="U307" s="7" t="s">
        <v>5467</v>
      </c>
    </row>
    <row r="308" spans="1:21" ht="16.5" thickBot="1">
      <c r="A308" s="1311" t="s">
        <v>4588</v>
      </c>
      <c r="B308" s="1315">
        <f t="shared" si="15"/>
        <v>150</v>
      </c>
      <c r="C308" s="1315" t="s">
        <v>3</v>
      </c>
      <c r="D308" s="1315">
        <f t="shared" si="16"/>
        <v>400</v>
      </c>
      <c r="E308" s="1315" t="s">
        <v>3</v>
      </c>
      <c r="F308" s="1313">
        <f t="shared" si="17"/>
        <v>2800</v>
      </c>
      <c r="G308" s="1315" t="s">
        <v>3</v>
      </c>
      <c r="H308" s="1312">
        <v>4</v>
      </c>
      <c r="I308" s="1314" t="s">
        <v>45</v>
      </c>
      <c r="J308" s="184">
        <v>150</v>
      </c>
      <c r="K308" s="75">
        <v>400</v>
      </c>
      <c r="L308" s="75">
        <v>2800</v>
      </c>
      <c r="M308" s="202">
        <v>50.376100471447081</v>
      </c>
      <c r="N308" s="87">
        <v>3345.72</v>
      </c>
      <c r="O308" s="123">
        <v>77231.771024297195</v>
      </c>
      <c r="P308" s="121">
        <v>92913.588877255446</v>
      </c>
      <c r="Q308" s="120">
        <v>40757.992555477169</v>
      </c>
      <c r="R308" s="319">
        <v>117989.76357977436</v>
      </c>
      <c r="S308" s="315">
        <v>133671.58143273261</v>
      </c>
      <c r="U308" s="7" t="s">
        <v>5468</v>
      </c>
    </row>
    <row r="309" spans="1:21" ht="16.5" thickBot="1">
      <c r="A309" s="1311" t="s">
        <v>4588</v>
      </c>
      <c r="B309" s="1315">
        <f t="shared" si="15"/>
        <v>150</v>
      </c>
      <c r="C309" s="1315" t="s">
        <v>3</v>
      </c>
      <c r="D309" s="1315">
        <f t="shared" si="16"/>
        <v>400</v>
      </c>
      <c r="E309" s="1315" t="s">
        <v>3</v>
      </c>
      <c r="F309" s="1313">
        <f t="shared" si="17"/>
        <v>2850</v>
      </c>
      <c r="G309" s="1315" t="s">
        <v>3</v>
      </c>
      <c r="H309" s="1312">
        <v>4</v>
      </c>
      <c r="I309" s="1314" t="s">
        <v>45</v>
      </c>
      <c r="J309" s="184">
        <v>150</v>
      </c>
      <c r="K309" s="75">
        <v>400</v>
      </c>
      <c r="L309" s="75">
        <v>2850</v>
      </c>
      <c r="M309" s="202">
        <v>51.209727893549513</v>
      </c>
      <c r="N309" s="87">
        <v>3414</v>
      </c>
      <c r="O309" s="123">
        <v>78385.389461267638</v>
      </c>
      <c r="P309" s="121">
        <v>94306.667006680218</v>
      </c>
      <c r="Q309" s="120">
        <v>41360.384252477146</v>
      </c>
      <c r="R309" s="319">
        <v>119745.77371374478</v>
      </c>
      <c r="S309" s="315">
        <v>135667.05125915736</v>
      </c>
      <c r="U309" s="7" t="s">
        <v>5469</v>
      </c>
    </row>
    <row r="310" spans="1:21" ht="16.5" thickBot="1">
      <c r="A310" s="1311" t="s">
        <v>4588</v>
      </c>
      <c r="B310" s="1315">
        <f t="shared" si="15"/>
        <v>150</v>
      </c>
      <c r="C310" s="1315" t="s">
        <v>3</v>
      </c>
      <c r="D310" s="1315">
        <f t="shared" si="16"/>
        <v>400</v>
      </c>
      <c r="E310" s="1315" t="s">
        <v>3</v>
      </c>
      <c r="F310" s="1313">
        <f t="shared" si="17"/>
        <v>2900</v>
      </c>
      <c r="G310" s="1315" t="s">
        <v>3</v>
      </c>
      <c r="H310" s="1312">
        <v>4</v>
      </c>
      <c r="I310" s="1314" t="s">
        <v>45</v>
      </c>
      <c r="J310" s="184">
        <v>150</v>
      </c>
      <c r="K310" s="75">
        <v>400</v>
      </c>
      <c r="L310" s="75">
        <v>2900</v>
      </c>
      <c r="M310" s="202">
        <v>52.043355315651937</v>
      </c>
      <c r="N310" s="87">
        <v>3482.2799999999997</v>
      </c>
      <c r="O310" s="123">
        <v>79539.007898238095</v>
      </c>
      <c r="P310" s="121">
        <v>95699.744995711633</v>
      </c>
      <c r="Q310" s="120">
        <v>42193.357867653758</v>
      </c>
      <c r="R310" s="319">
        <v>121732.36576589185</v>
      </c>
      <c r="S310" s="315">
        <v>137893.10286336538</v>
      </c>
      <c r="U310" s="7" t="s">
        <v>5470</v>
      </c>
    </row>
    <row r="311" spans="1:21" ht="16.5" thickBot="1">
      <c r="A311" s="1311" t="s">
        <v>4588</v>
      </c>
      <c r="B311" s="1315">
        <f t="shared" si="15"/>
        <v>150</v>
      </c>
      <c r="C311" s="1315" t="s">
        <v>3</v>
      </c>
      <c r="D311" s="1315">
        <f t="shared" si="16"/>
        <v>400</v>
      </c>
      <c r="E311" s="1315" t="s">
        <v>3</v>
      </c>
      <c r="F311" s="1325">
        <f t="shared" si="17"/>
        <v>2950</v>
      </c>
      <c r="G311" s="1315" t="s">
        <v>3</v>
      </c>
      <c r="H311" s="1312">
        <v>4</v>
      </c>
      <c r="I311" s="1314" t="s">
        <v>45</v>
      </c>
      <c r="J311" s="184">
        <v>150</v>
      </c>
      <c r="K311" s="75">
        <v>400</v>
      </c>
      <c r="L311" s="75">
        <v>2950</v>
      </c>
      <c r="M311" s="202">
        <v>52.876982737754389</v>
      </c>
      <c r="N311" s="87">
        <v>3550.56</v>
      </c>
      <c r="O311" s="123">
        <v>80692.62619481518</v>
      </c>
      <c r="P311" s="121">
        <v>97092.823125136405</v>
      </c>
      <c r="Q311" s="120">
        <v>42795.749564653735</v>
      </c>
      <c r="R311" s="319">
        <v>123488.37575946891</v>
      </c>
      <c r="S311" s="315">
        <v>139888.57268979013</v>
      </c>
      <c r="U311" s="7" t="s">
        <v>5471</v>
      </c>
    </row>
    <row r="312" spans="1:21" ht="16.5" thickBot="1">
      <c r="A312" s="1311" t="s">
        <v>4588</v>
      </c>
      <c r="B312" s="1312">
        <f t="shared" si="15"/>
        <v>150</v>
      </c>
      <c r="C312" s="1312" t="s">
        <v>3</v>
      </c>
      <c r="D312" s="1312">
        <f t="shared" si="16"/>
        <v>400</v>
      </c>
      <c r="E312" s="1312" t="s">
        <v>3</v>
      </c>
      <c r="F312" s="1313">
        <f t="shared" si="17"/>
        <v>3000</v>
      </c>
      <c r="G312" s="1312" t="s">
        <v>3</v>
      </c>
      <c r="H312" s="1312">
        <v>4</v>
      </c>
      <c r="I312" s="1314" t="s">
        <v>45</v>
      </c>
      <c r="J312" s="186">
        <v>150</v>
      </c>
      <c r="K312" s="147">
        <v>400</v>
      </c>
      <c r="L312" s="147">
        <v>3000</v>
      </c>
      <c r="M312" s="209">
        <v>54.022754159856802</v>
      </c>
      <c r="N312" s="148">
        <v>3618.8399999999997</v>
      </c>
      <c r="O312" s="149">
        <v>82124.111174845631</v>
      </c>
      <c r="P312" s="158">
        <v>98763.767657227814</v>
      </c>
      <c r="Q312" s="159">
        <v>43628.723179830347</v>
      </c>
      <c r="R312" s="320">
        <v>125752.83435467599</v>
      </c>
      <c r="S312" s="317">
        <v>142392.49083705817</v>
      </c>
      <c r="U312" s="7" t="s">
        <v>5472</v>
      </c>
    </row>
  </sheetData>
  <mergeCells count="21">
    <mergeCell ref="A212:S212"/>
    <mergeCell ref="A262:S262"/>
    <mergeCell ref="A263:S263"/>
    <mergeCell ref="A59:S59"/>
    <mergeCell ref="A109:S109"/>
    <mergeCell ref="A110:S110"/>
    <mergeCell ref="A160:S160"/>
    <mergeCell ref="A161:S161"/>
    <mergeCell ref="A211:S211"/>
    <mergeCell ref="A58:S58"/>
    <mergeCell ref="A4:I6"/>
    <mergeCell ref="J4:M5"/>
    <mergeCell ref="N4:N6"/>
    <mergeCell ref="O4:O5"/>
    <mergeCell ref="P4:P5"/>
    <mergeCell ref="Q4:Q5"/>
    <mergeCell ref="R4:R5"/>
    <mergeCell ref="S4:S5"/>
    <mergeCell ref="O6:S6"/>
    <mergeCell ref="A7:S7"/>
    <mergeCell ref="A8:S8"/>
  </mergeCells>
  <hyperlinks>
    <hyperlink ref="A1:I1" location="Главная!A1" display="Вернуться на главную страницу" xr:uid="{146447F7-E7AA-4009-A169-D35C7150E939}"/>
    <hyperlink ref="A2" location="'Калькулятор теплоотдач ВК'!R1C1" display="Вернуться Калькулятор теплоотдач ВК" xr:uid="{810CA2A7-9013-478A-B7A9-C395B31FFE6F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A2A83-AA4F-4D9B-9808-63BA4792D215}">
  <sheetPr>
    <tabColor rgb="FFFF9900"/>
  </sheetPr>
  <dimension ref="A1:U261"/>
  <sheetViews>
    <sheetView zoomScale="70" zoomScaleNormal="70" workbookViewId="0">
      <selection activeCell="U4" sqref="U4"/>
    </sheetView>
  </sheetViews>
  <sheetFormatPr defaultRowHeight="15"/>
  <cols>
    <col min="1" max="1" width="10" customWidth="1"/>
    <col min="2" max="2" width="6" customWidth="1"/>
    <col min="3" max="3" width="3" customWidth="1"/>
    <col min="4" max="4" width="6" customWidth="1"/>
    <col min="5" max="5" width="3" customWidth="1"/>
    <col min="6" max="6" width="7.7109375" customWidth="1"/>
    <col min="7" max="7" width="3" customWidth="1"/>
    <col min="8" max="8" width="6" customWidth="1"/>
    <col min="9" max="9" width="4.5703125" customWidth="1"/>
    <col min="10" max="12" width="11.28515625" customWidth="1"/>
    <col min="13" max="13" width="15.5703125" customWidth="1"/>
    <col min="14" max="14" width="19.140625" customWidth="1"/>
    <col min="15" max="16" width="27.7109375" customWidth="1"/>
    <col min="17" max="17" width="26.28515625" customWidth="1"/>
    <col min="18" max="19" width="27.7109375" customWidth="1"/>
    <col min="21" max="21" width="27.140625" customWidth="1"/>
  </cols>
  <sheetData>
    <row r="1" spans="1:21" ht="15.75">
      <c r="A1" s="1306" t="s">
        <v>9</v>
      </c>
      <c r="B1" s="1306"/>
      <c r="C1" s="1306"/>
      <c r="D1" s="1306"/>
      <c r="E1" s="1306"/>
      <c r="F1" s="97"/>
      <c r="G1" s="1306"/>
      <c r="H1" s="1306"/>
      <c r="I1" s="1306"/>
      <c r="J1" s="7"/>
      <c r="K1" s="96"/>
      <c r="L1" s="96"/>
      <c r="M1" s="175"/>
      <c r="N1" s="7"/>
      <c r="O1" s="117"/>
      <c r="P1" s="117"/>
      <c r="Q1" s="117"/>
      <c r="R1" s="117"/>
      <c r="S1" s="117"/>
    </row>
    <row r="2" spans="1:21" ht="15.75">
      <c r="A2" s="956" t="s">
        <v>378</v>
      </c>
      <c r="B2" s="1306"/>
      <c r="C2" s="1306"/>
      <c r="D2" s="1306"/>
      <c r="E2" s="1306"/>
      <c r="F2" s="97"/>
      <c r="G2" s="1306"/>
      <c r="H2" s="1306"/>
      <c r="I2" s="1306"/>
      <c r="J2" s="7"/>
      <c r="K2" s="96"/>
      <c r="L2" s="96"/>
      <c r="M2" s="175"/>
      <c r="N2" s="7"/>
      <c r="O2" s="117"/>
      <c r="P2" s="117"/>
      <c r="Q2" s="117"/>
      <c r="R2" s="117"/>
      <c r="S2" s="117"/>
    </row>
    <row r="3" spans="1:21" ht="16.5" thickBot="1">
      <c r="A3" s="16"/>
      <c r="B3" s="16"/>
      <c r="C3" s="16"/>
      <c r="D3" s="16"/>
      <c r="E3" s="16"/>
      <c r="F3" s="109"/>
      <c r="G3" s="16"/>
      <c r="H3" s="16"/>
      <c r="I3" s="16"/>
      <c r="J3" s="16"/>
      <c r="K3" s="108"/>
      <c r="L3" s="108"/>
      <c r="M3" s="175"/>
      <c r="N3" s="7"/>
      <c r="O3" s="116"/>
      <c r="P3" s="116"/>
      <c r="Q3" s="117"/>
      <c r="R3" s="117"/>
      <c r="S3" s="117"/>
    </row>
    <row r="4" spans="1:21" ht="69.75" customHeight="1">
      <c r="A4" s="2665" t="s">
        <v>8</v>
      </c>
      <c r="B4" s="2666"/>
      <c r="C4" s="2666"/>
      <c r="D4" s="2666"/>
      <c r="E4" s="2666"/>
      <c r="F4" s="2666"/>
      <c r="G4" s="2666"/>
      <c r="H4" s="2666"/>
      <c r="I4" s="2667"/>
      <c r="J4" s="2674" t="s">
        <v>97</v>
      </c>
      <c r="K4" s="2675"/>
      <c r="L4" s="2675"/>
      <c r="M4" s="2676"/>
      <c r="N4" s="2680" t="s">
        <v>96</v>
      </c>
      <c r="O4" s="2683" t="s">
        <v>170</v>
      </c>
      <c r="P4" s="2617" t="s">
        <v>166</v>
      </c>
      <c r="Q4" s="2683" t="s">
        <v>171</v>
      </c>
      <c r="R4" s="2685" t="s">
        <v>460</v>
      </c>
      <c r="S4" s="2590" t="s">
        <v>461</v>
      </c>
      <c r="U4" s="74"/>
    </row>
    <row r="5" spans="1:21" ht="69.75" customHeight="1" thickBot="1">
      <c r="A5" s="2668"/>
      <c r="B5" s="2669"/>
      <c r="C5" s="2669"/>
      <c r="D5" s="2669"/>
      <c r="E5" s="2669"/>
      <c r="F5" s="2669"/>
      <c r="G5" s="2669"/>
      <c r="H5" s="2669"/>
      <c r="I5" s="2670"/>
      <c r="J5" s="2677"/>
      <c r="K5" s="2678"/>
      <c r="L5" s="2678"/>
      <c r="M5" s="2679"/>
      <c r="N5" s="2681"/>
      <c r="O5" s="2684"/>
      <c r="P5" s="2618"/>
      <c r="Q5" s="2684"/>
      <c r="R5" s="2686"/>
      <c r="S5" s="2591"/>
    </row>
    <row r="6" spans="1:21" ht="60.75" customHeight="1" thickBot="1">
      <c r="A6" s="2671"/>
      <c r="B6" s="2672"/>
      <c r="C6" s="2672"/>
      <c r="D6" s="2672"/>
      <c r="E6" s="2672"/>
      <c r="F6" s="2672"/>
      <c r="G6" s="2672"/>
      <c r="H6" s="2672"/>
      <c r="I6" s="2673"/>
      <c r="J6" s="1308" t="s">
        <v>0</v>
      </c>
      <c r="K6" s="1323" t="s">
        <v>1</v>
      </c>
      <c r="L6" s="1323" t="s">
        <v>2</v>
      </c>
      <c r="M6" s="1324" t="s">
        <v>94</v>
      </c>
      <c r="N6" s="2682"/>
      <c r="O6" s="2687" t="s">
        <v>169</v>
      </c>
      <c r="P6" s="2688"/>
      <c r="Q6" s="2688"/>
      <c r="R6" s="2688"/>
      <c r="S6" s="2689"/>
    </row>
    <row r="7" spans="1:21" ht="21.75" thickBot="1">
      <c r="A7" s="2580" t="s">
        <v>520</v>
      </c>
      <c r="B7" s="2581"/>
      <c r="C7" s="2581"/>
      <c r="D7" s="2581"/>
      <c r="E7" s="2581"/>
      <c r="F7" s="2581"/>
      <c r="G7" s="2581"/>
      <c r="H7" s="2581"/>
      <c r="I7" s="2581"/>
      <c r="J7" s="2581"/>
      <c r="K7" s="2581"/>
      <c r="L7" s="2581"/>
      <c r="M7" s="2581"/>
      <c r="N7" s="2581"/>
      <c r="O7" s="2581"/>
      <c r="P7" s="2581"/>
      <c r="Q7" s="2581"/>
      <c r="R7" s="2581"/>
      <c r="S7" s="2582"/>
    </row>
    <row r="8" spans="1:21" ht="16.5" customHeight="1" thickBot="1">
      <c r="A8" s="2662" t="s">
        <v>4590</v>
      </c>
      <c r="B8" s="2663"/>
      <c r="C8" s="2663"/>
      <c r="D8" s="2663"/>
      <c r="E8" s="2663"/>
      <c r="F8" s="2663"/>
      <c r="G8" s="2663"/>
      <c r="H8" s="2663"/>
      <c r="I8" s="2663"/>
      <c r="J8" s="2663"/>
      <c r="K8" s="2663"/>
      <c r="L8" s="2663"/>
      <c r="M8" s="2663"/>
      <c r="N8" s="2663"/>
      <c r="O8" s="2663"/>
      <c r="P8" s="2663"/>
      <c r="Q8" s="2663"/>
      <c r="R8" s="2690"/>
      <c r="S8" s="2691"/>
    </row>
    <row r="9" spans="1:21" ht="16.5" thickBot="1">
      <c r="A9" s="1311" t="s">
        <v>4588</v>
      </c>
      <c r="B9" s="1312">
        <f>J9</f>
        <v>200</v>
      </c>
      <c r="C9" s="1312" t="s">
        <v>3</v>
      </c>
      <c r="D9" s="1312">
        <f>K9</f>
        <v>200</v>
      </c>
      <c r="E9" s="1312" t="s">
        <v>3</v>
      </c>
      <c r="F9" s="1313">
        <f>L9</f>
        <v>600</v>
      </c>
      <c r="G9" s="1312" t="s">
        <v>3</v>
      </c>
      <c r="H9" s="1312">
        <v>4</v>
      </c>
      <c r="I9" s="1314" t="s">
        <v>46</v>
      </c>
      <c r="J9" s="181">
        <v>200</v>
      </c>
      <c r="K9" s="143">
        <v>200</v>
      </c>
      <c r="L9" s="143">
        <v>600</v>
      </c>
      <c r="M9" s="201">
        <v>8.7203461263083835</v>
      </c>
      <c r="N9" s="144">
        <v>345.89592072424307</v>
      </c>
      <c r="O9" s="145">
        <v>21094.082639374166</v>
      </c>
      <c r="P9" s="1326">
        <v>25108.227349537843</v>
      </c>
      <c r="Q9" s="1327">
        <v>6535.0358533845019</v>
      </c>
      <c r="R9" s="318">
        <v>27629.118492758669</v>
      </c>
      <c r="S9" s="313">
        <v>31643.263202922346</v>
      </c>
      <c r="U9" s="7" t="s">
        <v>5473</v>
      </c>
    </row>
    <row r="10" spans="1:21" ht="16.5" thickBot="1">
      <c r="A10" s="1311" t="s">
        <v>4588</v>
      </c>
      <c r="B10" s="1315">
        <f t="shared" ref="B10:B57" si="0">J10</f>
        <v>200</v>
      </c>
      <c r="C10" s="1315" t="s">
        <v>3</v>
      </c>
      <c r="D10" s="1315">
        <f t="shared" ref="D10:D57" si="1">K10</f>
        <v>200</v>
      </c>
      <c r="E10" s="1315" t="s">
        <v>3</v>
      </c>
      <c r="F10" s="1313">
        <f t="shared" ref="F10:F57" si="2">L10</f>
        <v>650</v>
      </c>
      <c r="G10" s="1315" t="s">
        <v>3</v>
      </c>
      <c r="H10" s="1312">
        <v>4</v>
      </c>
      <c r="I10" s="1314" t="s">
        <v>46</v>
      </c>
      <c r="J10" s="184">
        <v>200</v>
      </c>
      <c r="K10" s="75">
        <v>200</v>
      </c>
      <c r="L10" s="75">
        <v>650</v>
      </c>
      <c r="M10" s="202">
        <v>9.3856163673581854</v>
      </c>
      <c r="N10" s="87">
        <v>415.07510486909166</v>
      </c>
      <c r="O10" s="123">
        <v>22193.11346953073</v>
      </c>
      <c r="P10" s="1328">
        <v>26412.509344655256</v>
      </c>
      <c r="Q10" s="1329">
        <v>6893.4546325058636</v>
      </c>
      <c r="R10" s="319">
        <v>29086.568102036596</v>
      </c>
      <c r="S10" s="315">
        <v>33305.963977161118</v>
      </c>
      <c r="U10" s="7" t="s">
        <v>5474</v>
      </c>
    </row>
    <row r="11" spans="1:21" ht="16.5" thickBot="1">
      <c r="A11" s="1311" t="s">
        <v>4588</v>
      </c>
      <c r="B11" s="1315">
        <f t="shared" si="0"/>
        <v>200</v>
      </c>
      <c r="C11" s="1315" t="s">
        <v>3</v>
      </c>
      <c r="D11" s="1315">
        <f t="shared" si="1"/>
        <v>200</v>
      </c>
      <c r="E11" s="1315" t="s">
        <v>3</v>
      </c>
      <c r="F11" s="1313">
        <f t="shared" si="2"/>
        <v>700</v>
      </c>
      <c r="G11" s="1315" t="s">
        <v>3</v>
      </c>
      <c r="H11" s="1312">
        <v>4</v>
      </c>
      <c r="I11" s="1314" t="s">
        <v>46</v>
      </c>
      <c r="J11" s="184">
        <v>200</v>
      </c>
      <c r="K11" s="75">
        <v>200</v>
      </c>
      <c r="L11" s="75">
        <v>700</v>
      </c>
      <c r="M11" s="202">
        <v>10.050886608407989</v>
      </c>
      <c r="N11" s="87">
        <v>484.25428901394025</v>
      </c>
      <c r="O11" s="123">
        <v>23292.144299687294</v>
      </c>
      <c r="P11" s="1328">
        <v>27716.79133977267</v>
      </c>
      <c r="Q11" s="1329">
        <v>7482.4550490171396</v>
      </c>
      <c r="R11" s="319">
        <v>30774.599348704432</v>
      </c>
      <c r="S11" s="315">
        <v>35199.246388789812</v>
      </c>
      <c r="U11" s="7" t="s">
        <v>5475</v>
      </c>
    </row>
    <row r="12" spans="1:21" ht="16.5" thickBot="1">
      <c r="A12" s="1311" t="s">
        <v>4588</v>
      </c>
      <c r="B12" s="1315">
        <f t="shared" si="0"/>
        <v>200</v>
      </c>
      <c r="C12" s="1315" t="s">
        <v>3</v>
      </c>
      <c r="D12" s="1315">
        <f t="shared" si="1"/>
        <v>200</v>
      </c>
      <c r="E12" s="1315" t="s">
        <v>3</v>
      </c>
      <c r="F12" s="1313">
        <f t="shared" si="2"/>
        <v>750</v>
      </c>
      <c r="G12" s="1315" t="s">
        <v>3</v>
      </c>
      <c r="H12" s="1312">
        <v>4</v>
      </c>
      <c r="I12" s="1314" t="s">
        <v>46</v>
      </c>
      <c r="J12" s="184">
        <v>200</v>
      </c>
      <c r="K12" s="75">
        <v>200</v>
      </c>
      <c r="L12" s="75">
        <v>750</v>
      </c>
      <c r="M12" s="202">
        <v>10.716156849457789</v>
      </c>
      <c r="N12" s="87">
        <v>553.43347315878896</v>
      </c>
      <c r="O12" s="123">
        <v>24391.175270237218</v>
      </c>
      <c r="P12" s="1328">
        <v>29021.073334890079</v>
      </c>
      <c r="Q12" s="1329">
        <v>7840.8736877451383</v>
      </c>
      <c r="R12" s="319">
        <v>32232.048957982355</v>
      </c>
      <c r="S12" s="315">
        <v>36861.94702263522</v>
      </c>
      <c r="U12" s="7" t="s">
        <v>5476</v>
      </c>
    </row>
    <row r="13" spans="1:21" ht="16.5" thickBot="1">
      <c r="A13" s="1311" t="s">
        <v>4588</v>
      </c>
      <c r="B13" s="1315">
        <f t="shared" si="0"/>
        <v>200</v>
      </c>
      <c r="C13" s="1315" t="s">
        <v>3</v>
      </c>
      <c r="D13" s="1315">
        <f t="shared" si="1"/>
        <v>200</v>
      </c>
      <c r="E13" s="1315" t="s">
        <v>3</v>
      </c>
      <c r="F13" s="1313">
        <f t="shared" si="2"/>
        <v>800</v>
      </c>
      <c r="G13" s="1315" t="s">
        <v>3</v>
      </c>
      <c r="H13" s="1312">
        <v>4</v>
      </c>
      <c r="I13" s="1314" t="s">
        <v>46</v>
      </c>
      <c r="J13" s="184">
        <v>200</v>
      </c>
      <c r="K13" s="75">
        <v>200</v>
      </c>
      <c r="L13" s="75">
        <v>800</v>
      </c>
      <c r="M13" s="202">
        <v>11.381427090507595</v>
      </c>
      <c r="N13" s="87">
        <v>622.61265730363755</v>
      </c>
      <c r="O13" s="123">
        <v>25847.867316931093</v>
      </c>
      <c r="P13" s="1328">
        <v>30339.394666257493</v>
      </c>
      <c r="Q13" s="1329">
        <v>8199.2923264731398</v>
      </c>
      <c r="R13" s="319">
        <v>34047.159643404229</v>
      </c>
      <c r="S13" s="315">
        <v>38538.686992730632</v>
      </c>
      <c r="U13" s="7" t="s">
        <v>5477</v>
      </c>
    </row>
    <row r="14" spans="1:21" ht="16.5" thickBot="1">
      <c r="A14" s="1311" t="s">
        <v>4588</v>
      </c>
      <c r="B14" s="1315">
        <f t="shared" si="0"/>
        <v>200</v>
      </c>
      <c r="C14" s="1315" t="s">
        <v>3</v>
      </c>
      <c r="D14" s="1315">
        <f t="shared" si="1"/>
        <v>200</v>
      </c>
      <c r="E14" s="1315" t="s">
        <v>3</v>
      </c>
      <c r="F14" s="1313">
        <f t="shared" si="2"/>
        <v>850</v>
      </c>
      <c r="G14" s="1315" t="s">
        <v>3</v>
      </c>
      <c r="H14" s="1312">
        <v>4</v>
      </c>
      <c r="I14" s="1314" t="s">
        <v>46</v>
      </c>
      <c r="J14" s="184">
        <v>200</v>
      </c>
      <c r="K14" s="75">
        <v>200</v>
      </c>
      <c r="L14" s="75">
        <v>850</v>
      </c>
      <c r="M14" s="202">
        <v>12.046697331557397</v>
      </c>
      <c r="N14" s="87">
        <v>691.79184144848614</v>
      </c>
      <c r="O14" s="123">
        <v>26946.898287481017</v>
      </c>
      <c r="P14" s="1328">
        <v>31643.676661374906</v>
      </c>
      <c r="Q14" s="1329">
        <v>8788.2927429844149</v>
      </c>
      <c r="R14" s="319">
        <v>35735.19103046543</v>
      </c>
      <c r="S14" s="315">
        <v>40431.969404359319</v>
      </c>
      <c r="U14" s="7" t="s">
        <v>5478</v>
      </c>
    </row>
    <row r="15" spans="1:21" ht="16.5" thickBot="1">
      <c r="A15" s="1311" t="s">
        <v>4588</v>
      </c>
      <c r="B15" s="1315">
        <f t="shared" si="0"/>
        <v>200</v>
      </c>
      <c r="C15" s="1315" t="s">
        <v>3</v>
      </c>
      <c r="D15" s="1315">
        <f t="shared" si="1"/>
        <v>200</v>
      </c>
      <c r="E15" s="1315" t="s">
        <v>3</v>
      </c>
      <c r="F15" s="1313">
        <f t="shared" si="2"/>
        <v>900</v>
      </c>
      <c r="G15" s="1315" t="s">
        <v>3</v>
      </c>
      <c r="H15" s="1312">
        <v>4</v>
      </c>
      <c r="I15" s="1314" t="s">
        <v>46</v>
      </c>
      <c r="J15" s="184">
        <v>200</v>
      </c>
      <c r="K15" s="75">
        <v>200</v>
      </c>
      <c r="L15" s="75">
        <v>900</v>
      </c>
      <c r="M15" s="202">
        <v>12.7119675726072</v>
      </c>
      <c r="N15" s="87">
        <v>760.97102559333484</v>
      </c>
      <c r="O15" s="123">
        <v>28045.929117637581</v>
      </c>
      <c r="P15" s="1328">
        <v>32947.958656492323</v>
      </c>
      <c r="Q15" s="1329">
        <v>9146.7115221057775</v>
      </c>
      <c r="R15" s="319">
        <v>37192.64063974336</v>
      </c>
      <c r="S15" s="315">
        <v>42094.670178598099</v>
      </c>
      <c r="U15" s="7" t="s">
        <v>5479</v>
      </c>
    </row>
    <row r="16" spans="1:21" ht="16.5" thickBot="1">
      <c r="A16" s="1311" t="s">
        <v>4588</v>
      </c>
      <c r="B16" s="1315">
        <f t="shared" si="0"/>
        <v>200</v>
      </c>
      <c r="C16" s="1315" t="s">
        <v>3</v>
      </c>
      <c r="D16" s="1315">
        <f t="shared" si="1"/>
        <v>200</v>
      </c>
      <c r="E16" s="1315" t="s">
        <v>3</v>
      </c>
      <c r="F16" s="1313">
        <f t="shared" si="2"/>
        <v>950</v>
      </c>
      <c r="G16" s="1315" t="s">
        <v>3</v>
      </c>
      <c r="H16" s="1312">
        <v>4</v>
      </c>
      <c r="I16" s="1314" t="s">
        <v>46</v>
      </c>
      <c r="J16" s="184">
        <v>200</v>
      </c>
      <c r="K16" s="75">
        <v>200</v>
      </c>
      <c r="L16" s="75">
        <v>950</v>
      </c>
      <c r="M16" s="202">
        <v>13.377237813657</v>
      </c>
      <c r="N16" s="87">
        <v>830.15020973818332</v>
      </c>
      <c r="O16" s="123">
        <v>29144.959947794141</v>
      </c>
      <c r="P16" s="1328">
        <v>34252.240792003096</v>
      </c>
      <c r="Q16" s="1329">
        <v>9735.7119386170507</v>
      </c>
      <c r="R16" s="319">
        <v>38880.67188641119</v>
      </c>
      <c r="S16" s="315">
        <v>43987.952730620149</v>
      </c>
      <c r="U16" s="7" t="s">
        <v>5480</v>
      </c>
    </row>
    <row r="17" spans="1:21" ht="16.5" thickBot="1">
      <c r="A17" s="1311" t="s">
        <v>4588</v>
      </c>
      <c r="B17" s="1315">
        <f t="shared" si="0"/>
        <v>200</v>
      </c>
      <c r="C17" s="1315" t="s">
        <v>3</v>
      </c>
      <c r="D17" s="1315">
        <f t="shared" si="1"/>
        <v>200</v>
      </c>
      <c r="E17" s="1315" t="s">
        <v>3</v>
      </c>
      <c r="F17" s="1313">
        <f t="shared" si="2"/>
        <v>1000</v>
      </c>
      <c r="G17" s="1315" t="s">
        <v>3</v>
      </c>
      <c r="H17" s="1312">
        <v>4</v>
      </c>
      <c r="I17" s="1314" t="s">
        <v>46</v>
      </c>
      <c r="J17" s="184">
        <v>200</v>
      </c>
      <c r="K17" s="75">
        <v>200</v>
      </c>
      <c r="L17" s="75">
        <v>1000</v>
      </c>
      <c r="M17" s="202">
        <v>14.120544054706805</v>
      </c>
      <c r="N17" s="87">
        <v>899.32939388303203</v>
      </c>
      <c r="O17" s="123">
        <v>30279.594534680709</v>
      </c>
      <c r="P17" s="1328">
        <v>35592.126543850507</v>
      </c>
      <c r="Q17" s="1329">
        <v>10094.130577345051</v>
      </c>
      <c r="R17" s="319">
        <v>40373.725112025757</v>
      </c>
      <c r="S17" s="315">
        <v>45686.257121195558</v>
      </c>
      <c r="U17" s="7" t="s">
        <v>5481</v>
      </c>
    </row>
    <row r="18" spans="1:21" ht="16.5" thickBot="1">
      <c r="A18" s="1311" t="s">
        <v>4588</v>
      </c>
      <c r="B18" s="1315">
        <f t="shared" si="0"/>
        <v>200</v>
      </c>
      <c r="C18" s="1315" t="s">
        <v>3</v>
      </c>
      <c r="D18" s="1315">
        <f t="shared" si="1"/>
        <v>200</v>
      </c>
      <c r="E18" s="1315" t="s">
        <v>3</v>
      </c>
      <c r="F18" s="1313">
        <f t="shared" si="2"/>
        <v>1050</v>
      </c>
      <c r="G18" s="1315" t="s">
        <v>3</v>
      </c>
      <c r="H18" s="1312">
        <v>4</v>
      </c>
      <c r="I18" s="1314" t="s">
        <v>46</v>
      </c>
      <c r="J18" s="184">
        <v>200</v>
      </c>
      <c r="K18" s="75">
        <v>200</v>
      </c>
      <c r="L18" s="75">
        <v>1050</v>
      </c>
      <c r="M18" s="202">
        <v>14.785814295756609</v>
      </c>
      <c r="N18" s="87">
        <v>968.5085780278805</v>
      </c>
      <c r="O18" s="123">
        <v>31378.625364837269</v>
      </c>
      <c r="P18" s="1328">
        <v>36896.408538967924</v>
      </c>
      <c r="Q18" s="1329">
        <v>10683.130993856326</v>
      </c>
      <c r="R18" s="319">
        <v>42061.756358693594</v>
      </c>
      <c r="S18" s="315">
        <v>47579.539532824252</v>
      </c>
      <c r="U18" s="7" t="s">
        <v>5482</v>
      </c>
    </row>
    <row r="19" spans="1:21" ht="16.5" thickBot="1">
      <c r="A19" s="1311" t="s">
        <v>4588</v>
      </c>
      <c r="B19" s="1312">
        <f t="shared" si="0"/>
        <v>200</v>
      </c>
      <c r="C19" s="1312" t="s">
        <v>3</v>
      </c>
      <c r="D19" s="1312">
        <f t="shared" si="1"/>
        <v>200</v>
      </c>
      <c r="E19" s="1312" t="s">
        <v>3</v>
      </c>
      <c r="F19" s="1313">
        <f t="shared" si="2"/>
        <v>1100</v>
      </c>
      <c r="G19" s="1312" t="s">
        <v>3</v>
      </c>
      <c r="H19" s="1312">
        <v>4</v>
      </c>
      <c r="I19" s="1314" t="s">
        <v>46</v>
      </c>
      <c r="J19" s="184">
        <v>200</v>
      </c>
      <c r="K19" s="75">
        <v>200</v>
      </c>
      <c r="L19" s="75">
        <v>1100</v>
      </c>
      <c r="M19" s="202">
        <v>15.451084536806409</v>
      </c>
      <c r="N19" s="87">
        <v>1037.6877621727292</v>
      </c>
      <c r="O19" s="123">
        <v>32477.656335387193</v>
      </c>
      <c r="P19" s="1328">
        <v>38200.690534085334</v>
      </c>
      <c r="Q19" s="1329">
        <v>11041.549772977691</v>
      </c>
      <c r="R19" s="319">
        <v>43519.206108364888</v>
      </c>
      <c r="S19" s="315">
        <v>49242.240307063024</v>
      </c>
      <c r="U19" s="7" t="s">
        <v>5483</v>
      </c>
    </row>
    <row r="20" spans="1:21" ht="16.5" thickBot="1">
      <c r="A20" s="1311" t="s">
        <v>4588</v>
      </c>
      <c r="B20" s="1315">
        <f t="shared" si="0"/>
        <v>200</v>
      </c>
      <c r="C20" s="1315" t="s">
        <v>3</v>
      </c>
      <c r="D20" s="1315">
        <f t="shared" si="1"/>
        <v>200</v>
      </c>
      <c r="E20" s="1315" t="s">
        <v>3</v>
      </c>
      <c r="F20" s="1313">
        <f t="shared" si="2"/>
        <v>1150</v>
      </c>
      <c r="G20" s="1315" t="s">
        <v>3</v>
      </c>
      <c r="H20" s="1312">
        <v>4</v>
      </c>
      <c r="I20" s="1314" t="s">
        <v>46</v>
      </c>
      <c r="J20" s="184">
        <v>200</v>
      </c>
      <c r="K20" s="75">
        <v>200</v>
      </c>
      <c r="L20" s="75">
        <v>1150</v>
      </c>
      <c r="M20" s="202">
        <v>16.116354777856213</v>
      </c>
      <c r="N20" s="87">
        <v>1106.8669463175779</v>
      </c>
      <c r="O20" s="123">
        <v>33576.687165543757</v>
      </c>
      <c r="P20" s="1328">
        <v>39504.972529202743</v>
      </c>
      <c r="Q20" s="1329">
        <v>11399.96841170569</v>
      </c>
      <c r="R20" s="319">
        <v>44976.655577249447</v>
      </c>
      <c r="S20" s="315">
        <v>50904.940940908433</v>
      </c>
      <c r="U20" s="7" t="s">
        <v>5484</v>
      </c>
    </row>
    <row r="21" spans="1:21" ht="16.5" thickBot="1">
      <c r="A21" s="1311" t="s">
        <v>4588</v>
      </c>
      <c r="B21" s="1315">
        <f t="shared" si="0"/>
        <v>200</v>
      </c>
      <c r="C21" s="1315" t="s">
        <v>3</v>
      </c>
      <c r="D21" s="1315">
        <f t="shared" si="1"/>
        <v>200</v>
      </c>
      <c r="E21" s="1315" t="s">
        <v>3</v>
      </c>
      <c r="F21" s="1313">
        <f t="shared" si="2"/>
        <v>1200</v>
      </c>
      <c r="G21" s="1315" t="s">
        <v>3</v>
      </c>
      <c r="H21" s="1312">
        <v>4</v>
      </c>
      <c r="I21" s="1314" t="s">
        <v>46</v>
      </c>
      <c r="J21" s="184">
        <v>200</v>
      </c>
      <c r="K21" s="75">
        <v>200</v>
      </c>
      <c r="L21" s="75">
        <v>1200</v>
      </c>
      <c r="M21" s="202">
        <v>16.781625018906013</v>
      </c>
      <c r="N21" s="87">
        <v>1176.0461304624264</v>
      </c>
      <c r="O21" s="123">
        <v>34675.717995700317</v>
      </c>
      <c r="P21" s="1328">
        <v>40809.25452432016</v>
      </c>
      <c r="Q21" s="1329">
        <v>11988.968828216965</v>
      </c>
      <c r="R21" s="319">
        <v>46664.686823917284</v>
      </c>
      <c r="S21" s="315">
        <v>52798.223352537127</v>
      </c>
      <c r="U21" s="7" t="s">
        <v>5485</v>
      </c>
    </row>
    <row r="22" spans="1:21" ht="16.5" thickBot="1">
      <c r="A22" s="1311" t="s">
        <v>4588</v>
      </c>
      <c r="B22" s="1315">
        <f t="shared" si="0"/>
        <v>200</v>
      </c>
      <c r="C22" s="1315" t="s">
        <v>3</v>
      </c>
      <c r="D22" s="1315">
        <f t="shared" si="1"/>
        <v>200</v>
      </c>
      <c r="E22" s="1315" t="s">
        <v>3</v>
      </c>
      <c r="F22" s="1313">
        <f t="shared" si="2"/>
        <v>1250</v>
      </c>
      <c r="G22" s="1315" t="s">
        <v>3</v>
      </c>
      <c r="H22" s="1312">
        <v>4</v>
      </c>
      <c r="I22" s="1314" t="s">
        <v>46</v>
      </c>
      <c r="J22" s="184">
        <v>200</v>
      </c>
      <c r="K22" s="75">
        <v>200</v>
      </c>
      <c r="L22" s="75">
        <v>1250</v>
      </c>
      <c r="M22" s="202">
        <v>17.446895259955824</v>
      </c>
      <c r="N22" s="87">
        <v>1245.2253146072751</v>
      </c>
      <c r="O22" s="123">
        <v>35774.748825856877</v>
      </c>
      <c r="P22" s="1328">
        <v>42113.53651943757</v>
      </c>
      <c r="Q22" s="1329">
        <v>12347.387466944965</v>
      </c>
      <c r="R22" s="319">
        <v>48122.136292801843</v>
      </c>
      <c r="S22" s="315">
        <v>54460.923986382535</v>
      </c>
      <c r="U22" s="7" t="s">
        <v>5486</v>
      </c>
    </row>
    <row r="23" spans="1:21" ht="16.5" thickBot="1">
      <c r="A23" s="1311" t="s">
        <v>4588</v>
      </c>
      <c r="B23" s="1315">
        <f t="shared" si="0"/>
        <v>200</v>
      </c>
      <c r="C23" s="1315" t="s">
        <v>3</v>
      </c>
      <c r="D23" s="1315">
        <f t="shared" si="1"/>
        <v>200</v>
      </c>
      <c r="E23" s="1315" t="s">
        <v>3</v>
      </c>
      <c r="F23" s="1313">
        <f t="shared" si="2"/>
        <v>1300</v>
      </c>
      <c r="G23" s="1315" t="s">
        <v>3</v>
      </c>
      <c r="H23" s="1312">
        <v>4</v>
      </c>
      <c r="I23" s="1314" t="s">
        <v>46</v>
      </c>
      <c r="J23" s="184">
        <v>200</v>
      </c>
      <c r="K23" s="75">
        <v>200</v>
      </c>
      <c r="L23" s="75">
        <v>1300</v>
      </c>
      <c r="M23" s="202">
        <v>18.112165501005624</v>
      </c>
      <c r="N23" s="87">
        <v>1314.4044987521236</v>
      </c>
      <c r="O23" s="123">
        <v>36873.779656013445</v>
      </c>
      <c r="P23" s="1328">
        <v>43417.818514554987</v>
      </c>
      <c r="Q23" s="1329">
        <v>12936.38788345624</v>
      </c>
      <c r="R23" s="319">
        <v>49810.167539469687</v>
      </c>
      <c r="S23" s="315">
        <v>56354.206398011229</v>
      </c>
      <c r="U23" s="7" t="s">
        <v>5487</v>
      </c>
    </row>
    <row r="24" spans="1:21" ht="16.5" thickBot="1">
      <c r="A24" s="1311" t="s">
        <v>4588</v>
      </c>
      <c r="B24" s="1315">
        <f t="shared" si="0"/>
        <v>200</v>
      </c>
      <c r="C24" s="1315" t="s">
        <v>3</v>
      </c>
      <c r="D24" s="1315">
        <f t="shared" si="1"/>
        <v>200</v>
      </c>
      <c r="E24" s="1315" t="s">
        <v>3</v>
      </c>
      <c r="F24" s="1313">
        <f t="shared" si="2"/>
        <v>1350</v>
      </c>
      <c r="G24" s="1315" t="s">
        <v>3</v>
      </c>
      <c r="H24" s="1312">
        <v>4</v>
      </c>
      <c r="I24" s="1314" t="s">
        <v>46</v>
      </c>
      <c r="J24" s="184">
        <v>200</v>
      </c>
      <c r="K24" s="75">
        <v>200</v>
      </c>
      <c r="L24" s="75">
        <v>1350</v>
      </c>
      <c r="M24" s="202">
        <v>18.777435742055424</v>
      </c>
      <c r="N24" s="87">
        <v>1383.5836828969723</v>
      </c>
      <c r="O24" s="123">
        <v>37972.810486170005</v>
      </c>
      <c r="P24" s="1328">
        <v>44722.100509672397</v>
      </c>
      <c r="Q24" s="1329">
        <v>13294.806662577603</v>
      </c>
      <c r="R24" s="319">
        <v>51267.617148747609</v>
      </c>
      <c r="S24" s="315">
        <v>58016.907172250001</v>
      </c>
      <c r="U24" s="7" t="s">
        <v>5488</v>
      </c>
    </row>
    <row r="25" spans="1:21" ht="16.5" thickBot="1">
      <c r="A25" s="1311" t="s">
        <v>4588</v>
      </c>
      <c r="B25" s="1315">
        <f t="shared" si="0"/>
        <v>200</v>
      </c>
      <c r="C25" s="1315" t="s">
        <v>3</v>
      </c>
      <c r="D25" s="1315">
        <f t="shared" si="1"/>
        <v>200</v>
      </c>
      <c r="E25" s="1315" t="s">
        <v>3</v>
      </c>
      <c r="F25" s="1313">
        <f t="shared" si="2"/>
        <v>1400</v>
      </c>
      <c r="G25" s="1315" t="s">
        <v>3</v>
      </c>
      <c r="H25" s="1312">
        <v>4</v>
      </c>
      <c r="I25" s="1314" t="s">
        <v>46</v>
      </c>
      <c r="J25" s="184">
        <v>200</v>
      </c>
      <c r="K25" s="75">
        <v>200</v>
      </c>
      <c r="L25" s="75">
        <v>1400</v>
      </c>
      <c r="M25" s="202">
        <v>19.442705983105228</v>
      </c>
      <c r="N25" s="87">
        <v>1452.762867041821</v>
      </c>
      <c r="O25" s="123">
        <v>39071.841456719929</v>
      </c>
      <c r="P25" s="1328">
        <v>46026.382504789806</v>
      </c>
      <c r="Q25" s="1329">
        <v>13883.807079088876</v>
      </c>
      <c r="R25" s="319">
        <v>52955.648535808803</v>
      </c>
      <c r="S25" s="315">
        <v>59910.18958387868</v>
      </c>
      <c r="U25" s="7" t="s">
        <v>5489</v>
      </c>
    </row>
    <row r="26" spans="1:21" ht="16.5" thickBot="1">
      <c r="A26" s="1311" t="s">
        <v>4588</v>
      </c>
      <c r="B26" s="1315">
        <f t="shared" si="0"/>
        <v>200</v>
      </c>
      <c r="C26" s="1315" t="s">
        <v>3</v>
      </c>
      <c r="D26" s="1315">
        <f t="shared" si="1"/>
        <v>200</v>
      </c>
      <c r="E26" s="1315" t="s">
        <v>3</v>
      </c>
      <c r="F26" s="1313">
        <f t="shared" si="2"/>
        <v>1450</v>
      </c>
      <c r="G26" s="1315" t="s">
        <v>3</v>
      </c>
      <c r="H26" s="1312">
        <v>4</v>
      </c>
      <c r="I26" s="1314" t="s">
        <v>46</v>
      </c>
      <c r="J26" s="184">
        <v>200</v>
      </c>
      <c r="K26" s="75">
        <v>200</v>
      </c>
      <c r="L26" s="75">
        <v>1450</v>
      </c>
      <c r="M26" s="202">
        <v>20.107976224155031</v>
      </c>
      <c r="N26" s="87">
        <v>1521.9420511866697</v>
      </c>
      <c r="O26" s="123">
        <v>40170.872286876496</v>
      </c>
      <c r="P26" s="1328">
        <v>47330.66449990723</v>
      </c>
      <c r="Q26" s="1329">
        <v>14242.225717816877</v>
      </c>
      <c r="R26" s="319">
        <v>54413.098004693369</v>
      </c>
      <c r="S26" s="315">
        <v>61572.890217724111</v>
      </c>
      <c r="U26" s="7" t="s">
        <v>5490</v>
      </c>
    </row>
    <row r="27" spans="1:21" ht="16.5" thickBot="1">
      <c r="A27" s="1311" t="s">
        <v>4588</v>
      </c>
      <c r="B27" s="1315">
        <f t="shared" si="0"/>
        <v>200</v>
      </c>
      <c r="C27" s="1315" t="s">
        <v>3</v>
      </c>
      <c r="D27" s="1315">
        <f t="shared" si="1"/>
        <v>200</v>
      </c>
      <c r="E27" s="1315" t="s">
        <v>3</v>
      </c>
      <c r="F27" s="1313">
        <f t="shared" si="2"/>
        <v>1500</v>
      </c>
      <c r="G27" s="1315" t="s">
        <v>3</v>
      </c>
      <c r="H27" s="1312">
        <v>4</v>
      </c>
      <c r="I27" s="1314" t="s">
        <v>46</v>
      </c>
      <c r="J27" s="184">
        <v>200</v>
      </c>
      <c r="K27" s="75">
        <v>200</v>
      </c>
      <c r="L27" s="75">
        <v>1500</v>
      </c>
      <c r="M27" s="202">
        <v>21.140539265204833</v>
      </c>
      <c r="N27" s="87">
        <v>1591.1212353315179</v>
      </c>
      <c r="O27" s="123">
        <v>42043.732939602567</v>
      </c>
      <c r="P27" s="1328">
        <v>49660.879415095136</v>
      </c>
      <c r="Q27" s="1329">
        <v>14831.226134328155</v>
      </c>
      <c r="R27" s="319">
        <v>56874.959073930724</v>
      </c>
      <c r="S27" s="315">
        <v>64492.105549423293</v>
      </c>
      <c r="U27" s="7" t="s">
        <v>5491</v>
      </c>
    </row>
    <row r="28" spans="1:21" ht="16.5" thickBot="1">
      <c r="A28" s="1311" t="s">
        <v>4588</v>
      </c>
      <c r="B28" s="1315">
        <f t="shared" si="0"/>
        <v>200</v>
      </c>
      <c r="C28" s="1315" t="s">
        <v>3</v>
      </c>
      <c r="D28" s="1315">
        <f t="shared" si="1"/>
        <v>200</v>
      </c>
      <c r="E28" s="1315" t="s">
        <v>3</v>
      </c>
      <c r="F28" s="1313">
        <f t="shared" si="2"/>
        <v>1550</v>
      </c>
      <c r="G28" s="1315" t="s">
        <v>3</v>
      </c>
      <c r="H28" s="1312">
        <v>4</v>
      </c>
      <c r="I28" s="1314" t="s">
        <v>46</v>
      </c>
      <c r="J28" s="184">
        <v>200</v>
      </c>
      <c r="K28" s="75">
        <v>200</v>
      </c>
      <c r="L28" s="75">
        <v>1550</v>
      </c>
      <c r="M28" s="202">
        <v>21.805809506254636</v>
      </c>
      <c r="N28" s="87">
        <v>1660.3004194763666</v>
      </c>
      <c r="O28" s="123">
        <v>43142.763769759134</v>
      </c>
      <c r="P28" s="1328">
        <v>50965.161410212546</v>
      </c>
      <c r="Q28" s="1329">
        <v>15189.644913449516</v>
      </c>
      <c r="R28" s="319">
        <v>58332.408683208647</v>
      </c>
      <c r="S28" s="315">
        <v>66154.806323662066</v>
      </c>
      <c r="U28" s="7" t="s">
        <v>5492</v>
      </c>
    </row>
    <row r="29" spans="1:21" ht="16.5" thickBot="1">
      <c r="A29" s="1311" t="s">
        <v>4588</v>
      </c>
      <c r="B29" s="1312">
        <f t="shared" si="0"/>
        <v>200</v>
      </c>
      <c r="C29" s="1312" t="s">
        <v>3</v>
      </c>
      <c r="D29" s="1312">
        <f t="shared" si="1"/>
        <v>200</v>
      </c>
      <c r="E29" s="1312" t="s">
        <v>3</v>
      </c>
      <c r="F29" s="1313">
        <f t="shared" si="2"/>
        <v>1600</v>
      </c>
      <c r="G29" s="1312" t="s">
        <v>3</v>
      </c>
      <c r="H29" s="1312">
        <v>4</v>
      </c>
      <c r="I29" s="1314" t="s">
        <v>46</v>
      </c>
      <c r="J29" s="184">
        <v>200</v>
      </c>
      <c r="K29" s="75">
        <v>200</v>
      </c>
      <c r="L29" s="75">
        <v>1600</v>
      </c>
      <c r="M29" s="202">
        <v>22.471079747304437</v>
      </c>
      <c r="N29" s="87">
        <v>1729.4796036212153</v>
      </c>
      <c r="O29" s="123">
        <v>44241.794599915695</v>
      </c>
      <c r="P29" s="1328">
        <v>52269.443405329963</v>
      </c>
      <c r="Q29" s="1329">
        <v>15548.063552177517</v>
      </c>
      <c r="R29" s="319">
        <v>59789.858152093213</v>
      </c>
      <c r="S29" s="315">
        <v>67817.506957507474</v>
      </c>
      <c r="U29" s="7" t="s">
        <v>5493</v>
      </c>
    </row>
    <row r="30" spans="1:21" ht="16.5" thickBot="1">
      <c r="A30" s="1311" t="s">
        <v>4588</v>
      </c>
      <c r="B30" s="1315">
        <f t="shared" si="0"/>
        <v>200</v>
      </c>
      <c r="C30" s="1315" t="s">
        <v>3</v>
      </c>
      <c r="D30" s="1315">
        <f t="shared" si="1"/>
        <v>200</v>
      </c>
      <c r="E30" s="1315" t="s">
        <v>3</v>
      </c>
      <c r="F30" s="1313">
        <f t="shared" si="2"/>
        <v>1650</v>
      </c>
      <c r="G30" s="1315" t="s">
        <v>3</v>
      </c>
      <c r="H30" s="1312">
        <v>4</v>
      </c>
      <c r="I30" s="1314" t="s">
        <v>46</v>
      </c>
      <c r="J30" s="184">
        <v>200</v>
      </c>
      <c r="K30" s="75">
        <v>200</v>
      </c>
      <c r="L30" s="75">
        <v>1650</v>
      </c>
      <c r="M30" s="202">
        <v>23.13634998835424</v>
      </c>
      <c r="N30" s="87">
        <v>1798.6587877660641</v>
      </c>
      <c r="O30" s="123">
        <v>45340.825430072262</v>
      </c>
      <c r="P30" s="1328">
        <v>53573.725540840736</v>
      </c>
      <c r="Q30" s="1329">
        <v>16137.063968688792</v>
      </c>
      <c r="R30" s="319">
        <v>61477.88939876105</v>
      </c>
      <c r="S30" s="315">
        <v>69710.789509529524</v>
      </c>
      <c r="U30" s="7" t="s">
        <v>5494</v>
      </c>
    </row>
    <row r="31" spans="1:21" ht="16.5" thickBot="1">
      <c r="A31" s="1311" t="s">
        <v>4588</v>
      </c>
      <c r="B31" s="1315">
        <f t="shared" si="0"/>
        <v>200</v>
      </c>
      <c r="C31" s="1315" t="s">
        <v>3</v>
      </c>
      <c r="D31" s="1315">
        <f t="shared" si="1"/>
        <v>200</v>
      </c>
      <c r="E31" s="1315" t="s">
        <v>3</v>
      </c>
      <c r="F31" s="1313">
        <f t="shared" si="2"/>
        <v>1700</v>
      </c>
      <c r="G31" s="1315" t="s">
        <v>3</v>
      </c>
      <c r="H31" s="1312">
        <v>4</v>
      </c>
      <c r="I31" s="1314" t="s">
        <v>46</v>
      </c>
      <c r="J31" s="184">
        <v>200</v>
      </c>
      <c r="K31" s="75">
        <v>200</v>
      </c>
      <c r="L31" s="75">
        <v>1700</v>
      </c>
      <c r="M31" s="202">
        <v>23.801620229404044</v>
      </c>
      <c r="N31" s="87">
        <v>1867.8379719109128</v>
      </c>
      <c r="O31" s="123">
        <v>46439.856260228822</v>
      </c>
      <c r="P31" s="1328">
        <v>54878.007535958153</v>
      </c>
      <c r="Q31" s="1329">
        <v>16495.48260741679</v>
      </c>
      <c r="R31" s="319">
        <v>62935.338867645609</v>
      </c>
      <c r="S31" s="315">
        <v>71373.490143374947</v>
      </c>
      <c r="U31" s="7" t="s">
        <v>5495</v>
      </c>
    </row>
    <row r="32" spans="1:21" ht="16.5" thickBot="1">
      <c r="A32" s="1311" t="s">
        <v>4588</v>
      </c>
      <c r="B32" s="1315">
        <f t="shared" si="0"/>
        <v>200</v>
      </c>
      <c r="C32" s="1315" t="s">
        <v>3</v>
      </c>
      <c r="D32" s="1315">
        <f t="shared" si="1"/>
        <v>200</v>
      </c>
      <c r="E32" s="1315" t="s">
        <v>3</v>
      </c>
      <c r="F32" s="1313">
        <f t="shared" si="2"/>
        <v>1750</v>
      </c>
      <c r="G32" s="1315" t="s">
        <v>3</v>
      </c>
      <c r="H32" s="1312">
        <v>4</v>
      </c>
      <c r="I32" s="1314" t="s">
        <v>46</v>
      </c>
      <c r="J32" s="184">
        <v>200</v>
      </c>
      <c r="K32" s="75">
        <v>200</v>
      </c>
      <c r="L32" s="75">
        <v>1750</v>
      </c>
      <c r="M32" s="202">
        <v>24.466890470453848</v>
      </c>
      <c r="N32" s="87">
        <v>1937.017156055761</v>
      </c>
      <c r="O32" s="123">
        <v>47538.8872307786</v>
      </c>
      <c r="P32" s="1328">
        <v>56182.289531075563</v>
      </c>
      <c r="Q32" s="1329">
        <v>17084.483023928067</v>
      </c>
      <c r="R32" s="319">
        <v>64623.370254706664</v>
      </c>
      <c r="S32" s="315">
        <v>73266.772555003627</v>
      </c>
      <c r="U32" s="7" t="s">
        <v>5496</v>
      </c>
    </row>
    <row r="33" spans="1:21" ht="16.5" thickBot="1">
      <c r="A33" s="1311" t="s">
        <v>4588</v>
      </c>
      <c r="B33" s="1315">
        <f t="shared" si="0"/>
        <v>200</v>
      </c>
      <c r="C33" s="1315" t="s">
        <v>3</v>
      </c>
      <c r="D33" s="1315">
        <f t="shared" si="1"/>
        <v>200</v>
      </c>
      <c r="E33" s="1315" t="s">
        <v>3</v>
      </c>
      <c r="F33" s="1313">
        <f t="shared" si="2"/>
        <v>1800</v>
      </c>
      <c r="G33" s="1315" t="s">
        <v>3</v>
      </c>
      <c r="H33" s="1312">
        <v>4</v>
      </c>
      <c r="I33" s="1314" t="s">
        <v>46</v>
      </c>
      <c r="J33" s="184">
        <v>200</v>
      </c>
      <c r="K33" s="75">
        <v>200</v>
      </c>
      <c r="L33" s="75">
        <v>1800</v>
      </c>
      <c r="M33" s="202">
        <v>25.132160711503651</v>
      </c>
      <c r="N33" s="87">
        <v>2006.1963402006097</v>
      </c>
      <c r="O33" s="123">
        <v>48637.918060935313</v>
      </c>
      <c r="P33" s="1328">
        <v>57486.57152619298</v>
      </c>
      <c r="Q33" s="1329">
        <v>17442.90180304943</v>
      </c>
      <c r="R33" s="319">
        <v>66080.81986398474</v>
      </c>
      <c r="S33" s="315">
        <v>74929.473329242406</v>
      </c>
      <c r="U33" s="7" t="s">
        <v>5497</v>
      </c>
    </row>
    <row r="34" spans="1:21" ht="16.5" thickBot="1">
      <c r="A34" s="1311" t="s">
        <v>4588</v>
      </c>
      <c r="B34" s="1315">
        <f t="shared" si="0"/>
        <v>200</v>
      </c>
      <c r="C34" s="1315" t="s">
        <v>3</v>
      </c>
      <c r="D34" s="1315">
        <f t="shared" si="1"/>
        <v>200</v>
      </c>
      <c r="E34" s="1315" t="s">
        <v>3</v>
      </c>
      <c r="F34" s="1313">
        <f t="shared" si="2"/>
        <v>1850</v>
      </c>
      <c r="G34" s="1315" t="s">
        <v>3</v>
      </c>
      <c r="H34" s="1312">
        <v>4</v>
      </c>
      <c r="I34" s="1314" t="s">
        <v>46</v>
      </c>
      <c r="J34" s="184">
        <v>200</v>
      </c>
      <c r="K34" s="75">
        <v>200</v>
      </c>
      <c r="L34" s="75">
        <v>1850</v>
      </c>
      <c r="M34" s="202">
        <v>25.797430952553448</v>
      </c>
      <c r="N34" s="87">
        <v>2075.3755243454584</v>
      </c>
      <c r="O34" s="123">
        <v>49736.948891091866</v>
      </c>
      <c r="P34" s="1328">
        <v>58790.85352131039</v>
      </c>
      <c r="Q34" s="1329">
        <v>18031.902219560703</v>
      </c>
      <c r="R34" s="319">
        <v>67768.851110652569</v>
      </c>
      <c r="S34" s="315">
        <v>76822.7557408711</v>
      </c>
      <c r="U34" s="7" t="s">
        <v>5498</v>
      </c>
    </row>
    <row r="35" spans="1:21" ht="16.5" thickBot="1">
      <c r="A35" s="1311" t="s">
        <v>4588</v>
      </c>
      <c r="B35" s="1315">
        <f t="shared" si="0"/>
        <v>200</v>
      </c>
      <c r="C35" s="1315" t="s">
        <v>3</v>
      </c>
      <c r="D35" s="1315">
        <f t="shared" si="1"/>
        <v>200</v>
      </c>
      <c r="E35" s="1315" t="s">
        <v>3</v>
      </c>
      <c r="F35" s="1313">
        <f t="shared" si="2"/>
        <v>1900</v>
      </c>
      <c r="G35" s="1315" t="s">
        <v>3</v>
      </c>
      <c r="H35" s="1312">
        <v>4</v>
      </c>
      <c r="I35" s="1314" t="s">
        <v>46</v>
      </c>
      <c r="J35" s="184">
        <v>200</v>
      </c>
      <c r="K35" s="75">
        <v>200</v>
      </c>
      <c r="L35" s="75">
        <v>1900</v>
      </c>
      <c r="M35" s="202">
        <v>26.462701193603252</v>
      </c>
      <c r="N35" s="87">
        <v>2144.5547084903069</v>
      </c>
      <c r="O35" s="123">
        <v>50835.979721248434</v>
      </c>
      <c r="P35" s="1328">
        <v>60095.135516427799</v>
      </c>
      <c r="Q35" s="1329">
        <v>18390.320858288702</v>
      </c>
      <c r="R35" s="319">
        <v>69226.300579537143</v>
      </c>
      <c r="S35" s="315">
        <v>78485.456374716508</v>
      </c>
      <c r="U35" s="7" t="s">
        <v>5499</v>
      </c>
    </row>
    <row r="36" spans="1:21" ht="16.5" thickBot="1">
      <c r="A36" s="1311" t="s">
        <v>4588</v>
      </c>
      <c r="B36" s="1315">
        <f t="shared" si="0"/>
        <v>200</v>
      </c>
      <c r="C36" s="1315" t="s">
        <v>3</v>
      </c>
      <c r="D36" s="1315">
        <f t="shared" si="1"/>
        <v>200</v>
      </c>
      <c r="E36" s="1315" t="s">
        <v>3</v>
      </c>
      <c r="F36" s="1313">
        <f t="shared" si="2"/>
        <v>1950</v>
      </c>
      <c r="G36" s="1315" t="s">
        <v>3</v>
      </c>
      <c r="H36" s="1312">
        <v>4</v>
      </c>
      <c r="I36" s="1314" t="s">
        <v>46</v>
      </c>
      <c r="J36" s="184">
        <v>200</v>
      </c>
      <c r="K36" s="75">
        <v>200</v>
      </c>
      <c r="L36" s="75">
        <v>1950</v>
      </c>
      <c r="M36" s="202">
        <v>27.127971434653062</v>
      </c>
      <c r="N36" s="87">
        <v>2213.7338926351558</v>
      </c>
      <c r="O36" s="123">
        <v>51935.010551405001</v>
      </c>
      <c r="P36" s="1328">
        <v>61399.417511545216</v>
      </c>
      <c r="Q36" s="1329">
        <v>18748.739497016704</v>
      </c>
      <c r="R36" s="319">
        <v>70683.750048421702</v>
      </c>
      <c r="S36" s="315">
        <v>80148.157008561917</v>
      </c>
      <c r="U36" s="7" t="s">
        <v>5500</v>
      </c>
    </row>
    <row r="37" spans="1:21" ht="16.5" thickBot="1">
      <c r="A37" s="1311" t="s">
        <v>4588</v>
      </c>
      <c r="B37" s="1315">
        <f t="shared" si="0"/>
        <v>200</v>
      </c>
      <c r="C37" s="1315" t="s">
        <v>3</v>
      </c>
      <c r="D37" s="1315">
        <f t="shared" si="1"/>
        <v>200</v>
      </c>
      <c r="E37" s="1315" t="s">
        <v>3</v>
      </c>
      <c r="F37" s="1313">
        <f t="shared" si="2"/>
        <v>2000</v>
      </c>
      <c r="G37" s="1315" t="s">
        <v>3</v>
      </c>
      <c r="H37" s="1312">
        <v>4</v>
      </c>
      <c r="I37" s="1314" t="s">
        <v>46</v>
      </c>
      <c r="J37" s="184">
        <v>200</v>
      </c>
      <c r="K37" s="75">
        <v>200</v>
      </c>
      <c r="L37" s="75">
        <v>2000</v>
      </c>
      <c r="M37" s="202">
        <v>27.871277675702856</v>
      </c>
      <c r="N37" s="87">
        <v>2282.9130767800043</v>
      </c>
      <c r="O37" s="123">
        <v>53466.055063272237</v>
      </c>
      <c r="P37" s="1328">
        <v>62842.632778192623</v>
      </c>
      <c r="Q37" s="1329">
        <v>19337.740053921341</v>
      </c>
      <c r="R37" s="319">
        <v>72803.795117193571</v>
      </c>
      <c r="S37" s="315">
        <v>82180.372832113964</v>
      </c>
      <c r="U37" s="7" t="s">
        <v>5501</v>
      </c>
    </row>
    <row r="38" spans="1:21" ht="16.5" thickBot="1">
      <c r="A38" s="1311" t="s">
        <v>4588</v>
      </c>
      <c r="B38" s="1315">
        <f t="shared" si="0"/>
        <v>200</v>
      </c>
      <c r="C38" s="1315" t="s">
        <v>3</v>
      </c>
      <c r="D38" s="1315">
        <f t="shared" si="1"/>
        <v>200</v>
      </c>
      <c r="E38" s="1315" t="s">
        <v>3</v>
      </c>
      <c r="F38" s="1313">
        <f t="shared" si="2"/>
        <v>2050</v>
      </c>
      <c r="G38" s="1315" t="s">
        <v>3</v>
      </c>
      <c r="H38" s="1312">
        <v>4</v>
      </c>
      <c r="I38" s="1314" t="s">
        <v>46</v>
      </c>
      <c r="J38" s="184">
        <v>200</v>
      </c>
      <c r="K38" s="75">
        <v>200</v>
      </c>
      <c r="L38" s="75">
        <v>2050</v>
      </c>
      <c r="M38" s="202">
        <v>28.536547916752667</v>
      </c>
      <c r="N38" s="87">
        <v>2352.0922609248528</v>
      </c>
      <c r="O38" s="123">
        <v>54565.085893428797</v>
      </c>
      <c r="P38" s="1328">
        <v>64146.91477331004</v>
      </c>
      <c r="Q38" s="1329">
        <v>19696.15869264934</v>
      </c>
      <c r="R38" s="319">
        <v>74261.24458607813</v>
      </c>
      <c r="S38" s="315">
        <v>83843.073465959373</v>
      </c>
      <c r="U38" s="7" t="s">
        <v>5502</v>
      </c>
    </row>
    <row r="39" spans="1:21" ht="16.5" thickBot="1">
      <c r="A39" s="1311" t="s">
        <v>4588</v>
      </c>
      <c r="B39" s="1312">
        <f t="shared" si="0"/>
        <v>200</v>
      </c>
      <c r="C39" s="1312" t="s">
        <v>3</v>
      </c>
      <c r="D39" s="1312">
        <f t="shared" si="1"/>
        <v>200</v>
      </c>
      <c r="E39" s="1312" t="s">
        <v>3</v>
      </c>
      <c r="F39" s="1313">
        <f t="shared" si="2"/>
        <v>2100</v>
      </c>
      <c r="G39" s="1312" t="s">
        <v>3</v>
      </c>
      <c r="H39" s="1312">
        <v>4</v>
      </c>
      <c r="I39" s="1314" t="s">
        <v>46</v>
      </c>
      <c r="J39" s="184">
        <v>200</v>
      </c>
      <c r="K39" s="75">
        <v>200</v>
      </c>
      <c r="L39" s="75">
        <v>2100</v>
      </c>
      <c r="M39" s="202">
        <v>29.201818157802464</v>
      </c>
      <c r="N39" s="87">
        <v>2421.2714450697013</v>
      </c>
      <c r="O39" s="123">
        <v>55664.116863978721</v>
      </c>
      <c r="P39" s="1328">
        <v>65451.19676842745</v>
      </c>
      <c r="Q39" s="1329">
        <v>20285.159109160617</v>
      </c>
      <c r="R39" s="319">
        <v>75949.275973139331</v>
      </c>
      <c r="S39" s="315">
        <v>85736.355877588067</v>
      </c>
      <c r="U39" s="7" t="s">
        <v>5503</v>
      </c>
    </row>
    <row r="40" spans="1:21" ht="16.5" thickBot="1">
      <c r="A40" s="1311" t="s">
        <v>4588</v>
      </c>
      <c r="B40" s="1315">
        <f t="shared" si="0"/>
        <v>200</v>
      </c>
      <c r="C40" s="1315" t="s">
        <v>3</v>
      </c>
      <c r="D40" s="1315">
        <f t="shared" si="1"/>
        <v>200</v>
      </c>
      <c r="E40" s="1315" t="s">
        <v>3</v>
      </c>
      <c r="F40" s="1313">
        <f t="shared" si="2"/>
        <v>2150</v>
      </c>
      <c r="G40" s="1315" t="s">
        <v>3</v>
      </c>
      <c r="H40" s="1312">
        <v>4</v>
      </c>
      <c r="I40" s="1314" t="s">
        <v>46</v>
      </c>
      <c r="J40" s="184">
        <v>200</v>
      </c>
      <c r="K40" s="75">
        <v>200</v>
      </c>
      <c r="L40" s="75">
        <v>2150</v>
      </c>
      <c r="M40" s="202">
        <v>29.867088398852268</v>
      </c>
      <c r="N40" s="87">
        <v>2490.4506292145502</v>
      </c>
      <c r="O40" s="123">
        <v>56763.147694135288</v>
      </c>
      <c r="P40" s="1328">
        <v>66755.478763544859</v>
      </c>
      <c r="Q40" s="1329">
        <v>20643.577747888616</v>
      </c>
      <c r="R40" s="319">
        <v>77406.725442023904</v>
      </c>
      <c r="S40" s="315">
        <v>87399.056511433475</v>
      </c>
      <c r="U40" s="7" t="s">
        <v>5504</v>
      </c>
    </row>
    <row r="41" spans="1:21" ht="16.5" thickBot="1">
      <c r="A41" s="1311" t="s">
        <v>4588</v>
      </c>
      <c r="B41" s="1315">
        <f t="shared" si="0"/>
        <v>200</v>
      </c>
      <c r="C41" s="1315" t="s">
        <v>3</v>
      </c>
      <c r="D41" s="1315">
        <f t="shared" si="1"/>
        <v>200</v>
      </c>
      <c r="E41" s="1315" t="s">
        <v>3</v>
      </c>
      <c r="F41" s="1313">
        <f t="shared" si="2"/>
        <v>2200</v>
      </c>
      <c r="G41" s="1315" t="s">
        <v>3</v>
      </c>
      <c r="H41" s="1312">
        <v>4</v>
      </c>
      <c r="I41" s="1314" t="s">
        <v>46</v>
      </c>
      <c r="J41" s="184">
        <v>200</v>
      </c>
      <c r="K41" s="75">
        <v>200</v>
      </c>
      <c r="L41" s="75">
        <v>2200</v>
      </c>
      <c r="M41" s="202">
        <v>30.532358639902075</v>
      </c>
      <c r="N41" s="87">
        <v>2559.6298133593987</v>
      </c>
      <c r="O41" s="123">
        <v>57862.178524291849</v>
      </c>
      <c r="P41" s="1328">
        <v>68059.760758662276</v>
      </c>
      <c r="Q41" s="1329">
        <v>21232.578164399893</v>
      </c>
      <c r="R41" s="319">
        <v>79094.756688691734</v>
      </c>
      <c r="S41" s="315">
        <v>89292.338923062169</v>
      </c>
      <c r="U41" s="7" t="s">
        <v>5505</v>
      </c>
    </row>
    <row r="42" spans="1:21" ht="16.5" thickBot="1">
      <c r="A42" s="1311" t="s">
        <v>4588</v>
      </c>
      <c r="B42" s="1315">
        <f t="shared" si="0"/>
        <v>200</v>
      </c>
      <c r="C42" s="1315" t="s">
        <v>3</v>
      </c>
      <c r="D42" s="1315">
        <f t="shared" si="1"/>
        <v>200</v>
      </c>
      <c r="E42" s="1315" t="s">
        <v>3</v>
      </c>
      <c r="F42" s="1313">
        <f t="shared" si="2"/>
        <v>2250</v>
      </c>
      <c r="G42" s="1315" t="s">
        <v>3</v>
      </c>
      <c r="H42" s="1312">
        <v>4</v>
      </c>
      <c r="I42" s="1314" t="s">
        <v>46</v>
      </c>
      <c r="J42" s="184">
        <v>200</v>
      </c>
      <c r="K42" s="75">
        <v>200</v>
      </c>
      <c r="L42" s="75">
        <v>2250</v>
      </c>
      <c r="M42" s="202">
        <v>31.197628880951875</v>
      </c>
      <c r="N42" s="87">
        <v>2628.8089975042471</v>
      </c>
      <c r="O42" s="123">
        <v>58961.209354448416</v>
      </c>
      <c r="P42" s="1328">
        <v>69364.042753779693</v>
      </c>
      <c r="Q42" s="1329">
        <v>21590.996943521255</v>
      </c>
      <c r="R42" s="319">
        <v>80552.206297969678</v>
      </c>
      <c r="S42" s="315">
        <v>90955.039697300948</v>
      </c>
      <c r="U42" s="7" t="s">
        <v>5506</v>
      </c>
    </row>
    <row r="43" spans="1:21" ht="16.5" thickBot="1">
      <c r="A43" s="1311" t="s">
        <v>4588</v>
      </c>
      <c r="B43" s="1315">
        <f t="shared" si="0"/>
        <v>200</v>
      </c>
      <c r="C43" s="1315" t="s">
        <v>3</v>
      </c>
      <c r="D43" s="1315">
        <f t="shared" si="1"/>
        <v>200</v>
      </c>
      <c r="E43" s="1315" t="s">
        <v>3</v>
      </c>
      <c r="F43" s="1313">
        <f t="shared" si="2"/>
        <v>2300</v>
      </c>
      <c r="G43" s="1315" t="s">
        <v>3</v>
      </c>
      <c r="H43" s="1312">
        <v>4</v>
      </c>
      <c r="I43" s="1314" t="s">
        <v>46</v>
      </c>
      <c r="J43" s="184">
        <v>200</v>
      </c>
      <c r="K43" s="75">
        <v>200</v>
      </c>
      <c r="L43" s="75">
        <v>2300</v>
      </c>
      <c r="M43" s="202">
        <v>31.862899122001679</v>
      </c>
      <c r="N43" s="87">
        <v>2697.9881816490961</v>
      </c>
      <c r="O43" s="123">
        <v>60060.240184604969</v>
      </c>
      <c r="P43" s="1328">
        <v>70668.32474889711</v>
      </c>
      <c r="Q43" s="1329">
        <v>21949.415582249254</v>
      </c>
      <c r="R43" s="319">
        <v>82009.655766854223</v>
      </c>
      <c r="S43" s="315">
        <v>92617.740331146371</v>
      </c>
      <c r="U43" s="7" t="s">
        <v>5507</v>
      </c>
    </row>
    <row r="44" spans="1:21" ht="16.5" thickBot="1">
      <c r="A44" s="1311" t="s">
        <v>4588</v>
      </c>
      <c r="B44" s="1315">
        <f t="shared" si="0"/>
        <v>200</v>
      </c>
      <c r="C44" s="1315" t="s">
        <v>3</v>
      </c>
      <c r="D44" s="1315">
        <f t="shared" si="1"/>
        <v>200</v>
      </c>
      <c r="E44" s="1315" t="s">
        <v>3</v>
      </c>
      <c r="F44" s="1313">
        <f t="shared" si="2"/>
        <v>2350</v>
      </c>
      <c r="G44" s="1315" t="s">
        <v>3</v>
      </c>
      <c r="H44" s="1312">
        <v>4</v>
      </c>
      <c r="I44" s="1314" t="s">
        <v>46</v>
      </c>
      <c r="J44" s="184">
        <v>200</v>
      </c>
      <c r="K44" s="75">
        <v>200</v>
      </c>
      <c r="L44" s="75">
        <v>2350</v>
      </c>
      <c r="M44" s="202">
        <v>32.528169363051475</v>
      </c>
      <c r="N44" s="87">
        <v>2767.1673657939446</v>
      </c>
      <c r="O44" s="123">
        <v>61159.271014761536</v>
      </c>
      <c r="P44" s="1328">
        <v>71972.606744014513</v>
      </c>
      <c r="Q44" s="1329">
        <v>22538.415998760531</v>
      </c>
      <c r="R44" s="319">
        <v>83697.687013522067</v>
      </c>
      <c r="S44" s="315">
        <v>94511.022742775036</v>
      </c>
      <c r="U44" s="7" t="s">
        <v>5508</v>
      </c>
    </row>
    <row r="45" spans="1:21" ht="16.5" thickBot="1">
      <c r="A45" s="1311" t="s">
        <v>4588</v>
      </c>
      <c r="B45" s="1315">
        <f t="shared" si="0"/>
        <v>200</v>
      </c>
      <c r="C45" s="1315" t="s">
        <v>3</v>
      </c>
      <c r="D45" s="1315">
        <f t="shared" si="1"/>
        <v>200</v>
      </c>
      <c r="E45" s="1315" t="s">
        <v>3</v>
      </c>
      <c r="F45" s="1313">
        <f t="shared" si="2"/>
        <v>2400</v>
      </c>
      <c r="G45" s="1315" t="s">
        <v>3</v>
      </c>
      <c r="H45" s="1312">
        <v>4</v>
      </c>
      <c r="I45" s="1314" t="s">
        <v>46</v>
      </c>
      <c r="J45" s="184">
        <v>200</v>
      </c>
      <c r="K45" s="75">
        <v>200</v>
      </c>
      <c r="L45" s="75">
        <v>2400</v>
      </c>
      <c r="M45" s="202">
        <v>33.193439604101272</v>
      </c>
      <c r="N45" s="87">
        <v>2836.346549938793</v>
      </c>
      <c r="O45" s="123">
        <v>62258.30198531146</v>
      </c>
      <c r="P45" s="1328">
        <v>73276.888739131929</v>
      </c>
      <c r="Q45" s="1329">
        <v>22896.83463748853</v>
      </c>
      <c r="R45" s="319">
        <v>85155.136622799997</v>
      </c>
      <c r="S45" s="315">
        <v>96173.723376620459</v>
      </c>
      <c r="U45" s="7" t="s">
        <v>5509</v>
      </c>
    </row>
    <row r="46" spans="1:21" ht="16.5" thickBot="1">
      <c r="A46" s="1311" t="s">
        <v>4588</v>
      </c>
      <c r="B46" s="1315">
        <f t="shared" si="0"/>
        <v>200</v>
      </c>
      <c r="C46" s="1315" t="s">
        <v>3</v>
      </c>
      <c r="D46" s="1315">
        <f t="shared" si="1"/>
        <v>200</v>
      </c>
      <c r="E46" s="1315" t="s">
        <v>3</v>
      </c>
      <c r="F46" s="1313">
        <f t="shared" si="2"/>
        <v>2450</v>
      </c>
      <c r="G46" s="1315" t="s">
        <v>3</v>
      </c>
      <c r="H46" s="1312">
        <v>4</v>
      </c>
      <c r="I46" s="1314" t="s">
        <v>46</v>
      </c>
      <c r="J46" s="184">
        <v>200</v>
      </c>
      <c r="K46" s="75">
        <v>200</v>
      </c>
      <c r="L46" s="75">
        <v>2450</v>
      </c>
      <c r="M46" s="202">
        <v>33.85870984515109</v>
      </c>
      <c r="N46" s="87">
        <v>2905.525734083642</v>
      </c>
      <c r="O46" s="123">
        <v>63357.332815468028</v>
      </c>
      <c r="P46" s="1328">
        <v>74581.170734249346</v>
      </c>
      <c r="Q46" s="1329">
        <v>23485.83519439317</v>
      </c>
      <c r="R46" s="319">
        <v>86843.168009861198</v>
      </c>
      <c r="S46" s="315">
        <v>98067.005928642524</v>
      </c>
      <c r="U46" s="7" t="s">
        <v>5510</v>
      </c>
    </row>
    <row r="47" spans="1:21" ht="16.5" thickBot="1">
      <c r="A47" s="1311" t="s">
        <v>4588</v>
      </c>
      <c r="B47" s="1315">
        <f t="shared" si="0"/>
        <v>200</v>
      </c>
      <c r="C47" s="1315" t="s">
        <v>3</v>
      </c>
      <c r="D47" s="1315">
        <f t="shared" si="1"/>
        <v>200</v>
      </c>
      <c r="E47" s="1315" t="s">
        <v>3</v>
      </c>
      <c r="F47" s="1313">
        <f t="shared" si="2"/>
        <v>2500</v>
      </c>
      <c r="G47" s="1315" t="s">
        <v>3</v>
      </c>
      <c r="H47" s="1312">
        <v>4</v>
      </c>
      <c r="I47" s="1314" t="s">
        <v>46</v>
      </c>
      <c r="J47" s="184">
        <v>200</v>
      </c>
      <c r="K47" s="75">
        <v>200</v>
      </c>
      <c r="L47" s="75">
        <v>2500</v>
      </c>
      <c r="M47" s="202">
        <v>34.891272886200881</v>
      </c>
      <c r="N47" s="87">
        <v>2974.7049182284904</v>
      </c>
      <c r="O47" s="123">
        <v>65230.193468194098</v>
      </c>
      <c r="P47" s="1328">
        <v>76911.385789830616</v>
      </c>
      <c r="Q47" s="1329">
        <v>23844.253833121165</v>
      </c>
      <c r="R47" s="319">
        <v>89074.44730131526</v>
      </c>
      <c r="S47" s="315">
        <v>100755.63962295178</v>
      </c>
      <c r="U47" s="7" t="s">
        <v>5511</v>
      </c>
    </row>
    <row r="48" spans="1:21" ht="16.5" thickBot="1">
      <c r="A48" s="1311" t="s">
        <v>4588</v>
      </c>
      <c r="B48" s="1315">
        <f t="shared" si="0"/>
        <v>200</v>
      </c>
      <c r="C48" s="1315" t="s">
        <v>3</v>
      </c>
      <c r="D48" s="1315">
        <f t="shared" si="1"/>
        <v>200</v>
      </c>
      <c r="E48" s="1315" t="s">
        <v>3</v>
      </c>
      <c r="F48" s="1313">
        <f t="shared" si="2"/>
        <v>2550</v>
      </c>
      <c r="G48" s="1315" t="s">
        <v>3</v>
      </c>
      <c r="H48" s="1312">
        <v>4</v>
      </c>
      <c r="I48" s="1314" t="s">
        <v>46</v>
      </c>
      <c r="J48" s="184">
        <v>200</v>
      </c>
      <c r="K48" s="75">
        <v>200</v>
      </c>
      <c r="L48" s="75">
        <v>2550</v>
      </c>
      <c r="M48" s="202">
        <v>35.556543127250691</v>
      </c>
      <c r="N48" s="87">
        <v>3043.8841023733394</v>
      </c>
      <c r="O48" s="123">
        <v>66686.885655281338</v>
      </c>
      <c r="P48" s="1328">
        <v>78229.707121198036</v>
      </c>
      <c r="Q48" s="1329">
        <v>24433.254249632446</v>
      </c>
      <c r="R48" s="319">
        <v>91120.139904913784</v>
      </c>
      <c r="S48" s="315">
        <v>102662.96137083048</v>
      </c>
      <c r="U48" s="7" t="s">
        <v>5512</v>
      </c>
    </row>
    <row r="49" spans="1:21" ht="16.5" thickBot="1">
      <c r="A49" s="1311" t="s">
        <v>4588</v>
      </c>
      <c r="B49" s="1312">
        <f t="shared" si="0"/>
        <v>200</v>
      </c>
      <c r="C49" s="1312" t="s">
        <v>3</v>
      </c>
      <c r="D49" s="1312">
        <f t="shared" si="1"/>
        <v>200</v>
      </c>
      <c r="E49" s="1312" t="s">
        <v>3</v>
      </c>
      <c r="F49" s="1313">
        <f t="shared" si="2"/>
        <v>2600</v>
      </c>
      <c r="G49" s="1312" t="s">
        <v>3</v>
      </c>
      <c r="H49" s="1312">
        <v>4</v>
      </c>
      <c r="I49" s="1314" t="s">
        <v>46</v>
      </c>
      <c r="J49" s="184">
        <v>200</v>
      </c>
      <c r="K49" s="75">
        <v>200</v>
      </c>
      <c r="L49" s="75">
        <v>2600</v>
      </c>
      <c r="M49" s="202">
        <v>36.221813368300495</v>
      </c>
      <c r="N49" s="87">
        <v>3113.0632865181879</v>
      </c>
      <c r="O49" s="123">
        <v>67785.916485437905</v>
      </c>
      <c r="P49" s="1328">
        <v>79533.989116315439</v>
      </c>
      <c r="Q49" s="1329">
        <v>24791.672888360441</v>
      </c>
      <c r="R49" s="319">
        <v>92577.589373798342</v>
      </c>
      <c r="S49" s="315">
        <v>104325.66200467588</v>
      </c>
      <c r="U49" s="7" t="s">
        <v>5513</v>
      </c>
    </row>
    <row r="50" spans="1:21" ht="16.5" thickBot="1">
      <c r="A50" s="1311" t="s">
        <v>4588</v>
      </c>
      <c r="B50" s="1315">
        <f t="shared" si="0"/>
        <v>200</v>
      </c>
      <c r="C50" s="1315" t="s">
        <v>3</v>
      </c>
      <c r="D50" s="1315">
        <f t="shared" si="1"/>
        <v>200</v>
      </c>
      <c r="E50" s="1315" t="s">
        <v>3</v>
      </c>
      <c r="F50" s="1313">
        <f t="shared" si="2"/>
        <v>2650</v>
      </c>
      <c r="G50" s="1315" t="s">
        <v>3</v>
      </c>
      <c r="H50" s="1312">
        <v>4</v>
      </c>
      <c r="I50" s="1314" t="s">
        <v>46</v>
      </c>
      <c r="J50" s="184">
        <v>200</v>
      </c>
      <c r="K50" s="75">
        <v>200</v>
      </c>
      <c r="L50" s="75">
        <v>2650</v>
      </c>
      <c r="M50" s="202">
        <v>36.887083609350292</v>
      </c>
      <c r="N50" s="87">
        <v>3182.2424706630359</v>
      </c>
      <c r="O50" s="123">
        <v>68884.947315594472</v>
      </c>
      <c r="P50" s="1328">
        <v>80838.271111432856</v>
      </c>
      <c r="Q50" s="1329">
        <v>25380.673304871718</v>
      </c>
      <c r="R50" s="319">
        <v>94265.620620466187</v>
      </c>
      <c r="S50" s="315">
        <v>106218.94441630457</v>
      </c>
      <c r="U50" s="7" t="s">
        <v>5514</v>
      </c>
    </row>
    <row r="51" spans="1:21" ht="16.5" thickBot="1">
      <c r="A51" s="1311" t="s">
        <v>4588</v>
      </c>
      <c r="B51" s="1315">
        <f t="shared" si="0"/>
        <v>200</v>
      </c>
      <c r="C51" s="1315" t="s">
        <v>3</v>
      </c>
      <c r="D51" s="1315">
        <f t="shared" si="1"/>
        <v>200</v>
      </c>
      <c r="E51" s="1315" t="s">
        <v>3</v>
      </c>
      <c r="F51" s="1313">
        <f t="shared" si="2"/>
        <v>2700</v>
      </c>
      <c r="G51" s="1315" t="s">
        <v>3</v>
      </c>
      <c r="H51" s="1312">
        <v>4</v>
      </c>
      <c r="I51" s="1314" t="s">
        <v>46</v>
      </c>
      <c r="J51" s="184">
        <v>200</v>
      </c>
      <c r="K51" s="75">
        <v>200</v>
      </c>
      <c r="L51" s="75">
        <v>2700</v>
      </c>
      <c r="M51" s="202">
        <v>37.552353850400095</v>
      </c>
      <c r="N51" s="87">
        <v>3251.4216548078848</v>
      </c>
      <c r="O51" s="123">
        <v>69983.978145751025</v>
      </c>
      <c r="P51" s="1328">
        <v>82142.553106550273</v>
      </c>
      <c r="Q51" s="1329">
        <v>25739.09208399308</v>
      </c>
      <c r="R51" s="319">
        <v>95723.070229744102</v>
      </c>
      <c r="S51" s="315">
        <v>107881.64519054335</v>
      </c>
      <c r="U51" s="7" t="s">
        <v>5515</v>
      </c>
    </row>
    <row r="52" spans="1:21" ht="16.5" thickBot="1">
      <c r="A52" s="1311" t="s">
        <v>4588</v>
      </c>
      <c r="B52" s="1315">
        <f t="shared" si="0"/>
        <v>200</v>
      </c>
      <c r="C52" s="1315" t="s">
        <v>3</v>
      </c>
      <c r="D52" s="1315">
        <f t="shared" si="1"/>
        <v>200</v>
      </c>
      <c r="E52" s="1315" t="s">
        <v>3</v>
      </c>
      <c r="F52" s="1313">
        <f t="shared" si="2"/>
        <v>2750</v>
      </c>
      <c r="G52" s="1315" t="s">
        <v>3</v>
      </c>
      <c r="H52" s="1312">
        <v>4</v>
      </c>
      <c r="I52" s="1314" t="s">
        <v>46</v>
      </c>
      <c r="J52" s="184">
        <v>200</v>
      </c>
      <c r="K52" s="75">
        <v>200</v>
      </c>
      <c r="L52" s="75">
        <v>2750</v>
      </c>
      <c r="M52" s="202">
        <v>38.217624091449892</v>
      </c>
      <c r="N52" s="87">
        <v>3320.6008389527333</v>
      </c>
      <c r="O52" s="123">
        <v>71083.008975907593</v>
      </c>
      <c r="P52" s="1328">
        <v>83446.835101667675</v>
      </c>
      <c r="Q52" s="1329">
        <v>26097.510722721079</v>
      </c>
      <c r="R52" s="319">
        <v>97180.519698628676</v>
      </c>
      <c r="S52" s="315">
        <v>109544.34582438876</v>
      </c>
      <c r="U52" s="7" t="s">
        <v>5516</v>
      </c>
    </row>
    <row r="53" spans="1:21" ht="16.5" thickBot="1">
      <c r="A53" s="1311" t="s">
        <v>4588</v>
      </c>
      <c r="B53" s="1315">
        <f t="shared" si="0"/>
        <v>200</v>
      </c>
      <c r="C53" s="1315" t="s">
        <v>3</v>
      </c>
      <c r="D53" s="1315">
        <f t="shared" si="1"/>
        <v>200</v>
      </c>
      <c r="E53" s="1315" t="s">
        <v>3</v>
      </c>
      <c r="F53" s="1313">
        <f t="shared" si="2"/>
        <v>2800</v>
      </c>
      <c r="G53" s="1315" t="s">
        <v>3</v>
      </c>
      <c r="H53" s="1312">
        <v>4</v>
      </c>
      <c r="I53" s="1314" t="s">
        <v>46</v>
      </c>
      <c r="J53" s="184">
        <v>200</v>
      </c>
      <c r="K53" s="75">
        <v>200</v>
      </c>
      <c r="L53" s="75">
        <v>2800</v>
      </c>
      <c r="M53" s="202">
        <v>38.88289433249971</v>
      </c>
      <c r="N53" s="87">
        <v>3389.7800230975822</v>
      </c>
      <c r="O53" s="123">
        <v>72182.03980606416</v>
      </c>
      <c r="P53" s="1328">
        <v>84751.117096785092</v>
      </c>
      <c r="Q53" s="1329">
        <v>26686.511139232356</v>
      </c>
      <c r="R53" s="319">
        <v>98868.55094529652</v>
      </c>
      <c r="S53" s="315">
        <v>111437.62823601745</v>
      </c>
      <c r="U53" s="7" t="s">
        <v>5517</v>
      </c>
    </row>
    <row r="54" spans="1:21" ht="16.5" thickBot="1">
      <c r="A54" s="1311" t="s">
        <v>4588</v>
      </c>
      <c r="B54" s="1315">
        <f t="shared" si="0"/>
        <v>200</v>
      </c>
      <c r="C54" s="1315" t="s">
        <v>3</v>
      </c>
      <c r="D54" s="1315">
        <f t="shared" si="1"/>
        <v>200</v>
      </c>
      <c r="E54" s="1315" t="s">
        <v>3</v>
      </c>
      <c r="F54" s="1313">
        <f t="shared" si="2"/>
        <v>2850</v>
      </c>
      <c r="G54" s="1315" t="s">
        <v>3</v>
      </c>
      <c r="H54" s="1312">
        <v>4</v>
      </c>
      <c r="I54" s="1314" t="s">
        <v>46</v>
      </c>
      <c r="J54" s="184">
        <v>200</v>
      </c>
      <c r="K54" s="75">
        <v>200</v>
      </c>
      <c r="L54" s="75">
        <v>2850</v>
      </c>
      <c r="M54" s="202">
        <v>39.548164573549506</v>
      </c>
      <c r="N54" s="87">
        <v>3458.9592072424307</v>
      </c>
      <c r="O54" s="123">
        <v>73281.070776614084</v>
      </c>
      <c r="P54" s="1328">
        <v>86055.399091902509</v>
      </c>
      <c r="Q54" s="1329">
        <v>27044.929777960355</v>
      </c>
      <c r="R54" s="319">
        <v>100326.00055457444</v>
      </c>
      <c r="S54" s="315">
        <v>113100.32886986286</v>
      </c>
      <c r="U54" s="7" t="s">
        <v>5518</v>
      </c>
    </row>
    <row r="55" spans="1:21" ht="16.5" thickBot="1">
      <c r="A55" s="1311" t="s">
        <v>4588</v>
      </c>
      <c r="B55" s="1315">
        <f t="shared" si="0"/>
        <v>200</v>
      </c>
      <c r="C55" s="1315" t="s">
        <v>3</v>
      </c>
      <c r="D55" s="1315">
        <f t="shared" si="1"/>
        <v>200</v>
      </c>
      <c r="E55" s="1315" t="s">
        <v>3</v>
      </c>
      <c r="F55" s="1313">
        <f t="shared" si="2"/>
        <v>2900</v>
      </c>
      <c r="G55" s="1315" t="s">
        <v>3</v>
      </c>
      <c r="H55" s="1312">
        <v>4</v>
      </c>
      <c r="I55" s="1314" t="s">
        <v>46</v>
      </c>
      <c r="J55" s="184">
        <v>200</v>
      </c>
      <c r="K55" s="75">
        <v>200</v>
      </c>
      <c r="L55" s="75">
        <v>2900</v>
      </c>
      <c r="M55" s="202">
        <v>40.21343481459931</v>
      </c>
      <c r="N55" s="87">
        <v>3528.1383913872792</v>
      </c>
      <c r="O55" s="123">
        <v>74380.101606770651</v>
      </c>
      <c r="P55" s="1328">
        <v>87359.681087019926</v>
      </c>
      <c r="Q55" s="1329">
        <v>27633.930194471632</v>
      </c>
      <c r="R55" s="319">
        <v>102014.03180124228</v>
      </c>
      <c r="S55" s="315">
        <v>114993.61128149155</v>
      </c>
      <c r="U55" s="7" t="s">
        <v>5519</v>
      </c>
    </row>
    <row r="56" spans="1:21" ht="16.5" thickBot="1">
      <c r="A56" s="1311" t="s">
        <v>4588</v>
      </c>
      <c r="B56" s="1315">
        <f t="shared" si="0"/>
        <v>200</v>
      </c>
      <c r="C56" s="1315" t="s">
        <v>3</v>
      </c>
      <c r="D56" s="1315">
        <f t="shared" si="1"/>
        <v>200</v>
      </c>
      <c r="E56" s="1315" t="s">
        <v>3</v>
      </c>
      <c r="F56" s="1313">
        <f t="shared" si="2"/>
        <v>2950</v>
      </c>
      <c r="G56" s="1315" t="s">
        <v>3</v>
      </c>
      <c r="H56" s="1312">
        <v>4</v>
      </c>
      <c r="I56" s="1314" t="s">
        <v>46</v>
      </c>
      <c r="J56" s="184">
        <v>200</v>
      </c>
      <c r="K56" s="75">
        <v>200</v>
      </c>
      <c r="L56" s="75">
        <v>2950</v>
      </c>
      <c r="M56" s="202">
        <v>40.878705055649114</v>
      </c>
      <c r="N56" s="87">
        <v>3597.3175755321281</v>
      </c>
      <c r="O56" s="123">
        <v>75479.132436927204</v>
      </c>
      <c r="P56" s="1328">
        <v>88663.963082137328</v>
      </c>
      <c r="Q56" s="1329">
        <v>27992.348973592994</v>
      </c>
      <c r="R56" s="319">
        <v>103471.48141052019</v>
      </c>
      <c r="S56" s="315">
        <v>116656.31205573032</v>
      </c>
      <c r="U56" s="7" t="s">
        <v>5520</v>
      </c>
    </row>
    <row r="57" spans="1:21" ht="16.5" thickBot="1">
      <c r="A57" s="1316" t="s">
        <v>4588</v>
      </c>
      <c r="B57" s="1317">
        <f t="shared" si="0"/>
        <v>200</v>
      </c>
      <c r="C57" s="1317" t="s">
        <v>3</v>
      </c>
      <c r="D57" s="1317">
        <f t="shared" si="1"/>
        <v>200</v>
      </c>
      <c r="E57" s="1317" t="s">
        <v>3</v>
      </c>
      <c r="F57" s="1318">
        <f t="shared" si="2"/>
        <v>3000</v>
      </c>
      <c r="G57" s="1317" t="s">
        <v>3</v>
      </c>
      <c r="H57" s="1319">
        <v>4</v>
      </c>
      <c r="I57" s="1320" t="s">
        <v>46</v>
      </c>
      <c r="J57" s="321">
        <v>200</v>
      </c>
      <c r="K57" s="322">
        <v>200</v>
      </c>
      <c r="L57" s="322">
        <v>3000</v>
      </c>
      <c r="M57" s="305">
        <v>41.700047296698912</v>
      </c>
      <c r="N57" s="306">
        <v>3666.4967596769766</v>
      </c>
      <c r="O57" s="307">
        <v>76784.822296683764</v>
      </c>
      <c r="P57" s="1330">
        <v>90174.904106854752</v>
      </c>
      <c r="Q57" s="1331">
        <v>28581.349390104271</v>
      </c>
      <c r="R57" s="324">
        <v>105366.17168678803</v>
      </c>
      <c r="S57" s="325">
        <v>118756.25349695902</v>
      </c>
      <c r="U57" s="7" t="s">
        <v>5521</v>
      </c>
    </row>
    <row r="58" spans="1:21" ht="19.5" thickBot="1">
      <c r="A58" s="2580" t="s">
        <v>50</v>
      </c>
      <c r="B58" s="2581"/>
      <c r="C58" s="2581"/>
      <c r="D58" s="2581"/>
      <c r="E58" s="2581"/>
      <c r="F58" s="2581"/>
      <c r="G58" s="2581"/>
      <c r="H58" s="2581"/>
      <c r="I58" s="2581"/>
      <c r="J58" s="2581"/>
      <c r="K58" s="2581"/>
      <c r="L58" s="2581"/>
      <c r="M58" s="2581"/>
      <c r="N58" s="2581"/>
      <c r="O58" s="2581"/>
      <c r="P58" s="2581"/>
      <c r="Q58" s="2581"/>
      <c r="R58" s="2581"/>
      <c r="S58" s="2582"/>
      <c r="U58" s="7"/>
    </row>
    <row r="59" spans="1:21" ht="16.5" customHeight="1" thickBot="1">
      <c r="A59" s="2662" t="s">
        <v>4590</v>
      </c>
      <c r="B59" s="2663"/>
      <c r="C59" s="2663"/>
      <c r="D59" s="2663"/>
      <c r="E59" s="2663"/>
      <c r="F59" s="2663"/>
      <c r="G59" s="2663"/>
      <c r="H59" s="2663"/>
      <c r="I59" s="2663"/>
      <c r="J59" s="2663"/>
      <c r="K59" s="2663"/>
      <c r="L59" s="2663"/>
      <c r="M59" s="2663"/>
      <c r="N59" s="2663"/>
      <c r="O59" s="2663"/>
      <c r="P59" s="2663"/>
      <c r="Q59" s="2663"/>
      <c r="R59" s="2663"/>
      <c r="S59" s="2664"/>
      <c r="U59" s="7"/>
    </row>
    <row r="60" spans="1:21" ht="16.5" thickBot="1">
      <c r="A60" s="1311" t="s">
        <v>4588</v>
      </c>
      <c r="B60" s="1312">
        <f>J60</f>
        <v>200</v>
      </c>
      <c r="C60" s="1312" t="s">
        <v>3</v>
      </c>
      <c r="D60" s="1312">
        <f>K60</f>
        <v>260</v>
      </c>
      <c r="E60" s="1312" t="s">
        <v>3</v>
      </c>
      <c r="F60" s="1313">
        <f>L60</f>
        <v>600</v>
      </c>
      <c r="G60" s="1312" t="s">
        <v>3</v>
      </c>
      <c r="H60" s="1312">
        <v>4</v>
      </c>
      <c r="I60" s="1314" t="s">
        <v>46</v>
      </c>
      <c r="J60" s="326">
        <v>200</v>
      </c>
      <c r="K60" s="327">
        <v>260</v>
      </c>
      <c r="L60" s="327">
        <v>600</v>
      </c>
      <c r="M60" s="301">
        <v>10.067299264413645</v>
      </c>
      <c r="N60" s="302">
        <v>371.9310975529495</v>
      </c>
      <c r="O60" s="303">
        <v>22120.226711061867</v>
      </c>
      <c r="P60" s="208">
        <v>26835.509354560498</v>
      </c>
      <c r="Q60" s="328">
        <v>7536.0353334550891</v>
      </c>
      <c r="R60" s="329">
        <v>29656.262044516956</v>
      </c>
      <c r="S60" s="330">
        <v>34371.544688015587</v>
      </c>
      <c r="U60" s="7" t="s">
        <v>5522</v>
      </c>
    </row>
    <row r="61" spans="1:21" ht="16.5" thickBot="1">
      <c r="A61" s="1311" t="s">
        <v>4588</v>
      </c>
      <c r="B61" s="1315">
        <f t="shared" ref="B61:B108" si="3">J61</f>
        <v>200</v>
      </c>
      <c r="C61" s="1315" t="s">
        <v>3</v>
      </c>
      <c r="D61" s="1315">
        <f t="shared" ref="D61:D108" si="4">K61</f>
        <v>260</v>
      </c>
      <c r="E61" s="1315" t="s">
        <v>3</v>
      </c>
      <c r="F61" s="1313">
        <f t="shared" ref="F61:F108" si="5">L61</f>
        <v>650</v>
      </c>
      <c r="G61" s="1315" t="s">
        <v>3</v>
      </c>
      <c r="H61" s="1312">
        <v>4</v>
      </c>
      <c r="I61" s="1314" t="s">
        <v>46</v>
      </c>
      <c r="J61" s="184">
        <v>200</v>
      </c>
      <c r="K61" s="75">
        <v>260</v>
      </c>
      <c r="L61" s="75">
        <v>650</v>
      </c>
      <c r="M61" s="202">
        <v>10.792432600305556</v>
      </c>
      <c r="N61" s="87">
        <v>446.31731706353941</v>
      </c>
      <c r="O61" s="123">
        <v>23248.640608449419</v>
      </c>
      <c r="P61" s="199">
        <v>28189.699554251576</v>
      </c>
      <c r="Q61" s="310">
        <v>7967.645945822027</v>
      </c>
      <c r="R61" s="319">
        <v>31216.286554271446</v>
      </c>
      <c r="S61" s="315">
        <v>36157.345500073599</v>
      </c>
      <c r="U61" s="7" t="s">
        <v>5523</v>
      </c>
    </row>
    <row r="62" spans="1:21" ht="16.5" thickBot="1">
      <c r="A62" s="1311" t="s">
        <v>4588</v>
      </c>
      <c r="B62" s="1315">
        <f t="shared" si="3"/>
        <v>200</v>
      </c>
      <c r="C62" s="1315" t="s">
        <v>3</v>
      </c>
      <c r="D62" s="1315">
        <f t="shared" si="4"/>
        <v>260</v>
      </c>
      <c r="E62" s="1315" t="s">
        <v>3</v>
      </c>
      <c r="F62" s="1313">
        <f t="shared" si="5"/>
        <v>700</v>
      </c>
      <c r="G62" s="1315" t="s">
        <v>3</v>
      </c>
      <c r="H62" s="1312">
        <v>4</v>
      </c>
      <c r="I62" s="1314" t="s">
        <v>46</v>
      </c>
      <c r="J62" s="184">
        <v>200</v>
      </c>
      <c r="K62" s="75">
        <v>260</v>
      </c>
      <c r="L62" s="75">
        <v>700</v>
      </c>
      <c r="M62" s="202">
        <v>11.51756593619746</v>
      </c>
      <c r="N62" s="87">
        <v>520.70353657412932</v>
      </c>
      <c r="O62" s="123">
        <v>24377.054646230332</v>
      </c>
      <c r="P62" s="199">
        <v>29543.889753942651</v>
      </c>
      <c r="Q62" s="310">
        <v>8629.8383359722393</v>
      </c>
      <c r="R62" s="319">
        <v>33006.892982202568</v>
      </c>
      <c r="S62" s="315">
        <v>38173.72808991489</v>
      </c>
      <c r="U62" s="7" t="s">
        <v>5524</v>
      </c>
    </row>
    <row r="63" spans="1:21" ht="16.5" thickBot="1">
      <c r="A63" s="1311" t="s">
        <v>4588</v>
      </c>
      <c r="B63" s="1315">
        <f t="shared" si="3"/>
        <v>200</v>
      </c>
      <c r="C63" s="1315" t="s">
        <v>3</v>
      </c>
      <c r="D63" s="1315">
        <f t="shared" si="4"/>
        <v>260</v>
      </c>
      <c r="E63" s="1315" t="s">
        <v>3</v>
      </c>
      <c r="F63" s="1313">
        <f t="shared" si="5"/>
        <v>750</v>
      </c>
      <c r="G63" s="1315" t="s">
        <v>3</v>
      </c>
      <c r="H63" s="1312">
        <v>4</v>
      </c>
      <c r="I63" s="1314" t="s">
        <v>46</v>
      </c>
      <c r="J63" s="184">
        <v>200</v>
      </c>
      <c r="K63" s="75">
        <v>260</v>
      </c>
      <c r="L63" s="75">
        <v>750</v>
      </c>
      <c r="M63" s="202">
        <v>12.242699272089368</v>
      </c>
      <c r="N63" s="87">
        <v>595.08975608471917</v>
      </c>
      <c r="O63" s="123">
        <v>25505.468543617881</v>
      </c>
      <c r="P63" s="199">
        <v>30898.079953633584</v>
      </c>
      <c r="Q63" s="310">
        <v>9061.4489483391772</v>
      </c>
      <c r="R63" s="319">
        <v>34566.917491957058</v>
      </c>
      <c r="S63" s="315">
        <v>39959.528901972764</v>
      </c>
      <c r="U63" s="7" t="s">
        <v>5525</v>
      </c>
    </row>
    <row r="64" spans="1:21" ht="16.5" thickBot="1">
      <c r="A64" s="1311" t="s">
        <v>4588</v>
      </c>
      <c r="B64" s="1315">
        <f t="shared" si="3"/>
        <v>200</v>
      </c>
      <c r="C64" s="1315" t="s">
        <v>3</v>
      </c>
      <c r="D64" s="1315">
        <f t="shared" si="4"/>
        <v>260</v>
      </c>
      <c r="E64" s="1315" t="s">
        <v>3</v>
      </c>
      <c r="F64" s="1313">
        <f t="shared" si="5"/>
        <v>800</v>
      </c>
      <c r="G64" s="1315" t="s">
        <v>3</v>
      </c>
      <c r="H64" s="1312">
        <v>4</v>
      </c>
      <c r="I64" s="1314" t="s">
        <v>46</v>
      </c>
      <c r="J64" s="184">
        <v>200</v>
      </c>
      <c r="K64" s="75">
        <v>260</v>
      </c>
      <c r="L64" s="75">
        <v>800</v>
      </c>
      <c r="M64" s="202">
        <v>12.967832607981277</v>
      </c>
      <c r="N64" s="87">
        <v>669.47597559530914</v>
      </c>
      <c r="O64" s="123">
        <v>26993.619794587394</v>
      </c>
      <c r="P64" s="199">
        <v>32266.309489574658</v>
      </c>
      <c r="Q64" s="310">
        <v>9493.059560706115</v>
      </c>
      <c r="R64" s="319">
        <v>36486.679355293512</v>
      </c>
      <c r="S64" s="315">
        <v>41759.369050280773</v>
      </c>
      <c r="U64" s="7" t="s">
        <v>5526</v>
      </c>
    </row>
    <row r="65" spans="1:21" ht="16.5" thickBot="1">
      <c r="A65" s="1311" t="s">
        <v>4588</v>
      </c>
      <c r="B65" s="1315">
        <f t="shared" si="3"/>
        <v>200</v>
      </c>
      <c r="C65" s="1315" t="s">
        <v>3</v>
      </c>
      <c r="D65" s="1315">
        <f t="shared" si="4"/>
        <v>260</v>
      </c>
      <c r="E65" s="1315" t="s">
        <v>3</v>
      </c>
      <c r="F65" s="1313">
        <f t="shared" si="5"/>
        <v>850</v>
      </c>
      <c r="G65" s="1315" t="s">
        <v>3</v>
      </c>
      <c r="H65" s="1312">
        <v>4</v>
      </c>
      <c r="I65" s="1314" t="s">
        <v>46</v>
      </c>
      <c r="J65" s="184">
        <v>200</v>
      </c>
      <c r="K65" s="75">
        <v>260</v>
      </c>
      <c r="L65" s="75">
        <v>850</v>
      </c>
      <c r="M65" s="202">
        <v>13.692965943873185</v>
      </c>
      <c r="N65" s="87">
        <v>743.86219510589899</v>
      </c>
      <c r="O65" s="123">
        <v>28122.033691974942</v>
      </c>
      <c r="P65" s="199">
        <v>33620.499689265736</v>
      </c>
      <c r="Q65" s="310">
        <v>10155.251950856327</v>
      </c>
      <c r="R65" s="319">
        <v>38277.285642831266</v>
      </c>
      <c r="S65" s="315">
        <v>43775.751640122064</v>
      </c>
      <c r="U65" s="7" t="s">
        <v>5527</v>
      </c>
    </row>
    <row r="66" spans="1:21" ht="16.5" thickBot="1">
      <c r="A66" s="1311" t="s">
        <v>4588</v>
      </c>
      <c r="B66" s="1315">
        <f t="shared" si="3"/>
        <v>200</v>
      </c>
      <c r="C66" s="1315" t="s">
        <v>3</v>
      </c>
      <c r="D66" s="1315">
        <f t="shared" si="4"/>
        <v>260</v>
      </c>
      <c r="E66" s="1315" t="s">
        <v>3</v>
      </c>
      <c r="F66" s="1313">
        <f t="shared" si="5"/>
        <v>900</v>
      </c>
      <c r="G66" s="1315" t="s">
        <v>3</v>
      </c>
      <c r="H66" s="1312">
        <v>4</v>
      </c>
      <c r="I66" s="1314" t="s">
        <v>46</v>
      </c>
      <c r="J66" s="184">
        <v>200</v>
      </c>
      <c r="K66" s="75">
        <v>260</v>
      </c>
      <c r="L66" s="75">
        <v>900</v>
      </c>
      <c r="M66" s="202">
        <v>14.418099279765094</v>
      </c>
      <c r="N66" s="87">
        <v>818.24841461648896</v>
      </c>
      <c r="O66" s="123">
        <v>29250.447729755859</v>
      </c>
      <c r="P66" s="199">
        <v>34974.689888956804</v>
      </c>
      <c r="Q66" s="310">
        <v>10586.862563223265</v>
      </c>
      <c r="R66" s="319">
        <v>39837.31029297912</v>
      </c>
      <c r="S66" s="315">
        <v>45561.552452180069</v>
      </c>
      <c r="U66" s="7" t="s">
        <v>5528</v>
      </c>
    </row>
    <row r="67" spans="1:21" ht="16.5" thickBot="1">
      <c r="A67" s="1311" t="s">
        <v>4588</v>
      </c>
      <c r="B67" s="1315">
        <f t="shared" si="3"/>
        <v>200</v>
      </c>
      <c r="C67" s="1315" t="s">
        <v>3</v>
      </c>
      <c r="D67" s="1315">
        <f t="shared" si="4"/>
        <v>260</v>
      </c>
      <c r="E67" s="1315" t="s">
        <v>3</v>
      </c>
      <c r="F67" s="1313">
        <f t="shared" si="5"/>
        <v>950</v>
      </c>
      <c r="G67" s="1315" t="s">
        <v>3</v>
      </c>
      <c r="H67" s="1312">
        <v>4</v>
      </c>
      <c r="I67" s="1314" t="s">
        <v>46</v>
      </c>
      <c r="J67" s="184">
        <v>200</v>
      </c>
      <c r="K67" s="75">
        <v>260</v>
      </c>
      <c r="L67" s="75">
        <v>950</v>
      </c>
      <c r="M67" s="202">
        <v>15.143232615657</v>
      </c>
      <c r="N67" s="87">
        <v>892.63463412707881</v>
      </c>
      <c r="O67" s="123">
        <v>30378.861627143408</v>
      </c>
      <c r="P67" s="199">
        <v>36328.880088647886</v>
      </c>
      <c r="Q67" s="310">
        <v>11249.054953373477</v>
      </c>
      <c r="R67" s="319">
        <v>41627.916580516889</v>
      </c>
      <c r="S67" s="315">
        <v>47577.93504202136</v>
      </c>
      <c r="U67" s="7" t="s">
        <v>5529</v>
      </c>
    </row>
    <row r="68" spans="1:21" ht="16.5" thickBot="1">
      <c r="A68" s="1311" t="s">
        <v>4588</v>
      </c>
      <c r="B68" s="1315">
        <f t="shared" si="3"/>
        <v>200</v>
      </c>
      <c r="C68" s="1315" t="s">
        <v>3</v>
      </c>
      <c r="D68" s="1315">
        <f t="shared" si="4"/>
        <v>260</v>
      </c>
      <c r="E68" s="1315" t="s">
        <v>3</v>
      </c>
      <c r="F68" s="1313">
        <f t="shared" si="5"/>
        <v>1000</v>
      </c>
      <c r="G68" s="1315" t="s">
        <v>3</v>
      </c>
      <c r="H68" s="1312">
        <v>4</v>
      </c>
      <c r="I68" s="1314" t="s">
        <v>46</v>
      </c>
      <c r="J68" s="184">
        <v>200</v>
      </c>
      <c r="K68" s="75">
        <v>260</v>
      </c>
      <c r="L68" s="75">
        <v>1000</v>
      </c>
      <c r="M68" s="202">
        <v>15.969812751548911</v>
      </c>
      <c r="N68" s="87">
        <v>967.02085363766867</v>
      </c>
      <c r="O68" s="123">
        <v>31553.560408279958</v>
      </c>
      <c r="P68" s="199">
        <v>37729.355172087955</v>
      </c>
      <c r="Q68" s="310">
        <v>11680.665565740415</v>
      </c>
      <c r="R68" s="319">
        <v>43234.225974020374</v>
      </c>
      <c r="S68" s="315">
        <v>49410.020737828367</v>
      </c>
      <c r="U68" s="7" t="s">
        <v>5530</v>
      </c>
    </row>
    <row r="69" spans="1:21" ht="16.5" thickBot="1">
      <c r="A69" s="1311" t="s">
        <v>4588</v>
      </c>
      <c r="B69" s="1315">
        <f t="shared" si="3"/>
        <v>200</v>
      </c>
      <c r="C69" s="1315" t="s">
        <v>3</v>
      </c>
      <c r="D69" s="1315">
        <f t="shared" si="4"/>
        <v>260</v>
      </c>
      <c r="E69" s="1315" t="s">
        <v>3</v>
      </c>
      <c r="F69" s="1313">
        <f t="shared" si="5"/>
        <v>1050</v>
      </c>
      <c r="G69" s="1315" t="s">
        <v>3</v>
      </c>
      <c r="H69" s="1312">
        <v>4</v>
      </c>
      <c r="I69" s="1314" t="s">
        <v>46</v>
      </c>
      <c r="J69" s="184">
        <v>200</v>
      </c>
      <c r="K69" s="75">
        <v>260</v>
      </c>
      <c r="L69" s="75">
        <v>1050</v>
      </c>
      <c r="M69" s="202">
        <v>16.694946087440819</v>
      </c>
      <c r="N69" s="87">
        <v>1041.4070731482586</v>
      </c>
      <c r="O69" s="123">
        <v>32681.974305667507</v>
      </c>
      <c r="P69" s="199">
        <v>39083.54537177903</v>
      </c>
      <c r="Q69" s="310">
        <v>12342.857815497266</v>
      </c>
      <c r="R69" s="319">
        <v>45024.832121164771</v>
      </c>
      <c r="S69" s="315">
        <v>51426.403187276293</v>
      </c>
      <c r="U69" s="7" t="s">
        <v>5531</v>
      </c>
    </row>
    <row r="70" spans="1:21" ht="16.5" thickBot="1">
      <c r="A70" s="1311" t="s">
        <v>4588</v>
      </c>
      <c r="B70" s="1312">
        <f t="shared" si="3"/>
        <v>200</v>
      </c>
      <c r="C70" s="1312" t="s">
        <v>3</v>
      </c>
      <c r="D70" s="1312">
        <f t="shared" si="4"/>
        <v>260</v>
      </c>
      <c r="E70" s="1312" t="s">
        <v>3</v>
      </c>
      <c r="F70" s="1313">
        <f t="shared" si="5"/>
        <v>1100</v>
      </c>
      <c r="G70" s="1312" t="s">
        <v>3</v>
      </c>
      <c r="H70" s="1312">
        <v>4</v>
      </c>
      <c r="I70" s="1314" t="s">
        <v>46</v>
      </c>
      <c r="J70" s="184">
        <v>200</v>
      </c>
      <c r="K70" s="75">
        <v>260</v>
      </c>
      <c r="L70" s="75">
        <v>1100</v>
      </c>
      <c r="M70" s="202">
        <v>17.420079423332727</v>
      </c>
      <c r="N70" s="87">
        <v>1115.7932926588485</v>
      </c>
      <c r="O70" s="123">
        <v>33810.388343448423</v>
      </c>
      <c r="P70" s="199">
        <v>40437.735571470112</v>
      </c>
      <c r="Q70" s="310">
        <v>12774.468427864203</v>
      </c>
      <c r="R70" s="319">
        <v>46584.856771312625</v>
      </c>
      <c r="S70" s="315">
        <v>53212.203999334313</v>
      </c>
      <c r="U70" s="7" t="s">
        <v>5532</v>
      </c>
    </row>
    <row r="71" spans="1:21" ht="16.5" thickBot="1">
      <c r="A71" s="1311" t="s">
        <v>4588</v>
      </c>
      <c r="B71" s="1315">
        <f t="shared" si="3"/>
        <v>200</v>
      </c>
      <c r="C71" s="1315" t="s">
        <v>3</v>
      </c>
      <c r="D71" s="1315">
        <f t="shared" si="4"/>
        <v>260</v>
      </c>
      <c r="E71" s="1315" t="s">
        <v>3</v>
      </c>
      <c r="F71" s="1313">
        <f t="shared" si="5"/>
        <v>1150</v>
      </c>
      <c r="G71" s="1315" t="s">
        <v>3</v>
      </c>
      <c r="H71" s="1312">
        <v>4</v>
      </c>
      <c r="I71" s="1314" t="s">
        <v>46</v>
      </c>
      <c r="J71" s="184">
        <v>200</v>
      </c>
      <c r="K71" s="75">
        <v>260</v>
      </c>
      <c r="L71" s="75">
        <v>1150</v>
      </c>
      <c r="M71" s="202">
        <v>18.145212759224634</v>
      </c>
      <c r="N71" s="87">
        <v>1190.1795121694383</v>
      </c>
      <c r="O71" s="123">
        <v>34938.802240835968</v>
      </c>
      <c r="P71" s="199">
        <v>41791.925771161179</v>
      </c>
      <c r="Q71" s="310">
        <v>13206.07904023114</v>
      </c>
      <c r="R71" s="319">
        <v>48144.881281067108</v>
      </c>
      <c r="S71" s="315">
        <v>54998.004811392319</v>
      </c>
      <c r="U71" s="7" t="s">
        <v>5533</v>
      </c>
    </row>
    <row r="72" spans="1:21" ht="16.5" thickBot="1">
      <c r="A72" s="1311" t="s">
        <v>4588</v>
      </c>
      <c r="B72" s="1315">
        <f t="shared" si="3"/>
        <v>200</v>
      </c>
      <c r="C72" s="1315" t="s">
        <v>3</v>
      </c>
      <c r="D72" s="1315">
        <f t="shared" si="4"/>
        <v>260</v>
      </c>
      <c r="E72" s="1315" t="s">
        <v>3</v>
      </c>
      <c r="F72" s="1313">
        <f t="shared" si="5"/>
        <v>1200</v>
      </c>
      <c r="G72" s="1315" t="s">
        <v>3</v>
      </c>
      <c r="H72" s="1312">
        <v>4</v>
      </c>
      <c r="I72" s="1314" t="s">
        <v>46</v>
      </c>
      <c r="J72" s="184">
        <v>200</v>
      </c>
      <c r="K72" s="75">
        <v>260</v>
      </c>
      <c r="L72" s="75">
        <v>1200</v>
      </c>
      <c r="M72" s="202">
        <v>18.870346095116538</v>
      </c>
      <c r="N72" s="87">
        <v>1264.5657316800282</v>
      </c>
      <c r="O72" s="123">
        <v>36067.216138223521</v>
      </c>
      <c r="P72" s="199">
        <v>43146.115970852254</v>
      </c>
      <c r="Q72" s="310">
        <v>13868.271430381354</v>
      </c>
      <c r="R72" s="319">
        <v>49935.487568604876</v>
      </c>
      <c r="S72" s="315">
        <v>57014.387401233609</v>
      </c>
      <c r="U72" s="7" t="s">
        <v>5534</v>
      </c>
    </row>
    <row r="73" spans="1:21" ht="16.5" thickBot="1">
      <c r="A73" s="1311" t="s">
        <v>4588</v>
      </c>
      <c r="B73" s="1315">
        <f t="shared" si="3"/>
        <v>200</v>
      </c>
      <c r="C73" s="1315" t="s">
        <v>3</v>
      </c>
      <c r="D73" s="1315">
        <f t="shared" si="4"/>
        <v>260</v>
      </c>
      <c r="E73" s="1315" t="s">
        <v>3</v>
      </c>
      <c r="F73" s="1313">
        <f t="shared" si="5"/>
        <v>1250</v>
      </c>
      <c r="G73" s="1315" t="s">
        <v>3</v>
      </c>
      <c r="H73" s="1312">
        <v>4</v>
      </c>
      <c r="I73" s="1314" t="s">
        <v>46</v>
      </c>
      <c r="J73" s="184">
        <v>200</v>
      </c>
      <c r="K73" s="75">
        <v>260</v>
      </c>
      <c r="L73" s="75">
        <v>1250</v>
      </c>
      <c r="M73" s="202">
        <v>19.595479431008449</v>
      </c>
      <c r="N73" s="87">
        <v>1338.9519511906183</v>
      </c>
      <c r="O73" s="123">
        <v>37195.630176004437</v>
      </c>
      <c r="P73" s="199">
        <v>44500.306170543328</v>
      </c>
      <c r="Q73" s="310">
        <v>14299.882042748291</v>
      </c>
      <c r="R73" s="319">
        <v>51495.51221875273</v>
      </c>
      <c r="S73" s="315">
        <v>58800.188213291622</v>
      </c>
      <c r="U73" s="7" t="s">
        <v>5535</v>
      </c>
    </row>
    <row r="74" spans="1:21" ht="16.5" thickBot="1">
      <c r="A74" s="1311" t="s">
        <v>4588</v>
      </c>
      <c r="B74" s="1315">
        <f t="shared" si="3"/>
        <v>200</v>
      </c>
      <c r="C74" s="1315" t="s">
        <v>3</v>
      </c>
      <c r="D74" s="1315">
        <f t="shared" si="4"/>
        <v>260</v>
      </c>
      <c r="E74" s="1315" t="s">
        <v>3</v>
      </c>
      <c r="F74" s="1313">
        <f t="shared" si="5"/>
        <v>1300</v>
      </c>
      <c r="G74" s="1315" t="s">
        <v>3</v>
      </c>
      <c r="H74" s="1312">
        <v>4</v>
      </c>
      <c r="I74" s="1314" t="s">
        <v>46</v>
      </c>
      <c r="J74" s="184">
        <v>200</v>
      </c>
      <c r="K74" s="75">
        <v>260</v>
      </c>
      <c r="L74" s="75">
        <v>1300</v>
      </c>
      <c r="M74" s="202">
        <v>20.320612766900361</v>
      </c>
      <c r="N74" s="87">
        <v>1413.3381707012081</v>
      </c>
      <c r="O74" s="123">
        <v>38324.044073391982</v>
      </c>
      <c r="P74" s="199">
        <v>45854.496370234403</v>
      </c>
      <c r="Q74" s="310">
        <v>14962.074432898504</v>
      </c>
      <c r="R74" s="319">
        <v>53286.118506290484</v>
      </c>
      <c r="S74" s="315">
        <v>60816.570803132905</v>
      </c>
      <c r="U74" s="7" t="s">
        <v>5536</v>
      </c>
    </row>
    <row r="75" spans="1:21" ht="16.5" thickBot="1">
      <c r="A75" s="1311" t="s">
        <v>4588</v>
      </c>
      <c r="B75" s="1315">
        <f t="shared" si="3"/>
        <v>200</v>
      </c>
      <c r="C75" s="1315" t="s">
        <v>3</v>
      </c>
      <c r="D75" s="1315">
        <f t="shared" si="4"/>
        <v>260</v>
      </c>
      <c r="E75" s="1315" t="s">
        <v>3</v>
      </c>
      <c r="F75" s="1313">
        <f t="shared" si="5"/>
        <v>1350</v>
      </c>
      <c r="G75" s="1315" t="s">
        <v>3</v>
      </c>
      <c r="H75" s="1312">
        <v>4</v>
      </c>
      <c r="I75" s="1314" t="s">
        <v>46</v>
      </c>
      <c r="J75" s="184">
        <v>200</v>
      </c>
      <c r="K75" s="75">
        <v>260</v>
      </c>
      <c r="L75" s="75">
        <v>1350</v>
      </c>
      <c r="M75" s="202">
        <v>21.045746102792258</v>
      </c>
      <c r="N75" s="87">
        <v>1487.724390211798</v>
      </c>
      <c r="O75" s="123">
        <v>39452.457970779535</v>
      </c>
      <c r="P75" s="199">
        <v>47208.686569925485</v>
      </c>
      <c r="Q75" s="310">
        <v>15393.685045265442</v>
      </c>
      <c r="R75" s="319">
        <v>54846.143016044975</v>
      </c>
      <c r="S75" s="315">
        <v>62602.371615190925</v>
      </c>
      <c r="U75" s="7" t="s">
        <v>5537</v>
      </c>
    </row>
    <row r="76" spans="1:21" ht="16.5" thickBot="1">
      <c r="A76" s="1311" t="s">
        <v>4588</v>
      </c>
      <c r="B76" s="1315">
        <f t="shared" si="3"/>
        <v>200</v>
      </c>
      <c r="C76" s="1315" t="s">
        <v>3</v>
      </c>
      <c r="D76" s="1315">
        <f t="shared" si="4"/>
        <v>260</v>
      </c>
      <c r="E76" s="1315" t="s">
        <v>3</v>
      </c>
      <c r="F76" s="1313">
        <f t="shared" si="5"/>
        <v>1400</v>
      </c>
      <c r="G76" s="1315" t="s">
        <v>3</v>
      </c>
      <c r="H76" s="1312">
        <v>4</v>
      </c>
      <c r="I76" s="1314" t="s">
        <v>46</v>
      </c>
      <c r="J76" s="184">
        <v>200</v>
      </c>
      <c r="K76" s="75">
        <v>260</v>
      </c>
      <c r="L76" s="75">
        <v>1400</v>
      </c>
      <c r="M76" s="202">
        <v>21.770879438684176</v>
      </c>
      <c r="N76" s="87">
        <v>1562.1106097223878</v>
      </c>
      <c r="O76" s="123">
        <v>40580.871868167087</v>
      </c>
      <c r="P76" s="199">
        <v>48562.876769616552</v>
      </c>
      <c r="Q76" s="310">
        <v>16055.877435415654</v>
      </c>
      <c r="R76" s="319">
        <v>56636.749303582743</v>
      </c>
      <c r="S76" s="315">
        <v>64618.754205032208</v>
      </c>
      <c r="U76" s="7" t="s">
        <v>5538</v>
      </c>
    </row>
    <row r="77" spans="1:21" ht="16.5" thickBot="1">
      <c r="A77" s="1311" t="s">
        <v>4588</v>
      </c>
      <c r="B77" s="1315">
        <f t="shared" si="3"/>
        <v>200</v>
      </c>
      <c r="C77" s="1315" t="s">
        <v>3</v>
      </c>
      <c r="D77" s="1315">
        <f t="shared" si="4"/>
        <v>260</v>
      </c>
      <c r="E77" s="1315" t="s">
        <v>3</v>
      </c>
      <c r="F77" s="1313">
        <f t="shared" si="5"/>
        <v>1450</v>
      </c>
      <c r="G77" s="1315" t="s">
        <v>3</v>
      </c>
      <c r="H77" s="1312">
        <v>4</v>
      </c>
      <c r="I77" s="1314" t="s">
        <v>46</v>
      </c>
      <c r="J77" s="184">
        <v>200</v>
      </c>
      <c r="K77" s="75">
        <v>260</v>
      </c>
      <c r="L77" s="75">
        <v>1450</v>
      </c>
      <c r="M77" s="202">
        <v>22.49601277457608</v>
      </c>
      <c r="N77" s="87">
        <v>1636.4968292329779</v>
      </c>
      <c r="O77" s="123">
        <v>41709.285905947996</v>
      </c>
      <c r="P77" s="199">
        <v>49917.066969307627</v>
      </c>
      <c r="Q77" s="310">
        <v>16487.48804778259</v>
      </c>
      <c r="R77" s="319">
        <v>58196.77395373059</v>
      </c>
      <c r="S77" s="315">
        <v>66404.555017090213</v>
      </c>
      <c r="U77" s="7" t="s">
        <v>5539</v>
      </c>
    </row>
    <row r="78" spans="1:21" ht="16.5" thickBot="1">
      <c r="A78" s="1311" t="s">
        <v>4588</v>
      </c>
      <c r="B78" s="1315">
        <f t="shared" si="3"/>
        <v>200</v>
      </c>
      <c r="C78" s="1315" t="s">
        <v>3</v>
      </c>
      <c r="D78" s="1315">
        <f t="shared" si="4"/>
        <v>260</v>
      </c>
      <c r="E78" s="1315" t="s">
        <v>3</v>
      </c>
      <c r="F78" s="1313">
        <f t="shared" si="5"/>
        <v>1500</v>
      </c>
      <c r="G78" s="1315" t="s">
        <v>3</v>
      </c>
      <c r="H78" s="1312">
        <v>4</v>
      </c>
      <c r="I78" s="1314" t="s">
        <v>46</v>
      </c>
      <c r="J78" s="184">
        <v>200</v>
      </c>
      <c r="K78" s="75">
        <v>260</v>
      </c>
      <c r="L78" s="75">
        <v>1500</v>
      </c>
      <c r="M78" s="202">
        <v>23.700397710467989</v>
      </c>
      <c r="N78" s="87">
        <v>1710.8830487435675</v>
      </c>
      <c r="O78" s="123">
        <v>43727.041634342633</v>
      </c>
      <c r="P78" s="199">
        <v>52489.876624862663</v>
      </c>
      <c r="Q78" s="310">
        <v>17149.680437932802</v>
      </c>
      <c r="R78" s="319">
        <v>60876.722072275435</v>
      </c>
      <c r="S78" s="315">
        <v>69639.557062795473</v>
      </c>
      <c r="U78" s="7" t="s">
        <v>5540</v>
      </c>
    </row>
    <row r="79" spans="1:21" ht="16.5" thickBot="1">
      <c r="A79" s="1311" t="s">
        <v>4588</v>
      </c>
      <c r="B79" s="1315">
        <f t="shared" si="3"/>
        <v>200</v>
      </c>
      <c r="C79" s="1315" t="s">
        <v>3</v>
      </c>
      <c r="D79" s="1315">
        <f t="shared" si="4"/>
        <v>260</v>
      </c>
      <c r="E79" s="1315" t="s">
        <v>3</v>
      </c>
      <c r="F79" s="1313">
        <f t="shared" si="5"/>
        <v>1550</v>
      </c>
      <c r="G79" s="1315" t="s">
        <v>3</v>
      </c>
      <c r="H79" s="1312">
        <v>4</v>
      </c>
      <c r="I79" s="1314" t="s">
        <v>46</v>
      </c>
      <c r="J79" s="184">
        <v>200</v>
      </c>
      <c r="K79" s="75">
        <v>260</v>
      </c>
      <c r="L79" s="75">
        <v>1550</v>
      </c>
      <c r="M79" s="202">
        <v>24.4255310463599</v>
      </c>
      <c r="N79" s="87">
        <v>1785.2692682541576</v>
      </c>
      <c r="O79" s="123">
        <v>44855.455672123549</v>
      </c>
      <c r="P79" s="199">
        <v>53844.066824553745</v>
      </c>
      <c r="Q79" s="310">
        <v>17581.29105029974</v>
      </c>
      <c r="R79" s="319">
        <v>62436.74672242329</v>
      </c>
      <c r="S79" s="315">
        <v>71425.357874853478</v>
      </c>
      <c r="U79" s="7" t="s">
        <v>5541</v>
      </c>
    </row>
    <row r="80" spans="1:21" ht="16.5" thickBot="1">
      <c r="A80" s="1311" t="s">
        <v>4588</v>
      </c>
      <c r="B80" s="1312">
        <f t="shared" si="3"/>
        <v>200</v>
      </c>
      <c r="C80" s="1312" t="s">
        <v>3</v>
      </c>
      <c r="D80" s="1312">
        <f t="shared" si="4"/>
        <v>260</v>
      </c>
      <c r="E80" s="1312" t="s">
        <v>3</v>
      </c>
      <c r="F80" s="1313">
        <f t="shared" si="5"/>
        <v>1600</v>
      </c>
      <c r="G80" s="1312" t="s">
        <v>3</v>
      </c>
      <c r="H80" s="1312">
        <v>4</v>
      </c>
      <c r="I80" s="1314" t="s">
        <v>46</v>
      </c>
      <c r="J80" s="184">
        <v>200</v>
      </c>
      <c r="K80" s="75">
        <v>260</v>
      </c>
      <c r="L80" s="75">
        <v>1600</v>
      </c>
      <c r="M80" s="202">
        <v>25.150664382251804</v>
      </c>
      <c r="N80" s="87">
        <v>1859.6554877647475</v>
      </c>
      <c r="O80" s="123">
        <v>45983.869569511095</v>
      </c>
      <c r="P80" s="199">
        <v>55198.25702424482</v>
      </c>
      <c r="Q80" s="310">
        <v>18012.901662666678</v>
      </c>
      <c r="R80" s="319">
        <v>63996.771232177773</v>
      </c>
      <c r="S80" s="315">
        <v>73211.158686911498</v>
      </c>
      <c r="U80" s="7" t="s">
        <v>5542</v>
      </c>
    </row>
    <row r="81" spans="1:21" ht="16.5" thickBot="1">
      <c r="A81" s="1311" t="s">
        <v>4588</v>
      </c>
      <c r="B81" s="1315">
        <f t="shared" si="3"/>
        <v>200</v>
      </c>
      <c r="C81" s="1315" t="s">
        <v>3</v>
      </c>
      <c r="D81" s="1315">
        <f t="shared" si="4"/>
        <v>260</v>
      </c>
      <c r="E81" s="1315" t="s">
        <v>3</v>
      </c>
      <c r="F81" s="1313">
        <f t="shared" si="5"/>
        <v>1650</v>
      </c>
      <c r="G81" s="1315" t="s">
        <v>3</v>
      </c>
      <c r="H81" s="1312">
        <v>4</v>
      </c>
      <c r="I81" s="1314" t="s">
        <v>46</v>
      </c>
      <c r="J81" s="184">
        <v>200</v>
      </c>
      <c r="K81" s="75">
        <v>260</v>
      </c>
      <c r="L81" s="75">
        <v>1650</v>
      </c>
      <c r="M81" s="202">
        <v>25.875797718143712</v>
      </c>
      <c r="N81" s="87">
        <v>1934.0417072753373</v>
      </c>
      <c r="O81" s="123">
        <v>47112.283466898647</v>
      </c>
      <c r="P81" s="199">
        <v>56552.447223935887</v>
      </c>
      <c r="Q81" s="310">
        <v>18675.09391242353</v>
      </c>
      <c r="R81" s="319">
        <v>65787.377379322177</v>
      </c>
      <c r="S81" s="315">
        <v>75227.541136359418</v>
      </c>
      <c r="U81" s="7" t="s">
        <v>5543</v>
      </c>
    </row>
    <row r="82" spans="1:21" ht="16.5" thickBot="1">
      <c r="A82" s="1311" t="s">
        <v>4588</v>
      </c>
      <c r="B82" s="1315">
        <f t="shared" si="3"/>
        <v>200</v>
      </c>
      <c r="C82" s="1315" t="s">
        <v>3</v>
      </c>
      <c r="D82" s="1315">
        <f t="shared" si="4"/>
        <v>260</v>
      </c>
      <c r="E82" s="1315" t="s">
        <v>3</v>
      </c>
      <c r="F82" s="1313">
        <f t="shared" si="5"/>
        <v>1700</v>
      </c>
      <c r="G82" s="1315" t="s">
        <v>3</v>
      </c>
      <c r="H82" s="1312">
        <v>4</v>
      </c>
      <c r="I82" s="1314" t="s">
        <v>46</v>
      </c>
      <c r="J82" s="184">
        <v>200</v>
      </c>
      <c r="K82" s="75">
        <v>260</v>
      </c>
      <c r="L82" s="75">
        <v>1700</v>
      </c>
      <c r="M82" s="202">
        <v>26.600931054035627</v>
      </c>
      <c r="N82" s="87">
        <v>2008.4279267859274</v>
      </c>
      <c r="O82" s="123">
        <v>48240.697364286199</v>
      </c>
      <c r="P82" s="199">
        <v>57906.637423626969</v>
      </c>
      <c r="Q82" s="310">
        <v>19106.704524790468</v>
      </c>
      <c r="R82" s="319">
        <v>67347.40188907666</v>
      </c>
      <c r="S82" s="315">
        <v>77013.341948417437</v>
      </c>
      <c r="U82" s="7" t="s">
        <v>5544</v>
      </c>
    </row>
    <row r="83" spans="1:21" ht="16.5" thickBot="1">
      <c r="A83" s="1311" t="s">
        <v>4588</v>
      </c>
      <c r="B83" s="1315">
        <f t="shared" si="3"/>
        <v>200</v>
      </c>
      <c r="C83" s="1315" t="s">
        <v>3</v>
      </c>
      <c r="D83" s="1315">
        <f t="shared" si="4"/>
        <v>260</v>
      </c>
      <c r="E83" s="1315" t="s">
        <v>3</v>
      </c>
      <c r="F83" s="1313">
        <f t="shared" si="5"/>
        <v>1750</v>
      </c>
      <c r="G83" s="1315" t="s">
        <v>3</v>
      </c>
      <c r="H83" s="1312">
        <v>4</v>
      </c>
      <c r="I83" s="1314" t="s">
        <v>46</v>
      </c>
      <c r="J83" s="184">
        <v>200</v>
      </c>
      <c r="K83" s="75">
        <v>260</v>
      </c>
      <c r="L83" s="75">
        <v>1750</v>
      </c>
      <c r="M83" s="202">
        <v>27.326064389927531</v>
      </c>
      <c r="N83" s="87">
        <v>2082.8141462965173</v>
      </c>
      <c r="O83" s="123">
        <v>49369.111402067108</v>
      </c>
      <c r="P83" s="199">
        <v>59260.827623318044</v>
      </c>
      <c r="Q83" s="310">
        <v>19768.89691494068</v>
      </c>
      <c r="R83" s="319">
        <v>69138.008317007785</v>
      </c>
      <c r="S83" s="315">
        <v>79029.724538258728</v>
      </c>
      <c r="U83" s="7" t="s">
        <v>5545</v>
      </c>
    </row>
    <row r="84" spans="1:21" ht="16.5" thickBot="1">
      <c r="A84" s="1311" t="s">
        <v>4588</v>
      </c>
      <c r="B84" s="1315">
        <f t="shared" si="3"/>
        <v>200</v>
      </c>
      <c r="C84" s="1315" t="s">
        <v>3</v>
      </c>
      <c r="D84" s="1315">
        <f t="shared" si="4"/>
        <v>260</v>
      </c>
      <c r="E84" s="1315" t="s">
        <v>3</v>
      </c>
      <c r="F84" s="1313">
        <f t="shared" si="5"/>
        <v>1800</v>
      </c>
      <c r="G84" s="1315" t="s">
        <v>3</v>
      </c>
      <c r="H84" s="1312">
        <v>4</v>
      </c>
      <c r="I84" s="1314" t="s">
        <v>46</v>
      </c>
      <c r="J84" s="184">
        <v>200</v>
      </c>
      <c r="K84" s="75">
        <v>260</v>
      </c>
      <c r="L84" s="75">
        <v>1800</v>
      </c>
      <c r="M84" s="202">
        <v>28.051197725819442</v>
      </c>
      <c r="N84" s="87">
        <v>2157.2003658071071</v>
      </c>
      <c r="O84" s="123">
        <v>50497.525299454661</v>
      </c>
      <c r="P84" s="199">
        <v>60615.017823009111</v>
      </c>
      <c r="Q84" s="310">
        <v>20200.507527307618</v>
      </c>
      <c r="R84" s="319">
        <v>70698.032826762283</v>
      </c>
      <c r="S84" s="315">
        <v>80815.525350316733</v>
      </c>
      <c r="U84" s="7" t="s">
        <v>5546</v>
      </c>
    </row>
    <row r="85" spans="1:21" ht="16.5" thickBot="1">
      <c r="A85" s="1311" t="s">
        <v>4588</v>
      </c>
      <c r="B85" s="1315">
        <f t="shared" si="3"/>
        <v>200</v>
      </c>
      <c r="C85" s="1315" t="s">
        <v>3</v>
      </c>
      <c r="D85" s="1315">
        <f t="shared" si="4"/>
        <v>260</v>
      </c>
      <c r="E85" s="1315" t="s">
        <v>3</v>
      </c>
      <c r="F85" s="1313">
        <f t="shared" si="5"/>
        <v>1850</v>
      </c>
      <c r="G85" s="1315" t="s">
        <v>3</v>
      </c>
      <c r="H85" s="1312">
        <v>4</v>
      </c>
      <c r="I85" s="1314" t="s">
        <v>46</v>
      </c>
      <c r="J85" s="184">
        <v>200</v>
      </c>
      <c r="K85" s="75">
        <v>260</v>
      </c>
      <c r="L85" s="75">
        <v>1850</v>
      </c>
      <c r="M85" s="202">
        <v>28.776331061711346</v>
      </c>
      <c r="N85" s="87">
        <v>2231.586585317697</v>
      </c>
      <c r="O85" s="123">
        <v>51625.939196842213</v>
      </c>
      <c r="P85" s="199">
        <v>61969.208022700186</v>
      </c>
      <c r="Q85" s="310">
        <v>20862.69991745783</v>
      </c>
      <c r="R85" s="319">
        <v>72488.639114300051</v>
      </c>
      <c r="S85" s="315">
        <v>82831.907940158009</v>
      </c>
      <c r="U85" s="7" t="s">
        <v>5547</v>
      </c>
    </row>
    <row r="86" spans="1:21" ht="16.5" thickBot="1">
      <c r="A86" s="1311" t="s">
        <v>4588</v>
      </c>
      <c r="B86" s="1315">
        <f t="shared" si="3"/>
        <v>200</v>
      </c>
      <c r="C86" s="1315" t="s">
        <v>3</v>
      </c>
      <c r="D86" s="1315">
        <f t="shared" si="4"/>
        <v>260</v>
      </c>
      <c r="E86" s="1315" t="s">
        <v>3</v>
      </c>
      <c r="F86" s="1313">
        <f t="shared" si="5"/>
        <v>1900</v>
      </c>
      <c r="G86" s="1315" t="s">
        <v>3</v>
      </c>
      <c r="H86" s="1312">
        <v>4</v>
      </c>
      <c r="I86" s="1314" t="s">
        <v>46</v>
      </c>
      <c r="J86" s="184">
        <v>200</v>
      </c>
      <c r="K86" s="75">
        <v>260</v>
      </c>
      <c r="L86" s="75">
        <v>1900</v>
      </c>
      <c r="M86" s="202">
        <v>29.501464397603257</v>
      </c>
      <c r="N86" s="87">
        <v>2305.9728048282868</v>
      </c>
      <c r="O86" s="123">
        <v>52754.353234623115</v>
      </c>
      <c r="P86" s="199">
        <v>63323.398222391268</v>
      </c>
      <c r="Q86" s="310">
        <v>21294.310529824768</v>
      </c>
      <c r="R86" s="319">
        <v>74048.663764447876</v>
      </c>
      <c r="S86" s="315">
        <v>84617.708752216044</v>
      </c>
      <c r="U86" s="7" t="s">
        <v>5548</v>
      </c>
    </row>
    <row r="87" spans="1:21" ht="16.5" thickBot="1">
      <c r="A87" s="1311" t="s">
        <v>4588</v>
      </c>
      <c r="B87" s="1315">
        <f t="shared" si="3"/>
        <v>200</v>
      </c>
      <c r="C87" s="1315" t="s">
        <v>3</v>
      </c>
      <c r="D87" s="1315">
        <f t="shared" si="4"/>
        <v>260</v>
      </c>
      <c r="E87" s="1315" t="s">
        <v>3</v>
      </c>
      <c r="F87" s="1313">
        <f t="shared" si="5"/>
        <v>1950</v>
      </c>
      <c r="G87" s="1315" t="s">
        <v>3</v>
      </c>
      <c r="H87" s="1312">
        <v>4</v>
      </c>
      <c r="I87" s="1314" t="s">
        <v>46</v>
      </c>
      <c r="J87" s="184">
        <v>200</v>
      </c>
      <c r="K87" s="75">
        <v>260</v>
      </c>
      <c r="L87" s="75">
        <v>1950</v>
      </c>
      <c r="M87" s="202">
        <v>30.226597733495165</v>
      </c>
      <c r="N87" s="87">
        <v>2380.3590243388767</v>
      </c>
      <c r="O87" s="123">
        <v>53882.767132010675</v>
      </c>
      <c r="P87" s="199">
        <v>64677.588422082335</v>
      </c>
      <c r="Q87" s="310">
        <v>21725.921142191706</v>
      </c>
      <c r="R87" s="319">
        <v>75608.688274202374</v>
      </c>
      <c r="S87" s="315">
        <v>86403.509564274049</v>
      </c>
      <c r="U87" s="7" t="s">
        <v>5549</v>
      </c>
    </row>
    <row r="88" spans="1:21" ht="16.5" thickBot="1">
      <c r="A88" s="1311" t="s">
        <v>4588</v>
      </c>
      <c r="B88" s="1315">
        <f t="shared" si="3"/>
        <v>200</v>
      </c>
      <c r="C88" s="1315" t="s">
        <v>3</v>
      </c>
      <c r="D88" s="1315">
        <f t="shared" si="4"/>
        <v>260</v>
      </c>
      <c r="E88" s="1315" t="s">
        <v>3</v>
      </c>
      <c r="F88" s="1313">
        <f t="shared" si="5"/>
        <v>2000</v>
      </c>
      <c r="G88" s="1315" t="s">
        <v>3</v>
      </c>
      <c r="H88" s="1312">
        <v>4</v>
      </c>
      <c r="I88" s="1314" t="s">
        <v>46</v>
      </c>
      <c r="J88" s="184">
        <v>200</v>
      </c>
      <c r="K88" s="75">
        <v>260</v>
      </c>
      <c r="L88" s="75">
        <v>2000</v>
      </c>
      <c r="M88" s="202">
        <v>31.053177869387067</v>
      </c>
      <c r="N88" s="87">
        <v>2454.7452438494665</v>
      </c>
      <c r="O88" s="123">
        <v>55455.951834779189</v>
      </c>
      <c r="P88" s="199">
        <v>66181.39302032227</v>
      </c>
      <c r="Q88" s="310">
        <v>22388.113532341918</v>
      </c>
      <c r="R88" s="319">
        <v>77844.065367121104</v>
      </c>
      <c r="S88" s="315">
        <v>88569.506552664185</v>
      </c>
      <c r="U88" s="7" t="s">
        <v>5550</v>
      </c>
    </row>
    <row r="89" spans="1:21" ht="16.5" thickBot="1">
      <c r="A89" s="1311" t="s">
        <v>4588</v>
      </c>
      <c r="B89" s="1315">
        <f t="shared" si="3"/>
        <v>200</v>
      </c>
      <c r="C89" s="1315" t="s">
        <v>3</v>
      </c>
      <c r="D89" s="1315">
        <f t="shared" si="4"/>
        <v>260</v>
      </c>
      <c r="E89" s="1315" t="s">
        <v>3</v>
      </c>
      <c r="F89" s="1313">
        <f t="shared" si="5"/>
        <v>2050</v>
      </c>
      <c r="G89" s="1315" t="s">
        <v>3</v>
      </c>
      <c r="H89" s="1312">
        <v>4</v>
      </c>
      <c r="I89" s="1314" t="s">
        <v>46</v>
      </c>
      <c r="J89" s="184">
        <v>200</v>
      </c>
      <c r="K89" s="75">
        <v>260</v>
      </c>
      <c r="L89" s="75">
        <v>2050</v>
      </c>
      <c r="M89" s="202">
        <v>31.778311205278978</v>
      </c>
      <c r="N89" s="87">
        <v>2529.1314633600564</v>
      </c>
      <c r="O89" s="123">
        <v>56584.365732166734</v>
      </c>
      <c r="P89" s="199">
        <v>67535.583220013345</v>
      </c>
      <c r="Q89" s="310">
        <v>22819.724144708856</v>
      </c>
      <c r="R89" s="319">
        <v>79404.089876875587</v>
      </c>
      <c r="S89" s="315">
        <v>90355.307364722205</v>
      </c>
      <c r="U89" s="7" t="s">
        <v>5551</v>
      </c>
    </row>
    <row r="90" spans="1:21" ht="16.5" thickBot="1">
      <c r="A90" s="1311" t="s">
        <v>4588</v>
      </c>
      <c r="B90" s="1312">
        <f t="shared" si="3"/>
        <v>200</v>
      </c>
      <c r="C90" s="1312" t="s">
        <v>3</v>
      </c>
      <c r="D90" s="1312">
        <f t="shared" si="4"/>
        <v>260</v>
      </c>
      <c r="E90" s="1312" t="s">
        <v>3</v>
      </c>
      <c r="F90" s="1313">
        <f t="shared" si="5"/>
        <v>2100</v>
      </c>
      <c r="G90" s="1312" t="s">
        <v>3</v>
      </c>
      <c r="H90" s="1312">
        <v>4</v>
      </c>
      <c r="I90" s="1314" t="s">
        <v>46</v>
      </c>
      <c r="J90" s="184">
        <v>200</v>
      </c>
      <c r="K90" s="75">
        <v>260</v>
      </c>
      <c r="L90" s="75">
        <v>2100</v>
      </c>
      <c r="M90" s="202">
        <v>32.503444541170879</v>
      </c>
      <c r="N90" s="87">
        <v>2603.5176828706462</v>
      </c>
      <c r="O90" s="123">
        <v>57712.77976994765</v>
      </c>
      <c r="P90" s="199">
        <v>68889.773419704419</v>
      </c>
      <c r="Q90" s="310">
        <v>23481.916534859069</v>
      </c>
      <c r="R90" s="319">
        <v>81194.696304806712</v>
      </c>
      <c r="S90" s="315">
        <v>92371.689954563481</v>
      </c>
      <c r="U90" s="7" t="s">
        <v>5552</v>
      </c>
    </row>
    <row r="91" spans="1:21" ht="16.5" thickBot="1">
      <c r="A91" s="1311" t="s">
        <v>4588</v>
      </c>
      <c r="B91" s="1315">
        <f t="shared" si="3"/>
        <v>200</v>
      </c>
      <c r="C91" s="1315" t="s">
        <v>3</v>
      </c>
      <c r="D91" s="1315">
        <f t="shared" si="4"/>
        <v>260</v>
      </c>
      <c r="E91" s="1315" t="s">
        <v>3</v>
      </c>
      <c r="F91" s="1313">
        <f t="shared" si="5"/>
        <v>2150</v>
      </c>
      <c r="G91" s="1315" t="s">
        <v>3</v>
      </c>
      <c r="H91" s="1312">
        <v>4</v>
      </c>
      <c r="I91" s="1314" t="s">
        <v>46</v>
      </c>
      <c r="J91" s="184">
        <v>200</v>
      </c>
      <c r="K91" s="75">
        <v>260</v>
      </c>
      <c r="L91" s="75">
        <v>2150</v>
      </c>
      <c r="M91" s="202">
        <v>33.22857787706279</v>
      </c>
      <c r="N91" s="87">
        <v>2677.9039023812365</v>
      </c>
      <c r="O91" s="123">
        <v>58841.193667335203</v>
      </c>
      <c r="P91" s="199">
        <v>70243.963619395508</v>
      </c>
      <c r="Q91" s="310">
        <v>23913.527147226006</v>
      </c>
      <c r="R91" s="319">
        <v>82754.720814561209</v>
      </c>
      <c r="S91" s="315">
        <v>94157.490766621515</v>
      </c>
      <c r="U91" s="7" t="s">
        <v>5553</v>
      </c>
    </row>
    <row r="92" spans="1:21" ht="16.5" thickBot="1">
      <c r="A92" s="1311" t="s">
        <v>4588</v>
      </c>
      <c r="B92" s="1315">
        <f t="shared" si="3"/>
        <v>200</v>
      </c>
      <c r="C92" s="1315" t="s">
        <v>3</v>
      </c>
      <c r="D92" s="1315">
        <f t="shared" si="4"/>
        <v>260</v>
      </c>
      <c r="E92" s="1315" t="s">
        <v>3</v>
      </c>
      <c r="F92" s="1313">
        <f t="shared" si="5"/>
        <v>2200</v>
      </c>
      <c r="G92" s="1315" t="s">
        <v>3</v>
      </c>
      <c r="H92" s="1312">
        <v>4</v>
      </c>
      <c r="I92" s="1314" t="s">
        <v>46</v>
      </c>
      <c r="J92" s="184">
        <v>200</v>
      </c>
      <c r="K92" s="75">
        <v>260</v>
      </c>
      <c r="L92" s="75">
        <v>2200</v>
      </c>
      <c r="M92" s="202">
        <v>33.953711212954708</v>
      </c>
      <c r="N92" s="87">
        <v>2752.2901218918264</v>
      </c>
      <c r="O92" s="123">
        <v>59969.607564722748</v>
      </c>
      <c r="P92" s="199">
        <v>71598.153819086714</v>
      </c>
      <c r="Q92" s="310">
        <v>24575.719537376219</v>
      </c>
      <c r="R92" s="319">
        <v>84545.327102098963</v>
      </c>
      <c r="S92" s="315">
        <v>96173.873356462936</v>
      </c>
      <c r="U92" s="7" t="s">
        <v>5554</v>
      </c>
    </row>
    <row r="93" spans="1:21" ht="16.5" thickBot="1">
      <c r="A93" s="1311" t="s">
        <v>4588</v>
      </c>
      <c r="B93" s="1315">
        <f t="shared" si="3"/>
        <v>200</v>
      </c>
      <c r="C93" s="1315" t="s">
        <v>3</v>
      </c>
      <c r="D93" s="1315">
        <f t="shared" si="4"/>
        <v>260</v>
      </c>
      <c r="E93" s="1315" t="s">
        <v>3</v>
      </c>
      <c r="F93" s="1313">
        <f t="shared" si="5"/>
        <v>2250</v>
      </c>
      <c r="G93" s="1315" t="s">
        <v>3</v>
      </c>
      <c r="H93" s="1312">
        <v>4</v>
      </c>
      <c r="I93" s="1314" t="s">
        <v>46</v>
      </c>
      <c r="J93" s="184">
        <v>200</v>
      </c>
      <c r="K93" s="75">
        <v>260</v>
      </c>
      <c r="L93" s="75">
        <v>2250</v>
      </c>
      <c r="M93" s="202">
        <v>34.678844548846612</v>
      </c>
      <c r="N93" s="87">
        <v>2826.6763414024163</v>
      </c>
      <c r="O93" s="123">
        <v>61098.0214621103</v>
      </c>
      <c r="P93" s="199">
        <v>72952.344018777643</v>
      </c>
      <c r="Q93" s="310">
        <v>25007.330009349789</v>
      </c>
      <c r="R93" s="319">
        <v>86105.35147146009</v>
      </c>
      <c r="S93" s="315">
        <v>97959.674028127425</v>
      </c>
      <c r="U93" s="7" t="s">
        <v>5555</v>
      </c>
    </row>
    <row r="94" spans="1:21" ht="16.5" thickBot="1">
      <c r="A94" s="1311" t="s">
        <v>4588</v>
      </c>
      <c r="B94" s="1315">
        <f t="shared" si="3"/>
        <v>200</v>
      </c>
      <c r="C94" s="1315" t="s">
        <v>3</v>
      </c>
      <c r="D94" s="1315">
        <f t="shared" si="4"/>
        <v>260</v>
      </c>
      <c r="E94" s="1315" t="s">
        <v>3</v>
      </c>
      <c r="F94" s="1313">
        <f t="shared" si="5"/>
        <v>2300</v>
      </c>
      <c r="G94" s="1315" t="s">
        <v>3</v>
      </c>
      <c r="H94" s="1312">
        <v>4</v>
      </c>
      <c r="I94" s="1314" t="s">
        <v>46</v>
      </c>
      <c r="J94" s="184">
        <v>200</v>
      </c>
      <c r="K94" s="75">
        <v>260</v>
      </c>
      <c r="L94" s="75">
        <v>2300</v>
      </c>
      <c r="M94" s="202">
        <v>35.403977884738524</v>
      </c>
      <c r="N94" s="87">
        <v>2901.0625609130061</v>
      </c>
      <c r="O94" s="123">
        <v>62226.435499891217</v>
      </c>
      <c r="P94" s="199">
        <v>74306.534218468718</v>
      </c>
      <c r="Q94" s="310">
        <v>25438.940621716731</v>
      </c>
      <c r="R94" s="319">
        <v>87665.376121607944</v>
      </c>
      <c r="S94" s="315">
        <v>99745.474840185445</v>
      </c>
      <c r="U94" s="7" t="s">
        <v>5556</v>
      </c>
    </row>
    <row r="95" spans="1:21" ht="16.5" thickBot="1">
      <c r="A95" s="1311" t="s">
        <v>4588</v>
      </c>
      <c r="B95" s="1315">
        <f t="shared" si="3"/>
        <v>200</v>
      </c>
      <c r="C95" s="1315" t="s">
        <v>3</v>
      </c>
      <c r="D95" s="1315">
        <f t="shared" si="4"/>
        <v>260</v>
      </c>
      <c r="E95" s="1315" t="s">
        <v>3</v>
      </c>
      <c r="F95" s="1313">
        <f t="shared" si="5"/>
        <v>2350</v>
      </c>
      <c r="G95" s="1315" t="s">
        <v>3</v>
      </c>
      <c r="H95" s="1312">
        <v>4</v>
      </c>
      <c r="I95" s="1314" t="s">
        <v>46</v>
      </c>
      <c r="J95" s="184">
        <v>200</v>
      </c>
      <c r="K95" s="75">
        <v>260</v>
      </c>
      <c r="L95" s="75">
        <v>2350</v>
      </c>
      <c r="M95" s="202">
        <v>36.129111220630428</v>
      </c>
      <c r="N95" s="87">
        <v>2975.448780423596</v>
      </c>
      <c r="O95" s="123">
        <v>63354.849397278762</v>
      </c>
      <c r="P95" s="199">
        <v>75660.724418159793</v>
      </c>
      <c r="Q95" s="310">
        <v>26101.133011866939</v>
      </c>
      <c r="R95" s="319">
        <v>89455.982409145698</v>
      </c>
      <c r="S95" s="315">
        <v>101761.85743002674</v>
      </c>
      <c r="U95" s="7" t="s">
        <v>5557</v>
      </c>
    </row>
    <row r="96" spans="1:21" ht="16.5" thickBot="1">
      <c r="A96" s="1311" t="s">
        <v>4588</v>
      </c>
      <c r="B96" s="1315">
        <f t="shared" si="3"/>
        <v>200</v>
      </c>
      <c r="C96" s="1315" t="s">
        <v>3</v>
      </c>
      <c r="D96" s="1315">
        <f t="shared" si="4"/>
        <v>260</v>
      </c>
      <c r="E96" s="1315" t="s">
        <v>3</v>
      </c>
      <c r="F96" s="1313">
        <f t="shared" si="5"/>
        <v>2400</v>
      </c>
      <c r="G96" s="1315" t="s">
        <v>3</v>
      </c>
      <c r="H96" s="1312">
        <v>4</v>
      </c>
      <c r="I96" s="1314" t="s">
        <v>46</v>
      </c>
      <c r="J96" s="184">
        <v>200</v>
      </c>
      <c r="K96" s="75">
        <v>260</v>
      </c>
      <c r="L96" s="75">
        <v>2400</v>
      </c>
      <c r="M96" s="202">
        <v>36.854244556522332</v>
      </c>
      <c r="N96" s="87">
        <v>3049.8349999341858</v>
      </c>
      <c r="O96" s="123">
        <v>64483.263294666314</v>
      </c>
      <c r="P96" s="199">
        <v>77014.914617850867</v>
      </c>
      <c r="Q96" s="310">
        <v>26532.743624233881</v>
      </c>
      <c r="R96" s="319">
        <v>91016.006918900195</v>
      </c>
      <c r="S96" s="315">
        <v>103547.65824208476</v>
      </c>
      <c r="U96" s="7" t="s">
        <v>5558</v>
      </c>
    </row>
    <row r="97" spans="1:21" ht="16.5" thickBot="1">
      <c r="A97" s="1311" t="s">
        <v>4588</v>
      </c>
      <c r="B97" s="1315">
        <f t="shared" si="3"/>
        <v>200</v>
      </c>
      <c r="C97" s="1315" t="s">
        <v>3</v>
      </c>
      <c r="D97" s="1315">
        <f t="shared" si="4"/>
        <v>260</v>
      </c>
      <c r="E97" s="1315" t="s">
        <v>3</v>
      </c>
      <c r="F97" s="1313">
        <f t="shared" si="5"/>
        <v>2450</v>
      </c>
      <c r="G97" s="1315" t="s">
        <v>3</v>
      </c>
      <c r="H97" s="1312">
        <v>4</v>
      </c>
      <c r="I97" s="1314" t="s">
        <v>46</v>
      </c>
      <c r="J97" s="184">
        <v>200</v>
      </c>
      <c r="K97" s="75">
        <v>260</v>
      </c>
      <c r="L97" s="75">
        <v>2450</v>
      </c>
      <c r="M97" s="202">
        <v>37.57937789241425</v>
      </c>
      <c r="N97" s="87">
        <v>3124.2212194447757</v>
      </c>
      <c r="O97" s="123">
        <v>65611.677192053859</v>
      </c>
      <c r="P97" s="199">
        <v>78369.104817541942</v>
      </c>
      <c r="Q97" s="310">
        <v>27194.936014384097</v>
      </c>
      <c r="R97" s="319">
        <v>92806.613206437964</v>
      </c>
      <c r="S97" s="315">
        <v>105564.04083192605</v>
      </c>
      <c r="U97" s="7" t="s">
        <v>5559</v>
      </c>
    </row>
    <row r="98" spans="1:21" ht="16.5" thickBot="1">
      <c r="A98" s="1311" t="s">
        <v>4588</v>
      </c>
      <c r="B98" s="1315">
        <f t="shared" si="3"/>
        <v>200</v>
      </c>
      <c r="C98" s="1315" t="s">
        <v>3</v>
      </c>
      <c r="D98" s="1315">
        <f t="shared" si="4"/>
        <v>260</v>
      </c>
      <c r="E98" s="1315" t="s">
        <v>3</v>
      </c>
      <c r="F98" s="1313">
        <f t="shared" si="5"/>
        <v>2500</v>
      </c>
      <c r="G98" s="1315" t="s">
        <v>3</v>
      </c>
      <c r="H98" s="1312">
        <v>4</v>
      </c>
      <c r="I98" s="1314" t="s">
        <v>46</v>
      </c>
      <c r="J98" s="184">
        <v>200</v>
      </c>
      <c r="K98" s="75">
        <v>260</v>
      </c>
      <c r="L98" s="75">
        <v>2500</v>
      </c>
      <c r="M98" s="202">
        <v>38.783762828306145</v>
      </c>
      <c r="N98" s="87">
        <v>3198.6074389553655</v>
      </c>
      <c r="O98" s="123">
        <v>67629.433060841868</v>
      </c>
      <c r="P98" s="199">
        <v>80941.914473096986</v>
      </c>
      <c r="Q98" s="310">
        <v>27626.546626751031</v>
      </c>
      <c r="R98" s="319">
        <v>95255.979687592902</v>
      </c>
      <c r="S98" s="315">
        <v>108568.46109984802</v>
      </c>
      <c r="U98" s="7" t="s">
        <v>5560</v>
      </c>
    </row>
    <row r="99" spans="1:21" ht="16.5" thickBot="1">
      <c r="A99" s="1311" t="s">
        <v>4588</v>
      </c>
      <c r="B99" s="1315">
        <f t="shared" si="3"/>
        <v>200</v>
      </c>
      <c r="C99" s="1315" t="s">
        <v>3</v>
      </c>
      <c r="D99" s="1315">
        <f t="shared" si="4"/>
        <v>260</v>
      </c>
      <c r="E99" s="1315" t="s">
        <v>3</v>
      </c>
      <c r="F99" s="1313">
        <f t="shared" si="5"/>
        <v>2550</v>
      </c>
      <c r="G99" s="1315" t="s">
        <v>3</v>
      </c>
      <c r="H99" s="1312">
        <v>4</v>
      </c>
      <c r="I99" s="1314" t="s">
        <v>46</v>
      </c>
      <c r="J99" s="184">
        <v>200</v>
      </c>
      <c r="K99" s="75">
        <v>260</v>
      </c>
      <c r="L99" s="75">
        <v>2550</v>
      </c>
      <c r="M99" s="202">
        <v>39.508896164198063</v>
      </c>
      <c r="N99" s="87">
        <v>3272.9936584659558</v>
      </c>
      <c r="O99" s="123">
        <v>69117.584311811384</v>
      </c>
      <c r="P99" s="199">
        <v>82310.144009038049</v>
      </c>
      <c r="Q99" s="310">
        <v>28288.739016901247</v>
      </c>
      <c r="R99" s="319">
        <v>97406.323328712635</v>
      </c>
      <c r="S99" s="315">
        <v>110598.8830259393</v>
      </c>
      <c r="U99" s="7" t="s">
        <v>5561</v>
      </c>
    </row>
    <row r="100" spans="1:21" ht="16.5" thickBot="1">
      <c r="A100" s="1311" t="s">
        <v>4588</v>
      </c>
      <c r="B100" s="1312">
        <f t="shared" si="3"/>
        <v>200</v>
      </c>
      <c r="C100" s="1312" t="s">
        <v>3</v>
      </c>
      <c r="D100" s="1312">
        <f t="shared" si="4"/>
        <v>260</v>
      </c>
      <c r="E100" s="1312" t="s">
        <v>3</v>
      </c>
      <c r="F100" s="1313">
        <f t="shared" si="5"/>
        <v>2600</v>
      </c>
      <c r="G100" s="1312" t="s">
        <v>3</v>
      </c>
      <c r="H100" s="1312">
        <v>4</v>
      </c>
      <c r="I100" s="1314" t="s">
        <v>46</v>
      </c>
      <c r="J100" s="184">
        <v>200</v>
      </c>
      <c r="K100" s="75">
        <v>260</v>
      </c>
      <c r="L100" s="75">
        <v>2600</v>
      </c>
      <c r="M100" s="202">
        <v>40.234029500089974</v>
      </c>
      <c r="N100" s="87">
        <v>3347.3798779765457</v>
      </c>
      <c r="O100" s="123">
        <v>70245.998349592293</v>
      </c>
      <c r="P100" s="199">
        <v>83664.334208729138</v>
      </c>
      <c r="Q100" s="310">
        <v>28720.349629268181</v>
      </c>
      <c r="R100" s="319">
        <v>98966.347978860475</v>
      </c>
      <c r="S100" s="315">
        <v>112384.68383799732</v>
      </c>
      <c r="U100" s="7" t="s">
        <v>5562</v>
      </c>
    </row>
    <row r="101" spans="1:21" ht="16.5" thickBot="1">
      <c r="A101" s="1311" t="s">
        <v>4588</v>
      </c>
      <c r="B101" s="1315">
        <f t="shared" si="3"/>
        <v>200</v>
      </c>
      <c r="C101" s="1315" t="s">
        <v>3</v>
      </c>
      <c r="D101" s="1315">
        <f t="shared" si="4"/>
        <v>260</v>
      </c>
      <c r="E101" s="1315" t="s">
        <v>3</v>
      </c>
      <c r="F101" s="1313">
        <f t="shared" si="5"/>
        <v>2650</v>
      </c>
      <c r="G101" s="1315" t="s">
        <v>3</v>
      </c>
      <c r="H101" s="1312">
        <v>4</v>
      </c>
      <c r="I101" s="1314" t="s">
        <v>46</v>
      </c>
      <c r="J101" s="184">
        <v>200</v>
      </c>
      <c r="K101" s="75">
        <v>260</v>
      </c>
      <c r="L101" s="75">
        <v>2650</v>
      </c>
      <c r="M101" s="202">
        <v>40.959162835981871</v>
      </c>
      <c r="N101" s="87">
        <v>3421.7660974871351</v>
      </c>
      <c r="O101" s="123">
        <v>71374.412246979831</v>
      </c>
      <c r="P101" s="199">
        <v>85018.524408420213</v>
      </c>
      <c r="Q101" s="310">
        <v>29382.542019418397</v>
      </c>
      <c r="R101" s="319">
        <v>100756.95426639823</v>
      </c>
      <c r="S101" s="315">
        <v>114401.06642783861</v>
      </c>
      <c r="U101" s="7" t="s">
        <v>5563</v>
      </c>
    </row>
    <row r="102" spans="1:21" ht="16.5" thickBot="1">
      <c r="A102" s="1311" t="s">
        <v>4588</v>
      </c>
      <c r="B102" s="1315">
        <f t="shared" si="3"/>
        <v>200</v>
      </c>
      <c r="C102" s="1315" t="s">
        <v>3</v>
      </c>
      <c r="D102" s="1315">
        <f t="shared" si="4"/>
        <v>260</v>
      </c>
      <c r="E102" s="1315" t="s">
        <v>3</v>
      </c>
      <c r="F102" s="1313">
        <f t="shared" si="5"/>
        <v>2700</v>
      </c>
      <c r="G102" s="1315" t="s">
        <v>3</v>
      </c>
      <c r="H102" s="1312">
        <v>4</v>
      </c>
      <c r="I102" s="1314" t="s">
        <v>46</v>
      </c>
      <c r="J102" s="184">
        <v>200</v>
      </c>
      <c r="K102" s="75">
        <v>260</v>
      </c>
      <c r="L102" s="75">
        <v>2700</v>
      </c>
      <c r="M102" s="202">
        <v>41.684296171873783</v>
      </c>
      <c r="N102" s="87">
        <v>3496.1523169977254</v>
      </c>
      <c r="O102" s="123">
        <v>72502.826144367398</v>
      </c>
      <c r="P102" s="199">
        <v>86372.714608111288</v>
      </c>
      <c r="Q102" s="310">
        <v>29814.152631785331</v>
      </c>
      <c r="R102" s="319">
        <v>102316.97877615273</v>
      </c>
      <c r="S102" s="315">
        <v>116186.86723989662</v>
      </c>
      <c r="U102" s="7" t="s">
        <v>5564</v>
      </c>
    </row>
    <row r="103" spans="1:21" ht="16.5" thickBot="1">
      <c r="A103" s="1311" t="s">
        <v>4588</v>
      </c>
      <c r="B103" s="1315">
        <f t="shared" si="3"/>
        <v>200</v>
      </c>
      <c r="C103" s="1315" t="s">
        <v>3</v>
      </c>
      <c r="D103" s="1315">
        <f t="shared" si="4"/>
        <v>260</v>
      </c>
      <c r="E103" s="1315" t="s">
        <v>3</v>
      </c>
      <c r="F103" s="1313">
        <f t="shared" si="5"/>
        <v>2750</v>
      </c>
      <c r="G103" s="1315" t="s">
        <v>3</v>
      </c>
      <c r="H103" s="1312">
        <v>4</v>
      </c>
      <c r="I103" s="1314" t="s">
        <v>46</v>
      </c>
      <c r="J103" s="184">
        <v>200</v>
      </c>
      <c r="K103" s="75">
        <v>260</v>
      </c>
      <c r="L103" s="75">
        <v>2750</v>
      </c>
      <c r="M103" s="202">
        <v>42.409429507765687</v>
      </c>
      <c r="N103" s="87">
        <v>3570.5385365083152</v>
      </c>
      <c r="O103" s="123">
        <v>73631.240041754936</v>
      </c>
      <c r="P103" s="199">
        <v>87726.904807802348</v>
      </c>
      <c r="Q103" s="310">
        <v>30245.763244152273</v>
      </c>
      <c r="R103" s="319">
        <v>103877.00328590721</v>
      </c>
      <c r="S103" s="315">
        <v>117972.66805195462</v>
      </c>
      <c r="U103" s="7" t="s">
        <v>5565</v>
      </c>
    </row>
    <row r="104" spans="1:21" ht="16.5" thickBot="1">
      <c r="A104" s="1311" t="s">
        <v>4588</v>
      </c>
      <c r="B104" s="1315">
        <f t="shared" si="3"/>
        <v>200</v>
      </c>
      <c r="C104" s="1315" t="s">
        <v>3</v>
      </c>
      <c r="D104" s="1315">
        <f t="shared" si="4"/>
        <v>260</v>
      </c>
      <c r="E104" s="1315" t="s">
        <v>3</v>
      </c>
      <c r="F104" s="1313">
        <f t="shared" si="5"/>
        <v>2800</v>
      </c>
      <c r="G104" s="1315" t="s">
        <v>3</v>
      </c>
      <c r="H104" s="1312">
        <v>4</v>
      </c>
      <c r="I104" s="1314" t="s">
        <v>46</v>
      </c>
      <c r="J104" s="184">
        <v>200</v>
      </c>
      <c r="K104" s="75">
        <v>260</v>
      </c>
      <c r="L104" s="75">
        <v>2800</v>
      </c>
      <c r="M104" s="202">
        <v>43.134562843657605</v>
      </c>
      <c r="N104" s="87">
        <v>3644.9247560189051</v>
      </c>
      <c r="O104" s="123">
        <v>74759.654079535845</v>
      </c>
      <c r="P104" s="199">
        <v>89081.095007493437</v>
      </c>
      <c r="Q104" s="310">
        <v>30907.955493909118</v>
      </c>
      <c r="R104" s="319">
        <v>105667.60957344496</v>
      </c>
      <c r="S104" s="315">
        <v>119989.05050140255</v>
      </c>
      <c r="U104" s="7" t="s">
        <v>5566</v>
      </c>
    </row>
    <row r="105" spans="1:21" ht="16.5" thickBot="1">
      <c r="A105" s="1311" t="s">
        <v>4588</v>
      </c>
      <c r="B105" s="1315">
        <f t="shared" si="3"/>
        <v>200</v>
      </c>
      <c r="C105" s="1315" t="s">
        <v>3</v>
      </c>
      <c r="D105" s="1315">
        <f t="shared" si="4"/>
        <v>260</v>
      </c>
      <c r="E105" s="1315" t="s">
        <v>3</v>
      </c>
      <c r="F105" s="1313">
        <f t="shared" si="5"/>
        <v>2850</v>
      </c>
      <c r="G105" s="1315" t="s">
        <v>3</v>
      </c>
      <c r="H105" s="1312">
        <v>4</v>
      </c>
      <c r="I105" s="1314" t="s">
        <v>46</v>
      </c>
      <c r="J105" s="184">
        <v>200</v>
      </c>
      <c r="K105" s="75">
        <v>260</v>
      </c>
      <c r="L105" s="75">
        <v>2850</v>
      </c>
      <c r="M105" s="202">
        <v>43.859696179549502</v>
      </c>
      <c r="N105" s="87">
        <v>3719.310975529495</v>
      </c>
      <c r="O105" s="123">
        <v>75888.067976923412</v>
      </c>
      <c r="P105" s="199">
        <v>90435.285207184512</v>
      </c>
      <c r="Q105" s="310">
        <v>31339.566106276056</v>
      </c>
      <c r="R105" s="319">
        <v>107227.63408319946</v>
      </c>
      <c r="S105" s="315">
        <v>121774.85131346056</v>
      </c>
      <c r="U105" s="7" t="s">
        <v>5567</v>
      </c>
    </row>
    <row r="106" spans="1:21" ht="16.5" thickBot="1">
      <c r="A106" s="1311" t="s">
        <v>4588</v>
      </c>
      <c r="B106" s="1315">
        <f t="shared" si="3"/>
        <v>200</v>
      </c>
      <c r="C106" s="1315" t="s">
        <v>3</v>
      </c>
      <c r="D106" s="1315">
        <f t="shared" si="4"/>
        <v>260</v>
      </c>
      <c r="E106" s="1315" t="s">
        <v>3</v>
      </c>
      <c r="F106" s="1313">
        <f t="shared" si="5"/>
        <v>2900</v>
      </c>
      <c r="G106" s="1315" t="s">
        <v>3</v>
      </c>
      <c r="H106" s="1312">
        <v>4</v>
      </c>
      <c r="I106" s="1314" t="s">
        <v>46</v>
      </c>
      <c r="J106" s="184">
        <v>200</v>
      </c>
      <c r="K106" s="75">
        <v>260</v>
      </c>
      <c r="L106" s="75">
        <v>2900</v>
      </c>
      <c r="M106" s="202">
        <v>44.584829515441413</v>
      </c>
      <c r="N106" s="87">
        <v>3793.6971950400848</v>
      </c>
      <c r="O106" s="123">
        <v>77016.48187431095</v>
      </c>
      <c r="P106" s="199">
        <v>91789.475406875572</v>
      </c>
      <c r="Q106" s="310">
        <v>32001.758496426271</v>
      </c>
      <c r="R106" s="319">
        <v>109018.24037073721</v>
      </c>
      <c r="S106" s="315">
        <v>123791.23390330185</v>
      </c>
      <c r="U106" s="7" t="s">
        <v>5568</v>
      </c>
    </row>
    <row r="107" spans="1:21" ht="16.5" thickBot="1">
      <c r="A107" s="1311" t="s">
        <v>4588</v>
      </c>
      <c r="B107" s="1315">
        <f t="shared" si="3"/>
        <v>200</v>
      </c>
      <c r="C107" s="1315" t="s">
        <v>3</v>
      </c>
      <c r="D107" s="1315">
        <f t="shared" si="4"/>
        <v>260</v>
      </c>
      <c r="E107" s="1315" t="s">
        <v>3</v>
      </c>
      <c r="F107" s="1313">
        <f t="shared" si="5"/>
        <v>2950</v>
      </c>
      <c r="G107" s="1315" t="s">
        <v>3</v>
      </c>
      <c r="H107" s="1312">
        <v>4</v>
      </c>
      <c r="I107" s="1314" t="s">
        <v>46</v>
      </c>
      <c r="J107" s="184">
        <v>200</v>
      </c>
      <c r="K107" s="75">
        <v>260</v>
      </c>
      <c r="L107" s="75">
        <v>2950</v>
      </c>
      <c r="M107" s="202">
        <v>45.309962851333324</v>
      </c>
      <c r="N107" s="87">
        <v>3868.0834145506747</v>
      </c>
      <c r="O107" s="123">
        <v>78144.895771698502</v>
      </c>
      <c r="P107" s="199">
        <v>93143.665606566661</v>
      </c>
      <c r="Q107" s="310">
        <v>32433.369108793206</v>
      </c>
      <c r="R107" s="319">
        <v>110578.26488049171</v>
      </c>
      <c r="S107" s="315">
        <v>125577.03471535987</v>
      </c>
      <c r="U107" s="7" t="s">
        <v>5569</v>
      </c>
    </row>
    <row r="108" spans="1:21" ht="16.5" thickBot="1">
      <c r="A108" s="1316" t="s">
        <v>4588</v>
      </c>
      <c r="B108" s="1317">
        <f t="shared" si="3"/>
        <v>200</v>
      </c>
      <c r="C108" s="1317" t="s">
        <v>3</v>
      </c>
      <c r="D108" s="1317">
        <f t="shared" si="4"/>
        <v>260</v>
      </c>
      <c r="E108" s="1317" t="s">
        <v>3</v>
      </c>
      <c r="F108" s="1318">
        <f t="shared" si="5"/>
        <v>3000</v>
      </c>
      <c r="G108" s="1317" t="s">
        <v>3</v>
      </c>
      <c r="H108" s="1319">
        <v>4</v>
      </c>
      <c r="I108" s="1320" t="s">
        <v>46</v>
      </c>
      <c r="J108" s="321">
        <v>200</v>
      </c>
      <c r="K108" s="322">
        <v>260</v>
      </c>
      <c r="L108" s="322">
        <v>3000</v>
      </c>
      <c r="M108" s="305">
        <v>46.237989787225231</v>
      </c>
      <c r="N108" s="306">
        <v>3942.4696340612645</v>
      </c>
      <c r="O108" s="307">
        <v>79501.33109311742</v>
      </c>
      <c r="P108" s="339">
        <v>94725.877089895745</v>
      </c>
      <c r="Q108" s="323">
        <v>33095.561498943418</v>
      </c>
      <c r="R108" s="324">
        <v>112596.89259206085</v>
      </c>
      <c r="S108" s="325">
        <v>127821.43858883917</v>
      </c>
      <c r="U108" s="7" t="s">
        <v>5570</v>
      </c>
    </row>
    <row r="109" spans="1:21" ht="19.5" thickBot="1">
      <c r="A109" s="2580" t="s">
        <v>48</v>
      </c>
      <c r="B109" s="2581"/>
      <c r="C109" s="2581"/>
      <c r="D109" s="2581"/>
      <c r="E109" s="2581"/>
      <c r="F109" s="2581"/>
      <c r="G109" s="2581"/>
      <c r="H109" s="2581"/>
      <c r="I109" s="2581"/>
      <c r="J109" s="2581"/>
      <c r="K109" s="2581"/>
      <c r="L109" s="2581"/>
      <c r="M109" s="2581"/>
      <c r="N109" s="2581"/>
      <c r="O109" s="2581"/>
      <c r="P109" s="2581"/>
      <c r="Q109" s="2581"/>
      <c r="R109" s="2581"/>
      <c r="S109" s="2582"/>
      <c r="U109" s="7"/>
    </row>
    <row r="110" spans="1:21" ht="16.5" customHeight="1" thickBot="1">
      <c r="A110" s="2662" t="s">
        <v>4590</v>
      </c>
      <c r="B110" s="2663"/>
      <c r="C110" s="2663"/>
      <c r="D110" s="2663"/>
      <c r="E110" s="2663"/>
      <c r="F110" s="2663"/>
      <c r="G110" s="2663"/>
      <c r="H110" s="2663"/>
      <c r="I110" s="2663"/>
      <c r="J110" s="2663"/>
      <c r="K110" s="2663"/>
      <c r="L110" s="2663"/>
      <c r="M110" s="2663"/>
      <c r="N110" s="2663"/>
      <c r="O110" s="2663"/>
      <c r="P110" s="2663"/>
      <c r="Q110" s="2663"/>
      <c r="R110" s="2663"/>
      <c r="S110" s="2664"/>
      <c r="U110" s="7"/>
    </row>
    <row r="111" spans="1:21" ht="16.5" thickBot="1">
      <c r="A111" s="1311" t="s">
        <v>4588</v>
      </c>
      <c r="B111" s="1312">
        <f>J111</f>
        <v>200</v>
      </c>
      <c r="C111" s="1312" t="s">
        <v>3</v>
      </c>
      <c r="D111" s="1312">
        <f>K111</f>
        <v>300</v>
      </c>
      <c r="E111" s="1312" t="s">
        <v>3</v>
      </c>
      <c r="F111" s="1313">
        <f>L111</f>
        <v>600</v>
      </c>
      <c r="G111" s="1312" t="s">
        <v>3</v>
      </c>
      <c r="H111" s="1312">
        <v>4</v>
      </c>
      <c r="I111" s="1314" t="s">
        <v>46</v>
      </c>
      <c r="J111" s="326">
        <v>200</v>
      </c>
      <c r="K111" s="327">
        <v>300</v>
      </c>
      <c r="L111" s="327">
        <v>600</v>
      </c>
      <c r="M111" s="301">
        <v>10.965268023150488</v>
      </c>
      <c r="N111" s="302">
        <v>398.38894060022614</v>
      </c>
      <c r="O111" s="303">
        <v>22785.603643853668</v>
      </c>
      <c r="P111" s="208">
        <v>27968.31156641015</v>
      </c>
      <c r="Q111" s="328">
        <v>8203.3683669666007</v>
      </c>
      <c r="R111" s="329">
        <v>30988.972010820267</v>
      </c>
      <c r="S111" s="330">
        <v>36171.679933376749</v>
      </c>
      <c r="U111" s="7" t="s">
        <v>5571</v>
      </c>
    </row>
    <row r="112" spans="1:21" ht="16.5" thickBot="1">
      <c r="A112" s="1311" t="s">
        <v>4588</v>
      </c>
      <c r="B112" s="1315">
        <f t="shared" ref="B112:B159" si="6">J112</f>
        <v>200</v>
      </c>
      <c r="C112" s="1315" t="s">
        <v>3</v>
      </c>
      <c r="D112" s="1315">
        <f t="shared" ref="D112:D159" si="7">K112</f>
        <v>300</v>
      </c>
      <c r="E112" s="1315" t="s">
        <v>3</v>
      </c>
      <c r="F112" s="1313">
        <f t="shared" ref="F112:F159" si="8">L112</f>
        <v>650</v>
      </c>
      <c r="G112" s="1315" t="s">
        <v>3</v>
      </c>
      <c r="H112" s="1312">
        <v>4</v>
      </c>
      <c r="I112" s="1314" t="s">
        <v>46</v>
      </c>
      <c r="J112" s="184">
        <v>200</v>
      </c>
      <c r="K112" s="75">
        <v>300</v>
      </c>
      <c r="L112" s="75">
        <v>650</v>
      </c>
      <c r="M112" s="202">
        <v>11.730310088937133</v>
      </c>
      <c r="N112" s="87">
        <v>478.06672872027133</v>
      </c>
      <c r="O112" s="123">
        <v>23933.606346324119</v>
      </c>
      <c r="P112" s="199">
        <v>29355.773896822353</v>
      </c>
      <c r="Q112" s="310">
        <v>8683.7735348305905</v>
      </c>
      <c r="R112" s="319">
        <v>32617.379881154709</v>
      </c>
      <c r="S112" s="315">
        <v>38039.547431652943</v>
      </c>
      <c r="U112" s="7" t="s">
        <v>5572</v>
      </c>
    </row>
    <row r="113" spans="1:21" ht="16.5" thickBot="1">
      <c r="A113" s="1311" t="s">
        <v>4588</v>
      </c>
      <c r="B113" s="1315">
        <f t="shared" si="6"/>
        <v>200</v>
      </c>
      <c r="C113" s="1315" t="s">
        <v>3</v>
      </c>
      <c r="D113" s="1315">
        <f t="shared" si="7"/>
        <v>300</v>
      </c>
      <c r="E113" s="1315" t="s">
        <v>3</v>
      </c>
      <c r="F113" s="1313">
        <f t="shared" si="8"/>
        <v>700</v>
      </c>
      <c r="G113" s="1315" t="s">
        <v>3</v>
      </c>
      <c r="H113" s="1312">
        <v>4</v>
      </c>
      <c r="I113" s="1314" t="s">
        <v>46</v>
      </c>
      <c r="J113" s="184">
        <v>200</v>
      </c>
      <c r="K113" s="75">
        <v>300</v>
      </c>
      <c r="L113" s="75">
        <v>700</v>
      </c>
      <c r="M113" s="202">
        <v>12.495352154723779</v>
      </c>
      <c r="N113" s="87">
        <v>557.74451684031658</v>
      </c>
      <c r="O113" s="123">
        <v>25081.608908401202</v>
      </c>
      <c r="P113" s="199">
        <v>30743.236227234549</v>
      </c>
      <c r="Q113" s="310">
        <v>9394.7606208712132</v>
      </c>
      <c r="R113" s="319">
        <v>34476.369529272415</v>
      </c>
      <c r="S113" s="315">
        <v>40137.996848105759</v>
      </c>
      <c r="U113" s="7" t="s">
        <v>5573</v>
      </c>
    </row>
    <row r="114" spans="1:21" ht="16.5" thickBot="1">
      <c r="A114" s="1311" t="s">
        <v>4588</v>
      </c>
      <c r="B114" s="1315">
        <f t="shared" si="6"/>
        <v>200</v>
      </c>
      <c r="C114" s="1315" t="s">
        <v>3</v>
      </c>
      <c r="D114" s="1315">
        <f t="shared" si="7"/>
        <v>300</v>
      </c>
      <c r="E114" s="1315" t="s">
        <v>3</v>
      </c>
      <c r="F114" s="1313">
        <f t="shared" si="8"/>
        <v>750</v>
      </c>
      <c r="G114" s="1315" t="s">
        <v>3</v>
      </c>
      <c r="H114" s="1312">
        <v>4</v>
      </c>
      <c r="I114" s="1314" t="s">
        <v>46</v>
      </c>
      <c r="J114" s="184">
        <v>200</v>
      </c>
      <c r="K114" s="75">
        <v>300</v>
      </c>
      <c r="L114" s="75">
        <v>750</v>
      </c>
      <c r="M114" s="202">
        <v>13.260394220510422</v>
      </c>
      <c r="N114" s="87">
        <v>637.42230496036188</v>
      </c>
      <c r="O114" s="123">
        <v>26229.611610871656</v>
      </c>
      <c r="P114" s="199">
        <v>32130.698557646752</v>
      </c>
      <c r="Q114" s="310">
        <v>9875.165788735203</v>
      </c>
      <c r="R114" s="319">
        <v>36104.777399606857</v>
      </c>
      <c r="S114" s="315">
        <v>42005.864346381954</v>
      </c>
      <c r="U114" s="7" t="s">
        <v>5574</v>
      </c>
    </row>
    <row r="115" spans="1:21" ht="16.5" thickBot="1">
      <c r="A115" s="1311" t="s">
        <v>4588</v>
      </c>
      <c r="B115" s="1315">
        <f t="shared" si="6"/>
        <v>200</v>
      </c>
      <c r="C115" s="1315" t="s">
        <v>3</v>
      </c>
      <c r="D115" s="1315">
        <f t="shared" si="7"/>
        <v>300</v>
      </c>
      <c r="E115" s="1315" t="s">
        <v>3</v>
      </c>
      <c r="F115" s="1313">
        <f t="shared" si="8"/>
        <v>800</v>
      </c>
      <c r="G115" s="1315" t="s">
        <v>3</v>
      </c>
      <c r="H115" s="1312">
        <v>4</v>
      </c>
      <c r="I115" s="1314" t="s">
        <v>46</v>
      </c>
      <c r="J115" s="184">
        <v>200</v>
      </c>
      <c r="K115" s="75">
        <v>300</v>
      </c>
      <c r="L115" s="75">
        <v>800</v>
      </c>
      <c r="M115" s="202">
        <v>14.025436286297069</v>
      </c>
      <c r="N115" s="87">
        <v>717.10009308040708</v>
      </c>
      <c r="O115" s="123">
        <v>27738.735664691591</v>
      </c>
      <c r="P115" s="199">
        <v>33532.200224308814</v>
      </c>
      <c r="Q115" s="310">
        <v>10355.570956599189</v>
      </c>
      <c r="R115" s="319">
        <v>38094.30662129078</v>
      </c>
      <c r="S115" s="315">
        <v>43887.771180908006</v>
      </c>
      <c r="U115" s="7" t="s">
        <v>5575</v>
      </c>
    </row>
    <row r="116" spans="1:21" ht="16.5" thickBot="1">
      <c r="A116" s="1311" t="s">
        <v>4588</v>
      </c>
      <c r="B116" s="1315">
        <f t="shared" si="6"/>
        <v>200</v>
      </c>
      <c r="C116" s="1315" t="s">
        <v>3</v>
      </c>
      <c r="D116" s="1315">
        <f t="shared" si="7"/>
        <v>300</v>
      </c>
      <c r="E116" s="1315" t="s">
        <v>3</v>
      </c>
      <c r="F116" s="1313">
        <f t="shared" si="8"/>
        <v>850</v>
      </c>
      <c r="G116" s="1315" t="s">
        <v>3</v>
      </c>
      <c r="H116" s="1312">
        <v>4</v>
      </c>
      <c r="I116" s="1314" t="s">
        <v>46</v>
      </c>
      <c r="J116" s="184">
        <v>200</v>
      </c>
      <c r="K116" s="75">
        <v>300</v>
      </c>
      <c r="L116" s="75">
        <v>850</v>
      </c>
      <c r="M116" s="202">
        <v>14.79047835208371</v>
      </c>
      <c r="N116" s="87">
        <v>796.77788120045227</v>
      </c>
      <c r="O116" s="123">
        <v>28886.738226768681</v>
      </c>
      <c r="P116" s="199">
        <v>34919.662554721013</v>
      </c>
      <c r="Q116" s="310">
        <v>11066.558042639816</v>
      </c>
      <c r="R116" s="319">
        <v>39953.2962694085</v>
      </c>
      <c r="S116" s="315">
        <v>45986.220597360829</v>
      </c>
      <c r="U116" s="7" t="s">
        <v>5576</v>
      </c>
    </row>
    <row r="117" spans="1:21" ht="16.5" thickBot="1">
      <c r="A117" s="1311" t="s">
        <v>4588</v>
      </c>
      <c r="B117" s="1315">
        <f t="shared" si="6"/>
        <v>200</v>
      </c>
      <c r="C117" s="1315" t="s">
        <v>3</v>
      </c>
      <c r="D117" s="1315">
        <f t="shared" si="7"/>
        <v>300</v>
      </c>
      <c r="E117" s="1315" t="s">
        <v>3</v>
      </c>
      <c r="F117" s="1313">
        <f t="shared" si="8"/>
        <v>900</v>
      </c>
      <c r="G117" s="1315" t="s">
        <v>3</v>
      </c>
      <c r="H117" s="1312">
        <v>4</v>
      </c>
      <c r="I117" s="1314" t="s">
        <v>46</v>
      </c>
      <c r="J117" s="184">
        <v>200</v>
      </c>
      <c r="K117" s="75">
        <v>300</v>
      </c>
      <c r="L117" s="75">
        <v>900</v>
      </c>
      <c r="M117" s="202">
        <v>15.555520417870358</v>
      </c>
      <c r="N117" s="87">
        <v>876.45566932049758</v>
      </c>
      <c r="O117" s="123">
        <v>30034.740929239128</v>
      </c>
      <c r="P117" s="199">
        <v>36307.124885133213</v>
      </c>
      <c r="Q117" s="310">
        <v>11546.963210503804</v>
      </c>
      <c r="R117" s="319">
        <v>41581.704139742928</v>
      </c>
      <c r="S117" s="315">
        <v>47854.088095637017</v>
      </c>
      <c r="U117" s="7" t="s">
        <v>5577</v>
      </c>
    </row>
    <row r="118" spans="1:21" ht="16.5" thickBot="1">
      <c r="A118" s="1311" t="s">
        <v>4588</v>
      </c>
      <c r="B118" s="1315">
        <f t="shared" si="6"/>
        <v>200</v>
      </c>
      <c r="C118" s="1315" t="s">
        <v>3</v>
      </c>
      <c r="D118" s="1315">
        <f t="shared" si="7"/>
        <v>300</v>
      </c>
      <c r="E118" s="1315" t="s">
        <v>3</v>
      </c>
      <c r="F118" s="1313">
        <f t="shared" si="8"/>
        <v>950</v>
      </c>
      <c r="G118" s="1315" t="s">
        <v>3</v>
      </c>
      <c r="H118" s="1312">
        <v>4</v>
      </c>
      <c r="I118" s="1314" t="s">
        <v>46</v>
      </c>
      <c r="J118" s="184">
        <v>200</v>
      </c>
      <c r="K118" s="75">
        <v>300</v>
      </c>
      <c r="L118" s="75">
        <v>950</v>
      </c>
      <c r="M118" s="202">
        <v>16.320562483657003</v>
      </c>
      <c r="N118" s="87">
        <v>956.13345744054266</v>
      </c>
      <c r="O118" s="123">
        <v>31182.743631709582</v>
      </c>
      <c r="P118" s="199">
        <v>37694.587215545413</v>
      </c>
      <c r="Q118" s="310">
        <v>12257.950156151066</v>
      </c>
      <c r="R118" s="319">
        <v>43440.693787860648</v>
      </c>
      <c r="S118" s="315">
        <v>49952.537371696482</v>
      </c>
      <c r="U118" s="7" t="s">
        <v>5578</v>
      </c>
    </row>
    <row r="119" spans="1:21" ht="16.5" thickBot="1">
      <c r="A119" s="1311" t="s">
        <v>4588</v>
      </c>
      <c r="B119" s="1315">
        <f t="shared" si="6"/>
        <v>200</v>
      </c>
      <c r="C119" s="1315" t="s">
        <v>3</v>
      </c>
      <c r="D119" s="1315">
        <f t="shared" si="7"/>
        <v>300</v>
      </c>
      <c r="E119" s="1315" t="s">
        <v>3</v>
      </c>
      <c r="F119" s="1313">
        <f t="shared" si="8"/>
        <v>1000</v>
      </c>
      <c r="G119" s="1315" t="s">
        <v>3</v>
      </c>
      <c r="H119" s="1312">
        <v>4</v>
      </c>
      <c r="I119" s="1314" t="s">
        <v>46</v>
      </c>
      <c r="J119" s="184">
        <v>200</v>
      </c>
      <c r="K119" s="75">
        <v>300</v>
      </c>
      <c r="L119" s="75">
        <v>1000</v>
      </c>
      <c r="M119" s="202">
        <v>17.202658549443647</v>
      </c>
      <c r="N119" s="87">
        <v>1035.8112455605881</v>
      </c>
      <c r="O119" s="123">
        <v>32384.15182888167</v>
      </c>
      <c r="P119" s="199">
        <v>39135.45518105261</v>
      </c>
      <c r="Q119" s="310">
        <v>12738.355464408416</v>
      </c>
      <c r="R119" s="319">
        <v>45122.507293290088</v>
      </c>
      <c r="S119" s="315">
        <v>51873.810645461024</v>
      </c>
      <c r="U119" s="7" t="s">
        <v>5579</v>
      </c>
    </row>
    <row r="120" spans="1:21" ht="16.5" thickBot="1">
      <c r="A120" s="1311" t="s">
        <v>4588</v>
      </c>
      <c r="B120" s="1315">
        <f t="shared" si="6"/>
        <v>200</v>
      </c>
      <c r="C120" s="1315" t="s">
        <v>3</v>
      </c>
      <c r="D120" s="1315">
        <f t="shared" si="7"/>
        <v>300</v>
      </c>
      <c r="E120" s="1315" t="s">
        <v>3</v>
      </c>
      <c r="F120" s="1313">
        <f t="shared" si="8"/>
        <v>1050</v>
      </c>
      <c r="G120" s="1315" t="s">
        <v>3</v>
      </c>
      <c r="H120" s="1312">
        <v>4</v>
      </c>
      <c r="I120" s="1314" t="s">
        <v>46</v>
      </c>
      <c r="J120" s="184">
        <v>200</v>
      </c>
      <c r="K120" s="75">
        <v>300</v>
      </c>
      <c r="L120" s="75">
        <v>1050</v>
      </c>
      <c r="M120" s="202">
        <v>17.967700615230292</v>
      </c>
      <c r="N120" s="87">
        <v>1115.4890336806332</v>
      </c>
      <c r="O120" s="123">
        <v>33532.15453135212</v>
      </c>
      <c r="P120" s="199">
        <v>40522.917511464817</v>
      </c>
      <c r="Q120" s="310">
        <v>13449.342410055679</v>
      </c>
      <c r="R120" s="319">
        <v>46981.4969414078</v>
      </c>
      <c r="S120" s="315">
        <v>53972.259921520497</v>
      </c>
      <c r="U120" s="7" t="s">
        <v>5580</v>
      </c>
    </row>
    <row r="121" spans="1:21" ht="16.5" thickBot="1">
      <c r="A121" s="1311" t="s">
        <v>4588</v>
      </c>
      <c r="B121" s="1312">
        <f t="shared" si="6"/>
        <v>200</v>
      </c>
      <c r="C121" s="1312" t="s">
        <v>3</v>
      </c>
      <c r="D121" s="1312">
        <f t="shared" si="7"/>
        <v>300</v>
      </c>
      <c r="E121" s="1312" t="s">
        <v>3</v>
      </c>
      <c r="F121" s="1313">
        <f t="shared" si="8"/>
        <v>1100</v>
      </c>
      <c r="G121" s="1312" t="s">
        <v>3</v>
      </c>
      <c r="H121" s="1312">
        <v>4</v>
      </c>
      <c r="I121" s="1314" t="s">
        <v>46</v>
      </c>
      <c r="J121" s="184">
        <v>200</v>
      </c>
      <c r="K121" s="75">
        <v>300</v>
      </c>
      <c r="L121" s="75">
        <v>1100</v>
      </c>
      <c r="M121" s="202">
        <v>18.732742681016937</v>
      </c>
      <c r="N121" s="87">
        <v>1195.1668218006785</v>
      </c>
      <c r="O121" s="123">
        <v>34680.157233822567</v>
      </c>
      <c r="P121" s="199">
        <v>41910.379841877009</v>
      </c>
      <c r="Q121" s="310">
        <v>13929.747718313029</v>
      </c>
      <c r="R121" s="319">
        <v>48609.904952135592</v>
      </c>
      <c r="S121" s="315">
        <v>55840.127560190042</v>
      </c>
      <c r="U121" s="7" t="s">
        <v>5581</v>
      </c>
    </row>
    <row r="122" spans="1:21" ht="16.5" thickBot="1">
      <c r="A122" s="1311" t="s">
        <v>4588</v>
      </c>
      <c r="B122" s="1315">
        <f t="shared" si="6"/>
        <v>200</v>
      </c>
      <c r="C122" s="1315" t="s">
        <v>3</v>
      </c>
      <c r="D122" s="1315">
        <f t="shared" si="7"/>
        <v>300</v>
      </c>
      <c r="E122" s="1315" t="s">
        <v>3</v>
      </c>
      <c r="F122" s="1313">
        <f t="shared" si="8"/>
        <v>1150</v>
      </c>
      <c r="G122" s="1315" t="s">
        <v>3</v>
      </c>
      <c r="H122" s="1312">
        <v>4</v>
      </c>
      <c r="I122" s="1314" t="s">
        <v>46</v>
      </c>
      <c r="J122" s="184">
        <v>200</v>
      </c>
      <c r="K122" s="75">
        <v>300</v>
      </c>
      <c r="L122" s="75">
        <v>1150</v>
      </c>
      <c r="M122" s="202">
        <v>19.497784746803582</v>
      </c>
      <c r="N122" s="87">
        <v>1274.8446099207238</v>
      </c>
      <c r="O122" s="123">
        <v>35828.159936293021</v>
      </c>
      <c r="P122" s="199">
        <v>43297.842172289209</v>
      </c>
      <c r="Q122" s="310">
        <v>14410.152886177015</v>
      </c>
      <c r="R122" s="319">
        <v>50238.312822470034</v>
      </c>
      <c r="S122" s="315">
        <v>57707.995058466222</v>
      </c>
      <c r="U122" s="7" t="s">
        <v>5582</v>
      </c>
    </row>
    <row r="123" spans="1:21" ht="16.5" thickBot="1">
      <c r="A123" s="1311" t="s">
        <v>4588</v>
      </c>
      <c r="B123" s="1315">
        <f t="shared" si="6"/>
        <v>200</v>
      </c>
      <c r="C123" s="1315" t="s">
        <v>3</v>
      </c>
      <c r="D123" s="1315">
        <f t="shared" si="7"/>
        <v>300</v>
      </c>
      <c r="E123" s="1315" t="s">
        <v>3</v>
      </c>
      <c r="F123" s="1313">
        <f t="shared" si="8"/>
        <v>1200</v>
      </c>
      <c r="G123" s="1315" t="s">
        <v>3</v>
      </c>
      <c r="H123" s="1312">
        <v>4</v>
      </c>
      <c r="I123" s="1314" t="s">
        <v>46</v>
      </c>
      <c r="J123" s="184">
        <v>200</v>
      </c>
      <c r="K123" s="75">
        <v>300</v>
      </c>
      <c r="L123" s="75">
        <v>1200</v>
      </c>
      <c r="M123" s="202">
        <v>20.262826812590223</v>
      </c>
      <c r="N123" s="87">
        <v>1354.5223980407688</v>
      </c>
      <c r="O123" s="123">
        <v>36976.162498370111</v>
      </c>
      <c r="P123" s="199">
        <v>44685.304502701416</v>
      </c>
      <c r="Q123" s="310">
        <v>15121.139831824277</v>
      </c>
      <c r="R123" s="319">
        <v>52097.30233019439</v>
      </c>
      <c r="S123" s="315">
        <v>59806.444334525695</v>
      </c>
      <c r="U123" s="7" t="s">
        <v>5583</v>
      </c>
    </row>
    <row r="124" spans="1:21" ht="16.5" thickBot="1">
      <c r="A124" s="1311" t="s">
        <v>4588</v>
      </c>
      <c r="B124" s="1315">
        <f t="shared" si="6"/>
        <v>200</v>
      </c>
      <c r="C124" s="1315" t="s">
        <v>3</v>
      </c>
      <c r="D124" s="1315">
        <f t="shared" si="7"/>
        <v>300</v>
      </c>
      <c r="E124" s="1315" t="s">
        <v>3</v>
      </c>
      <c r="F124" s="1313">
        <f t="shared" si="8"/>
        <v>1250</v>
      </c>
      <c r="G124" s="1315" t="s">
        <v>3</v>
      </c>
      <c r="H124" s="1312">
        <v>4</v>
      </c>
      <c r="I124" s="1314" t="s">
        <v>46</v>
      </c>
      <c r="J124" s="184">
        <v>200</v>
      </c>
      <c r="K124" s="75">
        <v>300</v>
      </c>
      <c r="L124" s="75">
        <v>1250</v>
      </c>
      <c r="M124" s="202">
        <v>21.027868878376871</v>
      </c>
      <c r="N124" s="87">
        <v>1434.2001861608142</v>
      </c>
      <c r="O124" s="123">
        <v>38124.165200840558</v>
      </c>
      <c r="P124" s="199">
        <v>46072.766833113616</v>
      </c>
      <c r="Q124" s="310">
        <v>15601.545140081627</v>
      </c>
      <c r="R124" s="319">
        <v>53725.710340922189</v>
      </c>
      <c r="S124" s="315">
        <v>61674.311973195247</v>
      </c>
      <c r="U124" s="7" t="s">
        <v>5584</v>
      </c>
    </row>
    <row r="125" spans="1:21" ht="16.5" thickBot="1">
      <c r="A125" s="1311" t="s">
        <v>4588</v>
      </c>
      <c r="B125" s="1315">
        <f t="shared" si="6"/>
        <v>200</v>
      </c>
      <c r="C125" s="1315" t="s">
        <v>3</v>
      </c>
      <c r="D125" s="1315">
        <f t="shared" si="7"/>
        <v>300</v>
      </c>
      <c r="E125" s="1315" t="s">
        <v>3</v>
      </c>
      <c r="F125" s="1313">
        <f t="shared" si="8"/>
        <v>1300</v>
      </c>
      <c r="G125" s="1315" t="s">
        <v>3</v>
      </c>
      <c r="H125" s="1312">
        <v>4</v>
      </c>
      <c r="I125" s="1314" t="s">
        <v>46</v>
      </c>
      <c r="J125" s="184">
        <v>200</v>
      </c>
      <c r="K125" s="75">
        <v>300</v>
      </c>
      <c r="L125" s="75">
        <v>1300</v>
      </c>
      <c r="M125" s="202">
        <v>21.792910944163516</v>
      </c>
      <c r="N125" s="87">
        <v>1513.8779742808592</v>
      </c>
      <c r="O125" s="123">
        <v>39272.167903311012</v>
      </c>
      <c r="P125" s="199">
        <v>47460.229163525815</v>
      </c>
      <c r="Q125" s="310">
        <v>16312.53208572889</v>
      </c>
      <c r="R125" s="319">
        <v>55584.699989039902</v>
      </c>
      <c r="S125" s="315">
        <v>63772.761249254705</v>
      </c>
      <c r="U125" s="7" t="s">
        <v>5585</v>
      </c>
    </row>
    <row r="126" spans="1:21" ht="16.5" thickBot="1">
      <c r="A126" s="1311" t="s">
        <v>4588</v>
      </c>
      <c r="B126" s="1315">
        <f t="shared" si="6"/>
        <v>200</v>
      </c>
      <c r="C126" s="1315" t="s">
        <v>3</v>
      </c>
      <c r="D126" s="1315">
        <f t="shared" si="7"/>
        <v>300</v>
      </c>
      <c r="E126" s="1315" t="s">
        <v>3</v>
      </c>
      <c r="F126" s="1313">
        <f t="shared" si="8"/>
        <v>1350</v>
      </c>
      <c r="G126" s="1315" t="s">
        <v>3</v>
      </c>
      <c r="H126" s="1312">
        <v>4</v>
      </c>
      <c r="I126" s="1314" t="s">
        <v>46</v>
      </c>
      <c r="J126" s="184">
        <v>200</v>
      </c>
      <c r="K126" s="75">
        <v>300</v>
      </c>
      <c r="L126" s="75">
        <v>1350</v>
      </c>
      <c r="M126" s="202">
        <v>22.557953009950161</v>
      </c>
      <c r="N126" s="87">
        <v>1593.5557624009045</v>
      </c>
      <c r="O126" s="123">
        <v>40420.170465388095</v>
      </c>
      <c r="P126" s="199">
        <v>48847.691493938015</v>
      </c>
      <c r="Q126" s="310">
        <v>16792.937253592878</v>
      </c>
      <c r="R126" s="319">
        <v>57213.107718980973</v>
      </c>
      <c r="S126" s="315">
        <v>65640.628747530893</v>
      </c>
      <c r="U126" s="7" t="s">
        <v>5586</v>
      </c>
    </row>
    <row r="127" spans="1:21" ht="16.5" thickBot="1">
      <c r="A127" s="1311" t="s">
        <v>4588</v>
      </c>
      <c r="B127" s="1315">
        <f t="shared" si="6"/>
        <v>200</v>
      </c>
      <c r="C127" s="1315" t="s">
        <v>3</v>
      </c>
      <c r="D127" s="1315">
        <f t="shared" si="7"/>
        <v>300</v>
      </c>
      <c r="E127" s="1315" t="s">
        <v>3</v>
      </c>
      <c r="F127" s="1313">
        <f t="shared" si="8"/>
        <v>1400</v>
      </c>
      <c r="G127" s="1315" t="s">
        <v>3</v>
      </c>
      <c r="H127" s="1312">
        <v>4</v>
      </c>
      <c r="I127" s="1314" t="s">
        <v>46</v>
      </c>
      <c r="J127" s="184">
        <v>200</v>
      </c>
      <c r="K127" s="75">
        <v>300</v>
      </c>
      <c r="L127" s="75">
        <v>1400</v>
      </c>
      <c r="M127" s="202">
        <v>23.322995075736806</v>
      </c>
      <c r="N127" s="87">
        <v>1673.2335505209498</v>
      </c>
      <c r="O127" s="123">
        <v>41568.173167858549</v>
      </c>
      <c r="P127" s="199">
        <v>50235.153824350207</v>
      </c>
      <c r="Q127" s="310">
        <v>17503.924339633504</v>
      </c>
      <c r="R127" s="319">
        <v>59072.097507492057</v>
      </c>
      <c r="S127" s="315">
        <v>67739.078163983708</v>
      </c>
      <c r="U127" s="7" t="s">
        <v>5587</v>
      </c>
    </row>
    <row r="128" spans="1:21" ht="16.5" thickBot="1">
      <c r="A128" s="1311" t="s">
        <v>4588</v>
      </c>
      <c r="B128" s="1315">
        <f t="shared" si="6"/>
        <v>200</v>
      </c>
      <c r="C128" s="1315" t="s">
        <v>3</v>
      </c>
      <c r="D128" s="1315">
        <f t="shared" si="7"/>
        <v>300</v>
      </c>
      <c r="E128" s="1315" t="s">
        <v>3</v>
      </c>
      <c r="F128" s="1313">
        <f t="shared" si="8"/>
        <v>1450</v>
      </c>
      <c r="G128" s="1315" t="s">
        <v>3</v>
      </c>
      <c r="H128" s="1312">
        <v>4</v>
      </c>
      <c r="I128" s="1314" t="s">
        <v>46</v>
      </c>
      <c r="J128" s="184">
        <v>200</v>
      </c>
      <c r="K128" s="75">
        <v>300</v>
      </c>
      <c r="L128" s="75">
        <v>1450</v>
      </c>
      <c r="M128" s="202">
        <v>24.088037141523451</v>
      </c>
      <c r="N128" s="87">
        <v>1752.9113386409952</v>
      </c>
      <c r="O128" s="123">
        <v>42716.175870328996</v>
      </c>
      <c r="P128" s="199">
        <v>51622.616154762422</v>
      </c>
      <c r="Q128" s="310">
        <v>17984.32950749735</v>
      </c>
      <c r="R128" s="319">
        <v>60700.505377826346</v>
      </c>
      <c r="S128" s="315">
        <v>69606.945662259765</v>
      </c>
      <c r="U128" s="7" t="s">
        <v>5588</v>
      </c>
    </row>
    <row r="129" spans="1:21" ht="16.5" thickBot="1">
      <c r="A129" s="1311" t="s">
        <v>4588</v>
      </c>
      <c r="B129" s="1315">
        <f t="shared" si="6"/>
        <v>200</v>
      </c>
      <c r="C129" s="1315" t="s">
        <v>3</v>
      </c>
      <c r="D129" s="1315">
        <f t="shared" si="7"/>
        <v>300</v>
      </c>
      <c r="E129" s="1315" t="s">
        <v>3</v>
      </c>
      <c r="F129" s="1313">
        <f t="shared" si="8"/>
        <v>1500</v>
      </c>
      <c r="G129" s="1315" t="s">
        <v>3</v>
      </c>
      <c r="H129" s="1312">
        <v>4</v>
      </c>
      <c r="I129" s="1314" t="s">
        <v>46</v>
      </c>
      <c r="J129" s="184">
        <v>200</v>
      </c>
      <c r="K129" s="75">
        <v>300</v>
      </c>
      <c r="L129" s="75">
        <v>1500</v>
      </c>
      <c r="M129" s="202">
        <v>25.406970007310093</v>
      </c>
      <c r="N129" s="87">
        <v>1832.58912676104</v>
      </c>
      <c r="O129" s="123">
        <v>44832.868345604373</v>
      </c>
      <c r="P129" s="199">
        <v>54359.495507333006</v>
      </c>
      <c r="Q129" s="310">
        <v>18695.316593538118</v>
      </c>
      <c r="R129" s="319">
        <v>63528.184939142491</v>
      </c>
      <c r="S129" s="315">
        <v>73054.812100871117</v>
      </c>
      <c r="U129" s="7" t="s">
        <v>5589</v>
      </c>
    </row>
    <row r="130" spans="1:21" ht="16.5" thickBot="1">
      <c r="A130" s="1311" t="s">
        <v>4588</v>
      </c>
      <c r="B130" s="1315">
        <f t="shared" si="6"/>
        <v>200</v>
      </c>
      <c r="C130" s="1315" t="s">
        <v>3</v>
      </c>
      <c r="D130" s="1315">
        <f t="shared" si="7"/>
        <v>300</v>
      </c>
      <c r="E130" s="1315" t="s">
        <v>3</v>
      </c>
      <c r="F130" s="1313">
        <f t="shared" si="8"/>
        <v>1550</v>
      </c>
      <c r="G130" s="1315" t="s">
        <v>3</v>
      </c>
      <c r="H130" s="1312">
        <v>4</v>
      </c>
      <c r="I130" s="1314" t="s">
        <v>46</v>
      </c>
      <c r="J130" s="184">
        <v>200</v>
      </c>
      <c r="K130" s="75">
        <v>300</v>
      </c>
      <c r="L130" s="75">
        <v>1550</v>
      </c>
      <c r="M130" s="202">
        <v>26.172012073096738</v>
      </c>
      <c r="N130" s="87">
        <v>1912.2669148810853</v>
      </c>
      <c r="O130" s="123">
        <v>45980.870907681456</v>
      </c>
      <c r="P130" s="199">
        <v>55746.95783774522</v>
      </c>
      <c r="Q130" s="310">
        <v>19175.721761402103</v>
      </c>
      <c r="R130" s="319">
        <v>65156.592669083562</v>
      </c>
      <c r="S130" s="315">
        <v>74922.679599147319</v>
      </c>
      <c r="U130" s="7" t="s">
        <v>5590</v>
      </c>
    </row>
    <row r="131" spans="1:21" ht="16.5" thickBot="1">
      <c r="A131" s="1311" t="s">
        <v>4588</v>
      </c>
      <c r="B131" s="1312">
        <f t="shared" si="6"/>
        <v>200</v>
      </c>
      <c r="C131" s="1312" t="s">
        <v>3</v>
      </c>
      <c r="D131" s="1312">
        <f t="shared" si="7"/>
        <v>300</v>
      </c>
      <c r="E131" s="1312" t="s">
        <v>3</v>
      </c>
      <c r="F131" s="1313">
        <f t="shared" si="8"/>
        <v>1600</v>
      </c>
      <c r="G131" s="1312" t="s">
        <v>3</v>
      </c>
      <c r="H131" s="1312">
        <v>4</v>
      </c>
      <c r="I131" s="1314" t="s">
        <v>46</v>
      </c>
      <c r="J131" s="184">
        <v>200</v>
      </c>
      <c r="K131" s="75">
        <v>300</v>
      </c>
      <c r="L131" s="75">
        <v>1600</v>
      </c>
      <c r="M131" s="202">
        <v>26.937054138883383</v>
      </c>
      <c r="N131" s="87">
        <v>1991.9447030011306</v>
      </c>
      <c r="O131" s="123">
        <v>47128.87361015191</v>
      </c>
      <c r="P131" s="199">
        <v>57134.420168157412</v>
      </c>
      <c r="Q131" s="310">
        <v>19656.126929266091</v>
      </c>
      <c r="R131" s="319">
        <v>66785.000539418004</v>
      </c>
      <c r="S131" s="315">
        <v>76790.547097423507</v>
      </c>
      <c r="U131" s="7" t="s">
        <v>5591</v>
      </c>
    </row>
    <row r="132" spans="1:21" ht="16.5" thickBot="1">
      <c r="A132" s="1311" t="s">
        <v>4588</v>
      </c>
      <c r="B132" s="1315">
        <f t="shared" si="6"/>
        <v>200</v>
      </c>
      <c r="C132" s="1315" t="s">
        <v>3</v>
      </c>
      <c r="D132" s="1315">
        <f t="shared" si="7"/>
        <v>300</v>
      </c>
      <c r="E132" s="1315" t="s">
        <v>3</v>
      </c>
      <c r="F132" s="1313">
        <f t="shared" si="8"/>
        <v>1650</v>
      </c>
      <c r="G132" s="1315" t="s">
        <v>3</v>
      </c>
      <c r="H132" s="1312">
        <v>4</v>
      </c>
      <c r="I132" s="1314" t="s">
        <v>46</v>
      </c>
      <c r="J132" s="184">
        <v>200</v>
      </c>
      <c r="K132" s="75">
        <v>300</v>
      </c>
      <c r="L132" s="75">
        <v>1650</v>
      </c>
      <c r="M132" s="202">
        <v>27.702096204670028</v>
      </c>
      <c r="N132" s="87">
        <v>2071.6224911211762</v>
      </c>
      <c r="O132" s="123">
        <v>48276.876312622364</v>
      </c>
      <c r="P132" s="199">
        <v>58521.882498569612</v>
      </c>
      <c r="Q132" s="310">
        <v>20367.114015306717</v>
      </c>
      <c r="R132" s="319">
        <v>68643.990327929088</v>
      </c>
      <c r="S132" s="315">
        <v>78888.996513876336</v>
      </c>
      <c r="U132" s="7" t="s">
        <v>5592</v>
      </c>
    </row>
    <row r="133" spans="1:21" ht="16.5" thickBot="1">
      <c r="A133" s="1311" t="s">
        <v>4588</v>
      </c>
      <c r="B133" s="1315">
        <f t="shared" si="6"/>
        <v>200</v>
      </c>
      <c r="C133" s="1315" t="s">
        <v>3</v>
      </c>
      <c r="D133" s="1315">
        <f t="shared" si="7"/>
        <v>300</v>
      </c>
      <c r="E133" s="1315" t="s">
        <v>3</v>
      </c>
      <c r="F133" s="1313">
        <f t="shared" si="8"/>
        <v>1700</v>
      </c>
      <c r="G133" s="1315" t="s">
        <v>3</v>
      </c>
      <c r="H133" s="1312">
        <v>4</v>
      </c>
      <c r="I133" s="1314" t="s">
        <v>46</v>
      </c>
      <c r="J133" s="184">
        <v>200</v>
      </c>
      <c r="K133" s="75">
        <v>300</v>
      </c>
      <c r="L133" s="75">
        <v>1700</v>
      </c>
      <c r="M133" s="202">
        <v>28.467138270456676</v>
      </c>
      <c r="N133" s="87">
        <v>2151.3002792412212</v>
      </c>
      <c r="O133" s="123">
        <v>49424.878874699447</v>
      </c>
      <c r="P133" s="199">
        <v>59909.344828981812</v>
      </c>
      <c r="Q133" s="310">
        <v>20847.519183170705</v>
      </c>
      <c r="R133" s="319">
        <v>70272.398057870159</v>
      </c>
      <c r="S133" s="315">
        <v>80756.86401215251</v>
      </c>
      <c r="U133" s="7" t="s">
        <v>5593</v>
      </c>
    </row>
    <row r="134" spans="1:21" ht="16.5" thickBot="1">
      <c r="A134" s="1311" t="s">
        <v>4588</v>
      </c>
      <c r="B134" s="1315">
        <f t="shared" si="6"/>
        <v>200</v>
      </c>
      <c r="C134" s="1315" t="s">
        <v>3</v>
      </c>
      <c r="D134" s="1315">
        <f t="shared" si="7"/>
        <v>300</v>
      </c>
      <c r="E134" s="1315" t="s">
        <v>3</v>
      </c>
      <c r="F134" s="1313">
        <f t="shared" si="8"/>
        <v>1750</v>
      </c>
      <c r="G134" s="1315" t="s">
        <v>3</v>
      </c>
      <c r="H134" s="1312">
        <v>4</v>
      </c>
      <c r="I134" s="1314" t="s">
        <v>46</v>
      </c>
      <c r="J134" s="184">
        <v>200</v>
      </c>
      <c r="K134" s="75">
        <v>300</v>
      </c>
      <c r="L134" s="75">
        <v>1750</v>
      </c>
      <c r="M134" s="202">
        <v>29.232180336243321</v>
      </c>
      <c r="N134" s="87">
        <v>2230.9780673612663</v>
      </c>
      <c r="O134" s="123">
        <v>50572.881577169901</v>
      </c>
      <c r="P134" s="199">
        <v>61296.807159394011</v>
      </c>
      <c r="Q134" s="310">
        <v>21558.506269211328</v>
      </c>
      <c r="R134" s="319">
        <v>72131.387846381229</v>
      </c>
      <c r="S134" s="315">
        <v>82855.313428605339</v>
      </c>
      <c r="U134" s="7" t="s">
        <v>5594</v>
      </c>
    </row>
    <row r="135" spans="1:21" ht="16.5" thickBot="1">
      <c r="A135" s="1311" t="s">
        <v>4588</v>
      </c>
      <c r="B135" s="1315">
        <f t="shared" si="6"/>
        <v>200</v>
      </c>
      <c r="C135" s="1315" t="s">
        <v>3</v>
      </c>
      <c r="D135" s="1315">
        <f t="shared" si="7"/>
        <v>300</v>
      </c>
      <c r="E135" s="1315" t="s">
        <v>3</v>
      </c>
      <c r="F135" s="1313">
        <f t="shared" si="8"/>
        <v>1800</v>
      </c>
      <c r="G135" s="1315" t="s">
        <v>3</v>
      </c>
      <c r="H135" s="1312">
        <v>4</v>
      </c>
      <c r="I135" s="1314" t="s">
        <v>46</v>
      </c>
      <c r="J135" s="184">
        <v>200</v>
      </c>
      <c r="K135" s="75">
        <v>300</v>
      </c>
      <c r="L135" s="75">
        <v>1800</v>
      </c>
      <c r="M135" s="202">
        <v>29.997222402029966</v>
      </c>
      <c r="N135" s="87">
        <v>2310.6558554813114</v>
      </c>
      <c r="O135" s="123">
        <v>51720.884279640355</v>
      </c>
      <c r="P135" s="199">
        <v>62684.269489806218</v>
      </c>
      <c r="Q135" s="310">
        <v>22038.911437075316</v>
      </c>
      <c r="R135" s="319">
        <v>73759.795716715671</v>
      </c>
      <c r="S135" s="315">
        <v>84723.180926881527</v>
      </c>
      <c r="U135" s="7" t="s">
        <v>5595</v>
      </c>
    </row>
    <row r="136" spans="1:21" ht="16.5" thickBot="1">
      <c r="A136" s="1311" t="s">
        <v>4588</v>
      </c>
      <c r="B136" s="1315">
        <f t="shared" si="6"/>
        <v>200</v>
      </c>
      <c r="C136" s="1315" t="s">
        <v>3</v>
      </c>
      <c r="D136" s="1315">
        <f t="shared" si="7"/>
        <v>300</v>
      </c>
      <c r="E136" s="1315" t="s">
        <v>3</v>
      </c>
      <c r="F136" s="1313">
        <f t="shared" si="8"/>
        <v>1850</v>
      </c>
      <c r="G136" s="1315" t="s">
        <v>3</v>
      </c>
      <c r="H136" s="1312">
        <v>4</v>
      </c>
      <c r="I136" s="1314" t="s">
        <v>46</v>
      </c>
      <c r="J136" s="184">
        <v>200</v>
      </c>
      <c r="K136" s="75">
        <v>300</v>
      </c>
      <c r="L136" s="75">
        <v>1850</v>
      </c>
      <c r="M136" s="202">
        <v>30.762264467816607</v>
      </c>
      <c r="N136" s="87">
        <v>2390.3336436013569</v>
      </c>
      <c r="O136" s="123">
        <v>52868.886841717438</v>
      </c>
      <c r="P136" s="199">
        <v>64071.731820218411</v>
      </c>
      <c r="Q136" s="310">
        <v>22749.898382722578</v>
      </c>
      <c r="R136" s="319">
        <v>75618.785224440013</v>
      </c>
      <c r="S136" s="315">
        <v>86821.630202940985</v>
      </c>
      <c r="U136" s="7" t="s">
        <v>5596</v>
      </c>
    </row>
    <row r="137" spans="1:21" ht="16.5" thickBot="1">
      <c r="A137" s="1311" t="s">
        <v>4588</v>
      </c>
      <c r="B137" s="1315">
        <f t="shared" si="6"/>
        <v>200</v>
      </c>
      <c r="C137" s="1315" t="s">
        <v>3</v>
      </c>
      <c r="D137" s="1315">
        <f t="shared" si="7"/>
        <v>300</v>
      </c>
      <c r="E137" s="1315" t="s">
        <v>3</v>
      </c>
      <c r="F137" s="1313">
        <f t="shared" si="8"/>
        <v>1900</v>
      </c>
      <c r="G137" s="1315" t="s">
        <v>3</v>
      </c>
      <c r="H137" s="1312">
        <v>4</v>
      </c>
      <c r="I137" s="1314" t="s">
        <v>46</v>
      </c>
      <c r="J137" s="184">
        <v>200</v>
      </c>
      <c r="K137" s="75">
        <v>300</v>
      </c>
      <c r="L137" s="75">
        <v>1900</v>
      </c>
      <c r="M137" s="202">
        <v>31.527306533603255</v>
      </c>
      <c r="N137" s="87">
        <v>2470.011431721402</v>
      </c>
      <c r="O137" s="123">
        <v>54016.889544187892</v>
      </c>
      <c r="P137" s="199">
        <v>65459.19415063061</v>
      </c>
      <c r="Q137" s="310">
        <v>23230.30369097993</v>
      </c>
      <c r="R137" s="319">
        <v>77247.193235167826</v>
      </c>
      <c r="S137" s="315">
        <v>88689.497841610544</v>
      </c>
      <c r="U137" s="7" t="s">
        <v>5597</v>
      </c>
    </row>
    <row r="138" spans="1:21" ht="16.5" thickBot="1">
      <c r="A138" s="1311" t="s">
        <v>4588</v>
      </c>
      <c r="B138" s="1315">
        <f t="shared" si="6"/>
        <v>200</v>
      </c>
      <c r="C138" s="1315" t="s">
        <v>3</v>
      </c>
      <c r="D138" s="1315">
        <f t="shared" si="7"/>
        <v>300</v>
      </c>
      <c r="E138" s="1315" t="s">
        <v>3</v>
      </c>
      <c r="F138" s="1313">
        <f t="shared" si="8"/>
        <v>1950</v>
      </c>
      <c r="G138" s="1315" t="s">
        <v>3</v>
      </c>
      <c r="H138" s="1312">
        <v>4</v>
      </c>
      <c r="I138" s="1314" t="s">
        <v>46</v>
      </c>
      <c r="J138" s="184">
        <v>200</v>
      </c>
      <c r="K138" s="75">
        <v>300</v>
      </c>
      <c r="L138" s="75">
        <v>1950</v>
      </c>
      <c r="M138" s="202">
        <v>32.292348599389904</v>
      </c>
      <c r="N138" s="87">
        <v>2549.6892198414475</v>
      </c>
      <c r="O138" s="123">
        <v>55164.892246658332</v>
      </c>
      <c r="P138" s="199">
        <v>66846.65648104281</v>
      </c>
      <c r="Q138" s="310">
        <v>23710.708858843918</v>
      </c>
      <c r="R138" s="319">
        <v>78875.601105502254</v>
      </c>
      <c r="S138" s="315">
        <v>90557.365339886732</v>
      </c>
      <c r="U138" s="7" t="s">
        <v>5598</v>
      </c>
    </row>
    <row r="139" spans="1:21" ht="16.5" thickBot="1">
      <c r="A139" s="1311" t="s">
        <v>4588</v>
      </c>
      <c r="B139" s="1315">
        <f t="shared" si="6"/>
        <v>200</v>
      </c>
      <c r="C139" s="1315" t="s">
        <v>3</v>
      </c>
      <c r="D139" s="1315">
        <f t="shared" si="7"/>
        <v>300</v>
      </c>
      <c r="E139" s="1315" t="s">
        <v>3</v>
      </c>
      <c r="F139" s="1313">
        <f t="shared" si="8"/>
        <v>2000</v>
      </c>
      <c r="G139" s="1315" t="s">
        <v>3</v>
      </c>
      <c r="H139" s="1312">
        <v>4</v>
      </c>
      <c r="I139" s="1314" t="s">
        <v>46</v>
      </c>
      <c r="J139" s="184">
        <v>200</v>
      </c>
      <c r="K139" s="75">
        <v>300</v>
      </c>
      <c r="L139" s="75">
        <v>2000</v>
      </c>
      <c r="M139" s="202">
        <v>33.174444665176537</v>
      </c>
      <c r="N139" s="87">
        <v>2629.3670079614922</v>
      </c>
      <c r="O139" s="123">
        <v>56766.170363229772</v>
      </c>
      <c r="P139" s="199">
        <v>68390.853961349872</v>
      </c>
      <c r="Q139" s="310">
        <v>24421.695804491177</v>
      </c>
      <c r="R139" s="319">
        <v>81187.866167720946</v>
      </c>
      <c r="S139" s="315">
        <v>92812.549765841046</v>
      </c>
      <c r="U139" s="7" t="s">
        <v>5599</v>
      </c>
    </row>
    <row r="140" spans="1:21" ht="16.5" thickBot="1">
      <c r="A140" s="1311" t="s">
        <v>4588</v>
      </c>
      <c r="B140" s="1315">
        <f t="shared" si="6"/>
        <v>200</v>
      </c>
      <c r="C140" s="1315" t="s">
        <v>3</v>
      </c>
      <c r="D140" s="1315">
        <f t="shared" si="7"/>
        <v>300</v>
      </c>
      <c r="E140" s="1315" t="s">
        <v>3</v>
      </c>
      <c r="F140" s="1313">
        <f t="shared" si="8"/>
        <v>2050</v>
      </c>
      <c r="G140" s="1315" t="s">
        <v>3</v>
      </c>
      <c r="H140" s="1312">
        <v>4</v>
      </c>
      <c r="I140" s="1314" t="s">
        <v>46</v>
      </c>
      <c r="J140" s="184">
        <v>200</v>
      </c>
      <c r="K140" s="75">
        <v>300</v>
      </c>
      <c r="L140" s="75">
        <v>2050</v>
      </c>
      <c r="M140" s="202">
        <v>33.939486730963189</v>
      </c>
      <c r="N140" s="87">
        <v>2709.0447960815377</v>
      </c>
      <c r="O140" s="123">
        <v>57914.173065700365</v>
      </c>
      <c r="P140" s="199">
        <v>69778.316291762065</v>
      </c>
      <c r="Q140" s="310">
        <v>24902.101112748529</v>
      </c>
      <c r="R140" s="319">
        <v>82816.27417844889</v>
      </c>
      <c r="S140" s="315">
        <v>94680.41740451059</v>
      </c>
      <c r="U140" s="7" t="s">
        <v>5600</v>
      </c>
    </row>
    <row r="141" spans="1:21" ht="16.5" thickBot="1">
      <c r="A141" s="1311" t="s">
        <v>4588</v>
      </c>
      <c r="B141" s="1312">
        <f t="shared" si="6"/>
        <v>200</v>
      </c>
      <c r="C141" s="1312" t="s">
        <v>3</v>
      </c>
      <c r="D141" s="1312">
        <f t="shared" si="7"/>
        <v>300</v>
      </c>
      <c r="E141" s="1312" t="s">
        <v>3</v>
      </c>
      <c r="F141" s="1313">
        <f t="shared" si="8"/>
        <v>2100</v>
      </c>
      <c r="G141" s="1312" t="s">
        <v>3</v>
      </c>
      <c r="H141" s="1312">
        <v>4</v>
      </c>
      <c r="I141" s="1314" t="s">
        <v>46</v>
      </c>
      <c r="J141" s="184">
        <v>200</v>
      </c>
      <c r="K141" s="75">
        <v>300</v>
      </c>
      <c r="L141" s="75">
        <v>2100</v>
      </c>
      <c r="M141" s="202">
        <v>34.704528796749827</v>
      </c>
      <c r="N141" s="87">
        <v>2788.7225842015828</v>
      </c>
      <c r="O141" s="123">
        <v>59062.175768170811</v>
      </c>
      <c r="P141" s="199">
        <v>71165.778622174272</v>
      </c>
      <c r="Q141" s="310">
        <v>25613.088058395791</v>
      </c>
      <c r="R141" s="319">
        <v>84675.263826566603</v>
      </c>
      <c r="S141" s="315">
        <v>96778.866680570063</v>
      </c>
      <c r="U141" s="7" t="s">
        <v>5601</v>
      </c>
    </row>
    <row r="142" spans="1:21" ht="16.5" thickBot="1">
      <c r="A142" s="1311" t="s">
        <v>4588</v>
      </c>
      <c r="B142" s="1315">
        <f t="shared" si="6"/>
        <v>200</v>
      </c>
      <c r="C142" s="1315" t="s">
        <v>3</v>
      </c>
      <c r="D142" s="1315">
        <f t="shared" si="7"/>
        <v>300</v>
      </c>
      <c r="E142" s="1315" t="s">
        <v>3</v>
      </c>
      <c r="F142" s="1313">
        <f t="shared" si="8"/>
        <v>2150</v>
      </c>
      <c r="G142" s="1315" t="s">
        <v>3</v>
      </c>
      <c r="H142" s="1312">
        <v>4</v>
      </c>
      <c r="I142" s="1314" t="s">
        <v>46</v>
      </c>
      <c r="J142" s="184">
        <v>200</v>
      </c>
      <c r="K142" s="75">
        <v>300</v>
      </c>
      <c r="L142" s="75">
        <v>2150</v>
      </c>
      <c r="M142" s="202">
        <v>35.469570862536472</v>
      </c>
      <c r="N142" s="87">
        <v>2868.4003723216283</v>
      </c>
      <c r="O142" s="123">
        <v>60210.178470641258</v>
      </c>
      <c r="P142" s="199">
        <v>72553.240952586479</v>
      </c>
      <c r="Q142" s="310">
        <v>26093.493366653143</v>
      </c>
      <c r="R142" s="319">
        <v>86303.671837294401</v>
      </c>
      <c r="S142" s="315">
        <v>98646.734319239622</v>
      </c>
      <c r="U142" s="7" t="s">
        <v>5602</v>
      </c>
    </row>
    <row r="143" spans="1:21" ht="16.5" thickBot="1">
      <c r="A143" s="1311" t="s">
        <v>4588</v>
      </c>
      <c r="B143" s="1315">
        <f t="shared" si="6"/>
        <v>200</v>
      </c>
      <c r="C143" s="1315" t="s">
        <v>3</v>
      </c>
      <c r="D143" s="1315">
        <f t="shared" si="7"/>
        <v>300</v>
      </c>
      <c r="E143" s="1315" t="s">
        <v>3</v>
      </c>
      <c r="F143" s="1313">
        <f t="shared" si="8"/>
        <v>2200</v>
      </c>
      <c r="G143" s="1315" t="s">
        <v>3</v>
      </c>
      <c r="H143" s="1312">
        <v>4</v>
      </c>
      <c r="I143" s="1314" t="s">
        <v>46</v>
      </c>
      <c r="J143" s="184">
        <v>200</v>
      </c>
      <c r="K143" s="75">
        <v>300</v>
      </c>
      <c r="L143" s="75">
        <v>2200</v>
      </c>
      <c r="M143" s="202">
        <v>36.234612928323124</v>
      </c>
      <c r="N143" s="87">
        <v>2948.0781604416734</v>
      </c>
      <c r="O143" s="123">
        <v>61358.181032718356</v>
      </c>
      <c r="P143" s="199">
        <v>73940.703282998817</v>
      </c>
      <c r="Q143" s="310">
        <v>26804.480312300402</v>
      </c>
      <c r="R143" s="319">
        <v>88162.661345018758</v>
      </c>
      <c r="S143" s="315">
        <v>100745.18359529923</v>
      </c>
      <c r="U143" s="7" t="s">
        <v>5603</v>
      </c>
    </row>
    <row r="144" spans="1:21" ht="16.5" thickBot="1">
      <c r="A144" s="1311" t="s">
        <v>4588</v>
      </c>
      <c r="B144" s="1315">
        <f t="shared" si="6"/>
        <v>200</v>
      </c>
      <c r="C144" s="1315" t="s">
        <v>3</v>
      </c>
      <c r="D144" s="1315">
        <f t="shared" si="7"/>
        <v>300</v>
      </c>
      <c r="E144" s="1315" t="s">
        <v>3</v>
      </c>
      <c r="F144" s="1313">
        <f t="shared" si="8"/>
        <v>2250</v>
      </c>
      <c r="G144" s="1315" t="s">
        <v>3</v>
      </c>
      <c r="H144" s="1312">
        <v>4</v>
      </c>
      <c r="I144" s="1314" t="s">
        <v>46</v>
      </c>
      <c r="J144" s="184">
        <v>200</v>
      </c>
      <c r="K144" s="75">
        <v>300</v>
      </c>
      <c r="L144" s="75">
        <v>2250</v>
      </c>
      <c r="M144" s="202">
        <v>36.999654994109761</v>
      </c>
      <c r="N144" s="87">
        <v>3027.7559485617185</v>
      </c>
      <c r="O144" s="123">
        <v>62506.183735188795</v>
      </c>
      <c r="P144" s="199">
        <v>75328.165613410878</v>
      </c>
      <c r="Q144" s="310">
        <v>27284.885480164394</v>
      </c>
      <c r="R144" s="319">
        <v>89791.069215353185</v>
      </c>
      <c r="S144" s="315">
        <v>102613.05109357527</v>
      </c>
      <c r="U144" s="7" t="s">
        <v>5604</v>
      </c>
    </row>
    <row r="145" spans="1:21" ht="16.5" thickBot="1">
      <c r="A145" s="1311" t="s">
        <v>4588</v>
      </c>
      <c r="B145" s="1315">
        <f t="shared" si="6"/>
        <v>200</v>
      </c>
      <c r="C145" s="1315" t="s">
        <v>3</v>
      </c>
      <c r="D145" s="1315">
        <f t="shared" si="7"/>
        <v>300</v>
      </c>
      <c r="E145" s="1315" t="s">
        <v>3</v>
      </c>
      <c r="F145" s="1313">
        <f t="shared" si="8"/>
        <v>2300</v>
      </c>
      <c r="G145" s="1315" t="s">
        <v>3</v>
      </c>
      <c r="H145" s="1312">
        <v>4</v>
      </c>
      <c r="I145" s="1314" t="s">
        <v>46</v>
      </c>
      <c r="J145" s="184">
        <v>200</v>
      </c>
      <c r="K145" s="75">
        <v>300</v>
      </c>
      <c r="L145" s="75">
        <v>2300</v>
      </c>
      <c r="M145" s="202">
        <v>37.764697059896413</v>
      </c>
      <c r="N145" s="87">
        <v>3107.433736681764</v>
      </c>
      <c r="O145" s="123">
        <v>63654.186437659249</v>
      </c>
      <c r="P145" s="199">
        <v>76715.62794382307</v>
      </c>
      <c r="Q145" s="310">
        <v>27765.290788421746</v>
      </c>
      <c r="R145" s="319">
        <v>91419.477226080999</v>
      </c>
      <c r="S145" s="315">
        <v>104480.91873224481</v>
      </c>
      <c r="U145" s="7" t="s">
        <v>5605</v>
      </c>
    </row>
    <row r="146" spans="1:21" ht="16.5" thickBot="1">
      <c r="A146" s="1311" t="s">
        <v>4588</v>
      </c>
      <c r="B146" s="1315">
        <f t="shared" si="6"/>
        <v>200</v>
      </c>
      <c r="C146" s="1315" t="s">
        <v>3</v>
      </c>
      <c r="D146" s="1315">
        <f t="shared" si="7"/>
        <v>300</v>
      </c>
      <c r="E146" s="1315" t="s">
        <v>3</v>
      </c>
      <c r="F146" s="1313">
        <f t="shared" si="8"/>
        <v>2350</v>
      </c>
      <c r="G146" s="1315" t="s">
        <v>3</v>
      </c>
      <c r="H146" s="1312">
        <v>4</v>
      </c>
      <c r="I146" s="1314" t="s">
        <v>46</v>
      </c>
      <c r="J146" s="184">
        <v>200</v>
      </c>
      <c r="K146" s="75">
        <v>300</v>
      </c>
      <c r="L146" s="75">
        <v>2350</v>
      </c>
      <c r="M146" s="202">
        <v>38.529739125683058</v>
      </c>
      <c r="N146" s="87">
        <v>3187.1115248018091</v>
      </c>
      <c r="O146" s="123">
        <v>64802.188999736332</v>
      </c>
      <c r="P146" s="199">
        <v>78103.090274235263</v>
      </c>
      <c r="Q146" s="310">
        <v>28476.277734069005</v>
      </c>
      <c r="R146" s="319">
        <v>93278.46673380534</v>
      </c>
      <c r="S146" s="315">
        <v>106579.36800830427</v>
      </c>
      <c r="U146" s="7" t="s">
        <v>5606</v>
      </c>
    </row>
    <row r="147" spans="1:21" ht="16.5" thickBot="1">
      <c r="A147" s="1311" t="s">
        <v>4588</v>
      </c>
      <c r="B147" s="1315">
        <f t="shared" si="6"/>
        <v>200</v>
      </c>
      <c r="C147" s="1315" t="s">
        <v>3</v>
      </c>
      <c r="D147" s="1315">
        <f t="shared" si="7"/>
        <v>300</v>
      </c>
      <c r="E147" s="1315" t="s">
        <v>3</v>
      </c>
      <c r="F147" s="1313">
        <f t="shared" si="8"/>
        <v>2400</v>
      </c>
      <c r="G147" s="1315" t="s">
        <v>3</v>
      </c>
      <c r="H147" s="1312">
        <v>4</v>
      </c>
      <c r="I147" s="1314" t="s">
        <v>46</v>
      </c>
      <c r="J147" s="184">
        <v>200</v>
      </c>
      <c r="K147" s="75">
        <v>300</v>
      </c>
      <c r="L147" s="75">
        <v>2400</v>
      </c>
      <c r="M147" s="202">
        <v>39.294781191469696</v>
      </c>
      <c r="N147" s="87">
        <v>3266.7893129218542</v>
      </c>
      <c r="O147" s="123">
        <v>65950.191702206794</v>
      </c>
      <c r="P147" s="199">
        <v>79490.552604647484</v>
      </c>
      <c r="Q147" s="310">
        <v>28956.682901932996</v>
      </c>
      <c r="R147" s="319">
        <v>94906.874604139797</v>
      </c>
      <c r="S147" s="315">
        <v>108447.23550658047</v>
      </c>
      <c r="U147" s="7" t="s">
        <v>5607</v>
      </c>
    </row>
    <row r="148" spans="1:21" ht="16.5" thickBot="1">
      <c r="A148" s="1311" t="s">
        <v>4588</v>
      </c>
      <c r="B148" s="1315">
        <f t="shared" si="6"/>
        <v>200</v>
      </c>
      <c r="C148" s="1315" t="s">
        <v>3</v>
      </c>
      <c r="D148" s="1315">
        <f t="shared" si="7"/>
        <v>300</v>
      </c>
      <c r="E148" s="1315" t="s">
        <v>3</v>
      </c>
      <c r="F148" s="1313">
        <f t="shared" si="8"/>
        <v>2450</v>
      </c>
      <c r="G148" s="1315" t="s">
        <v>3</v>
      </c>
      <c r="H148" s="1312">
        <v>4</v>
      </c>
      <c r="I148" s="1314" t="s">
        <v>46</v>
      </c>
      <c r="J148" s="184">
        <v>200</v>
      </c>
      <c r="K148" s="75">
        <v>300</v>
      </c>
      <c r="L148" s="75">
        <v>2450</v>
      </c>
      <c r="M148" s="202">
        <v>40.059823257256355</v>
      </c>
      <c r="N148" s="87">
        <v>3346.4671010418997</v>
      </c>
      <c r="O148" s="123">
        <v>67098.194404677241</v>
      </c>
      <c r="P148" s="199">
        <v>80878.014935059677</v>
      </c>
      <c r="Q148" s="310">
        <v>29667.669987973619</v>
      </c>
      <c r="R148" s="319">
        <v>96765.864392650867</v>
      </c>
      <c r="S148" s="315">
        <v>110545.68492303329</v>
      </c>
      <c r="U148" s="7" t="s">
        <v>5608</v>
      </c>
    </row>
    <row r="149" spans="1:21" ht="16.5" thickBot="1">
      <c r="A149" s="1311" t="s">
        <v>4588</v>
      </c>
      <c r="B149" s="1315">
        <f t="shared" si="6"/>
        <v>200</v>
      </c>
      <c r="C149" s="1315" t="s">
        <v>3</v>
      </c>
      <c r="D149" s="1315">
        <f t="shared" si="7"/>
        <v>300</v>
      </c>
      <c r="E149" s="1315" t="s">
        <v>3</v>
      </c>
      <c r="F149" s="1313">
        <f t="shared" si="8"/>
        <v>2500</v>
      </c>
      <c r="G149" s="1315" t="s">
        <v>3</v>
      </c>
      <c r="H149" s="1312">
        <v>4</v>
      </c>
      <c r="I149" s="1314" t="s">
        <v>46</v>
      </c>
      <c r="J149" s="184">
        <v>200</v>
      </c>
      <c r="K149" s="75">
        <v>300</v>
      </c>
      <c r="L149" s="75">
        <v>2500</v>
      </c>
      <c r="M149" s="202">
        <v>41.37875612304299</v>
      </c>
      <c r="N149" s="87">
        <v>3426.1448891619448</v>
      </c>
      <c r="O149" s="123">
        <v>69214.88687995261</v>
      </c>
      <c r="P149" s="199">
        <v>83614.894287630275</v>
      </c>
      <c r="Q149" s="310">
        <v>30148.075155837607</v>
      </c>
      <c r="R149" s="319">
        <v>99362.962035790217</v>
      </c>
      <c r="S149" s="315">
        <v>113762.96944346788</v>
      </c>
      <c r="U149" s="7" t="s">
        <v>5609</v>
      </c>
    </row>
    <row r="150" spans="1:21" ht="16.5" thickBot="1">
      <c r="A150" s="1311" t="s">
        <v>4588</v>
      </c>
      <c r="B150" s="1315">
        <f t="shared" si="6"/>
        <v>200</v>
      </c>
      <c r="C150" s="1315" t="s">
        <v>3</v>
      </c>
      <c r="D150" s="1315">
        <f t="shared" si="7"/>
        <v>300</v>
      </c>
      <c r="E150" s="1315" t="s">
        <v>3</v>
      </c>
      <c r="F150" s="1313">
        <f t="shared" si="8"/>
        <v>2550</v>
      </c>
      <c r="G150" s="1315" t="s">
        <v>3</v>
      </c>
      <c r="H150" s="1312">
        <v>4</v>
      </c>
      <c r="I150" s="1314" t="s">
        <v>46</v>
      </c>
      <c r="J150" s="184">
        <v>200</v>
      </c>
      <c r="K150" s="75">
        <v>300</v>
      </c>
      <c r="L150" s="75">
        <v>2550</v>
      </c>
      <c r="M150" s="202">
        <v>42.143798188829635</v>
      </c>
      <c r="N150" s="87">
        <v>3505.8226772819903</v>
      </c>
      <c r="O150" s="123">
        <v>70724.010793379188</v>
      </c>
      <c r="P150" s="199">
        <v>85016.395954292471</v>
      </c>
      <c r="Q150" s="310">
        <v>30859.06224187823</v>
      </c>
      <c r="R150" s="319">
        <v>101583.07303525742</v>
      </c>
      <c r="S150" s="315">
        <v>115875.4581961707</v>
      </c>
      <c r="U150" s="7" t="s">
        <v>5610</v>
      </c>
    </row>
    <row r="151" spans="1:21" ht="16.5" thickBot="1">
      <c r="A151" s="1311" t="s">
        <v>4588</v>
      </c>
      <c r="B151" s="1312">
        <f t="shared" si="6"/>
        <v>200</v>
      </c>
      <c r="C151" s="1312" t="s">
        <v>3</v>
      </c>
      <c r="D151" s="1312">
        <f t="shared" si="7"/>
        <v>300</v>
      </c>
      <c r="E151" s="1312" t="s">
        <v>3</v>
      </c>
      <c r="F151" s="1313">
        <f t="shared" si="8"/>
        <v>2600</v>
      </c>
      <c r="G151" s="1312" t="s">
        <v>3</v>
      </c>
      <c r="H151" s="1312">
        <v>4</v>
      </c>
      <c r="I151" s="1314" t="s">
        <v>46</v>
      </c>
      <c r="J151" s="184">
        <v>200</v>
      </c>
      <c r="K151" s="75">
        <v>300</v>
      </c>
      <c r="L151" s="75">
        <v>2600</v>
      </c>
      <c r="M151" s="202">
        <v>42.908840254616287</v>
      </c>
      <c r="N151" s="87">
        <v>3585.5004654020354</v>
      </c>
      <c r="O151" s="123">
        <v>71872.013495849649</v>
      </c>
      <c r="P151" s="199">
        <v>86403.858284704678</v>
      </c>
      <c r="Q151" s="310">
        <v>31339.467409742221</v>
      </c>
      <c r="R151" s="319">
        <v>103211.48090559187</v>
      </c>
      <c r="S151" s="315">
        <v>117743.3256944469</v>
      </c>
      <c r="U151" s="7" t="s">
        <v>5611</v>
      </c>
    </row>
    <row r="152" spans="1:21" ht="16.5" thickBot="1">
      <c r="A152" s="1311" t="s">
        <v>4588</v>
      </c>
      <c r="B152" s="1315">
        <f t="shared" si="6"/>
        <v>200</v>
      </c>
      <c r="C152" s="1315" t="s">
        <v>3</v>
      </c>
      <c r="D152" s="1315">
        <f t="shared" si="7"/>
        <v>300</v>
      </c>
      <c r="E152" s="1315" t="s">
        <v>3</v>
      </c>
      <c r="F152" s="1313">
        <f t="shared" si="8"/>
        <v>2650</v>
      </c>
      <c r="G152" s="1315" t="s">
        <v>3</v>
      </c>
      <c r="H152" s="1312">
        <v>4</v>
      </c>
      <c r="I152" s="1314" t="s">
        <v>46</v>
      </c>
      <c r="J152" s="184">
        <v>200</v>
      </c>
      <c r="K152" s="75">
        <v>300</v>
      </c>
      <c r="L152" s="75">
        <v>2650</v>
      </c>
      <c r="M152" s="202">
        <v>43.673882320402925</v>
      </c>
      <c r="N152" s="87">
        <v>3665.17825352208</v>
      </c>
      <c r="O152" s="123">
        <v>73020.016198320081</v>
      </c>
      <c r="P152" s="199">
        <v>87791.320615116871</v>
      </c>
      <c r="Q152" s="310">
        <v>32050.45435538948</v>
      </c>
      <c r="R152" s="319">
        <v>105070.47055370956</v>
      </c>
      <c r="S152" s="315">
        <v>119841.77497050635</v>
      </c>
      <c r="U152" s="7" t="s">
        <v>5612</v>
      </c>
    </row>
    <row r="153" spans="1:21" ht="16.5" thickBot="1">
      <c r="A153" s="1311" t="s">
        <v>4588</v>
      </c>
      <c r="B153" s="1315">
        <f t="shared" si="6"/>
        <v>200</v>
      </c>
      <c r="C153" s="1315" t="s">
        <v>3</v>
      </c>
      <c r="D153" s="1315">
        <f t="shared" si="7"/>
        <v>300</v>
      </c>
      <c r="E153" s="1315" t="s">
        <v>3</v>
      </c>
      <c r="F153" s="1313">
        <f t="shared" si="8"/>
        <v>2700</v>
      </c>
      <c r="G153" s="1315" t="s">
        <v>3</v>
      </c>
      <c r="H153" s="1312">
        <v>4</v>
      </c>
      <c r="I153" s="1314" t="s">
        <v>46</v>
      </c>
      <c r="J153" s="184">
        <v>200</v>
      </c>
      <c r="K153" s="75">
        <v>300</v>
      </c>
      <c r="L153" s="75">
        <v>2700</v>
      </c>
      <c r="M153" s="202">
        <v>44.438924386189584</v>
      </c>
      <c r="N153" s="87">
        <v>3744.856041642126</v>
      </c>
      <c r="O153" s="123">
        <v>74168.018760397186</v>
      </c>
      <c r="P153" s="199">
        <v>89178.782945529078</v>
      </c>
      <c r="Q153" s="310">
        <v>32530.859663646832</v>
      </c>
      <c r="R153" s="319">
        <v>106698.87842404401</v>
      </c>
      <c r="S153" s="315">
        <v>121709.64260917591</v>
      </c>
      <c r="U153" s="7" t="s">
        <v>5613</v>
      </c>
    </row>
    <row r="154" spans="1:21" ht="16.5" thickBot="1">
      <c r="A154" s="1311" t="s">
        <v>4588</v>
      </c>
      <c r="B154" s="1315">
        <f t="shared" si="6"/>
        <v>200</v>
      </c>
      <c r="C154" s="1315" t="s">
        <v>3</v>
      </c>
      <c r="D154" s="1315">
        <f t="shared" si="7"/>
        <v>300</v>
      </c>
      <c r="E154" s="1315" t="s">
        <v>3</v>
      </c>
      <c r="F154" s="1313">
        <f t="shared" si="8"/>
        <v>2750</v>
      </c>
      <c r="G154" s="1315" t="s">
        <v>3</v>
      </c>
      <c r="H154" s="1312">
        <v>4</v>
      </c>
      <c r="I154" s="1314" t="s">
        <v>46</v>
      </c>
      <c r="J154" s="184">
        <v>200</v>
      </c>
      <c r="K154" s="75">
        <v>300</v>
      </c>
      <c r="L154" s="75">
        <v>2750</v>
      </c>
      <c r="M154" s="202">
        <v>45.203966451976214</v>
      </c>
      <c r="N154" s="87">
        <v>3824.5338297621706</v>
      </c>
      <c r="O154" s="123">
        <v>75316.021462867619</v>
      </c>
      <c r="P154" s="199">
        <v>90566.24527594127</v>
      </c>
      <c r="Q154" s="310">
        <v>33011.264831510824</v>
      </c>
      <c r="R154" s="319">
        <v>108327.28629437844</v>
      </c>
      <c r="S154" s="315">
        <v>123577.51010745209</v>
      </c>
      <c r="U154" s="7" t="s">
        <v>5614</v>
      </c>
    </row>
    <row r="155" spans="1:21" ht="16.5" thickBot="1">
      <c r="A155" s="1311" t="s">
        <v>4588</v>
      </c>
      <c r="B155" s="1315">
        <f t="shared" si="6"/>
        <v>200</v>
      </c>
      <c r="C155" s="1315" t="s">
        <v>3</v>
      </c>
      <c r="D155" s="1315">
        <f t="shared" si="7"/>
        <v>300</v>
      </c>
      <c r="E155" s="1315" t="s">
        <v>3</v>
      </c>
      <c r="F155" s="1313">
        <f t="shared" si="8"/>
        <v>2800</v>
      </c>
      <c r="G155" s="1315" t="s">
        <v>3</v>
      </c>
      <c r="H155" s="1312">
        <v>4</v>
      </c>
      <c r="I155" s="1314" t="s">
        <v>46</v>
      </c>
      <c r="J155" s="184">
        <v>200</v>
      </c>
      <c r="K155" s="75">
        <v>300</v>
      </c>
      <c r="L155" s="75">
        <v>2800</v>
      </c>
      <c r="M155" s="202">
        <v>45.969008517762873</v>
      </c>
      <c r="N155" s="87">
        <v>3904.2116178822166</v>
      </c>
      <c r="O155" s="123">
        <v>76464.02416533808</v>
      </c>
      <c r="P155" s="199">
        <v>91953.707606353477</v>
      </c>
      <c r="Q155" s="310">
        <v>33722.251777158082</v>
      </c>
      <c r="R155" s="319">
        <v>110186.27594249617</v>
      </c>
      <c r="S155" s="315">
        <v>125675.95938351157</v>
      </c>
      <c r="U155" s="7" t="s">
        <v>5615</v>
      </c>
    </row>
    <row r="156" spans="1:21" ht="16.5" thickBot="1">
      <c r="A156" s="1311" t="s">
        <v>4588</v>
      </c>
      <c r="B156" s="1315">
        <f t="shared" si="6"/>
        <v>200</v>
      </c>
      <c r="C156" s="1315" t="s">
        <v>3</v>
      </c>
      <c r="D156" s="1315">
        <f t="shared" si="7"/>
        <v>300</v>
      </c>
      <c r="E156" s="1315" t="s">
        <v>3</v>
      </c>
      <c r="F156" s="1313">
        <f t="shared" si="8"/>
        <v>2850</v>
      </c>
      <c r="G156" s="1315" t="s">
        <v>3</v>
      </c>
      <c r="H156" s="1312">
        <v>4</v>
      </c>
      <c r="I156" s="1314" t="s">
        <v>46</v>
      </c>
      <c r="J156" s="184">
        <v>200</v>
      </c>
      <c r="K156" s="75">
        <v>300</v>
      </c>
      <c r="L156" s="75">
        <v>2850</v>
      </c>
      <c r="M156" s="202">
        <v>46.734050583549504</v>
      </c>
      <c r="N156" s="87">
        <v>3983.8894060022612</v>
      </c>
      <c r="O156" s="123">
        <v>77612.026727415156</v>
      </c>
      <c r="P156" s="199">
        <v>93341.169936765669</v>
      </c>
      <c r="Q156" s="310">
        <v>34202.657085415434</v>
      </c>
      <c r="R156" s="319">
        <v>111814.6838128306</v>
      </c>
      <c r="S156" s="315">
        <v>127543.8270221811</v>
      </c>
      <c r="U156" s="7" t="s">
        <v>5616</v>
      </c>
    </row>
    <row r="157" spans="1:21" ht="16.5" thickBot="1">
      <c r="A157" s="1311" t="s">
        <v>4588</v>
      </c>
      <c r="B157" s="1315">
        <f t="shared" si="6"/>
        <v>200</v>
      </c>
      <c r="C157" s="1315" t="s">
        <v>3</v>
      </c>
      <c r="D157" s="1315">
        <f t="shared" si="7"/>
        <v>300</v>
      </c>
      <c r="E157" s="1315" t="s">
        <v>3</v>
      </c>
      <c r="F157" s="1313">
        <f t="shared" si="8"/>
        <v>2900</v>
      </c>
      <c r="G157" s="1315" t="s">
        <v>3</v>
      </c>
      <c r="H157" s="1312">
        <v>4</v>
      </c>
      <c r="I157" s="1314" t="s">
        <v>46</v>
      </c>
      <c r="J157" s="184">
        <v>200</v>
      </c>
      <c r="K157" s="75">
        <v>300</v>
      </c>
      <c r="L157" s="75">
        <v>2900</v>
      </c>
      <c r="M157" s="202">
        <v>47.499092649336148</v>
      </c>
      <c r="N157" s="87">
        <v>4063.5671941223063</v>
      </c>
      <c r="O157" s="123">
        <v>78760.029429885471</v>
      </c>
      <c r="P157" s="199">
        <v>94728.632267177876</v>
      </c>
      <c r="Q157" s="310">
        <v>34913.644031062693</v>
      </c>
      <c r="R157" s="319">
        <v>113673.67346094816</v>
      </c>
      <c r="S157" s="315">
        <v>129642.27629824057</v>
      </c>
      <c r="U157" s="7" t="s">
        <v>5617</v>
      </c>
    </row>
    <row r="158" spans="1:21" ht="16.5" thickBot="1">
      <c r="A158" s="1311" t="s">
        <v>4588</v>
      </c>
      <c r="B158" s="1315">
        <f t="shared" si="6"/>
        <v>200</v>
      </c>
      <c r="C158" s="1315" t="s">
        <v>3</v>
      </c>
      <c r="D158" s="1315">
        <f t="shared" si="7"/>
        <v>300</v>
      </c>
      <c r="E158" s="1315" t="s">
        <v>3</v>
      </c>
      <c r="F158" s="1313">
        <f t="shared" si="8"/>
        <v>2950</v>
      </c>
      <c r="G158" s="1315" t="s">
        <v>3</v>
      </c>
      <c r="H158" s="1312">
        <v>4</v>
      </c>
      <c r="I158" s="1314" t="s">
        <v>46</v>
      </c>
      <c r="J158" s="184">
        <v>200</v>
      </c>
      <c r="K158" s="75">
        <v>300</v>
      </c>
      <c r="L158" s="75">
        <v>2950</v>
      </c>
      <c r="M158" s="202">
        <v>48.264134715122808</v>
      </c>
      <c r="N158" s="87">
        <v>4143.2449822423523</v>
      </c>
      <c r="O158" s="123">
        <v>79908.032132356064</v>
      </c>
      <c r="P158" s="199">
        <v>96116.094597590069</v>
      </c>
      <c r="Q158" s="310">
        <v>35394.049339320045</v>
      </c>
      <c r="R158" s="319">
        <v>115302.08147167611</v>
      </c>
      <c r="S158" s="315">
        <v>131510.14393691011</v>
      </c>
      <c r="U158" s="7" t="s">
        <v>5618</v>
      </c>
    </row>
    <row r="159" spans="1:21" ht="16.5" thickBot="1">
      <c r="A159" s="1311" t="s">
        <v>4588</v>
      </c>
      <c r="B159" s="1317">
        <f t="shared" si="6"/>
        <v>200</v>
      </c>
      <c r="C159" s="1317" t="s">
        <v>3</v>
      </c>
      <c r="D159" s="1317">
        <f t="shared" si="7"/>
        <v>300</v>
      </c>
      <c r="E159" s="1317" t="s">
        <v>3</v>
      </c>
      <c r="F159" s="1318">
        <f t="shared" si="8"/>
        <v>3000</v>
      </c>
      <c r="G159" s="1317" t="s">
        <v>3</v>
      </c>
      <c r="H159" s="1319">
        <v>4</v>
      </c>
      <c r="I159" s="1320" t="s">
        <v>46</v>
      </c>
      <c r="J159" s="321">
        <v>200</v>
      </c>
      <c r="K159" s="322">
        <v>300</v>
      </c>
      <c r="L159" s="322">
        <v>3000</v>
      </c>
      <c r="M159" s="305">
        <v>49.263284780909444</v>
      </c>
      <c r="N159" s="306">
        <v>4222.9227703623965</v>
      </c>
      <c r="O159" s="307">
        <v>81298.297480763154</v>
      </c>
      <c r="P159" s="339">
        <v>97745.819714332276</v>
      </c>
      <c r="Q159" s="323">
        <v>36105.036284967304</v>
      </c>
      <c r="R159" s="324">
        <v>117403.33376573047</v>
      </c>
      <c r="S159" s="325">
        <v>133850.85599929959</v>
      </c>
      <c r="U159" s="7" t="s">
        <v>5619</v>
      </c>
    </row>
    <row r="160" spans="1:21" ht="19.5" thickBot="1">
      <c r="A160" s="2580" t="s">
        <v>49</v>
      </c>
      <c r="B160" s="2581"/>
      <c r="C160" s="2581"/>
      <c r="D160" s="2581"/>
      <c r="E160" s="2581"/>
      <c r="F160" s="2581"/>
      <c r="G160" s="2581"/>
      <c r="H160" s="2581"/>
      <c r="I160" s="2581"/>
      <c r="J160" s="2581"/>
      <c r="K160" s="2581"/>
      <c r="L160" s="2581"/>
      <c r="M160" s="2581"/>
      <c r="N160" s="2581"/>
      <c r="O160" s="2581"/>
      <c r="P160" s="2581"/>
      <c r="Q160" s="2581"/>
      <c r="R160" s="2581"/>
      <c r="S160" s="2582"/>
      <c r="U160" s="7"/>
    </row>
    <row r="161" spans="1:21" ht="16.5" customHeight="1" thickBot="1">
      <c r="A161" s="2662" t="s">
        <v>4589</v>
      </c>
      <c r="B161" s="2663"/>
      <c r="C161" s="2663"/>
      <c r="D161" s="2663"/>
      <c r="E161" s="2663"/>
      <c r="F161" s="2663"/>
      <c r="G161" s="2663"/>
      <c r="H161" s="2663"/>
      <c r="I161" s="2663"/>
      <c r="J161" s="2663"/>
      <c r="K161" s="2663"/>
      <c r="L161" s="2663"/>
      <c r="M161" s="2663"/>
      <c r="N161" s="2663"/>
      <c r="O161" s="2663"/>
      <c r="P161" s="2663"/>
      <c r="Q161" s="2663"/>
      <c r="R161" s="2663"/>
      <c r="S161" s="2664"/>
      <c r="U161" s="7"/>
    </row>
    <row r="162" spans="1:21" ht="16.5" thickBot="1">
      <c r="A162" s="1311" t="s">
        <v>4588</v>
      </c>
      <c r="B162" s="1312">
        <f>J162</f>
        <v>200</v>
      </c>
      <c r="C162" s="1312" t="s">
        <v>3</v>
      </c>
      <c r="D162" s="1312">
        <f>K162</f>
        <v>360</v>
      </c>
      <c r="E162" s="1312" t="s">
        <v>3</v>
      </c>
      <c r="F162" s="1313">
        <f>L162</f>
        <v>600</v>
      </c>
      <c r="G162" s="1312" t="s">
        <v>3</v>
      </c>
      <c r="H162" s="1312">
        <v>4</v>
      </c>
      <c r="I162" s="1314" t="s">
        <v>45</v>
      </c>
      <c r="J162" s="326">
        <v>200</v>
      </c>
      <c r="K162" s="327">
        <v>360</v>
      </c>
      <c r="L162" s="327">
        <v>600</v>
      </c>
      <c r="M162" s="340">
        <v>13.306952298939962</v>
      </c>
      <c r="N162" s="302">
        <v>426.27616644224202</v>
      </c>
      <c r="O162" s="303">
        <v>23811.747715541365</v>
      </c>
      <c r="P162" s="331">
        <v>29695.593525808057</v>
      </c>
      <c r="Q162" s="328">
        <v>9204.3678470371888</v>
      </c>
      <c r="R162" s="329">
        <v>33016.115562578554</v>
      </c>
      <c r="S162" s="330">
        <v>38899.961372845246</v>
      </c>
      <c r="U162" s="7" t="s">
        <v>5620</v>
      </c>
    </row>
    <row r="163" spans="1:21" ht="16.5" thickBot="1">
      <c r="A163" s="1311" t="s">
        <v>4588</v>
      </c>
      <c r="B163" s="1315">
        <f t="shared" ref="B163:B210" si="9">J163</f>
        <v>200</v>
      </c>
      <c r="C163" s="1315" t="s">
        <v>3</v>
      </c>
      <c r="D163" s="1315">
        <f t="shared" ref="D163:D210" si="10">K163</f>
        <v>360</v>
      </c>
      <c r="E163" s="1315" t="s">
        <v>3</v>
      </c>
      <c r="F163" s="1313">
        <f t="shared" ref="F163:F210" si="11">L163</f>
        <v>650</v>
      </c>
      <c r="G163" s="1315" t="s">
        <v>3</v>
      </c>
      <c r="H163" s="1312">
        <v>4</v>
      </c>
      <c r="I163" s="1314" t="s">
        <v>45</v>
      </c>
      <c r="J163" s="184">
        <v>200</v>
      </c>
      <c r="K163" s="75">
        <v>360</v>
      </c>
      <c r="L163" s="75">
        <v>650</v>
      </c>
      <c r="M163" s="193">
        <v>14.179829721042399</v>
      </c>
      <c r="N163" s="87">
        <v>511.5313997306904</v>
      </c>
      <c r="O163" s="123">
        <v>24989.133485242808</v>
      </c>
      <c r="P163" s="121">
        <v>31132.964076381231</v>
      </c>
      <c r="Q163" s="310">
        <v>9757.9649885401141</v>
      </c>
      <c r="R163" s="319">
        <v>34747.09847378292</v>
      </c>
      <c r="S163" s="315">
        <v>40890.929064921344</v>
      </c>
      <c r="U163" s="7" t="s">
        <v>5621</v>
      </c>
    </row>
    <row r="164" spans="1:21" ht="16.5" thickBot="1">
      <c r="A164" s="1311" t="s">
        <v>4588</v>
      </c>
      <c r="B164" s="1315">
        <f t="shared" si="9"/>
        <v>200</v>
      </c>
      <c r="C164" s="1315" t="s">
        <v>3</v>
      </c>
      <c r="D164" s="1315">
        <f t="shared" si="10"/>
        <v>360</v>
      </c>
      <c r="E164" s="1315" t="s">
        <v>3</v>
      </c>
      <c r="F164" s="1313">
        <f t="shared" si="11"/>
        <v>700</v>
      </c>
      <c r="G164" s="1315" t="s">
        <v>3</v>
      </c>
      <c r="H164" s="1312">
        <v>4</v>
      </c>
      <c r="I164" s="1314" t="s">
        <v>45</v>
      </c>
      <c r="J164" s="184">
        <v>200</v>
      </c>
      <c r="K164" s="75">
        <v>360</v>
      </c>
      <c r="L164" s="75">
        <v>700</v>
      </c>
      <c r="M164" s="193">
        <v>15.052707143144833</v>
      </c>
      <c r="N164" s="87">
        <v>596.78663301913878</v>
      </c>
      <c r="O164" s="123">
        <v>26166.519254944247</v>
      </c>
      <c r="P164" s="121">
        <v>32570.334626954409</v>
      </c>
      <c r="Q164" s="310">
        <v>10542.143907826316</v>
      </c>
      <c r="R164" s="319">
        <v>36708.663162770565</v>
      </c>
      <c r="S164" s="315">
        <v>43112.478534780726</v>
      </c>
      <c r="U164" s="7" t="s">
        <v>5622</v>
      </c>
    </row>
    <row r="165" spans="1:21" ht="16.5" thickBot="1">
      <c r="A165" s="1311" t="s">
        <v>4588</v>
      </c>
      <c r="B165" s="1315">
        <f t="shared" si="9"/>
        <v>200</v>
      </c>
      <c r="C165" s="1315" t="s">
        <v>3</v>
      </c>
      <c r="D165" s="1315">
        <f t="shared" si="10"/>
        <v>360</v>
      </c>
      <c r="E165" s="1315" t="s">
        <v>3</v>
      </c>
      <c r="F165" s="1313">
        <f t="shared" si="11"/>
        <v>750</v>
      </c>
      <c r="G165" s="1315" t="s">
        <v>3</v>
      </c>
      <c r="H165" s="1312">
        <v>4</v>
      </c>
      <c r="I165" s="1314" t="s">
        <v>45</v>
      </c>
      <c r="J165" s="184">
        <v>200</v>
      </c>
      <c r="K165" s="75">
        <v>360</v>
      </c>
      <c r="L165" s="75">
        <v>750</v>
      </c>
      <c r="M165" s="193">
        <v>15.925584565247267</v>
      </c>
      <c r="N165" s="87">
        <v>682.04186630758727</v>
      </c>
      <c r="O165" s="123">
        <v>27343.904884252319</v>
      </c>
      <c r="P165" s="121">
        <v>34007.705177527583</v>
      </c>
      <c r="Q165" s="310">
        <v>11095.741049329239</v>
      </c>
      <c r="R165" s="319">
        <v>38439.64593358156</v>
      </c>
      <c r="S165" s="315">
        <v>45103.446226856824</v>
      </c>
      <c r="U165" s="7" t="s">
        <v>5623</v>
      </c>
    </row>
    <row r="166" spans="1:21" ht="16.5" thickBot="1">
      <c r="A166" s="1311" t="s">
        <v>4588</v>
      </c>
      <c r="B166" s="1315">
        <f t="shared" si="9"/>
        <v>200</v>
      </c>
      <c r="C166" s="1315" t="s">
        <v>3</v>
      </c>
      <c r="D166" s="1315">
        <f t="shared" si="10"/>
        <v>360</v>
      </c>
      <c r="E166" s="1315" t="s">
        <v>3</v>
      </c>
      <c r="F166" s="1313">
        <f t="shared" si="11"/>
        <v>800</v>
      </c>
      <c r="G166" s="1315" t="s">
        <v>3</v>
      </c>
      <c r="H166" s="1312">
        <v>4</v>
      </c>
      <c r="I166" s="1314" t="s">
        <v>45</v>
      </c>
      <c r="J166" s="184">
        <v>200</v>
      </c>
      <c r="K166" s="75">
        <v>360</v>
      </c>
      <c r="L166" s="75">
        <v>800</v>
      </c>
      <c r="M166" s="193">
        <v>16.798461987349697</v>
      </c>
      <c r="N166" s="87">
        <v>767.29709959603565</v>
      </c>
      <c r="O166" s="123">
        <v>28884.488001954531</v>
      </c>
      <c r="P166" s="121">
        <v>35459.115064350757</v>
      </c>
      <c r="Q166" s="310">
        <v>11649.338190832164</v>
      </c>
      <c r="R166" s="319">
        <v>40533.826192786699</v>
      </c>
      <c r="S166" s="315">
        <v>47108.453255182918</v>
      </c>
      <c r="U166" s="7" t="s">
        <v>5624</v>
      </c>
    </row>
    <row r="167" spans="1:21" ht="16.5" thickBot="1">
      <c r="A167" s="1311" t="s">
        <v>4588</v>
      </c>
      <c r="B167" s="1315">
        <f t="shared" si="9"/>
        <v>200</v>
      </c>
      <c r="C167" s="1315" t="s">
        <v>3</v>
      </c>
      <c r="D167" s="1315">
        <f t="shared" si="10"/>
        <v>360</v>
      </c>
      <c r="E167" s="1315" t="s">
        <v>3</v>
      </c>
      <c r="F167" s="1313">
        <f t="shared" si="11"/>
        <v>850</v>
      </c>
      <c r="G167" s="1315" t="s">
        <v>3</v>
      </c>
      <c r="H167" s="1312">
        <v>4</v>
      </c>
      <c r="I167" s="1314" t="s">
        <v>45</v>
      </c>
      <c r="J167" s="184">
        <v>200</v>
      </c>
      <c r="K167" s="75">
        <v>360</v>
      </c>
      <c r="L167" s="75">
        <v>850</v>
      </c>
      <c r="M167" s="193">
        <v>17.671339409452134</v>
      </c>
      <c r="N167" s="87">
        <v>852.55233288448403</v>
      </c>
      <c r="O167" s="123">
        <v>30061.873771655966</v>
      </c>
      <c r="P167" s="121">
        <v>36896.485474530571</v>
      </c>
      <c r="Q167" s="310">
        <v>12433.517110118366</v>
      </c>
      <c r="R167" s="319">
        <v>42495.390881774336</v>
      </c>
      <c r="S167" s="315">
        <v>49330.002584648937</v>
      </c>
      <c r="U167" s="7" t="s">
        <v>5625</v>
      </c>
    </row>
    <row r="168" spans="1:21" ht="16.5" thickBot="1">
      <c r="A168" s="1311" t="s">
        <v>4588</v>
      </c>
      <c r="B168" s="1315">
        <f t="shared" si="9"/>
        <v>200</v>
      </c>
      <c r="C168" s="1315" t="s">
        <v>3</v>
      </c>
      <c r="D168" s="1315">
        <f t="shared" si="10"/>
        <v>360</v>
      </c>
      <c r="E168" s="1315" t="s">
        <v>3</v>
      </c>
      <c r="F168" s="1313">
        <f t="shared" si="11"/>
        <v>900</v>
      </c>
      <c r="G168" s="1315" t="s">
        <v>3</v>
      </c>
      <c r="H168" s="1312">
        <v>4</v>
      </c>
      <c r="I168" s="1314" t="s">
        <v>45</v>
      </c>
      <c r="J168" s="184">
        <v>200</v>
      </c>
      <c r="K168" s="75">
        <v>360</v>
      </c>
      <c r="L168" s="75">
        <v>900</v>
      </c>
      <c r="M168" s="193">
        <v>18.544216831554564</v>
      </c>
      <c r="N168" s="87">
        <v>937.80756617293252</v>
      </c>
      <c r="O168" s="123">
        <v>31239.259541357405</v>
      </c>
      <c r="P168" s="121">
        <v>38333.856025103749</v>
      </c>
      <c r="Q168" s="310">
        <v>12987.114251621291</v>
      </c>
      <c r="R168" s="319">
        <v>44226.373792978695</v>
      </c>
      <c r="S168" s="315">
        <v>51320.970276725042</v>
      </c>
      <c r="U168" s="7" t="s">
        <v>5626</v>
      </c>
    </row>
    <row r="169" spans="1:21" ht="16.5" thickBot="1">
      <c r="A169" s="1311" t="s">
        <v>4588</v>
      </c>
      <c r="B169" s="1315">
        <f t="shared" si="9"/>
        <v>200</v>
      </c>
      <c r="C169" s="1315" t="s">
        <v>3</v>
      </c>
      <c r="D169" s="1315">
        <f t="shared" si="10"/>
        <v>360</v>
      </c>
      <c r="E169" s="1315" t="s">
        <v>3</v>
      </c>
      <c r="F169" s="1313">
        <f t="shared" si="11"/>
        <v>950</v>
      </c>
      <c r="G169" s="1315" t="s">
        <v>3</v>
      </c>
      <c r="H169" s="1312">
        <v>4</v>
      </c>
      <c r="I169" s="1314" t="s">
        <v>45</v>
      </c>
      <c r="J169" s="184">
        <v>200</v>
      </c>
      <c r="K169" s="75">
        <v>360</v>
      </c>
      <c r="L169" s="75">
        <v>950</v>
      </c>
      <c r="M169" s="193">
        <v>19.417094253656998</v>
      </c>
      <c r="N169" s="87">
        <v>1023.0627994613808</v>
      </c>
      <c r="O169" s="123">
        <v>32416.645311058841</v>
      </c>
      <c r="P169" s="121">
        <v>39771.226575676919</v>
      </c>
      <c r="Q169" s="310">
        <v>13771.293170907491</v>
      </c>
      <c r="R169" s="319">
        <v>46187.938481966332</v>
      </c>
      <c r="S169" s="315">
        <v>53542.51974658441</v>
      </c>
      <c r="U169" s="7" t="s">
        <v>5627</v>
      </c>
    </row>
    <row r="170" spans="1:21" ht="16.5" thickBot="1">
      <c r="A170" s="1311" t="s">
        <v>4588</v>
      </c>
      <c r="B170" s="1315">
        <f t="shared" si="9"/>
        <v>200</v>
      </c>
      <c r="C170" s="1315" t="s">
        <v>3</v>
      </c>
      <c r="D170" s="1315">
        <f t="shared" si="10"/>
        <v>360</v>
      </c>
      <c r="E170" s="1315" t="s">
        <v>3</v>
      </c>
      <c r="F170" s="1313">
        <f t="shared" si="11"/>
        <v>1000</v>
      </c>
      <c r="G170" s="1315" t="s">
        <v>3</v>
      </c>
      <c r="H170" s="1312">
        <v>4</v>
      </c>
      <c r="I170" s="1314" t="s">
        <v>45</v>
      </c>
      <c r="J170" s="184">
        <v>200</v>
      </c>
      <c r="K170" s="75">
        <v>360</v>
      </c>
      <c r="L170" s="75">
        <v>1000</v>
      </c>
      <c r="M170" s="193">
        <v>20.446043675759441</v>
      </c>
      <c r="N170" s="87">
        <v>1108.3180327498292</v>
      </c>
      <c r="O170" s="123">
        <v>33658.117842874279</v>
      </c>
      <c r="P170" s="121">
        <v>41272.683888364096</v>
      </c>
      <c r="Q170" s="310">
        <v>14324.890312410414</v>
      </c>
      <c r="R170" s="319">
        <v>47983.008155284697</v>
      </c>
      <c r="S170" s="315">
        <v>55597.574200774514</v>
      </c>
      <c r="U170" s="7" t="s">
        <v>5628</v>
      </c>
    </row>
    <row r="171" spans="1:21" ht="16.5" thickBot="1">
      <c r="A171" s="1311" t="s">
        <v>4588</v>
      </c>
      <c r="B171" s="1315">
        <f t="shared" si="9"/>
        <v>200</v>
      </c>
      <c r="C171" s="1315" t="s">
        <v>3</v>
      </c>
      <c r="D171" s="1315">
        <f t="shared" si="10"/>
        <v>360</v>
      </c>
      <c r="E171" s="1315" t="s">
        <v>3</v>
      </c>
      <c r="F171" s="1313">
        <f t="shared" si="11"/>
        <v>1050</v>
      </c>
      <c r="G171" s="1315" t="s">
        <v>3</v>
      </c>
      <c r="H171" s="1312">
        <v>4</v>
      </c>
      <c r="I171" s="1314" t="s">
        <v>45</v>
      </c>
      <c r="J171" s="184">
        <v>200</v>
      </c>
      <c r="K171" s="75">
        <v>360</v>
      </c>
      <c r="L171" s="75">
        <v>1050</v>
      </c>
      <c r="M171" s="193">
        <v>21.318921097861871</v>
      </c>
      <c r="N171" s="87">
        <v>1193.5732660382776</v>
      </c>
      <c r="O171" s="123">
        <v>34835.503472182354</v>
      </c>
      <c r="P171" s="121">
        <v>42710.054438937274</v>
      </c>
      <c r="Q171" s="310">
        <v>15109.069231696616</v>
      </c>
      <c r="R171" s="319">
        <v>49944.57270387897</v>
      </c>
      <c r="S171" s="315">
        <v>57819.12367063389</v>
      </c>
      <c r="U171" s="7" t="s">
        <v>5629</v>
      </c>
    </row>
    <row r="172" spans="1:21" ht="16.5" thickBot="1">
      <c r="A172" s="1311" t="s">
        <v>4588</v>
      </c>
      <c r="B172" s="1312">
        <f t="shared" si="9"/>
        <v>200</v>
      </c>
      <c r="C172" s="1312" t="s">
        <v>3</v>
      </c>
      <c r="D172" s="1312">
        <f t="shared" si="10"/>
        <v>360</v>
      </c>
      <c r="E172" s="1312" t="s">
        <v>3</v>
      </c>
      <c r="F172" s="1313">
        <f t="shared" si="11"/>
        <v>1100</v>
      </c>
      <c r="G172" s="1312" t="s">
        <v>3</v>
      </c>
      <c r="H172" s="1312">
        <v>4</v>
      </c>
      <c r="I172" s="1314" t="s">
        <v>45</v>
      </c>
      <c r="J172" s="184">
        <v>200</v>
      </c>
      <c r="K172" s="75">
        <v>360</v>
      </c>
      <c r="L172" s="75">
        <v>1100</v>
      </c>
      <c r="M172" s="193">
        <v>22.191798519964301</v>
      </c>
      <c r="N172" s="87">
        <v>1278.8284993267262</v>
      </c>
      <c r="O172" s="123">
        <v>36012.889241883793</v>
      </c>
      <c r="P172" s="121">
        <v>44147.424989510444</v>
      </c>
      <c r="Q172" s="310">
        <v>15662.66637319954</v>
      </c>
      <c r="R172" s="319">
        <v>51675.555615083329</v>
      </c>
      <c r="S172" s="315">
        <v>59810.09136270998</v>
      </c>
      <c r="U172" s="7" t="s">
        <v>5630</v>
      </c>
    </row>
    <row r="173" spans="1:21" ht="16.5" thickBot="1">
      <c r="A173" s="1311" t="s">
        <v>4588</v>
      </c>
      <c r="B173" s="1315">
        <f t="shared" si="9"/>
        <v>200</v>
      </c>
      <c r="C173" s="1315" t="s">
        <v>3</v>
      </c>
      <c r="D173" s="1315">
        <f t="shared" si="10"/>
        <v>360</v>
      </c>
      <c r="E173" s="1315" t="s">
        <v>3</v>
      </c>
      <c r="F173" s="1313">
        <f t="shared" si="11"/>
        <v>1150</v>
      </c>
      <c r="G173" s="1315" t="s">
        <v>3</v>
      </c>
      <c r="H173" s="1312">
        <v>4</v>
      </c>
      <c r="I173" s="1314" t="s">
        <v>45</v>
      </c>
      <c r="J173" s="184">
        <v>200</v>
      </c>
      <c r="K173" s="75">
        <v>360</v>
      </c>
      <c r="L173" s="75">
        <v>1150</v>
      </c>
      <c r="M173" s="193">
        <v>23.064675942066735</v>
      </c>
      <c r="N173" s="87">
        <v>1364.0837326151745</v>
      </c>
      <c r="O173" s="123">
        <v>37190.275011585232</v>
      </c>
      <c r="P173" s="121">
        <v>45584.795399690258</v>
      </c>
      <c r="Q173" s="310">
        <v>16216.263514702467</v>
      </c>
      <c r="R173" s="319">
        <v>53406.538526287695</v>
      </c>
      <c r="S173" s="315">
        <v>61801.058914392721</v>
      </c>
      <c r="U173" s="7" t="s">
        <v>5631</v>
      </c>
    </row>
    <row r="174" spans="1:21" ht="16.5" thickBot="1">
      <c r="A174" s="1311" t="s">
        <v>4588</v>
      </c>
      <c r="B174" s="1315">
        <f t="shared" si="9"/>
        <v>200</v>
      </c>
      <c r="C174" s="1315" t="s">
        <v>3</v>
      </c>
      <c r="D174" s="1315">
        <f t="shared" si="10"/>
        <v>360</v>
      </c>
      <c r="E174" s="1315" t="s">
        <v>3</v>
      </c>
      <c r="F174" s="1313">
        <f t="shared" si="11"/>
        <v>1200</v>
      </c>
      <c r="G174" s="1315" t="s">
        <v>3</v>
      </c>
      <c r="H174" s="1312">
        <v>4</v>
      </c>
      <c r="I174" s="1314" t="s">
        <v>45</v>
      </c>
      <c r="J174" s="184">
        <v>200</v>
      </c>
      <c r="K174" s="75">
        <v>360</v>
      </c>
      <c r="L174" s="75">
        <v>1200</v>
      </c>
      <c r="M174" s="193">
        <v>23.937553364169172</v>
      </c>
      <c r="N174" s="87">
        <v>1449.3389659036229</v>
      </c>
      <c r="O174" s="123">
        <v>38367.660781286671</v>
      </c>
      <c r="P174" s="121">
        <v>47022.165950263436</v>
      </c>
      <c r="Q174" s="310">
        <v>17000.442574382028</v>
      </c>
      <c r="R174" s="319">
        <v>55368.103355668703</v>
      </c>
      <c r="S174" s="315">
        <v>64022.60852464546</v>
      </c>
      <c r="U174" s="7" t="s">
        <v>5632</v>
      </c>
    </row>
    <row r="175" spans="1:21" ht="16.5" thickBot="1">
      <c r="A175" s="1311" t="s">
        <v>4588</v>
      </c>
      <c r="B175" s="1315">
        <f t="shared" si="9"/>
        <v>200</v>
      </c>
      <c r="C175" s="1315" t="s">
        <v>3</v>
      </c>
      <c r="D175" s="1315">
        <f t="shared" si="10"/>
        <v>360</v>
      </c>
      <c r="E175" s="1315" t="s">
        <v>3</v>
      </c>
      <c r="F175" s="1313">
        <f t="shared" si="11"/>
        <v>1250</v>
      </c>
      <c r="G175" s="1315" t="s">
        <v>3</v>
      </c>
      <c r="H175" s="1312">
        <v>4</v>
      </c>
      <c r="I175" s="1314" t="s">
        <v>45</v>
      </c>
      <c r="J175" s="184">
        <v>200</v>
      </c>
      <c r="K175" s="75">
        <v>360</v>
      </c>
      <c r="L175" s="75">
        <v>1250</v>
      </c>
      <c r="M175" s="193">
        <v>24.81043078627161</v>
      </c>
      <c r="N175" s="87">
        <v>1534.5941991920713</v>
      </c>
      <c r="O175" s="123">
        <v>39545.046410594747</v>
      </c>
      <c r="P175" s="121">
        <v>48459.536500836613</v>
      </c>
      <c r="Q175" s="310">
        <v>17554.039715884952</v>
      </c>
      <c r="R175" s="319">
        <v>57099.086126479699</v>
      </c>
      <c r="S175" s="315">
        <v>66013.576216721558</v>
      </c>
      <c r="U175" s="7" t="s">
        <v>5633</v>
      </c>
    </row>
    <row r="176" spans="1:21" ht="16.5" thickBot="1">
      <c r="A176" s="1311" t="s">
        <v>4588</v>
      </c>
      <c r="B176" s="1315">
        <f t="shared" si="9"/>
        <v>200</v>
      </c>
      <c r="C176" s="1315" t="s">
        <v>3</v>
      </c>
      <c r="D176" s="1315">
        <f t="shared" si="10"/>
        <v>360</v>
      </c>
      <c r="E176" s="1315" t="s">
        <v>3</v>
      </c>
      <c r="F176" s="1313">
        <f t="shared" si="11"/>
        <v>1300</v>
      </c>
      <c r="G176" s="1315" t="s">
        <v>3</v>
      </c>
      <c r="H176" s="1312">
        <v>4</v>
      </c>
      <c r="I176" s="1314" t="s">
        <v>45</v>
      </c>
      <c r="J176" s="184">
        <v>200</v>
      </c>
      <c r="K176" s="75">
        <v>360</v>
      </c>
      <c r="L176" s="75">
        <v>1300</v>
      </c>
      <c r="M176" s="193">
        <v>25.683308208374044</v>
      </c>
      <c r="N176" s="87">
        <v>1619.8494324805197</v>
      </c>
      <c r="O176" s="123">
        <v>40722.432180296186</v>
      </c>
      <c r="P176" s="121">
        <v>49896.907051409784</v>
      </c>
      <c r="Q176" s="310">
        <v>18338.218635171153</v>
      </c>
      <c r="R176" s="319">
        <v>59060.650815467336</v>
      </c>
      <c r="S176" s="315">
        <v>68235.125686580941</v>
      </c>
      <c r="U176" s="7" t="s">
        <v>5634</v>
      </c>
    </row>
    <row r="177" spans="1:21" ht="16.5" thickBot="1">
      <c r="A177" s="1311" t="s">
        <v>4588</v>
      </c>
      <c r="B177" s="1315">
        <f t="shared" si="9"/>
        <v>200</v>
      </c>
      <c r="C177" s="1315" t="s">
        <v>3</v>
      </c>
      <c r="D177" s="1315">
        <f t="shared" si="10"/>
        <v>360</v>
      </c>
      <c r="E177" s="1315" t="s">
        <v>3</v>
      </c>
      <c r="F177" s="1313">
        <f t="shared" si="11"/>
        <v>1350</v>
      </c>
      <c r="G177" s="1315" t="s">
        <v>3</v>
      </c>
      <c r="H177" s="1312">
        <v>4</v>
      </c>
      <c r="I177" s="1314" t="s">
        <v>45</v>
      </c>
      <c r="J177" s="184">
        <v>200</v>
      </c>
      <c r="K177" s="75">
        <v>360</v>
      </c>
      <c r="L177" s="75">
        <v>1350</v>
      </c>
      <c r="M177" s="193">
        <v>26.556185630476477</v>
      </c>
      <c r="N177" s="87">
        <v>1705.1046657689681</v>
      </c>
      <c r="O177" s="123">
        <v>41899.817949997625</v>
      </c>
      <c r="P177" s="121">
        <v>51334.277601982954</v>
      </c>
      <c r="Q177" s="310">
        <v>18891.815776674081</v>
      </c>
      <c r="R177" s="319">
        <v>60791.633726671702</v>
      </c>
      <c r="S177" s="315">
        <v>70226.093378657039</v>
      </c>
      <c r="U177" s="7" t="s">
        <v>5635</v>
      </c>
    </row>
    <row r="178" spans="1:21" ht="16.5" thickBot="1">
      <c r="A178" s="1311" t="s">
        <v>4588</v>
      </c>
      <c r="B178" s="1315">
        <f t="shared" si="9"/>
        <v>200</v>
      </c>
      <c r="C178" s="1315" t="s">
        <v>3</v>
      </c>
      <c r="D178" s="1315">
        <f t="shared" si="10"/>
        <v>360</v>
      </c>
      <c r="E178" s="1315" t="s">
        <v>3</v>
      </c>
      <c r="F178" s="1313">
        <f t="shared" si="11"/>
        <v>1400</v>
      </c>
      <c r="G178" s="1315" t="s">
        <v>3</v>
      </c>
      <c r="H178" s="1312">
        <v>4</v>
      </c>
      <c r="I178" s="1314" t="s">
        <v>45</v>
      </c>
      <c r="J178" s="184">
        <v>200</v>
      </c>
      <c r="K178" s="75">
        <v>360</v>
      </c>
      <c r="L178" s="75">
        <v>1400</v>
      </c>
      <c r="M178" s="193">
        <v>27.429063052578911</v>
      </c>
      <c r="N178" s="87">
        <v>1790.3598990574164</v>
      </c>
      <c r="O178" s="123">
        <v>43077.203719699057</v>
      </c>
      <c r="P178" s="121">
        <v>52771.648012162768</v>
      </c>
      <c r="Q178" s="310">
        <v>19675.994695960278</v>
      </c>
      <c r="R178" s="319">
        <v>62753.198415659339</v>
      </c>
      <c r="S178" s="315">
        <v>72447.64270812305</v>
      </c>
      <c r="U178" s="7" t="s">
        <v>5636</v>
      </c>
    </row>
    <row r="179" spans="1:21" ht="16.5" thickBot="1">
      <c r="A179" s="1311" t="s">
        <v>4588</v>
      </c>
      <c r="B179" s="1315">
        <f t="shared" si="9"/>
        <v>200</v>
      </c>
      <c r="C179" s="1315" t="s">
        <v>3</v>
      </c>
      <c r="D179" s="1315">
        <f t="shared" si="10"/>
        <v>360</v>
      </c>
      <c r="E179" s="1315" t="s">
        <v>3</v>
      </c>
      <c r="F179" s="1313">
        <f t="shared" si="11"/>
        <v>1450</v>
      </c>
      <c r="G179" s="1315" t="s">
        <v>3</v>
      </c>
      <c r="H179" s="1312">
        <v>4</v>
      </c>
      <c r="I179" s="1314" t="s">
        <v>45</v>
      </c>
      <c r="J179" s="184">
        <v>200</v>
      </c>
      <c r="K179" s="75">
        <v>360</v>
      </c>
      <c r="L179" s="75">
        <v>1450</v>
      </c>
      <c r="M179" s="193">
        <v>28.301940474681345</v>
      </c>
      <c r="N179" s="87">
        <v>1875.615132345865</v>
      </c>
      <c r="O179" s="123">
        <v>44254.589489400496</v>
      </c>
      <c r="P179" s="121">
        <v>54209.018562735953</v>
      </c>
      <c r="Q179" s="310">
        <v>20229.591837463206</v>
      </c>
      <c r="R179" s="319">
        <v>64484.181326863705</v>
      </c>
      <c r="S179" s="315">
        <v>74438.610400199163</v>
      </c>
      <c r="U179" s="7" t="s">
        <v>5637</v>
      </c>
    </row>
    <row r="180" spans="1:21" ht="16.5" thickBot="1">
      <c r="A180" s="1311" t="s">
        <v>4588</v>
      </c>
      <c r="B180" s="1315">
        <f t="shared" si="9"/>
        <v>200</v>
      </c>
      <c r="C180" s="1315" t="s">
        <v>3</v>
      </c>
      <c r="D180" s="1315">
        <f t="shared" si="10"/>
        <v>360</v>
      </c>
      <c r="E180" s="1315" t="s">
        <v>3</v>
      </c>
      <c r="F180" s="1313">
        <f t="shared" si="11"/>
        <v>1500</v>
      </c>
      <c r="G180" s="1315" t="s">
        <v>3</v>
      </c>
      <c r="H180" s="1312">
        <v>4</v>
      </c>
      <c r="I180" s="1314" t="s">
        <v>45</v>
      </c>
      <c r="J180" s="184">
        <v>200</v>
      </c>
      <c r="K180" s="75">
        <v>360</v>
      </c>
      <c r="L180" s="75">
        <v>1500</v>
      </c>
      <c r="M180" s="193">
        <v>29.91530669678378</v>
      </c>
      <c r="N180" s="87">
        <v>1960.8703656343132</v>
      </c>
      <c r="O180" s="123">
        <v>46516.177040344432</v>
      </c>
      <c r="P180" s="121">
        <v>57188.492691127212</v>
      </c>
      <c r="Q180" s="310">
        <v>21013.770756749404</v>
      </c>
      <c r="R180" s="319">
        <v>67529.947797093831</v>
      </c>
      <c r="S180" s="315">
        <v>78202.263447876612</v>
      </c>
      <c r="U180" s="7" t="s">
        <v>5638</v>
      </c>
    </row>
    <row r="181" spans="1:21" ht="16.5" thickBot="1">
      <c r="A181" s="1311" t="s">
        <v>4588</v>
      </c>
      <c r="B181" s="1315">
        <f t="shared" si="9"/>
        <v>200</v>
      </c>
      <c r="C181" s="1315" t="s">
        <v>3</v>
      </c>
      <c r="D181" s="1315">
        <f t="shared" si="10"/>
        <v>360</v>
      </c>
      <c r="E181" s="1315" t="s">
        <v>3</v>
      </c>
      <c r="F181" s="1313">
        <f t="shared" si="11"/>
        <v>1550</v>
      </c>
      <c r="G181" s="1315" t="s">
        <v>3</v>
      </c>
      <c r="H181" s="1312">
        <v>4</v>
      </c>
      <c r="I181" s="1314" t="s">
        <v>45</v>
      </c>
      <c r="J181" s="184">
        <v>200</v>
      </c>
      <c r="K181" s="75">
        <v>360</v>
      </c>
      <c r="L181" s="75">
        <v>1550</v>
      </c>
      <c r="M181" s="193">
        <v>30.788184118886218</v>
      </c>
      <c r="N181" s="87">
        <v>2046.1255989227616</v>
      </c>
      <c r="O181" s="123">
        <v>47693.562810045878</v>
      </c>
      <c r="P181" s="121">
        <v>58625.863241700383</v>
      </c>
      <c r="Q181" s="310">
        <v>21567.367898252327</v>
      </c>
      <c r="R181" s="319">
        <v>69260.930708298198</v>
      </c>
      <c r="S181" s="315">
        <v>80193.23113995271</v>
      </c>
      <c r="U181" s="7" t="s">
        <v>5639</v>
      </c>
    </row>
    <row r="182" spans="1:21" ht="16.5" thickBot="1">
      <c r="A182" s="1311" t="s">
        <v>4588</v>
      </c>
      <c r="B182" s="1312">
        <f t="shared" si="9"/>
        <v>200</v>
      </c>
      <c r="C182" s="1312" t="s">
        <v>3</v>
      </c>
      <c r="D182" s="1312">
        <f t="shared" si="10"/>
        <v>360</v>
      </c>
      <c r="E182" s="1312" t="s">
        <v>3</v>
      </c>
      <c r="F182" s="1313">
        <f t="shared" si="11"/>
        <v>1600</v>
      </c>
      <c r="G182" s="1312" t="s">
        <v>3</v>
      </c>
      <c r="H182" s="1312">
        <v>4</v>
      </c>
      <c r="I182" s="1314" t="s">
        <v>45</v>
      </c>
      <c r="J182" s="184">
        <v>200</v>
      </c>
      <c r="K182" s="75">
        <v>360</v>
      </c>
      <c r="L182" s="75">
        <v>1600</v>
      </c>
      <c r="M182" s="193">
        <v>31.661061540988644</v>
      </c>
      <c r="N182" s="87">
        <v>2131.38083221121</v>
      </c>
      <c r="O182" s="123">
        <v>48870.94857974731</v>
      </c>
      <c r="P182" s="121">
        <v>60063.233792273568</v>
      </c>
      <c r="Q182" s="310">
        <v>22120.965039755254</v>
      </c>
      <c r="R182" s="319">
        <v>70991.913619502564</v>
      </c>
      <c r="S182" s="315">
        <v>82184.198832028822</v>
      </c>
      <c r="U182" s="7" t="s">
        <v>5640</v>
      </c>
    </row>
    <row r="183" spans="1:21" ht="16.5" thickBot="1">
      <c r="A183" s="1311" t="s">
        <v>4588</v>
      </c>
      <c r="B183" s="1315">
        <f t="shared" si="9"/>
        <v>200</v>
      </c>
      <c r="C183" s="1315" t="s">
        <v>3</v>
      </c>
      <c r="D183" s="1315">
        <f t="shared" si="10"/>
        <v>360</v>
      </c>
      <c r="E183" s="1315" t="s">
        <v>3</v>
      </c>
      <c r="F183" s="1313">
        <f t="shared" si="11"/>
        <v>1650</v>
      </c>
      <c r="G183" s="1315" t="s">
        <v>3</v>
      </c>
      <c r="H183" s="1312">
        <v>4</v>
      </c>
      <c r="I183" s="1314" t="s">
        <v>45</v>
      </c>
      <c r="J183" s="184">
        <v>200</v>
      </c>
      <c r="K183" s="75">
        <v>360</v>
      </c>
      <c r="L183" s="75">
        <v>1650</v>
      </c>
      <c r="M183" s="193">
        <v>32.533938963091089</v>
      </c>
      <c r="N183" s="87">
        <v>2216.6360654996583</v>
      </c>
      <c r="O183" s="123">
        <v>50048.334349448749</v>
      </c>
      <c r="P183" s="121">
        <v>61500.604202453382</v>
      </c>
      <c r="Q183" s="310">
        <v>22905.143959041456</v>
      </c>
      <c r="R183" s="319">
        <v>72953.478308490201</v>
      </c>
      <c r="S183" s="315">
        <v>84405.748161494834</v>
      </c>
      <c r="U183" s="7" t="s">
        <v>5641</v>
      </c>
    </row>
    <row r="184" spans="1:21" ht="16.5" thickBot="1">
      <c r="A184" s="1311" t="s">
        <v>4588</v>
      </c>
      <c r="B184" s="1315">
        <f t="shared" si="9"/>
        <v>200</v>
      </c>
      <c r="C184" s="1315" t="s">
        <v>3</v>
      </c>
      <c r="D184" s="1315">
        <f t="shared" si="10"/>
        <v>360</v>
      </c>
      <c r="E184" s="1315" t="s">
        <v>3</v>
      </c>
      <c r="F184" s="1313">
        <f t="shared" si="11"/>
        <v>1700</v>
      </c>
      <c r="G184" s="1315" t="s">
        <v>3</v>
      </c>
      <c r="H184" s="1312">
        <v>4</v>
      </c>
      <c r="I184" s="1314" t="s">
        <v>45</v>
      </c>
      <c r="J184" s="184">
        <v>200</v>
      </c>
      <c r="K184" s="75">
        <v>360</v>
      </c>
      <c r="L184" s="75">
        <v>1700</v>
      </c>
      <c r="M184" s="193">
        <v>33.406816385193522</v>
      </c>
      <c r="N184" s="87">
        <v>2301.8912987881072</v>
      </c>
      <c r="O184" s="123">
        <v>51225.719978756824</v>
      </c>
      <c r="P184" s="121">
        <v>62937.974753026552</v>
      </c>
      <c r="Q184" s="310">
        <v>23458.741100544379</v>
      </c>
      <c r="R184" s="319">
        <v>74684.461079301196</v>
      </c>
      <c r="S184" s="315">
        <v>86396.715853570931</v>
      </c>
      <c r="U184" s="7" t="s">
        <v>5642</v>
      </c>
    </row>
    <row r="185" spans="1:21" ht="16.5" thickBot="1">
      <c r="A185" s="1311" t="s">
        <v>4588</v>
      </c>
      <c r="B185" s="1315">
        <f t="shared" si="9"/>
        <v>200</v>
      </c>
      <c r="C185" s="1315" t="s">
        <v>3</v>
      </c>
      <c r="D185" s="1315">
        <f t="shared" si="10"/>
        <v>360</v>
      </c>
      <c r="E185" s="1315" t="s">
        <v>3</v>
      </c>
      <c r="F185" s="1313">
        <f t="shared" si="11"/>
        <v>1750</v>
      </c>
      <c r="G185" s="1315" t="s">
        <v>3</v>
      </c>
      <c r="H185" s="1312">
        <v>4</v>
      </c>
      <c r="I185" s="1314" t="s">
        <v>45</v>
      </c>
      <c r="J185" s="184">
        <v>200</v>
      </c>
      <c r="K185" s="75">
        <v>360</v>
      </c>
      <c r="L185" s="75">
        <v>1750</v>
      </c>
      <c r="M185" s="193">
        <v>34.279693807295956</v>
      </c>
      <c r="N185" s="87">
        <v>2387.1465320765551</v>
      </c>
      <c r="O185" s="123">
        <v>52403.105748458256</v>
      </c>
      <c r="P185" s="121">
        <v>64375.345303599723</v>
      </c>
      <c r="Q185" s="310">
        <v>24242.920019830581</v>
      </c>
      <c r="R185" s="319">
        <v>76646.025768288833</v>
      </c>
      <c r="S185" s="315">
        <v>88618.2653234303</v>
      </c>
      <c r="U185" s="7" t="s">
        <v>5643</v>
      </c>
    </row>
    <row r="186" spans="1:21" ht="16.5" thickBot="1">
      <c r="A186" s="1311" t="s">
        <v>4588</v>
      </c>
      <c r="B186" s="1315">
        <f t="shared" si="9"/>
        <v>200</v>
      </c>
      <c r="C186" s="1315" t="s">
        <v>3</v>
      </c>
      <c r="D186" s="1315">
        <f t="shared" si="10"/>
        <v>360</v>
      </c>
      <c r="E186" s="1315" t="s">
        <v>3</v>
      </c>
      <c r="F186" s="1313">
        <f t="shared" si="11"/>
        <v>1800</v>
      </c>
      <c r="G186" s="1315" t="s">
        <v>3</v>
      </c>
      <c r="H186" s="1312">
        <v>4</v>
      </c>
      <c r="I186" s="1314" t="s">
        <v>45</v>
      </c>
      <c r="J186" s="184">
        <v>200</v>
      </c>
      <c r="K186" s="75">
        <v>360</v>
      </c>
      <c r="L186" s="75">
        <v>1800</v>
      </c>
      <c r="M186" s="193">
        <v>35.152571229398383</v>
      </c>
      <c r="N186" s="87">
        <v>2472.4017653650035</v>
      </c>
      <c r="O186" s="123">
        <v>53580.491518159703</v>
      </c>
      <c r="P186" s="121">
        <v>65812.7158541729</v>
      </c>
      <c r="Q186" s="310">
        <v>24796.517161333504</v>
      </c>
      <c r="R186" s="319">
        <v>78377.008679493214</v>
      </c>
      <c r="S186" s="315">
        <v>90609.233015506412</v>
      </c>
      <c r="U186" s="7" t="s">
        <v>5644</v>
      </c>
    </row>
    <row r="187" spans="1:21" ht="16.5" thickBot="1">
      <c r="A187" s="1311" t="s">
        <v>4588</v>
      </c>
      <c r="B187" s="1315">
        <f t="shared" si="9"/>
        <v>200</v>
      </c>
      <c r="C187" s="1315" t="s">
        <v>3</v>
      </c>
      <c r="D187" s="1315">
        <f t="shared" si="10"/>
        <v>360</v>
      </c>
      <c r="E187" s="1315" t="s">
        <v>3</v>
      </c>
      <c r="F187" s="1313">
        <f t="shared" si="11"/>
        <v>1850</v>
      </c>
      <c r="G187" s="1315" t="s">
        <v>3</v>
      </c>
      <c r="H187" s="1312">
        <v>4</v>
      </c>
      <c r="I187" s="1314" t="s">
        <v>45</v>
      </c>
      <c r="J187" s="184">
        <v>200</v>
      </c>
      <c r="K187" s="75">
        <v>360</v>
      </c>
      <c r="L187" s="75">
        <v>1850</v>
      </c>
      <c r="M187" s="193">
        <v>36.025448651500824</v>
      </c>
      <c r="N187" s="87">
        <v>2557.6569986534523</v>
      </c>
      <c r="O187" s="123">
        <v>54757.877287861134</v>
      </c>
      <c r="P187" s="121">
        <v>67250.086404746078</v>
      </c>
      <c r="Q187" s="310">
        <v>25580.69622101307</v>
      </c>
      <c r="R187" s="319">
        <v>80338.573508874208</v>
      </c>
      <c r="S187" s="315">
        <v>92830.782625759151</v>
      </c>
      <c r="U187" s="7" t="s">
        <v>5645</v>
      </c>
    </row>
    <row r="188" spans="1:21" ht="16.5" thickBot="1">
      <c r="A188" s="1311" t="s">
        <v>4588</v>
      </c>
      <c r="B188" s="1315">
        <f t="shared" si="9"/>
        <v>200</v>
      </c>
      <c r="C188" s="1315" t="s">
        <v>3</v>
      </c>
      <c r="D188" s="1315">
        <f t="shared" si="10"/>
        <v>360</v>
      </c>
      <c r="E188" s="1315" t="s">
        <v>3</v>
      </c>
      <c r="F188" s="1313">
        <f t="shared" si="11"/>
        <v>1900</v>
      </c>
      <c r="G188" s="1315" t="s">
        <v>3</v>
      </c>
      <c r="H188" s="1312">
        <v>4</v>
      </c>
      <c r="I188" s="1314" t="s">
        <v>45</v>
      </c>
      <c r="J188" s="184">
        <v>200</v>
      </c>
      <c r="K188" s="75">
        <v>360</v>
      </c>
      <c r="L188" s="75">
        <v>1900</v>
      </c>
      <c r="M188" s="193">
        <v>36.898326073603251</v>
      </c>
      <c r="N188" s="87">
        <v>2642.9122319419007</v>
      </c>
      <c r="O188" s="123">
        <v>55935.262917169217</v>
      </c>
      <c r="P188" s="121">
        <v>68687.456814925885</v>
      </c>
      <c r="Q188" s="310">
        <v>26134.293362515993</v>
      </c>
      <c r="R188" s="319">
        <v>82069.556279685203</v>
      </c>
      <c r="S188" s="315">
        <v>94821.750177441878</v>
      </c>
      <c r="U188" s="7" t="s">
        <v>5646</v>
      </c>
    </row>
    <row r="189" spans="1:21" ht="16.5" thickBot="1">
      <c r="A189" s="1311" t="s">
        <v>4588</v>
      </c>
      <c r="B189" s="1315">
        <f t="shared" si="9"/>
        <v>200</v>
      </c>
      <c r="C189" s="1315" t="s">
        <v>3</v>
      </c>
      <c r="D189" s="1315">
        <f t="shared" si="10"/>
        <v>360</v>
      </c>
      <c r="E189" s="1315" t="s">
        <v>3</v>
      </c>
      <c r="F189" s="1313">
        <f t="shared" si="11"/>
        <v>1950</v>
      </c>
      <c r="G189" s="1315" t="s">
        <v>3</v>
      </c>
      <c r="H189" s="1312">
        <v>4</v>
      </c>
      <c r="I189" s="1314" t="s">
        <v>45</v>
      </c>
      <c r="J189" s="184">
        <v>200</v>
      </c>
      <c r="K189" s="75">
        <v>360</v>
      </c>
      <c r="L189" s="75">
        <v>1950</v>
      </c>
      <c r="M189" s="193">
        <v>37.771203495705691</v>
      </c>
      <c r="N189" s="87">
        <v>2728.1674652303491</v>
      </c>
      <c r="O189" s="123">
        <v>57112.648686870649</v>
      </c>
      <c r="P189" s="121">
        <v>70124.827365499063</v>
      </c>
      <c r="Q189" s="310">
        <v>26687.890504018917</v>
      </c>
      <c r="R189" s="319">
        <v>83800.539190889569</v>
      </c>
      <c r="S189" s="315">
        <v>96812.717869517975</v>
      </c>
      <c r="U189" s="7" t="s">
        <v>5647</v>
      </c>
    </row>
    <row r="190" spans="1:21" ht="16.5" thickBot="1">
      <c r="A190" s="1311" t="s">
        <v>4588</v>
      </c>
      <c r="B190" s="1315">
        <f t="shared" si="9"/>
        <v>200</v>
      </c>
      <c r="C190" s="1315" t="s">
        <v>3</v>
      </c>
      <c r="D190" s="1315">
        <f t="shared" si="10"/>
        <v>360</v>
      </c>
      <c r="E190" s="1315" t="s">
        <v>3</v>
      </c>
      <c r="F190" s="1313">
        <f t="shared" si="11"/>
        <v>2000</v>
      </c>
      <c r="G190" s="1315" t="s">
        <v>3</v>
      </c>
      <c r="H190" s="1312">
        <v>4</v>
      </c>
      <c r="I190" s="1314" t="s">
        <v>45</v>
      </c>
      <c r="J190" s="184">
        <v>200</v>
      </c>
      <c r="K190" s="75">
        <v>360</v>
      </c>
      <c r="L190" s="75">
        <v>2000</v>
      </c>
      <c r="M190" s="193">
        <v>38.80015291780812</v>
      </c>
      <c r="N190" s="87">
        <v>2813.422698518797</v>
      </c>
      <c r="O190" s="123">
        <v>58756.067134736855</v>
      </c>
      <c r="P190" s="121">
        <v>71729.614192986235</v>
      </c>
      <c r="Q190" s="310">
        <v>27472.069423305118</v>
      </c>
      <c r="R190" s="319">
        <v>86228.136558041966</v>
      </c>
      <c r="S190" s="315">
        <v>99201.683616291353</v>
      </c>
      <c r="U190" s="7" t="s">
        <v>5648</v>
      </c>
    </row>
    <row r="191" spans="1:21" ht="16.5" thickBot="1">
      <c r="A191" s="1311" t="s">
        <v>4588</v>
      </c>
      <c r="B191" s="1315">
        <f t="shared" si="9"/>
        <v>200</v>
      </c>
      <c r="C191" s="1315" t="s">
        <v>3</v>
      </c>
      <c r="D191" s="1315">
        <f t="shared" si="10"/>
        <v>360</v>
      </c>
      <c r="E191" s="1315" t="s">
        <v>3</v>
      </c>
      <c r="F191" s="1313">
        <f t="shared" si="11"/>
        <v>2050</v>
      </c>
      <c r="G191" s="1315" t="s">
        <v>3</v>
      </c>
      <c r="H191" s="1312">
        <v>4</v>
      </c>
      <c r="I191" s="1314" t="s">
        <v>45</v>
      </c>
      <c r="J191" s="184">
        <v>200</v>
      </c>
      <c r="K191" s="75">
        <v>360</v>
      </c>
      <c r="L191" s="75">
        <v>2050</v>
      </c>
      <c r="M191" s="193">
        <v>39.673030339910554</v>
      </c>
      <c r="N191" s="87">
        <v>2898.6779318072458</v>
      </c>
      <c r="O191" s="123">
        <v>59933.452904438302</v>
      </c>
      <c r="P191" s="121">
        <v>73166.984743559413</v>
      </c>
      <c r="Q191" s="310">
        <v>28025.666564808042</v>
      </c>
      <c r="R191" s="319">
        <v>87959.119469246347</v>
      </c>
      <c r="S191" s="315">
        <v>101192.65130836745</v>
      </c>
      <c r="U191" s="7" t="s">
        <v>5649</v>
      </c>
    </row>
    <row r="192" spans="1:21" ht="16.5" thickBot="1">
      <c r="A192" s="1311" t="s">
        <v>4588</v>
      </c>
      <c r="B192" s="1312">
        <f t="shared" si="9"/>
        <v>200</v>
      </c>
      <c r="C192" s="1312" t="s">
        <v>3</v>
      </c>
      <c r="D192" s="1312">
        <f t="shared" si="10"/>
        <v>360</v>
      </c>
      <c r="E192" s="1312" t="s">
        <v>3</v>
      </c>
      <c r="F192" s="1313">
        <f t="shared" si="11"/>
        <v>2100</v>
      </c>
      <c r="G192" s="1312" t="s">
        <v>3</v>
      </c>
      <c r="H192" s="1312">
        <v>4</v>
      </c>
      <c r="I192" s="1314" t="s">
        <v>45</v>
      </c>
      <c r="J192" s="184">
        <v>200</v>
      </c>
      <c r="K192" s="75">
        <v>360</v>
      </c>
      <c r="L192" s="75">
        <v>2100</v>
      </c>
      <c r="M192" s="193">
        <v>40.545907762012988</v>
      </c>
      <c r="N192" s="87">
        <v>2983.9331650956942</v>
      </c>
      <c r="O192" s="123">
        <v>61110.838674139733</v>
      </c>
      <c r="P192" s="121">
        <v>74604.355294132591</v>
      </c>
      <c r="Q192" s="310">
        <v>28809.845484094247</v>
      </c>
      <c r="R192" s="319">
        <v>89920.684158233984</v>
      </c>
      <c r="S192" s="315">
        <v>103414.20077822683</v>
      </c>
      <c r="U192" s="7" t="s">
        <v>5650</v>
      </c>
    </row>
    <row r="193" spans="1:21" ht="16.5" thickBot="1">
      <c r="A193" s="1311" t="s">
        <v>4588</v>
      </c>
      <c r="B193" s="1315">
        <f t="shared" si="9"/>
        <v>200</v>
      </c>
      <c r="C193" s="1315" t="s">
        <v>3</v>
      </c>
      <c r="D193" s="1315">
        <f t="shared" si="10"/>
        <v>360</v>
      </c>
      <c r="E193" s="1315" t="s">
        <v>3</v>
      </c>
      <c r="F193" s="1313">
        <f t="shared" si="11"/>
        <v>2150</v>
      </c>
      <c r="G193" s="1315" t="s">
        <v>3</v>
      </c>
      <c r="H193" s="1312">
        <v>4</v>
      </c>
      <c r="I193" s="1314" t="s">
        <v>45</v>
      </c>
      <c r="J193" s="184">
        <v>200</v>
      </c>
      <c r="K193" s="75">
        <v>360</v>
      </c>
      <c r="L193" s="75">
        <v>2150</v>
      </c>
      <c r="M193" s="193">
        <v>41.418785184115428</v>
      </c>
      <c r="N193" s="87">
        <v>3069.1883983841426</v>
      </c>
      <c r="O193" s="123">
        <v>62288.22444384118</v>
      </c>
      <c r="P193" s="121">
        <v>76041.725844705768</v>
      </c>
      <c r="Q193" s="310">
        <v>29363.442625597167</v>
      </c>
      <c r="R193" s="319">
        <v>91651.66706943835</v>
      </c>
      <c r="S193" s="315">
        <v>105405.16847030293</v>
      </c>
      <c r="U193" s="7" t="s">
        <v>5651</v>
      </c>
    </row>
    <row r="194" spans="1:21" ht="16.5" thickBot="1">
      <c r="A194" s="1311" t="s">
        <v>4588</v>
      </c>
      <c r="B194" s="1315">
        <f t="shared" si="9"/>
        <v>200</v>
      </c>
      <c r="C194" s="1315" t="s">
        <v>3</v>
      </c>
      <c r="D194" s="1315">
        <f t="shared" si="10"/>
        <v>360</v>
      </c>
      <c r="E194" s="1315" t="s">
        <v>3</v>
      </c>
      <c r="F194" s="1313">
        <f t="shared" si="11"/>
        <v>2200</v>
      </c>
      <c r="G194" s="1315" t="s">
        <v>3</v>
      </c>
      <c r="H194" s="1312">
        <v>4</v>
      </c>
      <c r="I194" s="1314" t="s">
        <v>45</v>
      </c>
      <c r="J194" s="184">
        <v>200</v>
      </c>
      <c r="K194" s="75">
        <v>360</v>
      </c>
      <c r="L194" s="75">
        <v>2200</v>
      </c>
      <c r="M194" s="193">
        <v>42.291662606217855</v>
      </c>
      <c r="N194" s="87">
        <v>3154.443631672591</v>
      </c>
      <c r="O194" s="123">
        <v>63465.610073149248</v>
      </c>
      <c r="P194" s="121">
        <v>77479.09625488559</v>
      </c>
      <c r="Q194" s="310">
        <v>30147.621544883372</v>
      </c>
      <c r="R194" s="319">
        <v>93613.231618032616</v>
      </c>
      <c r="S194" s="315">
        <v>107626.71779976896</v>
      </c>
      <c r="U194" s="7" t="s">
        <v>5652</v>
      </c>
    </row>
    <row r="195" spans="1:21" ht="16.5" thickBot="1">
      <c r="A195" s="1311" t="s">
        <v>4588</v>
      </c>
      <c r="B195" s="1315">
        <f t="shared" si="9"/>
        <v>200</v>
      </c>
      <c r="C195" s="1315" t="s">
        <v>3</v>
      </c>
      <c r="D195" s="1315">
        <f t="shared" si="10"/>
        <v>360</v>
      </c>
      <c r="E195" s="1315" t="s">
        <v>3</v>
      </c>
      <c r="F195" s="1313">
        <f t="shared" si="11"/>
        <v>2250</v>
      </c>
      <c r="G195" s="1315" t="s">
        <v>3</v>
      </c>
      <c r="H195" s="1312">
        <v>4</v>
      </c>
      <c r="I195" s="1314" t="s">
        <v>45</v>
      </c>
      <c r="J195" s="184">
        <v>200</v>
      </c>
      <c r="K195" s="75">
        <v>360</v>
      </c>
      <c r="L195" s="75">
        <v>2250</v>
      </c>
      <c r="M195" s="193">
        <v>43.164540028320289</v>
      </c>
      <c r="N195" s="87">
        <v>3239.6988649610394</v>
      </c>
      <c r="O195" s="123">
        <v>64642.995842850694</v>
      </c>
      <c r="P195" s="121">
        <v>78916.466805458753</v>
      </c>
      <c r="Q195" s="310">
        <v>30701.218686386295</v>
      </c>
      <c r="R195" s="319">
        <v>95344.214529236982</v>
      </c>
      <c r="S195" s="315">
        <v>109617.68549184504</v>
      </c>
      <c r="U195" s="7" t="s">
        <v>5653</v>
      </c>
    </row>
    <row r="196" spans="1:21" ht="16.5" thickBot="1">
      <c r="A196" s="1311" t="s">
        <v>4588</v>
      </c>
      <c r="B196" s="1315">
        <f t="shared" si="9"/>
        <v>200</v>
      </c>
      <c r="C196" s="1315" t="s">
        <v>3</v>
      </c>
      <c r="D196" s="1315">
        <f t="shared" si="10"/>
        <v>360</v>
      </c>
      <c r="E196" s="1315" t="s">
        <v>3</v>
      </c>
      <c r="F196" s="1313">
        <f t="shared" si="11"/>
        <v>2300</v>
      </c>
      <c r="G196" s="1315" t="s">
        <v>3</v>
      </c>
      <c r="H196" s="1312">
        <v>4</v>
      </c>
      <c r="I196" s="1314" t="s">
        <v>45</v>
      </c>
      <c r="J196" s="184">
        <v>200</v>
      </c>
      <c r="K196" s="75">
        <v>360</v>
      </c>
      <c r="L196" s="75">
        <v>2300</v>
      </c>
      <c r="M196" s="193">
        <v>44.037417450422723</v>
      </c>
      <c r="N196" s="87">
        <v>3324.9540982494877</v>
      </c>
      <c r="O196" s="123">
        <v>65820.381612552126</v>
      </c>
      <c r="P196" s="121">
        <v>80353.837356031931</v>
      </c>
      <c r="Q196" s="310">
        <v>31254.815827889219</v>
      </c>
      <c r="R196" s="319">
        <v>97075.197440441349</v>
      </c>
      <c r="S196" s="315">
        <v>111608.65318392115</v>
      </c>
      <c r="U196" s="7" t="s">
        <v>5654</v>
      </c>
    </row>
    <row r="197" spans="1:21" ht="16.5" thickBot="1">
      <c r="A197" s="1311" t="s">
        <v>4588</v>
      </c>
      <c r="B197" s="1315">
        <f t="shared" si="9"/>
        <v>200</v>
      </c>
      <c r="C197" s="1315" t="s">
        <v>3</v>
      </c>
      <c r="D197" s="1315">
        <f t="shared" si="10"/>
        <v>360</v>
      </c>
      <c r="E197" s="1315" t="s">
        <v>3</v>
      </c>
      <c r="F197" s="1313">
        <f t="shared" si="11"/>
        <v>2350</v>
      </c>
      <c r="G197" s="1315" t="s">
        <v>3</v>
      </c>
      <c r="H197" s="1312">
        <v>4</v>
      </c>
      <c r="I197" s="1314" t="s">
        <v>45</v>
      </c>
      <c r="J197" s="184">
        <v>200</v>
      </c>
      <c r="K197" s="75">
        <v>360</v>
      </c>
      <c r="L197" s="75">
        <v>2350</v>
      </c>
      <c r="M197" s="193">
        <v>44.910294872525171</v>
      </c>
      <c r="N197" s="87">
        <v>3410.2093315379361</v>
      </c>
      <c r="O197" s="123">
        <v>66997.767382253573</v>
      </c>
      <c r="P197" s="121">
        <v>81791.207906605108</v>
      </c>
      <c r="Q197" s="310">
        <v>32038.99474717542</v>
      </c>
      <c r="R197" s="319">
        <v>99036.762129429</v>
      </c>
      <c r="S197" s="315">
        <v>113830.20265378052</v>
      </c>
      <c r="U197" s="7" t="s">
        <v>5655</v>
      </c>
    </row>
    <row r="198" spans="1:21" ht="16.5" thickBot="1">
      <c r="A198" s="1311" t="s">
        <v>4588</v>
      </c>
      <c r="B198" s="1315">
        <f t="shared" si="9"/>
        <v>200</v>
      </c>
      <c r="C198" s="1315" t="s">
        <v>3</v>
      </c>
      <c r="D198" s="1315">
        <f t="shared" si="10"/>
        <v>360</v>
      </c>
      <c r="E198" s="1315" t="s">
        <v>3</v>
      </c>
      <c r="F198" s="1313">
        <f t="shared" si="11"/>
        <v>2400</v>
      </c>
      <c r="G198" s="1315" t="s">
        <v>3</v>
      </c>
      <c r="H198" s="1312">
        <v>4</v>
      </c>
      <c r="I198" s="1314" t="s">
        <v>45</v>
      </c>
      <c r="J198" s="184">
        <v>200</v>
      </c>
      <c r="K198" s="75">
        <v>360</v>
      </c>
      <c r="L198" s="75">
        <v>2400</v>
      </c>
      <c r="M198" s="193">
        <v>45.78317229462759</v>
      </c>
      <c r="N198" s="87">
        <v>3495.464564826384</v>
      </c>
      <c r="O198" s="123">
        <v>68175.153011561648</v>
      </c>
      <c r="P198" s="121">
        <v>83228.578457178271</v>
      </c>
      <c r="Q198" s="310">
        <v>32592.591888678344</v>
      </c>
      <c r="R198" s="319">
        <v>100767.74490024</v>
      </c>
      <c r="S198" s="315">
        <v>115821.17034585662</v>
      </c>
      <c r="U198" s="7" t="s">
        <v>5656</v>
      </c>
    </row>
    <row r="199" spans="1:21" ht="16.5" thickBot="1">
      <c r="A199" s="1311" t="s">
        <v>4588</v>
      </c>
      <c r="B199" s="1315">
        <f t="shared" si="9"/>
        <v>200</v>
      </c>
      <c r="C199" s="1315" t="s">
        <v>3</v>
      </c>
      <c r="D199" s="1315">
        <f t="shared" si="10"/>
        <v>360</v>
      </c>
      <c r="E199" s="1315" t="s">
        <v>3</v>
      </c>
      <c r="F199" s="1313">
        <f t="shared" si="11"/>
        <v>2450</v>
      </c>
      <c r="G199" s="1315" t="s">
        <v>3</v>
      </c>
      <c r="H199" s="1312">
        <v>4</v>
      </c>
      <c r="I199" s="1314" t="s">
        <v>45</v>
      </c>
      <c r="J199" s="184">
        <v>200</v>
      </c>
      <c r="K199" s="75">
        <v>360</v>
      </c>
      <c r="L199" s="75">
        <v>2450</v>
      </c>
      <c r="M199" s="193">
        <v>46.656049716730031</v>
      </c>
      <c r="N199" s="87">
        <v>3580.7197981148329</v>
      </c>
      <c r="O199" s="123">
        <v>69352.53878126308</v>
      </c>
      <c r="P199" s="121">
        <v>84665.949007751464</v>
      </c>
      <c r="Q199" s="310">
        <v>33376.770807964545</v>
      </c>
      <c r="R199" s="319">
        <v>102729.30958922763</v>
      </c>
      <c r="S199" s="315">
        <v>118042.719815716</v>
      </c>
      <c r="U199" s="7" t="s">
        <v>5657</v>
      </c>
    </row>
    <row r="200" spans="1:21" ht="16.5" thickBot="1">
      <c r="A200" s="1311" t="s">
        <v>4588</v>
      </c>
      <c r="B200" s="1315">
        <f t="shared" si="9"/>
        <v>200</v>
      </c>
      <c r="C200" s="1315" t="s">
        <v>3</v>
      </c>
      <c r="D200" s="1315">
        <f t="shared" si="10"/>
        <v>360</v>
      </c>
      <c r="E200" s="1315" t="s">
        <v>3</v>
      </c>
      <c r="F200" s="1313">
        <f t="shared" si="11"/>
        <v>2500</v>
      </c>
      <c r="G200" s="1315" t="s">
        <v>3</v>
      </c>
      <c r="H200" s="1312">
        <v>4</v>
      </c>
      <c r="I200" s="1314" t="s">
        <v>45</v>
      </c>
      <c r="J200" s="184">
        <v>200</v>
      </c>
      <c r="K200" s="75">
        <v>360</v>
      </c>
      <c r="L200" s="75">
        <v>2500</v>
      </c>
      <c r="M200" s="193">
        <v>48.269415938832459</v>
      </c>
      <c r="N200" s="87">
        <v>3665.9750314032813</v>
      </c>
      <c r="O200" s="123">
        <v>71614.126472600372</v>
      </c>
      <c r="P200" s="121">
        <v>87645.422995749352</v>
      </c>
      <c r="Q200" s="310">
        <v>33930.367949467472</v>
      </c>
      <c r="R200" s="319">
        <v>105544.49442206784</v>
      </c>
      <c r="S200" s="315">
        <v>121575.79094521682</v>
      </c>
      <c r="U200" s="7" t="s">
        <v>5658</v>
      </c>
    </row>
    <row r="201" spans="1:21" ht="16.5" thickBot="1">
      <c r="A201" s="1311" t="s">
        <v>4588</v>
      </c>
      <c r="B201" s="1315">
        <f t="shared" si="9"/>
        <v>200</v>
      </c>
      <c r="C201" s="1315" t="s">
        <v>3</v>
      </c>
      <c r="D201" s="1315">
        <f t="shared" si="10"/>
        <v>360</v>
      </c>
      <c r="E201" s="1315" t="s">
        <v>3</v>
      </c>
      <c r="F201" s="1313">
        <f t="shared" si="11"/>
        <v>2550</v>
      </c>
      <c r="G201" s="1315" t="s">
        <v>3</v>
      </c>
      <c r="H201" s="1312">
        <v>4</v>
      </c>
      <c r="I201" s="1314" t="s">
        <v>45</v>
      </c>
      <c r="J201" s="184">
        <v>200</v>
      </c>
      <c r="K201" s="75">
        <v>360</v>
      </c>
      <c r="L201" s="75">
        <v>2550</v>
      </c>
      <c r="M201" s="193">
        <v>49.142293360934914</v>
      </c>
      <c r="N201" s="87">
        <v>3751.2302646917301</v>
      </c>
      <c r="O201" s="123">
        <v>73154.709590302591</v>
      </c>
      <c r="P201" s="121">
        <v>89096.832882572533</v>
      </c>
      <c r="Q201" s="310">
        <v>34714.547009147034</v>
      </c>
      <c r="R201" s="319">
        <v>107869.25659944963</v>
      </c>
      <c r="S201" s="315">
        <v>123811.37989171957</v>
      </c>
      <c r="U201" s="7" t="s">
        <v>5659</v>
      </c>
    </row>
    <row r="202" spans="1:21" ht="16.5" thickBot="1">
      <c r="A202" s="1311" t="s">
        <v>4588</v>
      </c>
      <c r="B202" s="1312">
        <f t="shared" si="9"/>
        <v>200</v>
      </c>
      <c r="C202" s="1312" t="s">
        <v>3</v>
      </c>
      <c r="D202" s="1312">
        <f t="shared" si="10"/>
        <v>360</v>
      </c>
      <c r="E202" s="1312" t="s">
        <v>3</v>
      </c>
      <c r="F202" s="1313">
        <f t="shared" si="11"/>
        <v>2600</v>
      </c>
      <c r="G202" s="1312" t="s">
        <v>3</v>
      </c>
      <c r="H202" s="1312">
        <v>4</v>
      </c>
      <c r="I202" s="1314" t="s">
        <v>45</v>
      </c>
      <c r="J202" s="184">
        <v>200</v>
      </c>
      <c r="K202" s="75">
        <v>360</v>
      </c>
      <c r="L202" s="75">
        <v>2600</v>
      </c>
      <c r="M202" s="193">
        <v>50.015170783037334</v>
      </c>
      <c r="N202" s="87">
        <v>3836.485497980178</v>
      </c>
      <c r="O202" s="123">
        <v>74332.095360004038</v>
      </c>
      <c r="P202" s="121">
        <v>90534.203433145696</v>
      </c>
      <c r="Q202" s="310">
        <v>35268.144150649961</v>
      </c>
      <c r="R202" s="319">
        <v>109600.23951065401</v>
      </c>
      <c r="S202" s="315">
        <v>125802.34758379566</v>
      </c>
      <c r="U202" s="7" t="s">
        <v>5660</v>
      </c>
    </row>
    <row r="203" spans="1:21" ht="16.5" thickBot="1">
      <c r="A203" s="1311" t="s">
        <v>4588</v>
      </c>
      <c r="B203" s="1315">
        <f t="shared" si="9"/>
        <v>200</v>
      </c>
      <c r="C203" s="1315" t="s">
        <v>3</v>
      </c>
      <c r="D203" s="1315">
        <f t="shared" si="10"/>
        <v>360</v>
      </c>
      <c r="E203" s="1315" t="s">
        <v>3</v>
      </c>
      <c r="F203" s="1313">
        <f t="shared" si="11"/>
        <v>2650</v>
      </c>
      <c r="G203" s="1315" t="s">
        <v>3</v>
      </c>
      <c r="H203" s="1312">
        <v>4</v>
      </c>
      <c r="I203" s="1314" t="s">
        <v>45</v>
      </c>
      <c r="J203" s="184">
        <v>200</v>
      </c>
      <c r="K203" s="75">
        <v>360</v>
      </c>
      <c r="L203" s="75">
        <v>2650</v>
      </c>
      <c r="M203" s="193">
        <v>50.888048205139768</v>
      </c>
      <c r="N203" s="87">
        <v>3921.7407312686264</v>
      </c>
      <c r="O203" s="123">
        <v>75509.481129705469</v>
      </c>
      <c r="P203" s="121">
        <v>91971.573983718888</v>
      </c>
      <c r="Q203" s="310">
        <v>36052.323069936159</v>
      </c>
      <c r="R203" s="319">
        <v>111561.80419964163</v>
      </c>
      <c r="S203" s="315">
        <v>128023.89705365505</v>
      </c>
      <c r="U203" s="7" t="s">
        <v>5661</v>
      </c>
    </row>
    <row r="204" spans="1:21" ht="16.5" thickBot="1">
      <c r="A204" s="1311" t="s">
        <v>4588</v>
      </c>
      <c r="B204" s="1315">
        <f t="shared" si="9"/>
        <v>200</v>
      </c>
      <c r="C204" s="1315" t="s">
        <v>3</v>
      </c>
      <c r="D204" s="1315">
        <f t="shared" si="10"/>
        <v>360</v>
      </c>
      <c r="E204" s="1315" t="s">
        <v>3</v>
      </c>
      <c r="F204" s="1313">
        <f t="shared" si="11"/>
        <v>2700</v>
      </c>
      <c r="G204" s="1315" t="s">
        <v>3</v>
      </c>
      <c r="H204" s="1312">
        <v>4</v>
      </c>
      <c r="I204" s="1314" t="s">
        <v>45</v>
      </c>
      <c r="J204" s="184">
        <v>200</v>
      </c>
      <c r="K204" s="75">
        <v>360</v>
      </c>
      <c r="L204" s="75">
        <v>2700</v>
      </c>
      <c r="M204" s="193">
        <v>51.760925627242209</v>
      </c>
      <c r="N204" s="87">
        <v>4006.9959645570752</v>
      </c>
      <c r="O204" s="123">
        <v>76686.866759013545</v>
      </c>
      <c r="P204" s="121">
        <v>93408.944393898695</v>
      </c>
      <c r="Q204" s="310">
        <v>36605.920211439086</v>
      </c>
      <c r="R204" s="319">
        <v>113292.78697045264</v>
      </c>
      <c r="S204" s="315">
        <v>130014.86460533779</v>
      </c>
      <c r="U204" s="7" t="s">
        <v>5662</v>
      </c>
    </row>
    <row r="205" spans="1:21" ht="16.5" thickBot="1">
      <c r="A205" s="1311" t="s">
        <v>4588</v>
      </c>
      <c r="B205" s="1315">
        <f t="shared" si="9"/>
        <v>200</v>
      </c>
      <c r="C205" s="1315" t="s">
        <v>3</v>
      </c>
      <c r="D205" s="1315">
        <f t="shared" si="10"/>
        <v>360</v>
      </c>
      <c r="E205" s="1315" t="s">
        <v>3</v>
      </c>
      <c r="F205" s="1313">
        <f t="shared" si="11"/>
        <v>2750</v>
      </c>
      <c r="G205" s="1315" t="s">
        <v>3</v>
      </c>
      <c r="H205" s="1312">
        <v>4</v>
      </c>
      <c r="I205" s="1314" t="s">
        <v>45</v>
      </c>
      <c r="J205" s="184">
        <v>200</v>
      </c>
      <c r="K205" s="75">
        <v>360</v>
      </c>
      <c r="L205" s="75">
        <v>2750</v>
      </c>
      <c r="M205" s="193">
        <v>52.633803049344635</v>
      </c>
      <c r="N205" s="87">
        <v>4092.2511978455232</v>
      </c>
      <c r="O205" s="123">
        <v>77864.252528714977</v>
      </c>
      <c r="P205" s="121">
        <v>94846.314944471858</v>
      </c>
      <c r="Q205" s="310">
        <v>37159.517352942006</v>
      </c>
      <c r="R205" s="319">
        <v>115023.76988165698</v>
      </c>
      <c r="S205" s="315">
        <v>132005.83229741387</v>
      </c>
      <c r="U205" s="7" t="s">
        <v>5663</v>
      </c>
    </row>
    <row r="206" spans="1:21" ht="16.5" thickBot="1">
      <c r="A206" s="1311" t="s">
        <v>4588</v>
      </c>
      <c r="B206" s="1315">
        <f t="shared" si="9"/>
        <v>200</v>
      </c>
      <c r="C206" s="1315" t="s">
        <v>3</v>
      </c>
      <c r="D206" s="1315">
        <f t="shared" si="10"/>
        <v>360</v>
      </c>
      <c r="E206" s="1315" t="s">
        <v>3</v>
      </c>
      <c r="F206" s="1313">
        <f t="shared" si="11"/>
        <v>2800</v>
      </c>
      <c r="G206" s="1315" t="s">
        <v>3</v>
      </c>
      <c r="H206" s="1312">
        <v>4</v>
      </c>
      <c r="I206" s="1314" t="s">
        <v>45</v>
      </c>
      <c r="J206" s="184">
        <v>200</v>
      </c>
      <c r="K206" s="75">
        <v>360</v>
      </c>
      <c r="L206" s="75">
        <v>2800</v>
      </c>
      <c r="M206" s="193">
        <v>53.506680471447083</v>
      </c>
      <c r="N206" s="87">
        <v>4177.506431133972</v>
      </c>
      <c r="O206" s="123">
        <v>79041.638298416408</v>
      </c>
      <c r="P206" s="121">
        <v>96283.685495045051</v>
      </c>
      <c r="Q206" s="310">
        <v>37943.696272228204</v>
      </c>
      <c r="R206" s="319">
        <v>116985.33457064461</v>
      </c>
      <c r="S206" s="315">
        <v>134227.38176727324</v>
      </c>
      <c r="U206" s="7" t="s">
        <v>5664</v>
      </c>
    </row>
    <row r="207" spans="1:21" ht="16.5" thickBot="1">
      <c r="A207" s="1311" t="s">
        <v>4588</v>
      </c>
      <c r="B207" s="1315">
        <f t="shared" si="9"/>
        <v>200</v>
      </c>
      <c r="C207" s="1315" t="s">
        <v>3</v>
      </c>
      <c r="D207" s="1315">
        <f t="shared" si="10"/>
        <v>360</v>
      </c>
      <c r="E207" s="1315" t="s">
        <v>3</v>
      </c>
      <c r="F207" s="1313">
        <f t="shared" si="11"/>
        <v>2850</v>
      </c>
      <c r="G207" s="1315" t="s">
        <v>3</v>
      </c>
      <c r="H207" s="1312">
        <v>4</v>
      </c>
      <c r="I207" s="1314" t="s">
        <v>45</v>
      </c>
      <c r="J207" s="184">
        <v>200</v>
      </c>
      <c r="K207" s="75">
        <v>360</v>
      </c>
      <c r="L207" s="75">
        <v>2850</v>
      </c>
      <c r="M207" s="193">
        <v>54.379557893549503</v>
      </c>
      <c r="N207" s="87">
        <v>4262.7616644224199</v>
      </c>
      <c r="O207" s="123">
        <v>80219.024068117855</v>
      </c>
      <c r="P207" s="121">
        <v>97721.056045618228</v>
      </c>
      <c r="Q207" s="310">
        <v>38497.293413731131</v>
      </c>
      <c r="R207" s="319">
        <v>118716.31748184899</v>
      </c>
      <c r="S207" s="315">
        <v>136218.34945934935</v>
      </c>
      <c r="U207" s="7" t="s">
        <v>5665</v>
      </c>
    </row>
    <row r="208" spans="1:21" ht="16.5" thickBot="1">
      <c r="A208" s="1311" t="s">
        <v>4588</v>
      </c>
      <c r="B208" s="1315">
        <f t="shared" si="9"/>
        <v>200</v>
      </c>
      <c r="C208" s="1315" t="s">
        <v>3</v>
      </c>
      <c r="D208" s="1315">
        <f t="shared" si="10"/>
        <v>360</v>
      </c>
      <c r="E208" s="1315" t="s">
        <v>3</v>
      </c>
      <c r="F208" s="1313">
        <f t="shared" si="11"/>
        <v>2900</v>
      </c>
      <c r="G208" s="1315" t="s">
        <v>3</v>
      </c>
      <c r="H208" s="1312">
        <v>4</v>
      </c>
      <c r="I208" s="1314" t="s">
        <v>45</v>
      </c>
      <c r="J208" s="184">
        <v>200</v>
      </c>
      <c r="K208" s="75">
        <v>360</v>
      </c>
      <c r="L208" s="75">
        <v>2900</v>
      </c>
      <c r="M208" s="193">
        <v>55.252435315651937</v>
      </c>
      <c r="N208" s="87">
        <v>4348.0168977108679</v>
      </c>
      <c r="O208" s="123">
        <v>81396.40969742593</v>
      </c>
      <c r="P208" s="121">
        <v>99158.426596191392</v>
      </c>
      <c r="Q208" s="310">
        <v>39281.472333017329</v>
      </c>
      <c r="R208" s="319">
        <v>120677.88203044326</v>
      </c>
      <c r="S208" s="315">
        <v>138439.89892920872</v>
      </c>
      <c r="U208" s="7" t="s">
        <v>5666</v>
      </c>
    </row>
    <row r="209" spans="1:21" ht="16.5" thickBot="1">
      <c r="A209" s="1311" t="s">
        <v>4588</v>
      </c>
      <c r="B209" s="1315">
        <f t="shared" si="9"/>
        <v>200</v>
      </c>
      <c r="C209" s="1315" t="s">
        <v>3</v>
      </c>
      <c r="D209" s="1315">
        <f t="shared" si="10"/>
        <v>360</v>
      </c>
      <c r="E209" s="1315" t="s">
        <v>3</v>
      </c>
      <c r="F209" s="1313">
        <f t="shared" si="11"/>
        <v>2950</v>
      </c>
      <c r="G209" s="1315" t="s">
        <v>3</v>
      </c>
      <c r="H209" s="1312">
        <v>4</v>
      </c>
      <c r="I209" s="1314" t="s">
        <v>45</v>
      </c>
      <c r="J209" s="184">
        <v>200</v>
      </c>
      <c r="K209" s="75">
        <v>360</v>
      </c>
      <c r="L209" s="75">
        <v>2950</v>
      </c>
      <c r="M209" s="193">
        <v>56.125312737754385</v>
      </c>
      <c r="N209" s="87">
        <v>4433.2721309993167</v>
      </c>
      <c r="O209" s="123">
        <v>82573.795467127362</v>
      </c>
      <c r="P209" s="121">
        <v>100595.79714676457</v>
      </c>
      <c r="Q209" s="310">
        <v>39835.069474520256</v>
      </c>
      <c r="R209" s="319">
        <v>122408.86494164763</v>
      </c>
      <c r="S209" s="315">
        <v>140430.86662128483</v>
      </c>
      <c r="U209" s="7" t="s">
        <v>5667</v>
      </c>
    </row>
    <row r="210" spans="1:21" ht="16.5" thickBot="1">
      <c r="A210" s="1311" t="s">
        <v>4588</v>
      </c>
      <c r="B210" s="1315">
        <f t="shared" si="9"/>
        <v>200</v>
      </c>
      <c r="C210" s="1315" t="s">
        <v>3</v>
      </c>
      <c r="D210" s="1315">
        <f t="shared" si="10"/>
        <v>360</v>
      </c>
      <c r="E210" s="1315" t="s">
        <v>3</v>
      </c>
      <c r="F210" s="1313">
        <f t="shared" si="11"/>
        <v>3000</v>
      </c>
      <c r="G210" s="1315" t="s">
        <v>3</v>
      </c>
      <c r="H210" s="1312">
        <v>4</v>
      </c>
      <c r="I210" s="1314" t="s">
        <v>45</v>
      </c>
      <c r="J210" s="186">
        <v>200</v>
      </c>
      <c r="K210" s="147">
        <v>360</v>
      </c>
      <c r="L210" s="147">
        <v>3000</v>
      </c>
      <c r="M210" s="194">
        <v>57.310334159856808</v>
      </c>
      <c r="N210" s="148">
        <v>4518.5273642877655</v>
      </c>
      <c r="O210" s="149">
        <v>84014.806277196796</v>
      </c>
      <c r="P210" s="158">
        <v>102296.79259731238</v>
      </c>
      <c r="Q210" s="311">
        <v>40619.248393806454</v>
      </c>
      <c r="R210" s="320">
        <v>124634.05467100325</v>
      </c>
      <c r="S210" s="317">
        <v>142916.04099111882</v>
      </c>
      <c r="U210" s="7" t="s">
        <v>5668</v>
      </c>
    </row>
    <row r="211" spans="1:21" ht="19.5" thickBot="1">
      <c r="A211" s="2580" t="s">
        <v>67</v>
      </c>
      <c r="B211" s="2581"/>
      <c r="C211" s="2581"/>
      <c r="D211" s="2581"/>
      <c r="E211" s="2581"/>
      <c r="F211" s="2581"/>
      <c r="G211" s="2581"/>
      <c r="H211" s="2581"/>
      <c r="I211" s="2581"/>
      <c r="J211" s="2581"/>
      <c r="K211" s="2581"/>
      <c r="L211" s="2581"/>
      <c r="M211" s="2581"/>
      <c r="N211" s="2581"/>
      <c r="O211" s="2581"/>
      <c r="P211" s="2581"/>
      <c r="Q211" s="2581"/>
      <c r="R211" s="2581"/>
      <c r="S211" s="2582"/>
      <c r="U211" s="7"/>
    </row>
    <row r="212" spans="1:21" ht="16.5" customHeight="1" thickBot="1">
      <c r="A212" s="2662" t="s">
        <v>4589</v>
      </c>
      <c r="B212" s="2663"/>
      <c r="C212" s="2663"/>
      <c r="D212" s="2663"/>
      <c r="E212" s="2663"/>
      <c r="F212" s="2663"/>
      <c r="G212" s="2663"/>
      <c r="H212" s="2663"/>
      <c r="I212" s="2663"/>
      <c r="J212" s="2663"/>
      <c r="K212" s="2663"/>
      <c r="L212" s="2663"/>
      <c r="M212" s="2663"/>
      <c r="N212" s="2663"/>
      <c r="O212" s="2663"/>
      <c r="P212" s="2663"/>
      <c r="Q212" s="2663"/>
      <c r="R212" s="2663"/>
      <c r="S212" s="2664"/>
      <c r="U212" s="7"/>
    </row>
    <row r="213" spans="1:21" ht="16.5" thickBot="1">
      <c r="A213" s="1332" t="s">
        <v>4588</v>
      </c>
      <c r="B213" s="1315">
        <f>J213</f>
        <v>200</v>
      </c>
      <c r="C213" s="1315" t="s">
        <v>3</v>
      </c>
      <c r="D213" s="1315">
        <f>K213</f>
        <v>400</v>
      </c>
      <c r="E213" s="1315" t="s">
        <v>3</v>
      </c>
      <c r="F213" s="1325">
        <f>L213</f>
        <v>600</v>
      </c>
      <c r="G213" s="1315" t="s">
        <v>3</v>
      </c>
      <c r="H213" s="1315">
        <v>4</v>
      </c>
      <c r="I213" s="1333" t="s">
        <v>45</v>
      </c>
      <c r="J213" s="181">
        <v>200</v>
      </c>
      <c r="K213" s="143">
        <v>400</v>
      </c>
      <c r="L213" s="143">
        <v>600</v>
      </c>
      <c r="M213" s="1334">
        <v>13.306952298939962</v>
      </c>
      <c r="N213" s="144">
        <v>454.10507886435329</v>
      </c>
      <c r="O213" s="145">
        <v>24477.124648333167</v>
      </c>
      <c r="P213" s="183">
        <v>30828.395698527271</v>
      </c>
      <c r="Q213" s="309">
        <v>9871.7007401553401</v>
      </c>
      <c r="R213" s="318">
        <v>34348.825388488505</v>
      </c>
      <c r="S213" s="313">
        <v>40700.096438682609</v>
      </c>
      <c r="U213" s="7" t="s">
        <v>5669</v>
      </c>
    </row>
    <row r="214" spans="1:21" ht="16.5" thickBot="1">
      <c r="A214" s="1311" t="s">
        <v>4588</v>
      </c>
      <c r="B214" s="1315">
        <f t="shared" ref="B214:B261" si="12">J214</f>
        <v>200</v>
      </c>
      <c r="C214" s="1315" t="s">
        <v>3</v>
      </c>
      <c r="D214" s="1315">
        <f t="shared" ref="D214:D261" si="13">K214</f>
        <v>400</v>
      </c>
      <c r="E214" s="1315" t="s">
        <v>3</v>
      </c>
      <c r="F214" s="1313">
        <f t="shared" ref="F214:F261" si="14">L214</f>
        <v>650</v>
      </c>
      <c r="G214" s="1315" t="s">
        <v>3</v>
      </c>
      <c r="H214" s="1312">
        <v>4</v>
      </c>
      <c r="I214" s="1314" t="s">
        <v>45</v>
      </c>
      <c r="J214" s="184">
        <v>200</v>
      </c>
      <c r="K214" s="327">
        <v>400</v>
      </c>
      <c r="L214" s="75">
        <v>650</v>
      </c>
      <c r="M214" s="193">
        <v>14.179829721042399</v>
      </c>
      <c r="N214" s="87">
        <v>544.92609463722397</v>
      </c>
      <c r="O214" s="123">
        <v>25674.099082724144</v>
      </c>
      <c r="P214" s="121">
        <v>32299.038493259406</v>
      </c>
      <c r="Q214" s="310">
        <v>10474.092577548676</v>
      </c>
      <c r="R214" s="329">
        <v>36148.191660272816</v>
      </c>
      <c r="S214" s="330">
        <v>42773.131070808085</v>
      </c>
      <c r="U214" s="7" t="s">
        <v>5670</v>
      </c>
    </row>
    <row r="215" spans="1:21" ht="16.5" thickBot="1">
      <c r="A215" s="1311" t="s">
        <v>4588</v>
      </c>
      <c r="B215" s="1315">
        <f t="shared" si="12"/>
        <v>200</v>
      </c>
      <c r="C215" s="1315" t="s">
        <v>3</v>
      </c>
      <c r="D215" s="1315">
        <f t="shared" si="13"/>
        <v>400</v>
      </c>
      <c r="E215" s="1315" t="s">
        <v>3</v>
      </c>
      <c r="F215" s="1313">
        <f t="shared" si="14"/>
        <v>700</v>
      </c>
      <c r="G215" s="1315" t="s">
        <v>3</v>
      </c>
      <c r="H215" s="1312">
        <v>4</v>
      </c>
      <c r="I215" s="1314" t="s">
        <v>45</v>
      </c>
      <c r="J215" s="184">
        <v>200</v>
      </c>
      <c r="K215" s="327">
        <v>400</v>
      </c>
      <c r="L215" s="75">
        <v>700</v>
      </c>
      <c r="M215" s="193">
        <v>15.052707143144833</v>
      </c>
      <c r="N215" s="87">
        <v>635.74711041009459</v>
      </c>
      <c r="O215" s="123">
        <v>26871.073517115117</v>
      </c>
      <c r="P215" s="121">
        <v>33769.681147598181</v>
      </c>
      <c r="Q215" s="310">
        <v>11307.066052331927</v>
      </c>
      <c r="R215" s="329">
        <v>38178.139569447041</v>
      </c>
      <c r="S215" s="330">
        <v>45076.747199930105</v>
      </c>
      <c r="U215" s="7" t="s">
        <v>5671</v>
      </c>
    </row>
    <row r="216" spans="1:21" ht="16.5" thickBot="1">
      <c r="A216" s="1311" t="s">
        <v>4588</v>
      </c>
      <c r="B216" s="1315">
        <f t="shared" si="12"/>
        <v>200</v>
      </c>
      <c r="C216" s="1315" t="s">
        <v>3</v>
      </c>
      <c r="D216" s="1315">
        <f t="shared" si="13"/>
        <v>400</v>
      </c>
      <c r="E216" s="1315" t="s">
        <v>3</v>
      </c>
      <c r="F216" s="1313">
        <f t="shared" si="14"/>
        <v>750</v>
      </c>
      <c r="G216" s="1315" t="s">
        <v>3</v>
      </c>
      <c r="H216" s="1312">
        <v>4</v>
      </c>
      <c r="I216" s="1314" t="s">
        <v>45</v>
      </c>
      <c r="J216" s="184">
        <v>200</v>
      </c>
      <c r="K216" s="327">
        <v>400</v>
      </c>
      <c r="L216" s="75">
        <v>750</v>
      </c>
      <c r="M216" s="193">
        <v>15.925584565247267</v>
      </c>
      <c r="N216" s="87">
        <v>726.56812618296533</v>
      </c>
      <c r="O216" s="123">
        <v>28068.048091899458</v>
      </c>
      <c r="P216" s="121">
        <v>35240.323801936953</v>
      </c>
      <c r="Q216" s="310">
        <v>11909.457889725263</v>
      </c>
      <c r="R216" s="329">
        <v>39977.505981624723</v>
      </c>
      <c r="S216" s="330">
        <v>47149.781691662218</v>
      </c>
      <c r="U216" s="7" t="s">
        <v>5672</v>
      </c>
    </row>
    <row r="217" spans="1:21" ht="16.5" thickBot="1">
      <c r="A217" s="1311" t="s">
        <v>4588</v>
      </c>
      <c r="B217" s="1315">
        <f t="shared" si="12"/>
        <v>200</v>
      </c>
      <c r="C217" s="1315" t="s">
        <v>3</v>
      </c>
      <c r="D217" s="1315">
        <f t="shared" si="13"/>
        <v>400</v>
      </c>
      <c r="E217" s="1315" t="s">
        <v>3</v>
      </c>
      <c r="F217" s="1313">
        <f t="shared" si="14"/>
        <v>800</v>
      </c>
      <c r="G217" s="1315" t="s">
        <v>3</v>
      </c>
      <c r="H217" s="1312">
        <v>4</v>
      </c>
      <c r="I217" s="1314" t="s">
        <v>45</v>
      </c>
      <c r="J217" s="184">
        <v>200</v>
      </c>
      <c r="K217" s="327">
        <v>400</v>
      </c>
      <c r="L217" s="75">
        <v>800</v>
      </c>
      <c r="M217" s="193">
        <v>16.798461987349697</v>
      </c>
      <c r="N217" s="87">
        <v>817.38914195583595</v>
      </c>
      <c r="O217" s="123">
        <v>29629.603872058731</v>
      </c>
      <c r="P217" s="121">
        <v>36725.005792525735</v>
      </c>
      <c r="Q217" s="310">
        <v>12511.84958672524</v>
      </c>
      <c r="R217" s="329">
        <v>42141.453458783973</v>
      </c>
      <c r="S217" s="330">
        <v>49236.855379250977</v>
      </c>
      <c r="U217" s="7" t="s">
        <v>5673</v>
      </c>
    </row>
    <row r="218" spans="1:21" ht="16.5" thickBot="1">
      <c r="A218" s="1311" t="s">
        <v>4588</v>
      </c>
      <c r="B218" s="1315">
        <f t="shared" si="12"/>
        <v>200</v>
      </c>
      <c r="C218" s="1315" t="s">
        <v>3</v>
      </c>
      <c r="D218" s="1315">
        <f t="shared" si="13"/>
        <v>400</v>
      </c>
      <c r="E218" s="1315" t="s">
        <v>3</v>
      </c>
      <c r="F218" s="1313">
        <f t="shared" si="14"/>
        <v>850</v>
      </c>
      <c r="G218" s="1315" t="s">
        <v>3</v>
      </c>
      <c r="H218" s="1312">
        <v>4</v>
      </c>
      <c r="I218" s="1314" t="s">
        <v>45</v>
      </c>
      <c r="J218" s="184">
        <v>200</v>
      </c>
      <c r="K218" s="327">
        <v>400</v>
      </c>
      <c r="L218" s="75">
        <v>850</v>
      </c>
      <c r="M218" s="193">
        <v>17.671339409452134</v>
      </c>
      <c r="N218" s="87">
        <v>908.21015772870658</v>
      </c>
      <c r="O218" s="123">
        <v>30826.578306449708</v>
      </c>
      <c r="P218" s="121">
        <v>38195.648446864507</v>
      </c>
      <c r="Q218" s="310">
        <v>13344.823201901852</v>
      </c>
      <c r="R218" s="329">
        <v>44171.401508351562</v>
      </c>
      <c r="S218" s="330">
        <v>51540.471648766361</v>
      </c>
      <c r="U218" s="7" t="s">
        <v>5674</v>
      </c>
    </row>
    <row r="219" spans="1:21" ht="16.5" thickBot="1">
      <c r="A219" s="1311" t="s">
        <v>4588</v>
      </c>
      <c r="B219" s="1315">
        <f t="shared" si="12"/>
        <v>200</v>
      </c>
      <c r="C219" s="1315" t="s">
        <v>3</v>
      </c>
      <c r="D219" s="1315">
        <f t="shared" si="13"/>
        <v>400</v>
      </c>
      <c r="E219" s="1315" t="s">
        <v>3</v>
      </c>
      <c r="F219" s="1313">
        <f t="shared" si="14"/>
        <v>900</v>
      </c>
      <c r="G219" s="1315" t="s">
        <v>3</v>
      </c>
      <c r="H219" s="1312">
        <v>4</v>
      </c>
      <c r="I219" s="1314" t="s">
        <v>45</v>
      </c>
      <c r="J219" s="184">
        <v>200</v>
      </c>
      <c r="K219" s="327">
        <v>400</v>
      </c>
      <c r="L219" s="75">
        <v>900</v>
      </c>
      <c r="M219" s="193">
        <v>18.544216831554564</v>
      </c>
      <c r="N219" s="87">
        <v>999.03117350157731</v>
      </c>
      <c r="O219" s="123">
        <v>32023.552740840682</v>
      </c>
      <c r="P219" s="121">
        <v>39666.291101203286</v>
      </c>
      <c r="Q219" s="310">
        <v>13947.21489890183</v>
      </c>
      <c r="R219" s="329">
        <v>45970.767639742509</v>
      </c>
      <c r="S219" s="330">
        <v>53613.506000105117</v>
      </c>
      <c r="U219" s="7" t="s">
        <v>5675</v>
      </c>
    </row>
    <row r="220" spans="1:21" ht="16.5" thickBot="1">
      <c r="A220" s="1311" t="s">
        <v>4588</v>
      </c>
      <c r="B220" s="1315">
        <f t="shared" si="12"/>
        <v>200</v>
      </c>
      <c r="C220" s="1315" t="s">
        <v>3</v>
      </c>
      <c r="D220" s="1315">
        <f t="shared" si="13"/>
        <v>400</v>
      </c>
      <c r="E220" s="1315" t="s">
        <v>3</v>
      </c>
      <c r="F220" s="1313">
        <f t="shared" si="14"/>
        <v>950</v>
      </c>
      <c r="G220" s="1315" t="s">
        <v>3</v>
      </c>
      <c r="H220" s="1312">
        <v>4</v>
      </c>
      <c r="I220" s="1314" t="s">
        <v>45</v>
      </c>
      <c r="J220" s="184">
        <v>200</v>
      </c>
      <c r="K220" s="327">
        <v>400</v>
      </c>
      <c r="L220" s="75">
        <v>950</v>
      </c>
      <c r="M220" s="193">
        <v>19.417094253656998</v>
      </c>
      <c r="N220" s="87">
        <v>1089.8521892744479</v>
      </c>
      <c r="O220" s="123">
        <v>33220.527315625019</v>
      </c>
      <c r="P220" s="121">
        <v>41136.933755542057</v>
      </c>
      <c r="Q220" s="310">
        <v>14780.188514078442</v>
      </c>
      <c r="R220" s="329">
        <v>48000.715829703462</v>
      </c>
      <c r="S220" s="330">
        <v>55917.1222696205</v>
      </c>
      <c r="U220" s="7" t="s">
        <v>5676</v>
      </c>
    </row>
    <row r="221" spans="1:21" ht="16.5" thickBot="1">
      <c r="A221" s="1311" t="s">
        <v>4588</v>
      </c>
      <c r="B221" s="1315">
        <f t="shared" si="12"/>
        <v>200</v>
      </c>
      <c r="C221" s="1315" t="s">
        <v>3</v>
      </c>
      <c r="D221" s="1315">
        <f t="shared" si="13"/>
        <v>400</v>
      </c>
      <c r="E221" s="1315" t="s">
        <v>3</v>
      </c>
      <c r="F221" s="1313">
        <f t="shared" si="14"/>
        <v>1000</v>
      </c>
      <c r="G221" s="1315" t="s">
        <v>3</v>
      </c>
      <c r="H221" s="1312">
        <v>4</v>
      </c>
      <c r="I221" s="1314" t="s">
        <v>45</v>
      </c>
      <c r="J221" s="184">
        <v>200</v>
      </c>
      <c r="K221" s="327">
        <v>400</v>
      </c>
      <c r="L221" s="75">
        <v>1000</v>
      </c>
      <c r="M221" s="193">
        <v>20.446043675759441</v>
      </c>
      <c r="N221" s="87">
        <v>1180.6732050473186</v>
      </c>
      <c r="O221" s="123">
        <v>34488.709263475997</v>
      </c>
      <c r="P221" s="121">
        <v>42678.783923340838</v>
      </c>
      <c r="Q221" s="310">
        <v>15382.580351471779</v>
      </c>
      <c r="R221" s="329">
        <v>49871.289614947775</v>
      </c>
      <c r="S221" s="330">
        <v>58061.364274812615</v>
      </c>
      <c r="U221" s="7" t="s">
        <v>5677</v>
      </c>
    </row>
    <row r="222" spans="1:21" ht="16.5" thickBot="1">
      <c r="A222" s="1311" t="s">
        <v>4588</v>
      </c>
      <c r="B222" s="1315">
        <f t="shared" si="12"/>
        <v>200</v>
      </c>
      <c r="C222" s="1315" t="s">
        <v>3</v>
      </c>
      <c r="D222" s="1315">
        <f t="shared" si="13"/>
        <v>400</v>
      </c>
      <c r="E222" s="1315" t="s">
        <v>3</v>
      </c>
      <c r="F222" s="1313">
        <f t="shared" si="14"/>
        <v>1050</v>
      </c>
      <c r="G222" s="1315" t="s">
        <v>3</v>
      </c>
      <c r="H222" s="1312">
        <v>4</v>
      </c>
      <c r="I222" s="1314" t="s">
        <v>45</v>
      </c>
      <c r="J222" s="184">
        <v>200</v>
      </c>
      <c r="K222" s="327">
        <v>400</v>
      </c>
      <c r="L222" s="75">
        <v>1050</v>
      </c>
      <c r="M222" s="193">
        <v>21.318921097861871</v>
      </c>
      <c r="N222" s="87">
        <v>1271.4942208201892</v>
      </c>
      <c r="O222" s="123">
        <v>35685.683697866967</v>
      </c>
      <c r="P222" s="121">
        <v>44149.426577679609</v>
      </c>
      <c r="Q222" s="310">
        <v>16215.553826255029</v>
      </c>
      <c r="R222" s="329">
        <v>51901.237524122</v>
      </c>
      <c r="S222" s="330">
        <v>60364.980403934635</v>
      </c>
      <c r="U222" s="7" t="s">
        <v>5678</v>
      </c>
    </row>
    <row r="223" spans="1:21" ht="16.5" thickBot="1">
      <c r="A223" s="1311" t="s">
        <v>4588</v>
      </c>
      <c r="B223" s="1312">
        <f t="shared" si="12"/>
        <v>200</v>
      </c>
      <c r="C223" s="1312" t="s">
        <v>3</v>
      </c>
      <c r="D223" s="1312">
        <f t="shared" si="13"/>
        <v>400</v>
      </c>
      <c r="E223" s="1312" t="s">
        <v>3</v>
      </c>
      <c r="F223" s="1313">
        <f t="shared" si="14"/>
        <v>1100</v>
      </c>
      <c r="G223" s="1312" t="s">
        <v>3</v>
      </c>
      <c r="H223" s="1312">
        <v>4</v>
      </c>
      <c r="I223" s="1314" t="s">
        <v>45</v>
      </c>
      <c r="J223" s="184">
        <v>200</v>
      </c>
      <c r="K223" s="327">
        <v>400</v>
      </c>
      <c r="L223" s="75">
        <v>1100</v>
      </c>
      <c r="M223" s="193">
        <v>22.191798519964301</v>
      </c>
      <c r="N223" s="87">
        <v>1362.3152365930598</v>
      </c>
      <c r="O223" s="123">
        <v>36882.658132257944</v>
      </c>
      <c r="P223" s="121">
        <v>45620.069232018381</v>
      </c>
      <c r="Q223" s="310">
        <v>16817.945663648366</v>
      </c>
      <c r="R223" s="329">
        <v>53700.603795906311</v>
      </c>
      <c r="S223" s="330">
        <v>62438.014895666747</v>
      </c>
      <c r="U223" s="7" t="s">
        <v>5679</v>
      </c>
    </row>
    <row r="224" spans="1:21" ht="16.5" thickBot="1">
      <c r="A224" s="1311" t="s">
        <v>4588</v>
      </c>
      <c r="B224" s="1315">
        <f t="shared" si="12"/>
        <v>200</v>
      </c>
      <c r="C224" s="1315" t="s">
        <v>3</v>
      </c>
      <c r="D224" s="1315">
        <f t="shared" si="13"/>
        <v>400</v>
      </c>
      <c r="E224" s="1315" t="s">
        <v>3</v>
      </c>
      <c r="F224" s="1313">
        <f t="shared" si="14"/>
        <v>1150</v>
      </c>
      <c r="G224" s="1315" t="s">
        <v>3</v>
      </c>
      <c r="H224" s="1312">
        <v>4</v>
      </c>
      <c r="I224" s="1314" t="s">
        <v>45</v>
      </c>
      <c r="J224" s="184">
        <v>200</v>
      </c>
      <c r="K224" s="327">
        <v>400</v>
      </c>
      <c r="L224" s="75">
        <v>1150</v>
      </c>
      <c r="M224" s="193">
        <v>23.064675942066735</v>
      </c>
      <c r="N224" s="87">
        <v>1453.1362523659307</v>
      </c>
      <c r="O224" s="123">
        <v>38079.632566648921</v>
      </c>
      <c r="P224" s="121">
        <v>47090.71188635716</v>
      </c>
      <c r="Q224" s="310">
        <v>17420.33736064834</v>
      </c>
      <c r="R224" s="329">
        <v>55499.969927297265</v>
      </c>
      <c r="S224" s="330">
        <v>64511.049247005503</v>
      </c>
      <c r="U224" s="7" t="s">
        <v>5680</v>
      </c>
    </row>
    <row r="225" spans="1:21" ht="16.5" thickBot="1">
      <c r="A225" s="1311" t="s">
        <v>4588</v>
      </c>
      <c r="B225" s="1315">
        <f t="shared" si="12"/>
        <v>200</v>
      </c>
      <c r="C225" s="1315" t="s">
        <v>3</v>
      </c>
      <c r="D225" s="1315">
        <f t="shared" si="13"/>
        <v>400</v>
      </c>
      <c r="E225" s="1315" t="s">
        <v>3</v>
      </c>
      <c r="F225" s="1313">
        <f t="shared" si="14"/>
        <v>1200</v>
      </c>
      <c r="G225" s="1315" t="s">
        <v>3</v>
      </c>
      <c r="H225" s="1312">
        <v>4</v>
      </c>
      <c r="I225" s="1314" t="s">
        <v>45</v>
      </c>
      <c r="J225" s="184">
        <v>200</v>
      </c>
      <c r="K225" s="327">
        <v>400</v>
      </c>
      <c r="L225" s="75">
        <v>1200</v>
      </c>
      <c r="M225" s="193">
        <v>23.937553364169172</v>
      </c>
      <c r="N225" s="87">
        <v>1543.9572681388011</v>
      </c>
      <c r="O225" s="123">
        <v>39276.607141433262</v>
      </c>
      <c r="P225" s="121">
        <v>48561.354540695931</v>
      </c>
      <c r="Q225" s="310">
        <v>18253.310975824952</v>
      </c>
      <c r="R225" s="329">
        <v>57529.918117258218</v>
      </c>
      <c r="S225" s="330">
        <v>66814.665516520879</v>
      </c>
      <c r="U225" s="7" t="s">
        <v>5681</v>
      </c>
    </row>
    <row r="226" spans="1:21" ht="16.5" thickBot="1">
      <c r="A226" s="1311" t="s">
        <v>4588</v>
      </c>
      <c r="B226" s="1315">
        <f t="shared" si="12"/>
        <v>200</v>
      </c>
      <c r="C226" s="1315" t="s">
        <v>3</v>
      </c>
      <c r="D226" s="1315">
        <f t="shared" si="13"/>
        <v>400</v>
      </c>
      <c r="E226" s="1315" t="s">
        <v>3</v>
      </c>
      <c r="F226" s="1313">
        <f t="shared" si="14"/>
        <v>1250</v>
      </c>
      <c r="G226" s="1315" t="s">
        <v>3</v>
      </c>
      <c r="H226" s="1312">
        <v>4</v>
      </c>
      <c r="I226" s="1314" t="s">
        <v>45</v>
      </c>
      <c r="J226" s="184">
        <v>200</v>
      </c>
      <c r="K226" s="327">
        <v>400</v>
      </c>
      <c r="L226" s="75">
        <v>1250</v>
      </c>
      <c r="M226" s="193">
        <v>24.81043078627161</v>
      </c>
      <c r="N226" s="87">
        <v>1634.7782839116719</v>
      </c>
      <c r="O226" s="123">
        <v>40473.581575824232</v>
      </c>
      <c r="P226" s="121">
        <v>50031.99719503471</v>
      </c>
      <c r="Q226" s="310">
        <v>18855.702672824929</v>
      </c>
      <c r="R226" s="329">
        <v>59329.284248649157</v>
      </c>
      <c r="S226" s="330">
        <v>68887.699867859643</v>
      </c>
      <c r="U226" s="7" t="s">
        <v>5682</v>
      </c>
    </row>
    <row r="227" spans="1:21" ht="16.5" thickBot="1">
      <c r="A227" s="1311" t="s">
        <v>4588</v>
      </c>
      <c r="B227" s="1315">
        <f t="shared" si="12"/>
        <v>200</v>
      </c>
      <c r="C227" s="1315" t="s">
        <v>3</v>
      </c>
      <c r="D227" s="1315">
        <f t="shared" si="13"/>
        <v>400</v>
      </c>
      <c r="E227" s="1315" t="s">
        <v>3</v>
      </c>
      <c r="F227" s="1313">
        <f t="shared" si="14"/>
        <v>1300</v>
      </c>
      <c r="G227" s="1315" t="s">
        <v>3</v>
      </c>
      <c r="H227" s="1312">
        <v>4</v>
      </c>
      <c r="I227" s="1314" t="s">
        <v>45</v>
      </c>
      <c r="J227" s="184">
        <v>200</v>
      </c>
      <c r="K227" s="327">
        <v>400</v>
      </c>
      <c r="L227" s="75">
        <v>1300</v>
      </c>
      <c r="M227" s="193">
        <v>25.683308208374044</v>
      </c>
      <c r="N227" s="87">
        <v>1725.5992996845423</v>
      </c>
      <c r="O227" s="123">
        <v>41670.556010215209</v>
      </c>
      <c r="P227" s="121">
        <v>51502.639849373489</v>
      </c>
      <c r="Q227" s="310">
        <v>19688.676288001541</v>
      </c>
      <c r="R227" s="329">
        <v>61359.232298216753</v>
      </c>
      <c r="S227" s="330">
        <v>71191.316137375034</v>
      </c>
      <c r="U227" s="7" t="s">
        <v>5683</v>
      </c>
    </row>
    <row r="228" spans="1:21" ht="16.5" thickBot="1">
      <c r="A228" s="1311" t="s">
        <v>4588</v>
      </c>
      <c r="B228" s="1315">
        <f t="shared" si="12"/>
        <v>200</v>
      </c>
      <c r="C228" s="1315" t="s">
        <v>3</v>
      </c>
      <c r="D228" s="1315">
        <f t="shared" si="13"/>
        <v>400</v>
      </c>
      <c r="E228" s="1315" t="s">
        <v>3</v>
      </c>
      <c r="F228" s="1313">
        <f t="shared" si="14"/>
        <v>1350</v>
      </c>
      <c r="G228" s="1315" t="s">
        <v>3</v>
      </c>
      <c r="H228" s="1312">
        <v>4</v>
      </c>
      <c r="I228" s="1314" t="s">
        <v>45</v>
      </c>
      <c r="J228" s="184">
        <v>200</v>
      </c>
      <c r="K228" s="327">
        <v>400</v>
      </c>
      <c r="L228" s="75">
        <v>1350</v>
      </c>
      <c r="M228" s="193">
        <v>26.556185630476477</v>
      </c>
      <c r="N228" s="87">
        <v>1816.4203154574132</v>
      </c>
      <c r="O228" s="123">
        <v>42867.530444606185</v>
      </c>
      <c r="P228" s="121">
        <v>52973.28250371226</v>
      </c>
      <c r="Q228" s="310">
        <v>20291.067985001515</v>
      </c>
      <c r="R228" s="329">
        <v>63158.5984296077</v>
      </c>
      <c r="S228" s="330">
        <v>73264.350488713768</v>
      </c>
      <c r="U228" s="7" t="s">
        <v>5684</v>
      </c>
    </row>
    <row r="229" spans="1:21" ht="16.5" thickBot="1">
      <c r="A229" s="1311" t="s">
        <v>4588</v>
      </c>
      <c r="B229" s="1315">
        <f t="shared" si="12"/>
        <v>200</v>
      </c>
      <c r="C229" s="1315" t="s">
        <v>3</v>
      </c>
      <c r="D229" s="1315">
        <f t="shared" si="13"/>
        <v>400</v>
      </c>
      <c r="E229" s="1315" t="s">
        <v>3</v>
      </c>
      <c r="F229" s="1313">
        <f t="shared" si="14"/>
        <v>1400</v>
      </c>
      <c r="G229" s="1315" t="s">
        <v>3</v>
      </c>
      <c r="H229" s="1312">
        <v>4</v>
      </c>
      <c r="I229" s="1314" t="s">
        <v>45</v>
      </c>
      <c r="J229" s="184">
        <v>200</v>
      </c>
      <c r="K229" s="327">
        <v>400</v>
      </c>
      <c r="L229" s="75">
        <v>1400</v>
      </c>
      <c r="M229" s="193">
        <v>27.429063052578911</v>
      </c>
      <c r="N229" s="87">
        <v>1907.241331230284</v>
      </c>
      <c r="O229" s="123">
        <v>44064.504878997162</v>
      </c>
      <c r="P229" s="121">
        <v>54443.925158051039</v>
      </c>
      <c r="Q229" s="310">
        <v>21124.04160017813</v>
      </c>
      <c r="R229" s="329">
        <v>65188.546479175289</v>
      </c>
      <c r="S229" s="330">
        <v>75567.966758229173</v>
      </c>
      <c r="U229" s="7" t="s">
        <v>5685</v>
      </c>
    </row>
    <row r="230" spans="1:21" ht="16.5" thickBot="1">
      <c r="A230" s="1311" t="s">
        <v>4588</v>
      </c>
      <c r="B230" s="1315">
        <f t="shared" si="12"/>
        <v>200</v>
      </c>
      <c r="C230" s="1315" t="s">
        <v>3</v>
      </c>
      <c r="D230" s="1315">
        <f t="shared" si="13"/>
        <v>400</v>
      </c>
      <c r="E230" s="1315" t="s">
        <v>3</v>
      </c>
      <c r="F230" s="1313">
        <f t="shared" si="14"/>
        <v>1450</v>
      </c>
      <c r="G230" s="1315" t="s">
        <v>3</v>
      </c>
      <c r="H230" s="1312">
        <v>4</v>
      </c>
      <c r="I230" s="1314" t="s">
        <v>45</v>
      </c>
      <c r="J230" s="184">
        <v>200</v>
      </c>
      <c r="K230" s="327">
        <v>400</v>
      </c>
      <c r="L230" s="75">
        <v>1450</v>
      </c>
      <c r="M230" s="193">
        <v>28.301940474681345</v>
      </c>
      <c r="N230" s="87">
        <v>1998.0623470031546</v>
      </c>
      <c r="O230" s="123">
        <v>45261.479313388132</v>
      </c>
      <c r="P230" s="121">
        <v>55914.567812389818</v>
      </c>
      <c r="Q230" s="310">
        <v>21726.433297178104</v>
      </c>
      <c r="R230" s="329">
        <v>66987.912610566244</v>
      </c>
      <c r="S230" s="330">
        <v>77641.001109567922</v>
      </c>
      <c r="U230" s="7" t="s">
        <v>5686</v>
      </c>
    </row>
    <row r="231" spans="1:21" ht="16.5" thickBot="1">
      <c r="A231" s="1311" t="s">
        <v>4588</v>
      </c>
      <c r="B231" s="1315">
        <f t="shared" si="12"/>
        <v>200</v>
      </c>
      <c r="C231" s="1315" t="s">
        <v>3</v>
      </c>
      <c r="D231" s="1315">
        <f t="shared" si="13"/>
        <v>400</v>
      </c>
      <c r="E231" s="1315" t="s">
        <v>3</v>
      </c>
      <c r="F231" s="1313">
        <f t="shared" si="14"/>
        <v>1500</v>
      </c>
      <c r="G231" s="1315" t="s">
        <v>3</v>
      </c>
      <c r="H231" s="1312">
        <v>4</v>
      </c>
      <c r="I231" s="1314" t="s">
        <v>45</v>
      </c>
      <c r="J231" s="184">
        <v>200</v>
      </c>
      <c r="K231" s="327">
        <v>400</v>
      </c>
      <c r="L231" s="75">
        <v>1500</v>
      </c>
      <c r="M231" s="193">
        <v>29.91530669678378</v>
      </c>
      <c r="N231" s="87">
        <v>2088.883362776025</v>
      </c>
      <c r="O231" s="123">
        <v>47622.003751606171</v>
      </c>
      <c r="P231" s="121">
        <v>59058.111520719802</v>
      </c>
      <c r="Q231" s="310">
        <v>22559.406912354716</v>
      </c>
      <c r="R231" s="329">
        <v>70181.41066396088</v>
      </c>
      <c r="S231" s="330">
        <v>81617.518433074525</v>
      </c>
      <c r="U231" s="7" t="s">
        <v>5687</v>
      </c>
    </row>
    <row r="232" spans="1:21" ht="16.5" thickBot="1">
      <c r="A232" s="1311" t="s">
        <v>4588</v>
      </c>
      <c r="B232" s="1315">
        <f t="shared" si="12"/>
        <v>200</v>
      </c>
      <c r="C232" s="1315" t="s">
        <v>3</v>
      </c>
      <c r="D232" s="1315">
        <f t="shared" si="13"/>
        <v>400</v>
      </c>
      <c r="E232" s="1315" t="s">
        <v>3</v>
      </c>
      <c r="F232" s="1313">
        <f t="shared" si="14"/>
        <v>1550</v>
      </c>
      <c r="G232" s="1315" t="s">
        <v>3</v>
      </c>
      <c r="H232" s="1312">
        <v>4</v>
      </c>
      <c r="I232" s="1314" t="s">
        <v>45</v>
      </c>
      <c r="J232" s="184">
        <v>200</v>
      </c>
      <c r="K232" s="327">
        <v>400</v>
      </c>
      <c r="L232" s="75">
        <v>1550</v>
      </c>
      <c r="M232" s="193">
        <v>30.788184118886218</v>
      </c>
      <c r="N232" s="87">
        <v>2179.7043785488959</v>
      </c>
      <c r="O232" s="123">
        <v>48818.978185997148</v>
      </c>
      <c r="P232" s="121">
        <v>60528.754175058581</v>
      </c>
      <c r="Q232" s="310">
        <v>23161.79860935469</v>
      </c>
      <c r="R232" s="329">
        <v>71980.776795351834</v>
      </c>
      <c r="S232" s="330">
        <v>83690.552784413274</v>
      </c>
      <c r="U232" s="7" t="s">
        <v>5688</v>
      </c>
    </row>
    <row r="233" spans="1:21" ht="16.5" thickBot="1">
      <c r="A233" s="1311" t="s">
        <v>4588</v>
      </c>
      <c r="B233" s="1312">
        <f t="shared" si="12"/>
        <v>200</v>
      </c>
      <c r="C233" s="1312" t="s">
        <v>3</v>
      </c>
      <c r="D233" s="1312">
        <f t="shared" si="13"/>
        <v>400</v>
      </c>
      <c r="E233" s="1312" t="s">
        <v>3</v>
      </c>
      <c r="F233" s="1313">
        <f t="shared" si="14"/>
        <v>1600</v>
      </c>
      <c r="G233" s="1312" t="s">
        <v>3</v>
      </c>
      <c r="H233" s="1312">
        <v>4</v>
      </c>
      <c r="I233" s="1314" t="s">
        <v>45</v>
      </c>
      <c r="J233" s="184">
        <v>200</v>
      </c>
      <c r="K233" s="327">
        <v>400</v>
      </c>
      <c r="L233" s="75">
        <v>1600</v>
      </c>
      <c r="M233" s="193">
        <v>31.661061540988644</v>
      </c>
      <c r="N233" s="87">
        <v>2270.5253943217663</v>
      </c>
      <c r="O233" s="123">
        <v>50015.95262038798</v>
      </c>
      <c r="P233" s="121">
        <v>61999.396829397345</v>
      </c>
      <c r="Q233" s="310">
        <v>23764.190446748027</v>
      </c>
      <c r="R233" s="329">
        <v>73780.143067135999</v>
      </c>
      <c r="S233" s="330">
        <v>85763.587276145379</v>
      </c>
      <c r="U233" s="7" t="s">
        <v>5689</v>
      </c>
    </row>
    <row r="234" spans="1:21" ht="16.5" thickBot="1">
      <c r="A234" s="1311" t="s">
        <v>4588</v>
      </c>
      <c r="B234" s="1315">
        <f t="shared" si="12"/>
        <v>200</v>
      </c>
      <c r="C234" s="1315" t="s">
        <v>3</v>
      </c>
      <c r="D234" s="1315">
        <f t="shared" si="13"/>
        <v>400</v>
      </c>
      <c r="E234" s="1315" t="s">
        <v>3</v>
      </c>
      <c r="F234" s="1313">
        <f t="shared" si="14"/>
        <v>1650</v>
      </c>
      <c r="G234" s="1315" t="s">
        <v>3</v>
      </c>
      <c r="H234" s="1312">
        <v>4</v>
      </c>
      <c r="I234" s="1314" t="s">
        <v>45</v>
      </c>
      <c r="J234" s="184">
        <v>200</v>
      </c>
      <c r="K234" s="327">
        <v>400</v>
      </c>
      <c r="L234" s="75">
        <v>1650</v>
      </c>
      <c r="M234" s="193">
        <v>32.533938963091089</v>
      </c>
      <c r="N234" s="87">
        <v>2361.3464100946371</v>
      </c>
      <c r="O234" s="123">
        <v>51212.927054779095</v>
      </c>
      <c r="P234" s="121">
        <v>63470.039483736124</v>
      </c>
      <c r="Q234" s="310">
        <v>24597.164061924639</v>
      </c>
      <c r="R234" s="329">
        <v>75810.091116703727</v>
      </c>
      <c r="S234" s="330">
        <v>88067.20354566077</v>
      </c>
      <c r="U234" s="7" t="s">
        <v>5690</v>
      </c>
    </row>
    <row r="235" spans="1:21" ht="16.5" thickBot="1">
      <c r="A235" s="1311" t="s">
        <v>4588</v>
      </c>
      <c r="B235" s="1315">
        <f t="shared" si="12"/>
        <v>200</v>
      </c>
      <c r="C235" s="1315" t="s">
        <v>3</v>
      </c>
      <c r="D235" s="1315">
        <f t="shared" si="13"/>
        <v>400</v>
      </c>
      <c r="E235" s="1315" t="s">
        <v>3</v>
      </c>
      <c r="F235" s="1313">
        <f t="shared" si="14"/>
        <v>1700</v>
      </c>
      <c r="G235" s="1315" t="s">
        <v>3</v>
      </c>
      <c r="H235" s="1312">
        <v>4</v>
      </c>
      <c r="I235" s="1314" t="s">
        <v>45</v>
      </c>
      <c r="J235" s="184">
        <v>200</v>
      </c>
      <c r="K235" s="327">
        <v>400</v>
      </c>
      <c r="L235" s="75">
        <v>1700</v>
      </c>
      <c r="M235" s="193">
        <v>33.406816385193522</v>
      </c>
      <c r="N235" s="87">
        <v>2452.167425867508</v>
      </c>
      <c r="O235" s="123">
        <v>52409.901489170079</v>
      </c>
      <c r="P235" s="121">
        <v>64940.682138074902</v>
      </c>
      <c r="Q235" s="310">
        <v>25199.55575892462</v>
      </c>
      <c r="R235" s="329">
        <v>77609.457248094695</v>
      </c>
      <c r="S235" s="330">
        <v>90140.237896999519</v>
      </c>
      <c r="U235" s="7" t="s">
        <v>5691</v>
      </c>
    </row>
    <row r="236" spans="1:21" ht="16.5" thickBot="1">
      <c r="A236" s="1311" t="s">
        <v>4588</v>
      </c>
      <c r="B236" s="1315">
        <f t="shared" si="12"/>
        <v>200</v>
      </c>
      <c r="C236" s="1315" t="s">
        <v>3</v>
      </c>
      <c r="D236" s="1315">
        <f t="shared" si="13"/>
        <v>400</v>
      </c>
      <c r="E236" s="1315" t="s">
        <v>3</v>
      </c>
      <c r="F236" s="1313">
        <f t="shared" si="14"/>
        <v>1750</v>
      </c>
      <c r="G236" s="1315" t="s">
        <v>3</v>
      </c>
      <c r="H236" s="1312">
        <v>4</v>
      </c>
      <c r="I236" s="1314" t="s">
        <v>45</v>
      </c>
      <c r="J236" s="184">
        <v>200</v>
      </c>
      <c r="K236" s="327">
        <v>400</v>
      </c>
      <c r="L236" s="75">
        <v>1750</v>
      </c>
      <c r="M236" s="193">
        <v>34.279693807295956</v>
      </c>
      <c r="N236" s="87">
        <v>2542.9884416403784</v>
      </c>
      <c r="O236" s="123">
        <v>53606.875923561049</v>
      </c>
      <c r="P236" s="121">
        <v>66411.324792413681</v>
      </c>
      <c r="Q236" s="310">
        <v>26032.529374101232</v>
      </c>
      <c r="R236" s="329">
        <v>79639.405297662277</v>
      </c>
      <c r="S236" s="330">
        <v>92443.85416651491</v>
      </c>
      <c r="U236" s="7" t="s">
        <v>5692</v>
      </c>
    </row>
    <row r="237" spans="1:21" ht="16.5" thickBot="1">
      <c r="A237" s="1311" t="s">
        <v>4588</v>
      </c>
      <c r="B237" s="1315">
        <f t="shared" si="12"/>
        <v>200</v>
      </c>
      <c r="C237" s="1315" t="s">
        <v>3</v>
      </c>
      <c r="D237" s="1315">
        <f t="shared" si="13"/>
        <v>400</v>
      </c>
      <c r="E237" s="1315" t="s">
        <v>3</v>
      </c>
      <c r="F237" s="1313">
        <f t="shared" si="14"/>
        <v>1800</v>
      </c>
      <c r="G237" s="1315" t="s">
        <v>3</v>
      </c>
      <c r="H237" s="1312">
        <v>4</v>
      </c>
      <c r="I237" s="1314" t="s">
        <v>45</v>
      </c>
      <c r="J237" s="184">
        <v>200</v>
      </c>
      <c r="K237" s="327">
        <v>400</v>
      </c>
      <c r="L237" s="75">
        <v>1800</v>
      </c>
      <c r="M237" s="193">
        <v>35.152571229398383</v>
      </c>
      <c r="N237" s="87">
        <v>2633.8094574132488</v>
      </c>
      <c r="O237" s="123">
        <v>54803.850498345389</v>
      </c>
      <c r="P237" s="121">
        <v>67881.96744675246</v>
      </c>
      <c r="Q237" s="310">
        <v>26634.921071101206</v>
      </c>
      <c r="R237" s="329">
        <v>81438.771569446602</v>
      </c>
      <c r="S237" s="330">
        <v>94516.888517853658</v>
      </c>
      <c r="U237" s="7" t="s">
        <v>5693</v>
      </c>
    </row>
    <row r="238" spans="1:21" ht="16.5" thickBot="1">
      <c r="A238" s="1311" t="s">
        <v>4588</v>
      </c>
      <c r="B238" s="1315">
        <f t="shared" si="12"/>
        <v>200</v>
      </c>
      <c r="C238" s="1315" t="s">
        <v>3</v>
      </c>
      <c r="D238" s="1315">
        <f t="shared" si="13"/>
        <v>400</v>
      </c>
      <c r="E238" s="1315" t="s">
        <v>3</v>
      </c>
      <c r="F238" s="1313">
        <f t="shared" si="14"/>
        <v>1850</v>
      </c>
      <c r="G238" s="1315" t="s">
        <v>3</v>
      </c>
      <c r="H238" s="1312">
        <v>4</v>
      </c>
      <c r="I238" s="1314" t="s">
        <v>45</v>
      </c>
      <c r="J238" s="184">
        <v>200</v>
      </c>
      <c r="K238" s="327">
        <v>400</v>
      </c>
      <c r="L238" s="75">
        <v>1850</v>
      </c>
      <c r="M238" s="193">
        <v>36.025448651500824</v>
      </c>
      <c r="N238" s="87">
        <v>2724.6304731861196</v>
      </c>
      <c r="O238" s="123">
        <v>56000.824932736366</v>
      </c>
      <c r="P238" s="121">
        <v>69352.610101091224</v>
      </c>
      <c r="Q238" s="310">
        <v>27467.894686277818</v>
      </c>
      <c r="R238" s="329">
        <v>83468.719619014184</v>
      </c>
      <c r="S238" s="330">
        <v>96820.504787369049</v>
      </c>
      <c r="U238" s="7" t="s">
        <v>5694</v>
      </c>
    </row>
    <row r="239" spans="1:21" ht="16.5" thickBot="1">
      <c r="A239" s="1311" t="s">
        <v>4588</v>
      </c>
      <c r="B239" s="1315">
        <f t="shared" si="12"/>
        <v>200</v>
      </c>
      <c r="C239" s="1315" t="s">
        <v>3</v>
      </c>
      <c r="D239" s="1315">
        <f t="shared" si="13"/>
        <v>400</v>
      </c>
      <c r="E239" s="1315" t="s">
        <v>3</v>
      </c>
      <c r="F239" s="1313">
        <f t="shared" si="14"/>
        <v>1900</v>
      </c>
      <c r="G239" s="1315" t="s">
        <v>3</v>
      </c>
      <c r="H239" s="1312">
        <v>4</v>
      </c>
      <c r="I239" s="1314" t="s">
        <v>45</v>
      </c>
      <c r="J239" s="184">
        <v>200</v>
      </c>
      <c r="K239" s="327">
        <v>400</v>
      </c>
      <c r="L239" s="75">
        <v>1900</v>
      </c>
      <c r="M239" s="193">
        <v>36.898326073603251</v>
      </c>
      <c r="N239" s="87">
        <v>2815.4514889589905</v>
      </c>
      <c r="O239" s="123">
        <v>57197.799367127336</v>
      </c>
      <c r="P239" s="121">
        <v>70823.252755430003</v>
      </c>
      <c r="Q239" s="310">
        <v>28070.286383277791</v>
      </c>
      <c r="R239" s="329">
        <v>85268.085750405124</v>
      </c>
      <c r="S239" s="330">
        <v>98893.539138707798</v>
      </c>
      <c r="U239" s="7" t="s">
        <v>5695</v>
      </c>
    </row>
    <row r="240" spans="1:21" ht="16.5" thickBot="1">
      <c r="A240" s="1311" t="s">
        <v>4588</v>
      </c>
      <c r="B240" s="1315">
        <f t="shared" si="12"/>
        <v>200</v>
      </c>
      <c r="C240" s="1315" t="s">
        <v>3</v>
      </c>
      <c r="D240" s="1315">
        <f t="shared" si="13"/>
        <v>400</v>
      </c>
      <c r="E240" s="1315" t="s">
        <v>3</v>
      </c>
      <c r="F240" s="1313">
        <f t="shared" si="14"/>
        <v>1950</v>
      </c>
      <c r="G240" s="1315" t="s">
        <v>3</v>
      </c>
      <c r="H240" s="1312">
        <v>4</v>
      </c>
      <c r="I240" s="1314" t="s">
        <v>45</v>
      </c>
      <c r="J240" s="184">
        <v>200</v>
      </c>
      <c r="K240" s="327">
        <v>400</v>
      </c>
      <c r="L240" s="75">
        <v>1950</v>
      </c>
      <c r="M240" s="193">
        <v>37.771203495705691</v>
      </c>
      <c r="N240" s="87">
        <v>2906.2725047318613</v>
      </c>
      <c r="O240" s="123">
        <v>58394.773801518306</v>
      </c>
      <c r="P240" s="121">
        <v>72293.895409768767</v>
      </c>
      <c r="Q240" s="310">
        <v>28672.678220671129</v>
      </c>
      <c r="R240" s="329">
        <v>87067.452022189435</v>
      </c>
      <c r="S240" s="330">
        <v>100966.5736304399</v>
      </c>
      <c r="U240" s="7" t="s">
        <v>5696</v>
      </c>
    </row>
    <row r="241" spans="1:21" ht="16.5" thickBot="1">
      <c r="A241" s="1311" t="s">
        <v>4588</v>
      </c>
      <c r="B241" s="1315">
        <f t="shared" si="12"/>
        <v>200</v>
      </c>
      <c r="C241" s="1315" t="s">
        <v>3</v>
      </c>
      <c r="D241" s="1315">
        <f t="shared" si="13"/>
        <v>400</v>
      </c>
      <c r="E241" s="1315" t="s">
        <v>3</v>
      </c>
      <c r="F241" s="1313">
        <f t="shared" si="14"/>
        <v>2000</v>
      </c>
      <c r="G241" s="1315" t="s">
        <v>3</v>
      </c>
      <c r="H241" s="1312">
        <v>4</v>
      </c>
      <c r="I241" s="1314" t="s">
        <v>45</v>
      </c>
      <c r="J241" s="184">
        <v>200</v>
      </c>
      <c r="K241" s="327">
        <v>400</v>
      </c>
      <c r="L241" s="75">
        <v>2000</v>
      </c>
      <c r="M241" s="193">
        <v>38.80015291780812</v>
      </c>
      <c r="N241" s="87">
        <v>2997.0935205047317</v>
      </c>
      <c r="O241" s="123">
        <v>60066.285803580948</v>
      </c>
      <c r="P241" s="121">
        <v>73939.075092367551</v>
      </c>
      <c r="Q241" s="310">
        <v>29505.651695454384</v>
      </c>
      <c r="R241" s="329">
        <v>89571.937499035324</v>
      </c>
      <c r="S241" s="330">
        <v>103444.72678782194</v>
      </c>
      <c r="U241" s="7" t="s">
        <v>5697</v>
      </c>
    </row>
    <row r="242" spans="1:21" ht="16.5" thickBot="1">
      <c r="A242" s="1311" t="s">
        <v>4588</v>
      </c>
      <c r="B242" s="1315">
        <f t="shared" si="12"/>
        <v>200</v>
      </c>
      <c r="C242" s="1315" t="s">
        <v>3</v>
      </c>
      <c r="D242" s="1315">
        <f t="shared" si="13"/>
        <v>400</v>
      </c>
      <c r="E242" s="1315" t="s">
        <v>3</v>
      </c>
      <c r="F242" s="1313">
        <f t="shared" si="14"/>
        <v>2050</v>
      </c>
      <c r="G242" s="1315" t="s">
        <v>3</v>
      </c>
      <c r="H242" s="1312">
        <v>4</v>
      </c>
      <c r="I242" s="1314" t="s">
        <v>45</v>
      </c>
      <c r="J242" s="184">
        <v>200</v>
      </c>
      <c r="K242" s="327">
        <v>400</v>
      </c>
      <c r="L242" s="75">
        <v>2050</v>
      </c>
      <c r="M242" s="193">
        <v>39.673030339910554</v>
      </c>
      <c r="N242" s="87">
        <v>3087.9145362776021</v>
      </c>
      <c r="O242" s="123">
        <v>61263.260237971925</v>
      </c>
      <c r="P242" s="121">
        <v>75409.71774670633</v>
      </c>
      <c r="Q242" s="310">
        <v>30108.043532847722</v>
      </c>
      <c r="R242" s="329">
        <v>91371.30377081965</v>
      </c>
      <c r="S242" s="330">
        <v>105517.76127955405</v>
      </c>
      <c r="U242" s="7" t="s">
        <v>5698</v>
      </c>
    </row>
    <row r="243" spans="1:21" ht="16.5" thickBot="1">
      <c r="A243" s="1311" t="s">
        <v>4588</v>
      </c>
      <c r="B243" s="1312">
        <f t="shared" si="12"/>
        <v>200</v>
      </c>
      <c r="C243" s="1312" t="s">
        <v>3</v>
      </c>
      <c r="D243" s="1312">
        <f t="shared" si="13"/>
        <v>400</v>
      </c>
      <c r="E243" s="1312" t="s">
        <v>3</v>
      </c>
      <c r="F243" s="1313">
        <f t="shared" si="14"/>
        <v>2100</v>
      </c>
      <c r="G243" s="1312" t="s">
        <v>3</v>
      </c>
      <c r="H243" s="1312">
        <v>4</v>
      </c>
      <c r="I243" s="1314" t="s">
        <v>45</v>
      </c>
      <c r="J243" s="184">
        <v>200</v>
      </c>
      <c r="K243" s="327">
        <v>400</v>
      </c>
      <c r="L243" s="75">
        <v>2100</v>
      </c>
      <c r="M243" s="193">
        <v>40.545907762012988</v>
      </c>
      <c r="N243" s="87">
        <v>3178.735552050473</v>
      </c>
      <c r="O243" s="123">
        <v>62460.234672362902</v>
      </c>
      <c r="P243" s="121">
        <v>76880.360401045109</v>
      </c>
      <c r="Q243" s="310">
        <v>30941.01700763097</v>
      </c>
      <c r="R243" s="329">
        <v>93401.251679993875</v>
      </c>
      <c r="S243" s="330">
        <v>107821.37740867608</v>
      </c>
      <c r="U243" s="7" t="s">
        <v>5699</v>
      </c>
    </row>
    <row r="244" spans="1:21" ht="16.5" thickBot="1">
      <c r="A244" s="1311" t="s">
        <v>4588</v>
      </c>
      <c r="B244" s="1315">
        <f t="shared" si="12"/>
        <v>200</v>
      </c>
      <c r="C244" s="1315" t="s">
        <v>3</v>
      </c>
      <c r="D244" s="1315">
        <f t="shared" si="13"/>
        <v>400</v>
      </c>
      <c r="E244" s="1315" t="s">
        <v>3</v>
      </c>
      <c r="F244" s="1313">
        <f t="shared" si="14"/>
        <v>2150</v>
      </c>
      <c r="G244" s="1315" t="s">
        <v>3</v>
      </c>
      <c r="H244" s="1312">
        <v>4</v>
      </c>
      <c r="I244" s="1314" t="s">
        <v>45</v>
      </c>
      <c r="J244" s="184">
        <v>200</v>
      </c>
      <c r="K244" s="327">
        <v>400</v>
      </c>
      <c r="L244" s="75">
        <v>2150</v>
      </c>
      <c r="M244" s="193">
        <v>41.418785184115428</v>
      </c>
      <c r="N244" s="87">
        <v>3269.5565678233438</v>
      </c>
      <c r="O244" s="123">
        <v>63657.209106753871</v>
      </c>
      <c r="P244" s="121">
        <v>78351.003055383873</v>
      </c>
      <c r="Q244" s="310">
        <v>31543.408845024307</v>
      </c>
      <c r="R244" s="329">
        <v>95200.617951778171</v>
      </c>
      <c r="S244" s="330">
        <v>109894.41190040819</v>
      </c>
      <c r="U244" s="7" t="s">
        <v>5700</v>
      </c>
    </row>
    <row r="245" spans="1:21" ht="16.5" thickBot="1">
      <c r="A245" s="1311" t="s">
        <v>4588</v>
      </c>
      <c r="B245" s="1315">
        <f t="shared" si="12"/>
        <v>200</v>
      </c>
      <c r="C245" s="1315" t="s">
        <v>3</v>
      </c>
      <c r="D245" s="1315">
        <f t="shared" si="13"/>
        <v>400</v>
      </c>
      <c r="E245" s="1315" t="s">
        <v>3</v>
      </c>
      <c r="F245" s="1313">
        <f t="shared" si="14"/>
        <v>2200</v>
      </c>
      <c r="G245" s="1315" t="s">
        <v>3</v>
      </c>
      <c r="H245" s="1312">
        <v>4</v>
      </c>
      <c r="I245" s="1314" t="s">
        <v>45</v>
      </c>
      <c r="J245" s="184">
        <v>200</v>
      </c>
      <c r="K245" s="327">
        <v>400</v>
      </c>
      <c r="L245" s="75">
        <v>2200</v>
      </c>
      <c r="M245" s="193">
        <v>42.291662606217855</v>
      </c>
      <c r="N245" s="87">
        <v>3360.3775835962147</v>
      </c>
      <c r="O245" s="123">
        <v>64854.183541144856</v>
      </c>
      <c r="P245" s="121">
        <v>79821.645850116023</v>
      </c>
      <c r="Q245" s="310">
        <v>32376.382319807555</v>
      </c>
      <c r="R245" s="329">
        <v>97230.565860952411</v>
      </c>
      <c r="S245" s="330">
        <v>112198.02816992358</v>
      </c>
      <c r="U245" s="7" t="s">
        <v>5701</v>
      </c>
    </row>
    <row r="246" spans="1:21" ht="16.5" thickBot="1">
      <c r="A246" s="1311" t="s">
        <v>4588</v>
      </c>
      <c r="B246" s="1315">
        <f t="shared" si="12"/>
        <v>200</v>
      </c>
      <c r="C246" s="1315" t="s">
        <v>3</v>
      </c>
      <c r="D246" s="1315">
        <f t="shared" si="13"/>
        <v>400</v>
      </c>
      <c r="E246" s="1315" t="s">
        <v>3</v>
      </c>
      <c r="F246" s="1313">
        <f t="shared" si="14"/>
        <v>2250</v>
      </c>
      <c r="G246" s="1315" t="s">
        <v>3</v>
      </c>
      <c r="H246" s="1312">
        <v>4</v>
      </c>
      <c r="I246" s="1314" t="s">
        <v>45</v>
      </c>
      <c r="J246" s="184">
        <v>200</v>
      </c>
      <c r="K246" s="327">
        <v>400</v>
      </c>
      <c r="L246" s="75">
        <v>2250</v>
      </c>
      <c r="M246" s="193">
        <v>43.164540028320289</v>
      </c>
      <c r="N246" s="87">
        <v>3451.1985993690846</v>
      </c>
      <c r="O246" s="123">
        <v>66051.158115929182</v>
      </c>
      <c r="P246" s="121">
        <v>81292.288504454787</v>
      </c>
      <c r="Q246" s="310">
        <v>32978.774157200758</v>
      </c>
      <c r="R246" s="329">
        <v>99029.932273129933</v>
      </c>
      <c r="S246" s="330">
        <v>114271.06266165554</v>
      </c>
      <c r="U246" s="7" t="s">
        <v>5702</v>
      </c>
    </row>
    <row r="247" spans="1:21" ht="16.5" thickBot="1">
      <c r="A247" s="1311" t="s">
        <v>4588</v>
      </c>
      <c r="B247" s="1315">
        <f t="shared" si="12"/>
        <v>200</v>
      </c>
      <c r="C247" s="1315" t="s">
        <v>3</v>
      </c>
      <c r="D247" s="1315">
        <f t="shared" si="13"/>
        <v>400</v>
      </c>
      <c r="E247" s="1315" t="s">
        <v>3</v>
      </c>
      <c r="F247" s="1313">
        <f t="shared" si="14"/>
        <v>2300</v>
      </c>
      <c r="G247" s="1315" t="s">
        <v>3</v>
      </c>
      <c r="H247" s="1312">
        <v>4</v>
      </c>
      <c r="I247" s="1314" t="s">
        <v>45</v>
      </c>
      <c r="J247" s="184">
        <v>200</v>
      </c>
      <c r="K247" s="327">
        <v>400</v>
      </c>
      <c r="L247" s="75">
        <v>2300</v>
      </c>
      <c r="M247" s="193">
        <v>44.037417450422723</v>
      </c>
      <c r="N247" s="87">
        <v>3542.0196151419555</v>
      </c>
      <c r="O247" s="123">
        <v>67248.132550320166</v>
      </c>
      <c r="P247" s="121">
        <v>82762.931158793566</v>
      </c>
      <c r="Q247" s="310">
        <v>33581.165854200874</v>
      </c>
      <c r="R247" s="329">
        <v>100829.29840452105</v>
      </c>
      <c r="S247" s="330">
        <v>116344.09701299443</v>
      </c>
      <c r="U247" s="7" t="s">
        <v>5703</v>
      </c>
    </row>
    <row r="248" spans="1:21" ht="16.5" thickBot="1">
      <c r="A248" s="1311" t="s">
        <v>4588</v>
      </c>
      <c r="B248" s="1315">
        <f t="shared" si="12"/>
        <v>200</v>
      </c>
      <c r="C248" s="1315" t="s">
        <v>3</v>
      </c>
      <c r="D248" s="1315">
        <f t="shared" si="13"/>
        <v>400</v>
      </c>
      <c r="E248" s="1315" t="s">
        <v>3</v>
      </c>
      <c r="F248" s="1313">
        <f t="shared" si="14"/>
        <v>2350</v>
      </c>
      <c r="G248" s="1315" t="s">
        <v>3</v>
      </c>
      <c r="H248" s="1312">
        <v>4</v>
      </c>
      <c r="I248" s="1314" t="s">
        <v>45</v>
      </c>
      <c r="J248" s="184">
        <v>200</v>
      </c>
      <c r="K248" s="327">
        <v>400</v>
      </c>
      <c r="L248" s="75">
        <v>2350</v>
      </c>
      <c r="M248" s="193">
        <v>44.910294872525171</v>
      </c>
      <c r="N248" s="87">
        <v>3632.8406309148263</v>
      </c>
      <c r="O248" s="123">
        <v>68445.106984711136</v>
      </c>
      <c r="P248" s="121">
        <v>84233.573813132345</v>
      </c>
      <c r="Q248" s="310">
        <v>34414.139469377486</v>
      </c>
      <c r="R248" s="329">
        <v>102859.24645408863</v>
      </c>
      <c r="S248" s="330">
        <v>118647.71328250982</v>
      </c>
      <c r="U248" s="7" t="s">
        <v>5704</v>
      </c>
    </row>
    <row r="249" spans="1:21" ht="16.5" thickBot="1">
      <c r="A249" s="1311" t="s">
        <v>4588</v>
      </c>
      <c r="B249" s="1315">
        <f t="shared" si="12"/>
        <v>200</v>
      </c>
      <c r="C249" s="1315" t="s">
        <v>3</v>
      </c>
      <c r="D249" s="1315">
        <f t="shared" si="13"/>
        <v>400</v>
      </c>
      <c r="E249" s="1315" t="s">
        <v>3</v>
      </c>
      <c r="F249" s="1313">
        <f t="shared" si="14"/>
        <v>2400</v>
      </c>
      <c r="G249" s="1315" t="s">
        <v>3</v>
      </c>
      <c r="H249" s="1312">
        <v>4</v>
      </c>
      <c r="I249" s="1314" t="s">
        <v>45</v>
      </c>
      <c r="J249" s="184">
        <v>200</v>
      </c>
      <c r="K249" s="327">
        <v>400</v>
      </c>
      <c r="L249" s="75">
        <v>2400</v>
      </c>
      <c r="M249" s="193">
        <v>45.78317229462759</v>
      </c>
      <c r="N249" s="87">
        <v>3723.6616466876967</v>
      </c>
      <c r="O249" s="123">
        <v>69642.08141910212</v>
      </c>
      <c r="P249" s="121">
        <v>85704.216467471109</v>
      </c>
      <c r="Q249" s="310">
        <v>35016.531306770819</v>
      </c>
      <c r="R249" s="329">
        <v>104658.61272587294</v>
      </c>
      <c r="S249" s="330">
        <v>120720.74777424193</v>
      </c>
      <c r="U249" s="7" t="s">
        <v>5705</v>
      </c>
    </row>
    <row r="250" spans="1:21" ht="16.5" thickBot="1">
      <c r="A250" s="1311" t="s">
        <v>4588</v>
      </c>
      <c r="B250" s="1315">
        <f t="shared" si="12"/>
        <v>200</v>
      </c>
      <c r="C250" s="1315" t="s">
        <v>3</v>
      </c>
      <c r="D250" s="1315">
        <f t="shared" si="13"/>
        <v>400</v>
      </c>
      <c r="E250" s="1315" t="s">
        <v>3</v>
      </c>
      <c r="F250" s="1313">
        <f t="shared" si="14"/>
        <v>2450</v>
      </c>
      <c r="G250" s="1315" t="s">
        <v>3</v>
      </c>
      <c r="H250" s="1312">
        <v>4</v>
      </c>
      <c r="I250" s="1314" t="s">
        <v>45</v>
      </c>
      <c r="J250" s="184">
        <v>200</v>
      </c>
      <c r="K250" s="327">
        <v>400</v>
      </c>
      <c r="L250" s="75">
        <v>2450</v>
      </c>
      <c r="M250" s="193">
        <v>46.656049716730031</v>
      </c>
      <c r="N250" s="87">
        <v>3814.482662460568</v>
      </c>
      <c r="O250" s="123">
        <v>70839.05585349309</v>
      </c>
      <c r="P250" s="121">
        <v>87174.859121809888</v>
      </c>
      <c r="Q250" s="310">
        <v>35849.504781554067</v>
      </c>
      <c r="R250" s="329">
        <v>106688.56063504715</v>
      </c>
      <c r="S250" s="330">
        <v>123024.36390336396</v>
      </c>
      <c r="U250" s="7" t="s">
        <v>5706</v>
      </c>
    </row>
    <row r="251" spans="1:21" ht="16.5" thickBot="1">
      <c r="A251" s="1311" t="s">
        <v>4588</v>
      </c>
      <c r="B251" s="1315">
        <f t="shared" si="12"/>
        <v>200</v>
      </c>
      <c r="C251" s="1315" t="s">
        <v>3</v>
      </c>
      <c r="D251" s="1315">
        <f t="shared" si="13"/>
        <v>400</v>
      </c>
      <c r="E251" s="1315" t="s">
        <v>3</v>
      </c>
      <c r="F251" s="1313">
        <f t="shared" si="14"/>
        <v>2500</v>
      </c>
      <c r="G251" s="1315" t="s">
        <v>3</v>
      </c>
      <c r="H251" s="1312">
        <v>4</v>
      </c>
      <c r="I251" s="1314" t="s">
        <v>45</v>
      </c>
      <c r="J251" s="184">
        <v>200</v>
      </c>
      <c r="K251" s="327">
        <v>400</v>
      </c>
      <c r="L251" s="75">
        <v>2500</v>
      </c>
      <c r="M251" s="193">
        <v>48.269415938832459</v>
      </c>
      <c r="N251" s="87">
        <v>3905.3036782334379</v>
      </c>
      <c r="O251" s="123">
        <v>73199.580291711129</v>
      </c>
      <c r="P251" s="121">
        <v>90318.402830139879</v>
      </c>
      <c r="Q251" s="310">
        <v>36451.896618947409</v>
      </c>
      <c r="R251" s="329">
        <v>109651.47691065853</v>
      </c>
      <c r="S251" s="330">
        <v>126770.2994490873</v>
      </c>
      <c r="U251" s="7" t="s">
        <v>5707</v>
      </c>
    </row>
    <row r="252" spans="1:21" ht="16.5" thickBot="1">
      <c r="A252" s="1311" t="s">
        <v>4588</v>
      </c>
      <c r="B252" s="1315">
        <f t="shared" si="12"/>
        <v>200</v>
      </c>
      <c r="C252" s="1315" t="s">
        <v>3</v>
      </c>
      <c r="D252" s="1315">
        <f t="shared" si="13"/>
        <v>400</v>
      </c>
      <c r="E252" s="1315" t="s">
        <v>3</v>
      </c>
      <c r="F252" s="1313">
        <f t="shared" si="14"/>
        <v>2550</v>
      </c>
      <c r="G252" s="1315" t="s">
        <v>3</v>
      </c>
      <c r="H252" s="1312">
        <v>4</v>
      </c>
      <c r="I252" s="1314" t="s">
        <v>45</v>
      </c>
      <c r="J252" s="184">
        <v>200</v>
      </c>
      <c r="K252" s="327">
        <v>400</v>
      </c>
      <c r="L252" s="75">
        <v>2550</v>
      </c>
      <c r="M252" s="193">
        <v>49.142293360934914</v>
      </c>
      <c r="N252" s="87">
        <v>3996.1246940063093</v>
      </c>
      <c r="O252" s="123">
        <v>74761.136071870395</v>
      </c>
      <c r="P252" s="121">
        <v>91803.084820728647</v>
      </c>
      <c r="Q252" s="310">
        <v>37284.870093730657</v>
      </c>
      <c r="R252" s="329">
        <v>112046.00616560105</v>
      </c>
      <c r="S252" s="330">
        <v>129087.9549144593</v>
      </c>
      <c r="U252" s="7" t="s">
        <v>5708</v>
      </c>
    </row>
    <row r="253" spans="1:21" ht="16.5" thickBot="1">
      <c r="A253" s="1311" t="s">
        <v>4588</v>
      </c>
      <c r="B253" s="1312">
        <f t="shared" si="12"/>
        <v>200</v>
      </c>
      <c r="C253" s="1312" t="s">
        <v>3</v>
      </c>
      <c r="D253" s="1312">
        <f t="shared" si="13"/>
        <v>400</v>
      </c>
      <c r="E253" s="1312" t="s">
        <v>3</v>
      </c>
      <c r="F253" s="1313">
        <f t="shared" si="14"/>
        <v>2600</v>
      </c>
      <c r="G253" s="1312" t="s">
        <v>3</v>
      </c>
      <c r="H253" s="1312">
        <v>4</v>
      </c>
      <c r="I253" s="1314" t="s">
        <v>45</v>
      </c>
      <c r="J253" s="184">
        <v>200</v>
      </c>
      <c r="K253" s="327">
        <v>400</v>
      </c>
      <c r="L253" s="75">
        <v>2600</v>
      </c>
      <c r="M253" s="193">
        <v>50.015170783037334</v>
      </c>
      <c r="N253" s="87">
        <v>4086.9457097791797</v>
      </c>
      <c r="O253" s="123">
        <v>75958.110506261379</v>
      </c>
      <c r="P253" s="121">
        <v>93273.727475067426</v>
      </c>
      <c r="Q253" s="310">
        <v>37887.261931123991</v>
      </c>
      <c r="R253" s="329">
        <v>113845.37243738538</v>
      </c>
      <c r="S253" s="330">
        <v>131160.98940619142</v>
      </c>
      <c r="U253" s="7" t="s">
        <v>5709</v>
      </c>
    </row>
    <row r="254" spans="1:21" ht="16.5" thickBot="1">
      <c r="A254" s="1311" t="s">
        <v>4588</v>
      </c>
      <c r="B254" s="1315">
        <f t="shared" si="12"/>
        <v>200</v>
      </c>
      <c r="C254" s="1315" t="s">
        <v>3</v>
      </c>
      <c r="D254" s="1315">
        <f t="shared" si="13"/>
        <v>400</v>
      </c>
      <c r="E254" s="1315" t="s">
        <v>3</v>
      </c>
      <c r="F254" s="1313">
        <f t="shared" si="14"/>
        <v>2650</v>
      </c>
      <c r="G254" s="1315" t="s">
        <v>3</v>
      </c>
      <c r="H254" s="1312">
        <v>4</v>
      </c>
      <c r="I254" s="1314" t="s">
        <v>45</v>
      </c>
      <c r="J254" s="184">
        <v>200</v>
      </c>
      <c r="K254" s="327">
        <v>400</v>
      </c>
      <c r="L254" s="75">
        <v>2650</v>
      </c>
      <c r="M254" s="193">
        <v>50.888048205139768</v>
      </c>
      <c r="N254" s="87">
        <v>4177.76672555205</v>
      </c>
      <c r="O254" s="123">
        <v>77155.084940652348</v>
      </c>
      <c r="P254" s="121">
        <v>94744.370129406219</v>
      </c>
      <c r="Q254" s="310">
        <v>38720.235405907246</v>
      </c>
      <c r="R254" s="329">
        <v>115875.3203465596</v>
      </c>
      <c r="S254" s="330">
        <v>133464.60553531346</v>
      </c>
      <c r="U254" s="7" t="s">
        <v>5710</v>
      </c>
    </row>
    <row r="255" spans="1:21" ht="16.5" thickBot="1">
      <c r="A255" s="1311" t="s">
        <v>4588</v>
      </c>
      <c r="B255" s="1315">
        <f t="shared" si="12"/>
        <v>200</v>
      </c>
      <c r="C255" s="1315" t="s">
        <v>3</v>
      </c>
      <c r="D255" s="1315">
        <f t="shared" si="13"/>
        <v>400</v>
      </c>
      <c r="E255" s="1315" t="s">
        <v>3</v>
      </c>
      <c r="F255" s="1313">
        <f t="shared" si="14"/>
        <v>2700</v>
      </c>
      <c r="G255" s="1315" t="s">
        <v>3</v>
      </c>
      <c r="H255" s="1312">
        <v>4</v>
      </c>
      <c r="I255" s="1314" t="s">
        <v>45</v>
      </c>
      <c r="J255" s="184">
        <v>200</v>
      </c>
      <c r="K255" s="327">
        <v>400</v>
      </c>
      <c r="L255" s="75">
        <v>2700</v>
      </c>
      <c r="M255" s="193">
        <v>51.760925627242209</v>
      </c>
      <c r="N255" s="87">
        <v>4268.5877413249209</v>
      </c>
      <c r="O255" s="123">
        <v>78352.059515436689</v>
      </c>
      <c r="P255" s="121">
        <v>96215.012783744984</v>
      </c>
      <c r="Q255" s="310">
        <v>39322.627243300587</v>
      </c>
      <c r="R255" s="329">
        <v>117674.68675873728</v>
      </c>
      <c r="S255" s="330">
        <v>135537.64002704556</v>
      </c>
      <c r="U255" s="7" t="s">
        <v>5711</v>
      </c>
    </row>
    <row r="256" spans="1:21" ht="16.5" thickBot="1">
      <c r="A256" s="1311" t="s">
        <v>4588</v>
      </c>
      <c r="B256" s="1315">
        <f t="shared" si="12"/>
        <v>200</v>
      </c>
      <c r="C256" s="1315" t="s">
        <v>3</v>
      </c>
      <c r="D256" s="1315">
        <f t="shared" si="13"/>
        <v>400</v>
      </c>
      <c r="E256" s="1315" t="s">
        <v>3</v>
      </c>
      <c r="F256" s="1313">
        <f t="shared" si="14"/>
        <v>2750</v>
      </c>
      <c r="G256" s="1315" t="s">
        <v>3</v>
      </c>
      <c r="H256" s="1312">
        <v>4</v>
      </c>
      <c r="I256" s="1314" t="s">
        <v>45</v>
      </c>
      <c r="J256" s="184">
        <v>200</v>
      </c>
      <c r="K256" s="327">
        <v>400</v>
      </c>
      <c r="L256" s="75">
        <v>2750</v>
      </c>
      <c r="M256" s="193">
        <v>52.633803049344635</v>
      </c>
      <c r="N256" s="87">
        <v>4359.4087570977917</v>
      </c>
      <c r="O256" s="123">
        <v>79549.033949827673</v>
      </c>
      <c r="P256" s="121">
        <v>97685.655438083748</v>
      </c>
      <c r="Q256" s="310">
        <v>39925.018940300557</v>
      </c>
      <c r="R256" s="329">
        <v>119474.05289012822</v>
      </c>
      <c r="S256" s="330">
        <v>137610.67437838431</v>
      </c>
      <c r="U256" s="7" t="s">
        <v>5712</v>
      </c>
    </row>
    <row r="257" spans="1:21" ht="16.5" thickBot="1">
      <c r="A257" s="1311" t="s">
        <v>4588</v>
      </c>
      <c r="B257" s="1315">
        <f t="shared" si="12"/>
        <v>200</v>
      </c>
      <c r="C257" s="1315" t="s">
        <v>3</v>
      </c>
      <c r="D257" s="1315">
        <f t="shared" si="13"/>
        <v>400</v>
      </c>
      <c r="E257" s="1315" t="s">
        <v>3</v>
      </c>
      <c r="F257" s="1313">
        <f t="shared" si="14"/>
        <v>2800</v>
      </c>
      <c r="G257" s="1315" t="s">
        <v>3</v>
      </c>
      <c r="H257" s="1312">
        <v>4</v>
      </c>
      <c r="I257" s="1314" t="s">
        <v>45</v>
      </c>
      <c r="J257" s="184">
        <v>200</v>
      </c>
      <c r="K257" s="327">
        <v>400</v>
      </c>
      <c r="L257" s="75">
        <v>2800</v>
      </c>
      <c r="M257" s="193">
        <v>53.506680471447083</v>
      </c>
      <c r="N257" s="87">
        <v>4450.2297728706626</v>
      </c>
      <c r="O257" s="123">
        <v>80746.008384218643</v>
      </c>
      <c r="P257" s="121">
        <v>99156.298092422541</v>
      </c>
      <c r="Q257" s="310">
        <v>40757.992555477169</v>
      </c>
      <c r="R257" s="329">
        <v>121504.0009396958</v>
      </c>
      <c r="S257" s="330">
        <v>139914.2906478997</v>
      </c>
      <c r="U257" s="7" t="s">
        <v>5713</v>
      </c>
    </row>
    <row r="258" spans="1:21" ht="16.5" thickBot="1">
      <c r="A258" s="1311" t="s">
        <v>4588</v>
      </c>
      <c r="B258" s="1315">
        <f t="shared" si="12"/>
        <v>200</v>
      </c>
      <c r="C258" s="1315" t="s">
        <v>3</v>
      </c>
      <c r="D258" s="1315">
        <f t="shared" si="13"/>
        <v>400</v>
      </c>
      <c r="E258" s="1315" t="s">
        <v>3</v>
      </c>
      <c r="F258" s="1313">
        <f t="shared" si="14"/>
        <v>2850</v>
      </c>
      <c r="G258" s="1315" t="s">
        <v>3</v>
      </c>
      <c r="H258" s="1312">
        <v>4</v>
      </c>
      <c r="I258" s="1314" t="s">
        <v>45</v>
      </c>
      <c r="J258" s="184">
        <v>200</v>
      </c>
      <c r="K258" s="327">
        <v>400</v>
      </c>
      <c r="L258" s="75">
        <v>2850</v>
      </c>
      <c r="M258" s="193">
        <v>54.379557893549503</v>
      </c>
      <c r="N258" s="87">
        <v>4541.0507886435325</v>
      </c>
      <c r="O258" s="123">
        <v>81942.982818609613</v>
      </c>
      <c r="P258" s="121">
        <v>100626.94074676131</v>
      </c>
      <c r="Q258" s="310">
        <v>41360.384252477146</v>
      </c>
      <c r="R258" s="329">
        <v>123303.36707108676</v>
      </c>
      <c r="S258" s="330">
        <v>141987.32499923845</v>
      </c>
      <c r="U258" s="7" t="s">
        <v>5714</v>
      </c>
    </row>
    <row r="259" spans="1:21" ht="16.5" thickBot="1">
      <c r="A259" s="1311" t="s">
        <v>4588</v>
      </c>
      <c r="B259" s="1315">
        <f t="shared" si="12"/>
        <v>200</v>
      </c>
      <c r="C259" s="1315" t="s">
        <v>3</v>
      </c>
      <c r="D259" s="1315">
        <f t="shared" si="13"/>
        <v>400</v>
      </c>
      <c r="E259" s="1315" t="s">
        <v>3</v>
      </c>
      <c r="F259" s="1313">
        <f t="shared" si="14"/>
        <v>2900</v>
      </c>
      <c r="G259" s="1315" t="s">
        <v>3</v>
      </c>
      <c r="H259" s="1312">
        <v>4</v>
      </c>
      <c r="I259" s="1314" t="s">
        <v>45</v>
      </c>
      <c r="J259" s="184">
        <v>200</v>
      </c>
      <c r="K259" s="327">
        <v>400</v>
      </c>
      <c r="L259" s="75">
        <v>2900</v>
      </c>
      <c r="M259" s="193">
        <v>55.252435315651937</v>
      </c>
      <c r="N259" s="87">
        <v>4631.8718044164034</v>
      </c>
      <c r="O259" s="123">
        <v>83139.957253000597</v>
      </c>
      <c r="P259" s="121">
        <v>102097.58340110008</v>
      </c>
      <c r="Q259" s="310">
        <v>42193.357867653758</v>
      </c>
      <c r="R259" s="329">
        <v>125333.31512065436</v>
      </c>
      <c r="S259" s="330">
        <v>144290.94126875384</v>
      </c>
      <c r="U259" s="7" t="s">
        <v>5715</v>
      </c>
    </row>
    <row r="260" spans="1:21" ht="16.5" thickBot="1">
      <c r="A260" s="1311" t="s">
        <v>4588</v>
      </c>
      <c r="B260" s="1315">
        <f t="shared" si="12"/>
        <v>200</v>
      </c>
      <c r="C260" s="1315" t="s">
        <v>3</v>
      </c>
      <c r="D260" s="1315">
        <f t="shared" si="13"/>
        <v>400</v>
      </c>
      <c r="E260" s="1315" t="s">
        <v>3</v>
      </c>
      <c r="F260" s="1313">
        <f t="shared" si="14"/>
        <v>2950</v>
      </c>
      <c r="G260" s="1315" t="s">
        <v>3</v>
      </c>
      <c r="H260" s="1312">
        <v>4</v>
      </c>
      <c r="I260" s="1314" t="s">
        <v>45</v>
      </c>
      <c r="J260" s="184">
        <v>200</v>
      </c>
      <c r="K260" s="327">
        <v>400</v>
      </c>
      <c r="L260" s="75">
        <v>2950</v>
      </c>
      <c r="M260" s="193">
        <v>56.125312737754385</v>
      </c>
      <c r="N260" s="87">
        <v>4722.6928201892742</v>
      </c>
      <c r="O260" s="123">
        <v>84336.931827784923</v>
      </c>
      <c r="P260" s="121">
        <v>103568.22605543886</v>
      </c>
      <c r="Q260" s="310">
        <v>42795.749564653735</v>
      </c>
      <c r="R260" s="329">
        <v>127132.68139243865</v>
      </c>
      <c r="S260" s="330">
        <v>146363.97562009259</v>
      </c>
      <c r="U260" s="7" t="s">
        <v>5716</v>
      </c>
    </row>
    <row r="261" spans="1:21" ht="16.5" thickBot="1">
      <c r="A261" s="1311" t="s">
        <v>4588</v>
      </c>
      <c r="B261" s="1315">
        <f t="shared" si="12"/>
        <v>200</v>
      </c>
      <c r="C261" s="1315" t="s">
        <v>3</v>
      </c>
      <c r="D261" s="1315">
        <f t="shared" si="13"/>
        <v>400</v>
      </c>
      <c r="E261" s="1315" t="s">
        <v>3</v>
      </c>
      <c r="F261" s="1313">
        <f t="shared" si="14"/>
        <v>3000</v>
      </c>
      <c r="G261" s="1315" t="s">
        <v>3</v>
      </c>
      <c r="H261" s="1312">
        <v>4</v>
      </c>
      <c r="I261" s="1314" t="s">
        <v>45</v>
      </c>
      <c r="J261" s="186">
        <v>200</v>
      </c>
      <c r="K261" s="1335">
        <v>400</v>
      </c>
      <c r="L261" s="147">
        <v>3000</v>
      </c>
      <c r="M261" s="194">
        <v>57.310334159856808</v>
      </c>
      <c r="N261" s="148">
        <v>4813.5138359621451</v>
      </c>
      <c r="O261" s="149">
        <v>85811.772805235902</v>
      </c>
      <c r="P261" s="158">
        <v>105316.73525283764</v>
      </c>
      <c r="Q261" s="311">
        <v>43628.723179830347</v>
      </c>
      <c r="R261" s="1336">
        <v>129440.49598506626</v>
      </c>
      <c r="S261" s="1337">
        <v>148945.45843266798</v>
      </c>
      <c r="U261" s="7" t="s">
        <v>5717</v>
      </c>
    </row>
  </sheetData>
  <mergeCells count="19">
    <mergeCell ref="A212:S212"/>
    <mergeCell ref="A59:S59"/>
    <mergeCell ref="A109:S109"/>
    <mergeCell ref="A110:S110"/>
    <mergeCell ref="A160:S160"/>
    <mergeCell ref="A161:S161"/>
    <mergeCell ref="A211:S211"/>
    <mergeCell ref="A58:S58"/>
    <mergeCell ref="A4:I6"/>
    <mergeCell ref="J4:M5"/>
    <mergeCell ref="N4:N6"/>
    <mergeCell ref="O4:O5"/>
    <mergeCell ref="P4:P5"/>
    <mergeCell ref="Q4:Q5"/>
    <mergeCell ref="R4:R5"/>
    <mergeCell ref="S4:S5"/>
    <mergeCell ref="O6:S6"/>
    <mergeCell ref="A7:S7"/>
    <mergeCell ref="A8:S8"/>
  </mergeCells>
  <hyperlinks>
    <hyperlink ref="A1:I1" location="Главная!A1" display="Вернуться на главную страницу" xr:uid="{10FE739F-5A71-40FA-BFAC-EC0E721FB9BC}"/>
    <hyperlink ref="A2" location="'Калькулятор теплоотдач ВК'!R1C1" display="Вернуться Калькулятор теплоотдач ВК" xr:uid="{5F36749E-69F9-4246-95E5-E771396B1F0D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Лист50">
    <tabColor theme="4" tint="-0.249977111117893"/>
  </sheetPr>
  <dimension ref="A1:V316"/>
  <sheetViews>
    <sheetView zoomScale="70" zoomScaleNormal="70" workbookViewId="0">
      <pane ySplit="5" topLeftCell="A6" activePane="bottomLeft" state="frozen"/>
      <selection pane="bottomLeft" activeCell="W21" sqref="W21"/>
    </sheetView>
  </sheetViews>
  <sheetFormatPr defaultRowHeight="15"/>
  <cols>
    <col min="1" max="1" width="8.5703125" style="74" customWidth="1"/>
    <col min="2" max="2" width="6" style="74" customWidth="1"/>
    <col min="3" max="3" width="3" style="74" customWidth="1"/>
    <col min="4" max="4" width="6" style="74" customWidth="1"/>
    <col min="5" max="5" width="3" style="74" customWidth="1"/>
    <col min="6" max="6" width="7.7109375" style="74" customWidth="1"/>
    <col min="7" max="7" width="3" style="74" customWidth="1"/>
    <col min="8" max="8" width="6" style="74" customWidth="1"/>
    <col min="9" max="9" width="8.140625" style="74" customWidth="1"/>
    <col min="10" max="12" width="11.28515625" style="2" customWidth="1"/>
    <col min="13" max="13" width="15.5703125" style="1" customWidth="1"/>
    <col min="14" max="14" width="22.140625" style="74" customWidth="1"/>
    <col min="15" max="15" width="23.5703125" style="74" customWidth="1"/>
    <col min="16" max="16" width="27.7109375" style="122" customWidth="1"/>
    <col min="17" max="18" width="26.28515625" style="127" customWidth="1"/>
    <col min="19" max="20" width="27.7109375" style="122" customWidth="1"/>
    <col min="22" max="22" width="31.28515625" customWidth="1"/>
  </cols>
  <sheetData>
    <row r="1" spans="1:22" ht="16.5" customHeight="1">
      <c r="A1" s="1217" t="s">
        <v>9</v>
      </c>
      <c r="B1" s="1217"/>
      <c r="C1" s="1217"/>
      <c r="D1" s="1217"/>
      <c r="E1" s="1217"/>
      <c r="F1" s="1217"/>
      <c r="G1" s="1217"/>
      <c r="H1" s="1217"/>
      <c r="I1" s="1217"/>
      <c r="M1" s="175"/>
      <c r="N1" s="7"/>
      <c r="O1" s="117"/>
      <c r="P1" s="117"/>
      <c r="Q1" s="117"/>
      <c r="R1" s="117"/>
      <c r="S1" s="117"/>
      <c r="T1" s="117"/>
    </row>
    <row r="2" spans="1:22" ht="13.5" customHeight="1" thickBot="1">
      <c r="A2" s="16"/>
      <c r="B2" s="16"/>
      <c r="C2" s="16"/>
      <c r="D2" s="16"/>
      <c r="E2" s="16"/>
      <c r="F2" s="109"/>
      <c r="G2" s="16"/>
      <c r="H2" s="16"/>
      <c r="I2" s="1251"/>
      <c r="J2" s="16"/>
      <c r="K2" s="108"/>
      <c r="L2" s="108"/>
      <c r="M2" s="175"/>
      <c r="N2" s="7"/>
      <c r="O2" s="116"/>
      <c r="P2" s="116"/>
      <c r="Q2" s="117"/>
      <c r="R2" s="117"/>
      <c r="S2" s="117"/>
      <c r="T2" s="117"/>
    </row>
    <row r="3" spans="1:22" s="74" customFormat="1" ht="69" customHeight="1">
      <c r="A3" s="2696" t="s">
        <v>8</v>
      </c>
      <c r="B3" s="2697"/>
      <c r="C3" s="2697"/>
      <c r="D3" s="2697"/>
      <c r="E3" s="2697"/>
      <c r="F3" s="2697"/>
      <c r="G3" s="2697"/>
      <c r="H3" s="2697"/>
      <c r="I3" s="2698"/>
      <c r="J3" s="2705" t="s">
        <v>97</v>
      </c>
      <c r="K3" s="2706"/>
      <c r="L3" s="2706"/>
      <c r="M3" s="2707"/>
      <c r="N3" s="2711" t="s">
        <v>177</v>
      </c>
      <c r="O3" s="2711" t="s">
        <v>96</v>
      </c>
      <c r="P3" s="2716" t="s">
        <v>175</v>
      </c>
      <c r="Q3" s="2714" t="s">
        <v>5819</v>
      </c>
      <c r="R3" s="2716" t="s">
        <v>5820</v>
      </c>
      <c r="S3" s="2718" t="s">
        <v>462</v>
      </c>
      <c r="T3" s="2718" t="s">
        <v>176</v>
      </c>
    </row>
    <row r="4" spans="1:22" s="74" customFormat="1" ht="72" customHeight="1" thickBot="1">
      <c r="A4" s="2699"/>
      <c r="B4" s="2700"/>
      <c r="C4" s="2700"/>
      <c r="D4" s="2700"/>
      <c r="E4" s="2700"/>
      <c r="F4" s="2700"/>
      <c r="G4" s="2700"/>
      <c r="H4" s="2700"/>
      <c r="I4" s="2701"/>
      <c r="J4" s="2708"/>
      <c r="K4" s="2709"/>
      <c r="L4" s="2709"/>
      <c r="M4" s="2710"/>
      <c r="N4" s="2712"/>
      <c r="O4" s="2712"/>
      <c r="P4" s="2717"/>
      <c r="Q4" s="2715"/>
      <c r="R4" s="2717"/>
      <c r="S4" s="2719"/>
      <c r="T4" s="2719"/>
    </row>
    <row r="5" spans="1:22" s="74" customFormat="1" ht="61.5" customHeight="1" thickBot="1">
      <c r="A5" s="2702"/>
      <c r="B5" s="2703"/>
      <c r="C5" s="2703"/>
      <c r="D5" s="2703"/>
      <c r="E5" s="2703"/>
      <c r="F5" s="2703"/>
      <c r="G5" s="2703"/>
      <c r="H5" s="2703"/>
      <c r="I5" s="2704"/>
      <c r="J5" s="292" t="s">
        <v>0</v>
      </c>
      <c r="K5" s="293" t="s">
        <v>1</v>
      </c>
      <c r="L5" s="293" t="s">
        <v>2</v>
      </c>
      <c r="M5" s="294" t="s">
        <v>94</v>
      </c>
      <c r="N5" s="2713"/>
      <c r="O5" s="2713"/>
      <c r="P5" s="2720" t="s">
        <v>169</v>
      </c>
      <c r="Q5" s="2721"/>
      <c r="R5" s="2721"/>
      <c r="S5" s="2721"/>
      <c r="T5" s="2722"/>
    </row>
    <row r="6" spans="1:22" s="17" customFormat="1" ht="30" customHeight="1" thickBot="1">
      <c r="A6" s="2595" t="s">
        <v>524</v>
      </c>
      <c r="B6" s="2596"/>
      <c r="C6" s="2596"/>
      <c r="D6" s="2596"/>
      <c r="E6" s="2596"/>
      <c r="F6" s="2596"/>
      <c r="G6" s="2596"/>
      <c r="H6" s="2596"/>
      <c r="I6" s="2596"/>
      <c r="J6" s="2596"/>
      <c r="K6" s="2596"/>
      <c r="L6" s="2596"/>
      <c r="M6" s="2596"/>
      <c r="N6" s="2596"/>
      <c r="O6" s="2596"/>
      <c r="P6" s="2596"/>
      <c r="Q6" s="2596"/>
      <c r="R6" s="2596"/>
      <c r="S6" s="2596"/>
      <c r="T6" s="2597"/>
    </row>
    <row r="7" spans="1:22" ht="24" customHeight="1" thickBot="1">
      <c r="A7" s="2580" t="s">
        <v>515</v>
      </c>
      <c r="B7" s="2581"/>
      <c r="C7" s="2581"/>
      <c r="D7" s="2581"/>
      <c r="E7" s="2581"/>
      <c r="F7" s="2581"/>
      <c r="G7" s="2581"/>
      <c r="H7" s="2581"/>
      <c r="I7" s="2581"/>
      <c r="J7" s="2581"/>
      <c r="K7" s="2581"/>
      <c r="L7" s="2581"/>
      <c r="M7" s="2581"/>
      <c r="N7" s="2581"/>
      <c r="O7" s="2581"/>
      <c r="P7" s="2581"/>
      <c r="Q7" s="2581"/>
      <c r="R7" s="2581"/>
      <c r="S7" s="2581"/>
      <c r="T7" s="2582"/>
    </row>
    <row r="8" spans="1:22" ht="15.75" customHeight="1" thickBot="1">
      <c r="A8" s="2580"/>
      <c r="B8" s="2581"/>
      <c r="C8" s="2581"/>
      <c r="D8" s="2581"/>
      <c r="E8" s="2581"/>
      <c r="F8" s="2581"/>
      <c r="G8" s="2581"/>
      <c r="H8" s="2581"/>
      <c r="I8" s="2581"/>
      <c r="J8" s="2581"/>
      <c r="K8" s="2581"/>
      <c r="L8" s="2581"/>
      <c r="M8" s="2581"/>
      <c r="N8" s="2581"/>
      <c r="O8" s="2581"/>
      <c r="P8" s="2581"/>
      <c r="Q8" s="2581"/>
      <c r="R8" s="2581"/>
      <c r="S8" s="2581"/>
      <c r="T8" s="2582"/>
      <c r="V8" s="74"/>
    </row>
    <row r="9" spans="1:22" ht="16.5" customHeight="1" thickBot="1">
      <c r="A9" s="62" t="s">
        <v>52</v>
      </c>
      <c r="B9" s="60">
        <f t="shared" ref="B9:B104" si="0">J9</f>
        <v>130</v>
      </c>
      <c r="C9" s="60" t="s">
        <v>3</v>
      </c>
      <c r="D9" s="60">
        <f t="shared" ref="D9:D104" si="1">K9</f>
        <v>260</v>
      </c>
      <c r="E9" s="60" t="s">
        <v>3</v>
      </c>
      <c r="F9" s="63">
        <f t="shared" ref="F9:F55" si="2">L9</f>
        <v>700</v>
      </c>
      <c r="G9" s="60" t="s">
        <v>3</v>
      </c>
      <c r="H9" s="60">
        <v>4</v>
      </c>
      <c r="I9" s="61" t="s">
        <v>582</v>
      </c>
      <c r="J9" s="1237">
        <v>130</v>
      </c>
      <c r="K9" s="327">
        <v>260</v>
      </c>
      <c r="L9" s="327">
        <v>700</v>
      </c>
      <c r="M9" s="301">
        <v>9.5902850647160527</v>
      </c>
      <c r="N9" s="327">
        <v>521.69571100384951</v>
      </c>
      <c r="O9" s="327">
        <v>1711.5234499999997</v>
      </c>
      <c r="P9" s="303">
        <v>40571.387875350119</v>
      </c>
      <c r="Q9" s="208">
        <v>8629.8383486854618</v>
      </c>
      <c r="R9" s="1238">
        <v>22437.579706582175</v>
      </c>
      <c r="S9" s="329">
        <v>49201.226224035578</v>
      </c>
      <c r="T9" s="345">
        <v>63008.967581932295</v>
      </c>
      <c r="V9" s="1338" t="s">
        <v>7625</v>
      </c>
    </row>
    <row r="10" spans="1:22" ht="16.5" customHeight="1" thickBot="1">
      <c r="A10" s="57" t="s">
        <v>52</v>
      </c>
      <c r="B10" s="58">
        <f t="shared" si="0"/>
        <v>130</v>
      </c>
      <c r="C10" s="58" t="s">
        <v>3</v>
      </c>
      <c r="D10" s="58">
        <f t="shared" si="1"/>
        <v>260</v>
      </c>
      <c r="E10" s="58" t="s">
        <v>3</v>
      </c>
      <c r="F10" s="59">
        <f t="shared" si="2"/>
        <v>750</v>
      </c>
      <c r="G10" s="58" t="s">
        <v>3</v>
      </c>
      <c r="H10" s="58">
        <v>4</v>
      </c>
      <c r="I10" s="61" t="s">
        <v>582</v>
      </c>
      <c r="J10" s="114">
        <v>130</v>
      </c>
      <c r="K10" s="75">
        <v>260</v>
      </c>
      <c r="L10" s="75">
        <v>750</v>
      </c>
      <c r="M10" s="202">
        <v>10.184395252356314</v>
      </c>
      <c r="N10" s="75">
        <v>596.22366971868507</v>
      </c>
      <c r="O10" s="75">
        <v>1956.0267999999999</v>
      </c>
      <c r="P10" s="123">
        <v>41782.239632050769</v>
      </c>
      <c r="Q10" s="199">
        <v>9061.4489466890627</v>
      </c>
      <c r="R10" s="348">
        <v>23559.767261391578</v>
      </c>
      <c r="S10" s="319">
        <v>50843.688578739835</v>
      </c>
      <c r="T10" s="342">
        <v>65342.006893442347</v>
      </c>
      <c r="V10" s="1338" t="s">
        <v>7626</v>
      </c>
    </row>
    <row r="11" spans="1:22" ht="16.5" customHeight="1" thickBot="1">
      <c r="A11" s="57" t="s">
        <v>52</v>
      </c>
      <c r="B11" s="58">
        <f t="shared" si="0"/>
        <v>130</v>
      </c>
      <c r="C11" s="58" t="s">
        <v>3</v>
      </c>
      <c r="D11" s="58">
        <f t="shared" si="1"/>
        <v>260</v>
      </c>
      <c r="E11" s="58" t="s">
        <v>3</v>
      </c>
      <c r="F11" s="59">
        <f t="shared" si="2"/>
        <v>800</v>
      </c>
      <c r="G11" s="58" t="s">
        <v>3</v>
      </c>
      <c r="H11" s="58">
        <v>4</v>
      </c>
      <c r="I11" s="61" t="s">
        <v>582</v>
      </c>
      <c r="J11" s="114">
        <v>130</v>
      </c>
      <c r="K11" s="75">
        <v>260</v>
      </c>
      <c r="L11" s="75">
        <v>800</v>
      </c>
      <c r="M11" s="202">
        <v>10.778505439996579</v>
      </c>
      <c r="N11" s="75">
        <v>670.75162843352075</v>
      </c>
      <c r="O11" s="75">
        <v>2200.53015</v>
      </c>
      <c r="P11" s="123">
        <v>42993.091388751425</v>
      </c>
      <c r="Q11" s="199">
        <v>9493.0595446926636</v>
      </c>
      <c r="R11" s="348">
        <v>24681.954816200985</v>
      </c>
      <c r="S11" s="319">
        <v>52486.150933444093</v>
      </c>
      <c r="T11" s="342">
        <v>67675.046204952407</v>
      </c>
      <c r="V11" s="1338" t="s">
        <v>7627</v>
      </c>
    </row>
    <row r="12" spans="1:22" ht="16.5" customHeight="1" thickBot="1">
      <c r="A12" s="57" t="s">
        <v>52</v>
      </c>
      <c r="B12" s="58">
        <f t="shared" si="0"/>
        <v>130</v>
      </c>
      <c r="C12" s="58" t="s">
        <v>3</v>
      </c>
      <c r="D12" s="58">
        <f t="shared" si="1"/>
        <v>260</v>
      </c>
      <c r="E12" s="58" t="s">
        <v>3</v>
      </c>
      <c r="F12" s="59">
        <f t="shared" si="2"/>
        <v>850</v>
      </c>
      <c r="G12" s="58" t="s">
        <v>3</v>
      </c>
      <c r="H12" s="58">
        <v>4</v>
      </c>
      <c r="I12" s="61" t="s">
        <v>582</v>
      </c>
      <c r="J12" s="114">
        <v>130</v>
      </c>
      <c r="K12" s="75">
        <v>260</v>
      </c>
      <c r="L12" s="75">
        <v>850</v>
      </c>
      <c r="M12" s="191">
        <v>11.389655627636841</v>
      </c>
      <c r="N12" s="75">
        <v>745.27958714835654</v>
      </c>
      <c r="O12" s="75">
        <v>2445.0335</v>
      </c>
      <c r="P12" s="123">
        <v>44203.943145452075</v>
      </c>
      <c r="Q12" s="199">
        <v>10155.251925841178</v>
      </c>
      <c r="R12" s="348">
        <v>26403.655007186979</v>
      </c>
      <c r="S12" s="319">
        <v>54359.195071293252</v>
      </c>
      <c r="T12" s="342">
        <v>70607.598152639053</v>
      </c>
      <c r="V12" s="1338" t="s">
        <v>7628</v>
      </c>
    </row>
    <row r="13" spans="1:22" ht="16.5" customHeight="1" thickBot="1">
      <c r="A13" s="57" t="s">
        <v>52</v>
      </c>
      <c r="B13" s="58">
        <f t="shared" si="0"/>
        <v>130</v>
      </c>
      <c r="C13" s="58" t="s">
        <v>3</v>
      </c>
      <c r="D13" s="58">
        <f t="shared" si="1"/>
        <v>260</v>
      </c>
      <c r="E13" s="58" t="s">
        <v>3</v>
      </c>
      <c r="F13" s="59">
        <f t="shared" si="2"/>
        <v>900</v>
      </c>
      <c r="G13" s="58" t="s">
        <v>3</v>
      </c>
      <c r="H13" s="58">
        <v>4</v>
      </c>
      <c r="I13" s="61" t="s">
        <v>582</v>
      </c>
      <c r="J13" s="114">
        <v>130</v>
      </c>
      <c r="K13" s="75">
        <v>260</v>
      </c>
      <c r="L13" s="75">
        <v>900</v>
      </c>
      <c r="M13" s="191">
        <v>12.142765815277105</v>
      </c>
      <c r="N13" s="75">
        <v>819.8075458631921</v>
      </c>
      <c r="O13" s="75">
        <v>2689.5368500000004</v>
      </c>
      <c r="P13" s="123">
        <v>48700.668839811762</v>
      </c>
      <c r="Q13" s="199">
        <v>10586.862523844766</v>
      </c>
      <c r="R13" s="348">
        <v>27525.842561996385</v>
      </c>
      <c r="S13" s="319">
        <v>59287.531363656526</v>
      </c>
      <c r="T13" s="342">
        <v>76226.511401808151</v>
      </c>
      <c r="V13" s="1338" t="s">
        <v>7629</v>
      </c>
    </row>
    <row r="14" spans="1:22" ht="16.5" customHeight="1" thickBot="1">
      <c r="A14" s="57" t="s">
        <v>52</v>
      </c>
      <c r="B14" s="58">
        <f t="shared" si="0"/>
        <v>130</v>
      </c>
      <c r="C14" s="58" t="s">
        <v>3</v>
      </c>
      <c r="D14" s="58">
        <f t="shared" si="1"/>
        <v>260</v>
      </c>
      <c r="E14" s="58" t="s">
        <v>3</v>
      </c>
      <c r="F14" s="59">
        <f t="shared" si="2"/>
        <v>950</v>
      </c>
      <c r="G14" s="58" t="s">
        <v>3</v>
      </c>
      <c r="H14" s="58">
        <v>4</v>
      </c>
      <c r="I14" s="61" t="s">
        <v>582</v>
      </c>
      <c r="J14" s="114">
        <v>130</v>
      </c>
      <c r="K14" s="75">
        <v>260</v>
      </c>
      <c r="L14" s="75">
        <v>950</v>
      </c>
      <c r="M14" s="191">
        <v>12.753916002917368</v>
      </c>
      <c r="N14" s="75">
        <v>894.33550457802778</v>
      </c>
      <c r="O14" s="75">
        <v>2934.0401999999999</v>
      </c>
      <c r="P14" s="123">
        <v>49911.520596512404</v>
      </c>
      <c r="Q14" s="199">
        <v>11249.054904993265</v>
      </c>
      <c r="R14" s="348">
        <v>29247.542752982517</v>
      </c>
      <c r="S14" s="319">
        <v>61160.575501505671</v>
      </c>
      <c r="T14" s="342">
        <v>79159.063349494914</v>
      </c>
      <c r="V14" s="1338" t="s">
        <v>7630</v>
      </c>
    </row>
    <row r="15" spans="1:22" ht="16.5" customHeight="1" thickBot="1">
      <c r="A15" s="57" t="s">
        <v>52</v>
      </c>
      <c r="B15" s="58">
        <f t="shared" si="0"/>
        <v>130</v>
      </c>
      <c r="C15" s="58" t="s">
        <v>3</v>
      </c>
      <c r="D15" s="58">
        <f t="shared" si="1"/>
        <v>260</v>
      </c>
      <c r="E15" s="58" t="s">
        <v>3</v>
      </c>
      <c r="F15" s="59">
        <f t="shared" si="2"/>
        <v>1000</v>
      </c>
      <c r="G15" s="58" t="s">
        <v>3</v>
      </c>
      <c r="H15" s="58">
        <v>4</v>
      </c>
      <c r="I15" s="61" t="s">
        <v>582</v>
      </c>
      <c r="J15" s="114">
        <v>130</v>
      </c>
      <c r="K15" s="75">
        <v>260</v>
      </c>
      <c r="L15" s="75">
        <v>1000</v>
      </c>
      <c r="M15" s="191">
        <v>13.348026190557633</v>
      </c>
      <c r="N15" s="75">
        <v>968.86346329286334</v>
      </c>
      <c r="O15" s="75">
        <v>3178.5435499999999</v>
      </c>
      <c r="P15" s="123">
        <v>51122.372353213061</v>
      </c>
      <c r="Q15" s="199">
        <v>11680.665502996881</v>
      </c>
      <c r="R15" s="348">
        <v>30369.730307791924</v>
      </c>
      <c r="S15" s="319">
        <v>62803.037856209943</v>
      </c>
      <c r="T15" s="342">
        <v>81492.102661004988</v>
      </c>
      <c r="V15" s="1338" t="s">
        <v>7631</v>
      </c>
    </row>
    <row r="16" spans="1:22" ht="16.5" customHeight="1" thickBot="1">
      <c r="A16" s="57" t="s">
        <v>52</v>
      </c>
      <c r="B16" s="58">
        <f t="shared" si="0"/>
        <v>130</v>
      </c>
      <c r="C16" s="58" t="s">
        <v>3</v>
      </c>
      <c r="D16" s="58">
        <f t="shared" si="1"/>
        <v>260</v>
      </c>
      <c r="E16" s="58" t="s">
        <v>3</v>
      </c>
      <c r="F16" s="59">
        <f t="shared" si="2"/>
        <v>1050</v>
      </c>
      <c r="G16" s="58" t="s">
        <v>3</v>
      </c>
      <c r="H16" s="58">
        <v>4</v>
      </c>
      <c r="I16" s="61" t="s">
        <v>582</v>
      </c>
      <c r="J16" s="114">
        <v>130</v>
      </c>
      <c r="K16" s="75">
        <v>260</v>
      </c>
      <c r="L16" s="75">
        <v>1050</v>
      </c>
      <c r="M16" s="191">
        <v>13.959176378197894</v>
      </c>
      <c r="N16" s="75">
        <v>1043.391422007699</v>
      </c>
      <c r="O16" s="75">
        <v>3423.0468999999994</v>
      </c>
      <c r="P16" s="123">
        <v>52333.224109913717</v>
      </c>
      <c r="Q16" s="199">
        <v>12342.85788414538</v>
      </c>
      <c r="R16" s="348">
        <v>32091.430498777918</v>
      </c>
      <c r="S16" s="319">
        <v>64676.081994059095</v>
      </c>
      <c r="T16" s="342">
        <v>84424.654608691635</v>
      </c>
      <c r="V16" s="1338" t="s">
        <v>7632</v>
      </c>
    </row>
    <row r="17" spans="1:22" ht="16.5" customHeight="1" thickBot="1">
      <c r="A17" s="57" t="s">
        <v>52</v>
      </c>
      <c r="B17" s="58">
        <f t="shared" si="0"/>
        <v>130</v>
      </c>
      <c r="C17" s="58" t="s">
        <v>3</v>
      </c>
      <c r="D17" s="58">
        <f t="shared" si="1"/>
        <v>260</v>
      </c>
      <c r="E17" s="58" t="s">
        <v>3</v>
      </c>
      <c r="F17" s="59">
        <f t="shared" si="2"/>
        <v>1100</v>
      </c>
      <c r="G17" s="58" t="s">
        <v>3</v>
      </c>
      <c r="H17" s="58">
        <v>4</v>
      </c>
      <c r="I17" s="61" t="s">
        <v>582</v>
      </c>
      <c r="J17" s="114">
        <v>130</v>
      </c>
      <c r="K17" s="75">
        <v>260</v>
      </c>
      <c r="L17" s="75">
        <v>1100</v>
      </c>
      <c r="M17" s="191">
        <v>14.553286565838157</v>
      </c>
      <c r="N17" s="75">
        <v>1117.9193807225347</v>
      </c>
      <c r="O17" s="75">
        <v>3667.5502499999998</v>
      </c>
      <c r="P17" s="123">
        <v>53544.075866614359</v>
      </c>
      <c r="Q17" s="199">
        <v>12774.468482148966</v>
      </c>
      <c r="R17" s="348">
        <v>33213.618053587321</v>
      </c>
      <c r="S17" s="319">
        <v>66318.544348763331</v>
      </c>
      <c r="T17" s="342">
        <v>86757.69392020168</v>
      </c>
      <c r="V17" s="1338" t="s">
        <v>7633</v>
      </c>
    </row>
    <row r="18" spans="1:22" ht="16.5" customHeight="1" thickBot="1">
      <c r="A18" s="57" t="s">
        <v>52</v>
      </c>
      <c r="B18" s="58">
        <f t="shared" si="0"/>
        <v>130</v>
      </c>
      <c r="C18" s="58" t="s">
        <v>3</v>
      </c>
      <c r="D18" s="58">
        <f t="shared" si="1"/>
        <v>260</v>
      </c>
      <c r="E18" s="58" t="s">
        <v>3</v>
      </c>
      <c r="F18" s="59">
        <f t="shared" si="2"/>
        <v>1150</v>
      </c>
      <c r="G18" s="58" t="s">
        <v>3</v>
      </c>
      <c r="H18" s="58">
        <v>4</v>
      </c>
      <c r="I18" s="61" t="s">
        <v>582</v>
      </c>
      <c r="J18" s="114">
        <v>130</v>
      </c>
      <c r="K18" s="75">
        <v>260</v>
      </c>
      <c r="L18" s="75">
        <v>1150</v>
      </c>
      <c r="M18" s="191">
        <v>15.147396753478422</v>
      </c>
      <c r="N18" s="75">
        <v>1192.4473394373701</v>
      </c>
      <c r="O18" s="75">
        <v>3912.0535999999997</v>
      </c>
      <c r="P18" s="123">
        <v>54425.281059904402</v>
      </c>
      <c r="Q18" s="199">
        <v>13206.079080152567</v>
      </c>
      <c r="R18" s="348">
        <v>34335.805608396724</v>
      </c>
      <c r="S18" s="319">
        <v>67631.360140056975</v>
      </c>
      <c r="T18" s="342">
        <v>88761.086668301126</v>
      </c>
      <c r="V18" s="1338" t="s">
        <v>7634</v>
      </c>
    </row>
    <row r="19" spans="1:22" ht="16.5" customHeight="1" thickBot="1">
      <c r="A19" s="57" t="s">
        <v>52</v>
      </c>
      <c r="B19" s="58">
        <f t="shared" si="0"/>
        <v>130</v>
      </c>
      <c r="C19" s="58" t="s">
        <v>3</v>
      </c>
      <c r="D19" s="58">
        <f t="shared" si="1"/>
        <v>260</v>
      </c>
      <c r="E19" s="58" t="s">
        <v>3</v>
      </c>
      <c r="F19" s="59">
        <f t="shared" si="2"/>
        <v>1200</v>
      </c>
      <c r="G19" s="58" t="s">
        <v>3</v>
      </c>
      <c r="H19" s="58">
        <v>4</v>
      </c>
      <c r="I19" s="61" t="s">
        <v>582</v>
      </c>
      <c r="J19" s="114">
        <v>130</v>
      </c>
      <c r="K19" s="75">
        <v>260</v>
      </c>
      <c r="L19" s="75">
        <v>1200</v>
      </c>
      <c r="M19" s="191">
        <v>15.837046941118682</v>
      </c>
      <c r="N19" s="75">
        <v>1266.9752981522061</v>
      </c>
      <c r="O19" s="75">
        <v>4156.5569500000001</v>
      </c>
      <c r="P19" s="123">
        <v>55381.393272149682</v>
      </c>
      <c r="Q19" s="199">
        <v>13868.271461301067</v>
      </c>
      <c r="R19" s="348">
        <v>36057.505799382721</v>
      </c>
      <c r="S19" s="319">
        <v>69249.664733450743</v>
      </c>
      <c r="T19" s="342">
        <v>91438.899071532403</v>
      </c>
      <c r="V19" s="1338" t="s">
        <v>7635</v>
      </c>
    </row>
    <row r="20" spans="1:22" ht="16.5" customHeight="1" thickBot="1">
      <c r="A20" s="57" t="s">
        <v>52</v>
      </c>
      <c r="B20" s="58">
        <f t="shared" si="0"/>
        <v>130</v>
      </c>
      <c r="C20" s="58" t="s">
        <v>3</v>
      </c>
      <c r="D20" s="58">
        <f t="shared" si="1"/>
        <v>260</v>
      </c>
      <c r="E20" s="58" t="s">
        <v>3</v>
      </c>
      <c r="F20" s="59">
        <f t="shared" si="2"/>
        <v>1250</v>
      </c>
      <c r="G20" s="58" t="s">
        <v>3</v>
      </c>
      <c r="H20" s="58">
        <v>4</v>
      </c>
      <c r="I20" s="61" t="s">
        <v>582</v>
      </c>
      <c r="J20" s="114">
        <v>130</v>
      </c>
      <c r="K20" s="75">
        <v>260</v>
      </c>
      <c r="L20" s="75">
        <v>1250</v>
      </c>
      <c r="M20" s="191">
        <v>17.293157128758946</v>
      </c>
      <c r="N20" s="75">
        <v>1341.5032568670415</v>
      </c>
      <c r="O20" s="75">
        <v>4401.0603000000001</v>
      </c>
      <c r="P20" s="123">
        <v>62407.881566306562</v>
      </c>
      <c r="Q20" s="199">
        <v>14299.88205930474</v>
      </c>
      <c r="R20" s="348">
        <v>37179.693354192124</v>
      </c>
      <c r="S20" s="319">
        <v>76707.763625611304</v>
      </c>
      <c r="T20" s="342">
        <v>99587.574920498679</v>
      </c>
      <c r="V20" s="1338" t="s">
        <v>7636</v>
      </c>
    </row>
    <row r="21" spans="1:22" ht="16.5" customHeight="1" thickBot="1">
      <c r="A21" s="57" t="s">
        <v>52</v>
      </c>
      <c r="B21" s="58">
        <f t="shared" si="0"/>
        <v>130</v>
      </c>
      <c r="C21" s="58" t="s">
        <v>3</v>
      </c>
      <c r="D21" s="58">
        <f t="shared" si="1"/>
        <v>260</v>
      </c>
      <c r="E21" s="58" t="s">
        <v>3</v>
      </c>
      <c r="F21" s="59">
        <f t="shared" si="2"/>
        <v>1300</v>
      </c>
      <c r="G21" s="58" t="s">
        <v>3</v>
      </c>
      <c r="H21" s="58">
        <v>4</v>
      </c>
      <c r="I21" s="61" t="s">
        <v>582</v>
      </c>
      <c r="J21" s="114">
        <v>130</v>
      </c>
      <c r="K21" s="75">
        <v>260</v>
      </c>
      <c r="L21" s="75">
        <v>1300</v>
      </c>
      <c r="M21" s="191">
        <v>17.904307316399212</v>
      </c>
      <c r="N21" s="75">
        <v>1416.0312155818769</v>
      </c>
      <c r="O21" s="75">
        <v>4645.5636499999991</v>
      </c>
      <c r="P21" s="123">
        <v>63138.381645014335</v>
      </c>
      <c r="Q21" s="199">
        <v>14962.074440453211</v>
      </c>
      <c r="R21" s="348">
        <v>38901.39354517826</v>
      </c>
      <c r="S21" s="319">
        <v>78100.456085467551</v>
      </c>
      <c r="T21" s="342">
        <v>102039.77519019259</v>
      </c>
      <c r="V21" s="1338" t="s">
        <v>7637</v>
      </c>
    </row>
    <row r="22" spans="1:22" ht="16.5" customHeight="1" thickBot="1">
      <c r="A22" s="57" t="s">
        <v>52</v>
      </c>
      <c r="B22" s="58">
        <f t="shared" si="0"/>
        <v>130</v>
      </c>
      <c r="C22" s="58" t="s">
        <v>3</v>
      </c>
      <c r="D22" s="58">
        <f t="shared" si="1"/>
        <v>260</v>
      </c>
      <c r="E22" s="58" t="s">
        <v>3</v>
      </c>
      <c r="F22" s="59">
        <f t="shared" si="2"/>
        <v>1350</v>
      </c>
      <c r="G22" s="58" t="s">
        <v>3</v>
      </c>
      <c r="H22" s="58">
        <v>4</v>
      </c>
      <c r="I22" s="61" t="s">
        <v>582</v>
      </c>
      <c r="J22" s="114">
        <v>130</v>
      </c>
      <c r="K22" s="75">
        <v>260</v>
      </c>
      <c r="L22" s="75">
        <v>1350</v>
      </c>
      <c r="M22" s="191">
        <v>18.498417504039473</v>
      </c>
      <c r="N22" s="75">
        <v>1490.5591742967131</v>
      </c>
      <c r="O22" s="75">
        <v>4890.067</v>
      </c>
      <c r="P22" s="123">
        <v>64348.695273956524</v>
      </c>
      <c r="Q22" s="199">
        <v>15393.685038456784</v>
      </c>
      <c r="R22" s="348">
        <v>40023.581099987663</v>
      </c>
      <c r="S22" s="319">
        <v>79742.380312413312</v>
      </c>
      <c r="T22" s="342">
        <v>104372.27637394419</v>
      </c>
      <c r="V22" s="1338" t="s">
        <v>7638</v>
      </c>
    </row>
    <row r="23" spans="1:22" ht="16.5" customHeight="1" thickBot="1">
      <c r="A23" s="57" t="s">
        <v>52</v>
      </c>
      <c r="B23" s="58">
        <f t="shared" si="0"/>
        <v>130</v>
      </c>
      <c r="C23" s="58" t="s">
        <v>3</v>
      </c>
      <c r="D23" s="58">
        <f t="shared" si="1"/>
        <v>260</v>
      </c>
      <c r="E23" s="58" t="s">
        <v>3</v>
      </c>
      <c r="F23" s="59">
        <f t="shared" si="2"/>
        <v>1400</v>
      </c>
      <c r="G23" s="58" t="s">
        <v>3</v>
      </c>
      <c r="H23" s="58">
        <v>4</v>
      </c>
      <c r="I23" s="61" t="s">
        <v>582</v>
      </c>
      <c r="J23" s="114">
        <v>130</v>
      </c>
      <c r="K23" s="75">
        <v>260</v>
      </c>
      <c r="L23" s="75">
        <v>1400</v>
      </c>
      <c r="M23" s="191">
        <v>19.109567691679736</v>
      </c>
      <c r="N23" s="75">
        <v>1565.0871330115488</v>
      </c>
      <c r="O23" s="75">
        <v>5134.57035</v>
      </c>
      <c r="P23" s="123">
        <v>65559.00904329207</v>
      </c>
      <c r="Q23" s="199">
        <v>16055.877419605255</v>
      </c>
      <c r="R23" s="348">
        <v>41745.28129097366</v>
      </c>
      <c r="S23" s="319">
        <v>81614.886462897324</v>
      </c>
      <c r="T23" s="342">
        <v>107304.29033426574</v>
      </c>
      <c r="V23" s="1338" t="s">
        <v>7639</v>
      </c>
    </row>
    <row r="24" spans="1:22" ht="16.5" customHeight="1" thickBot="1">
      <c r="A24" s="57" t="s">
        <v>52</v>
      </c>
      <c r="B24" s="58">
        <f t="shared" si="0"/>
        <v>130</v>
      </c>
      <c r="C24" s="58" t="s">
        <v>3</v>
      </c>
      <c r="D24" s="58">
        <f t="shared" si="1"/>
        <v>260</v>
      </c>
      <c r="E24" s="58" t="s">
        <v>3</v>
      </c>
      <c r="F24" s="59">
        <f t="shared" si="2"/>
        <v>1450</v>
      </c>
      <c r="G24" s="58" t="s">
        <v>3</v>
      </c>
      <c r="H24" s="58">
        <v>4</v>
      </c>
      <c r="I24" s="61" t="s">
        <v>582</v>
      </c>
      <c r="J24" s="114">
        <v>130</v>
      </c>
      <c r="K24" s="75">
        <v>260</v>
      </c>
      <c r="L24" s="75">
        <v>1450</v>
      </c>
      <c r="M24" s="191">
        <v>19.703677879319997</v>
      </c>
      <c r="N24" s="75">
        <v>1639.6150917263842</v>
      </c>
      <c r="O24" s="75">
        <v>5379.0737000000008</v>
      </c>
      <c r="P24" s="123">
        <v>66769.322672234266</v>
      </c>
      <c r="Q24" s="199">
        <v>16487.48801760883</v>
      </c>
      <c r="R24" s="348">
        <v>42867.468845783063</v>
      </c>
      <c r="S24" s="319">
        <v>83256.8106898431</v>
      </c>
      <c r="T24" s="342">
        <v>109636.79151801733</v>
      </c>
      <c r="V24" s="1338" t="s">
        <v>7640</v>
      </c>
    </row>
    <row r="25" spans="1:22" ht="16.5" customHeight="1" thickBot="1">
      <c r="A25" s="57" t="s">
        <v>52</v>
      </c>
      <c r="B25" s="58">
        <f t="shared" si="0"/>
        <v>130</v>
      </c>
      <c r="C25" s="58" t="s">
        <v>3</v>
      </c>
      <c r="D25" s="58">
        <f t="shared" si="1"/>
        <v>260</v>
      </c>
      <c r="E25" s="58" t="s">
        <v>3</v>
      </c>
      <c r="F25" s="59">
        <f t="shared" si="2"/>
        <v>1500</v>
      </c>
      <c r="G25" s="58" t="s">
        <v>3</v>
      </c>
      <c r="H25" s="58">
        <v>4</v>
      </c>
      <c r="I25" s="61" t="s">
        <v>582</v>
      </c>
      <c r="J25" s="114">
        <v>130</v>
      </c>
      <c r="K25" s="75">
        <v>260</v>
      </c>
      <c r="L25" s="75">
        <v>1500</v>
      </c>
      <c r="M25" s="191">
        <v>20.210738918920264</v>
      </c>
      <c r="N25" s="75">
        <v>1714.1430504412197</v>
      </c>
      <c r="O25" s="75">
        <v>5623.577049999999</v>
      </c>
      <c r="P25" s="123">
        <v>75638.509649511092</v>
      </c>
      <c r="Q25" s="199">
        <v>17149.680398757439</v>
      </c>
      <c r="R25" s="348">
        <v>44589.169036769206</v>
      </c>
      <c r="S25" s="319">
        <v>92788.190048268531</v>
      </c>
      <c r="T25" s="342">
        <v>120227.6786862803</v>
      </c>
      <c r="V25" s="1338" t="s">
        <v>7641</v>
      </c>
    </row>
    <row r="26" spans="1:22" ht="16.5" customHeight="1" thickBot="1">
      <c r="A26" s="57" t="s">
        <v>52</v>
      </c>
      <c r="B26" s="58">
        <f t="shared" si="0"/>
        <v>130</v>
      </c>
      <c r="C26" s="58" t="s">
        <v>3</v>
      </c>
      <c r="D26" s="58">
        <f t="shared" si="1"/>
        <v>260</v>
      </c>
      <c r="E26" s="58" t="s">
        <v>3</v>
      </c>
      <c r="F26" s="59">
        <f t="shared" si="2"/>
        <v>1550</v>
      </c>
      <c r="G26" s="58" t="s">
        <v>3</v>
      </c>
      <c r="H26" s="58">
        <v>4</v>
      </c>
      <c r="I26" s="61" t="s">
        <v>582</v>
      </c>
      <c r="J26" s="114">
        <v>130</v>
      </c>
      <c r="K26" s="75">
        <v>260</v>
      </c>
      <c r="L26" s="75">
        <v>1550</v>
      </c>
      <c r="M26" s="191">
        <v>20.804849106560525</v>
      </c>
      <c r="N26" s="75">
        <v>1788.6710091560556</v>
      </c>
      <c r="O26" s="75">
        <v>5868.0803999999998</v>
      </c>
      <c r="P26" s="123">
        <v>76848.82341884663</v>
      </c>
      <c r="Q26" s="199">
        <v>17581.290996761014</v>
      </c>
      <c r="R26" s="348">
        <v>45711.356591578609</v>
      </c>
      <c r="S26" s="319">
        <v>94430.114415607648</v>
      </c>
      <c r="T26" s="342">
        <v>122560.18001042525</v>
      </c>
      <c r="V26" s="1338" t="s">
        <v>7642</v>
      </c>
    </row>
    <row r="27" spans="1:22" ht="16.5" customHeight="1" thickBot="1">
      <c r="A27" s="57" t="s">
        <v>52</v>
      </c>
      <c r="B27" s="58">
        <f t="shared" si="0"/>
        <v>130</v>
      </c>
      <c r="C27" s="58" t="s">
        <v>3</v>
      </c>
      <c r="D27" s="58">
        <f t="shared" si="1"/>
        <v>260</v>
      </c>
      <c r="E27" s="58" t="s">
        <v>3</v>
      </c>
      <c r="F27" s="59">
        <f t="shared" si="2"/>
        <v>1600</v>
      </c>
      <c r="G27" s="58" t="s">
        <v>3</v>
      </c>
      <c r="H27" s="58">
        <v>4</v>
      </c>
      <c r="I27" s="61" t="s">
        <v>582</v>
      </c>
      <c r="J27" s="114">
        <v>130</v>
      </c>
      <c r="K27" s="75">
        <v>260</v>
      </c>
      <c r="L27" s="75">
        <v>1600</v>
      </c>
      <c r="M27" s="191">
        <v>21.398959294200786</v>
      </c>
      <c r="N27" s="75">
        <v>1863.198967870891</v>
      </c>
      <c r="O27" s="75">
        <v>6112.5837499999998</v>
      </c>
      <c r="P27" s="123">
        <v>77929.19400561988</v>
      </c>
      <c r="Q27" s="199">
        <v>18012.901594764586</v>
      </c>
      <c r="R27" s="348">
        <v>46833.544146387867</v>
      </c>
      <c r="S27" s="319">
        <v>95942.095600384462</v>
      </c>
      <c r="T27" s="342">
        <v>124762.73815200775</v>
      </c>
      <c r="V27" s="1338" t="s">
        <v>7643</v>
      </c>
    </row>
    <row r="28" spans="1:22" ht="16.5" customHeight="1" thickBot="1">
      <c r="A28" s="57" t="s">
        <v>52</v>
      </c>
      <c r="B28" s="58">
        <f t="shared" si="0"/>
        <v>130</v>
      </c>
      <c r="C28" s="58" t="s">
        <v>3</v>
      </c>
      <c r="D28" s="58">
        <f t="shared" si="1"/>
        <v>260</v>
      </c>
      <c r="E28" s="58" t="s">
        <v>3</v>
      </c>
      <c r="F28" s="59">
        <f t="shared" si="2"/>
        <v>1650</v>
      </c>
      <c r="G28" s="58" t="s">
        <v>3</v>
      </c>
      <c r="H28" s="58">
        <v>4</v>
      </c>
      <c r="I28" s="61" t="s">
        <v>582</v>
      </c>
      <c r="J28" s="114">
        <v>130</v>
      </c>
      <c r="K28" s="75">
        <v>260</v>
      </c>
      <c r="L28" s="75">
        <v>1650</v>
      </c>
      <c r="M28" s="191">
        <v>22.010109481841049</v>
      </c>
      <c r="N28" s="75">
        <v>1937.7269265857267</v>
      </c>
      <c r="O28" s="75">
        <v>6357.0870999999997</v>
      </c>
      <c r="P28" s="123">
        <v>79009.510681341912</v>
      </c>
      <c r="Q28" s="199">
        <v>18675.093975913056</v>
      </c>
      <c r="R28" s="348">
        <v>48555.244337374002</v>
      </c>
      <c r="S28" s="319">
        <v>97684.604657254968</v>
      </c>
      <c r="T28" s="342">
        <v>127564.75501871592</v>
      </c>
      <c r="V28" s="1338" t="s">
        <v>7644</v>
      </c>
    </row>
    <row r="29" spans="1:22" ht="16.5" customHeight="1" thickBot="1">
      <c r="A29" s="57" t="s">
        <v>52</v>
      </c>
      <c r="B29" s="58">
        <f t="shared" si="0"/>
        <v>130</v>
      </c>
      <c r="C29" s="58" t="s">
        <v>3</v>
      </c>
      <c r="D29" s="58">
        <f t="shared" si="1"/>
        <v>260</v>
      </c>
      <c r="E29" s="58" t="s">
        <v>3</v>
      </c>
      <c r="F29" s="59">
        <f t="shared" si="2"/>
        <v>1700</v>
      </c>
      <c r="G29" s="58" t="s">
        <v>3</v>
      </c>
      <c r="H29" s="58">
        <v>4</v>
      </c>
      <c r="I29" s="61" t="s">
        <v>582</v>
      </c>
      <c r="J29" s="114">
        <v>130</v>
      </c>
      <c r="K29" s="75">
        <v>260</v>
      </c>
      <c r="L29" s="75">
        <v>1700</v>
      </c>
      <c r="M29" s="191">
        <v>23.466219669481315</v>
      </c>
      <c r="N29" s="75">
        <v>2012.2548853005626</v>
      </c>
      <c r="O29" s="75">
        <v>6601.5904499999997</v>
      </c>
      <c r="P29" s="123">
        <v>85995.758026005438</v>
      </c>
      <c r="Q29" s="199">
        <v>19106.704573916631</v>
      </c>
      <c r="R29" s="348">
        <v>49677.431892183413</v>
      </c>
      <c r="S29" s="319">
        <v>105102.46259992207</v>
      </c>
      <c r="T29" s="342">
        <v>135673.18991818884</v>
      </c>
      <c r="V29" s="1338" t="s">
        <v>7645</v>
      </c>
    </row>
    <row r="30" spans="1:22" ht="16.5" customHeight="1" thickBot="1">
      <c r="A30" s="57" t="s">
        <v>52</v>
      </c>
      <c r="B30" s="58">
        <f t="shared" si="0"/>
        <v>130</v>
      </c>
      <c r="C30" s="58" t="s">
        <v>3</v>
      </c>
      <c r="D30" s="58">
        <f t="shared" si="1"/>
        <v>260</v>
      </c>
      <c r="E30" s="58" t="s">
        <v>3</v>
      </c>
      <c r="F30" s="59">
        <f t="shared" si="2"/>
        <v>1750</v>
      </c>
      <c r="G30" s="58" t="s">
        <v>3</v>
      </c>
      <c r="H30" s="58">
        <v>4</v>
      </c>
      <c r="I30" s="61" t="s">
        <v>582</v>
      </c>
      <c r="J30" s="114">
        <v>130</v>
      </c>
      <c r="K30" s="75">
        <v>260</v>
      </c>
      <c r="L30" s="75">
        <v>1750</v>
      </c>
      <c r="M30" s="191">
        <v>24.077369857121575</v>
      </c>
      <c r="N30" s="75">
        <v>2086.782844015398</v>
      </c>
      <c r="O30" s="75">
        <v>6846.0937999999987</v>
      </c>
      <c r="P30" s="123">
        <v>87045.987561783535</v>
      </c>
      <c r="Q30" s="199">
        <v>19768.896955065244</v>
      </c>
      <c r="R30" s="348">
        <v>51399.132083169403</v>
      </c>
      <c r="S30" s="319">
        <v>106814.88451684878</v>
      </c>
      <c r="T30" s="342">
        <v>138445.11964495294</v>
      </c>
      <c r="V30" s="1338" t="s">
        <v>7646</v>
      </c>
    </row>
    <row r="31" spans="1:22" ht="16.5" customHeight="1" thickBot="1">
      <c r="A31" s="57" t="s">
        <v>52</v>
      </c>
      <c r="B31" s="58">
        <f t="shared" si="0"/>
        <v>130</v>
      </c>
      <c r="C31" s="58" t="s">
        <v>3</v>
      </c>
      <c r="D31" s="58">
        <f t="shared" si="1"/>
        <v>260</v>
      </c>
      <c r="E31" s="58" t="s">
        <v>3</v>
      </c>
      <c r="F31" s="59">
        <f t="shared" si="2"/>
        <v>1800</v>
      </c>
      <c r="G31" s="58" t="s">
        <v>3</v>
      </c>
      <c r="H31" s="58">
        <v>4</v>
      </c>
      <c r="I31" s="61" t="s">
        <v>582</v>
      </c>
      <c r="J31" s="114">
        <v>130</v>
      </c>
      <c r="K31" s="75">
        <v>260</v>
      </c>
      <c r="L31" s="75">
        <v>1800</v>
      </c>
      <c r="M31" s="191">
        <v>24.671480044761843</v>
      </c>
      <c r="N31" s="75">
        <v>2161.3108027302337</v>
      </c>
      <c r="O31" s="75">
        <v>7090.5971499999987</v>
      </c>
      <c r="P31" s="123">
        <v>88096.163186510457</v>
      </c>
      <c r="Q31" s="199">
        <v>20200.507553068815</v>
      </c>
      <c r="R31" s="348">
        <v>52521.319637978813</v>
      </c>
      <c r="S31" s="319">
        <v>108296.67073957928</v>
      </c>
      <c r="T31" s="342">
        <v>140617.48282448927</v>
      </c>
      <c r="V31" s="1338" t="s">
        <v>7647</v>
      </c>
    </row>
    <row r="32" spans="1:22" ht="16.5" customHeight="1" thickBot="1">
      <c r="A32" s="57" t="s">
        <v>52</v>
      </c>
      <c r="B32" s="58">
        <f t="shared" si="0"/>
        <v>130</v>
      </c>
      <c r="C32" s="58" t="s">
        <v>3</v>
      </c>
      <c r="D32" s="58">
        <f t="shared" si="1"/>
        <v>260</v>
      </c>
      <c r="E32" s="58" t="s">
        <v>3</v>
      </c>
      <c r="F32" s="59">
        <f t="shared" si="2"/>
        <v>1850</v>
      </c>
      <c r="G32" s="58" t="s">
        <v>3</v>
      </c>
      <c r="H32" s="58">
        <v>4</v>
      </c>
      <c r="I32" s="61" t="s">
        <v>582</v>
      </c>
      <c r="J32" s="114">
        <v>130</v>
      </c>
      <c r="K32" s="75">
        <v>260</v>
      </c>
      <c r="L32" s="75">
        <v>1850</v>
      </c>
      <c r="M32" s="191">
        <v>25.282630232402106</v>
      </c>
      <c r="N32" s="75">
        <v>2235.8387614450694</v>
      </c>
      <c r="O32" s="75">
        <v>7335.1004999999996</v>
      </c>
      <c r="P32" s="123">
        <v>89146.285180972889</v>
      </c>
      <c r="Q32" s="199">
        <v>20862.699934217286</v>
      </c>
      <c r="R32" s="348">
        <v>54243.019828964949</v>
      </c>
      <c r="S32" s="319">
        <v>110008.98511519018</v>
      </c>
      <c r="T32" s="342">
        <v>143389.30500993785</v>
      </c>
      <c r="V32" s="1338" t="s">
        <v>7648</v>
      </c>
    </row>
    <row r="33" spans="1:22" ht="16.5" customHeight="1" thickBot="1">
      <c r="A33" s="57" t="s">
        <v>52</v>
      </c>
      <c r="B33" s="58">
        <f t="shared" si="0"/>
        <v>130</v>
      </c>
      <c r="C33" s="58" t="s">
        <v>3</v>
      </c>
      <c r="D33" s="58">
        <f t="shared" si="1"/>
        <v>260</v>
      </c>
      <c r="E33" s="58" t="s">
        <v>3</v>
      </c>
      <c r="F33" s="59">
        <f t="shared" si="2"/>
        <v>1900</v>
      </c>
      <c r="G33" s="58" t="s">
        <v>3</v>
      </c>
      <c r="H33" s="58">
        <v>4</v>
      </c>
      <c r="I33" s="61" t="s">
        <v>582</v>
      </c>
      <c r="J33" s="114">
        <v>130</v>
      </c>
      <c r="K33" s="75">
        <v>260</v>
      </c>
      <c r="L33" s="75">
        <v>1900</v>
      </c>
      <c r="M33" s="191">
        <v>25.876740420042367</v>
      </c>
      <c r="N33" s="75">
        <v>2310.3667201599055</v>
      </c>
      <c r="O33" s="75">
        <v>7579.6038499999995</v>
      </c>
      <c r="P33" s="123">
        <v>90196.353264384132</v>
      </c>
      <c r="Q33" s="199">
        <v>21294.310532220861</v>
      </c>
      <c r="R33" s="348">
        <v>55365.207383774345</v>
      </c>
      <c r="S33" s="319">
        <v>111490.66379660499</v>
      </c>
      <c r="T33" s="342">
        <v>145561.56064815848</v>
      </c>
      <c r="V33" s="1338" t="s">
        <v>7649</v>
      </c>
    </row>
    <row r="34" spans="1:22" ht="16.5" customHeight="1" thickBot="1">
      <c r="A34" s="57" t="s">
        <v>52</v>
      </c>
      <c r="B34" s="58">
        <f t="shared" si="0"/>
        <v>130</v>
      </c>
      <c r="C34" s="58" t="s">
        <v>3</v>
      </c>
      <c r="D34" s="58">
        <f t="shared" si="1"/>
        <v>260</v>
      </c>
      <c r="E34" s="58" t="s">
        <v>3</v>
      </c>
      <c r="F34" s="59">
        <f t="shared" si="2"/>
        <v>1950</v>
      </c>
      <c r="G34" s="58" t="s">
        <v>3</v>
      </c>
      <c r="H34" s="58">
        <v>4</v>
      </c>
      <c r="I34" s="61" t="s">
        <v>582</v>
      </c>
      <c r="J34" s="114">
        <v>130</v>
      </c>
      <c r="K34" s="75">
        <v>260</v>
      </c>
      <c r="L34" s="75">
        <v>1950</v>
      </c>
      <c r="M34" s="191">
        <v>26.549350607682634</v>
      </c>
      <c r="N34" s="75">
        <v>2384.8946788747403</v>
      </c>
      <c r="O34" s="75">
        <v>7824.1071999999995</v>
      </c>
      <c r="P34" s="123">
        <v>91321.543730168676</v>
      </c>
      <c r="Q34" s="199">
        <v>21725.921130224433</v>
      </c>
      <c r="R34" s="348">
        <v>56487.394938583609</v>
      </c>
      <c r="S34" s="319">
        <v>113047.46486039311</v>
      </c>
      <c r="T34" s="342">
        <v>147808.93866875229</v>
      </c>
      <c r="V34" s="1338" t="s">
        <v>7650</v>
      </c>
    </row>
    <row r="35" spans="1:22" ht="16.5" customHeight="1" thickBot="1">
      <c r="A35" s="57" t="s">
        <v>52</v>
      </c>
      <c r="B35" s="58">
        <f t="shared" si="0"/>
        <v>130</v>
      </c>
      <c r="C35" s="58" t="s">
        <v>3</v>
      </c>
      <c r="D35" s="58">
        <f t="shared" si="1"/>
        <v>260</v>
      </c>
      <c r="E35" s="58" t="s">
        <v>3</v>
      </c>
      <c r="F35" s="59">
        <f t="shared" si="2"/>
        <v>2000</v>
      </c>
      <c r="G35" s="58" t="s">
        <v>3</v>
      </c>
      <c r="H35" s="58">
        <v>4</v>
      </c>
      <c r="I35" s="61" t="s">
        <v>582</v>
      </c>
      <c r="J35" s="114">
        <v>130</v>
      </c>
      <c r="K35" s="75">
        <v>260</v>
      </c>
      <c r="L35" s="75">
        <v>2000</v>
      </c>
      <c r="M35" s="191">
        <v>27.252063195322897</v>
      </c>
      <c r="N35" s="75">
        <v>2459.4226375895764</v>
      </c>
      <c r="O35" s="75">
        <v>8068.6105499999985</v>
      </c>
      <c r="P35" s="123">
        <v>92756.766262295598</v>
      </c>
      <c r="Q35" s="199">
        <v>22388.113511373045</v>
      </c>
      <c r="R35" s="348">
        <v>58209.095129569745</v>
      </c>
      <c r="S35" s="319">
        <v>115144.87977366864</v>
      </c>
      <c r="T35" s="342">
        <v>150965.86139186536</v>
      </c>
      <c r="V35" s="1338" t="s">
        <v>7651</v>
      </c>
    </row>
    <row r="36" spans="1:22" ht="16.5" customHeight="1" thickBot="1">
      <c r="A36" s="57" t="s">
        <v>52</v>
      </c>
      <c r="B36" s="58">
        <f t="shared" si="0"/>
        <v>130</v>
      </c>
      <c r="C36" s="58" t="s">
        <v>3</v>
      </c>
      <c r="D36" s="58">
        <f t="shared" si="1"/>
        <v>260</v>
      </c>
      <c r="E36" s="58" t="s">
        <v>3</v>
      </c>
      <c r="F36" s="59">
        <f t="shared" si="2"/>
        <v>2050</v>
      </c>
      <c r="G36" s="58" t="s">
        <v>3</v>
      </c>
      <c r="H36" s="58">
        <v>4</v>
      </c>
      <c r="I36" s="61" t="s">
        <v>582</v>
      </c>
      <c r="J36" s="114">
        <v>130</v>
      </c>
      <c r="K36" s="75">
        <v>260</v>
      </c>
      <c r="L36" s="75">
        <v>2050</v>
      </c>
      <c r="M36" s="191">
        <v>28.70817338296316</v>
      </c>
      <c r="N36" s="75">
        <v>2533.9505963044121</v>
      </c>
      <c r="O36" s="75">
        <v>8313.1139000000003</v>
      </c>
      <c r="P36" s="123">
        <v>99502.800002148171</v>
      </c>
      <c r="Q36" s="199">
        <v>22819.724109376617</v>
      </c>
      <c r="R36" s="348">
        <v>59331.282684379155</v>
      </c>
      <c r="S36" s="319">
        <v>122322.52411152479</v>
      </c>
      <c r="T36" s="342">
        <v>158834.08268652734</v>
      </c>
      <c r="V36" s="1338" t="s">
        <v>7652</v>
      </c>
    </row>
    <row r="37" spans="1:22" ht="16.5" customHeight="1" thickBot="1">
      <c r="A37" s="57" t="s">
        <v>52</v>
      </c>
      <c r="B37" s="58">
        <f t="shared" si="0"/>
        <v>130</v>
      </c>
      <c r="C37" s="58" t="s">
        <v>3</v>
      </c>
      <c r="D37" s="58">
        <f t="shared" si="1"/>
        <v>260</v>
      </c>
      <c r="E37" s="58" t="s">
        <v>3</v>
      </c>
      <c r="F37" s="59">
        <f t="shared" si="2"/>
        <v>2100</v>
      </c>
      <c r="G37" s="58" t="s">
        <v>3</v>
      </c>
      <c r="H37" s="58">
        <v>4</v>
      </c>
      <c r="I37" s="61" t="s">
        <v>582</v>
      </c>
      <c r="J37" s="114">
        <v>130</v>
      </c>
      <c r="K37" s="75">
        <v>260</v>
      </c>
      <c r="L37" s="75">
        <v>2100</v>
      </c>
      <c r="M37" s="191">
        <v>29.319323570603416</v>
      </c>
      <c r="N37" s="75">
        <v>2608.4785550192473</v>
      </c>
      <c r="O37" s="75">
        <v>8557.6172499999993</v>
      </c>
      <c r="P37" s="123">
        <v>100332.50189040508</v>
      </c>
      <c r="Q37" s="199">
        <v>23481.916490525091</v>
      </c>
      <c r="R37" s="348">
        <v>61052.982875365145</v>
      </c>
      <c r="S37" s="319">
        <v>123814.41838093018</v>
      </c>
      <c r="T37" s="342">
        <v>161385.48476577023</v>
      </c>
      <c r="V37" s="1338" t="s">
        <v>7653</v>
      </c>
    </row>
    <row r="38" spans="1:22" ht="16.5" customHeight="1" thickBot="1">
      <c r="A38" s="57" t="s">
        <v>52</v>
      </c>
      <c r="B38" s="58">
        <f t="shared" si="0"/>
        <v>130</v>
      </c>
      <c r="C38" s="58" t="s">
        <v>3</v>
      </c>
      <c r="D38" s="58">
        <f t="shared" si="1"/>
        <v>260</v>
      </c>
      <c r="E38" s="58" t="s">
        <v>3</v>
      </c>
      <c r="F38" s="59">
        <f t="shared" si="2"/>
        <v>2150</v>
      </c>
      <c r="G38" s="58" t="s">
        <v>3</v>
      </c>
      <c r="H38" s="58">
        <v>4</v>
      </c>
      <c r="I38" s="61" t="s">
        <v>582</v>
      </c>
      <c r="J38" s="114">
        <v>130</v>
      </c>
      <c r="K38" s="75">
        <v>260</v>
      </c>
      <c r="L38" s="75">
        <v>2150</v>
      </c>
      <c r="M38" s="191">
        <v>29.913433758243684</v>
      </c>
      <c r="N38" s="75">
        <v>2683.006513734083</v>
      </c>
      <c r="O38" s="75">
        <v>8802.1206000000002</v>
      </c>
      <c r="P38" s="123">
        <v>101352.29442597991</v>
      </c>
      <c r="Q38" s="199">
        <v>23913.527088528666</v>
      </c>
      <c r="R38" s="348">
        <v>62175.170430174556</v>
      </c>
      <c r="S38" s="319">
        <v>125265.82151450857</v>
      </c>
      <c r="T38" s="342">
        <v>163527.46485615446</v>
      </c>
      <c r="V38" s="1338" t="s">
        <v>7654</v>
      </c>
    </row>
    <row r="39" spans="1:22" ht="16.5" customHeight="1" thickBot="1">
      <c r="A39" s="57" t="s">
        <v>52</v>
      </c>
      <c r="B39" s="58">
        <f t="shared" si="0"/>
        <v>130</v>
      </c>
      <c r="C39" s="58" t="s">
        <v>3</v>
      </c>
      <c r="D39" s="58">
        <f t="shared" si="1"/>
        <v>260</v>
      </c>
      <c r="E39" s="58" t="s">
        <v>3</v>
      </c>
      <c r="F39" s="59">
        <f t="shared" si="2"/>
        <v>2200</v>
      </c>
      <c r="G39" s="58" t="s">
        <v>3</v>
      </c>
      <c r="H39" s="58">
        <v>4</v>
      </c>
      <c r="I39" s="61" t="s">
        <v>582</v>
      </c>
      <c r="J39" s="114">
        <v>130</v>
      </c>
      <c r="K39" s="75">
        <v>260</v>
      </c>
      <c r="L39" s="75">
        <v>2200</v>
      </c>
      <c r="M39" s="191">
        <v>30.524583945883947</v>
      </c>
      <c r="N39" s="75">
        <v>2757.5344724489187</v>
      </c>
      <c r="O39" s="75">
        <v>9046.6239499999992</v>
      </c>
      <c r="P39" s="123">
        <v>102372.03319089691</v>
      </c>
      <c r="Q39" s="199">
        <v>24575.719469677133</v>
      </c>
      <c r="R39" s="348">
        <v>63896.870621160691</v>
      </c>
      <c r="S39" s="319">
        <v>126947.75266057404</v>
      </c>
      <c r="T39" s="342">
        <v>166268.9038120576</v>
      </c>
      <c r="V39" s="1338" t="s">
        <v>7655</v>
      </c>
    </row>
    <row r="40" spans="1:22" ht="16.5" customHeight="1" thickBot="1">
      <c r="A40" s="57" t="s">
        <v>52</v>
      </c>
      <c r="B40" s="58">
        <f t="shared" si="0"/>
        <v>130</v>
      </c>
      <c r="C40" s="58" t="s">
        <v>3</v>
      </c>
      <c r="D40" s="58">
        <f t="shared" si="1"/>
        <v>260</v>
      </c>
      <c r="E40" s="58" t="s">
        <v>3</v>
      </c>
      <c r="F40" s="59">
        <f t="shared" si="2"/>
        <v>2250</v>
      </c>
      <c r="G40" s="58" t="s">
        <v>3</v>
      </c>
      <c r="H40" s="58">
        <v>4</v>
      </c>
      <c r="I40" s="61" t="s">
        <v>582</v>
      </c>
      <c r="J40" s="114">
        <v>130</v>
      </c>
      <c r="K40" s="75">
        <v>260</v>
      </c>
      <c r="L40" s="75">
        <v>2250</v>
      </c>
      <c r="M40" s="191">
        <v>31.118694133524208</v>
      </c>
      <c r="N40" s="75">
        <v>2832.0624311637539</v>
      </c>
      <c r="O40" s="75">
        <v>9291.1272999999983</v>
      </c>
      <c r="P40" s="123">
        <v>103391.71818515609</v>
      </c>
      <c r="Q40" s="199">
        <v>25007.330067680847</v>
      </c>
      <c r="R40" s="348">
        <v>65019.058175970087</v>
      </c>
      <c r="S40" s="319">
        <v>128399.04825283693</v>
      </c>
      <c r="T40" s="342">
        <v>168410.77636112616</v>
      </c>
      <c r="V40" s="1338" t="s">
        <v>7656</v>
      </c>
    </row>
    <row r="41" spans="1:22" ht="16.5" customHeight="1" thickBot="1">
      <c r="A41" s="57" t="s">
        <v>52</v>
      </c>
      <c r="B41" s="58">
        <f t="shared" si="0"/>
        <v>130</v>
      </c>
      <c r="C41" s="58" t="s">
        <v>3</v>
      </c>
      <c r="D41" s="58">
        <f t="shared" si="1"/>
        <v>260</v>
      </c>
      <c r="E41" s="58" t="s">
        <v>3</v>
      </c>
      <c r="F41" s="59">
        <f t="shared" si="2"/>
        <v>2300</v>
      </c>
      <c r="G41" s="58" t="s">
        <v>3</v>
      </c>
      <c r="H41" s="58">
        <v>4</v>
      </c>
      <c r="I41" s="61" t="s">
        <v>582</v>
      </c>
      <c r="J41" s="114">
        <v>130</v>
      </c>
      <c r="K41" s="75">
        <v>260</v>
      </c>
      <c r="L41" s="75">
        <v>2300</v>
      </c>
      <c r="M41" s="191">
        <v>31.712804321164477</v>
      </c>
      <c r="N41" s="75">
        <v>2906.5903898785905</v>
      </c>
      <c r="O41" s="75">
        <v>9535.6306499999992</v>
      </c>
      <c r="P41" s="123">
        <v>104411.34940875741</v>
      </c>
      <c r="Q41" s="199">
        <v>25438.940665684422</v>
      </c>
      <c r="R41" s="348">
        <v>66141.245730779352</v>
      </c>
      <c r="S41" s="319">
        <v>129850.29007444183</v>
      </c>
      <c r="T41" s="342">
        <v>170552.59513953677</v>
      </c>
      <c r="V41" s="1338" t="s">
        <v>7657</v>
      </c>
    </row>
    <row r="42" spans="1:22" ht="16.5" customHeight="1" thickBot="1">
      <c r="A42" s="57" t="s">
        <v>52</v>
      </c>
      <c r="B42" s="58">
        <f t="shared" si="0"/>
        <v>130</v>
      </c>
      <c r="C42" s="58" t="s">
        <v>3</v>
      </c>
      <c r="D42" s="58">
        <f t="shared" si="1"/>
        <v>260</v>
      </c>
      <c r="E42" s="58" t="s">
        <v>3</v>
      </c>
      <c r="F42" s="59">
        <f t="shared" si="2"/>
        <v>2350</v>
      </c>
      <c r="G42" s="58" t="s">
        <v>3</v>
      </c>
      <c r="H42" s="58">
        <v>4</v>
      </c>
      <c r="I42" s="61" t="s">
        <v>582</v>
      </c>
      <c r="J42" s="114">
        <v>130</v>
      </c>
      <c r="K42" s="75">
        <v>260</v>
      </c>
      <c r="L42" s="75">
        <v>2350</v>
      </c>
      <c r="M42" s="191">
        <v>32.323954508804732</v>
      </c>
      <c r="N42" s="75">
        <v>2981.1183485934262</v>
      </c>
      <c r="O42" s="75">
        <v>9780.134</v>
      </c>
      <c r="P42" s="123">
        <v>105430.92672130752</v>
      </c>
      <c r="Q42" s="199">
        <v>26101.133046832892</v>
      </c>
      <c r="R42" s="348">
        <v>67862.945921765495</v>
      </c>
      <c r="S42" s="319">
        <v>131532.0597681404</v>
      </c>
      <c r="T42" s="342">
        <v>173293.87264307303</v>
      </c>
      <c r="V42" s="1338" t="s">
        <v>7658</v>
      </c>
    </row>
    <row r="43" spans="1:22" ht="16.5" customHeight="1" thickBot="1">
      <c r="A43" s="57" t="s">
        <v>52</v>
      </c>
      <c r="B43" s="58">
        <f t="shared" si="0"/>
        <v>130</v>
      </c>
      <c r="C43" s="58" t="s">
        <v>3</v>
      </c>
      <c r="D43" s="58">
        <f t="shared" si="1"/>
        <v>260</v>
      </c>
      <c r="E43" s="58" t="s">
        <v>3</v>
      </c>
      <c r="F43" s="59">
        <f t="shared" si="2"/>
        <v>2400</v>
      </c>
      <c r="G43" s="58" t="s">
        <v>3</v>
      </c>
      <c r="H43" s="58">
        <v>4</v>
      </c>
      <c r="I43" s="61" t="s">
        <v>582</v>
      </c>
      <c r="J43" s="114">
        <v>130</v>
      </c>
      <c r="K43" s="75">
        <v>260</v>
      </c>
      <c r="L43" s="75">
        <v>2400</v>
      </c>
      <c r="M43" s="191">
        <v>32.918064696445001</v>
      </c>
      <c r="N43" s="75">
        <v>3055.6463073082614</v>
      </c>
      <c r="O43" s="75">
        <v>10024.637349999999</v>
      </c>
      <c r="P43" s="123">
        <v>106450.45026319982</v>
      </c>
      <c r="Q43" s="199">
        <v>26532.743644836468</v>
      </c>
      <c r="R43" s="348">
        <v>68985.133476574905</v>
      </c>
      <c r="S43" s="319">
        <v>132983.19390803628</v>
      </c>
      <c r="T43" s="342">
        <v>175435.58373977471</v>
      </c>
      <c r="V43" s="1338" t="s">
        <v>7659</v>
      </c>
    </row>
    <row r="44" spans="1:22" ht="16.5" customHeight="1" thickBot="1">
      <c r="A44" s="57" t="s">
        <v>52</v>
      </c>
      <c r="B44" s="58">
        <f t="shared" si="0"/>
        <v>130</v>
      </c>
      <c r="C44" s="58" t="s">
        <v>3</v>
      </c>
      <c r="D44" s="58">
        <f t="shared" si="1"/>
        <v>260</v>
      </c>
      <c r="E44" s="58" t="s">
        <v>3</v>
      </c>
      <c r="F44" s="59">
        <f t="shared" si="2"/>
        <v>2450</v>
      </c>
      <c r="G44" s="58" t="s">
        <v>3</v>
      </c>
      <c r="H44" s="58">
        <v>4</v>
      </c>
      <c r="I44" s="61" t="s">
        <v>582</v>
      </c>
      <c r="J44" s="114">
        <v>130</v>
      </c>
      <c r="K44" s="75">
        <v>260</v>
      </c>
      <c r="L44" s="75">
        <v>2450</v>
      </c>
      <c r="M44" s="191">
        <v>34.287125736045262</v>
      </c>
      <c r="N44" s="75">
        <v>3130.1742660230975</v>
      </c>
      <c r="O44" s="75">
        <v>10269.1407</v>
      </c>
      <c r="P44" s="123">
        <v>119913.05380909717</v>
      </c>
      <c r="Q44" s="199">
        <v>27194.936025984938</v>
      </c>
      <c r="R44" s="348">
        <v>70706.833667560888</v>
      </c>
      <c r="S44" s="319">
        <v>147107.98983508212</v>
      </c>
      <c r="T44" s="342">
        <v>190619.88747665804</v>
      </c>
      <c r="V44" s="1338" t="s">
        <v>7660</v>
      </c>
    </row>
    <row r="45" spans="1:22" ht="16.5" customHeight="1" thickBot="1">
      <c r="A45" s="57" t="s">
        <v>52</v>
      </c>
      <c r="B45" s="58">
        <f t="shared" si="0"/>
        <v>130</v>
      </c>
      <c r="C45" s="58" t="s">
        <v>3</v>
      </c>
      <c r="D45" s="58">
        <f t="shared" si="1"/>
        <v>260</v>
      </c>
      <c r="E45" s="58" t="s">
        <v>3</v>
      </c>
      <c r="F45" s="59">
        <f t="shared" si="2"/>
        <v>2500</v>
      </c>
      <c r="G45" s="58" t="s">
        <v>3</v>
      </c>
      <c r="H45" s="58">
        <v>4</v>
      </c>
      <c r="I45" s="61" t="s">
        <v>582</v>
      </c>
      <c r="J45" s="114">
        <v>130</v>
      </c>
      <c r="K45" s="75">
        <v>260</v>
      </c>
      <c r="L45" s="75">
        <v>2500</v>
      </c>
      <c r="M45" s="191">
        <v>34.881235923685523</v>
      </c>
      <c r="N45" s="75">
        <v>3204.7022247379327</v>
      </c>
      <c r="O45" s="75">
        <v>10513.644049999999</v>
      </c>
      <c r="P45" s="123">
        <v>120868.69809026523</v>
      </c>
      <c r="Q45" s="199">
        <v>27626.546623988652</v>
      </c>
      <c r="R45" s="348">
        <v>71829.021222370298</v>
      </c>
      <c r="S45" s="319">
        <v>148495.24471425387</v>
      </c>
      <c r="T45" s="342">
        <v>192697.71931263554</v>
      </c>
      <c r="V45" s="1338" t="s">
        <v>7661</v>
      </c>
    </row>
    <row r="46" spans="1:22" ht="16.5" customHeight="1" thickBot="1">
      <c r="A46" s="57" t="s">
        <v>52</v>
      </c>
      <c r="B46" s="58">
        <f t="shared" si="0"/>
        <v>130</v>
      </c>
      <c r="C46" s="58" t="s">
        <v>3</v>
      </c>
      <c r="D46" s="58">
        <f t="shared" si="1"/>
        <v>260</v>
      </c>
      <c r="E46" s="58" t="s">
        <v>3</v>
      </c>
      <c r="F46" s="59">
        <f t="shared" si="2"/>
        <v>2550</v>
      </c>
      <c r="G46" s="58" t="s">
        <v>3</v>
      </c>
      <c r="H46" s="58">
        <v>4</v>
      </c>
      <c r="I46" s="61" t="s">
        <v>582</v>
      </c>
      <c r="J46" s="114">
        <v>130</v>
      </c>
      <c r="K46" s="75">
        <v>260</v>
      </c>
      <c r="L46" s="75">
        <v>2550</v>
      </c>
      <c r="M46" s="191">
        <v>35.492386111325793</v>
      </c>
      <c r="N46" s="75">
        <v>3279.2301834527684</v>
      </c>
      <c r="O46" s="75">
        <v>10758.147400000002</v>
      </c>
      <c r="P46" s="123">
        <v>121824.28846038209</v>
      </c>
      <c r="Q46" s="199">
        <v>28288.739005137122</v>
      </c>
      <c r="R46" s="348">
        <v>73550.721413356427</v>
      </c>
      <c r="S46" s="319">
        <v>150113.0274655192</v>
      </c>
      <c r="T46" s="342">
        <v>195375.00987373851</v>
      </c>
      <c r="V46" s="1338" t="s">
        <v>7662</v>
      </c>
    </row>
    <row r="47" spans="1:22" ht="16.5" customHeight="1" thickBot="1">
      <c r="A47" s="57" t="s">
        <v>52</v>
      </c>
      <c r="B47" s="58">
        <f t="shared" si="0"/>
        <v>130</v>
      </c>
      <c r="C47" s="58" t="s">
        <v>3</v>
      </c>
      <c r="D47" s="58">
        <f t="shared" si="1"/>
        <v>260</v>
      </c>
      <c r="E47" s="58" t="s">
        <v>3</v>
      </c>
      <c r="F47" s="59">
        <f t="shared" si="2"/>
        <v>2600</v>
      </c>
      <c r="G47" s="58" t="s">
        <v>3</v>
      </c>
      <c r="H47" s="58">
        <v>4</v>
      </c>
      <c r="I47" s="61" t="s">
        <v>582</v>
      </c>
      <c r="J47" s="114">
        <v>130</v>
      </c>
      <c r="K47" s="75">
        <v>260</v>
      </c>
      <c r="L47" s="75">
        <v>2600</v>
      </c>
      <c r="M47" s="191">
        <v>36.086496298966054</v>
      </c>
      <c r="N47" s="75">
        <v>3353.7581421676036</v>
      </c>
      <c r="O47" s="75">
        <v>11002.650750000001</v>
      </c>
      <c r="P47" s="123">
        <v>122779.82505984111</v>
      </c>
      <c r="Q47" s="199">
        <v>28720.349603140694</v>
      </c>
      <c r="R47" s="348">
        <v>74672.908968165837</v>
      </c>
      <c r="S47" s="319">
        <v>151500.17466298179</v>
      </c>
      <c r="T47" s="342">
        <v>197452.73402800696</v>
      </c>
      <c r="V47" s="1338" t="s">
        <v>7663</v>
      </c>
    </row>
    <row r="48" spans="1:22" ht="16.5" customHeight="1" thickBot="1">
      <c r="A48" s="57" t="s">
        <v>52</v>
      </c>
      <c r="B48" s="58">
        <f t="shared" si="0"/>
        <v>130</v>
      </c>
      <c r="C48" s="58" t="s">
        <v>3</v>
      </c>
      <c r="D48" s="58">
        <f t="shared" si="1"/>
        <v>260</v>
      </c>
      <c r="E48" s="58" t="s">
        <v>3</v>
      </c>
      <c r="F48" s="59">
        <f t="shared" si="2"/>
        <v>2650</v>
      </c>
      <c r="G48" s="58" t="s">
        <v>3</v>
      </c>
      <c r="H48" s="58">
        <v>4</v>
      </c>
      <c r="I48" s="61" t="s">
        <v>582</v>
      </c>
      <c r="J48" s="114">
        <v>130</v>
      </c>
      <c r="K48" s="75">
        <v>260</v>
      </c>
      <c r="L48" s="75">
        <v>2650</v>
      </c>
      <c r="M48" s="191">
        <v>36.697646486606317</v>
      </c>
      <c r="N48" s="75">
        <v>3428.2861008824393</v>
      </c>
      <c r="O48" s="75">
        <v>11247.154099999998</v>
      </c>
      <c r="P48" s="123">
        <v>123735.30788864229</v>
      </c>
      <c r="Q48" s="199">
        <v>29382.541984289168</v>
      </c>
      <c r="R48" s="348">
        <v>76394.60915915198</v>
      </c>
      <c r="S48" s="319">
        <v>153117.84987293146</v>
      </c>
      <c r="T48" s="342">
        <v>200129.91704779427</v>
      </c>
      <c r="V48" s="1338" t="s">
        <v>7664</v>
      </c>
    </row>
    <row r="49" spans="1:22" ht="16.5" customHeight="1" thickBot="1">
      <c r="A49" s="57" t="s">
        <v>52</v>
      </c>
      <c r="B49" s="58">
        <f t="shared" si="0"/>
        <v>130</v>
      </c>
      <c r="C49" s="58" t="s">
        <v>3</v>
      </c>
      <c r="D49" s="58">
        <f t="shared" si="1"/>
        <v>260</v>
      </c>
      <c r="E49" s="58" t="s">
        <v>3</v>
      </c>
      <c r="F49" s="59">
        <f t="shared" si="2"/>
        <v>2700</v>
      </c>
      <c r="G49" s="58" t="s">
        <v>3</v>
      </c>
      <c r="H49" s="58">
        <v>4</v>
      </c>
      <c r="I49" s="61" t="s">
        <v>582</v>
      </c>
      <c r="J49" s="114">
        <v>130</v>
      </c>
      <c r="K49" s="75">
        <v>260</v>
      </c>
      <c r="L49" s="75">
        <v>2700</v>
      </c>
      <c r="M49" s="191">
        <v>37.370256674246583</v>
      </c>
      <c r="N49" s="75">
        <v>3502.8140595972745</v>
      </c>
      <c r="O49" s="75">
        <v>11491.657450000001</v>
      </c>
      <c r="P49" s="123">
        <v>124765.91295942344</v>
      </c>
      <c r="Q49" s="199">
        <v>29814.15258229274</v>
      </c>
      <c r="R49" s="348">
        <v>77516.79671396123</v>
      </c>
      <c r="S49" s="319">
        <v>154580.06554171618</v>
      </c>
      <c r="T49" s="342">
        <v>202282.70967338467</v>
      </c>
      <c r="V49" s="1338" t="s">
        <v>7665</v>
      </c>
    </row>
    <row r="50" spans="1:22" ht="16.5" customHeight="1" thickBot="1">
      <c r="A50" s="57" t="s">
        <v>52</v>
      </c>
      <c r="B50" s="58">
        <f t="shared" si="0"/>
        <v>130</v>
      </c>
      <c r="C50" s="58" t="s">
        <v>3</v>
      </c>
      <c r="D50" s="58">
        <f t="shared" si="1"/>
        <v>260</v>
      </c>
      <c r="E50" s="58" t="s">
        <v>3</v>
      </c>
      <c r="F50" s="59">
        <f t="shared" si="2"/>
        <v>2750</v>
      </c>
      <c r="G50" s="58" t="s">
        <v>3</v>
      </c>
      <c r="H50" s="58">
        <v>4</v>
      </c>
      <c r="I50" s="61" t="s">
        <v>582</v>
      </c>
      <c r="J50" s="114">
        <v>130</v>
      </c>
      <c r="K50" s="75">
        <v>260</v>
      </c>
      <c r="L50" s="75">
        <v>2750</v>
      </c>
      <c r="M50" s="191">
        <v>37.964366861886845</v>
      </c>
      <c r="N50" s="75">
        <v>3577.3420183121111</v>
      </c>
      <c r="O50" s="75">
        <v>11736.1608</v>
      </c>
      <c r="P50" s="123">
        <v>125721.28824690895</v>
      </c>
      <c r="Q50" s="199">
        <v>30245.763180296453</v>
      </c>
      <c r="R50" s="348">
        <v>78638.98426877064</v>
      </c>
      <c r="S50" s="319">
        <v>155967.05142720541</v>
      </c>
      <c r="T50" s="342">
        <v>204360.27251567959</v>
      </c>
      <c r="V50" s="1338" t="s">
        <v>7666</v>
      </c>
    </row>
    <row r="51" spans="1:22" ht="16.5" customHeight="1" thickBot="1">
      <c r="A51" s="57" t="s">
        <v>52</v>
      </c>
      <c r="B51" s="58">
        <f t="shared" si="0"/>
        <v>130</v>
      </c>
      <c r="C51" s="58" t="s">
        <v>3</v>
      </c>
      <c r="D51" s="58">
        <f t="shared" si="1"/>
        <v>260</v>
      </c>
      <c r="E51" s="58" t="s">
        <v>3</v>
      </c>
      <c r="F51" s="59">
        <f t="shared" si="2"/>
        <v>2800</v>
      </c>
      <c r="G51" s="58" t="s">
        <v>3</v>
      </c>
      <c r="H51" s="58">
        <v>4</v>
      </c>
      <c r="I51" s="61" t="s">
        <v>582</v>
      </c>
      <c r="J51" s="114">
        <v>130</v>
      </c>
      <c r="K51" s="75">
        <v>260</v>
      </c>
      <c r="L51" s="75">
        <v>2800</v>
      </c>
      <c r="M51" s="191">
        <v>38.575517049527107</v>
      </c>
      <c r="N51" s="75">
        <v>3651.8699770269468</v>
      </c>
      <c r="O51" s="75">
        <v>11980.664150000001</v>
      </c>
      <c r="P51" s="123">
        <v>126676.60962334326</v>
      </c>
      <c r="Q51" s="199">
        <v>30907.955561444927</v>
      </c>
      <c r="R51" s="348">
        <v>80360.684459756769</v>
      </c>
      <c r="S51" s="319">
        <v>157584.5651847882</v>
      </c>
      <c r="T51" s="342">
        <v>207037.29408310005</v>
      </c>
      <c r="V51" s="1338" t="s">
        <v>7667</v>
      </c>
    </row>
    <row r="52" spans="1:22" ht="16.5" customHeight="1" thickBot="1">
      <c r="A52" s="57" t="s">
        <v>52</v>
      </c>
      <c r="B52" s="58">
        <f t="shared" si="0"/>
        <v>130</v>
      </c>
      <c r="C52" s="58" t="s">
        <v>3</v>
      </c>
      <c r="D52" s="58">
        <f t="shared" si="1"/>
        <v>260</v>
      </c>
      <c r="E52" s="58" t="s">
        <v>3</v>
      </c>
      <c r="F52" s="59">
        <f t="shared" si="2"/>
        <v>2850</v>
      </c>
      <c r="G52" s="58" t="s">
        <v>3</v>
      </c>
      <c r="H52" s="58">
        <v>4</v>
      </c>
      <c r="I52" s="61" t="s">
        <v>582</v>
      </c>
      <c r="J52" s="114">
        <v>130</v>
      </c>
      <c r="K52" s="75">
        <v>260</v>
      </c>
      <c r="L52" s="75">
        <v>2850</v>
      </c>
      <c r="M52" s="191">
        <v>40.03162723716737</v>
      </c>
      <c r="N52" s="75">
        <v>3726.397935741782</v>
      </c>
      <c r="O52" s="75">
        <v>12225.1675</v>
      </c>
      <c r="P52" s="123">
        <v>132818.3507400676</v>
      </c>
      <c r="Q52" s="199">
        <v>31339.566159448495</v>
      </c>
      <c r="R52" s="348">
        <v>81482.872014566048</v>
      </c>
      <c r="S52" s="319">
        <v>164157.9168995161</v>
      </c>
      <c r="T52" s="342">
        <v>214301.22275463364</v>
      </c>
      <c r="V52" s="1338" t="s">
        <v>7668</v>
      </c>
    </row>
    <row r="53" spans="1:22" ht="16.5" customHeight="1" thickBot="1">
      <c r="A53" s="57" t="s">
        <v>52</v>
      </c>
      <c r="B53" s="58">
        <f t="shared" si="0"/>
        <v>130</v>
      </c>
      <c r="C53" s="58" t="s">
        <v>3</v>
      </c>
      <c r="D53" s="58">
        <f t="shared" si="1"/>
        <v>260</v>
      </c>
      <c r="E53" s="58" t="s">
        <v>3</v>
      </c>
      <c r="F53" s="59">
        <f t="shared" si="2"/>
        <v>2900</v>
      </c>
      <c r="G53" s="58" t="s">
        <v>3</v>
      </c>
      <c r="H53" s="58">
        <v>4</v>
      </c>
      <c r="I53" s="61" t="s">
        <v>582</v>
      </c>
      <c r="J53" s="114">
        <v>130</v>
      </c>
      <c r="K53" s="75">
        <v>260</v>
      </c>
      <c r="L53" s="75">
        <v>2900</v>
      </c>
      <c r="M53" s="191">
        <v>40.642777424807633</v>
      </c>
      <c r="N53" s="75">
        <v>3800.9258944566177</v>
      </c>
      <c r="O53" s="75">
        <v>12469.670849999999</v>
      </c>
      <c r="P53" s="123">
        <v>133743.58497655799</v>
      </c>
      <c r="Q53" s="199">
        <v>32001.758540596969</v>
      </c>
      <c r="R53" s="348">
        <v>83204.572205552176</v>
      </c>
      <c r="S53" s="319">
        <v>165745.34351715495</v>
      </c>
      <c r="T53" s="342">
        <v>216948.15718211018</v>
      </c>
      <c r="V53" s="1338" t="s">
        <v>7669</v>
      </c>
    </row>
    <row r="54" spans="1:22" ht="16.5" customHeight="1" thickBot="1">
      <c r="A54" s="57" t="s">
        <v>52</v>
      </c>
      <c r="B54" s="58">
        <f t="shared" si="0"/>
        <v>130</v>
      </c>
      <c r="C54" s="58" t="s">
        <v>3</v>
      </c>
      <c r="D54" s="58">
        <f t="shared" si="1"/>
        <v>260</v>
      </c>
      <c r="E54" s="58" t="s">
        <v>3</v>
      </c>
      <c r="F54" s="59">
        <f t="shared" si="2"/>
        <v>2950</v>
      </c>
      <c r="G54" s="58" t="s">
        <v>3</v>
      </c>
      <c r="H54" s="58">
        <v>4</v>
      </c>
      <c r="I54" s="61" t="s">
        <v>582</v>
      </c>
      <c r="J54" s="114">
        <v>130</v>
      </c>
      <c r="K54" s="75">
        <v>260</v>
      </c>
      <c r="L54" s="75">
        <v>2950</v>
      </c>
      <c r="M54" s="191">
        <v>41.236887612447894</v>
      </c>
      <c r="N54" s="75">
        <v>3875.4538531714534</v>
      </c>
      <c r="O54" s="75">
        <v>12714.174199999999</v>
      </c>
      <c r="P54" s="123">
        <v>134668.76530199716</v>
      </c>
      <c r="Q54" s="199">
        <v>32433.369138600541</v>
      </c>
      <c r="R54" s="348">
        <v>84326.759760361572</v>
      </c>
      <c r="S54" s="319">
        <v>167102.1344405977</v>
      </c>
      <c r="T54" s="342">
        <v>218995.52506235873</v>
      </c>
      <c r="V54" s="1338" t="s">
        <v>7670</v>
      </c>
    </row>
    <row r="55" spans="1:22" ht="16.5" customHeight="1" thickBot="1">
      <c r="A55" s="64" t="s">
        <v>52</v>
      </c>
      <c r="B55" s="65">
        <f t="shared" si="0"/>
        <v>130</v>
      </c>
      <c r="C55" s="65" t="s">
        <v>3</v>
      </c>
      <c r="D55" s="65">
        <f t="shared" si="1"/>
        <v>260</v>
      </c>
      <c r="E55" s="65" t="s">
        <v>3</v>
      </c>
      <c r="F55" s="66">
        <f t="shared" si="2"/>
        <v>3000</v>
      </c>
      <c r="G55" s="65" t="s">
        <v>3</v>
      </c>
      <c r="H55" s="65">
        <v>4</v>
      </c>
      <c r="I55" s="61" t="s">
        <v>582</v>
      </c>
      <c r="J55" s="1235">
        <v>130</v>
      </c>
      <c r="K55" s="322">
        <v>260</v>
      </c>
      <c r="L55" s="322">
        <v>3000</v>
      </c>
      <c r="M55" s="337">
        <v>41.84803780008815</v>
      </c>
      <c r="N55" s="322">
        <v>3949.9818118862886</v>
      </c>
      <c r="O55" s="322">
        <v>12958.677549999999</v>
      </c>
      <c r="P55" s="307">
        <v>136738.91709681708</v>
      </c>
      <c r="Q55" s="339">
        <v>33095.56151974915</v>
      </c>
      <c r="R55" s="1236">
        <v>86048.45995134757</v>
      </c>
      <c r="S55" s="324">
        <v>169834.47861656622</v>
      </c>
      <c r="T55" s="347">
        <v>222787.37704816466</v>
      </c>
      <c r="V55" s="1338" t="s">
        <v>7671</v>
      </c>
    </row>
    <row r="56" spans="1:22" ht="24" customHeight="1">
      <c r="A56" s="2692" t="s">
        <v>521</v>
      </c>
      <c r="B56" s="2693"/>
      <c r="C56" s="2693"/>
      <c r="D56" s="2693"/>
      <c r="E56" s="2693"/>
      <c r="F56" s="2693"/>
      <c r="G56" s="2693"/>
      <c r="H56" s="2693"/>
      <c r="I56" s="2693"/>
      <c r="J56" s="2693"/>
      <c r="K56" s="2693"/>
      <c r="L56" s="2693"/>
      <c r="M56" s="2693"/>
      <c r="N56" s="2693"/>
      <c r="O56" s="2693"/>
      <c r="P56" s="2693"/>
      <c r="Q56" s="2693"/>
      <c r="R56" s="2693"/>
      <c r="S56" s="2693"/>
      <c r="T56" s="2694"/>
      <c r="V56" s="7"/>
    </row>
    <row r="57" spans="1:22" ht="15.75" customHeight="1" thickBot="1">
      <c r="A57" s="2695"/>
      <c r="B57" s="2657"/>
      <c r="C57" s="2657"/>
      <c r="D57" s="2657"/>
      <c r="E57" s="2657"/>
      <c r="F57" s="2657"/>
      <c r="G57" s="2657"/>
      <c r="H57" s="2657"/>
      <c r="I57" s="2657"/>
      <c r="J57" s="2657"/>
      <c r="K57" s="2657"/>
      <c r="L57" s="2657"/>
      <c r="M57" s="2657"/>
      <c r="N57" s="2657"/>
      <c r="O57" s="2657"/>
      <c r="P57" s="2657"/>
      <c r="Q57" s="2657"/>
      <c r="R57" s="2657"/>
      <c r="S57" s="2657"/>
      <c r="T57" s="2658"/>
      <c r="V57" s="7"/>
    </row>
    <row r="58" spans="1:22" ht="16.5" customHeight="1" thickBot="1">
      <c r="A58" s="62" t="s">
        <v>52</v>
      </c>
      <c r="B58" s="60">
        <f t="shared" si="0"/>
        <v>150</v>
      </c>
      <c r="C58" s="60" t="s">
        <v>3</v>
      </c>
      <c r="D58" s="60">
        <f t="shared" si="1"/>
        <v>300</v>
      </c>
      <c r="E58" s="60" t="s">
        <v>3</v>
      </c>
      <c r="F58" s="63">
        <f t="shared" ref="F58:F104" si="3">L58</f>
        <v>700</v>
      </c>
      <c r="G58" s="60" t="s">
        <v>3</v>
      </c>
      <c r="H58" s="60">
        <v>4</v>
      </c>
      <c r="I58" s="61" t="s">
        <v>582</v>
      </c>
      <c r="J58" s="1237">
        <v>150</v>
      </c>
      <c r="K58" s="327">
        <v>300</v>
      </c>
      <c r="L58" s="327">
        <v>700</v>
      </c>
      <c r="M58" s="338">
        <v>15.946711410918418</v>
      </c>
      <c r="N58" s="327">
        <v>700.17847769493869</v>
      </c>
      <c r="O58" s="327">
        <v>1951.764815</v>
      </c>
      <c r="P58" s="303">
        <v>41892.550768374538</v>
      </c>
      <c r="Q58" s="208">
        <v>9394.7605636879453</v>
      </c>
      <c r="R58" s="1238">
        <v>25365.853521957484</v>
      </c>
      <c r="S58" s="329">
        <v>51287.311332062483</v>
      </c>
      <c r="T58" s="345">
        <v>67258.404290332022</v>
      </c>
      <c r="V58" s="7" t="s">
        <v>7672</v>
      </c>
    </row>
    <row r="59" spans="1:22" ht="16.5" customHeight="1" thickBot="1">
      <c r="A59" s="57" t="s">
        <v>52</v>
      </c>
      <c r="B59" s="58">
        <f t="shared" si="0"/>
        <v>150</v>
      </c>
      <c r="C59" s="58" t="s">
        <v>3</v>
      </c>
      <c r="D59" s="58">
        <f t="shared" si="1"/>
        <v>300</v>
      </c>
      <c r="E59" s="58" t="s">
        <v>3</v>
      </c>
      <c r="F59" s="59">
        <f t="shared" si="3"/>
        <v>750</v>
      </c>
      <c r="G59" s="58" t="s">
        <v>3</v>
      </c>
      <c r="H59" s="60">
        <v>4</v>
      </c>
      <c r="I59" s="61" t="s">
        <v>582</v>
      </c>
      <c r="J59" s="114">
        <v>150</v>
      </c>
      <c r="K59" s="75">
        <v>300</v>
      </c>
      <c r="L59" s="75">
        <v>750</v>
      </c>
      <c r="M59" s="191">
        <v>16.832982040830522</v>
      </c>
      <c r="N59" s="75">
        <v>800.20397450850157</v>
      </c>
      <c r="O59" s="75">
        <v>2230.5883600000002</v>
      </c>
      <c r="P59" s="123">
        <v>43153.180114896459</v>
      </c>
      <c r="Q59" s="199">
        <v>9875.1657822263842</v>
      </c>
      <c r="R59" s="348">
        <v>26662.947612011169</v>
      </c>
      <c r="S59" s="319">
        <v>53028.345897122839</v>
      </c>
      <c r="T59" s="342">
        <v>69816.127726907624</v>
      </c>
      <c r="V59" s="7" t="s">
        <v>7673</v>
      </c>
    </row>
    <row r="60" spans="1:22" ht="16.5" customHeight="1" thickBot="1">
      <c r="A60" s="57" t="s">
        <v>52</v>
      </c>
      <c r="B60" s="58">
        <f t="shared" si="0"/>
        <v>150</v>
      </c>
      <c r="C60" s="58" t="s">
        <v>3</v>
      </c>
      <c r="D60" s="58">
        <f t="shared" si="1"/>
        <v>300</v>
      </c>
      <c r="E60" s="58" t="s">
        <v>3</v>
      </c>
      <c r="F60" s="59">
        <f t="shared" si="3"/>
        <v>800</v>
      </c>
      <c r="G60" s="58" t="s">
        <v>3</v>
      </c>
      <c r="H60" s="60">
        <v>4</v>
      </c>
      <c r="I60" s="61" t="s">
        <v>582</v>
      </c>
      <c r="J60" s="114">
        <v>150</v>
      </c>
      <c r="K60" s="75">
        <v>300</v>
      </c>
      <c r="L60" s="75">
        <v>800</v>
      </c>
      <c r="M60" s="191">
        <v>17.71925267074263</v>
      </c>
      <c r="N60" s="75">
        <v>900.22947132206411</v>
      </c>
      <c r="O60" s="75">
        <v>2509.4119050000004</v>
      </c>
      <c r="P60" s="123">
        <v>44413.80960181175</v>
      </c>
      <c r="Q60" s="199">
        <v>10355.571000764821</v>
      </c>
      <c r="R60" s="348">
        <v>27960.041702064984</v>
      </c>
      <c r="S60" s="319">
        <v>54769.380602576573</v>
      </c>
      <c r="T60" s="342">
        <v>72373.851303876727</v>
      </c>
      <c r="V60" s="7" t="s">
        <v>7674</v>
      </c>
    </row>
    <row r="61" spans="1:22" ht="16.5" customHeight="1" thickBot="1">
      <c r="A61" s="57" t="s">
        <v>52</v>
      </c>
      <c r="B61" s="58">
        <f t="shared" si="0"/>
        <v>150</v>
      </c>
      <c r="C61" s="58" t="s">
        <v>3</v>
      </c>
      <c r="D61" s="58">
        <f t="shared" si="1"/>
        <v>300</v>
      </c>
      <c r="E61" s="58" t="s">
        <v>3</v>
      </c>
      <c r="F61" s="59">
        <f t="shared" si="3"/>
        <v>850</v>
      </c>
      <c r="G61" s="58" t="s">
        <v>3</v>
      </c>
      <c r="H61" s="60">
        <v>4</v>
      </c>
      <c r="I61" s="61" t="s">
        <v>582</v>
      </c>
      <c r="J61" s="114">
        <v>150</v>
      </c>
      <c r="K61" s="75">
        <v>300</v>
      </c>
      <c r="L61" s="75">
        <v>850</v>
      </c>
      <c r="M61" s="191">
        <v>18.622563300654733</v>
      </c>
      <c r="N61" s="75">
        <v>1000.2549681356268</v>
      </c>
      <c r="O61" s="75">
        <v>2788.2354500000001</v>
      </c>
      <c r="P61" s="123">
        <v>45674.439088727035</v>
      </c>
      <c r="Q61" s="199">
        <v>11066.558002448157</v>
      </c>
      <c r="R61" s="348">
        <v>29879.706606610031</v>
      </c>
      <c r="S61" s="319">
        <v>56740.997091175188</v>
      </c>
      <c r="T61" s="342">
        <v>75554.145695337065</v>
      </c>
      <c r="V61" s="7" t="s">
        <v>7675</v>
      </c>
    </row>
    <row r="62" spans="1:22" ht="16.5" customHeight="1" thickBot="1">
      <c r="A62" s="57" t="s">
        <v>52</v>
      </c>
      <c r="B62" s="58">
        <f t="shared" si="0"/>
        <v>150</v>
      </c>
      <c r="C62" s="58" t="s">
        <v>3</v>
      </c>
      <c r="D62" s="58">
        <f t="shared" si="1"/>
        <v>300</v>
      </c>
      <c r="E62" s="58" t="s">
        <v>3</v>
      </c>
      <c r="F62" s="59">
        <f t="shared" si="3"/>
        <v>900</v>
      </c>
      <c r="G62" s="58" t="s">
        <v>3</v>
      </c>
      <c r="H62" s="60">
        <v>4</v>
      </c>
      <c r="I62" s="61" t="s">
        <v>582</v>
      </c>
      <c r="J62" s="114">
        <v>150</v>
      </c>
      <c r="K62" s="75">
        <v>300</v>
      </c>
      <c r="L62" s="75">
        <v>900</v>
      </c>
      <c r="M62" s="191">
        <v>19.667833930566843</v>
      </c>
      <c r="N62" s="75">
        <v>1100.2804649491895</v>
      </c>
      <c r="O62" s="75">
        <v>3067.0589950000003</v>
      </c>
      <c r="P62" s="123">
        <v>50220.942372907994</v>
      </c>
      <c r="Q62" s="199">
        <v>11546.963220986596</v>
      </c>
      <c r="R62" s="348">
        <v>31176.80069666385</v>
      </c>
      <c r="S62" s="319">
        <v>61767.905593894589</v>
      </c>
      <c r="T62" s="342">
        <v>81397.74306957185</v>
      </c>
      <c r="V62" s="7" t="s">
        <v>7676</v>
      </c>
    </row>
    <row r="63" spans="1:22" ht="16.5" customHeight="1" thickBot="1">
      <c r="A63" s="57" t="s">
        <v>52</v>
      </c>
      <c r="B63" s="58">
        <f t="shared" si="0"/>
        <v>150</v>
      </c>
      <c r="C63" s="58" t="s">
        <v>3</v>
      </c>
      <c r="D63" s="58">
        <f t="shared" si="1"/>
        <v>300</v>
      </c>
      <c r="E63" s="58" t="s">
        <v>3</v>
      </c>
      <c r="F63" s="59">
        <f t="shared" si="3"/>
        <v>950</v>
      </c>
      <c r="G63" s="58" t="s">
        <v>3</v>
      </c>
      <c r="H63" s="60">
        <v>4</v>
      </c>
      <c r="I63" s="61" t="s">
        <v>582</v>
      </c>
      <c r="J63" s="114">
        <v>150</v>
      </c>
      <c r="K63" s="75">
        <v>300</v>
      </c>
      <c r="L63" s="75">
        <v>950</v>
      </c>
      <c r="M63" s="191">
        <v>20.571144560478949</v>
      </c>
      <c r="N63" s="75">
        <v>1200.3059617627518</v>
      </c>
      <c r="O63" s="75">
        <v>3345.8825399999996</v>
      </c>
      <c r="P63" s="123">
        <v>51481.571859823285</v>
      </c>
      <c r="Q63" s="199">
        <v>12257.95022266993</v>
      </c>
      <c r="R63" s="348">
        <v>33096.465601208751</v>
      </c>
      <c r="S63" s="319">
        <v>63739.522082493218</v>
      </c>
      <c r="T63" s="342">
        <v>84578.037461032043</v>
      </c>
      <c r="V63" s="7" t="s">
        <v>7677</v>
      </c>
    </row>
    <row r="64" spans="1:22" ht="16.5" customHeight="1" thickBot="1">
      <c r="A64" s="57" t="s">
        <v>52</v>
      </c>
      <c r="B64" s="58">
        <f t="shared" si="0"/>
        <v>150</v>
      </c>
      <c r="C64" s="58" t="s">
        <v>3</v>
      </c>
      <c r="D64" s="58">
        <f t="shared" si="1"/>
        <v>300</v>
      </c>
      <c r="E64" s="58" t="s">
        <v>3</v>
      </c>
      <c r="F64" s="59">
        <f t="shared" si="3"/>
        <v>1000</v>
      </c>
      <c r="G64" s="58" t="s">
        <v>3</v>
      </c>
      <c r="H64" s="60">
        <v>4</v>
      </c>
      <c r="I64" s="61" t="s">
        <v>582</v>
      </c>
      <c r="J64" s="114">
        <v>150</v>
      </c>
      <c r="K64" s="75">
        <v>300</v>
      </c>
      <c r="L64" s="75">
        <v>1000</v>
      </c>
      <c r="M64" s="191">
        <v>21.457415190391053</v>
      </c>
      <c r="N64" s="75">
        <v>1300.3314585763148</v>
      </c>
      <c r="O64" s="75">
        <v>3624.7060850000003</v>
      </c>
      <c r="P64" s="123">
        <v>52742.201206345213</v>
      </c>
      <c r="Q64" s="199">
        <v>12738.355441208369</v>
      </c>
      <c r="R64" s="348">
        <v>34393.55969126257</v>
      </c>
      <c r="S64" s="319">
        <v>65480.556647553582</v>
      </c>
      <c r="T64" s="342">
        <v>87135.760897607775</v>
      </c>
      <c r="V64" s="7" t="s">
        <v>7678</v>
      </c>
    </row>
    <row r="65" spans="1:22" ht="16.5" customHeight="1" thickBot="1">
      <c r="A65" s="57" t="s">
        <v>52</v>
      </c>
      <c r="B65" s="58">
        <f t="shared" si="0"/>
        <v>150</v>
      </c>
      <c r="C65" s="58" t="s">
        <v>3</v>
      </c>
      <c r="D65" s="58">
        <f t="shared" si="1"/>
        <v>300</v>
      </c>
      <c r="E65" s="58" t="s">
        <v>3</v>
      </c>
      <c r="F65" s="59">
        <f t="shared" si="3"/>
        <v>1050</v>
      </c>
      <c r="G65" s="58" t="s">
        <v>3</v>
      </c>
      <c r="H65" s="60">
        <v>4</v>
      </c>
      <c r="I65" s="61" t="s">
        <v>582</v>
      </c>
      <c r="J65" s="114">
        <v>150</v>
      </c>
      <c r="K65" s="75">
        <v>300</v>
      </c>
      <c r="L65" s="75">
        <v>1050</v>
      </c>
      <c r="M65" s="191">
        <v>22.360725820303159</v>
      </c>
      <c r="N65" s="75">
        <v>1400.3569553898774</v>
      </c>
      <c r="O65" s="75">
        <v>3903.52963</v>
      </c>
      <c r="P65" s="123">
        <v>54002.830693260497</v>
      </c>
      <c r="Q65" s="199">
        <v>13449.342442891706</v>
      </c>
      <c r="R65" s="348">
        <v>36313.224595807616</v>
      </c>
      <c r="S65" s="319">
        <v>67452.173136152211</v>
      </c>
      <c r="T65" s="342">
        <v>90316.055289068114</v>
      </c>
      <c r="V65" s="7" t="s">
        <v>7679</v>
      </c>
    </row>
    <row r="66" spans="1:22" ht="16.5" customHeight="1" thickBot="1">
      <c r="A66" s="57" t="s">
        <v>52</v>
      </c>
      <c r="B66" s="58">
        <f t="shared" si="0"/>
        <v>150</v>
      </c>
      <c r="C66" s="58" t="s">
        <v>3</v>
      </c>
      <c r="D66" s="58">
        <f t="shared" si="1"/>
        <v>300</v>
      </c>
      <c r="E66" s="58" t="s">
        <v>3</v>
      </c>
      <c r="F66" s="59">
        <f t="shared" si="3"/>
        <v>1100</v>
      </c>
      <c r="G66" s="58" t="s">
        <v>3</v>
      </c>
      <c r="H66" s="60">
        <v>4</v>
      </c>
      <c r="I66" s="61" t="s">
        <v>582</v>
      </c>
      <c r="J66" s="114">
        <v>150</v>
      </c>
      <c r="K66" s="75">
        <v>300</v>
      </c>
      <c r="L66" s="75">
        <v>1100</v>
      </c>
      <c r="M66" s="191">
        <v>23.246996450215264</v>
      </c>
      <c r="N66" s="75">
        <v>1500.3824522034402</v>
      </c>
      <c r="O66" s="75">
        <v>4182.3531750000002</v>
      </c>
      <c r="P66" s="123">
        <v>55263.460039782425</v>
      </c>
      <c r="Q66" s="199">
        <v>13929.747661430145</v>
      </c>
      <c r="R66" s="348">
        <v>37610.318685861435</v>
      </c>
      <c r="S66" s="319">
        <v>69193.207701212566</v>
      </c>
      <c r="T66" s="342">
        <v>92873.778725643861</v>
      </c>
      <c r="V66" s="7" t="s">
        <v>7680</v>
      </c>
    </row>
    <row r="67" spans="1:22" ht="16.5" customHeight="1" thickBot="1">
      <c r="A67" s="57" t="s">
        <v>52</v>
      </c>
      <c r="B67" s="58">
        <f t="shared" si="0"/>
        <v>150</v>
      </c>
      <c r="C67" s="58" t="s">
        <v>3</v>
      </c>
      <c r="D67" s="58">
        <f t="shared" si="1"/>
        <v>300</v>
      </c>
      <c r="E67" s="58" t="s">
        <v>3</v>
      </c>
      <c r="F67" s="59">
        <f t="shared" si="3"/>
        <v>1150</v>
      </c>
      <c r="G67" s="58" t="s">
        <v>3</v>
      </c>
      <c r="H67" s="60">
        <v>4</v>
      </c>
      <c r="I67" s="61" t="s">
        <v>582</v>
      </c>
      <c r="J67" s="114">
        <v>150</v>
      </c>
      <c r="K67" s="75">
        <v>300</v>
      </c>
      <c r="L67" s="75">
        <v>1150</v>
      </c>
      <c r="M67" s="191">
        <v>24.133267080127368</v>
      </c>
      <c r="N67" s="75">
        <v>1600.4079490170031</v>
      </c>
      <c r="O67" s="75">
        <v>4461.1767200000004</v>
      </c>
      <c r="P67" s="123">
        <v>56194.442963287096</v>
      </c>
      <c r="Q67" s="199">
        <v>14410.15287996854</v>
      </c>
      <c r="R67" s="348">
        <v>38907.412775915116</v>
      </c>
      <c r="S67" s="319">
        <v>70604.595843255636</v>
      </c>
      <c r="T67" s="342">
        <v>95101.855739202205</v>
      </c>
      <c r="V67" s="7" t="s">
        <v>7681</v>
      </c>
    </row>
    <row r="68" spans="1:22" ht="16.5" customHeight="1" thickBot="1">
      <c r="A68" s="57" t="s">
        <v>52</v>
      </c>
      <c r="B68" s="58">
        <f t="shared" si="0"/>
        <v>150</v>
      </c>
      <c r="C68" s="58" t="s">
        <v>3</v>
      </c>
      <c r="D68" s="58">
        <f t="shared" si="1"/>
        <v>300</v>
      </c>
      <c r="E68" s="58" t="s">
        <v>3</v>
      </c>
      <c r="F68" s="59">
        <f t="shared" si="3"/>
        <v>1200</v>
      </c>
      <c r="G68" s="58" t="s">
        <v>3</v>
      </c>
      <c r="H68" s="60">
        <v>4</v>
      </c>
      <c r="I68" s="61" t="s">
        <v>582</v>
      </c>
      <c r="J68" s="114">
        <v>150</v>
      </c>
      <c r="K68" s="75">
        <v>300</v>
      </c>
      <c r="L68" s="75">
        <v>1200</v>
      </c>
      <c r="M68" s="191">
        <v>25.19357771003947</v>
      </c>
      <c r="N68" s="75">
        <v>1700.4334458305655</v>
      </c>
      <c r="O68" s="75">
        <v>4740.0002649999997</v>
      </c>
      <c r="P68" s="123">
        <v>57200.332905747018</v>
      </c>
      <c r="Q68" s="199">
        <v>15121.139881651849</v>
      </c>
      <c r="R68" s="348">
        <v>40827.077680460156</v>
      </c>
      <c r="S68" s="319">
        <v>72321.472787398874</v>
      </c>
      <c r="T68" s="342">
        <v>98027.410586207174</v>
      </c>
      <c r="V68" s="7" t="s">
        <v>7682</v>
      </c>
    </row>
    <row r="69" spans="1:22" ht="16.5" customHeight="1" thickBot="1">
      <c r="A69" s="57" t="s">
        <v>52</v>
      </c>
      <c r="B69" s="58">
        <f t="shared" si="0"/>
        <v>150</v>
      </c>
      <c r="C69" s="58" t="s">
        <v>3</v>
      </c>
      <c r="D69" s="58">
        <f t="shared" si="1"/>
        <v>300</v>
      </c>
      <c r="E69" s="58" t="s">
        <v>3</v>
      </c>
      <c r="F69" s="59">
        <f t="shared" si="3"/>
        <v>1250</v>
      </c>
      <c r="G69" s="58" t="s">
        <v>3</v>
      </c>
      <c r="H69" s="60">
        <v>4</v>
      </c>
      <c r="I69" s="61" t="s">
        <v>582</v>
      </c>
      <c r="J69" s="114">
        <v>150</v>
      </c>
      <c r="K69" s="75">
        <v>300</v>
      </c>
      <c r="L69" s="75">
        <v>1250</v>
      </c>
      <c r="M69" s="191">
        <v>26.941848339951576</v>
      </c>
      <c r="N69" s="75">
        <v>1800.4589426441282</v>
      </c>
      <c r="O69" s="75">
        <v>5018.8238100000008</v>
      </c>
      <c r="P69" s="123">
        <v>64276.59893011854</v>
      </c>
      <c r="Q69" s="199">
        <v>15601.545100190398</v>
      </c>
      <c r="R69" s="348">
        <v>42124.171770513974</v>
      </c>
      <c r="S69" s="319">
        <v>79878.144030308933</v>
      </c>
      <c r="T69" s="342">
        <v>106400.77070063251</v>
      </c>
      <c r="V69" s="7" t="s">
        <v>7683</v>
      </c>
    </row>
    <row r="70" spans="1:22" ht="16.5" customHeight="1" thickBot="1">
      <c r="A70" s="57" t="s">
        <v>52</v>
      </c>
      <c r="B70" s="58">
        <f t="shared" si="0"/>
        <v>150</v>
      </c>
      <c r="C70" s="58" t="s">
        <v>3</v>
      </c>
      <c r="D70" s="58">
        <f t="shared" si="1"/>
        <v>300</v>
      </c>
      <c r="E70" s="58" t="s">
        <v>3</v>
      </c>
      <c r="F70" s="59">
        <f t="shared" si="3"/>
        <v>1300</v>
      </c>
      <c r="G70" s="58" t="s">
        <v>3</v>
      </c>
      <c r="H70" s="60">
        <v>4</v>
      </c>
      <c r="I70" s="61" t="s">
        <v>582</v>
      </c>
      <c r="J70" s="114">
        <v>150</v>
      </c>
      <c r="K70" s="75">
        <v>300</v>
      </c>
      <c r="L70" s="75">
        <v>1300</v>
      </c>
      <c r="M70" s="191">
        <v>27.845158969863682</v>
      </c>
      <c r="N70" s="75">
        <v>1900.4844394576905</v>
      </c>
      <c r="O70" s="75">
        <v>5297.6473549999992</v>
      </c>
      <c r="P70" s="123">
        <v>65056.876598647592</v>
      </c>
      <c r="Q70" s="199">
        <v>16312.532101873705</v>
      </c>
      <c r="R70" s="348">
        <v>44043.836675059021</v>
      </c>
      <c r="S70" s="319">
        <v>81369.408700521293</v>
      </c>
      <c r="T70" s="342">
        <v>109100.71327370661</v>
      </c>
      <c r="V70" s="7" t="s">
        <v>7684</v>
      </c>
    </row>
    <row r="71" spans="1:22" ht="16.5" customHeight="1" thickBot="1">
      <c r="A71" s="57" t="s">
        <v>52</v>
      </c>
      <c r="B71" s="58">
        <f t="shared" si="0"/>
        <v>150</v>
      </c>
      <c r="C71" s="58" t="s">
        <v>3</v>
      </c>
      <c r="D71" s="58">
        <f t="shared" si="1"/>
        <v>300</v>
      </c>
      <c r="E71" s="58" t="s">
        <v>3</v>
      </c>
      <c r="F71" s="59">
        <f t="shared" si="3"/>
        <v>1350</v>
      </c>
      <c r="G71" s="58" t="s">
        <v>3</v>
      </c>
      <c r="H71" s="60">
        <v>4</v>
      </c>
      <c r="I71" s="61" t="s">
        <v>582</v>
      </c>
      <c r="J71" s="114">
        <v>150</v>
      </c>
      <c r="K71" s="75">
        <v>300</v>
      </c>
      <c r="L71" s="75">
        <v>1350</v>
      </c>
      <c r="M71" s="191">
        <v>28.731429599775787</v>
      </c>
      <c r="N71" s="75">
        <v>2000.5099362712535</v>
      </c>
      <c r="O71" s="75">
        <v>5576.4709000000003</v>
      </c>
      <c r="P71" s="123">
        <v>66316.967957804416</v>
      </c>
      <c r="Q71" s="199">
        <v>16792.937320412115</v>
      </c>
      <c r="R71" s="348">
        <v>45340.930765112702</v>
      </c>
      <c r="S71" s="319">
        <v>83109.905278216524</v>
      </c>
      <c r="T71" s="342">
        <v>111657.89872291712</v>
      </c>
      <c r="V71" s="7" t="s">
        <v>7685</v>
      </c>
    </row>
    <row r="72" spans="1:22" ht="16.5" customHeight="1" thickBot="1">
      <c r="A72" s="57" t="s">
        <v>52</v>
      </c>
      <c r="B72" s="58">
        <f t="shared" si="0"/>
        <v>150</v>
      </c>
      <c r="C72" s="58" t="s">
        <v>3</v>
      </c>
      <c r="D72" s="58">
        <f t="shared" si="1"/>
        <v>300</v>
      </c>
      <c r="E72" s="58" t="s">
        <v>3</v>
      </c>
      <c r="F72" s="59">
        <f t="shared" si="3"/>
        <v>1400</v>
      </c>
      <c r="G72" s="58" t="s">
        <v>3</v>
      </c>
      <c r="H72" s="60">
        <v>4</v>
      </c>
      <c r="I72" s="61" t="s">
        <v>582</v>
      </c>
      <c r="J72" s="114">
        <v>150</v>
      </c>
      <c r="K72" s="75">
        <v>300</v>
      </c>
      <c r="L72" s="75">
        <v>1400</v>
      </c>
      <c r="M72" s="191">
        <v>29.634740229687896</v>
      </c>
      <c r="N72" s="75">
        <v>2100.5354330848163</v>
      </c>
      <c r="O72" s="75">
        <v>5855.2944450000005</v>
      </c>
      <c r="P72" s="123">
        <v>67577.05931696124</v>
      </c>
      <c r="Q72" s="199">
        <v>17503.924322095423</v>
      </c>
      <c r="R72" s="348">
        <v>47260.595669657741</v>
      </c>
      <c r="S72" s="319">
        <v>85080.983639056663</v>
      </c>
      <c r="T72" s="342">
        <v>114837.65498661899</v>
      </c>
      <c r="V72" s="7" t="s">
        <v>7686</v>
      </c>
    </row>
    <row r="73" spans="1:22" ht="16.5" customHeight="1" thickBot="1">
      <c r="A73" s="57" t="s">
        <v>52</v>
      </c>
      <c r="B73" s="58">
        <f t="shared" si="0"/>
        <v>150</v>
      </c>
      <c r="C73" s="58" t="s">
        <v>3</v>
      </c>
      <c r="D73" s="58">
        <f t="shared" si="1"/>
        <v>300</v>
      </c>
      <c r="E73" s="58" t="s">
        <v>3</v>
      </c>
      <c r="F73" s="59">
        <f t="shared" si="3"/>
        <v>1450</v>
      </c>
      <c r="G73" s="58" t="s">
        <v>3</v>
      </c>
      <c r="H73" s="60">
        <v>4</v>
      </c>
      <c r="I73" s="61" t="s">
        <v>582</v>
      </c>
      <c r="J73" s="114">
        <v>150</v>
      </c>
      <c r="K73" s="75">
        <v>300</v>
      </c>
      <c r="L73" s="75">
        <v>1450</v>
      </c>
      <c r="M73" s="191">
        <v>30.521010859600004</v>
      </c>
      <c r="N73" s="75">
        <v>2200.5609298983791</v>
      </c>
      <c r="O73" s="75">
        <v>6134.1179900000006</v>
      </c>
      <c r="P73" s="123">
        <v>68837.150676118064</v>
      </c>
      <c r="Q73" s="199">
        <v>17984.329540633837</v>
      </c>
      <c r="R73" s="348">
        <v>48557.689759711568</v>
      </c>
      <c r="S73" s="319">
        <v>86821.480216751894</v>
      </c>
      <c r="T73" s="342">
        <v>117394.84043582962</v>
      </c>
      <c r="V73" s="7" t="s">
        <v>7687</v>
      </c>
    </row>
    <row r="74" spans="1:22" ht="16.5" customHeight="1" thickBot="1">
      <c r="A74" s="57" t="s">
        <v>52</v>
      </c>
      <c r="B74" s="58">
        <f t="shared" si="0"/>
        <v>150</v>
      </c>
      <c r="C74" s="58" t="s">
        <v>3</v>
      </c>
      <c r="D74" s="58">
        <f t="shared" si="1"/>
        <v>300</v>
      </c>
      <c r="E74" s="58" t="s">
        <v>3</v>
      </c>
      <c r="F74" s="59">
        <f t="shared" si="3"/>
        <v>1500</v>
      </c>
      <c r="G74" s="58" t="s">
        <v>3</v>
      </c>
      <c r="H74" s="60">
        <v>4</v>
      </c>
      <c r="I74" s="61" t="s">
        <v>582</v>
      </c>
      <c r="J74" s="114">
        <v>150</v>
      </c>
      <c r="K74" s="75">
        <v>300</v>
      </c>
      <c r="L74" s="75">
        <v>1500</v>
      </c>
      <c r="M74" s="191">
        <v>31.389942783472108</v>
      </c>
      <c r="N74" s="75">
        <v>2300.5864267119414</v>
      </c>
      <c r="O74" s="75">
        <v>6412.9415349999999</v>
      </c>
      <c r="P74" s="123">
        <v>77893.296686368893</v>
      </c>
      <c r="Q74" s="199">
        <v>18695.316542317283</v>
      </c>
      <c r="R74" s="348">
        <v>50477.354664256607</v>
      </c>
      <c r="S74" s="319">
        <v>96588.613228686183</v>
      </c>
      <c r="T74" s="342">
        <v>128370.6513506255</v>
      </c>
      <c r="V74" s="7" t="s">
        <v>7688</v>
      </c>
    </row>
    <row r="75" spans="1:22" ht="16.5" customHeight="1" thickBot="1">
      <c r="A75" s="57" t="s">
        <v>52</v>
      </c>
      <c r="B75" s="58">
        <f t="shared" si="0"/>
        <v>150</v>
      </c>
      <c r="C75" s="58" t="s">
        <v>3</v>
      </c>
      <c r="D75" s="58">
        <f t="shared" si="1"/>
        <v>300</v>
      </c>
      <c r="E75" s="58" t="s">
        <v>3</v>
      </c>
      <c r="F75" s="59">
        <f t="shared" si="3"/>
        <v>1550</v>
      </c>
      <c r="G75" s="58" t="s">
        <v>3</v>
      </c>
      <c r="H75" s="60">
        <v>4</v>
      </c>
      <c r="I75" s="61" t="s">
        <v>582</v>
      </c>
      <c r="J75" s="114">
        <v>150</v>
      </c>
      <c r="K75" s="75">
        <v>300</v>
      </c>
      <c r="L75" s="75">
        <v>1550</v>
      </c>
      <c r="M75" s="191">
        <v>32.276213413384212</v>
      </c>
      <c r="N75" s="75">
        <v>2400.6119235255037</v>
      </c>
      <c r="O75" s="75">
        <v>6691.7650799999992</v>
      </c>
      <c r="P75" s="123">
        <v>79153.388045525717</v>
      </c>
      <c r="Q75" s="199">
        <v>19175.721760855693</v>
      </c>
      <c r="R75" s="348">
        <v>51774.448754310288</v>
      </c>
      <c r="S75" s="319">
        <v>98329.109806381413</v>
      </c>
      <c r="T75" s="342">
        <v>130927.836799836</v>
      </c>
      <c r="V75" s="7" t="s">
        <v>7689</v>
      </c>
    </row>
    <row r="76" spans="1:22" ht="16.5" customHeight="1" thickBot="1">
      <c r="A76" s="57" t="s">
        <v>52</v>
      </c>
      <c r="B76" s="58">
        <f t="shared" si="0"/>
        <v>150</v>
      </c>
      <c r="C76" s="58" t="s">
        <v>3</v>
      </c>
      <c r="D76" s="58">
        <f t="shared" si="1"/>
        <v>300</v>
      </c>
      <c r="E76" s="58" t="s">
        <v>3</v>
      </c>
      <c r="F76" s="59">
        <f t="shared" si="3"/>
        <v>1600</v>
      </c>
      <c r="G76" s="58" t="s">
        <v>3</v>
      </c>
      <c r="H76" s="60">
        <v>4</v>
      </c>
      <c r="I76" s="61" t="s">
        <v>582</v>
      </c>
      <c r="J76" s="114">
        <v>150</v>
      </c>
      <c r="K76" s="75">
        <v>300</v>
      </c>
      <c r="L76" s="75">
        <v>1600</v>
      </c>
      <c r="M76" s="191">
        <v>33.16248404329631</v>
      </c>
      <c r="N76" s="75">
        <v>2500.6374203390669</v>
      </c>
      <c r="O76" s="75">
        <v>6970.5886250000003</v>
      </c>
      <c r="P76" s="123">
        <v>80283.536222120238</v>
      </c>
      <c r="Q76" s="199">
        <v>19656.126979394103</v>
      </c>
      <c r="R76" s="348">
        <v>53071.542844364107</v>
      </c>
      <c r="S76" s="319">
        <v>99939.66320151434</v>
      </c>
      <c r="T76" s="342">
        <v>133355.07906648435</v>
      </c>
      <c r="V76" s="7" t="s">
        <v>7690</v>
      </c>
    </row>
    <row r="77" spans="1:22" ht="16.5" customHeight="1" thickBot="1">
      <c r="A77" s="57" t="s">
        <v>52</v>
      </c>
      <c r="B77" s="58">
        <f t="shared" si="0"/>
        <v>150</v>
      </c>
      <c r="C77" s="58" t="s">
        <v>3</v>
      </c>
      <c r="D77" s="58">
        <f t="shared" si="1"/>
        <v>300</v>
      </c>
      <c r="E77" s="58" t="s">
        <v>3</v>
      </c>
      <c r="F77" s="59">
        <f t="shared" si="3"/>
        <v>1650</v>
      </c>
      <c r="G77" s="58" t="s">
        <v>3</v>
      </c>
      <c r="H77" s="60">
        <v>4</v>
      </c>
      <c r="I77" s="61" t="s">
        <v>582</v>
      </c>
      <c r="J77" s="114">
        <v>150</v>
      </c>
      <c r="K77" s="75">
        <v>300</v>
      </c>
      <c r="L77" s="75">
        <v>1650</v>
      </c>
      <c r="M77" s="191">
        <v>34.065794673208423</v>
      </c>
      <c r="N77" s="75">
        <v>2600.6629171526297</v>
      </c>
      <c r="O77" s="75">
        <v>7249.4121700000005</v>
      </c>
      <c r="P77" s="123">
        <v>81413.630628056897</v>
      </c>
      <c r="Q77" s="199">
        <v>20367.113981077411</v>
      </c>
      <c r="R77" s="348">
        <v>54991.207748909146</v>
      </c>
      <c r="S77" s="319">
        <v>101780.7446091343</v>
      </c>
      <c r="T77" s="342">
        <v>136404.83837696604</v>
      </c>
      <c r="V77" s="7" t="s">
        <v>7691</v>
      </c>
    </row>
    <row r="78" spans="1:22" ht="16.5" customHeight="1" thickBot="1">
      <c r="A78" s="57" t="s">
        <v>52</v>
      </c>
      <c r="B78" s="58">
        <f t="shared" si="0"/>
        <v>150</v>
      </c>
      <c r="C78" s="58" t="s">
        <v>3</v>
      </c>
      <c r="D78" s="58">
        <f t="shared" si="1"/>
        <v>300</v>
      </c>
      <c r="E78" s="58" t="s">
        <v>3</v>
      </c>
      <c r="F78" s="59">
        <f t="shared" si="3"/>
        <v>1700</v>
      </c>
      <c r="G78" s="58" t="s">
        <v>3</v>
      </c>
      <c r="H78" s="60">
        <v>4</v>
      </c>
      <c r="I78" s="61" t="s">
        <v>582</v>
      </c>
      <c r="J78" s="114">
        <v>150</v>
      </c>
      <c r="K78" s="75">
        <v>300</v>
      </c>
      <c r="L78" s="75">
        <v>1700</v>
      </c>
      <c r="M78" s="191">
        <v>35.814065303120522</v>
      </c>
      <c r="N78" s="75">
        <v>2700.6884139661925</v>
      </c>
      <c r="O78" s="75">
        <v>7528.2357150000007</v>
      </c>
      <c r="P78" s="123">
        <v>88449.655562541695</v>
      </c>
      <c r="Q78" s="199">
        <v>20847.519199615821</v>
      </c>
      <c r="R78" s="348">
        <v>56288.301838962972</v>
      </c>
      <c r="S78" s="319">
        <v>109297.17476215752</v>
      </c>
      <c r="T78" s="342">
        <v>144737.95740150468</v>
      </c>
      <c r="V78" s="7" t="s">
        <v>7692</v>
      </c>
    </row>
    <row r="79" spans="1:22" ht="16.5" customHeight="1" thickBot="1">
      <c r="A79" s="57" t="s">
        <v>52</v>
      </c>
      <c r="B79" s="58">
        <f t="shared" si="0"/>
        <v>150</v>
      </c>
      <c r="C79" s="58" t="s">
        <v>3</v>
      </c>
      <c r="D79" s="58">
        <f t="shared" si="1"/>
        <v>300</v>
      </c>
      <c r="E79" s="58" t="s">
        <v>3</v>
      </c>
      <c r="F79" s="59">
        <f t="shared" si="3"/>
        <v>1750</v>
      </c>
      <c r="G79" s="58" t="s">
        <v>3</v>
      </c>
      <c r="H79" s="60">
        <v>4</v>
      </c>
      <c r="I79" s="61" t="s">
        <v>582</v>
      </c>
      <c r="J79" s="114">
        <v>150</v>
      </c>
      <c r="K79" s="75">
        <v>300</v>
      </c>
      <c r="L79" s="75">
        <v>1750</v>
      </c>
      <c r="M79" s="191">
        <v>36.717375933032628</v>
      </c>
      <c r="N79" s="75">
        <v>2800.7139107797548</v>
      </c>
      <c r="O79" s="75">
        <v>7807.05926</v>
      </c>
      <c r="P79" s="123">
        <v>89549.662828534449</v>
      </c>
      <c r="Q79" s="199">
        <v>21558.506201299268</v>
      </c>
      <c r="R79" s="348">
        <v>58207.966743507866</v>
      </c>
      <c r="S79" s="319">
        <v>111108.16902983372</v>
      </c>
      <c r="T79" s="342">
        <v>147757.62957204232</v>
      </c>
      <c r="V79" s="7" t="s">
        <v>7693</v>
      </c>
    </row>
    <row r="80" spans="1:22" ht="16.5" customHeight="1" thickBot="1">
      <c r="A80" s="57" t="s">
        <v>52</v>
      </c>
      <c r="B80" s="58">
        <f t="shared" si="0"/>
        <v>150</v>
      </c>
      <c r="C80" s="58" t="s">
        <v>3</v>
      </c>
      <c r="D80" s="58">
        <f t="shared" si="1"/>
        <v>300</v>
      </c>
      <c r="E80" s="58" t="s">
        <v>3</v>
      </c>
      <c r="F80" s="59">
        <f t="shared" si="3"/>
        <v>1800</v>
      </c>
      <c r="G80" s="58" t="s">
        <v>3</v>
      </c>
      <c r="H80" s="60">
        <v>4</v>
      </c>
      <c r="I80" s="61" t="s">
        <v>582</v>
      </c>
      <c r="J80" s="114">
        <v>150</v>
      </c>
      <c r="K80" s="75">
        <v>300</v>
      </c>
      <c r="L80" s="75">
        <v>1800</v>
      </c>
      <c r="M80" s="191">
        <v>37.603646562944732</v>
      </c>
      <c r="N80" s="75">
        <v>2900.7394075933175</v>
      </c>
      <c r="O80" s="75">
        <v>8085.8828049999993</v>
      </c>
      <c r="P80" s="123">
        <v>90649.616183475999</v>
      </c>
      <c r="Q80" s="199">
        <v>22038.911419837677</v>
      </c>
      <c r="R80" s="348">
        <v>59505.060833561693</v>
      </c>
      <c r="S80" s="319">
        <v>112688.52760331368</v>
      </c>
      <c r="T80" s="342">
        <v>150154.6770170377</v>
      </c>
      <c r="V80" s="7" t="s">
        <v>7694</v>
      </c>
    </row>
    <row r="81" spans="1:22" ht="16.5" customHeight="1" thickBot="1">
      <c r="A81" s="57" t="s">
        <v>52</v>
      </c>
      <c r="B81" s="58">
        <f t="shared" si="0"/>
        <v>150</v>
      </c>
      <c r="C81" s="58" t="s">
        <v>3</v>
      </c>
      <c r="D81" s="58">
        <f t="shared" si="1"/>
        <v>300</v>
      </c>
      <c r="E81" s="58" t="s">
        <v>3</v>
      </c>
      <c r="F81" s="59">
        <f t="shared" si="3"/>
        <v>1850</v>
      </c>
      <c r="G81" s="58" t="s">
        <v>3</v>
      </c>
      <c r="H81" s="60">
        <v>4</v>
      </c>
      <c r="I81" s="61" t="s">
        <v>582</v>
      </c>
      <c r="J81" s="114">
        <v>150</v>
      </c>
      <c r="K81" s="75">
        <v>300</v>
      </c>
      <c r="L81" s="75">
        <v>1850</v>
      </c>
      <c r="M81" s="191">
        <v>38.506957192856845</v>
      </c>
      <c r="N81" s="75">
        <v>3000.7649044068803</v>
      </c>
      <c r="O81" s="75">
        <v>8364.7063500000004</v>
      </c>
      <c r="P81" s="123">
        <v>91749.515767759702</v>
      </c>
      <c r="Q81" s="199">
        <v>22749.898421520989</v>
      </c>
      <c r="R81" s="348">
        <v>61424.725738106732</v>
      </c>
      <c r="S81" s="319">
        <v>114499.41418928069</v>
      </c>
      <c r="T81" s="342">
        <v>153174.24150586643</v>
      </c>
      <c r="V81" s="7" t="s">
        <v>7695</v>
      </c>
    </row>
    <row r="82" spans="1:22" ht="16.5" customHeight="1" thickBot="1">
      <c r="A82" s="57" t="s">
        <v>52</v>
      </c>
      <c r="B82" s="58">
        <f t="shared" si="0"/>
        <v>150</v>
      </c>
      <c r="C82" s="58" t="s">
        <v>3</v>
      </c>
      <c r="D82" s="58">
        <f t="shared" si="1"/>
        <v>300</v>
      </c>
      <c r="E82" s="58" t="s">
        <v>3</v>
      </c>
      <c r="F82" s="59">
        <f t="shared" si="3"/>
        <v>1900</v>
      </c>
      <c r="G82" s="58" t="s">
        <v>3</v>
      </c>
      <c r="H82" s="60">
        <v>4</v>
      </c>
      <c r="I82" s="61" t="s">
        <v>582</v>
      </c>
      <c r="J82" s="114">
        <v>150</v>
      </c>
      <c r="K82" s="75">
        <v>300</v>
      </c>
      <c r="L82" s="75">
        <v>1900</v>
      </c>
      <c r="M82" s="191">
        <v>39.393227822768949</v>
      </c>
      <c r="N82" s="75">
        <v>3100.7904012204435</v>
      </c>
      <c r="O82" s="75">
        <v>8643.5298950000015</v>
      </c>
      <c r="P82" s="123">
        <v>92849.361581385587</v>
      </c>
      <c r="Q82" s="199">
        <v>23230.303640059396</v>
      </c>
      <c r="R82" s="348">
        <v>62721.819828160558</v>
      </c>
      <c r="S82" s="319">
        <v>116079.66522144499</v>
      </c>
      <c r="T82" s="342">
        <v>155571.18140954615</v>
      </c>
      <c r="V82" s="7" t="s">
        <v>7696</v>
      </c>
    </row>
    <row r="83" spans="1:22" ht="16.5" customHeight="1" thickBot="1">
      <c r="A83" s="57" t="s">
        <v>52</v>
      </c>
      <c r="B83" s="58">
        <f t="shared" si="0"/>
        <v>150</v>
      </c>
      <c r="C83" s="58" t="s">
        <v>3</v>
      </c>
      <c r="D83" s="58">
        <f t="shared" si="1"/>
        <v>300</v>
      </c>
      <c r="E83" s="58" t="s">
        <v>3</v>
      </c>
      <c r="F83" s="59">
        <f t="shared" si="3"/>
        <v>1950</v>
      </c>
      <c r="G83" s="58" t="s">
        <v>3</v>
      </c>
      <c r="H83" s="60">
        <v>4</v>
      </c>
      <c r="I83" s="61" t="s">
        <v>582</v>
      </c>
      <c r="J83" s="114">
        <v>150</v>
      </c>
      <c r="K83" s="75">
        <v>300</v>
      </c>
      <c r="L83" s="75">
        <v>1950</v>
      </c>
      <c r="M83" s="191">
        <v>40.43649845268105</v>
      </c>
      <c r="N83" s="75">
        <v>3200.8158980340063</v>
      </c>
      <c r="O83" s="75">
        <v>8922.3534400000008</v>
      </c>
      <c r="P83" s="123">
        <v>94024.329636991402</v>
      </c>
      <c r="Q83" s="199">
        <v>23710.708858597947</v>
      </c>
      <c r="R83" s="348">
        <v>64018.913918214232</v>
      </c>
      <c r="S83" s="319">
        <v>117735.03849558935</v>
      </c>
      <c r="T83" s="342">
        <v>158043.24355520564</v>
      </c>
      <c r="V83" s="7" t="s">
        <v>7697</v>
      </c>
    </row>
    <row r="84" spans="1:22" ht="16.5" customHeight="1" thickBot="1">
      <c r="A84" s="57" t="s">
        <v>52</v>
      </c>
      <c r="B84" s="58">
        <f t="shared" si="0"/>
        <v>150</v>
      </c>
      <c r="C84" s="58" t="s">
        <v>3</v>
      </c>
      <c r="D84" s="58">
        <f t="shared" si="1"/>
        <v>300</v>
      </c>
      <c r="E84" s="58" t="s">
        <v>3</v>
      </c>
      <c r="F84" s="59">
        <f t="shared" si="3"/>
        <v>2000</v>
      </c>
      <c r="G84" s="58" t="s">
        <v>3</v>
      </c>
      <c r="H84" s="60">
        <v>4</v>
      </c>
      <c r="I84" s="61" t="s">
        <v>582</v>
      </c>
      <c r="J84" s="114">
        <v>150</v>
      </c>
      <c r="K84" s="75">
        <v>300</v>
      </c>
      <c r="L84" s="75">
        <v>2000</v>
      </c>
      <c r="M84" s="191">
        <v>41.431371482593157</v>
      </c>
      <c r="N84" s="75">
        <v>3300.8413948475686</v>
      </c>
      <c r="O84" s="75">
        <v>9201.1769850000001</v>
      </c>
      <c r="P84" s="123">
        <v>95509.330039726337</v>
      </c>
      <c r="Q84" s="199">
        <v>24421.695860281259</v>
      </c>
      <c r="R84" s="348">
        <v>65938.578822759286</v>
      </c>
      <c r="S84" s="319">
        <v>119931.0259000076</v>
      </c>
      <c r="T84" s="342">
        <v>161447.90886248561</v>
      </c>
      <c r="V84" s="7" t="s">
        <v>7698</v>
      </c>
    </row>
    <row r="85" spans="1:22" ht="16.5" customHeight="1" thickBot="1">
      <c r="A85" s="57" t="s">
        <v>52</v>
      </c>
      <c r="B85" s="58">
        <f t="shared" si="0"/>
        <v>150</v>
      </c>
      <c r="C85" s="58" t="s">
        <v>3</v>
      </c>
      <c r="D85" s="58">
        <f t="shared" si="1"/>
        <v>300</v>
      </c>
      <c r="E85" s="58" t="s">
        <v>3</v>
      </c>
      <c r="F85" s="59">
        <f t="shared" si="3"/>
        <v>2050</v>
      </c>
      <c r="G85" s="58" t="s">
        <v>3</v>
      </c>
      <c r="H85" s="60">
        <v>4</v>
      </c>
      <c r="I85" s="61" t="s">
        <v>582</v>
      </c>
      <c r="J85" s="114">
        <v>150</v>
      </c>
      <c r="K85" s="75">
        <v>300</v>
      </c>
      <c r="L85" s="75">
        <v>2050</v>
      </c>
      <c r="M85" s="191">
        <v>43.179642112505256</v>
      </c>
      <c r="N85" s="75">
        <v>3400.8668916611309</v>
      </c>
      <c r="O85" s="75">
        <v>9480.0005299999993</v>
      </c>
      <c r="P85" s="123">
        <v>102305.14136940017</v>
      </c>
      <c r="Q85" s="199">
        <v>24902.101078819665</v>
      </c>
      <c r="R85" s="348">
        <v>67235.672912813097</v>
      </c>
      <c r="S85" s="319">
        <v>127207.24244821983</v>
      </c>
      <c r="T85" s="342">
        <v>169540.81428221328</v>
      </c>
      <c r="V85" s="7" t="s">
        <v>7699</v>
      </c>
    </row>
    <row r="86" spans="1:22" ht="16.5" customHeight="1" thickBot="1">
      <c r="A86" s="57" t="s">
        <v>52</v>
      </c>
      <c r="B86" s="58">
        <f t="shared" si="0"/>
        <v>150</v>
      </c>
      <c r="C86" s="58" t="s">
        <v>3</v>
      </c>
      <c r="D86" s="58">
        <f t="shared" si="1"/>
        <v>300</v>
      </c>
      <c r="E86" s="58" t="s">
        <v>3</v>
      </c>
      <c r="F86" s="59">
        <f t="shared" si="3"/>
        <v>2100</v>
      </c>
      <c r="G86" s="58" t="s">
        <v>3</v>
      </c>
      <c r="H86" s="60">
        <v>4</v>
      </c>
      <c r="I86" s="61" t="s">
        <v>582</v>
      </c>
      <c r="J86" s="114">
        <v>150</v>
      </c>
      <c r="K86" s="75">
        <v>300</v>
      </c>
      <c r="L86" s="75">
        <v>2100</v>
      </c>
      <c r="M86" s="191">
        <v>44.082952742417362</v>
      </c>
      <c r="N86" s="75">
        <v>3500.8923884746932</v>
      </c>
      <c r="O86" s="75">
        <v>9758.8240750000004</v>
      </c>
      <c r="P86" s="123">
        <v>103184.62098787172</v>
      </c>
      <c r="Q86" s="199">
        <v>25613.088080502974</v>
      </c>
      <c r="R86" s="348">
        <v>69155.337817358013</v>
      </c>
      <c r="S86" s="319">
        <v>128797.70906837469</v>
      </c>
      <c r="T86" s="342">
        <v>172339.95880522975</v>
      </c>
      <c r="V86" s="7" t="s">
        <v>7700</v>
      </c>
    </row>
    <row r="87" spans="1:22" ht="16.5" customHeight="1" thickBot="1">
      <c r="A87" s="57" t="s">
        <v>52</v>
      </c>
      <c r="B87" s="58">
        <f t="shared" si="0"/>
        <v>150</v>
      </c>
      <c r="C87" s="58" t="s">
        <v>3</v>
      </c>
      <c r="D87" s="58">
        <f t="shared" si="1"/>
        <v>300</v>
      </c>
      <c r="E87" s="58" t="s">
        <v>3</v>
      </c>
      <c r="F87" s="59">
        <f t="shared" si="3"/>
        <v>2150</v>
      </c>
      <c r="G87" s="58" t="s">
        <v>3</v>
      </c>
      <c r="H87" s="60">
        <v>4</v>
      </c>
      <c r="I87" s="61" t="s">
        <v>582</v>
      </c>
      <c r="J87" s="114">
        <v>150</v>
      </c>
      <c r="K87" s="75">
        <v>300</v>
      </c>
      <c r="L87" s="75">
        <v>2150</v>
      </c>
      <c r="M87" s="191">
        <v>44.969223372329473</v>
      </c>
      <c r="N87" s="75">
        <v>3600.9178852882565</v>
      </c>
      <c r="O87" s="75">
        <v>10037.647620000002</v>
      </c>
      <c r="P87" s="123">
        <v>104254.19125366119</v>
      </c>
      <c r="Q87" s="199">
        <v>26093.493299041384</v>
      </c>
      <c r="R87" s="348">
        <v>70452.431907411825</v>
      </c>
      <c r="S87" s="319">
        <v>130347.68455270257</v>
      </c>
      <c r="T87" s="342">
        <v>174706.62316107302</v>
      </c>
      <c r="V87" s="7" t="s">
        <v>7701</v>
      </c>
    </row>
    <row r="88" spans="1:22" ht="16.5" customHeight="1" thickBot="1">
      <c r="A88" s="57" t="s">
        <v>52</v>
      </c>
      <c r="B88" s="58">
        <f t="shared" si="0"/>
        <v>150</v>
      </c>
      <c r="C88" s="58" t="s">
        <v>3</v>
      </c>
      <c r="D88" s="58">
        <f t="shared" si="1"/>
        <v>300</v>
      </c>
      <c r="E88" s="58" t="s">
        <v>3</v>
      </c>
      <c r="F88" s="59">
        <f t="shared" si="3"/>
        <v>2200</v>
      </c>
      <c r="G88" s="58" t="s">
        <v>3</v>
      </c>
      <c r="H88" s="60">
        <v>4</v>
      </c>
      <c r="I88" s="61" t="s">
        <v>582</v>
      </c>
      <c r="J88" s="114">
        <v>150</v>
      </c>
      <c r="K88" s="75">
        <v>300</v>
      </c>
      <c r="L88" s="75">
        <v>2200</v>
      </c>
      <c r="M88" s="191">
        <v>45.872534002241572</v>
      </c>
      <c r="N88" s="75">
        <v>3700.9433821018192</v>
      </c>
      <c r="O88" s="75">
        <v>10316.471165000001</v>
      </c>
      <c r="P88" s="123">
        <v>105323.70760839948</v>
      </c>
      <c r="Q88" s="199">
        <v>26804.480300724834</v>
      </c>
      <c r="R88" s="348">
        <v>72372.096811956857</v>
      </c>
      <c r="S88" s="319">
        <v>132128.1879091243</v>
      </c>
      <c r="T88" s="342">
        <v>177695.80442035635</v>
      </c>
      <c r="V88" s="7" t="s">
        <v>7702</v>
      </c>
    </row>
    <row r="89" spans="1:22" ht="16.5" customHeight="1" thickBot="1">
      <c r="A89" s="57" t="s">
        <v>52</v>
      </c>
      <c r="B89" s="58">
        <f t="shared" si="0"/>
        <v>150</v>
      </c>
      <c r="C89" s="58" t="s">
        <v>3</v>
      </c>
      <c r="D89" s="58">
        <f t="shared" si="1"/>
        <v>300</v>
      </c>
      <c r="E89" s="58" t="s">
        <v>3</v>
      </c>
      <c r="F89" s="59">
        <f t="shared" si="3"/>
        <v>2250</v>
      </c>
      <c r="G89" s="58" t="s">
        <v>3</v>
      </c>
      <c r="H89" s="60">
        <v>4</v>
      </c>
      <c r="I89" s="61" t="s">
        <v>582</v>
      </c>
      <c r="J89" s="114">
        <v>150</v>
      </c>
      <c r="K89" s="75">
        <v>300</v>
      </c>
      <c r="L89" s="75">
        <v>2250</v>
      </c>
      <c r="M89" s="191">
        <v>46.758804632153684</v>
      </c>
      <c r="N89" s="75">
        <v>3800.9688789153811</v>
      </c>
      <c r="O89" s="75">
        <v>10595.294709999998</v>
      </c>
      <c r="P89" s="123">
        <v>106393.17033287328</v>
      </c>
      <c r="Q89" s="199">
        <v>27284.885519263244</v>
      </c>
      <c r="R89" s="348">
        <v>73669.190902010683</v>
      </c>
      <c r="S89" s="319">
        <v>133678.05585213652</v>
      </c>
      <c r="T89" s="342">
        <v>180062.36123488395</v>
      </c>
      <c r="V89" s="7" t="s">
        <v>7703</v>
      </c>
    </row>
    <row r="90" spans="1:22" ht="16.5" customHeight="1" thickBot="1">
      <c r="A90" s="57" t="s">
        <v>52</v>
      </c>
      <c r="B90" s="58">
        <f t="shared" si="0"/>
        <v>150</v>
      </c>
      <c r="C90" s="58" t="s">
        <v>3</v>
      </c>
      <c r="D90" s="58">
        <f t="shared" si="1"/>
        <v>300</v>
      </c>
      <c r="E90" s="58" t="s">
        <v>3</v>
      </c>
      <c r="F90" s="59">
        <f t="shared" si="3"/>
        <v>2300</v>
      </c>
      <c r="G90" s="58" t="s">
        <v>3</v>
      </c>
      <c r="H90" s="60">
        <v>4</v>
      </c>
      <c r="I90" s="61" t="s">
        <v>582</v>
      </c>
      <c r="J90" s="114">
        <v>150</v>
      </c>
      <c r="K90" s="75">
        <v>300</v>
      </c>
      <c r="L90" s="75">
        <v>2300</v>
      </c>
      <c r="M90" s="191">
        <v>47.645075262065781</v>
      </c>
      <c r="N90" s="75">
        <v>3900.9943757289443</v>
      </c>
      <c r="O90" s="75">
        <v>10874.118254999999</v>
      </c>
      <c r="P90" s="123">
        <v>107462.57914629587</v>
      </c>
      <c r="Q90" s="199">
        <v>27765.290737801657</v>
      </c>
      <c r="R90" s="348">
        <v>74966.284992064509</v>
      </c>
      <c r="S90" s="319">
        <v>135227.86988409754</v>
      </c>
      <c r="T90" s="342">
        <v>182428.86413836037</v>
      </c>
      <c r="V90" s="7" t="s">
        <v>7704</v>
      </c>
    </row>
    <row r="91" spans="1:22" ht="16.5" customHeight="1" thickBot="1">
      <c r="A91" s="57" t="s">
        <v>52</v>
      </c>
      <c r="B91" s="58">
        <f t="shared" si="0"/>
        <v>150</v>
      </c>
      <c r="C91" s="58" t="s">
        <v>3</v>
      </c>
      <c r="D91" s="58">
        <f t="shared" si="1"/>
        <v>300</v>
      </c>
      <c r="E91" s="58" t="s">
        <v>3</v>
      </c>
      <c r="F91" s="59">
        <f t="shared" si="3"/>
        <v>2350</v>
      </c>
      <c r="G91" s="58" t="s">
        <v>3</v>
      </c>
      <c r="H91" s="60">
        <v>4</v>
      </c>
      <c r="I91" s="61" t="s">
        <v>582</v>
      </c>
      <c r="J91" s="114">
        <v>150</v>
      </c>
      <c r="K91" s="75">
        <v>300</v>
      </c>
      <c r="L91" s="75">
        <v>2350</v>
      </c>
      <c r="M91" s="191">
        <v>48.548385891977887</v>
      </c>
      <c r="N91" s="75">
        <v>4001.0198725425071</v>
      </c>
      <c r="O91" s="75">
        <v>11152.941800000001</v>
      </c>
      <c r="P91" s="123">
        <v>108531.93418906064</v>
      </c>
      <c r="Q91" s="199">
        <v>28476.277739484962</v>
      </c>
      <c r="R91" s="348">
        <v>76885.949896609411</v>
      </c>
      <c r="S91" s="319">
        <v>137008.21192854561</v>
      </c>
      <c r="T91" s="342">
        <v>185417.88408567006</v>
      </c>
      <c r="V91" s="7" t="s">
        <v>7705</v>
      </c>
    </row>
    <row r="92" spans="1:22" ht="16.5" customHeight="1" thickBot="1">
      <c r="A92" s="57" t="s">
        <v>52</v>
      </c>
      <c r="B92" s="58">
        <f t="shared" si="0"/>
        <v>150</v>
      </c>
      <c r="C92" s="58" t="s">
        <v>3</v>
      </c>
      <c r="D92" s="58">
        <f t="shared" si="1"/>
        <v>300</v>
      </c>
      <c r="E92" s="58" t="s">
        <v>3</v>
      </c>
      <c r="F92" s="59">
        <f t="shared" si="3"/>
        <v>2400</v>
      </c>
      <c r="G92" s="58" t="s">
        <v>3</v>
      </c>
      <c r="H92" s="60">
        <v>4</v>
      </c>
      <c r="I92" s="61" t="s">
        <v>582</v>
      </c>
      <c r="J92" s="114">
        <v>150</v>
      </c>
      <c r="K92" s="75">
        <v>300</v>
      </c>
      <c r="L92" s="75">
        <v>2400</v>
      </c>
      <c r="M92" s="191">
        <v>49.434656521889998</v>
      </c>
      <c r="N92" s="75">
        <v>4101.0453693560694</v>
      </c>
      <c r="O92" s="75">
        <v>11431.765344999998</v>
      </c>
      <c r="P92" s="123">
        <v>109601.23546116755</v>
      </c>
      <c r="Q92" s="199">
        <v>28956.682958023368</v>
      </c>
      <c r="R92" s="348">
        <v>78183.043986663222</v>
      </c>
      <c r="S92" s="319">
        <v>138557.91841919092</v>
      </c>
      <c r="T92" s="342">
        <v>187784.27944783078</v>
      </c>
      <c r="V92" s="7" t="s">
        <v>7706</v>
      </c>
    </row>
    <row r="93" spans="1:22" ht="16.5" customHeight="1" thickBot="1">
      <c r="A93" s="57" t="s">
        <v>52</v>
      </c>
      <c r="B93" s="58">
        <f t="shared" si="0"/>
        <v>150</v>
      </c>
      <c r="C93" s="58" t="s">
        <v>3</v>
      </c>
      <c r="D93" s="58">
        <f t="shared" si="1"/>
        <v>300</v>
      </c>
      <c r="E93" s="58" t="s">
        <v>3</v>
      </c>
      <c r="F93" s="59">
        <f t="shared" si="3"/>
        <v>2450</v>
      </c>
      <c r="G93" s="58" t="s">
        <v>3</v>
      </c>
      <c r="H93" s="60">
        <v>4</v>
      </c>
      <c r="I93" s="61" t="s">
        <v>582</v>
      </c>
      <c r="J93" s="114">
        <v>150</v>
      </c>
      <c r="K93" s="75">
        <v>300</v>
      </c>
      <c r="L93" s="75">
        <v>2450</v>
      </c>
      <c r="M93" s="191">
        <v>51.165588445762097</v>
      </c>
      <c r="N93" s="75">
        <v>4201.0708661696326</v>
      </c>
      <c r="O93" s="75">
        <v>11710.588890000001</v>
      </c>
      <c r="P93" s="123">
        <v>123250.79789964553</v>
      </c>
      <c r="Q93" s="199">
        <v>29667.66995970668</v>
      </c>
      <c r="R93" s="348">
        <v>80102.708891208269</v>
      </c>
      <c r="S93" s="319">
        <v>152918.46785935221</v>
      </c>
      <c r="T93" s="342">
        <v>203353.5067908538</v>
      </c>
      <c r="V93" s="7" t="s">
        <v>7707</v>
      </c>
    </row>
    <row r="94" spans="1:22" ht="16.5" customHeight="1" thickBot="1">
      <c r="A94" s="57" t="s">
        <v>52</v>
      </c>
      <c r="B94" s="58">
        <f t="shared" si="0"/>
        <v>150</v>
      </c>
      <c r="C94" s="58" t="s">
        <v>3</v>
      </c>
      <c r="D94" s="58">
        <f t="shared" si="1"/>
        <v>300</v>
      </c>
      <c r="E94" s="58" t="s">
        <v>3</v>
      </c>
      <c r="F94" s="59">
        <f t="shared" si="3"/>
        <v>2500</v>
      </c>
      <c r="G94" s="58" t="s">
        <v>3</v>
      </c>
      <c r="H94" s="60">
        <v>4</v>
      </c>
      <c r="I94" s="61" t="s">
        <v>582</v>
      </c>
      <c r="J94" s="114">
        <v>150</v>
      </c>
      <c r="K94" s="75">
        <v>300</v>
      </c>
      <c r="L94" s="75">
        <v>2500</v>
      </c>
      <c r="M94" s="191">
        <v>52.051859075674201</v>
      </c>
      <c r="N94" s="75">
        <v>4301.0963629831949</v>
      </c>
      <c r="O94" s="75">
        <v>11989.412435</v>
      </c>
      <c r="P94" s="123">
        <v>124288.20376529954</v>
      </c>
      <c r="Q94" s="199">
        <v>30148.075178245232</v>
      </c>
      <c r="R94" s="348">
        <v>81399.80298126195</v>
      </c>
      <c r="S94" s="319">
        <v>154436.27894354478</v>
      </c>
      <c r="T94" s="342">
        <v>205688.0067465615</v>
      </c>
      <c r="V94" s="7" t="s">
        <v>7708</v>
      </c>
    </row>
    <row r="95" spans="1:22" ht="16.5" customHeight="1" thickBot="1">
      <c r="A95" s="57" t="s">
        <v>52</v>
      </c>
      <c r="B95" s="58">
        <f t="shared" si="0"/>
        <v>150</v>
      </c>
      <c r="C95" s="58" t="s">
        <v>3</v>
      </c>
      <c r="D95" s="58">
        <f t="shared" si="1"/>
        <v>300</v>
      </c>
      <c r="E95" s="58" t="s">
        <v>3</v>
      </c>
      <c r="F95" s="59">
        <f t="shared" si="3"/>
        <v>2550</v>
      </c>
      <c r="G95" s="58" t="s">
        <v>3</v>
      </c>
      <c r="H95" s="60">
        <v>4</v>
      </c>
      <c r="I95" s="61" t="s">
        <v>582</v>
      </c>
      <c r="J95" s="114">
        <v>150</v>
      </c>
      <c r="K95" s="75">
        <v>300</v>
      </c>
      <c r="L95" s="75">
        <v>2550</v>
      </c>
      <c r="M95" s="191">
        <v>52.955169705586314</v>
      </c>
      <c r="N95" s="75">
        <v>4401.1218597967581</v>
      </c>
      <c r="O95" s="75">
        <v>12268.235980000001</v>
      </c>
      <c r="P95" s="123">
        <v>125325.20038430185</v>
      </c>
      <c r="Q95" s="199">
        <v>30859.062179928536</v>
      </c>
      <c r="R95" s="348">
        <v>83319.467885806996</v>
      </c>
      <c r="S95" s="319">
        <v>156184.26256423039</v>
      </c>
      <c r="T95" s="342">
        <v>208644.66827010884</v>
      </c>
      <c r="V95" s="7" t="s">
        <v>7709</v>
      </c>
    </row>
    <row r="96" spans="1:22" ht="16.5" customHeight="1" thickBot="1">
      <c r="A96" s="57" t="s">
        <v>52</v>
      </c>
      <c r="B96" s="58">
        <f t="shared" si="0"/>
        <v>150</v>
      </c>
      <c r="C96" s="58" t="s">
        <v>3</v>
      </c>
      <c r="D96" s="58">
        <f t="shared" si="1"/>
        <v>300</v>
      </c>
      <c r="E96" s="58" t="s">
        <v>3</v>
      </c>
      <c r="F96" s="59">
        <f t="shared" si="3"/>
        <v>2600</v>
      </c>
      <c r="G96" s="58" t="s">
        <v>3</v>
      </c>
      <c r="H96" s="60">
        <v>4</v>
      </c>
      <c r="I96" s="61" t="s">
        <v>582</v>
      </c>
      <c r="J96" s="114">
        <v>150</v>
      </c>
      <c r="K96" s="75">
        <v>300</v>
      </c>
      <c r="L96" s="75">
        <v>2600</v>
      </c>
      <c r="M96" s="191">
        <v>53.841440335498419</v>
      </c>
      <c r="N96" s="75">
        <v>4501.1473566103214</v>
      </c>
      <c r="O96" s="75">
        <v>12547.059525000002</v>
      </c>
      <c r="P96" s="123">
        <v>126266.90220064003</v>
      </c>
      <c r="Q96" s="199">
        <v>31339.467398466946</v>
      </c>
      <c r="R96" s="348">
        <v>84616.561975860823</v>
      </c>
      <c r="S96" s="319">
        <v>157606.36959910698</v>
      </c>
      <c r="T96" s="342">
        <v>210883.46417650086</v>
      </c>
      <c r="V96" s="7" t="s">
        <v>7710</v>
      </c>
    </row>
    <row r="97" spans="1:22" ht="16.5" customHeight="1" thickBot="1">
      <c r="A97" s="57" t="s">
        <v>52</v>
      </c>
      <c r="B97" s="58">
        <f t="shared" si="0"/>
        <v>150</v>
      </c>
      <c r="C97" s="58" t="s">
        <v>3</v>
      </c>
      <c r="D97" s="58">
        <f t="shared" si="1"/>
        <v>300</v>
      </c>
      <c r="E97" s="58" t="s">
        <v>3</v>
      </c>
      <c r="F97" s="59">
        <f t="shared" si="3"/>
        <v>2650</v>
      </c>
      <c r="G97" s="58" t="s">
        <v>3</v>
      </c>
      <c r="H97" s="60">
        <v>4</v>
      </c>
      <c r="I97" s="61" t="s">
        <v>582</v>
      </c>
      <c r="J97" s="114">
        <v>150</v>
      </c>
      <c r="K97" s="75">
        <v>300</v>
      </c>
      <c r="L97" s="75">
        <v>2650</v>
      </c>
      <c r="M97" s="191">
        <v>54.744750965410532</v>
      </c>
      <c r="N97" s="75">
        <v>4601.1728534238828</v>
      </c>
      <c r="O97" s="75">
        <v>12825.88307</v>
      </c>
      <c r="P97" s="123">
        <v>127272.16275965587</v>
      </c>
      <c r="Q97" s="199">
        <v>32050.454400150258</v>
      </c>
      <c r="R97" s="348">
        <v>86536.226880405855</v>
      </c>
      <c r="S97" s="319">
        <v>159322.61715980613</v>
      </c>
      <c r="T97" s="342">
        <v>213808.38964006171</v>
      </c>
      <c r="V97" s="7" t="s">
        <v>7711</v>
      </c>
    </row>
    <row r="98" spans="1:22" ht="16.5" customHeight="1" thickBot="1">
      <c r="A98" s="57" t="s">
        <v>52</v>
      </c>
      <c r="B98" s="58">
        <f t="shared" si="0"/>
        <v>150</v>
      </c>
      <c r="C98" s="58" t="s">
        <v>3</v>
      </c>
      <c r="D98" s="58">
        <f t="shared" si="1"/>
        <v>300</v>
      </c>
      <c r="E98" s="58" t="s">
        <v>3</v>
      </c>
      <c r="F98" s="59">
        <f t="shared" si="3"/>
        <v>2700</v>
      </c>
      <c r="G98" s="58" t="s">
        <v>3</v>
      </c>
      <c r="H98" s="60">
        <v>4</v>
      </c>
      <c r="I98" s="61" t="s">
        <v>582</v>
      </c>
      <c r="J98" s="114">
        <v>150</v>
      </c>
      <c r="K98" s="75">
        <v>300</v>
      </c>
      <c r="L98" s="75">
        <v>2700</v>
      </c>
      <c r="M98" s="191">
        <v>55.788021595322633</v>
      </c>
      <c r="N98" s="75">
        <v>4701.198350237446</v>
      </c>
      <c r="O98" s="75">
        <v>13104.706615000001</v>
      </c>
      <c r="P98" s="123">
        <v>128352.54542025828</v>
      </c>
      <c r="Q98" s="199">
        <v>32530.859618688806</v>
      </c>
      <c r="R98" s="348">
        <v>87833.320970459681</v>
      </c>
      <c r="S98" s="319">
        <v>160883.40503894709</v>
      </c>
      <c r="T98" s="342">
        <v>216185.86639071797</v>
      </c>
      <c r="V98" s="7" t="s">
        <v>7712</v>
      </c>
    </row>
    <row r="99" spans="1:22" ht="16.5" customHeight="1" thickBot="1">
      <c r="A99" s="57" t="s">
        <v>52</v>
      </c>
      <c r="B99" s="58">
        <f t="shared" si="0"/>
        <v>150</v>
      </c>
      <c r="C99" s="58" t="s">
        <v>3</v>
      </c>
      <c r="D99" s="58">
        <f t="shared" si="1"/>
        <v>300</v>
      </c>
      <c r="E99" s="58" t="s">
        <v>3</v>
      </c>
      <c r="F99" s="59">
        <f t="shared" si="3"/>
        <v>2750</v>
      </c>
      <c r="G99" s="58" t="s">
        <v>3</v>
      </c>
      <c r="H99" s="60">
        <v>4</v>
      </c>
      <c r="I99" s="61" t="s">
        <v>582</v>
      </c>
      <c r="J99" s="114">
        <v>150</v>
      </c>
      <c r="K99" s="75">
        <v>300</v>
      </c>
      <c r="L99" s="75">
        <v>2750</v>
      </c>
      <c r="M99" s="191">
        <v>56.674292225234737</v>
      </c>
      <c r="N99" s="75">
        <v>4801.2238470510074</v>
      </c>
      <c r="O99" s="75">
        <v>13383.530159999998</v>
      </c>
      <c r="P99" s="123">
        <v>129357.69829756506</v>
      </c>
      <c r="Q99" s="199">
        <v>33011.264837227216</v>
      </c>
      <c r="R99" s="348">
        <v>89130.415060513347</v>
      </c>
      <c r="S99" s="319">
        <v>162368.96313479228</v>
      </c>
      <c r="T99" s="342">
        <v>218488.11335807841</v>
      </c>
      <c r="V99" s="7" t="s">
        <v>7713</v>
      </c>
    </row>
    <row r="100" spans="1:22" ht="16.5" customHeight="1" thickBot="1">
      <c r="A100" s="57" t="s">
        <v>52</v>
      </c>
      <c r="B100" s="58">
        <f t="shared" si="0"/>
        <v>150</v>
      </c>
      <c r="C100" s="58" t="s">
        <v>3</v>
      </c>
      <c r="D100" s="58">
        <f t="shared" si="1"/>
        <v>300</v>
      </c>
      <c r="E100" s="58" t="s">
        <v>3</v>
      </c>
      <c r="F100" s="59">
        <f t="shared" si="3"/>
        <v>2800</v>
      </c>
      <c r="G100" s="58" t="s">
        <v>3</v>
      </c>
      <c r="H100" s="60">
        <v>4</v>
      </c>
      <c r="I100" s="61" t="s">
        <v>582</v>
      </c>
      <c r="J100" s="114">
        <v>150</v>
      </c>
      <c r="K100" s="75">
        <v>300</v>
      </c>
      <c r="L100" s="75">
        <v>2800</v>
      </c>
      <c r="M100" s="191">
        <v>57.577602855146843</v>
      </c>
      <c r="N100" s="75">
        <v>4901.2493438645724</v>
      </c>
      <c r="O100" s="75">
        <v>13662.353705000001</v>
      </c>
      <c r="P100" s="123">
        <v>130362.79740421401</v>
      </c>
      <c r="Q100" s="199">
        <v>33722.251838910524</v>
      </c>
      <c r="R100" s="348">
        <v>91050.079965058409</v>
      </c>
      <c r="S100" s="319">
        <v>164085.04924312455</v>
      </c>
      <c r="T100" s="342">
        <v>221412.87736927241</v>
      </c>
      <c r="V100" s="7" t="s">
        <v>7714</v>
      </c>
    </row>
    <row r="101" spans="1:22" ht="16.5" customHeight="1" thickBot="1">
      <c r="A101" s="57" t="s">
        <v>52</v>
      </c>
      <c r="B101" s="58">
        <f t="shared" si="0"/>
        <v>150</v>
      </c>
      <c r="C101" s="58" t="s">
        <v>3</v>
      </c>
      <c r="D101" s="58">
        <f t="shared" si="1"/>
        <v>300</v>
      </c>
      <c r="E101" s="58" t="s">
        <v>3</v>
      </c>
      <c r="F101" s="59">
        <f t="shared" si="3"/>
        <v>2850</v>
      </c>
      <c r="G101" s="58" t="s">
        <v>3</v>
      </c>
      <c r="H101" s="60">
        <v>4</v>
      </c>
      <c r="I101" s="61" t="s">
        <v>582</v>
      </c>
      <c r="J101" s="114">
        <v>150</v>
      </c>
      <c r="K101" s="75">
        <v>300</v>
      </c>
      <c r="L101" s="75">
        <v>2850</v>
      </c>
      <c r="M101" s="191">
        <v>59.325873485058935</v>
      </c>
      <c r="N101" s="75">
        <v>5001.2748406781338</v>
      </c>
      <c r="O101" s="75">
        <v>13941.177250000001</v>
      </c>
      <c r="P101" s="123">
        <v>136554.31625115298</v>
      </c>
      <c r="Q101" s="199">
        <v>34202.657057448938</v>
      </c>
      <c r="R101" s="348">
        <v>92347.17405511222</v>
      </c>
      <c r="S101" s="319">
        <v>170756.97330860191</v>
      </c>
      <c r="T101" s="342">
        <v>228901.49030626519</v>
      </c>
      <c r="V101" s="7" t="s">
        <v>7715</v>
      </c>
    </row>
    <row r="102" spans="1:22" ht="16.5" customHeight="1" thickBot="1">
      <c r="A102" s="57" t="s">
        <v>52</v>
      </c>
      <c r="B102" s="58">
        <f t="shared" si="0"/>
        <v>150</v>
      </c>
      <c r="C102" s="58" t="s">
        <v>3</v>
      </c>
      <c r="D102" s="58">
        <f t="shared" si="1"/>
        <v>300</v>
      </c>
      <c r="E102" s="58" t="s">
        <v>3</v>
      </c>
      <c r="F102" s="59">
        <f t="shared" si="3"/>
        <v>2900</v>
      </c>
      <c r="G102" s="58" t="s">
        <v>3</v>
      </c>
      <c r="H102" s="60">
        <v>4</v>
      </c>
      <c r="I102" s="61" t="s">
        <v>582</v>
      </c>
      <c r="J102" s="114">
        <v>150</v>
      </c>
      <c r="K102" s="75">
        <v>300</v>
      </c>
      <c r="L102" s="75">
        <v>2900</v>
      </c>
      <c r="M102" s="191">
        <v>60.229184114971048</v>
      </c>
      <c r="N102" s="75">
        <v>5101.3003374916962</v>
      </c>
      <c r="O102" s="75">
        <v>14220.000794999998</v>
      </c>
      <c r="P102" s="123">
        <v>137529.32807746466</v>
      </c>
      <c r="Q102" s="199">
        <v>34913.644059132239</v>
      </c>
      <c r="R102" s="348">
        <v>94266.838959657267</v>
      </c>
      <c r="S102" s="319">
        <v>172442.97213659689</v>
      </c>
      <c r="T102" s="342">
        <v>231796.16703712192</v>
      </c>
      <c r="V102" s="7" t="s">
        <v>7716</v>
      </c>
    </row>
    <row r="103" spans="1:22" ht="16.5" customHeight="1" thickBot="1">
      <c r="A103" s="57" t="s">
        <v>52</v>
      </c>
      <c r="B103" s="58">
        <f t="shared" si="0"/>
        <v>150</v>
      </c>
      <c r="C103" s="58" t="s">
        <v>3</v>
      </c>
      <c r="D103" s="58">
        <f t="shared" si="1"/>
        <v>300</v>
      </c>
      <c r="E103" s="58" t="s">
        <v>3</v>
      </c>
      <c r="F103" s="59">
        <f t="shared" si="3"/>
        <v>2950</v>
      </c>
      <c r="G103" s="58" t="s">
        <v>3</v>
      </c>
      <c r="H103" s="60">
        <v>4</v>
      </c>
      <c r="I103" s="61" t="s">
        <v>582</v>
      </c>
      <c r="J103" s="114">
        <v>150</v>
      </c>
      <c r="K103" s="75">
        <v>300</v>
      </c>
      <c r="L103" s="75">
        <v>2950</v>
      </c>
      <c r="M103" s="191">
        <v>61.115454744883152</v>
      </c>
      <c r="N103" s="75">
        <v>5201.3258343052594</v>
      </c>
      <c r="O103" s="75">
        <v>14498.824340000001</v>
      </c>
      <c r="P103" s="123">
        <v>138504.2861331185</v>
      </c>
      <c r="Q103" s="199">
        <v>35394.049277670652</v>
      </c>
      <c r="R103" s="348">
        <v>95563.933049710948</v>
      </c>
      <c r="S103" s="319">
        <v>173898.33541078915</v>
      </c>
      <c r="T103" s="342">
        <v>234068.21918282943</v>
      </c>
      <c r="V103" s="7" t="s">
        <v>7717</v>
      </c>
    </row>
    <row r="104" spans="1:22" ht="16.5" customHeight="1" thickBot="1">
      <c r="A104" s="57" t="s">
        <v>52</v>
      </c>
      <c r="B104" s="58">
        <f t="shared" si="0"/>
        <v>150</v>
      </c>
      <c r="C104" s="58" t="s">
        <v>3</v>
      </c>
      <c r="D104" s="58">
        <f t="shared" si="1"/>
        <v>300</v>
      </c>
      <c r="E104" s="58" t="s">
        <v>3</v>
      </c>
      <c r="F104" s="59">
        <f t="shared" si="3"/>
        <v>3000</v>
      </c>
      <c r="G104" s="58" t="s">
        <v>3</v>
      </c>
      <c r="H104" s="60">
        <v>4</v>
      </c>
      <c r="I104" s="61" t="s">
        <v>582</v>
      </c>
      <c r="J104" s="1239">
        <v>150</v>
      </c>
      <c r="K104" s="147">
        <v>300</v>
      </c>
      <c r="L104" s="147">
        <v>3000</v>
      </c>
      <c r="M104" s="192">
        <v>62.018765374795251</v>
      </c>
      <c r="N104" s="147">
        <v>5301.3513311188217</v>
      </c>
      <c r="O104" s="147">
        <v>14777.647885</v>
      </c>
      <c r="P104" s="149">
        <v>140624.21551775967</v>
      </c>
      <c r="Q104" s="200">
        <v>36105.036279354099</v>
      </c>
      <c r="R104" s="1234">
        <v>97483.59795425598</v>
      </c>
      <c r="S104" s="320">
        <v>176729.25179711377</v>
      </c>
      <c r="T104" s="343">
        <v>238107.81347201567</v>
      </c>
      <c r="V104" s="7" t="s">
        <v>7718</v>
      </c>
    </row>
    <row r="246" spans="1:15">
      <c r="A246" s="1"/>
      <c r="B246" s="1"/>
      <c r="C246" s="1"/>
      <c r="D246" s="1"/>
      <c r="E246" s="1"/>
      <c r="F246" s="1"/>
      <c r="G246" s="1"/>
      <c r="H246" s="1"/>
      <c r="I246" s="1"/>
      <c r="N246" s="1"/>
      <c r="O246" s="1"/>
    </row>
    <row r="247" spans="1:15">
      <c r="A247" s="1"/>
      <c r="B247" s="1"/>
      <c r="C247" s="1"/>
      <c r="D247" s="1"/>
      <c r="E247" s="1"/>
      <c r="F247" s="1"/>
      <c r="G247" s="1"/>
      <c r="H247" s="1"/>
      <c r="I247" s="1"/>
      <c r="N247" s="1"/>
      <c r="O247" s="1"/>
    </row>
    <row r="248" spans="1:15">
      <c r="A248" s="1"/>
      <c r="B248" s="1"/>
      <c r="C248" s="1"/>
      <c r="D248" s="1"/>
      <c r="E248" s="1"/>
      <c r="F248" s="1"/>
      <c r="G248" s="1"/>
      <c r="H248" s="1"/>
      <c r="I248" s="1"/>
      <c r="N248" s="1"/>
      <c r="O248" s="1"/>
    </row>
    <row r="249" spans="1:15">
      <c r="A249" s="1"/>
      <c r="B249" s="1"/>
      <c r="C249" s="1"/>
      <c r="D249" s="1"/>
      <c r="E249" s="1"/>
      <c r="F249" s="1"/>
      <c r="G249" s="1"/>
      <c r="H249" s="1"/>
      <c r="I249" s="1"/>
      <c r="N249" s="1"/>
      <c r="O249" s="1"/>
    </row>
    <row r="250" spans="1:15">
      <c r="A250" s="1"/>
      <c r="B250" s="1"/>
      <c r="C250" s="1"/>
      <c r="D250" s="1"/>
      <c r="E250" s="1"/>
      <c r="F250" s="1"/>
      <c r="G250" s="1"/>
      <c r="H250" s="1"/>
      <c r="I250" s="1"/>
      <c r="N250" s="1"/>
      <c r="O250" s="1"/>
    </row>
    <row r="251" spans="1:15">
      <c r="A251" s="1"/>
      <c r="B251" s="1"/>
      <c r="C251" s="1"/>
      <c r="D251" s="1"/>
      <c r="E251" s="1"/>
      <c r="F251" s="1"/>
      <c r="G251" s="1"/>
      <c r="H251" s="1"/>
      <c r="I251" s="1"/>
      <c r="N251" s="1"/>
      <c r="O251" s="1"/>
    </row>
    <row r="252" spans="1:15">
      <c r="A252" s="1"/>
      <c r="B252" s="1"/>
      <c r="C252" s="1"/>
      <c r="D252" s="1"/>
      <c r="E252" s="1"/>
      <c r="F252" s="1"/>
      <c r="G252" s="1"/>
      <c r="H252" s="1"/>
      <c r="I252" s="1"/>
      <c r="N252" s="1"/>
      <c r="O252" s="1"/>
    </row>
    <row r="253" spans="1:15">
      <c r="A253" s="1"/>
      <c r="B253" s="1"/>
      <c r="C253" s="1"/>
      <c r="D253" s="1"/>
      <c r="E253" s="1"/>
      <c r="F253" s="1"/>
      <c r="G253" s="1"/>
      <c r="H253" s="1"/>
      <c r="I253" s="1"/>
      <c r="N253" s="1"/>
      <c r="O253" s="1"/>
    </row>
    <row r="254" spans="1:15">
      <c r="A254" s="1"/>
      <c r="B254" s="1"/>
      <c r="C254" s="1"/>
      <c r="D254" s="1"/>
      <c r="E254" s="1"/>
      <c r="F254" s="1"/>
      <c r="G254" s="1"/>
      <c r="H254" s="1"/>
      <c r="I254" s="1"/>
      <c r="N254" s="1"/>
      <c r="O254" s="1"/>
    </row>
    <row r="255" spans="1:15">
      <c r="A255" s="1"/>
      <c r="B255" s="1"/>
      <c r="C255" s="1"/>
      <c r="D255" s="1"/>
      <c r="E255" s="1"/>
      <c r="F255" s="1"/>
      <c r="G255" s="1"/>
      <c r="H255" s="1"/>
      <c r="I255" s="1"/>
      <c r="N255" s="1"/>
      <c r="O255" s="1"/>
    </row>
    <row r="256" spans="1:15">
      <c r="A256" s="1"/>
      <c r="B256" s="1"/>
      <c r="C256" s="1"/>
      <c r="D256" s="1"/>
      <c r="E256" s="1"/>
      <c r="F256" s="1"/>
      <c r="G256" s="1"/>
      <c r="H256" s="1"/>
      <c r="I256" s="1"/>
      <c r="N256" s="1"/>
      <c r="O256" s="1"/>
    </row>
    <row r="257" spans="1:15">
      <c r="A257" s="1"/>
      <c r="B257" s="1"/>
      <c r="C257" s="1"/>
      <c r="D257" s="1"/>
      <c r="E257" s="1"/>
      <c r="F257" s="1"/>
      <c r="G257" s="1"/>
      <c r="H257" s="1"/>
      <c r="I257" s="1"/>
      <c r="N257" s="1"/>
      <c r="O257" s="1"/>
    </row>
    <row r="258" spans="1:15">
      <c r="A258" s="1"/>
      <c r="B258" s="1"/>
      <c r="C258" s="1"/>
      <c r="D258" s="1"/>
      <c r="E258" s="1"/>
      <c r="F258" s="1"/>
      <c r="G258" s="1"/>
      <c r="H258" s="1"/>
      <c r="I258" s="1"/>
      <c r="N258" s="1"/>
      <c r="O258" s="1"/>
    </row>
    <row r="259" spans="1:15">
      <c r="A259" s="1"/>
      <c r="B259" s="1"/>
      <c r="C259" s="1"/>
      <c r="D259" s="1"/>
      <c r="E259" s="1"/>
      <c r="F259" s="1"/>
      <c r="G259" s="1"/>
      <c r="H259" s="1"/>
      <c r="I259" s="1"/>
      <c r="N259" s="1"/>
      <c r="O259" s="1"/>
    </row>
    <row r="260" spans="1:15">
      <c r="A260" s="1"/>
      <c r="B260" s="1"/>
      <c r="C260" s="1"/>
      <c r="D260" s="1"/>
      <c r="E260" s="1"/>
      <c r="F260" s="1"/>
      <c r="G260" s="1"/>
      <c r="H260" s="1"/>
      <c r="I260" s="1"/>
      <c r="N260" s="1"/>
      <c r="O260" s="1"/>
    </row>
    <row r="261" spans="1:15">
      <c r="A261" s="1"/>
      <c r="B261" s="1"/>
      <c r="C261" s="1"/>
      <c r="D261" s="1"/>
      <c r="E261" s="1"/>
      <c r="F261" s="1"/>
      <c r="G261" s="1"/>
      <c r="H261" s="1"/>
      <c r="I261" s="1"/>
      <c r="N261" s="1"/>
      <c r="O261" s="1"/>
    </row>
    <row r="262" spans="1:15">
      <c r="A262" s="1"/>
      <c r="B262" s="1"/>
      <c r="C262" s="1"/>
      <c r="D262" s="1"/>
      <c r="E262" s="1"/>
      <c r="F262" s="1"/>
      <c r="G262" s="1"/>
      <c r="H262" s="1"/>
      <c r="I262" s="1"/>
      <c r="N262" s="1"/>
      <c r="O262" s="1"/>
    </row>
    <row r="263" spans="1:15">
      <c r="A263" s="1"/>
      <c r="B263" s="1"/>
      <c r="C263" s="1"/>
      <c r="D263" s="1"/>
      <c r="E263" s="1"/>
      <c r="F263" s="1"/>
      <c r="G263" s="1"/>
      <c r="H263" s="1"/>
      <c r="I263" s="1"/>
      <c r="N263" s="1"/>
      <c r="O263" s="1"/>
    </row>
    <row r="264" spans="1:15">
      <c r="A264" s="1"/>
      <c r="B264" s="1"/>
      <c r="C264" s="1"/>
      <c r="D264" s="1"/>
      <c r="E264" s="1"/>
      <c r="F264" s="1"/>
      <c r="G264" s="1"/>
      <c r="H264" s="1"/>
      <c r="I264" s="1"/>
      <c r="N264" s="1"/>
      <c r="O264" s="1"/>
    </row>
    <row r="265" spans="1:15">
      <c r="A265" s="1"/>
      <c r="B265" s="1"/>
      <c r="C265" s="1"/>
      <c r="D265" s="1"/>
      <c r="E265" s="1"/>
      <c r="F265" s="1"/>
      <c r="G265" s="1"/>
      <c r="H265" s="1"/>
      <c r="I265" s="1"/>
      <c r="N265" s="1"/>
      <c r="O265" s="1"/>
    </row>
    <row r="266" spans="1:15">
      <c r="A266" s="1"/>
      <c r="B266" s="1"/>
      <c r="C266" s="1"/>
      <c r="D266" s="1"/>
      <c r="E266" s="1"/>
      <c r="F266" s="1"/>
      <c r="G266" s="1"/>
      <c r="H266" s="1"/>
      <c r="I266" s="1"/>
      <c r="N266" s="1"/>
      <c r="O266" s="1"/>
    </row>
    <row r="267" spans="1:15">
      <c r="A267" s="1"/>
      <c r="B267" s="1"/>
      <c r="C267" s="1"/>
      <c r="D267" s="1"/>
      <c r="E267" s="1"/>
      <c r="F267" s="1"/>
      <c r="G267" s="1"/>
      <c r="H267" s="1"/>
      <c r="I267" s="1"/>
      <c r="N267" s="1"/>
      <c r="O267" s="1"/>
    </row>
    <row r="268" spans="1:15">
      <c r="A268" s="1"/>
      <c r="B268" s="1"/>
      <c r="C268" s="1"/>
      <c r="D268" s="1"/>
      <c r="E268" s="1"/>
      <c r="F268" s="1"/>
      <c r="G268" s="1"/>
      <c r="H268" s="1"/>
      <c r="I268" s="1"/>
      <c r="N268" s="1"/>
      <c r="O268" s="1"/>
    </row>
    <row r="269" spans="1:15">
      <c r="A269" s="1"/>
      <c r="B269" s="1"/>
      <c r="C269" s="1"/>
      <c r="D269" s="1"/>
      <c r="E269" s="1"/>
      <c r="F269" s="1"/>
      <c r="G269" s="1"/>
      <c r="H269" s="1"/>
      <c r="I269" s="1"/>
      <c r="N269" s="1"/>
      <c r="O269" s="1"/>
    </row>
    <row r="270" spans="1:15">
      <c r="A270" s="1"/>
      <c r="B270" s="1"/>
      <c r="C270" s="1"/>
      <c r="D270" s="1"/>
      <c r="E270" s="1"/>
      <c r="F270" s="1"/>
      <c r="G270" s="1"/>
      <c r="H270" s="1"/>
      <c r="I270" s="1"/>
      <c r="N270" s="1"/>
      <c r="O270" s="1"/>
    </row>
    <row r="271" spans="1:15">
      <c r="A271" s="1"/>
      <c r="B271" s="1"/>
      <c r="C271" s="1"/>
      <c r="D271" s="1"/>
      <c r="E271" s="1"/>
      <c r="F271" s="1"/>
      <c r="G271" s="1"/>
      <c r="H271" s="1"/>
      <c r="I271" s="1"/>
      <c r="N271" s="1"/>
      <c r="O271" s="1"/>
    </row>
    <row r="272" spans="1:15">
      <c r="A272" s="1"/>
      <c r="B272" s="1"/>
      <c r="C272" s="1"/>
      <c r="D272" s="1"/>
      <c r="E272" s="1"/>
      <c r="F272" s="1"/>
      <c r="G272" s="1"/>
      <c r="H272" s="1"/>
      <c r="I272" s="1"/>
      <c r="N272" s="1"/>
      <c r="O272" s="1"/>
    </row>
    <row r="273" spans="1:15">
      <c r="A273" s="1"/>
      <c r="B273" s="1"/>
      <c r="C273" s="1"/>
      <c r="D273" s="1"/>
      <c r="E273" s="1"/>
      <c r="F273" s="1"/>
      <c r="G273" s="1"/>
      <c r="H273" s="1"/>
      <c r="I273" s="1"/>
      <c r="N273" s="1"/>
      <c r="O273" s="1"/>
    </row>
    <row r="274" spans="1:15">
      <c r="A274" s="1"/>
      <c r="B274" s="1"/>
      <c r="C274" s="1"/>
      <c r="D274" s="1"/>
      <c r="E274" s="1"/>
      <c r="F274" s="1"/>
      <c r="G274" s="1"/>
      <c r="H274" s="1"/>
      <c r="I274" s="1"/>
      <c r="N274" s="1"/>
      <c r="O274" s="1"/>
    </row>
    <row r="275" spans="1:15">
      <c r="A275" s="1"/>
      <c r="B275" s="1"/>
      <c r="C275" s="1"/>
      <c r="D275" s="1"/>
      <c r="E275" s="1"/>
      <c r="F275" s="1"/>
      <c r="G275" s="1"/>
      <c r="H275" s="1"/>
      <c r="I275" s="1"/>
      <c r="N275" s="1"/>
      <c r="O275" s="1"/>
    </row>
    <row r="276" spans="1:15">
      <c r="A276" s="1"/>
      <c r="B276" s="1"/>
      <c r="C276" s="1"/>
      <c r="D276" s="1"/>
      <c r="E276" s="1"/>
      <c r="F276" s="1"/>
      <c r="G276" s="1"/>
      <c r="H276" s="1"/>
      <c r="I276" s="1"/>
      <c r="N276" s="1"/>
      <c r="O276" s="1"/>
    </row>
    <row r="277" spans="1:15">
      <c r="A277" s="1"/>
      <c r="B277" s="1"/>
      <c r="C277" s="1"/>
      <c r="D277" s="1"/>
      <c r="E277" s="1"/>
      <c r="F277" s="1"/>
      <c r="G277" s="1"/>
      <c r="H277" s="1"/>
      <c r="I277" s="1"/>
      <c r="N277" s="1"/>
      <c r="O277" s="1"/>
    </row>
    <row r="278" spans="1:15">
      <c r="A278" s="1"/>
      <c r="B278" s="1"/>
      <c r="C278" s="1"/>
      <c r="D278" s="1"/>
      <c r="E278" s="1"/>
      <c r="F278" s="1"/>
      <c r="G278" s="1"/>
      <c r="H278" s="1"/>
      <c r="I278" s="1"/>
      <c r="N278" s="1"/>
      <c r="O278" s="1"/>
    </row>
    <row r="279" spans="1:15">
      <c r="A279" s="1"/>
      <c r="B279" s="1"/>
      <c r="C279" s="1"/>
      <c r="D279" s="1"/>
      <c r="E279" s="1"/>
      <c r="F279" s="1"/>
      <c r="G279" s="1"/>
      <c r="H279" s="1"/>
      <c r="I279" s="1"/>
      <c r="N279" s="1"/>
      <c r="O279" s="1"/>
    </row>
    <row r="280" spans="1:15">
      <c r="A280" s="1"/>
      <c r="B280" s="1"/>
      <c r="C280" s="1"/>
      <c r="D280" s="1"/>
      <c r="E280" s="1"/>
      <c r="F280" s="1"/>
      <c r="G280" s="1"/>
      <c r="H280" s="1"/>
      <c r="I280" s="1"/>
      <c r="N280" s="1"/>
      <c r="O280" s="1"/>
    </row>
    <row r="281" spans="1:15">
      <c r="A281" s="1"/>
      <c r="B281" s="1"/>
      <c r="C281" s="1"/>
      <c r="D281" s="1"/>
      <c r="E281" s="1"/>
      <c r="F281" s="1"/>
      <c r="G281" s="1"/>
      <c r="H281" s="1"/>
      <c r="I281" s="1"/>
      <c r="N281" s="1"/>
      <c r="O281" s="1"/>
    </row>
    <row r="282" spans="1:15">
      <c r="A282" s="1"/>
      <c r="B282" s="1"/>
      <c r="C282" s="1"/>
      <c r="D282" s="1"/>
      <c r="E282" s="1"/>
      <c r="F282" s="1"/>
      <c r="G282" s="1"/>
      <c r="H282" s="1"/>
      <c r="I282" s="1"/>
      <c r="N282" s="1"/>
      <c r="O282" s="1"/>
    </row>
    <row r="283" spans="1:15">
      <c r="A283" s="1"/>
      <c r="B283" s="1"/>
      <c r="C283" s="1"/>
      <c r="D283" s="1"/>
      <c r="E283" s="1"/>
      <c r="F283" s="1"/>
      <c r="G283" s="1"/>
      <c r="H283" s="1"/>
      <c r="I283" s="1"/>
      <c r="N283" s="1"/>
      <c r="O283" s="1"/>
    </row>
    <row r="284" spans="1:15">
      <c r="A284" s="1"/>
      <c r="B284" s="1"/>
      <c r="C284" s="1"/>
      <c r="D284" s="1"/>
      <c r="E284" s="1"/>
      <c r="F284" s="1"/>
      <c r="G284" s="1"/>
      <c r="H284" s="1"/>
      <c r="I284" s="1"/>
      <c r="N284" s="1"/>
      <c r="O284" s="1"/>
    </row>
    <row r="285" spans="1:15">
      <c r="A285" s="1"/>
      <c r="B285" s="1"/>
      <c r="C285" s="1"/>
      <c r="D285" s="1"/>
      <c r="E285" s="1"/>
      <c r="F285" s="1"/>
      <c r="G285" s="1"/>
      <c r="H285" s="1"/>
      <c r="I285" s="1"/>
      <c r="N285" s="1"/>
      <c r="O285" s="1"/>
    </row>
    <row r="286" spans="1:15">
      <c r="A286" s="1"/>
      <c r="B286" s="1"/>
      <c r="C286" s="1"/>
      <c r="D286" s="1"/>
      <c r="E286" s="1"/>
      <c r="F286" s="1"/>
      <c r="G286" s="1"/>
      <c r="H286" s="1"/>
      <c r="I286" s="1"/>
      <c r="N286" s="1"/>
      <c r="O286" s="1"/>
    </row>
    <row r="287" spans="1:15">
      <c r="A287" s="1"/>
      <c r="B287" s="1"/>
      <c r="C287" s="1"/>
      <c r="D287" s="1"/>
      <c r="E287" s="1"/>
      <c r="F287" s="1"/>
      <c r="G287" s="1"/>
      <c r="H287" s="1"/>
      <c r="I287" s="1"/>
      <c r="N287" s="1"/>
      <c r="O287" s="1"/>
    </row>
    <row r="288" spans="1:15">
      <c r="A288" s="1"/>
      <c r="B288" s="1"/>
      <c r="C288" s="1"/>
      <c r="D288" s="1"/>
      <c r="E288" s="1"/>
      <c r="F288" s="1"/>
      <c r="G288" s="1"/>
      <c r="H288" s="1"/>
      <c r="I288" s="1"/>
      <c r="N288" s="1"/>
      <c r="O288" s="1"/>
    </row>
    <row r="289" spans="1:15">
      <c r="A289" s="1"/>
      <c r="B289" s="1"/>
      <c r="C289" s="1"/>
      <c r="D289" s="1"/>
      <c r="E289" s="1"/>
      <c r="F289" s="1"/>
      <c r="G289" s="1"/>
      <c r="H289" s="1"/>
      <c r="I289" s="1"/>
      <c r="N289" s="1"/>
      <c r="O289" s="1"/>
    </row>
    <row r="290" spans="1:15">
      <c r="A290" s="1"/>
      <c r="B290" s="1"/>
      <c r="C290" s="1"/>
      <c r="D290" s="1"/>
      <c r="E290" s="1"/>
      <c r="F290" s="1"/>
      <c r="G290" s="1"/>
      <c r="H290" s="1"/>
      <c r="I290" s="1"/>
      <c r="N290" s="1"/>
      <c r="O290" s="1"/>
    </row>
    <row r="291" spans="1:15">
      <c r="A291" s="1"/>
      <c r="B291" s="1"/>
      <c r="C291" s="1"/>
      <c r="D291" s="1"/>
      <c r="E291" s="1"/>
      <c r="F291" s="1"/>
      <c r="G291" s="1"/>
      <c r="H291" s="1"/>
      <c r="I291" s="1"/>
      <c r="N291" s="1"/>
      <c r="O291" s="1"/>
    </row>
    <row r="292" spans="1:15">
      <c r="A292" s="1"/>
      <c r="B292" s="1"/>
      <c r="C292" s="1"/>
      <c r="D292" s="1"/>
      <c r="E292" s="1"/>
      <c r="F292" s="1"/>
      <c r="G292" s="1"/>
      <c r="H292" s="1"/>
      <c r="I292" s="1"/>
      <c r="N292" s="1"/>
      <c r="O292" s="1"/>
    </row>
    <row r="293" spans="1:15">
      <c r="A293" s="1"/>
      <c r="B293" s="1"/>
      <c r="C293" s="1"/>
      <c r="D293" s="1"/>
      <c r="E293" s="1"/>
      <c r="F293" s="1"/>
      <c r="G293" s="1"/>
      <c r="H293" s="1"/>
      <c r="I293" s="1"/>
      <c r="N293" s="1"/>
      <c r="O293" s="1"/>
    </row>
    <row r="294" spans="1:15">
      <c r="A294" s="1"/>
      <c r="B294" s="1"/>
      <c r="C294" s="1"/>
      <c r="D294" s="1"/>
      <c r="E294" s="1"/>
      <c r="F294" s="1"/>
      <c r="G294" s="1"/>
      <c r="H294" s="1"/>
      <c r="I294" s="1"/>
      <c r="N294" s="1"/>
      <c r="O294" s="1"/>
    </row>
    <row r="295" spans="1:15">
      <c r="A295" s="1"/>
      <c r="B295" s="1"/>
      <c r="C295" s="1"/>
      <c r="D295" s="1"/>
      <c r="E295" s="1"/>
      <c r="F295" s="1"/>
      <c r="G295" s="1"/>
      <c r="H295" s="1"/>
      <c r="I295" s="1"/>
      <c r="N295" s="1"/>
      <c r="O295" s="1"/>
    </row>
    <row r="296" spans="1:15">
      <c r="A296" s="1"/>
      <c r="B296" s="1"/>
      <c r="C296" s="1"/>
      <c r="D296" s="1"/>
      <c r="E296" s="1"/>
      <c r="F296" s="1"/>
      <c r="G296" s="1"/>
      <c r="H296" s="1"/>
      <c r="I296" s="1"/>
      <c r="N296" s="1"/>
      <c r="O296" s="1"/>
    </row>
    <row r="297" spans="1:15">
      <c r="A297" s="1"/>
      <c r="B297" s="1"/>
      <c r="C297" s="1"/>
      <c r="D297" s="1"/>
      <c r="E297" s="1"/>
      <c r="F297" s="1"/>
      <c r="G297" s="1"/>
      <c r="H297" s="1"/>
      <c r="I297" s="1"/>
      <c r="N297" s="1"/>
      <c r="O297" s="1"/>
    </row>
    <row r="298" spans="1:15">
      <c r="A298" s="1"/>
      <c r="B298" s="1"/>
      <c r="C298" s="1"/>
      <c r="D298" s="1"/>
      <c r="E298" s="1"/>
      <c r="F298" s="1"/>
      <c r="G298" s="1"/>
      <c r="H298" s="1"/>
      <c r="I298" s="1"/>
      <c r="N298" s="1"/>
      <c r="O298" s="1"/>
    </row>
    <row r="299" spans="1:15">
      <c r="A299" s="1"/>
      <c r="B299" s="1"/>
      <c r="C299" s="1"/>
      <c r="D299" s="1"/>
      <c r="E299" s="1"/>
      <c r="F299" s="1"/>
      <c r="G299" s="1"/>
      <c r="H299" s="1"/>
      <c r="I299" s="1"/>
      <c r="N299" s="1"/>
      <c r="O299" s="1"/>
    </row>
    <row r="300" spans="1:15">
      <c r="A300" s="1"/>
      <c r="B300" s="1"/>
      <c r="C300" s="1"/>
      <c r="D300" s="1"/>
      <c r="E300" s="1"/>
      <c r="F300" s="1"/>
      <c r="G300" s="1"/>
      <c r="H300" s="1"/>
      <c r="I300" s="1"/>
      <c r="N300" s="1"/>
      <c r="O300" s="1"/>
    </row>
    <row r="301" spans="1:15">
      <c r="A301" s="1"/>
      <c r="B301" s="1"/>
      <c r="C301" s="1"/>
      <c r="D301" s="1"/>
      <c r="E301" s="1"/>
      <c r="F301" s="1"/>
      <c r="G301" s="1"/>
      <c r="H301" s="1"/>
      <c r="I301" s="1"/>
      <c r="N301" s="1"/>
      <c r="O301" s="1"/>
    </row>
    <row r="302" spans="1:15">
      <c r="A302" s="1"/>
      <c r="B302" s="1"/>
      <c r="C302" s="1"/>
      <c r="D302" s="1"/>
      <c r="E302" s="1"/>
      <c r="F302" s="1"/>
      <c r="G302" s="1"/>
      <c r="H302" s="1"/>
      <c r="I302" s="1"/>
      <c r="N302" s="1"/>
      <c r="O302" s="1"/>
    </row>
    <row r="303" spans="1:15">
      <c r="A303" s="1"/>
      <c r="B303" s="1"/>
      <c r="C303" s="1"/>
      <c r="D303" s="1"/>
      <c r="E303" s="1"/>
      <c r="F303" s="1"/>
      <c r="G303" s="1"/>
      <c r="H303" s="1"/>
      <c r="I303" s="1"/>
      <c r="N303" s="1"/>
      <c r="O303" s="1"/>
    </row>
    <row r="304" spans="1:15">
      <c r="A304" s="1"/>
      <c r="B304" s="1"/>
      <c r="C304" s="1"/>
      <c r="D304" s="1"/>
      <c r="E304" s="1"/>
      <c r="F304" s="1"/>
      <c r="G304" s="1"/>
      <c r="H304" s="1"/>
      <c r="I304" s="1"/>
      <c r="N304" s="1"/>
      <c r="O304" s="1"/>
    </row>
    <row r="305" spans="1:15">
      <c r="A305" s="1"/>
      <c r="B305" s="1"/>
      <c r="C305" s="1"/>
      <c r="D305" s="1"/>
      <c r="E305" s="1"/>
      <c r="F305" s="1"/>
      <c r="G305" s="1"/>
      <c r="H305" s="1"/>
      <c r="I305" s="1"/>
      <c r="N305" s="1"/>
      <c r="O305" s="1"/>
    </row>
    <row r="306" spans="1:15">
      <c r="A306" s="1"/>
      <c r="B306" s="1"/>
      <c r="C306" s="1"/>
      <c r="D306" s="1"/>
      <c r="E306" s="1"/>
      <c r="F306" s="1"/>
      <c r="G306" s="1"/>
      <c r="H306" s="1"/>
      <c r="I306" s="1"/>
      <c r="N306" s="1"/>
      <c r="O306" s="1"/>
    </row>
    <row r="307" spans="1:15">
      <c r="A307" s="1"/>
      <c r="B307" s="1"/>
      <c r="C307" s="1"/>
      <c r="D307" s="1"/>
      <c r="E307" s="1"/>
      <c r="F307" s="1"/>
      <c r="G307" s="1"/>
      <c r="H307" s="1"/>
      <c r="I307" s="1"/>
      <c r="N307" s="1"/>
      <c r="O307" s="1"/>
    </row>
    <row r="308" spans="1:15">
      <c r="A308" s="1"/>
      <c r="B308" s="1"/>
      <c r="C308" s="1"/>
      <c r="D308" s="1"/>
      <c r="E308" s="1"/>
      <c r="F308" s="1"/>
      <c r="G308" s="1"/>
      <c r="H308" s="1"/>
      <c r="I308" s="1"/>
      <c r="N308" s="1"/>
      <c r="O308" s="1"/>
    </row>
    <row r="309" spans="1:15">
      <c r="A309" s="1"/>
      <c r="B309" s="1"/>
      <c r="C309" s="1"/>
      <c r="D309" s="1"/>
      <c r="E309" s="1"/>
      <c r="F309" s="1"/>
      <c r="G309" s="1"/>
      <c r="H309" s="1"/>
      <c r="I309" s="1"/>
      <c r="N309" s="1"/>
      <c r="O309" s="1"/>
    </row>
    <row r="310" spans="1:15">
      <c r="A310" s="1"/>
      <c r="B310" s="1"/>
      <c r="C310" s="1"/>
      <c r="D310" s="1"/>
      <c r="E310" s="1"/>
      <c r="F310" s="1"/>
      <c r="G310" s="1"/>
      <c r="H310" s="1"/>
      <c r="I310" s="1"/>
      <c r="N310" s="1"/>
      <c r="O310" s="1"/>
    </row>
    <row r="311" spans="1:15">
      <c r="A311" s="1"/>
      <c r="B311" s="1"/>
      <c r="C311" s="1"/>
      <c r="D311" s="1"/>
      <c r="E311" s="1"/>
      <c r="F311" s="1"/>
      <c r="G311" s="1"/>
      <c r="H311" s="1"/>
      <c r="I311" s="1"/>
      <c r="N311" s="1"/>
      <c r="O311" s="1"/>
    </row>
    <row r="312" spans="1:15">
      <c r="A312" s="1"/>
      <c r="B312" s="1"/>
      <c r="C312" s="1"/>
      <c r="D312" s="1"/>
      <c r="E312" s="1"/>
      <c r="F312" s="1"/>
      <c r="G312" s="1"/>
      <c r="H312" s="1"/>
      <c r="I312" s="1"/>
      <c r="N312" s="1"/>
      <c r="O312" s="1"/>
    </row>
    <row r="313" spans="1:15">
      <c r="A313" s="1"/>
      <c r="B313" s="1"/>
      <c r="C313" s="1"/>
      <c r="D313" s="1"/>
      <c r="E313" s="1"/>
      <c r="F313" s="1"/>
      <c r="G313" s="1"/>
      <c r="H313" s="1"/>
      <c r="I313" s="1"/>
      <c r="N313" s="1"/>
      <c r="O313" s="1"/>
    </row>
    <row r="314" spans="1:15">
      <c r="A314" s="1"/>
      <c r="B314" s="1"/>
      <c r="C314" s="1"/>
      <c r="D314" s="1"/>
      <c r="E314" s="1"/>
      <c r="F314" s="1"/>
      <c r="G314" s="1"/>
      <c r="H314" s="1"/>
      <c r="I314" s="1"/>
      <c r="N314" s="1"/>
      <c r="O314" s="1"/>
    </row>
    <row r="315" spans="1:15">
      <c r="A315" s="1"/>
      <c r="B315" s="1"/>
      <c r="C315" s="1"/>
      <c r="D315" s="1"/>
      <c r="E315" s="1"/>
      <c r="F315" s="1"/>
      <c r="G315" s="1"/>
      <c r="H315" s="1"/>
      <c r="I315" s="1"/>
      <c r="N315" s="1"/>
      <c r="O315" s="1"/>
    </row>
    <row r="316" spans="1:15">
      <c r="A316" s="1"/>
      <c r="B316" s="1"/>
      <c r="C316" s="1"/>
      <c r="D316" s="1"/>
      <c r="E316" s="1"/>
      <c r="F316" s="1"/>
      <c r="G316" s="1"/>
      <c r="H316" s="1"/>
      <c r="I316" s="1"/>
      <c r="N316" s="1"/>
      <c r="O316" s="1"/>
    </row>
  </sheetData>
  <mergeCells count="13">
    <mergeCell ref="A56:T57"/>
    <mergeCell ref="A3:I5"/>
    <mergeCell ref="J3:M4"/>
    <mergeCell ref="O3:O5"/>
    <mergeCell ref="A6:T6"/>
    <mergeCell ref="A7:T8"/>
    <mergeCell ref="Q3:Q4"/>
    <mergeCell ref="R3:R4"/>
    <mergeCell ref="S3:S4"/>
    <mergeCell ref="N3:N5"/>
    <mergeCell ref="P5:T5"/>
    <mergeCell ref="P3:P4"/>
    <mergeCell ref="T3:T4"/>
  </mergeCells>
  <hyperlinks>
    <hyperlink ref="A1:I1" location="Главная!A1" display="Вернуться на главную страницу" xr:uid="{00000000-0004-0000-2100-000000000000}"/>
  </hyperlink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Лист51">
    <tabColor rgb="FF7030A0"/>
  </sheetPr>
  <dimension ref="A1:AG75"/>
  <sheetViews>
    <sheetView zoomScale="85" zoomScaleNormal="85" workbookViewId="0">
      <pane ySplit="5" topLeftCell="A6" activePane="bottomLeft" state="frozen"/>
      <selection pane="bottomLeft" activeCell="Q9" sqref="Q9"/>
    </sheetView>
  </sheetViews>
  <sheetFormatPr defaultRowHeight="15"/>
  <cols>
    <col min="1" max="1" width="8.42578125" customWidth="1"/>
    <col min="2" max="2" width="6" customWidth="1"/>
    <col min="3" max="3" width="3" customWidth="1"/>
    <col min="4" max="4" width="6" customWidth="1"/>
    <col min="5" max="5" width="3" customWidth="1"/>
    <col min="6" max="6" width="7.7109375" customWidth="1"/>
    <col min="7" max="7" width="3" customWidth="1"/>
    <col min="8" max="8" width="6" customWidth="1"/>
    <col min="9" max="9" width="8.140625" customWidth="1"/>
    <col min="10" max="12" width="11.28515625" customWidth="1"/>
    <col min="13" max="13" width="15.5703125" customWidth="1"/>
    <col min="14" max="14" width="19.140625" customWidth="1"/>
    <col min="15" max="15" width="27.7109375" customWidth="1"/>
    <col min="17" max="17" width="31.28515625" customWidth="1"/>
  </cols>
  <sheetData>
    <row r="1" spans="1:33" ht="16.5" customHeight="1">
      <c r="A1" s="223" t="s">
        <v>9</v>
      </c>
      <c r="B1" s="223"/>
      <c r="C1" s="223"/>
      <c r="D1" s="223"/>
      <c r="E1" s="223"/>
      <c r="F1" s="97"/>
      <c r="G1" s="223"/>
      <c r="H1" s="223"/>
      <c r="I1" s="223"/>
      <c r="J1" s="7"/>
      <c r="K1" s="96"/>
      <c r="L1" s="96"/>
      <c r="M1" s="1"/>
      <c r="N1" s="7"/>
      <c r="O1" s="122"/>
    </row>
    <row r="2" spans="1:33" ht="16.5" thickBot="1">
      <c r="A2" s="16"/>
      <c r="B2" s="16"/>
      <c r="C2" s="16"/>
      <c r="D2" s="16"/>
      <c r="E2" s="16"/>
      <c r="F2" s="109"/>
      <c r="G2" s="16"/>
      <c r="H2" s="16"/>
      <c r="I2" s="1251"/>
      <c r="J2" s="16"/>
      <c r="K2" s="108"/>
      <c r="L2" s="108"/>
      <c r="M2" s="175"/>
      <c r="N2" s="7"/>
      <c r="O2" s="116"/>
    </row>
    <row r="3" spans="1:33" s="74" customFormat="1" ht="69" customHeight="1">
      <c r="A3" s="2723" t="s">
        <v>8</v>
      </c>
      <c r="B3" s="2724"/>
      <c r="C3" s="2724"/>
      <c r="D3" s="2724"/>
      <c r="E3" s="2724"/>
      <c r="F3" s="2724"/>
      <c r="G3" s="2724"/>
      <c r="H3" s="2724"/>
      <c r="I3" s="2725"/>
      <c r="J3" s="2732" t="s">
        <v>97</v>
      </c>
      <c r="K3" s="2733"/>
      <c r="L3" s="2733"/>
      <c r="M3" s="2734"/>
      <c r="N3" s="2738" t="s">
        <v>96</v>
      </c>
      <c r="O3" s="2741" t="s">
        <v>179</v>
      </c>
    </row>
    <row r="4" spans="1:33" s="74" customFormat="1" ht="72.75" customHeight="1" thickBot="1">
      <c r="A4" s="2726"/>
      <c r="B4" s="2727"/>
      <c r="C4" s="2727"/>
      <c r="D4" s="2727"/>
      <c r="E4" s="2727"/>
      <c r="F4" s="2727"/>
      <c r="G4" s="2727"/>
      <c r="H4" s="2727"/>
      <c r="I4" s="2728"/>
      <c r="J4" s="2735"/>
      <c r="K4" s="2736"/>
      <c r="L4" s="2736"/>
      <c r="M4" s="2737"/>
      <c r="N4" s="2739"/>
      <c r="O4" s="2742"/>
    </row>
    <row r="5" spans="1:33" s="74" customFormat="1" ht="61.5" customHeight="1" thickBot="1">
      <c r="A5" s="2729"/>
      <c r="B5" s="2730"/>
      <c r="C5" s="2730"/>
      <c r="D5" s="2730"/>
      <c r="E5" s="2730"/>
      <c r="F5" s="2730"/>
      <c r="G5" s="2730"/>
      <c r="H5" s="2730"/>
      <c r="I5" s="2731"/>
      <c r="J5" s="288" t="s">
        <v>0</v>
      </c>
      <c r="K5" s="290" t="s">
        <v>1</v>
      </c>
      <c r="L5" s="290" t="s">
        <v>2</v>
      </c>
      <c r="M5" s="291" t="s">
        <v>94</v>
      </c>
      <c r="N5" s="2740"/>
      <c r="O5" s="298" t="s">
        <v>169</v>
      </c>
    </row>
    <row r="6" spans="1:33" ht="19.5" thickBot="1">
      <c r="A6" s="2595" t="s">
        <v>525</v>
      </c>
      <c r="B6" s="2596"/>
      <c r="C6" s="2596"/>
      <c r="D6" s="2596"/>
      <c r="E6" s="2596"/>
      <c r="F6" s="2596"/>
      <c r="G6" s="2596"/>
      <c r="H6" s="2596"/>
      <c r="I6" s="2596"/>
      <c r="J6" s="2596"/>
      <c r="K6" s="2596"/>
      <c r="L6" s="2596"/>
      <c r="M6" s="2596"/>
      <c r="N6" s="2596"/>
      <c r="O6" s="2597"/>
    </row>
    <row r="7" spans="1:33" ht="19.5" thickBot="1">
      <c r="A7" s="2580" t="s">
        <v>458</v>
      </c>
      <c r="B7" s="2581"/>
      <c r="C7" s="2581"/>
      <c r="D7" s="2581"/>
      <c r="E7" s="2581"/>
      <c r="F7" s="2581"/>
      <c r="G7" s="2581"/>
      <c r="H7" s="2581"/>
      <c r="I7" s="2581"/>
      <c r="J7" s="2581"/>
      <c r="K7" s="2581"/>
      <c r="L7" s="2581"/>
      <c r="M7" s="2581"/>
      <c r="N7" s="2581"/>
      <c r="O7" s="2582"/>
    </row>
    <row r="8" spans="1:33" ht="16.5" thickBot="1">
      <c r="A8" s="2583" t="s">
        <v>135</v>
      </c>
      <c r="B8" s="2584"/>
      <c r="C8" s="2584"/>
      <c r="D8" s="2584"/>
      <c r="E8" s="2584"/>
      <c r="F8" s="2584"/>
      <c r="G8" s="2584"/>
      <c r="H8" s="2584"/>
      <c r="I8" s="2584"/>
      <c r="J8" s="2584"/>
      <c r="K8" s="2584"/>
      <c r="L8" s="2584"/>
      <c r="M8" s="2584"/>
      <c r="N8" s="2584"/>
      <c r="O8" s="2585"/>
      <c r="Q8" s="74"/>
    </row>
    <row r="9" spans="1:33" ht="16.5" thickBot="1">
      <c r="A9" s="230" t="s">
        <v>144</v>
      </c>
      <c r="B9" s="231">
        <v>90</v>
      </c>
      <c r="C9" s="231" t="s">
        <v>3</v>
      </c>
      <c r="D9" s="231">
        <v>335</v>
      </c>
      <c r="E9" s="231" t="s">
        <v>3</v>
      </c>
      <c r="F9" s="232">
        <v>500</v>
      </c>
      <c r="G9" s="231" t="s">
        <v>3</v>
      </c>
      <c r="H9" s="231">
        <v>4</v>
      </c>
      <c r="I9" s="233" t="s">
        <v>581</v>
      </c>
      <c r="J9" s="234">
        <v>90</v>
      </c>
      <c r="K9" s="235">
        <v>335</v>
      </c>
      <c r="L9" s="235">
        <v>500</v>
      </c>
      <c r="M9" s="236">
        <v>5.12</v>
      </c>
      <c r="N9" s="237">
        <v>274.3</v>
      </c>
      <c r="O9" s="238">
        <v>27275.510432596733</v>
      </c>
      <c r="Q9" s="7" t="s">
        <v>7719</v>
      </c>
    </row>
    <row r="10" spans="1:33" s="74" customFormat="1">
      <c r="A10" s="221"/>
      <c r="B10" s="221"/>
      <c r="C10" s="221"/>
      <c r="D10" s="221"/>
      <c r="E10" s="221"/>
      <c r="F10" s="221"/>
      <c r="G10" s="221"/>
      <c r="H10" s="221"/>
      <c r="I10" s="221"/>
      <c r="J10" s="221"/>
      <c r="K10" s="221"/>
      <c r="L10" s="221"/>
      <c r="M10" s="221"/>
      <c r="N10" s="221"/>
      <c r="O10" s="221"/>
      <c r="P10" s="980"/>
      <c r="Q10" s="980"/>
      <c r="R10" s="980"/>
      <c r="S10" s="980"/>
      <c r="T10" s="980"/>
      <c r="U10" s="980"/>
      <c r="V10" s="980"/>
      <c r="W10" s="980"/>
      <c r="X10" s="980"/>
      <c r="Y10" s="980"/>
      <c r="Z10" s="980"/>
      <c r="AA10" s="980"/>
      <c r="AB10" s="980"/>
      <c r="AC10" s="980"/>
      <c r="AD10" s="980"/>
      <c r="AE10" s="980"/>
      <c r="AF10" s="980"/>
      <c r="AG10" s="980"/>
    </row>
    <row r="11" spans="1:33" s="74" customFormat="1">
      <c r="A11" s="221"/>
      <c r="B11" s="221"/>
      <c r="C11" s="221"/>
      <c r="D11" s="221"/>
      <c r="E11" s="221"/>
      <c r="F11" s="221"/>
      <c r="G11" s="221"/>
      <c r="H11" s="221"/>
      <c r="I11" s="221"/>
      <c r="J11" s="221"/>
      <c r="K11" s="221"/>
      <c r="L11" s="221"/>
      <c r="M11" s="221"/>
      <c r="N11" s="221"/>
      <c r="O11" s="221"/>
      <c r="P11" s="980"/>
      <c r="Q11" s="980"/>
      <c r="R11" s="980"/>
      <c r="S11" s="980"/>
      <c r="T11" s="980"/>
      <c r="U11" s="980"/>
      <c r="V11" s="980"/>
      <c r="W11" s="980"/>
      <c r="X11" s="980"/>
      <c r="Y11" s="980"/>
      <c r="Z11" s="980"/>
      <c r="AA11" s="980"/>
      <c r="AB11" s="980"/>
      <c r="AC11" s="980"/>
      <c r="AD11" s="980"/>
      <c r="AE11" s="980"/>
      <c r="AF11" s="980"/>
      <c r="AG11" s="980"/>
    </row>
    <row r="12" spans="1:33" s="74" customFormat="1">
      <c r="A12" s="221"/>
      <c r="B12" s="221"/>
      <c r="C12" s="221"/>
      <c r="D12" s="221"/>
      <c r="E12" s="221"/>
      <c r="F12" s="221"/>
      <c r="G12" s="221"/>
      <c r="H12" s="221"/>
      <c r="I12" s="221"/>
      <c r="J12" s="221"/>
      <c r="K12" s="221"/>
      <c r="L12" s="221"/>
      <c r="M12" s="221"/>
      <c r="N12" s="221"/>
      <c r="O12" s="221"/>
      <c r="P12" s="980"/>
      <c r="Q12" s="980"/>
      <c r="R12" s="980"/>
      <c r="S12" s="980"/>
      <c r="T12" s="980"/>
      <c r="U12" s="980"/>
      <c r="V12" s="980"/>
      <c r="W12" s="980"/>
      <c r="X12" s="980"/>
      <c r="Y12" s="980"/>
      <c r="Z12" s="980"/>
      <c r="AA12" s="980"/>
      <c r="AB12" s="980"/>
      <c r="AC12" s="980"/>
      <c r="AD12" s="980"/>
      <c r="AE12" s="980"/>
      <c r="AF12" s="980"/>
      <c r="AG12" s="980"/>
    </row>
    <row r="13" spans="1:33" s="74" customFormat="1" ht="15.75">
      <c r="A13" s="1012"/>
      <c r="B13" s="1012"/>
      <c r="C13" s="1012"/>
      <c r="D13" s="1012"/>
      <c r="E13" s="1012"/>
      <c r="F13" s="1013"/>
      <c r="G13" s="1012"/>
      <c r="H13" s="1012"/>
      <c r="I13" s="1012"/>
      <c r="J13" s="1012"/>
      <c r="K13" s="1013"/>
      <c r="L13" s="1013"/>
      <c r="M13" s="974"/>
      <c r="N13" s="1012"/>
      <c r="O13" s="1014"/>
      <c r="P13" s="980"/>
      <c r="Q13" s="980"/>
      <c r="R13" s="980"/>
      <c r="S13" s="980"/>
      <c r="T13" s="980"/>
      <c r="U13" s="980"/>
      <c r="V13" s="980"/>
      <c r="W13" s="980"/>
      <c r="X13" s="980"/>
      <c r="Y13" s="980"/>
      <c r="Z13" s="980"/>
      <c r="AA13" s="980"/>
      <c r="AB13" s="980"/>
      <c r="AC13" s="980"/>
      <c r="AD13" s="980"/>
      <c r="AE13" s="980"/>
      <c r="AF13" s="980"/>
      <c r="AG13" s="980"/>
    </row>
    <row r="14" spans="1:33" s="74" customFormat="1" ht="15.75">
      <c r="A14" s="1012"/>
      <c r="B14" s="1012"/>
      <c r="C14" s="1012"/>
      <c r="D14" s="1012"/>
      <c r="E14" s="1012"/>
      <c r="F14" s="1013"/>
      <c r="G14" s="1012"/>
      <c r="H14" s="1012"/>
      <c r="I14" s="1012"/>
      <c r="J14" s="1012"/>
      <c r="K14" s="1013"/>
      <c r="L14" s="1013"/>
      <c r="M14" s="974"/>
      <c r="N14" s="1012"/>
      <c r="O14" s="1014"/>
      <c r="P14" s="980"/>
      <c r="Q14" s="980"/>
      <c r="R14" s="980"/>
      <c r="S14" s="980"/>
      <c r="T14" s="980"/>
      <c r="U14" s="980"/>
      <c r="V14" s="980"/>
      <c r="W14" s="980"/>
      <c r="X14" s="980"/>
      <c r="Y14" s="980"/>
      <c r="Z14" s="980"/>
      <c r="AA14" s="980"/>
      <c r="AB14" s="980"/>
      <c r="AC14" s="980"/>
      <c r="AD14" s="980"/>
      <c r="AE14" s="980"/>
      <c r="AF14" s="980"/>
      <c r="AG14" s="980"/>
    </row>
    <row r="15" spans="1:33" s="74" customFormat="1" ht="15.75">
      <c r="A15" s="1012"/>
      <c r="B15" s="1012"/>
      <c r="C15" s="1012"/>
      <c r="D15" s="1012"/>
      <c r="E15" s="1012"/>
      <c r="F15" s="1013"/>
      <c r="G15" s="1012"/>
      <c r="H15" s="1012"/>
      <c r="I15" s="1012"/>
      <c r="J15" s="1012"/>
      <c r="K15" s="1013"/>
      <c r="L15" s="1013"/>
      <c r="M15" s="974"/>
      <c r="N15" s="1012"/>
      <c r="O15" s="1014"/>
      <c r="P15" s="980"/>
      <c r="Q15" s="980"/>
      <c r="R15" s="980"/>
      <c r="S15" s="980"/>
      <c r="T15" s="980"/>
      <c r="U15" s="980"/>
      <c r="V15" s="980"/>
      <c r="W15" s="980"/>
      <c r="X15" s="980"/>
      <c r="Y15" s="980"/>
      <c r="Z15" s="980"/>
      <c r="AA15" s="980"/>
      <c r="AB15" s="980"/>
      <c r="AC15" s="980"/>
      <c r="AD15" s="980"/>
      <c r="AE15" s="980"/>
      <c r="AF15" s="980"/>
      <c r="AG15" s="980"/>
    </row>
    <row r="16" spans="1:33" s="74" customFormat="1">
      <c r="A16" s="980"/>
      <c r="B16" s="980"/>
      <c r="C16" s="980"/>
      <c r="D16" s="980"/>
      <c r="E16" s="980"/>
      <c r="F16" s="980"/>
      <c r="G16" s="980"/>
      <c r="H16" s="980"/>
      <c r="I16" s="980"/>
      <c r="J16" s="980"/>
      <c r="K16" s="980"/>
      <c r="L16" s="980"/>
      <c r="M16" s="980"/>
      <c r="N16" s="980"/>
      <c r="O16" s="980"/>
      <c r="P16" s="980"/>
      <c r="Q16" s="980"/>
      <c r="R16" s="980"/>
      <c r="S16" s="980"/>
      <c r="T16" s="980"/>
      <c r="U16" s="980"/>
      <c r="V16" s="980"/>
      <c r="W16" s="980"/>
      <c r="X16" s="980"/>
      <c r="Y16" s="980"/>
      <c r="Z16" s="980"/>
      <c r="AA16" s="980"/>
      <c r="AB16" s="980"/>
      <c r="AC16" s="980"/>
      <c r="AD16" s="980"/>
      <c r="AE16" s="980"/>
      <c r="AF16" s="980"/>
      <c r="AG16" s="980"/>
    </row>
    <row r="17" spans="1:33" s="74" customFormat="1">
      <c r="A17" s="980"/>
      <c r="B17" s="980"/>
      <c r="C17" s="980"/>
      <c r="D17" s="980"/>
      <c r="E17" s="980"/>
      <c r="F17" s="980"/>
      <c r="G17" s="980"/>
      <c r="H17" s="980"/>
      <c r="I17" s="980"/>
      <c r="J17" s="980"/>
      <c r="K17" s="980"/>
      <c r="L17" s="980"/>
      <c r="M17" s="980"/>
      <c r="N17" s="980"/>
      <c r="O17" s="980"/>
      <c r="P17" s="980"/>
      <c r="Q17" s="980"/>
      <c r="R17" s="980"/>
      <c r="S17" s="980"/>
      <c r="T17" s="980"/>
      <c r="U17" s="980"/>
      <c r="V17" s="980"/>
      <c r="W17" s="980"/>
      <c r="X17" s="980"/>
      <c r="Y17" s="980"/>
      <c r="Z17" s="980"/>
      <c r="AA17" s="980"/>
      <c r="AB17" s="980"/>
      <c r="AC17" s="980"/>
      <c r="AD17" s="980"/>
      <c r="AE17" s="980"/>
      <c r="AF17" s="980"/>
      <c r="AG17" s="980"/>
    </row>
    <row r="18" spans="1:33" s="74" customFormat="1">
      <c r="A18" s="980"/>
      <c r="B18" s="980"/>
      <c r="C18" s="980"/>
      <c r="D18" s="980"/>
      <c r="E18" s="980"/>
      <c r="F18" s="980"/>
      <c r="G18" s="980"/>
      <c r="H18" s="980"/>
      <c r="I18" s="980"/>
      <c r="J18" s="980"/>
      <c r="K18" s="980"/>
      <c r="L18" s="980"/>
      <c r="M18" s="980"/>
      <c r="N18" s="980"/>
      <c r="O18" s="980"/>
      <c r="P18" s="980"/>
      <c r="Q18" s="980"/>
      <c r="R18" s="980"/>
      <c r="S18" s="980"/>
      <c r="T18" s="980"/>
      <c r="U18" s="980"/>
      <c r="V18" s="980"/>
      <c r="W18" s="980"/>
      <c r="X18" s="980"/>
      <c r="Y18" s="980"/>
      <c r="Z18" s="980"/>
      <c r="AA18" s="980"/>
      <c r="AB18" s="980"/>
      <c r="AC18" s="980"/>
      <c r="AD18" s="980"/>
      <c r="AE18" s="980"/>
      <c r="AF18" s="980"/>
      <c r="AG18" s="980"/>
    </row>
    <row r="19" spans="1:33" s="74" customFormat="1">
      <c r="A19" s="980"/>
      <c r="B19" s="980"/>
      <c r="C19" s="980"/>
      <c r="D19" s="980"/>
      <c r="E19" s="980"/>
      <c r="F19" s="980"/>
      <c r="G19" s="980"/>
      <c r="H19" s="980"/>
      <c r="I19" s="980"/>
      <c r="J19" s="980"/>
      <c r="K19" s="980"/>
      <c r="L19" s="980"/>
      <c r="M19" s="980"/>
      <c r="N19" s="980"/>
      <c r="O19" s="980"/>
      <c r="P19" s="980"/>
      <c r="Q19" s="980"/>
      <c r="R19" s="980"/>
      <c r="S19" s="980"/>
      <c r="T19" s="980"/>
      <c r="U19" s="980"/>
      <c r="V19" s="980"/>
      <c r="W19" s="980"/>
      <c r="X19" s="980"/>
      <c r="Y19" s="980"/>
      <c r="Z19" s="980"/>
      <c r="AA19" s="980"/>
      <c r="AB19" s="980"/>
      <c r="AC19" s="980"/>
      <c r="AD19" s="980"/>
      <c r="AE19" s="980"/>
      <c r="AF19" s="980"/>
      <c r="AG19" s="980"/>
    </row>
    <row r="20" spans="1:33" s="74" customFormat="1">
      <c r="A20" s="980"/>
      <c r="B20" s="980"/>
      <c r="C20" s="980"/>
      <c r="D20" s="980"/>
      <c r="E20" s="980"/>
      <c r="F20" s="980"/>
      <c r="G20" s="980"/>
      <c r="H20" s="980"/>
      <c r="I20" s="980"/>
      <c r="J20" s="980"/>
      <c r="K20" s="980"/>
      <c r="L20" s="980"/>
      <c r="M20" s="980"/>
      <c r="N20" s="980"/>
      <c r="O20" s="980"/>
      <c r="P20" s="980"/>
      <c r="Q20" s="980"/>
      <c r="R20" s="980"/>
      <c r="S20" s="980"/>
      <c r="T20" s="980"/>
      <c r="U20" s="980"/>
      <c r="V20" s="980"/>
      <c r="W20" s="980"/>
      <c r="X20" s="980"/>
      <c r="Y20" s="980"/>
      <c r="Z20" s="980"/>
      <c r="AA20" s="980"/>
      <c r="AB20" s="980"/>
      <c r="AC20" s="980"/>
      <c r="AD20" s="980"/>
      <c r="AE20" s="980"/>
      <c r="AF20" s="980"/>
      <c r="AG20" s="980"/>
    </row>
    <row r="21" spans="1:33" s="74" customFormat="1">
      <c r="A21" s="980"/>
      <c r="B21" s="980"/>
      <c r="C21" s="980"/>
      <c r="D21" s="980"/>
      <c r="E21" s="980"/>
      <c r="F21" s="980"/>
      <c r="G21" s="980"/>
      <c r="H21" s="980"/>
      <c r="I21" s="980"/>
      <c r="J21" s="980"/>
      <c r="K21" s="980"/>
      <c r="L21" s="980"/>
      <c r="M21" s="980"/>
      <c r="N21" s="980"/>
      <c r="O21" s="980"/>
      <c r="P21" s="980"/>
      <c r="Q21" s="980"/>
      <c r="R21" s="980"/>
      <c r="S21" s="980"/>
      <c r="T21" s="980"/>
      <c r="U21" s="980"/>
      <c r="V21" s="980"/>
      <c r="W21" s="980"/>
      <c r="X21" s="980"/>
      <c r="Y21" s="980"/>
      <c r="Z21" s="980"/>
      <c r="AA21" s="980"/>
      <c r="AB21" s="980"/>
      <c r="AC21" s="980"/>
      <c r="AD21" s="980"/>
      <c r="AE21" s="980"/>
      <c r="AF21" s="980"/>
      <c r="AG21" s="980"/>
    </row>
    <row r="22" spans="1:33" s="74" customFormat="1">
      <c r="A22" s="980"/>
      <c r="B22" s="980"/>
      <c r="C22" s="980"/>
      <c r="D22" s="980"/>
      <c r="E22" s="980"/>
      <c r="F22" s="980"/>
      <c r="G22" s="980"/>
      <c r="H22" s="980"/>
      <c r="I22" s="980"/>
      <c r="J22" s="980"/>
      <c r="K22" s="980"/>
      <c r="L22" s="980"/>
      <c r="M22" s="980"/>
      <c r="N22" s="980"/>
      <c r="O22" s="980"/>
      <c r="P22" s="980"/>
      <c r="Q22" s="980"/>
      <c r="R22" s="980"/>
      <c r="S22" s="980"/>
      <c r="T22" s="980"/>
      <c r="U22" s="980"/>
      <c r="V22" s="980"/>
      <c r="W22" s="980"/>
      <c r="X22" s="980"/>
      <c r="Y22" s="980"/>
      <c r="Z22" s="980"/>
      <c r="AA22" s="980"/>
      <c r="AB22" s="980"/>
      <c r="AC22" s="980"/>
      <c r="AD22" s="980"/>
      <c r="AE22" s="980"/>
      <c r="AF22" s="980"/>
      <c r="AG22" s="980"/>
    </row>
    <row r="23" spans="1:33" s="74" customFormat="1">
      <c r="A23" s="980"/>
      <c r="B23" s="980"/>
      <c r="C23" s="980"/>
      <c r="D23" s="980"/>
      <c r="E23" s="980"/>
      <c r="F23" s="980"/>
      <c r="G23" s="980"/>
      <c r="H23" s="980"/>
      <c r="I23" s="980"/>
      <c r="J23" s="980"/>
      <c r="K23" s="980"/>
      <c r="L23" s="980"/>
      <c r="M23" s="980"/>
      <c r="N23" s="980"/>
      <c r="O23" s="980"/>
      <c r="P23" s="980"/>
      <c r="Q23" s="980"/>
      <c r="R23" s="980"/>
      <c r="S23" s="980"/>
      <c r="T23" s="980"/>
      <c r="U23" s="980"/>
      <c r="V23" s="980"/>
      <c r="W23" s="980"/>
      <c r="X23" s="980"/>
      <c r="Y23" s="980"/>
      <c r="Z23" s="980"/>
      <c r="AA23" s="980"/>
      <c r="AB23" s="980"/>
      <c r="AC23" s="980"/>
      <c r="AD23" s="980"/>
      <c r="AE23" s="980"/>
      <c r="AF23" s="980"/>
      <c r="AG23" s="980"/>
    </row>
    <row r="24" spans="1:33" s="74" customFormat="1">
      <c r="A24" s="980"/>
      <c r="B24" s="980"/>
      <c r="C24" s="980"/>
      <c r="D24" s="980"/>
      <c r="E24" s="980"/>
      <c r="F24" s="980"/>
      <c r="G24" s="980"/>
      <c r="H24" s="980"/>
      <c r="I24" s="980"/>
      <c r="J24" s="980"/>
      <c r="K24" s="980"/>
      <c r="L24" s="980"/>
      <c r="M24" s="980"/>
      <c r="N24" s="980"/>
      <c r="O24" s="980"/>
      <c r="P24" s="980"/>
      <c r="Q24" s="980"/>
      <c r="R24" s="980"/>
      <c r="S24" s="980"/>
      <c r="T24" s="980"/>
      <c r="U24" s="980"/>
      <c r="V24" s="980"/>
      <c r="W24" s="980"/>
      <c r="X24" s="980"/>
      <c r="Y24" s="980"/>
      <c r="Z24" s="980"/>
      <c r="AA24" s="980"/>
      <c r="AB24" s="980"/>
      <c r="AC24" s="980"/>
      <c r="AD24" s="980"/>
      <c r="AE24" s="980"/>
      <c r="AF24" s="980"/>
      <c r="AG24" s="980"/>
    </row>
    <row r="25" spans="1:33" s="74" customFormat="1">
      <c r="A25" s="980"/>
      <c r="B25" s="980"/>
      <c r="C25" s="980"/>
      <c r="D25" s="980"/>
      <c r="E25" s="980"/>
      <c r="F25" s="980"/>
      <c r="G25" s="980"/>
      <c r="H25" s="980"/>
      <c r="I25" s="980"/>
      <c r="J25" s="980"/>
      <c r="K25" s="980"/>
      <c r="L25" s="980"/>
      <c r="M25" s="980"/>
      <c r="N25" s="980"/>
      <c r="O25" s="980"/>
      <c r="P25" s="980"/>
      <c r="Q25" s="980"/>
      <c r="R25" s="980"/>
      <c r="S25" s="980"/>
      <c r="T25" s="980"/>
      <c r="U25" s="980"/>
      <c r="V25" s="980"/>
      <c r="W25" s="980"/>
      <c r="X25" s="980"/>
      <c r="Y25" s="980"/>
      <c r="Z25" s="980"/>
      <c r="AA25" s="980"/>
      <c r="AB25" s="980"/>
      <c r="AC25" s="980"/>
      <c r="AD25" s="980"/>
      <c r="AE25" s="980"/>
      <c r="AF25" s="980"/>
      <c r="AG25" s="980"/>
    </row>
    <row r="26" spans="1:33" s="74" customFormat="1">
      <c r="A26" s="980"/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</row>
    <row r="27" spans="1:33" s="74" customFormat="1">
      <c r="A27" s="980"/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</row>
    <row r="28" spans="1:33" s="74" customFormat="1">
      <c r="A28" s="980"/>
      <c r="B28" s="980"/>
      <c r="C28" s="980"/>
      <c r="D28" s="980"/>
      <c r="E28" s="980"/>
      <c r="F28" s="980"/>
      <c r="G28" s="980"/>
      <c r="H28" s="980"/>
      <c r="I28" s="980"/>
      <c r="J28" s="980"/>
      <c r="K28" s="980"/>
      <c r="L28" s="980"/>
      <c r="M28" s="980"/>
      <c r="N28" s="980"/>
      <c r="O28" s="980"/>
      <c r="P28" s="980"/>
      <c r="Q28" s="980"/>
      <c r="R28" s="980"/>
      <c r="S28" s="980"/>
      <c r="T28" s="980"/>
      <c r="U28" s="980"/>
      <c r="V28" s="980"/>
      <c r="W28" s="980"/>
      <c r="X28" s="980"/>
      <c r="Y28" s="980"/>
      <c r="Z28" s="980"/>
      <c r="AA28" s="980"/>
      <c r="AB28" s="980"/>
      <c r="AC28" s="980"/>
      <c r="AD28" s="980"/>
      <c r="AE28" s="980"/>
      <c r="AF28" s="980"/>
      <c r="AG28" s="980"/>
    </row>
    <row r="29" spans="1:33" s="74" customFormat="1">
      <c r="A29" s="980"/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</row>
    <row r="30" spans="1:33" s="74" customFormat="1">
      <c r="A30" s="980"/>
      <c r="B30" s="980"/>
      <c r="C30" s="980"/>
      <c r="D30" s="980"/>
      <c r="E30" s="980"/>
      <c r="F30" s="980"/>
      <c r="G30" s="980"/>
      <c r="H30" s="980"/>
      <c r="I30" s="980"/>
      <c r="J30" s="980"/>
      <c r="K30" s="980"/>
      <c r="L30" s="980"/>
      <c r="M30" s="980"/>
      <c r="N30" s="980"/>
      <c r="O30" s="980"/>
      <c r="P30" s="980"/>
      <c r="Q30" s="980"/>
      <c r="R30" s="980"/>
      <c r="S30" s="980"/>
      <c r="T30" s="980"/>
      <c r="U30" s="980"/>
      <c r="V30" s="980"/>
      <c r="W30" s="980"/>
      <c r="X30" s="980"/>
      <c r="Y30" s="980"/>
      <c r="Z30" s="980"/>
      <c r="AA30" s="980"/>
      <c r="AB30" s="980"/>
      <c r="AC30" s="980"/>
      <c r="AD30" s="980"/>
      <c r="AE30" s="980"/>
      <c r="AF30" s="980"/>
      <c r="AG30" s="980"/>
    </row>
    <row r="31" spans="1:33" s="74" customFormat="1">
      <c r="A31" s="980"/>
      <c r="B31" s="980"/>
      <c r="C31" s="980"/>
      <c r="D31" s="980"/>
      <c r="E31" s="980"/>
      <c r="F31" s="980"/>
      <c r="G31" s="980"/>
      <c r="H31" s="980"/>
      <c r="I31" s="980"/>
      <c r="J31" s="980"/>
      <c r="K31" s="980"/>
      <c r="L31" s="980"/>
      <c r="M31" s="980"/>
      <c r="N31" s="980"/>
      <c r="O31" s="980"/>
      <c r="P31" s="980"/>
      <c r="Q31" s="980"/>
      <c r="R31" s="980"/>
      <c r="S31" s="980"/>
      <c r="T31" s="980"/>
      <c r="U31" s="980"/>
      <c r="V31" s="980"/>
      <c r="W31" s="980"/>
      <c r="X31" s="980"/>
      <c r="Y31" s="980"/>
      <c r="Z31" s="980"/>
      <c r="AA31" s="980"/>
      <c r="AB31" s="980"/>
      <c r="AC31" s="980"/>
      <c r="AD31" s="980"/>
      <c r="AE31" s="980"/>
      <c r="AF31" s="980"/>
      <c r="AG31" s="980"/>
    </row>
    <row r="32" spans="1:33" s="74" customFormat="1">
      <c r="A32" s="980"/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</row>
    <row r="33" spans="1:33" s="74" customFormat="1">
      <c r="A33" s="980"/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</row>
    <row r="34" spans="1:33" s="74" customFormat="1">
      <c r="A34" s="980"/>
      <c r="B34" s="980"/>
      <c r="C34" s="980"/>
      <c r="D34" s="980"/>
      <c r="E34" s="980"/>
      <c r="F34" s="980"/>
      <c r="G34" s="980"/>
      <c r="H34" s="980"/>
      <c r="I34" s="980"/>
      <c r="J34" s="980"/>
      <c r="K34" s="980"/>
      <c r="L34" s="980"/>
      <c r="M34" s="980"/>
      <c r="N34" s="980"/>
      <c r="O34" s="980"/>
      <c r="P34" s="980"/>
      <c r="Q34" s="980"/>
      <c r="R34" s="980"/>
      <c r="S34" s="980"/>
      <c r="T34" s="980"/>
      <c r="U34" s="980"/>
      <c r="V34" s="980"/>
      <c r="W34" s="980"/>
      <c r="X34" s="980"/>
      <c r="Y34" s="980"/>
      <c r="Z34" s="980"/>
      <c r="AA34" s="980"/>
      <c r="AB34" s="980"/>
      <c r="AC34" s="980"/>
      <c r="AD34" s="980"/>
      <c r="AE34" s="980"/>
      <c r="AF34" s="980"/>
      <c r="AG34" s="980"/>
    </row>
    <row r="35" spans="1:33" s="74" customFormat="1">
      <c r="A35" s="980"/>
      <c r="B35" s="980"/>
      <c r="C35" s="980"/>
      <c r="D35" s="980"/>
      <c r="E35" s="980"/>
      <c r="F35" s="980"/>
      <c r="G35" s="980"/>
      <c r="H35" s="980"/>
      <c r="I35" s="980"/>
      <c r="J35" s="980"/>
      <c r="K35" s="980"/>
      <c r="L35" s="980"/>
      <c r="M35" s="980"/>
      <c r="N35" s="980"/>
      <c r="O35" s="980"/>
      <c r="P35" s="980"/>
      <c r="Q35" s="980"/>
      <c r="R35" s="980"/>
      <c r="S35" s="980"/>
      <c r="T35" s="980"/>
      <c r="U35" s="980"/>
      <c r="V35" s="980"/>
      <c r="W35" s="980"/>
      <c r="X35" s="980"/>
      <c r="Y35" s="980"/>
      <c r="Z35" s="980"/>
      <c r="AA35" s="980"/>
      <c r="AB35" s="980"/>
      <c r="AC35" s="980"/>
      <c r="AD35" s="980"/>
      <c r="AE35" s="980"/>
      <c r="AF35" s="980"/>
      <c r="AG35" s="980"/>
    </row>
    <row r="36" spans="1:33" s="74" customFormat="1">
      <c r="A36" s="980"/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</row>
    <row r="37" spans="1:33" s="74" customFormat="1">
      <c r="A37" s="980"/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</row>
    <row r="38" spans="1:33" s="74" customFormat="1">
      <c r="A38" s="980"/>
      <c r="B38" s="980"/>
      <c r="C38" s="980"/>
      <c r="D38" s="980"/>
      <c r="E38" s="980"/>
      <c r="F38" s="980"/>
      <c r="G38" s="980"/>
      <c r="H38" s="980"/>
      <c r="I38" s="980"/>
      <c r="J38" s="980"/>
      <c r="K38" s="980"/>
      <c r="L38" s="980"/>
      <c r="M38" s="980"/>
      <c r="N38" s="980"/>
      <c r="O38" s="980"/>
      <c r="P38" s="980"/>
      <c r="Q38" s="980"/>
      <c r="R38" s="980"/>
      <c r="S38" s="980"/>
      <c r="T38" s="980"/>
      <c r="U38" s="980"/>
      <c r="V38" s="980"/>
      <c r="W38" s="980"/>
      <c r="X38" s="980"/>
      <c r="Y38" s="980"/>
      <c r="Z38" s="980"/>
      <c r="AA38" s="980"/>
      <c r="AB38" s="980"/>
      <c r="AC38" s="980"/>
      <c r="AD38" s="980"/>
      <c r="AE38" s="980"/>
      <c r="AF38" s="980"/>
      <c r="AG38" s="980"/>
    </row>
    <row r="39" spans="1:33" s="74" customFormat="1">
      <c r="A39" s="980"/>
      <c r="B39" s="980"/>
      <c r="C39" s="980"/>
      <c r="D39" s="980"/>
      <c r="E39" s="980"/>
      <c r="F39" s="980"/>
      <c r="G39" s="980"/>
      <c r="H39" s="980"/>
      <c r="I39" s="980"/>
      <c r="J39" s="980"/>
      <c r="K39" s="980"/>
      <c r="L39" s="980"/>
      <c r="M39" s="980"/>
      <c r="N39" s="980"/>
      <c r="O39" s="980"/>
      <c r="P39" s="980"/>
      <c r="Q39" s="980"/>
      <c r="R39" s="980"/>
      <c r="S39" s="980"/>
      <c r="T39" s="980"/>
      <c r="U39" s="980"/>
      <c r="V39" s="980"/>
      <c r="W39" s="980"/>
      <c r="X39" s="980"/>
      <c r="Y39" s="980"/>
      <c r="Z39" s="980"/>
      <c r="AA39" s="980"/>
      <c r="AB39" s="980"/>
      <c r="AC39" s="980"/>
      <c r="AD39" s="980"/>
      <c r="AE39" s="980"/>
      <c r="AF39" s="980"/>
      <c r="AG39" s="980"/>
    </row>
    <row r="40" spans="1:33" s="74" customFormat="1">
      <c r="A40" s="980"/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</row>
    <row r="41" spans="1:33" s="74" customFormat="1">
      <c r="A41" s="980"/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</row>
    <row r="42" spans="1:33" s="74" customFormat="1">
      <c r="A42" s="980"/>
      <c r="B42" s="980"/>
      <c r="C42" s="980"/>
      <c r="D42" s="980"/>
      <c r="E42" s="980"/>
      <c r="F42" s="980"/>
      <c r="G42" s="980"/>
      <c r="H42" s="980"/>
      <c r="I42" s="980"/>
      <c r="J42" s="980"/>
      <c r="K42" s="980"/>
      <c r="L42" s="980"/>
      <c r="M42" s="980"/>
      <c r="N42" s="980"/>
      <c r="O42" s="980"/>
      <c r="P42" s="980"/>
      <c r="Q42" s="980"/>
      <c r="R42" s="980"/>
      <c r="S42" s="980"/>
      <c r="T42" s="980"/>
      <c r="U42" s="980"/>
      <c r="V42" s="980"/>
      <c r="W42" s="980"/>
      <c r="X42" s="980"/>
      <c r="Y42" s="980"/>
      <c r="Z42" s="980"/>
      <c r="AA42" s="980"/>
      <c r="AB42" s="980"/>
      <c r="AC42" s="980"/>
      <c r="AD42" s="980"/>
      <c r="AE42" s="980"/>
      <c r="AF42" s="980"/>
      <c r="AG42" s="980"/>
    </row>
    <row r="43" spans="1:33" s="74" customFormat="1">
      <c r="A43" s="980"/>
      <c r="B43" s="980"/>
      <c r="C43" s="980"/>
      <c r="D43" s="980"/>
      <c r="E43" s="980"/>
      <c r="F43" s="980"/>
      <c r="G43" s="980"/>
      <c r="H43" s="980"/>
      <c r="I43" s="980"/>
      <c r="J43" s="980"/>
      <c r="K43" s="980"/>
      <c r="L43" s="980"/>
      <c r="M43" s="980"/>
      <c r="N43" s="980"/>
      <c r="O43" s="980"/>
      <c r="P43" s="980"/>
      <c r="Q43" s="980"/>
      <c r="R43" s="980"/>
      <c r="S43" s="980"/>
      <c r="T43" s="980"/>
      <c r="U43" s="980"/>
      <c r="V43" s="980"/>
      <c r="W43" s="980"/>
      <c r="X43" s="980"/>
      <c r="Y43" s="980"/>
      <c r="Z43" s="980"/>
      <c r="AA43" s="980"/>
      <c r="AB43" s="980"/>
      <c r="AC43" s="980"/>
      <c r="AD43" s="980"/>
      <c r="AE43" s="980"/>
      <c r="AF43" s="980"/>
      <c r="AG43" s="980"/>
    </row>
    <row r="44" spans="1:33" s="74" customFormat="1">
      <c r="A44" s="980"/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</row>
    <row r="45" spans="1:33" s="74" customFormat="1">
      <c r="A45" s="980"/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</row>
    <row r="46" spans="1:33" s="74" customFormat="1">
      <c r="A46" s="980"/>
      <c r="B46" s="980"/>
      <c r="C46" s="980"/>
      <c r="D46" s="980"/>
      <c r="E46" s="980"/>
      <c r="F46" s="980"/>
      <c r="G46" s="980"/>
      <c r="H46" s="980"/>
      <c r="I46" s="980"/>
      <c r="J46" s="980"/>
      <c r="K46" s="980"/>
      <c r="L46" s="980"/>
      <c r="M46" s="980"/>
      <c r="N46" s="980"/>
      <c r="O46" s="980"/>
      <c r="P46" s="980"/>
      <c r="Q46" s="980"/>
      <c r="R46" s="980"/>
      <c r="S46" s="980"/>
      <c r="T46" s="980"/>
      <c r="U46" s="980"/>
      <c r="V46" s="980"/>
      <c r="W46" s="980"/>
      <c r="X46" s="980"/>
      <c r="Y46" s="980"/>
      <c r="Z46" s="980"/>
      <c r="AA46" s="980"/>
      <c r="AB46" s="980"/>
      <c r="AC46" s="980"/>
      <c r="AD46" s="980"/>
      <c r="AE46" s="980"/>
      <c r="AF46" s="980"/>
      <c r="AG46" s="980"/>
    </row>
    <row r="47" spans="1:33" s="74" customFormat="1">
      <c r="A47" s="980"/>
      <c r="B47" s="980"/>
      <c r="C47" s="980"/>
      <c r="D47" s="980"/>
      <c r="E47" s="980"/>
      <c r="F47" s="980"/>
      <c r="G47" s="980"/>
      <c r="H47" s="980"/>
      <c r="I47" s="980"/>
      <c r="J47" s="980"/>
      <c r="K47" s="980"/>
      <c r="L47" s="980"/>
      <c r="M47" s="980"/>
      <c r="N47" s="980"/>
      <c r="O47" s="980"/>
      <c r="P47" s="980"/>
      <c r="Q47" s="980"/>
      <c r="R47" s="980"/>
      <c r="S47" s="980"/>
      <c r="T47" s="980"/>
      <c r="U47" s="980"/>
      <c r="V47" s="980"/>
      <c r="W47" s="980"/>
      <c r="X47" s="980"/>
      <c r="Y47" s="980"/>
      <c r="Z47" s="980"/>
      <c r="AA47" s="980"/>
      <c r="AB47" s="980"/>
      <c r="AC47" s="980"/>
      <c r="AD47" s="980"/>
      <c r="AE47" s="980"/>
      <c r="AF47" s="980"/>
      <c r="AG47" s="980"/>
    </row>
    <row r="48" spans="1:33" s="74" customFormat="1">
      <c r="A48" s="980"/>
      <c r="B48" s="980"/>
      <c r="C48" s="980"/>
      <c r="D48" s="980"/>
      <c r="E48" s="980"/>
      <c r="F48" s="980"/>
      <c r="G48" s="980"/>
      <c r="H48" s="980"/>
      <c r="I48" s="980"/>
      <c r="J48" s="980"/>
      <c r="K48" s="980"/>
      <c r="L48" s="980"/>
      <c r="M48" s="980"/>
      <c r="N48" s="980"/>
      <c r="O48" s="980"/>
      <c r="P48" s="980"/>
      <c r="Q48" s="980"/>
      <c r="R48" s="980"/>
      <c r="S48" s="980"/>
      <c r="T48" s="980"/>
      <c r="U48" s="980"/>
      <c r="V48" s="980"/>
      <c r="W48" s="980"/>
      <c r="X48" s="980"/>
      <c r="Y48" s="980"/>
      <c r="Z48" s="980"/>
      <c r="AA48" s="980"/>
      <c r="AB48" s="980"/>
      <c r="AC48" s="980"/>
      <c r="AD48" s="980"/>
      <c r="AE48" s="980"/>
      <c r="AF48" s="980"/>
      <c r="AG48" s="980"/>
    </row>
    <row r="49" spans="1:33" s="74" customFormat="1">
      <c r="A49" s="980"/>
      <c r="B49" s="980"/>
      <c r="C49" s="980"/>
      <c r="D49" s="980"/>
      <c r="E49" s="980"/>
      <c r="F49" s="980"/>
      <c r="G49" s="980"/>
      <c r="H49" s="980"/>
      <c r="I49" s="980"/>
      <c r="J49" s="980"/>
      <c r="K49" s="980"/>
      <c r="L49" s="980"/>
      <c r="M49" s="980"/>
      <c r="N49" s="980"/>
      <c r="O49" s="980"/>
      <c r="P49" s="980"/>
      <c r="Q49" s="980"/>
      <c r="R49" s="980"/>
      <c r="S49" s="980"/>
      <c r="T49" s="980"/>
      <c r="U49" s="980"/>
      <c r="V49" s="980"/>
      <c r="W49" s="980"/>
      <c r="X49" s="980"/>
      <c r="Y49" s="980"/>
      <c r="Z49" s="980"/>
      <c r="AA49" s="980"/>
      <c r="AB49" s="980"/>
      <c r="AC49" s="980"/>
      <c r="AD49" s="980"/>
      <c r="AE49" s="980"/>
      <c r="AF49" s="980"/>
      <c r="AG49" s="980"/>
    </row>
    <row r="50" spans="1:33" s="74" customFormat="1">
      <c r="A50" s="980"/>
      <c r="B50" s="980"/>
      <c r="C50" s="980"/>
      <c r="D50" s="980"/>
      <c r="E50" s="980"/>
      <c r="F50" s="980"/>
      <c r="G50" s="980"/>
      <c r="H50" s="980"/>
      <c r="I50" s="980"/>
      <c r="J50" s="980"/>
      <c r="K50" s="980"/>
      <c r="L50" s="980"/>
      <c r="M50" s="980"/>
      <c r="N50" s="980"/>
      <c r="O50" s="980"/>
      <c r="P50" s="980"/>
      <c r="Q50" s="980"/>
      <c r="R50" s="980"/>
      <c r="S50" s="980"/>
      <c r="T50" s="980"/>
      <c r="U50" s="980"/>
      <c r="V50" s="980"/>
      <c r="W50" s="980"/>
      <c r="X50" s="980"/>
      <c r="Y50" s="980"/>
      <c r="Z50" s="980"/>
      <c r="AA50" s="980"/>
      <c r="AB50" s="980"/>
      <c r="AC50" s="980"/>
      <c r="AD50" s="980"/>
      <c r="AE50" s="980"/>
      <c r="AF50" s="980"/>
      <c r="AG50" s="980"/>
    </row>
    <row r="51" spans="1:33" s="74" customFormat="1">
      <c r="A51" s="980"/>
      <c r="B51" s="980"/>
      <c r="C51" s="980"/>
      <c r="D51" s="980"/>
      <c r="E51" s="980"/>
      <c r="F51" s="980"/>
      <c r="G51" s="980"/>
      <c r="H51" s="980"/>
      <c r="I51" s="980"/>
      <c r="J51" s="980"/>
      <c r="K51" s="980"/>
      <c r="L51" s="980"/>
      <c r="M51" s="980"/>
      <c r="N51" s="980"/>
      <c r="O51" s="980"/>
      <c r="P51" s="980"/>
      <c r="Q51" s="980"/>
      <c r="R51" s="980"/>
      <c r="S51" s="980"/>
      <c r="T51" s="980"/>
      <c r="U51" s="980"/>
      <c r="V51" s="980"/>
      <c r="W51" s="980"/>
      <c r="X51" s="980"/>
      <c r="Y51" s="980"/>
      <c r="Z51" s="980"/>
      <c r="AA51" s="980"/>
      <c r="AB51" s="980"/>
      <c r="AC51" s="980"/>
      <c r="AD51" s="980"/>
      <c r="AE51" s="980"/>
      <c r="AF51" s="980"/>
      <c r="AG51" s="980"/>
    </row>
    <row r="52" spans="1:33" s="74" customFormat="1">
      <c r="A52" s="980"/>
      <c r="B52" s="980"/>
      <c r="C52" s="980"/>
      <c r="D52" s="980"/>
      <c r="E52" s="980"/>
      <c r="F52" s="980"/>
      <c r="G52" s="980"/>
      <c r="H52" s="980"/>
      <c r="I52" s="980"/>
      <c r="J52" s="980"/>
      <c r="K52" s="980"/>
      <c r="L52" s="980"/>
      <c r="M52" s="980"/>
      <c r="N52" s="980"/>
      <c r="O52" s="980"/>
      <c r="P52" s="980"/>
      <c r="Q52" s="980"/>
      <c r="R52" s="980"/>
      <c r="S52" s="980"/>
      <c r="T52" s="980"/>
      <c r="U52" s="980"/>
      <c r="V52" s="980"/>
      <c r="W52" s="980"/>
      <c r="X52" s="980"/>
      <c r="Y52" s="980"/>
      <c r="Z52" s="980"/>
      <c r="AA52" s="980"/>
      <c r="AB52" s="980"/>
      <c r="AC52" s="980"/>
      <c r="AD52" s="980"/>
      <c r="AE52" s="980"/>
      <c r="AF52" s="980"/>
      <c r="AG52" s="980"/>
    </row>
    <row r="53" spans="1:33" s="74" customFormat="1">
      <c r="A53" s="980"/>
      <c r="B53" s="980"/>
      <c r="C53" s="980"/>
      <c r="D53" s="980"/>
      <c r="E53" s="980"/>
      <c r="F53" s="980"/>
      <c r="G53" s="980"/>
      <c r="H53" s="980"/>
      <c r="I53" s="980"/>
      <c r="J53" s="980"/>
      <c r="K53" s="980"/>
      <c r="L53" s="980"/>
      <c r="M53" s="980"/>
      <c r="N53" s="980"/>
      <c r="O53" s="980"/>
      <c r="P53" s="980"/>
      <c r="Q53" s="980"/>
      <c r="R53" s="980"/>
      <c r="S53" s="980"/>
      <c r="T53" s="980"/>
      <c r="U53" s="980"/>
      <c r="V53" s="980"/>
      <c r="W53" s="980"/>
      <c r="X53" s="980"/>
      <c r="Y53" s="980"/>
      <c r="Z53" s="980"/>
      <c r="AA53" s="980"/>
      <c r="AB53" s="980"/>
      <c r="AC53" s="980"/>
      <c r="AD53" s="980"/>
      <c r="AE53" s="980"/>
      <c r="AF53" s="980"/>
      <c r="AG53" s="980"/>
    </row>
    <row r="54" spans="1:33" s="74" customFormat="1">
      <c r="A54" s="980"/>
      <c r="B54" s="980"/>
      <c r="C54" s="980"/>
      <c r="D54" s="980"/>
      <c r="E54" s="980"/>
      <c r="F54" s="980"/>
      <c r="G54" s="980"/>
      <c r="H54" s="980"/>
      <c r="I54" s="980"/>
      <c r="J54" s="980"/>
      <c r="K54" s="980"/>
      <c r="L54" s="980"/>
      <c r="M54" s="980"/>
      <c r="N54" s="980"/>
      <c r="O54" s="980"/>
      <c r="P54" s="980"/>
      <c r="Q54" s="980"/>
      <c r="R54" s="980"/>
      <c r="S54" s="980"/>
      <c r="T54" s="980"/>
      <c r="U54" s="980"/>
      <c r="V54" s="980"/>
      <c r="W54" s="980"/>
      <c r="X54" s="980"/>
      <c r="Y54" s="980"/>
      <c r="Z54" s="980"/>
      <c r="AA54" s="980"/>
      <c r="AB54" s="980"/>
      <c r="AC54" s="980"/>
      <c r="AD54" s="980"/>
      <c r="AE54" s="980"/>
      <c r="AF54" s="980"/>
      <c r="AG54" s="980"/>
    </row>
    <row r="55" spans="1:33" s="74" customFormat="1">
      <c r="A55" s="980"/>
      <c r="B55" s="980"/>
      <c r="C55" s="980"/>
      <c r="D55" s="980"/>
      <c r="E55" s="980"/>
      <c r="F55" s="980"/>
      <c r="G55" s="980"/>
      <c r="H55" s="980"/>
      <c r="I55" s="980"/>
      <c r="J55" s="980"/>
      <c r="K55" s="980"/>
      <c r="L55" s="980"/>
      <c r="M55" s="980"/>
      <c r="N55" s="980"/>
      <c r="O55" s="980"/>
      <c r="P55" s="980"/>
      <c r="Q55" s="980"/>
      <c r="R55" s="980"/>
      <c r="S55" s="980"/>
      <c r="T55" s="980"/>
      <c r="U55" s="980"/>
      <c r="V55" s="980"/>
      <c r="W55" s="980"/>
      <c r="X55" s="980"/>
      <c r="Y55" s="980"/>
      <c r="Z55" s="980"/>
      <c r="AA55" s="980"/>
      <c r="AB55" s="980"/>
      <c r="AC55" s="980"/>
      <c r="AD55" s="980"/>
      <c r="AE55" s="980"/>
      <c r="AF55" s="980"/>
      <c r="AG55" s="980"/>
    </row>
    <row r="56" spans="1:33" s="74" customFormat="1">
      <c r="A56" s="980"/>
      <c r="B56" s="980"/>
      <c r="C56" s="980"/>
      <c r="D56" s="980"/>
      <c r="E56" s="980"/>
      <c r="F56" s="980"/>
      <c r="G56" s="980"/>
      <c r="H56" s="980"/>
      <c r="I56" s="980"/>
      <c r="J56" s="980"/>
      <c r="K56" s="980"/>
      <c r="L56" s="980"/>
      <c r="M56" s="980"/>
      <c r="N56" s="980"/>
      <c r="O56" s="980"/>
      <c r="P56" s="980"/>
      <c r="Q56" s="980"/>
      <c r="R56" s="980"/>
      <c r="S56" s="980"/>
      <c r="T56" s="980"/>
      <c r="U56" s="980"/>
      <c r="V56" s="980"/>
      <c r="W56" s="980"/>
      <c r="X56" s="980"/>
      <c r="Y56" s="980"/>
      <c r="Z56" s="980"/>
      <c r="AA56" s="980"/>
      <c r="AB56" s="980"/>
      <c r="AC56" s="980"/>
      <c r="AD56" s="980"/>
      <c r="AE56" s="980"/>
      <c r="AF56" s="980"/>
      <c r="AG56" s="980"/>
    </row>
    <row r="57" spans="1:33" s="74" customFormat="1">
      <c r="A57" s="980"/>
      <c r="B57" s="980"/>
      <c r="C57" s="980"/>
      <c r="D57" s="980"/>
      <c r="E57" s="980"/>
      <c r="F57" s="980"/>
      <c r="G57" s="980"/>
      <c r="H57" s="980"/>
      <c r="I57" s="980"/>
      <c r="J57" s="980"/>
      <c r="K57" s="980"/>
      <c r="L57" s="980"/>
      <c r="M57" s="980"/>
      <c r="N57" s="980"/>
      <c r="O57" s="980"/>
      <c r="P57" s="980"/>
      <c r="Q57" s="980"/>
      <c r="R57" s="980"/>
      <c r="S57" s="980"/>
      <c r="T57" s="980"/>
      <c r="U57" s="980"/>
      <c r="V57" s="980"/>
      <c r="W57" s="980"/>
      <c r="X57" s="980"/>
      <c r="Y57" s="980"/>
      <c r="Z57" s="980"/>
      <c r="AA57" s="980"/>
      <c r="AB57" s="980"/>
      <c r="AC57" s="980"/>
      <c r="AD57" s="980"/>
      <c r="AE57" s="980"/>
      <c r="AF57" s="980"/>
      <c r="AG57" s="980"/>
    </row>
    <row r="58" spans="1:33" s="74" customFormat="1">
      <c r="A58" s="980"/>
      <c r="B58" s="980"/>
      <c r="C58" s="980"/>
      <c r="D58" s="980"/>
      <c r="E58" s="980"/>
      <c r="F58" s="980"/>
      <c r="G58" s="980"/>
      <c r="H58" s="980"/>
      <c r="I58" s="980"/>
      <c r="J58" s="980"/>
      <c r="K58" s="980"/>
      <c r="L58" s="980"/>
      <c r="M58" s="980"/>
      <c r="N58" s="980"/>
      <c r="O58" s="980"/>
      <c r="P58" s="980"/>
      <c r="Q58" s="980"/>
      <c r="R58" s="980"/>
      <c r="S58" s="980"/>
      <c r="T58" s="980"/>
      <c r="U58" s="980"/>
      <c r="V58" s="980"/>
      <c r="W58" s="980"/>
      <c r="X58" s="980"/>
      <c r="Y58" s="980"/>
      <c r="Z58" s="980"/>
      <c r="AA58" s="980"/>
      <c r="AB58" s="980"/>
      <c r="AC58" s="980"/>
      <c r="AD58" s="980"/>
      <c r="AE58" s="980"/>
      <c r="AF58" s="980"/>
      <c r="AG58" s="980"/>
    </row>
    <row r="59" spans="1:33" s="74" customFormat="1">
      <c r="A59" s="980"/>
      <c r="B59" s="980"/>
      <c r="C59" s="980"/>
      <c r="D59" s="980"/>
      <c r="E59" s="980"/>
      <c r="F59" s="980"/>
      <c r="G59" s="980"/>
      <c r="H59" s="980"/>
      <c r="I59" s="980"/>
      <c r="J59" s="980"/>
      <c r="K59" s="980"/>
      <c r="L59" s="980"/>
      <c r="M59" s="980"/>
      <c r="N59" s="980"/>
      <c r="O59" s="980"/>
      <c r="P59" s="980"/>
      <c r="Q59" s="980"/>
      <c r="R59" s="980"/>
      <c r="S59" s="980"/>
      <c r="T59" s="980"/>
      <c r="U59" s="980"/>
      <c r="V59" s="980"/>
      <c r="W59" s="980"/>
      <c r="X59" s="980"/>
      <c r="Y59" s="980"/>
      <c r="Z59" s="980"/>
      <c r="AA59" s="980"/>
      <c r="AB59" s="980"/>
      <c r="AC59" s="980"/>
      <c r="AD59" s="980"/>
      <c r="AE59" s="980"/>
      <c r="AF59" s="980"/>
      <c r="AG59" s="980"/>
    </row>
    <row r="60" spans="1:33" s="74" customFormat="1">
      <c r="A60" s="980"/>
      <c r="B60" s="980"/>
      <c r="C60" s="980"/>
      <c r="D60" s="980"/>
      <c r="E60" s="980"/>
      <c r="F60" s="980"/>
      <c r="G60" s="980"/>
      <c r="H60" s="980"/>
      <c r="I60" s="980"/>
      <c r="J60" s="980"/>
      <c r="K60" s="980"/>
      <c r="L60" s="980"/>
      <c r="M60" s="980"/>
      <c r="N60" s="980"/>
      <c r="O60" s="980"/>
      <c r="P60" s="980"/>
      <c r="Q60" s="980"/>
      <c r="R60" s="980"/>
      <c r="S60" s="980"/>
      <c r="T60" s="980"/>
      <c r="U60" s="980"/>
      <c r="V60" s="980"/>
      <c r="W60" s="980"/>
      <c r="X60" s="980"/>
      <c r="Y60" s="980"/>
      <c r="Z60" s="980"/>
      <c r="AA60" s="980"/>
      <c r="AB60" s="980"/>
      <c r="AC60" s="980"/>
      <c r="AD60" s="980"/>
      <c r="AE60" s="980"/>
      <c r="AF60" s="980"/>
      <c r="AG60" s="980"/>
    </row>
    <row r="61" spans="1:33" s="74" customFormat="1">
      <c r="A61" s="980"/>
      <c r="B61" s="980"/>
      <c r="C61" s="980"/>
      <c r="D61" s="980"/>
      <c r="E61" s="980"/>
      <c r="F61" s="980"/>
      <c r="G61" s="980"/>
      <c r="H61" s="980"/>
      <c r="I61" s="980"/>
      <c r="J61" s="980"/>
      <c r="K61" s="980"/>
      <c r="L61" s="980"/>
      <c r="M61" s="980"/>
      <c r="N61" s="980"/>
      <c r="O61" s="980"/>
      <c r="P61" s="980"/>
      <c r="Q61" s="980"/>
      <c r="R61" s="980"/>
      <c r="S61" s="980"/>
      <c r="T61" s="980"/>
      <c r="U61" s="980"/>
      <c r="V61" s="980"/>
      <c r="W61" s="980"/>
      <c r="X61" s="980"/>
      <c r="Y61" s="980"/>
      <c r="Z61" s="980"/>
      <c r="AA61" s="980"/>
      <c r="AB61" s="980"/>
      <c r="AC61" s="980"/>
      <c r="AD61" s="980"/>
      <c r="AE61" s="980"/>
      <c r="AF61" s="980"/>
      <c r="AG61" s="980"/>
    </row>
    <row r="62" spans="1:33" s="74" customFormat="1">
      <c r="A62" s="980"/>
      <c r="B62" s="980"/>
      <c r="C62" s="980"/>
      <c r="D62" s="980"/>
      <c r="E62" s="980"/>
      <c r="F62" s="980"/>
      <c r="G62" s="980"/>
      <c r="H62" s="980"/>
      <c r="I62" s="980"/>
      <c r="J62" s="980"/>
      <c r="K62" s="980"/>
      <c r="L62" s="980"/>
      <c r="M62" s="980"/>
      <c r="N62" s="980"/>
      <c r="O62" s="980"/>
      <c r="P62" s="980"/>
      <c r="Q62" s="980"/>
      <c r="R62" s="980"/>
      <c r="S62" s="980"/>
      <c r="T62" s="980"/>
      <c r="U62" s="980"/>
      <c r="V62" s="980"/>
      <c r="W62" s="980"/>
      <c r="X62" s="980"/>
      <c r="Y62" s="980"/>
      <c r="Z62" s="980"/>
      <c r="AA62" s="980"/>
      <c r="AB62" s="980"/>
      <c r="AC62" s="980"/>
      <c r="AD62" s="980"/>
      <c r="AE62" s="980"/>
      <c r="AF62" s="980"/>
      <c r="AG62" s="980"/>
    </row>
    <row r="63" spans="1:33" s="74" customFormat="1">
      <c r="A63" s="980"/>
      <c r="B63" s="980"/>
      <c r="C63" s="980"/>
      <c r="D63" s="980"/>
      <c r="E63" s="980"/>
      <c r="F63" s="980"/>
      <c r="G63" s="980"/>
      <c r="H63" s="980"/>
      <c r="I63" s="980"/>
      <c r="J63" s="980"/>
      <c r="K63" s="980"/>
      <c r="L63" s="980"/>
      <c r="M63" s="980"/>
      <c r="N63" s="980"/>
      <c r="O63" s="980"/>
      <c r="P63" s="980"/>
      <c r="Q63" s="980"/>
      <c r="R63" s="980"/>
      <c r="S63" s="980"/>
      <c r="T63" s="980"/>
      <c r="U63" s="980"/>
      <c r="V63" s="980"/>
      <c r="W63" s="980"/>
      <c r="X63" s="980"/>
      <c r="Y63" s="980"/>
      <c r="Z63" s="980"/>
      <c r="AA63" s="980"/>
      <c r="AB63" s="980"/>
      <c r="AC63" s="980"/>
      <c r="AD63" s="980"/>
      <c r="AE63" s="980"/>
      <c r="AF63" s="980"/>
      <c r="AG63" s="980"/>
    </row>
    <row r="64" spans="1:33" s="74" customFormat="1">
      <c r="A64" s="980"/>
      <c r="B64" s="980"/>
      <c r="C64" s="980"/>
      <c r="D64" s="980"/>
      <c r="E64" s="980"/>
      <c r="F64" s="980"/>
      <c r="G64" s="980"/>
      <c r="H64" s="980"/>
      <c r="I64" s="980"/>
      <c r="J64" s="980"/>
      <c r="K64" s="980"/>
      <c r="L64" s="980"/>
      <c r="M64" s="980"/>
      <c r="N64" s="980"/>
      <c r="O64" s="980"/>
      <c r="P64" s="980"/>
      <c r="Q64" s="980"/>
      <c r="R64" s="980"/>
      <c r="S64" s="980"/>
      <c r="T64" s="980"/>
      <c r="U64" s="980"/>
      <c r="V64" s="980"/>
      <c r="W64" s="980"/>
      <c r="X64" s="980"/>
      <c r="Y64" s="980"/>
      <c r="Z64" s="980"/>
      <c r="AA64" s="980"/>
      <c r="AB64" s="980"/>
      <c r="AC64" s="980"/>
      <c r="AD64" s="980"/>
      <c r="AE64" s="980"/>
      <c r="AF64" s="980"/>
      <c r="AG64" s="980"/>
    </row>
    <row r="65" spans="1:33" s="74" customFormat="1">
      <c r="A65" s="980"/>
      <c r="B65" s="980"/>
      <c r="C65" s="980"/>
      <c r="D65" s="980"/>
      <c r="E65" s="980"/>
      <c r="F65" s="980"/>
      <c r="G65" s="980"/>
      <c r="H65" s="980"/>
      <c r="I65" s="980"/>
      <c r="J65" s="980"/>
      <c r="K65" s="980"/>
      <c r="L65" s="980"/>
      <c r="M65" s="980"/>
      <c r="N65" s="980"/>
      <c r="O65" s="980"/>
      <c r="P65" s="980"/>
      <c r="Q65" s="980"/>
      <c r="R65" s="980"/>
      <c r="S65" s="980"/>
      <c r="T65" s="980"/>
      <c r="U65" s="980"/>
      <c r="V65" s="980"/>
      <c r="W65" s="980"/>
      <c r="X65" s="980"/>
      <c r="Y65" s="980"/>
      <c r="Z65" s="980"/>
      <c r="AA65" s="980"/>
      <c r="AB65" s="980"/>
      <c r="AC65" s="980"/>
      <c r="AD65" s="980"/>
      <c r="AE65" s="980"/>
      <c r="AF65" s="980"/>
      <c r="AG65" s="980"/>
    </row>
    <row r="66" spans="1:33" s="74" customFormat="1">
      <c r="A66" s="980"/>
      <c r="B66" s="980"/>
      <c r="C66" s="980"/>
      <c r="D66" s="980"/>
      <c r="E66" s="980"/>
      <c r="F66" s="980"/>
      <c r="G66" s="980"/>
      <c r="H66" s="980"/>
      <c r="I66" s="980"/>
      <c r="J66" s="980"/>
      <c r="K66" s="980"/>
      <c r="L66" s="980"/>
      <c r="M66" s="980"/>
      <c r="N66" s="980"/>
      <c r="O66" s="980"/>
      <c r="P66" s="980"/>
      <c r="Q66" s="980"/>
      <c r="R66" s="980"/>
      <c r="S66" s="980"/>
      <c r="T66" s="980"/>
      <c r="U66" s="980"/>
      <c r="V66" s="980"/>
      <c r="W66" s="980"/>
      <c r="X66" s="980"/>
      <c r="Y66" s="980"/>
      <c r="Z66" s="980"/>
      <c r="AA66" s="980"/>
      <c r="AB66" s="980"/>
      <c r="AC66" s="980"/>
      <c r="AD66" s="980"/>
      <c r="AE66" s="980"/>
      <c r="AF66" s="980"/>
      <c r="AG66" s="980"/>
    </row>
    <row r="67" spans="1:33" s="74" customFormat="1">
      <c r="A67" s="980"/>
      <c r="B67" s="980"/>
      <c r="C67" s="980"/>
      <c r="D67" s="980"/>
      <c r="E67" s="980"/>
      <c r="F67" s="980"/>
      <c r="G67" s="980"/>
      <c r="H67" s="980"/>
      <c r="I67" s="980"/>
      <c r="J67" s="980"/>
      <c r="K67" s="980"/>
      <c r="L67" s="980"/>
      <c r="M67" s="980"/>
      <c r="N67" s="980"/>
      <c r="O67" s="980"/>
      <c r="P67" s="980"/>
      <c r="Q67" s="980"/>
      <c r="R67" s="980"/>
      <c r="S67" s="980"/>
      <c r="T67" s="980"/>
      <c r="U67" s="980"/>
      <c r="V67" s="980"/>
      <c r="W67" s="980"/>
      <c r="X67" s="980"/>
      <c r="Y67" s="980"/>
      <c r="Z67" s="980"/>
      <c r="AA67" s="980"/>
      <c r="AB67" s="980"/>
      <c r="AC67" s="980"/>
      <c r="AD67" s="980"/>
      <c r="AE67" s="980"/>
      <c r="AF67" s="980"/>
      <c r="AG67" s="980"/>
    </row>
    <row r="68" spans="1:33" s="74" customFormat="1">
      <c r="A68" s="980"/>
      <c r="B68" s="980"/>
      <c r="C68" s="980"/>
      <c r="D68" s="980"/>
      <c r="E68" s="980"/>
      <c r="F68" s="980"/>
      <c r="G68" s="980"/>
      <c r="H68" s="980"/>
      <c r="I68" s="980"/>
      <c r="J68" s="980"/>
      <c r="K68" s="980"/>
      <c r="L68" s="980"/>
      <c r="M68" s="980"/>
      <c r="N68" s="980"/>
      <c r="O68" s="980"/>
      <c r="P68" s="980"/>
      <c r="Q68" s="980"/>
      <c r="R68" s="980"/>
      <c r="S68" s="980"/>
      <c r="T68" s="980"/>
      <c r="U68" s="980"/>
      <c r="V68" s="980"/>
      <c r="W68" s="980"/>
      <c r="X68" s="980"/>
      <c r="Y68" s="980"/>
      <c r="Z68" s="980"/>
      <c r="AA68" s="980"/>
      <c r="AB68" s="980"/>
      <c r="AC68" s="980"/>
      <c r="AD68" s="980"/>
      <c r="AE68" s="980"/>
      <c r="AF68" s="980"/>
      <c r="AG68" s="980"/>
    </row>
    <row r="69" spans="1:33" s="74" customFormat="1">
      <c r="A69" s="980"/>
      <c r="B69" s="980"/>
      <c r="C69" s="980"/>
      <c r="D69" s="980"/>
      <c r="E69" s="980"/>
      <c r="F69" s="980"/>
      <c r="G69" s="980"/>
      <c r="H69" s="980"/>
      <c r="I69" s="980"/>
      <c r="J69" s="980"/>
      <c r="K69" s="980"/>
      <c r="L69" s="980"/>
      <c r="M69" s="980"/>
      <c r="N69" s="980"/>
      <c r="O69" s="980"/>
      <c r="P69" s="980"/>
      <c r="Q69" s="980"/>
      <c r="R69" s="980"/>
      <c r="S69" s="980"/>
      <c r="T69" s="980"/>
      <c r="U69" s="980"/>
      <c r="V69" s="980"/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</row>
    <row r="70" spans="1:33" s="74" customFormat="1">
      <c r="A70" s="980"/>
      <c r="B70" s="980"/>
      <c r="C70" s="980"/>
      <c r="D70" s="980"/>
      <c r="E70" s="980"/>
      <c r="F70" s="980"/>
      <c r="G70" s="980"/>
      <c r="H70" s="980"/>
      <c r="I70" s="980"/>
      <c r="J70" s="980"/>
      <c r="K70" s="980"/>
      <c r="L70" s="980"/>
      <c r="M70" s="980"/>
      <c r="N70" s="980"/>
      <c r="O70" s="980"/>
      <c r="P70" s="980"/>
      <c r="Q70" s="980"/>
      <c r="R70" s="980"/>
      <c r="S70" s="980"/>
      <c r="T70" s="980"/>
      <c r="U70" s="980"/>
      <c r="V70" s="980"/>
      <c r="W70" s="980"/>
      <c r="X70" s="980"/>
      <c r="Y70" s="980"/>
      <c r="Z70" s="980"/>
      <c r="AA70" s="980"/>
      <c r="AB70" s="980"/>
      <c r="AC70" s="980"/>
      <c r="AD70" s="980"/>
      <c r="AE70" s="980"/>
      <c r="AF70" s="980"/>
      <c r="AG70" s="980"/>
    </row>
    <row r="71" spans="1:33" s="74" customFormat="1">
      <c r="A71" s="980"/>
      <c r="B71" s="980"/>
      <c r="C71" s="980"/>
      <c r="D71" s="980"/>
      <c r="E71" s="980"/>
      <c r="F71" s="980"/>
      <c r="G71" s="980"/>
      <c r="H71" s="980"/>
      <c r="I71" s="980"/>
      <c r="J71" s="980"/>
      <c r="K71" s="980"/>
      <c r="L71" s="980"/>
      <c r="M71" s="980"/>
      <c r="N71" s="980"/>
      <c r="O71" s="980"/>
      <c r="P71" s="980"/>
      <c r="Q71" s="980"/>
      <c r="R71" s="980"/>
      <c r="S71" s="980"/>
      <c r="T71" s="980"/>
      <c r="U71" s="980"/>
      <c r="V71" s="980"/>
      <c r="W71" s="980"/>
      <c r="X71" s="980"/>
      <c r="Y71" s="980"/>
      <c r="Z71" s="980"/>
      <c r="AA71" s="980"/>
      <c r="AB71" s="980"/>
      <c r="AC71" s="980"/>
      <c r="AD71" s="980"/>
      <c r="AE71" s="980"/>
      <c r="AF71" s="980"/>
      <c r="AG71" s="980"/>
    </row>
    <row r="72" spans="1:33" s="74" customFormat="1">
      <c r="A72" s="980"/>
      <c r="B72" s="980"/>
      <c r="C72" s="980"/>
      <c r="D72" s="980"/>
      <c r="E72" s="980"/>
      <c r="F72" s="980"/>
      <c r="G72" s="980"/>
      <c r="H72" s="980"/>
      <c r="I72" s="980"/>
      <c r="J72" s="980"/>
      <c r="K72" s="980"/>
      <c r="L72" s="980"/>
      <c r="M72" s="980"/>
      <c r="N72" s="980"/>
      <c r="O72" s="980"/>
      <c r="P72" s="980"/>
      <c r="Q72" s="980"/>
      <c r="R72" s="980"/>
      <c r="S72" s="980"/>
      <c r="T72" s="980"/>
      <c r="U72" s="980"/>
      <c r="V72" s="980"/>
      <c r="W72" s="980"/>
      <c r="X72" s="980"/>
      <c r="Y72" s="980"/>
      <c r="Z72" s="980"/>
      <c r="AA72" s="980"/>
      <c r="AB72" s="980"/>
      <c r="AC72" s="980"/>
      <c r="AD72" s="980"/>
      <c r="AE72" s="980"/>
      <c r="AF72" s="980"/>
      <c r="AG72" s="980"/>
    </row>
    <row r="73" spans="1:33" s="74" customFormat="1">
      <c r="A73" s="980"/>
      <c r="B73" s="980"/>
      <c r="C73" s="980"/>
      <c r="D73" s="980"/>
      <c r="E73" s="980"/>
      <c r="F73" s="980"/>
      <c r="G73" s="980"/>
      <c r="H73" s="980"/>
      <c r="I73" s="980"/>
      <c r="J73" s="980"/>
      <c r="K73" s="980"/>
      <c r="L73" s="980"/>
      <c r="M73" s="980"/>
      <c r="N73" s="980"/>
      <c r="O73" s="980"/>
      <c r="P73" s="980"/>
      <c r="Q73" s="980"/>
      <c r="R73" s="980"/>
      <c r="S73" s="980"/>
      <c r="T73" s="980"/>
      <c r="U73" s="980"/>
      <c r="V73" s="980"/>
      <c r="W73" s="980"/>
      <c r="X73" s="980"/>
      <c r="Y73" s="980"/>
      <c r="Z73" s="980"/>
      <c r="AA73" s="980"/>
      <c r="AB73" s="980"/>
      <c r="AC73" s="980"/>
      <c r="AD73" s="980"/>
      <c r="AE73" s="980"/>
      <c r="AF73" s="980"/>
      <c r="AG73" s="980"/>
    </row>
    <row r="74" spans="1:33" s="74" customFormat="1">
      <c r="A74" s="980"/>
      <c r="B74" s="980"/>
      <c r="C74" s="980"/>
      <c r="D74" s="980"/>
      <c r="E74" s="980"/>
      <c r="F74" s="980"/>
      <c r="G74" s="980"/>
      <c r="H74" s="980"/>
      <c r="I74" s="980"/>
      <c r="J74" s="980"/>
      <c r="K74" s="980"/>
      <c r="L74" s="980"/>
      <c r="M74" s="980"/>
      <c r="N74" s="980"/>
      <c r="O74" s="980"/>
      <c r="P74" s="980"/>
      <c r="Q74" s="980"/>
      <c r="R74" s="980"/>
      <c r="S74" s="980"/>
      <c r="T74" s="980"/>
      <c r="U74" s="980"/>
      <c r="V74" s="980"/>
      <c r="W74" s="980"/>
      <c r="X74" s="980"/>
      <c r="Y74" s="980"/>
      <c r="Z74" s="980"/>
      <c r="AA74" s="980"/>
      <c r="AB74" s="980"/>
      <c r="AC74" s="980"/>
      <c r="AD74" s="980"/>
      <c r="AE74" s="980"/>
      <c r="AF74" s="980"/>
      <c r="AG74" s="980"/>
    </row>
    <row r="75" spans="1:33" s="74" customFormat="1">
      <c r="A75" s="980"/>
      <c r="B75" s="980"/>
      <c r="C75" s="980"/>
      <c r="D75" s="980"/>
      <c r="E75" s="980"/>
      <c r="F75" s="980"/>
      <c r="G75" s="980"/>
      <c r="H75" s="980"/>
      <c r="I75" s="980"/>
      <c r="J75" s="980"/>
      <c r="K75" s="980"/>
      <c r="L75" s="980"/>
      <c r="M75" s="980"/>
      <c r="N75" s="980"/>
      <c r="O75" s="980"/>
      <c r="P75" s="980"/>
      <c r="Q75" s="980"/>
      <c r="R75" s="980"/>
      <c r="S75" s="980"/>
      <c r="T75" s="980"/>
      <c r="U75" s="980"/>
      <c r="V75" s="980"/>
      <c r="W75" s="980"/>
      <c r="X75" s="980"/>
      <c r="Y75" s="980"/>
      <c r="Z75" s="980"/>
      <c r="AA75" s="980"/>
      <c r="AB75" s="980"/>
      <c r="AC75" s="980"/>
      <c r="AD75" s="980"/>
      <c r="AE75" s="980"/>
      <c r="AF75" s="980"/>
      <c r="AG75" s="980"/>
    </row>
  </sheetData>
  <mergeCells count="7">
    <mergeCell ref="A7:O7"/>
    <mergeCell ref="A8:O8"/>
    <mergeCell ref="A3:I5"/>
    <mergeCell ref="J3:M4"/>
    <mergeCell ref="N3:N5"/>
    <mergeCell ref="O3:O4"/>
    <mergeCell ref="A6:O6"/>
  </mergeCells>
  <hyperlinks>
    <hyperlink ref="A1:I1" location="Главная!A1" display="Вернуться на главную страницу" xr:uid="{00000000-0004-0000-2200-000000000000}"/>
  </hyperlink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Лист52">
    <tabColor theme="7" tint="-0.499984740745262"/>
  </sheetPr>
  <dimension ref="A1:AC54"/>
  <sheetViews>
    <sheetView zoomScale="70" zoomScaleNormal="70" workbookViewId="0">
      <pane ySplit="6" topLeftCell="A7" activePane="bottomLeft" state="frozen"/>
      <selection pane="bottomLeft" activeCell="U10" sqref="U10"/>
    </sheetView>
  </sheetViews>
  <sheetFormatPr defaultRowHeight="15.75"/>
  <cols>
    <col min="1" max="1" width="7" style="7" customWidth="1"/>
    <col min="2" max="2" width="6" style="7" customWidth="1"/>
    <col min="3" max="3" width="3" style="7" customWidth="1"/>
    <col min="4" max="4" width="6" style="7" customWidth="1"/>
    <col min="5" max="5" width="3" style="7" customWidth="1"/>
    <col min="6" max="6" width="7.7109375" style="96" customWidth="1"/>
    <col min="7" max="7" width="3" style="7" customWidth="1"/>
    <col min="8" max="8" width="6" style="7" customWidth="1"/>
    <col min="9" max="9" width="8.140625" style="7" customWidth="1"/>
    <col min="10" max="10" width="11.28515625" style="7" customWidth="1"/>
    <col min="11" max="12" width="11.28515625" style="96" customWidth="1"/>
    <col min="13" max="13" width="27.7109375" style="1" customWidth="1"/>
    <col min="14" max="14" width="19.140625" style="7" customWidth="1"/>
    <col min="15" max="17" width="28.7109375" style="122" customWidth="1"/>
    <col min="19" max="19" width="31.28515625" customWidth="1"/>
  </cols>
  <sheetData>
    <row r="1" spans="1:29" ht="16.5" customHeight="1">
      <c r="A1" s="126" t="s">
        <v>9</v>
      </c>
      <c r="B1" s="126"/>
      <c r="C1" s="126"/>
      <c r="D1" s="126"/>
      <c r="E1" s="126"/>
      <c r="F1" s="97"/>
      <c r="G1" s="126"/>
      <c r="H1" s="126"/>
      <c r="I1" s="126"/>
    </row>
    <row r="2" spans="1:29">
      <c r="A2" s="16"/>
      <c r="B2" s="16"/>
      <c r="C2" s="16"/>
      <c r="D2" s="16"/>
      <c r="E2" s="16"/>
      <c r="F2" s="109"/>
      <c r="G2" s="16"/>
      <c r="H2" s="16"/>
      <c r="I2" s="1251"/>
      <c r="J2" s="16"/>
      <c r="K2" s="108"/>
      <c r="L2" s="108"/>
      <c r="M2" s="175"/>
      <c r="O2" s="116"/>
      <c r="P2" s="116"/>
      <c r="Q2" s="116"/>
    </row>
    <row r="3" spans="1:29" ht="6" customHeight="1" thickBot="1">
      <c r="A3" s="16"/>
      <c r="B3" s="16"/>
      <c r="C3" s="16"/>
      <c r="D3" s="16"/>
      <c r="E3" s="16"/>
      <c r="F3" s="98"/>
      <c r="G3" s="16"/>
      <c r="H3" s="16"/>
      <c r="I3" s="16"/>
      <c r="J3" s="16"/>
    </row>
    <row r="4" spans="1:29" s="74" customFormat="1" ht="69" customHeight="1">
      <c r="A4" s="2746" t="s">
        <v>8</v>
      </c>
      <c r="B4" s="2747"/>
      <c r="C4" s="2747"/>
      <c r="D4" s="2747"/>
      <c r="E4" s="2747"/>
      <c r="F4" s="2747"/>
      <c r="G4" s="2747"/>
      <c r="H4" s="2747"/>
      <c r="I4" s="2748"/>
      <c r="J4" s="2755" t="s">
        <v>97</v>
      </c>
      <c r="K4" s="2756"/>
      <c r="L4" s="2756"/>
      <c r="M4" s="2757"/>
      <c r="N4" s="2761" t="s">
        <v>96</v>
      </c>
      <c r="O4" s="2764" t="s">
        <v>178</v>
      </c>
      <c r="P4" s="2764" t="s">
        <v>5821</v>
      </c>
      <c r="Q4" s="2764" t="s">
        <v>5822</v>
      </c>
    </row>
    <row r="5" spans="1:29" s="74" customFormat="1" ht="72.75" customHeight="1" thickBot="1">
      <c r="A5" s="2749"/>
      <c r="B5" s="2750"/>
      <c r="C5" s="2750"/>
      <c r="D5" s="2750"/>
      <c r="E5" s="2750"/>
      <c r="F5" s="2750"/>
      <c r="G5" s="2750"/>
      <c r="H5" s="2750"/>
      <c r="I5" s="2751"/>
      <c r="J5" s="2758"/>
      <c r="K5" s="2759"/>
      <c r="L5" s="2759"/>
      <c r="M5" s="2760"/>
      <c r="N5" s="2762"/>
      <c r="O5" s="2765"/>
      <c r="P5" s="2766"/>
      <c r="Q5" s="2765"/>
    </row>
    <row r="6" spans="1:29" s="74" customFormat="1" ht="61.5" customHeight="1" thickBot="1">
      <c r="A6" s="2752"/>
      <c r="B6" s="2753"/>
      <c r="C6" s="2753"/>
      <c r="D6" s="2753"/>
      <c r="E6" s="2753"/>
      <c r="F6" s="2753"/>
      <c r="G6" s="2753"/>
      <c r="H6" s="2753"/>
      <c r="I6" s="2754"/>
      <c r="J6" s="289" t="s">
        <v>0</v>
      </c>
      <c r="K6" s="296" t="s">
        <v>1</v>
      </c>
      <c r="L6" s="296" t="s">
        <v>2</v>
      </c>
      <c r="M6" s="297" t="s">
        <v>94</v>
      </c>
      <c r="N6" s="2763"/>
      <c r="O6" s="2743" t="s">
        <v>169</v>
      </c>
      <c r="P6" s="2744"/>
      <c r="Q6" s="2745"/>
    </row>
    <row r="7" spans="1:29" ht="19.5" customHeight="1" thickBot="1">
      <c r="A7" s="2595" t="s">
        <v>525</v>
      </c>
      <c r="B7" s="2596"/>
      <c r="C7" s="2596"/>
      <c r="D7" s="2596"/>
      <c r="E7" s="2596"/>
      <c r="F7" s="2596"/>
      <c r="G7" s="2596"/>
      <c r="H7" s="2596"/>
      <c r="I7" s="2596"/>
      <c r="J7" s="2596"/>
      <c r="K7" s="2596"/>
      <c r="L7" s="2596"/>
      <c r="M7" s="2596"/>
      <c r="N7" s="2596"/>
      <c r="O7" s="2596"/>
      <c r="P7" s="2596"/>
      <c r="Q7" s="2597"/>
    </row>
    <row r="8" spans="1:29" ht="22.5" customHeight="1" thickBot="1">
      <c r="A8" s="2580" t="s">
        <v>459</v>
      </c>
      <c r="B8" s="2581"/>
      <c r="C8" s="2581"/>
      <c r="D8" s="2581"/>
      <c r="E8" s="2581"/>
      <c r="F8" s="2581"/>
      <c r="G8" s="2581"/>
      <c r="H8" s="2581"/>
      <c r="I8" s="2581"/>
      <c r="J8" s="2581"/>
      <c r="K8" s="2581"/>
      <c r="L8" s="2581"/>
      <c r="M8" s="2581"/>
      <c r="N8" s="2581"/>
      <c r="O8" s="2581"/>
      <c r="P8" s="2581"/>
      <c r="Q8" s="2582"/>
    </row>
    <row r="9" spans="1:29" ht="16.5" thickBot="1">
      <c r="A9" s="2583" t="s">
        <v>134</v>
      </c>
      <c r="B9" s="2584"/>
      <c r="C9" s="2584"/>
      <c r="D9" s="2584"/>
      <c r="E9" s="2584"/>
      <c r="F9" s="2584"/>
      <c r="G9" s="2584"/>
      <c r="H9" s="2584"/>
      <c r="I9" s="2584"/>
      <c r="J9" s="2584"/>
      <c r="K9" s="2584"/>
      <c r="L9" s="2584"/>
      <c r="M9" s="2584"/>
      <c r="N9" s="2584"/>
      <c r="O9" s="2584"/>
      <c r="P9" s="2584"/>
      <c r="Q9" s="2585"/>
      <c r="S9" s="74"/>
    </row>
    <row r="10" spans="1:29" ht="16.5" thickBot="1">
      <c r="A10" s="128" t="s">
        <v>68</v>
      </c>
      <c r="B10" s="131">
        <v>90</v>
      </c>
      <c r="C10" s="131" t="s">
        <v>3</v>
      </c>
      <c r="D10" s="131">
        <v>290</v>
      </c>
      <c r="E10" s="131" t="s">
        <v>3</v>
      </c>
      <c r="F10" s="166">
        <v>900</v>
      </c>
      <c r="G10" s="131" t="s">
        <v>3</v>
      </c>
      <c r="H10" s="131">
        <v>2</v>
      </c>
      <c r="I10" s="167" t="s">
        <v>581</v>
      </c>
      <c r="J10" s="181">
        <v>90</v>
      </c>
      <c r="K10" s="143">
        <v>290</v>
      </c>
      <c r="L10" s="143">
        <v>900</v>
      </c>
      <c r="M10" s="196">
        <v>22.387410300375002</v>
      </c>
      <c r="N10" s="144">
        <v>1385.9603457702588</v>
      </c>
      <c r="O10" s="145">
        <v>33671.643479810897</v>
      </c>
      <c r="P10" s="145">
        <v>16418.300514022241</v>
      </c>
      <c r="Q10" s="145">
        <v>50089.94385343977</v>
      </c>
      <c r="S10" s="7" t="s">
        <v>7721</v>
      </c>
    </row>
    <row r="11" spans="1:29" ht="16.5" thickBot="1">
      <c r="A11" s="128" t="s">
        <v>68</v>
      </c>
      <c r="B11" s="131">
        <v>90</v>
      </c>
      <c r="C11" s="131" t="s">
        <v>3</v>
      </c>
      <c r="D11" s="131">
        <v>290</v>
      </c>
      <c r="E11" s="131" t="s">
        <v>3</v>
      </c>
      <c r="F11" s="130">
        <v>1000</v>
      </c>
      <c r="G11" s="131" t="s">
        <v>3</v>
      </c>
      <c r="H11" s="129">
        <v>2</v>
      </c>
      <c r="I11" s="167" t="s">
        <v>581</v>
      </c>
      <c r="J11" s="184">
        <v>90</v>
      </c>
      <c r="K11" s="75">
        <v>290</v>
      </c>
      <c r="L11" s="75">
        <v>1000</v>
      </c>
      <c r="M11" s="197">
        <v>24.780752016135001</v>
      </c>
      <c r="N11" s="87">
        <v>1637.9531359103057</v>
      </c>
      <c r="O11" s="123">
        <v>36191.398279155641</v>
      </c>
      <c r="P11" s="123">
        <v>18271.296067528016</v>
      </c>
      <c r="Q11" s="123">
        <v>54462.69434668366</v>
      </c>
      <c r="S11" s="7" t="s">
        <v>7720</v>
      </c>
    </row>
    <row r="12" spans="1:29" ht="16.5" thickBot="1">
      <c r="A12" s="128" t="s">
        <v>68</v>
      </c>
      <c r="B12" s="131">
        <v>90</v>
      </c>
      <c r="C12" s="131" t="s">
        <v>3</v>
      </c>
      <c r="D12" s="131">
        <v>290</v>
      </c>
      <c r="E12" s="131" t="s">
        <v>3</v>
      </c>
      <c r="F12" s="130">
        <v>1250</v>
      </c>
      <c r="G12" s="131" t="s">
        <v>3</v>
      </c>
      <c r="H12" s="129">
        <v>2</v>
      </c>
      <c r="I12" s="167" t="s">
        <v>581</v>
      </c>
      <c r="J12" s="184">
        <v>90</v>
      </c>
      <c r="K12" s="75">
        <v>290</v>
      </c>
      <c r="L12" s="75">
        <v>1250</v>
      </c>
      <c r="M12" s="197">
        <v>30.803356305534997</v>
      </c>
      <c r="N12" s="87">
        <v>2267.9351112604236</v>
      </c>
      <c r="O12" s="123">
        <v>47574.612427767308</v>
      </c>
      <c r="P12" s="123">
        <v>22257.135650697979</v>
      </c>
      <c r="Q12" s="123">
        <v>69831.748078465302</v>
      </c>
      <c r="S12" s="7" t="s">
        <v>7722</v>
      </c>
    </row>
    <row r="13" spans="1:29" ht="16.5" thickBot="1">
      <c r="A13" s="128" t="s">
        <v>68</v>
      </c>
      <c r="B13" s="131">
        <v>90</v>
      </c>
      <c r="C13" s="131" t="s">
        <v>3</v>
      </c>
      <c r="D13" s="131">
        <v>290</v>
      </c>
      <c r="E13" s="131" t="s">
        <v>3</v>
      </c>
      <c r="F13" s="130">
        <v>1500</v>
      </c>
      <c r="G13" s="131" t="s">
        <v>3</v>
      </c>
      <c r="H13" s="129">
        <v>2</v>
      </c>
      <c r="I13" s="167" t="s">
        <v>581</v>
      </c>
      <c r="J13" s="186">
        <v>90</v>
      </c>
      <c r="K13" s="147">
        <v>290</v>
      </c>
      <c r="L13" s="147">
        <v>1500</v>
      </c>
      <c r="M13" s="195">
        <v>36.930201061494998</v>
      </c>
      <c r="N13" s="148">
        <v>2897.9170866105414</v>
      </c>
      <c r="O13" s="149">
        <v>58182.612054075122</v>
      </c>
      <c r="P13" s="149">
        <v>26501.634982184405</v>
      </c>
      <c r="Q13" s="149">
        <v>84684.247176652891</v>
      </c>
      <c r="S13" s="7" t="s">
        <v>7723</v>
      </c>
    </row>
    <row r="14" spans="1:29" s="74" customFormat="1">
      <c r="A14" s="1012"/>
      <c r="B14" s="1012"/>
      <c r="C14" s="1012"/>
      <c r="D14" s="1012"/>
      <c r="E14" s="1012"/>
      <c r="F14" s="1013"/>
      <c r="G14" s="1012"/>
      <c r="H14" s="1012"/>
      <c r="I14" s="1012"/>
      <c r="J14" s="1012"/>
      <c r="K14" s="1013"/>
      <c r="L14" s="1013"/>
      <c r="M14" s="974"/>
      <c r="N14" s="1012"/>
      <c r="O14" s="1014"/>
      <c r="P14" s="1014"/>
      <c r="Q14" s="1014"/>
      <c r="R14" s="980"/>
      <c r="S14" s="980"/>
      <c r="T14" s="980"/>
      <c r="U14" s="980"/>
      <c r="V14" s="980"/>
      <c r="W14" s="980"/>
      <c r="X14" s="980"/>
      <c r="Y14" s="980"/>
      <c r="Z14" s="980"/>
      <c r="AA14" s="980"/>
      <c r="AB14" s="980"/>
      <c r="AC14" s="980"/>
    </row>
    <row r="15" spans="1:29" s="74" customFormat="1">
      <c r="A15" s="1012"/>
      <c r="B15" s="1012"/>
      <c r="C15" s="1012"/>
      <c r="D15" s="1012"/>
      <c r="E15" s="1012"/>
      <c r="F15" s="1013"/>
      <c r="G15" s="1012"/>
      <c r="H15" s="1012"/>
      <c r="I15" s="1012"/>
      <c r="J15" s="1012"/>
      <c r="K15" s="1013"/>
      <c r="L15" s="1013"/>
      <c r="M15" s="974"/>
      <c r="N15" s="1012"/>
      <c r="O15" s="1014"/>
      <c r="P15" s="1014"/>
      <c r="Q15" s="1014"/>
      <c r="R15" s="980"/>
      <c r="S15" s="980"/>
      <c r="T15" s="980"/>
      <c r="U15" s="980"/>
      <c r="V15" s="980"/>
      <c r="W15" s="980"/>
      <c r="X15" s="980"/>
      <c r="Y15" s="980"/>
      <c r="Z15" s="980"/>
      <c r="AA15" s="980"/>
      <c r="AB15" s="980"/>
      <c r="AC15" s="980"/>
    </row>
    <row r="16" spans="1:29" s="74" customFormat="1">
      <c r="A16" s="1012"/>
      <c r="B16" s="1012"/>
      <c r="C16" s="1012"/>
      <c r="D16" s="1012"/>
      <c r="E16" s="1012"/>
      <c r="F16" s="1013"/>
      <c r="G16" s="1012"/>
      <c r="H16" s="1012"/>
      <c r="I16" s="1012"/>
      <c r="J16" s="1012"/>
      <c r="K16" s="1013"/>
      <c r="L16" s="1013"/>
      <c r="M16" s="974"/>
      <c r="N16" s="1012"/>
      <c r="O16" s="1014"/>
      <c r="P16" s="1014"/>
      <c r="Q16" s="1014"/>
      <c r="R16" s="980"/>
      <c r="S16" s="980"/>
      <c r="T16" s="980"/>
      <c r="U16" s="980"/>
      <c r="V16" s="980"/>
      <c r="W16" s="980"/>
      <c r="X16" s="980"/>
      <c r="Y16" s="980"/>
      <c r="Z16" s="980"/>
      <c r="AA16" s="980"/>
      <c r="AB16" s="980"/>
      <c r="AC16" s="980"/>
    </row>
    <row r="17" spans="1:29" s="74" customFormat="1">
      <c r="A17" s="1012"/>
      <c r="B17" s="1012"/>
      <c r="C17" s="1012"/>
      <c r="D17" s="1012"/>
      <c r="E17" s="1012"/>
      <c r="F17" s="1013"/>
      <c r="G17" s="1012"/>
      <c r="H17" s="1012"/>
      <c r="I17" s="1012"/>
      <c r="J17" s="1012"/>
      <c r="K17" s="1013"/>
      <c r="L17" s="1013"/>
      <c r="M17" s="974"/>
      <c r="N17" s="1012"/>
      <c r="O17" s="1014"/>
      <c r="P17" s="1014"/>
      <c r="Q17" s="1014"/>
      <c r="R17" s="980"/>
      <c r="S17" s="980"/>
      <c r="T17" s="980"/>
      <c r="U17" s="980"/>
      <c r="V17" s="980"/>
      <c r="W17" s="980"/>
      <c r="X17" s="980"/>
      <c r="Y17" s="980"/>
      <c r="Z17" s="980"/>
      <c r="AA17" s="980"/>
      <c r="AB17" s="980"/>
      <c r="AC17" s="980"/>
    </row>
    <row r="18" spans="1:29" s="74" customFormat="1">
      <c r="A18" s="1012"/>
      <c r="B18" s="1012"/>
      <c r="C18" s="1012"/>
      <c r="D18" s="1012"/>
      <c r="E18" s="1012"/>
      <c r="F18" s="1013"/>
      <c r="G18" s="1012"/>
      <c r="H18" s="1012"/>
      <c r="I18" s="1012"/>
      <c r="J18" s="1012"/>
      <c r="K18" s="1013"/>
      <c r="L18" s="1013"/>
      <c r="M18" s="974"/>
      <c r="N18" s="1012"/>
      <c r="O18" s="1014"/>
      <c r="P18" s="1014"/>
      <c r="Q18" s="1014"/>
      <c r="R18" s="980"/>
      <c r="S18" s="980"/>
      <c r="T18" s="980"/>
      <c r="U18" s="980"/>
      <c r="V18" s="980"/>
      <c r="W18" s="980"/>
      <c r="X18" s="980"/>
      <c r="Y18" s="980"/>
      <c r="Z18" s="980"/>
      <c r="AA18" s="980"/>
      <c r="AB18" s="980"/>
      <c r="AC18" s="980"/>
    </row>
    <row r="19" spans="1:29" s="74" customFormat="1">
      <c r="A19" s="1012"/>
      <c r="B19" s="1012"/>
      <c r="C19" s="1012"/>
      <c r="D19" s="1012"/>
      <c r="E19" s="1012"/>
      <c r="F19" s="1013"/>
      <c r="G19" s="1012"/>
      <c r="H19" s="1012"/>
      <c r="I19" s="1012"/>
      <c r="J19" s="1012"/>
      <c r="K19" s="1013"/>
      <c r="L19" s="1013"/>
      <c r="M19" s="974"/>
      <c r="N19" s="1012"/>
      <c r="O19" s="1014"/>
      <c r="P19" s="1014"/>
      <c r="Q19" s="1014"/>
      <c r="R19" s="980"/>
      <c r="S19" s="980"/>
      <c r="T19" s="980"/>
      <c r="U19" s="980"/>
      <c r="V19" s="980"/>
      <c r="W19" s="980"/>
      <c r="X19" s="980"/>
      <c r="Y19" s="980"/>
      <c r="Z19" s="980"/>
      <c r="AA19" s="980"/>
      <c r="AB19" s="980"/>
      <c r="AC19" s="980"/>
    </row>
    <row r="20" spans="1:29" s="74" customFormat="1">
      <c r="A20" s="1012"/>
      <c r="B20" s="1012"/>
      <c r="C20" s="1012"/>
      <c r="D20" s="1012"/>
      <c r="E20" s="1012"/>
      <c r="F20" s="1013"/>
      <c r="G20" s="1012"/>
      <c r="H20" s="1012"/>
      <c r="I20" s="1012"/>
      <c r="J20" s="1012"/>
      <c r="K20" s="1013"/>
      <c r="L20" s="1013"/>
      <c r="M20" s="974"/>
      <c r="N20" s="1012"/>
      <c r="O20" s="1014"/>
      <c r="P20" s="1014"/>
      <c r="Q20" s="1014"/>
      <c r="R20" s="980"/>
      <c r="S20" s="980"/>
      <c r="T20" s="980"/>
      <c r="U20" s="980"/>
      <c r="V20" s="980"/>
      <c r="W20" s="980"/>
      <c r="X20" s="980"/>
      <c r="Y20" s="980"/>
      <c r="Z20" s="980"/>
      <c r="AA20" s="980"/>
      <c r="AB20" s="980"/>
      <c r="AC20" s="980"/>
    </row>
    <row r="21" spans="1:29" s="74" customFormat="1">
      <c r="A21" s="1012"/>
      <c r="B21" s="1012"/>
      <c r="C21" s="1012"/>
      <c r="D21" s="1012"/>
      <c r="E21" s="1012"/>
      <c r="F21" s="1013"/>
      <c r="G21" s="1012"/>
      <c r="H21" s="1012"/>
      <c r="I21" s="1012"/>
      <c r="J21" s="1012"/>
      <c r="K21" s="1013"/>
      <c r="L21" s="1013"/>
      <c r="M21" s="974"/>
      <c r="N21" s="1012"/>
      <c r="O21" s="1014"/>
      <c r="P21" s="1014"/>
      <c r="Q21" s="1014"/>
      <c r="R21" s="980"/>
      <c r="S21" s="980"/>
      <c r="T21" s="980"/>
      <c r="U21" s="980"/>
      <c r="V21" s="980"/>
      <c r="W21" s="980"/>
      <c r="X21" s="980"/>
      <c r="Y21" s="980"/>
      <c r="Z21" s="980"/>
      <c r="AA21" s="980"/>
      <c r="AB21" s="980"/>
      <c r="AC21" s="980"/>
    </row>
    <row r="22" spans="1:29" s="74" customFormat="1">
      <c r="A22" s="1012"/>
      <c r="B22" s="1012"/>
      <c r="C22" s="1012"/>
      <c r="D22" s="1012"/>
      <c r="E22" s="1012"/>
      <c r="F22" s="1013"/>
      <c r="G22" s="1012"/>
      <c r="H22" s="1012"/>
      <c r="I22" s="1012"/>
      <c r="J22" s="1012"/>
      <c r="K22" s="1013"/>
      <c r="L22" s="1013"/>
      <c r="M22" s="974"/>
      <c r="N22" s="1012"/>
      <c r="O22" s="1014"/>
      <c r="P22" s="1014"/>
      <c r="Q22" s="1014"/>
      <c r="R22" s="980"/>
      <c r="S22" s="980"/>
      <c r="T22" s="980"/>
      <c r="U22" s="980"/>
      <c r="V22" s="980"/>
      <c r="W22" s="980"/>
      <c r="X22" s="980"/>
      <c r="Y22" s="980"/>
      <c r="Z22" s="980"/>
      <c r="AA22" s="980"/>
      <c r="AB22" s="980"/>
      <c r="AC22" s="980"/>
    </row>
    <row r="23" spans="1:29" s="74" customFormat="1">
      <c r="A23" s="1012"/>
      <c r="B23" s="1012"/>
      <c r="C23" s="1012"/>
      <c r="D23" s="1012"/>
      <c r="E23" s="1012"/>
      <c r="F23" s="1013"/>
      <c r="G23" s="1012"/>
      <c r="H23" s="1012"/>
      <c r="I23" s="1012"/>
      <c r="J23" s="1012"/>
      <c r="K23" s="1013"/>
      <c r="L23" s="1013"/>
      <c r="M23" s="974"/>
      <c r="N23" s="1012"/>
      <c r="O23" s="1014"/>
      <c r="P23" s="1014"/>
      <c r="Q23" s="1014"/>
      <c r="R23" s="980"/>
      <c r="S23" s="980"/>
      <c r="T23" s="980"/>
      <c r="U23" s="980"/>
      <c r="V23" s="980"/>
      <c r="W23" s="980"/>
      <c r="X23" s="980"/>
      <c r="Y23" s="980"/>
      <c r="Z23" s="980"/>
      <c r="AA23" s="980"/>
      <c r="AB23" s="980"/>
      <c r="AC23" s="980"/>
    </row>
    <row r="24" spans="1:29" s="74" customFormat="1">
      <c r="A24" s="1012"/>
      <c r="B24" s="1012"/>
      <c r="C24" s="1012"/>
      <c r="D24" s="1012"/>
      <c r="E24" s="1012"/>
      <c r="F24" s="1013"/>
      <c r="G24" s="1012"/>
      <c r="H24" s="1012"/>
      <c r="I24" s="1012"/>
      <c r="J24" s="1012"/>
      <c r="K24" s="1013"/>
      <c r="L24" s="1013"/>
      <c r="M24" s="974"/>
      <c r="N24" s="1012"/>
      <c r="O24" s="1014"/>
      <c r="P24" s="1014"/>
      <c r="Q24" s="1014"/>
      <c r="R24" s="980"/>
      <c r="S24" s="980"/>
      <c r="T24" s="980"/>
      <c r="U24" s="980"/>
      <c r="V24" s="980"/>
      <c r="W24" s="980"/>
      <c r="X24" s="980"/>
      <c r="Y24" s="980"/>
      <c r="Z24" s="980"/>
      <c r="AA24" s="980"/>
      <c r="AB24" s="980"/>
      <c r="AC24" s="980"/>
    </row>
    <row r="25" spans="1:29" s="74" customFormat="1">
      <c r="A25" s="1012"/>
      <c r="B25" s="1012"/>
      <c r="C25" s="1012"/>
      <c r="D25" s="1012"/>
      <c r="E25" s="1012"/>
      <c r="F25" s="1013"/>
      <c r="G25" s="1012"/>
      <c r="H25" s="1012"/>
      <c r="I25" s="1012"/>
      <c r="J25" s="1012"/>
      <c r="K25" s="1013"/>
      <c r="L25" s="1013"/>
      <c r="M25" s="974"/>
      <c r="N25" s="1012"/>
      <c r="O25" s="1014"/>
      <c r="P25" s="1014"/>
      <c r="Q25" s="1014"/>
      <c r="R25" s="980"/>
      <c r="S25" s="980"/>
      <c r="T25" s="980"/>
      <c r="U25" s="980"/>
      <c r="V25" s="980"/>
      <c r="W25" s="980"/>
      <c r="X25" s="980"/>
      <c r="Y25" s="980"/>
      <c r="Z25" s="980"/>
      <c r="AA25" s="980"/>
      <c r="AB25" s="980"/>
      <c r="AC25" s="980"/>
    </row>
    <row r="26" spans="1:29" s="74" customFormat="1">
      <c r="A26" s="1012"/>
      <c r="B26" s="1012"/>
      <c r="C26" s="1012"/>
      <c r="D26" s="1012"/>
      <c r="E26" s="1012"/>
      <c r="F26" s="1013"/>
      <c r="G26" s="1012"/>
      <c r="H26" s="1012"/>
      <c r="I26" s="1012"/>
      <c r="J26" s="1012"/>
      <c r="K26" s="1013"/>
      <c r="L26" s="1013"/>
      <c r="M26" s="974"/>
      <c r="N26" s="1012"/>
      <c r="O26" s="1014"/>
      <c r="P26" s="1014"/>
      <c r="Q26" s="1014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</row>
    <row r="27" spans="1:29" s="74" customFormat="1">
      <c r="A27" s="1012"/>
      <c r="B27" s="1012"/>
      <c r="C27" s="1012"/>
      <c r="D27" s="1012"/>
      <c r="E27" s="1012"/>
      <c r="F27" s="1013"/>
      <c r="G27" s="1012"/>
      <c r="H27" s="1012"/>
      <c r="I27" s="1012"/>
      <c r="J27" s="1012"/>
      <c r="K27" s="1013"/>
      <c r="L27" s="1013"/>
      <c r="M27" s="974"/>
      <c r="N27" s="1012"/>
      <c r="O27" s="1014"/>
      <c r="P27" s="1014"/>
      <c r="Q27" s="1014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</row>
    <row r="28" spans="1:29" s="74" customFormat="1">
      <c r="A28" s="1012"/>
      <c r="B28" s="1012"/>
      <c r="C28" s="1012"/>
      <c r="D28" s="1012"/>
      <c r="E28" s="1012"/>
      <c r="F28" s="1013"/>
      <c r="G28" s="1012"/>
      <c r="H28" s="1012"/>
      <c r="I28" s="1012"/>
      <c r="J28" s="1012"/>
      <c r="K28" s="1013"/>
      <c r="L28" s="1013"/>
      <c r="M28" s="974"/>
      <c r="N28" s="1012"/>
      <c r="O28" s="1014"/>
      <c r="P28" s="1014"/>
      <c r="Q28" s="1014"/>
      <c r="R28" s="980"/>
      <c r="S28" s="980"/>
      <c r="T28" s="980"/>
      <c r="U28" s="980"/>
      <c r="V28" s="980"/>
      <c r="W28" s="980"/>
      <c r="X28" s="980"/>
      <c r="Y28" s="980"/>
      <c r="Z28" s="980"/>
      <c r="AA28" s="980"/>
      <c r="AB28" s="980"/>
      <c r="AC28" s="980"/>
    </row>
    <row r="29" spans="1:29" s="74" customFormat="1">
      <c r="A29" s="1012"/>
      <c r="B29" s="1012"/>
      <c r="C29" s="1012"/>
      <c r="D29" s="1012"/>
      <c r="E29" s="1012"/>
      <c r="F29" s="1013"/>
      <c r="G29" s="1012"/>
      <c r="H29" s="1012"/>
      <c r="I29" s="1012"/>
      <c r="J29" s="1012"/>
      <c r="K29" s="1013"/>
      <c r="L29" s="1013"/>
      <c r="M29" s="974"/>
      <c r="N29" s="1012"/>
      <c r="O29" s="1014"/>
      <c r="P29" s="1014"/>
      <c r="Q29" s="1014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</row>
    <row r="30" spans="1:29" s="74" customFormat="1">
      <c r="A30" s="1012"/>
      <c r="B30" s="1012"/>
      <c r="C30" s="1012"/>
      <c r="D30" s="1012"/>
      <c r="E30" s="1012"/>
      <c r="F30" s="1013"/>
      <c r="G30" s="1012"/>
      <c r="H30" s="1012"/>
      <c r="I30" s="1012"/>
      <c r="J30" s="1012"/>
      <c r="K30" s="1013"/>
      <c r="L30" s="1013"/>
      <c r="M30" s="974"/>
      <c r="N30" s="1012"/>
      <c r="O30" s="1014"/>
      <c r="P30" s="1014"/>
      <c r="Q30" s="1014"/>
      <c r="R30" s="980"/>
      <c r="S30" s="980"/>
      <c r="T30" s="980"/>
      <c r="U30" s="980"/>
      <c r="V30" s="980"/>
      <c r="W30" s="980"/>
      <c r="X30" s="980"/>
      <c r="Y30" s="980"/>
      <c r="Z30" s="980"/>
      <c r="AA30" s="980"/>
      <c r="AB30" s="980"/>
      <c r="AC30" s="980"/>
    </row>
    <row r="31" spans="1:29" s="74" customFormat="1">
      <c r="A31" s="1012"/>
      <c r="B31" s="1012"/>
      <c r="C31" s="1012"/>
      <c r="D31" s="1012"/>
      <c r="E31" s="1012"/>
      <c r="F31" s="1013"/>
      <c r="G31" s="1012"/>
      <c r="H31" s="1012"/>
      <c r="I31" s="1012"/>
      <c r="J31" s="1012"/>
      <c r="K31" s="1013"/>
      <c r="L31" s="1013"/>
      <c r="M31" s="974"/>
      <c r="N31" s="1012"/>
      <c r="O31" s="1014"/>
      <c r="P31" s="1014"/>
      <c r="Q31" s="1014"/>
      <c r="R31" s="980"/>
      <c r="S31" s="980"/>
      <c r="T31" s="980"/>
      <c r="U31" s="980"/>
      <c r="V31" s="980"/>
      <c r="W31" s="980"/>
      <c r="X31" s="980"/>
      <c r="Y31" s="980"/>
      <c r="Z31" s="980"/>
      <c r="AA31" s="980"/>
      <c r="AB31" s="980"/>
      <c r="AC31" s="980"/>
    </row>
    <row r="32" spans="1:29" s="74" customFormat="1">
      <c r="A32" s="1012"/>
      <c r="B32" s="1012"/>
      <c r="C32" s="1012"/>
      <c r="D32" s="1012"/>
      <c r="E32" s="1012"/>
      <c r="F32" s="1013"/>
      <c r="G32" s="1012"/>
      <c r="H32" s="1012"/>
      <c r="I32" s="1012"/>
      <c r="J32" s="1012"/>
      <c r="K32" s="1013"/>
      <c r="L32" s="1013"/>
      <c r="M32" s="974"/>
      <c r="N32" s="1012"/>
      <c r="O32" s="1014"/>
      <c r="P32" s="1014"/>
      <c r="Q32" s="1014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</row>
    <row r="33" spans="1:29" s="74" customFormat="1">
      <c r="A33" s="1012"/>
      <c r="B33" s="1012"/>
      <c r="C33" s="1012"/>
      <c r="D33" s="1012"/>
      <c r="E33" s="1012"/>
      <c r="F33" s="1013"/>
      <c r="G33" s="1012"/>
      <c r="H33" s="1012"/>
      <c r="I33" s="1012"/>
      <c r="J33" s="1012"/>
      <c r="K33" s="1013"/>
      <c r="L33" s="1013"/>
      <c r="M33" s="974"/>
      <c r="N33" s="1012"/>
      <c r="O33" s="1014"/>
      <c r="P33" s="1014"/>
      <c r="Q33" s="1014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</row>
    <row r="34" spans="1:29" s="74" customFormat="1">
      <c r="A34" s="1012"/>
      <c r="B34" s="1012"/>
      <c r="C34" s="1012"/>
      <c r="D34" s="1012"/>
      <c r="E34" s="1012"/>
      <c r="F34" s="1013"/>
      <c r="G34" s="1012"/>
      <c r="H34" s="1012"/>
      <c r="I34" s="1012"/>
      <c r="J34" s="1012"/>
      <c r="K34" s="1013"/>
      <c r="L34" s="1013"/>
      <c r="M34" s="974"/>
      <c r="N34" s="1012"/>
      <c r="O34" s="1014"/>
      <c r="P34" s="1014"/>
      <c r="Q34" s="1014"/>
      <c r="R34" s="980"/>
      <c r="S34" s="980"/>
      <c r="T34" s="980"/>
      <c r="U34" s="980"/>
      <c r="V34" s="980"/>
      <c r="W34" s="980"/>
      <c r="X34" s="980"/>
      <c r="Y34" s="980"/>
      <c r="Z34" s="980"/>
      <c r="AA34" s="980"/>
      <c r="AB34" s="980"/>
      <c r="AC34" s="980"/>
    </row>
    <row r="35" spans="1:29" s="74" customFormat="1">
      <c r="A35" s="1012"/>
      <c r="B35" s="1012"/>
      <c r="C35" s="1012"/>
      <c r="D35" s="1012"/>
      <c r="E35" s="1012"/>
      <c r="F35" s="1013"/>
      <c r="G35" s="1012"/>
      <c r="H35" s="1012"/>
      <c r="I35" s="1012"/>
      <c r="J35" s="1012"/>
      <c r="K35" s="1013"/>
      <c r="L35" s="1013"/>
      <c r="M35" s="974"/>
      <c r="N35" s="1012"/>
      <c r="O35" s="1014"/>
      <c r="P35" s="1014"/>
      <c r="Q35" s="1014"/>
      <c r="R35" s="980"/>
      <c r="S35" s="980"/>
      <c r="T35" s="980"/>
      <c r="U35" s="980"/>
      <c r="V35" s="980"/>
      <c r="W35" s="980"/>
      <c r="X35" s="980"/>
      <c r="Y35" s="980"/>
      <c r="Z35" s="980"/>
      <c r="AA35" s="980"/>
      <c r="AB35" s="980"/>
      <c r="AC35" s="980"/>
    </row>
    <row r="36" spans="1:29" s="74" customFormat="1">
      <c r="A36" s="1012"/>
      <c r="B36" s="1012"/>
      <c r="C36" s="1012"/>
      <c r="D36" s="1012"/>
      <c r="E36" s="1012"/>
      <c r="F36" s="1013"/>
      <c r="G36" s="1012"/>
      <c r="H36" s="1012"/>
      <c r="I36" s="1012"/>
      <c r="J36" s="1012"/>
      <c r="K36" s="1013"/>
      <c r="L36" s="1013"/>
      <c r="M36" s="974"/>
      <c r="N36" s="1012"/>
      <c r="O36" s="1014"/>
      <c r="P36" s="1014"/>
      <c r="Q36" s="1014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</row>
    <row r="37" spans="1:29" s="74" customFormat="1">
      <c r="A37" s="1012"/>
      <c r="B37" s="1012"/>
      <c r="C37" s="1012"/>
      <c r="D37" s="1012"/>
      <c r="E37" s="1012"/>
      <c r="F37" s="1013"/>
      <c r="G37" s="1012"/>
      <c r="H37" s="1012"/>
      <c r="I37" s="1012"/>
      <c r="J37" s="1012"/>
      <c r="K37" s="1013"/>
      <c r="L37" s="1013"/>
      <c r="M37" s="974"/>
      <c r="N37" s="1012"/>
      <c r="O37" s="1014"/>
      <c r="P37" s="1014"/>
      <c r="Q37" s="1014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</row>
    <row r="38" spans="1:29" s="74" customFormat="1">
      <c r="A38" s="1012"/>
      <c r="B38" s="1012"/>
      <c r="C38" s="1012"/>
      <c r="D38" s="1012"/>
      <c r="E38" s="1012"/>
      <c r="F38" s="1013"/>
      <c r="G38" s="1012"/>
      <c r="H38" s="1012"/>
      <c r="I38" s="1012"/>
      <c r="J38" s="1012"/>
      <c r="K38" s="1013"/>
      <c r="L38" s="1013"/>
      <c r="M38" s="974"/>
      <c r="N38" s="1012"/>
      <c r="O38" s="1014"/>
      <c r="P38" s="1014"/>
      <c r="Q38" s="1014"/>
      <c r="R38" s="980"/>
      <c r="S38" s="980"/>
      <c r="T38" s="980"/>
      <c r="U38" s="980"/>
      <c r="V38" s="980"/>
      <c r="W38" s="980"/>
      <c r="X38" s="980"/>
      <c r="Y38" s="980"/>
      <c r="Z38" s="980"/>
      <c r="AA38" s="980"/>
      <c r="AB38" s="980"/>
      <c r="AC38" s="980"/>
    </row>
    <row r="39" spans="1:29" s="74" customFormat="1">
      <c r="A39" s="1012"/>
      <c r="B39" s="1012"/>
      <c r="C39" s="1012"/>
      <c r="D39" s="1012"/>
      <c r="E39" s="1012"/>
      <c r="F39" s="1013"/>
      <c r="G39" s="1012"/>
      <c r="H39" s="1012"/>
      <c r="I39" s="1012"/>
      <c r="J39" s="1012"/>
      <c r="K39" s="1013"/>
      <c r="L39" s="1013"/>
      <c r="M39" s="974"/>
      <c r="N39" s="1012"/>
      <c r="O39" s="1014"/>
      <c r="P39" s="1014"/>
      <c r="Q39" s="1014"/>
      <c r="R39" s="980"/>
      <c r="S39" s="980"/>
      <c r="T39" s="980"/>
      <c r="U39" s="980"/>
      <c r="V39" s="980"/>
      <c r="W39" s="980"/>
      <c r="X39" s="980"/>
      <c r="Y39" s="980"/>
      <c r="Z39" s="980"/>
      <c r="AA39" s="980"/>
      <c r="AB39" s="980"/>
      <c r="AC39" s="980"/>
    </row>
    <row r="40" spans="1:29" s="74" customFormat="1">
      <c r="A40" s="1012"/>
      <c r="B40" s="1012"/>
      <c r="C40" s="1012"/>
      <c r="D40" s="1012"/>
      <c r="E40" s="1012"/>
      <c r="F40" s="1013"/>
      <c r="G40" s="1012"/>
      <c r="H40" s="1012"/>
      <c r="I40" s="1012"/>
      <c r="J40" s="1012"/>
      <c r="K40" s="1013"/>
      <c r="L40" s="1013"/>
      <c r="M40" s="974"/>
      <c r="N40" s="1012"/>
      <c r="O40" s="1014"/>
      <c r="P40" s="1014"/>
      <c r="Q40" s="1014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</row>
    <row r="41" spans="1:29" s="74" customFormat="1">
      <c r="A41" s="1012"/>
      <c r="B41" s="1012"/>
      <c r="C41" s="1012"/>
      <c r="D41" s="1012"/>
      <c r="E41" s="1012"/>
      <c r="F41" s="1013"/>
      <c r="G41" s="1012"/>
      <c r="H41" s="1012"/>
      <c r="I41" s="1012"/>
      <c r="J41" s="1012"/>
      <c r="K41" s="1013"/>
      <c r="L41" s="1013"/>
      <c r="M41" s="974"/>
      <c r="N41" s="1012"/>
      <c r="O41" s="1014"/>
      <c r="P41" s="1014"/>
      <c r="Q41" s="1014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</row>
    <row r="42" spans="1:29" s="74" customFormat="1">
      <c r="A42" s="1012"/>
      <c r="B42" s="1012"/>
      <c r="C42" s="1012"/>
      <c r="D42" s="1012"/>
      <c r="E42" s="1012"/>
      <c r="F42" s="1013"/>
      <c r="G42" s="1012"/>
      <c r="H42" s="1012"/>
      <c r="I42" s="1012"/>
      <c r="J42" s="1012"/>
      <c r="K42" s="1013"/>
      <c r="L42" s="1013"/>
      <c r="M42" s="974"/>
      <c r="N42" s="1012"/>
      <c r="O42" s="1014"/>
      <c r="P42" s="1014"/>
      <c r="Q42" s="1014"/>
      <c r="R42" s="980"/>
      <c r="S42" s="980"/>
      <c r="T42" s="980"/>
      <c r="U42" s="980"/>
      <c r="V42" s="980"/>
      <c r="W42" s="980"/>
      <c r="X42" s="980"/>
      <c r="Y42" s="980"/>
      <c r="Z42" s="980"/>
      <c r="AA42" s="980"/>
      <c r="AB42" s="980"/>
      <c r="AC42" s="980"/>
    </row>
    <row r="43" spans="1:29" s="74" customFormat="1">
      <c r="A43" s="1012"/>
      <c r="B43" s="1012"/>
      <c r="C43" s="1012"/>
      <c r="D43" s="1012"/>
      <c r="E43" s="1012"/>
      <c r="F43" s="1013"/>
      <c r="G43" s="1012"/>
      <c r="H43" s="1012"/>
      <c r="I43" s="1012"/>
      <c r="J43" s="1012"/>
      <c r="K43" s="1013"/>
      <c r="L43" s="1013"/>
      <c r="M43" s="974"/>
      <c r="N43" s="1012"/>
      <c r="O43" s="1014"/>
      <c r="P43" s="1014"/>
      <c r="Q43" s="1014"/>
      <c r="R43" s="980"/>
      <c r="S43" s="980"/>
      <c r="T43" s="980"/>
      <c r="U43" s="980"/>
      <c r="V43" s="980"/>
      <c r="W43" s="980"/>
      <c r="X43" s="980"/>
      <c r="Y43" s="980"/>
      <c r="Z43" s="980"/>
      <c r="AA43" s="980"/>
      <c r="AB43" s="980"/>
      <c r="AC43" s="980"/>
    </row>
    <row r="44" spans="1:29" s="74" customFormat="1">
      <c r="A44" s="1012"/>
      <c r="B44" s="1012"/>
      <c r="C44" s="1012"/>
      <c r="D44" s="1012"/>
      <c r="E44" s="1012"/>
      <c r="F44" s="1013"/>
      <c r="G44" s="1012"/>
      <c r="H44" s="1012"/>
      <c r="I44" s="1012"/>
      <c r="J44" s="1012"/>
      <c r="K44" s="1013"/>
      <c r="L44" s="1013"/>
      <c r="M44" s="974"/>
      <c r="N44" s="1012"/>
      <c r="O44" s="1014"/>
      <c r="P44" s="1014"/>
      <c r="Q44" s="1014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</row>
    <row r="45" spans="1:29" s="74" customFormat="1">
      <c r="A45" s="1012"/>
      <c r="B45" s="1012"/>
      <c r="C45" s="1012"/>
      <c r="D45" s="1012"/>
      <c r="E45" s="1012"/>
      <c r="F45" s="1013"/>
      <c r="G45" s="1012"/>
      <c r="H45" s="1012"/>
      <c r="I45" s="1012"/>
      <c r="J45" s="1012"/>
      <c r="K45" s="1013"/>
      <c r="L45" s="1013"/>
      <c r="M45" s="974"/>
      <c r="N45" s="1012"/>
      <c r="O45" s="1014"/>
      <c r="P45" s="1014"/>
      <c r="Q45" s="1014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</row>
    <row r="46" spans="1:29" s="74" customFormat="1">
      <c r="A46" s="1012"/>
      <c r="B46" s="1012"/>
      <c r="C46" s="1012"/>
      <c r="D46" s="1012"/>
      <c r="E46" s="1012"/>
      <c r="F46" s="1013"/>
      <c r="G46" s="1012"/>
      <c r="H46" s="1012"/>
      <c r="I46" s="1012"/>
      <c r="J46" s="1012"/>
      <c r="K46" s="1013"/>
      <c r="L46" s="1013"/>
      <c r="M46" s="974"/>
      <c r="N46" s="1012"/>
      <c r="O46" s="1014"/>
      <c r="P46" s="1014"/>
      <c r="Q46" s="1014"/>
      <c r="R46" s="980"/>
      <c r="S46" s="980"/>
      <c r="T46" s="980"/>
      <c r="U46" s="980"/>
      <c r="V46" s="980"/>
      <c r="W46" s="980"/>
      <c r="X46" s="980"/>
      <c r="Y46" s="980"/>
      <c r="Z46" s="980"/>
      <c r="AA46" s="980"/>
      <c r="AB46" s="980"/>
      <c r="AC46" s="980"/>
    </row>
    <row r="47" spans="1:29" s="74" customFormat="1">
      <c r="A47" s="1012"/>
      <c r="B47" s="1012"/>
      <c r="C47" s="1012"/>
      <c r="D47" s="1012"/>
      <c r="E47" s="1012"/>
      <c r="F47" s="1013"/>
      <c r="G47" s="1012"/>
      <c r="H47" s="1012"/>
      <c r="I47" s="1012"/>
      <c r="J47" s="1012"/>
      <c r="K47" s="1013"/>
      <c r="L47" s="1013"/>
      <c r="M47" s="974"/>
      <c r="N47" s="1012"/>
      <c r="O47" s="1014"/>
      <c r="P47" s="1014"/>
      <c r="Q47" s="1014"/>
      <c r="R47" s="980"/>
      <c r="S47" s="980"/>
      <c r="T47" s="980"/>
      <c r="U47" s="980"/>
      <c r="V47" s="980"/>
      <c r="W47" s="980"/>
      <c r="X47" s="980"/>
      <c r="Y47" s="980"/>
      <c r="Z47" s="980"/>
      <c r="AA47" s="980"/>
      <c r="AB47" s="980"/>
      <c r="AC47" s="980"/>
    </row>
    <row r="48" spans="1:29" s="74" customFormat="1">
      <c r="A48" s="1012"/>
      <c r="B48" s="1012"/>
      <c r="C48" s="1012"/>
      <c r="D48" s="1012"/>
      <c r="E48" s="1012"/>
      <c r="F48" s="1013"/>
      <c r="G48" s="1012"/>
      <c r="H48" s="1012"/>
      <c r="I48" s="1012"/>
      <c r="J48" s="1012"/>
      <c r="K48" s="1013"/>
      <c r="L48" s="1013"/>
      <c r="M48" s="974"/>
      <c r="N48" s="1012"/>
      <c r="O48" s="1014"/>
      <c r="P48" s="1014"/>
      <c r="Q48" s="1014"/>
      <c r="R48" s="980"/>
      <c r="S48" s="980"/>
      <c r="T48" s="980"/>
      <c r="U48" s="980"/>
      <c r="V48" s="980"/>
      <c r="W48" s="980"/>
      <c r="X48" s="980"/>
      <c r="Y48" s="980"/>
      <c r="Z48" s="980"/>
      <c r="AA48" s="980"/>
      <c r="AB48" s="980"/>
      <c r="AC48" s="980"/>
    </row>
    <row r="49" spans="1:29" s="74" customFormat="1">
      <c r="A49" s="1012"/>
      <c r="B49" s="1012"/>
      <c r="C49" s="1012"/>
      <c r="D49" s="1012"/>
      <c r="E49" s="1012"/>
      <c r="F49" s="1013"/>
      <c r="G49" s="1012"/>
      <c r="H49" s="1012"/>
      <c r="I49" s="1012"/>
      <c r="J49" s="1012"/>
      <c r="K49" s="1013"/>
      <c r="L49" s="1013"/>
      <c r="M49" s="974"/>
      <c r="N49" s="1012"/>
      <c r="O49" s="1014"/>
      <c r="P49" s="1014"/>
      <c r="Q49" s="1014"/>
      <c r="R49" s="980"/>
      <c r="S49" s="980"/>
      <c r="T49" s="980"/>
      <c r="U49" s="980"/>
      <c r="V49" s="980"/>
      <c r="W49" s="980"/>
      <c r="X49" s="980"/>
      <c r="Y49" s="980"/>
      <c r="Z49" s="980"/>
      <c r="AA49" s="980"/>
      <c r="AB49" s="980"/>
      <c r="AC49" s="980"/>
    </row>
    <row r="50" spans="1:29" s="74" customFormat="1">
      <c r="A50" s="1012"/>
      <c r="B50" s="1012"/>
      <c r="C50" s="1012"/>
      <c r="D50" s="1012"/>
      <c r="E50" s="1012"/>
      <c r="F50" s="1013"/>
      <c r="G50" s="1012"/>
      <c r="H50" s="1012"/>
      <c r="I50" s="1012"/>
      <c r="J50" s="1012"/>
      <c r="K50" s="1013"/>
      <c r="L50" s="1013"/>
      <c r="M50" s="974"/>
      <c r="N50" s="1012"/>
      <c r="O50" s="1014"/>
      <c r="P50" s="1014"/>
      <c r="Q50" s="1014"/>
      <c r="R50" s="980"/>
      <c r="S50" s="980"/>
      <c r="T50" s="980"/>
      <c r="U50" s="980"/>
      <c r="V50" s="980"/>
      <c r="W50" s="980"/>
      <c r="X50" s="980"/>
      <c r="Y50" s="980"/>
      <c r="Z50" s="980"/>
      <c r="AA50" s="980"/>
      <c r="AB50" s="980"/>
      <c r="AC50" s="980"/>
    </row>
    <row r="51" spans="1:29" s="74" customFormat="1">
      <c r="A51" s="1012"/>
      <c r="B51" s="1012"/>
      <c r="C51" s="1012"/>
      <c r="D51" s="1012"/>
      <c r="E51" s="1012"/>
      <c r="F51" s="1013"/>
      <c r="G51" s="1012"/>
      <c r="H51" s="1012"/>
      <c r="I51" s="1012"/>
      <c r="J51" s="1012"/>
      <c r="K51" s="1013"/>
      <c r="L51" s="1013"/>
      <c r="M51" s="974"/>
      <c r="N51" s="1012"/>
      <c r="O51" s="1014"/>
      <c r="P51" s="1014"/>
      <c r="Q51" s="1014"/>
      <c r="R51" s="980"/>
      <c r="S51" s="980"/>
      <c r="T51" s="980"/>
      <c r="U51" s="980"/>
      <c r="V51" s="980"/>
      <c r="W51" s="980"/>
      <c r="X51" s="980"/>
      <c r="Y51" s="980"/>
      <c r="Z51" s="980"/>
      <c r="AA51" s="980"/>
      <c r="AB51" s="980"/>
      <c r="AC51" s="980"/>
    </row>
    <row r="52" spans="1:29" s="74" customFormat="1">
      <c r="A52" s="1012"/>
      <c r="B52" s="1012"/>
      <c r="C52" s="1012"/>
      <c r="D52" s="1012"/>
      <c r="E52" s="1012"/>
      <c r="F52" s="1013"/>
      <c r="G52" s="1012"/>
      <c r="H52" s="1012"/>
      <c r="I52" s="1012"/>
      <c r="J52" s="1012"/>
      <c r="K52" s="1013"/>
      <c r="L52" s="1013"/>
      <c r="M52" s="974"/>
      <c r="N52" s="1012"/>
      <c r="O52" s="1014"/>
      <c r="P52" s="1014"/>
      <c r="Q52" s="1014"/>
      <c r="R52" s="980"/>
      <c r="S52" s="980"/>
      <c r="T52" s="980"/>
      <c r="U52" s="980"/>
      <c r="V52" s="980"/>
      <c r="W52" s="980"/>
      <c r="X52" s="980"/>
      <c r="Y52" s="980"/>
      <c r="Z52" s="980"/>
      <c r="AA52" s="980"/>
      <c r="AB52" s="980"/>
      <c r="AC52" s="980"/>
    </row>
    <row r="53" spans="1:29" s="74" customFormat="1">
      <c r="A53" s="1012"/>
      <c r="B53" s="1012"/>
      <c r="C53" s="1012"/>
      <c r="D53" s="1012"/>
      <c r="E53" s="1012"/>
      <c r="F53" s="1013"/>
      <c r="G53" s="1012"/>
      <c r="H53" s="1012"/>
      <c r="I53" s="1012"/>
      <c r="J53" s="1012"/>
      <c r="K53" s="1013"/>
      <c r="L53" s="1013"/>
      <c r="M53" s="974"/>
      <c r="N53" s="1012"/>
      <c r="O53" s="1014"/>
      <c r="P53" s="1014"/>
      <c r="Q53" s="1014"/>
      <c r="R53" s="980"/>
      <c r="S53" s="980"/>
      <c r="T53" s="980"/>
      <c r="U53" s="980"/>
      <c r="V53" s="980"/>
      <c r="W53" s="980"/>
      <c r="X53" s="980"/>
      <c r="Y53" s="980"/>
      <c r="Z53" s="980"/>
      <c r="AA53" s="980"/>
      <c r="AB53" s="980"/>
      <c r="AC53" s="980"/>
    </row>
    <row r="54" spans="1:29" s="74" customFormat="1">
      <c r="A54" s="1012"/>
      <c r="B54" s="1012"/>
      <c r="C54" s="1012"/>
      <c r="D54" s="1012"/>
      <c r="E54" s="1012"/>
      <c r="F54" s="1013"/>
      <c r="G54" s="1012"/>
      <c r="H54" s="1012"/>
      <c r="I54" s="1012"/>
      <c r="J54" s="1012"/>
      <c r="K54" s="1013"/>
      <c r="L54" s="1013"/>
      <c r="M54" s="974"/>
      <c r="N54" s="1012"/>
      <c r="O54" s="1014"/>
      <c r="P54" s="1014"/>
      <c r="Q54" s="1014"/>
      <c r="R54" s="980"/>
      <c r="S54" s="980"/>
      <c r="T54" s="980"/>
      <c r="U54" s="980"/>
      <c r="V54" s="980"/>
      <c r="W54" s="980"/>
      <c r="X54" s="980"/>
      <c r="Y54" s="980"/>
      <c r="Z54" s="980"/>
      <c r="AA54" s="980"/>
      <c r="AB54" s="980"/>
      <c r="AC54" s="980"/>
    </row>
  </sheetData>
  <mergeCells count="10">
    <mergeCell ref="A9:Q9"/>
    <mergeCell ref="O6:Q6"/>
    <mergeCell ref="A4:I6"/>
    <mergeCell ref="J4:M5"/>
    <mergeCell ref="N4:N6"/>
    <mergeCell ref="O4:O5"/>
    <mergeCell ref="Q4:Q5"/>
    <mergeCell ref="A7:Q7"/>
    <mergeCell ref="A8:Q8"/>
    <mergeCell ref="P4:P5"/>
  </mergeCells>
  <hyperlinks>
    <hyperlink ref="A1:I1" location="Главная!A1" display="Вернуться на главную страницу" xr:uid="{00000000-0004-0000-2300-000000000000}"/>
  </hyperlink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FFFF"/>
  </sheetPr>
  <dimension ref="A1:T56"/>
  <sheetViews>
    <sheetView zoomScale="70" zoomScaleNormal="70" workbookViewId="0">
      <pane ySplit="6" topLeftCell="A7" activePane="bottomLeft" state="frozen"/>
      <selection pane="bottomLeft"/>
    </sheetView>
  </sheetViews>
  <sheetFormatPr defaultRowHeight="15.75"/>
  <cols>
    <col min="1" max="1" width="10.85546875" style="7" customWidth="1"/>
    <col min="2" max="2" width="6" style="7" customWidth="1"/>
    <col min="3" max="3" width="3" style="7" customWidth="1"/>
    <col min="4" max="4" width="6" style="7" customWidth="1"/>
    <col min="5" max="5" width="3" style="7" customWidth="1"/>
    <col min="6" max="6" width="7.7109375" style="96" customWidth="1"/>
    <col min="7" max="7" width="3" style="7" customWidth="1"/>
    <col min="8" max="8" width="6" style="7" customWidth="1"/>
    <col min="9" max="9" width="8.140625" style="7" customWidth="1"/>
    <col min="10" max="10" width="11.28515625" style="7" customWidth="1"/>
    <col min="11" max="12" width="11.28515625" style="96" customWidth="1"/>
    <col min="13" max="13" width="15.5703125" style="9" customWidth="1"/>
    <col min="14" max="15" width="19.140625" style="7" customWidth="1"/>
    <col min="16" max="16" width="27.7109375" style="251" customWidth="1"/>
    <col min="17" max="17" width="26.28515625" style="118" customWidth="1"/>
    <col min="18" max="18" width="27.7109375" style="251" customWidth="1"/>
    <col min="20" max="20" width="31.28515625" customWidth="1"/>
  </cols>
  <sheetData>
    <row r="1" spans="1:20">
      <c r="A1" s="1169" t="s">
        <v>9</v>
      </c>
      <c r="B1" s="1169"/>
      <c r="C1" s="1169"/>
      <c r="D1" s="1169"/>
      <c r="E1" s="1169"/>
      <c r="F1" s="97"/>
      <c r="G1" s="1169"/>
      <c r="H1" s="1169"/>
      <c r="I1" s="1169"/>
      <c r="M1" s="176"/>
      <c r="P1" s="118"/>
      <c r="R1" s="118"/>
    </row>
    <row r="2" spans="1:20">
      <c r="A2" s="956" t="s">
        <v>377</v>
      </c>
      <c r="B2" s="1169"/>
      <c r="C2" s="1169"/>
      <c r="D2" s="1169"/>
      <c r="E2" s="1169"/>
      <c r="F2" s="97"/>
      <c r="G2" s="1169"/>
      <c r="H2" s="1169"/>
      <c r="I2" s="1169"/>
      <c r="M2" s="175"/>
      <c r="P2" s="117"/>
      <c r="Q2" s="117"/>
      <c r="R2" s="117"/>
    </row>
    <row r="3" spans="1:20" ht="16.5" thickBot="1">
      <c r="A3" s="16"/>
      <c r="B3" s="16"/>
      <c r="C3" s="16"/>
      <c r="D3" s="16"/>
      <c r="E3" s="16"/>
      <c r="F3" s="109"/>
      <c r="G3" s="16"/>
      <c r="H3" s="16"/>
      <c r="I3" s="1251"/>
      <c r="J3" s="16"/>
      <c r="K3" s="108"/>
      <c r="L3" s="108"/>
      <c r="M3" s="175"/>
      <c r="P3" s="116"/>
      <c r="Q3" s="117"/>
      <c r="R3" s="117"/>
    </row>
    <row r="4" spans="1:20" ht="57" customHeight="1">
      <c r="A4" s="2772" t="s">
        <v>8</v>
      </c>
      <c r="B4" s="2773"/>
      <c r="C4" s="2773"/>
      <c r="D4" s="2773"/>
      <c r="E4" s="2773"/>
      <c r="F4" s="2773"/>
      <c r="G4" s="2773"/>
      <c r="H4" s="2773"/>
      <c r="I4" s="2774"/>
      <c r="J4" s="2781" t="s">
        <v>97</v>
      </c>
      <c r="K4" s="2782"/>
      <c r="L4" s="2782"/>
      <c r="M4" s="2783"/>
      <c r="N4" s="2787" t="s">
        <v>96</v>
      </c>
      <c r="O4" s="2787" t="s">
        <v>468</v>
      </c>
      <c r="P4" s="2790" t="s">
        <v>173</v>
      </c>
      <c r="Q4" s="2790" t="s">
        <v>71</v>
      </c>
      <c r="R4" s="2767" t="s">
        <v>5817</v>
      </c>
    </row>
    <row r="5" spans="1:20" ht="57" customHeight="1" thickBot="1">
      <c r="A5" s="2775"/>
      <c r="B5" s="2776"/>
      <c r="C5" s="2776"/>
      <c r="D5" s="2776"/>
      <c r="E5" s="2776"/>
      <c r="F5" s="2776"/>
      <c r="G5" s="2776"/>
      <c r="H5" s="2776"/>
      <c r="I5" s="2777"/>
      <c r="J5" s="2784"/>
      <c r="K5" s="2785"/>
      <c r="L5" s="2785"/>
      <c r="M5" s="2786"/>
      <c r="N5" s="2788"/>
      <c r="O5" s="2788"/>
      <c r="P5" s="2791"/>
      <c r="Q5" s="2792"/>
      <c r="R5" s="2768"/>
    </row>
    <row r="6" spans="1:20" ht="63.75" thickBot="1">
      <c r="A6" s="2778"/>
      <c r="B6" s="2779"/>
      <c r="C6" s="2779"/>
      <c r="D6" s="2779"/>
      <c r="E6" s="2779"/>
      <c r="F6" s="2779"/>
      <c r="G6" s="2779"/>
      <c r="H6" s="2779"/>
      <c r="I6" s="2780"/>
      <c r="J6" s="1176" t="s">
        <v>0</v>
      </c>
      <c r="K6" s="1177" t="s">
        <v>1</v>
      </c>
      <c r="L6" s="1177" t="s">
        <v>2</v>
      </c>
      <c r="M6" s="1178" t="s">
        <v>94</v>
      </c>
      <c r="N6" s="2789"/>
      <c r="O6" s="2789"/>
      <c r="P6" s="2769" t="s">
        <v>169</v>
      </c>
      <c r="Q6" s="2770"/>
      <c r="R6" s="2771"/>
    </row>
    <row r="7" spans="1:20" s="74" customFormat="1" ht="19.5" customHeight="1" thickBot="1">
      <c r="A7" s="2595" t="s">
        <v>525</v>
      </c>
      <c r="B7" s="2596"/>
      <c r="C7" s="2596"/>
      <c r="D7" s="2596"/>
      <c r="E7" s="2596"/>
      <c r="F7" s="2596"/>
      <c r="G7" s="2596"/>
      <c r="H7" s="2596"/>
      <c r="I7" s="2596"/>
      <c r="J7" s="2596"/>
      <c r="K7" s="2596"/>
      <c r="L7" s="2596"/>
      <c r="M7" s="2596"/>
      <c r="N7" s="2596"/>
      <c r="O7" s="2596"/>
      <c r="P7" s="2596"/>
      <c r="Q7" s="2596"/>
      <c r="R7" s="2597"/>
    </row>
    <row r="8" spans="1:20" ht="19.5" thickBot="1">
      <c r="A8" s="2580" t="s">
        <v>48</v>
      </c>
      <c r="B8" s="2581"/>
      <c r="C8" s="2581"/>
      <c r="D8" s="2581"/>
      <c r="E8" s="2581"/>
      <c r="F8" s="2581"/>
      <c r="G8" s="2581"/>
      <c r="H8" s="2581"/>
      <c r="I8" s="2581"/>
      <c r="J8" s="2581"/>
      <c r="K8" s="2581"/>
      <c r="L8" s="2581"/>
      <c r="M8" s="2581"/>
      <c r="N8" s="2581"/>
      <c r="O8" s="2581"/>
      <c r="P8" s="2581"/>
      <c r="Q8" s="2581"/>
      <c r="R8" s="2582"/>
    </row>
    <row r="9" spans="1:20" ht="16.5" thickBot="1">
      <c r="A9" s="2583" t="s">
        <v>134</v>
      </c>
      <c r="B9" s="2584"/>
      <c r="C9" s="2584"/>
      <c r="D9" s="2584"/>
      <c r="E9" s="2584"/>
      <c r="F9" s="2584"/>
      <c r="G9" s="2584"/>
      <c r="H9" s="2584"/>
      <c r="I9" s="2584"/>
      <c r="J9" s="2584"/>
      <c r="K9" s="2584"/>
      <c r="L9" s="2584"/>
      <c r="M9" s="2584"/>
      <c r="N9" s="2584"/>
      <c r="O9" s="2584"/>
      <c r="P9" s="2584"/>
      <c r="Q9" s="2584"/>
      <c r="R9" s="2585"/>
      <c r="T9" s="74"/>
    </row>
    <row r="10" spans="1:20" ht="16.5" thickBot="1">
      <c r="A10" s="1179" t="s">
        <v>469</v>
      </c>
      <c r="B10" s="1180">
        <f t="shared" ref="B10:B56" si="0">J10</f>
        <v>90</v>
      </c>
      <c r="C10" s="1180" t="s">
        <v>3</v>
      </c>
      <c r="D10" s="1180">
        <f t="shared" ref="D10:D56" si="1">K10</f>
        <v>360</v>
      </c>
      <c r="E10" s="1180" t="s">
        <v>3</v>
      </c>
      <c r="F10" s="1181">
        <f t="shared" ref="F10:F56" si="2">L10</f>
        <v>700</v>
      </c>
      <c r="G10" s="1180" t="s">
        <v>3</v>
      </c>
      <c r="H10" s="1180">
        <v>2</v>
      </c>
      <c r="I10" s="1182" t="s">
        <v>581</v>
      </c>
      <c r="J10" s="344">
        <v>90</v>
      </c>
      <c r="K10" s="327">
        <v>360</v>
      </c>
      <c r="L10" s="327">
        <v>700</v>
      </c>
      <c r="M10" s="301">
        <v>8.4238715468274989</v>
      </c>
      <c r="N10" s="302">
        <v>1087.47912</v>
      </c>
      <c r="O10" s="302">
        <v>180</v>
      </c>
      <c r="P10" s="303">
        <v>36763.212998230003</v>
      </c>
      <c r="Q10" s="304">
        <v>10542.143907826316</v>
      </c>
      <c r="R10" s="303">
        <v>47305.356906056317</v>
      </c>
      <c r="T10" s="7" t="s">
        <v>7724</v>
      </c>
    </row>
    <row r="11" spans="1:20" ht="16.5" thickBot="1">
      <c r="A11" s="1179" t="s">
        <v>469</v>
      </c>
      <c r="B11" s="1183">
        <f t="shared" si="0"/>
        <v>90</v>
      </c>
      <c r="C11" s="1183" t="s">
        <v>3</v>
      </c>
      <c r="D11" s="1183">
        <f t="shared" si="1"/>
        <v>360</v>
      </c>
      <c r="E11" s="1183" t="s">
        <v>3</v>
      </c>
      <c r="F11" s="1181">
        <f t="shared" si="2"/>
        <v>750</v>
      </c>
      <c r="G11" s="1183" t="s">
        <v>3</v>
      </c>
      <c r="H11" s="1180">
        <v>2</v>
      </c>
      <c r="I11" s="1182" t="s">
        <v>581</v>
      </c>
      <c r="J11" s="112">
        <v>90</v>
      </c>
      <c r="K11" s="75">
        <v>360</v>
      </c>
      <c r="L11" s="75">
        <v>750</v>
      </c>
      <c r="M11" s="202">
        <v>8.8796049355949993</v>
      </c>
      <c r="N11" s="87">
        <v>1242.8332800000001</v>
      </c>
      <c r="O11" s="87">
        <v>180</v>
      </c>
      <c r="P11" s="123">
        <v>38605.379766180005</v>
      </c>
      <c r="Q11" s="120">
        <v>11095.741049329239</v>
      </c>
      <c r="R11" s="123">
        <v>49701.120815509246</v>
      </c>
      <c r="T11" s="7" t="s">
        <v>7725</v>
      </c>
    </row>
    <row r="12" spans="1:20" ht="16.5" thickBot="1">
      <c r="A12" s="1179" t="s">
        <v>469</v>
      </c>
      <c r="B12" s="1183">
        <f t="shared" si="0"/>
        <v>90</v>
      </c>
      <c r="C12" s="1183" t="s">
        <v>3</v>
      </c>
      <c r="D12" s="1183">
        <f t="shared" si="1"/>
        <v>360</v>
      </c>
      <c r="E12" s="1183" t="s">
        <v>3</v>
      </c>
      <c r="F12" s="1181">
        <f t="shared" si="2"/>
        <v>800</v>
      </c>
      <c r="G12" s="1183" t="s">
        <v>3</v>
      </c>
      <c r="H12" s="1180">
        <v>2</v>
      </c>
      <c r="I12" s="1182" t="s">
        <v>581</v>
      </c>
      <c r="J12" s="112">
        <v>90</v>
      </c>
      <c r="K12" s="75">
        <v>360</v>
      </c>
      <c r="L12" s="75">
        <v>800</v>
      </c>
      <c r="M12" s="202">
        <v>9.3353383243625014</v>
      </c>
      <c r="N12" s="87">
        <v>1398.1874399999999</v>
      </c>
      <c r="O12" s="87">
        <v>180</v>
      </c>
      <c r="P12" s="123">
        <v>40447.546767389998</v>
      </c>
      <c r="Q12" s="120">
        <v>11649.338190832164</v>
      </c>
      <c r="R12" s="123">
        <v>52096.884958222159</v>
      </c>
      <c r="T12" s="7" t="s">
        <v>7726</v>
      </c>
    </row>
    <row r="13" spans="1:20" ht="16.5" thickBot="1">
      <c r="A13" s="1179" t="s">
        <v>469</v>
      </c>
      <c r="B13" s="1183">
        <f t="shared" si="0"/>
        <v>90</v>
      </c>
      <c r="C13" s="1183" t="s">
        <v>3</v>
      </c>
      <c r="D13" s="1183">
        <f t="shared" si="1"/>
        <v>360</v>
      </c>
      <c r="E13" s="1183" t="s">
        <v>3</v>
      </c>
      <c r="F13" s="1181">
        <f t="shared" si="2"/>
        <v>850</v>
      </c>
      <c r="G13" s="1183" t="s">
        <v>3</v>
      </c>
      <c r="H13" s="1180">
        <v>2</v>
      </c>
      <c r="I13" s="1182" t="s">
        <v>581</v>
      </c>
      <c r="J13" s="112">
        <v>90</v>
      </c>
      <c r="K13" s="75">
        <v>360</v>
      </c>
      <c r="L13" s="75">
        <v>850</v>
      </c>
      <c r="M13" s="202">
        <v>9.8081117131299997</v>
      </c>
      <c r="N13" s="87">
        <v>1553.5416</v>
      </c>
      <c r="O13" s="87">
        <v>180</v>
      </c>
      <c r="P13" s="123">
        <v>42289.713768600006</v>
      </c>
      <c r="Q13" s="120">
        <v>12433.517110118366</v>
      </c>
      <c r="R13" s="123">
        <v>54723.230878718372</v>
      </c>
      <c r="T13" s="7" t="s">
        <v>7727</v>
      </c>
    </row>
    <row r="14" spans="1:20" ht="16.5" thickBot="1">
      <c r="A14" s="1179" t="s">
        <v>469</v>
      </c>
      <c r="B14" s="1183">
        <f t="shared" si="0"/>
        <v>90</v>
      </c>
      <c r="C14" s="1183" t="s">
        <v>3</v>
      </c>
      <c r="D14" s="1183">
        <f t="shared" si="1"/>
        <v>360</v>
      </c>
      <c r="E14" s="1183" t="s">
        <v>3</v>
      </c>
      <c r="F14" s="1181">
        <f t="shared" si="2"/>
        <v>900</v>
      </c>
      <c r="G14" s="1183" t="s">
        <v>3</v>
      </c>
      <c r="H14" s="1180">
        <v>2</v>
      </c>
      <c r="I14" s="1182" t="s">
        <v>581</v>
      </c>
      <c r="J14" s="112">
        <v>90</v>
      </c>
      <c r="K14" s="75">
        <v>360</v>
      </c>
      <c r="L14" s="75">
        <v>900</v>
      </c>
      <c r="M14" s="202">
        <v>10.3018451018975</v>
      </c>
      <c r="N14" s="87">
        <v>1708.8957599999999</v>
      </c>
      <c r="O14" s="87">
        <v>180</v>
      </c>
      <c r="P14" s="123">
        <v>44131.880769809999</v>
      </c>
      <c r="Q14" s="120">
        <v>12987.114251621291</v>
      </c>
      <c r="R14" s="123">
        <v>57118.995021431292</v>
      </c>
      <c r="T14" s="7" t="s">
        <v>7728</v>
      </c>
    </row>
    <row r="15" spans="1:20" ht="16.5" thickBot="1">
      <c r="A15" s="1179" t="s">
        <v>469</v>
      </c>
      <c r="B15" s="1183">
        <f t="shared" si="0"/>
        <v>90</v>
      </c>
      <c r="C15" s="1183" t="s">
        <v>3</v>
      </c>
      <c r="D15" s="1183">
        <f t="shared" si="1"/>
        <v>360</v>
      </c>
      <c r="E15" s="1183" t="s">
        <v>3</v>
      </c>
      <c r="F15" s="1181">
        <f t="shared" si="2"/>
        <v>950</v>
      </c>
      <c r="G15" s="1183" t="s">
        <v>3</v>
      </c>
      <c r="H15" s="1180">
        <v>2</v>
      </c>
      <c r="I15" s="1182" t="s">
        <v>581</v>
      </c>
      <c r="J15" s="112">
        <v>90</v>
      </c>
      <c r="K15" s="75">
        <v>360</v>
      </c>
      <c r="L15" s="75">
        <v>950</v>
      </c>
      <c r="M15" s="202">
        <v>10.843618490664999</v>
      </c>
      <c r="N15" s="87">
        <v>1864.24992</v>
      </c>
      <c r="O15" s="87">
        <v>180</v>
      </c>
      <c r="P15" s="123">
        <v>45974.047537760001</v>
      </c>
      <c r="Q15" s="120">
        <v>13771.293170907491</v>
      </c>
      <c r="R15" s="123">
        <v>59745.340708667492</v>
      </c>
      <c r="T15" s="7" t="s">
        <v>7729</v>
      </c>
    </row>
    <row r="16" spans="1:20" ht="16.5" thickBot="1">
      <c r="A16" s="1179" t="s">
        <v>469</v>
      </c>
      <c r="B16" s="1183">
        <f t="shared" si="0"/>
        <v>90</v>
      </c>
      <c r="C16" s="1183" t="s">
        <v>3</v>
      </c>
      <c r="D16" s="1183">
        <f t="shared" si="1"/>
        <v>360</v>
      </c>
      <c r="E16" s="1183" t="s">
        <v>3</v>
      </c>
      <c r="F16" s="1181">
        <f t="shared" si="2"/>
        <v>1000</v>
      </c>
      <c r="G16" s="1183" t="s">
        <v>3</v>
      </c>
      <c r="H16" s="1180">
        <v>2</v>
      </c>
      <c r="I16" s="1182" t="s">
        <v>581</v>
      </c>
      <c r="J16" s="112">
        <v>90</v>
      </c>
      <c r="K16" s="75">
        <v>360</v>
      </c>
      <c r="L16" s="75">
        <v>1000</v>
      </c>
      <c r="M16" s="202">
        <v>11.567351879432501</v>
      </c>
      <c r="N16" s="87">
        <v>2019.6040799999998</v>
      </c>
      <c r="O16" s="87">
        <v>280</v>
      </c>
      <c r="P16" s="123">
        <v>48147.675132890006</v>
      </c>
      <c r="Q16" s="120">
        <v>14324.890312410414</v>
      </c>
      <c r="R16" s="123">
        <v>62472.565445300424</v>
      </c>
      <c r="T16" s="7" t="s">
        <v>7730</v>
      </c>
    </row>
    <row r="17" spans="1:20" ht="16.5" thickBot="1">
      <c r="A17" s="1179" t="s">
        <v>469</v>
      </c>
      <c r="B17" s="1183">
        <f t="shared" si="0"/>
        <v>90</v>
      </c>
      <c r="C17" s="1183" t="s">
        <v>3</v>
      </c>
      <c r="D17" s="1183">
        <f t="shared" si="1"/>
        <v>360</v>
      </c>
      <c r="E17" s="1183" t="s">
        <v>3</v>
      </c>
      <c r="F17" s="1181">
        <f t="shared" si="2"/>
        <v>1050</v>
      </c>
      <c r="G17" s="1183" t="s">
        <v>3</v>
      </c>
      <c r="H17" s="1180">
        <v>2</v>
      </c>
      <c r="I17" s="1182" t="s">
        <v>581</v>
      </c>
      <c r="J17" s="112">
        <v>90</v>
      </c>
      <c r="K17" s="75">
        <v>360</v>
      </c>
      <c r="L17" s="75">
        <v>1050</v>
      </c>
      <c r="M17" s="202">
        <v>12.040125268199999</v>
      </c>
      <c r="N17" s="87">
        <v>2174.9582399999999</v>
      </c>
      <c r="O17" s="87">
        <v>280</v>
      </c>
      <c r="P17" s="123">
        <v>50255.65216754</v>
      </c>
      <c r="Q17" s="120">
        <v>15109.069231696616</v>
      </c>
      <c r="R17" s="123">
        <v>65364.721399236616</v>
      </c>
      <c r="T17" s="7" t="s">
        <v>7731</v>
      </c>
    </row>
    <row r="18" spans="1:20" ht="16.5" thickBot="1">
      <c r="A18" s="1179" t="s">
        <v>469</v>
      </c>
      <c r="B18" s="1180">
        <f t="shared" si="0"/>
        <v>90</v>
      </c>
      <c r="C18" s="1180" t="s">
        <v>3</v>
      </c>
      <c r="D18" s="1180">
        <f t="shared" si="1"/>
        <v>360</v>
      </c>
      <c r="E18" s="1180" t="s">
        <v>3</v>
      </c>
      <c r="F18" s="1181">
        <f t="shared" si="2"/>
        <v>1100</v>
      </c>
      <c r="G18" s="1180" t="s">
        <v>3</v>
      </c>
      <c r="H18" s="1180">
        <v>2</v>
      </c>
      <c r="I18" s="1182" t="s">
        <v>581</v>
      </c>
      <c r="J18" s="112">
        <v>90</v>
      </c>
      <c r="K18" s="75">
        <v>360</v>
      </c>
      <c r="L18" s="75">
        <v>1100</v>
      </c>
      <c r="M18" s="202">
        <v>12.495858656967499</v>
      </c>
      <c r="N18" s="87">
        <v>2330.3123999999998</v>
      </c>
      <c r="O18" s="87">
        <v>280</v>
      </c>
      <c r="P18" s="123">
        <v>52097.819168750008</v>
      </c>
      <c r="Q18" s="120">
        <v>15662.66637319954</v>
      </c>
      <c r="R18" s="123">
        <v>67760.485541949543</v>
      </c>
      <c r="T18" s="7" t="s">
        <v>7732</v>
      </c>
    </row>
    <row r="19" spans="1:20" ht="16.5" thickBot="1">
      <c r="A19" s="1179" t="s">
        <v>469</v>
      </c>
      <c r="B19" s="1183">
        <f t="shared" si="0"/>
        <v>90</v>
      </c>
      <c r="C19" s="1183" t="s">
        <v>3</v>
      </c>
      <c r="D19" s="1183">
        <f t="shared" si="1"/>
        <v>360</v>
      </c>
      <c r="E19" s="1183" t="s">
        <v>3</v>
      </c>
      <c r="F19" s="1181">
        <f t="shared" si="2"/>
        <v>1150</v>
      </c>
      <c r="G19" s="1183" t="s">
        <v>3</v>
      </c>
      <c r="H19" s="1180">
        <v>2</v>
      </c>
      <c r="I19" s="1182" t="s">
        <v>581</v>
      </c>
      <c r="J19" s="112">
        <v>90</v>
      </c>
      <c r="K19" s="75">
        <v>360</v>
      </c>
      <c r="L19" s="75">
        <v>1150</v>
      </c>
      <c r="M19" s="202">
        <v>12.951592045735</v>
      </c>
      <c r="N19" s="87">
        <v>2485.6665600000001</v>
      </c>
      <c r="O19" s="87">
        <v>280</v>
      </c>
      <c r="P19" s="123">
        <v>53051.347910740005</v>
      </c>
      <c r="Q19" s="120">
        <v>16216.263514702467</v>
      </c>
      <c r="R19" s="123">
        <v>69267.611425442476</v>
      </c>
      <c r="T19" s="7" t="s">
        <v>7733</v>
      </c>
    </row>
    <row r="20" spans="1:20" ht="16.5" thickBot="1">
      <c r="A20" s="1179" t="s">
        <v>469</v>
      </c>
      <c r="B20" s="1183">
        <f t="shared" si="0"/>
        <v>90</v>
      </c>
      <c r="C20" s="1183" t="s">
        <v>3</v>
      </c>
      <c r="D20" s="1183">
        <f t="shared" si="1"/>
        <v>360</v>
      </c>
      <c r="E20" s="1183" t="s">
        <v>3</v>
      </c>
      <c r="F20" s="1181">
        <f t="shared" si="2"/>
        <v>1200</v>
      </c>
      <c r="G20" s="1183" t="s">
        <v>3</v>
      </c>
      <c r="H20" s="1180">
        <v>2</v>
      </c>
      <c r="I20" s="1182" t="s">
        <v>581</v>
      </c>
      <c r="J20" s="112">
        <v>90</v>
      </c>
      <c r="K20" s="75">
        <v>360</v>
      </c>
      <c r="L20" s="75">
        <v>1200</v>
      </c>
      <c r="M20" s="202">
        <v>13.639615434502497</v>
      </c>
      <c r="N20" s="87">
        <v>2641.0207199999995</v>
      </c>
      <c r="O20" s="87">
        <v>280</v>
      </c>
      <c r="P20" s="123">
        <v>54046.216506119999</v>
      </c>
      <c r="Q20" s="120">
        <v>17000.442574382028</v>
      </c>
      <c r="R20" s="123">
        <v>71046.659080502024</v>
      </c>
      <c r="T20" s="7" t="s">
        <v>7734</v>
      </c>
    </row>
    <row r="21" spans="1:20" ht="16.5" thickBot="1">
      <c r="A21" s="1179" t="s">
        <v>469</v>
      </c>
      <c r="B21" s="1183">
        <f t="shared" si="0"/>
        <v>90</v>
      </c>
      <c r="C21" s="1183" t="s">
        <v>3</v>
      </c>
      <c r="D21" s="1183">
        <f t="shared" si="1"/>
        <v>360</v>
      </c>
      <c r="E21" s="1183" t="s">
        <v>3</v>
      </c>
      <c r="F21" s="1181">
        <f t="shared" si="2"/>
        <v>1250</v>
      </c>
      <c r="G21" s="1183" t="s">
        <v>3</v>
      </c>
      <c r="H21" s="1180">
        <v>2</v>
      </c>
      <c r="I21" s="1182" t="s">
        <v>581</v>
      </c>
      <c r="J21" s="112">
        <v>90</v>
      </c>
      <c r="K21" s="75">
        <v>360</v>
      </c>
      <c r="L21" s="75">
        <v>1250</v>
      </c>
      <c r="M21" s="202">
        <v>14.095348823269999</v>
      </c>
      <c r="N21" s="87">
        <v>2796.3748799999998</v>
      </c>
      <c r="O21" s="87">
        <v>280</v>
      </c>
      <c r="P21" s="123">
        <v>54999.179359350004</v>
      </c>
      <c r="Q21" s="120">
        <v>17554.039715884952</v>
      </c>
      <c r="R21" s="123">
        <v>72553.219075234956</v>
      </c>
      <c r="T21" s="7" t="s">
        <v>7735</v>
      </c>
    </row>
    <row r="22" spans="1:20" ht="16.5" thickBot="1">
      <c r="A22" s="1179" t="s">
        <v>469</v>
      </c>
      <c r="B22" s="1183">
        <f t="shared" si="0"/>
        <v>90</v>
      </c>
      <c r="C22" s="1183" t="s">
        <v>3</v>
      </c>
      <c r="D22" s="1183">
        <f t="shared" si="1"/>
        <v>360</v>
      </c>
      <c r="E22" s="1183" t="s">
        <v>3</v>
      </c>
      <c r="F22" s="1181">
        <f t="shared" si="2"/>
        <v>1300</v>
      </c>
      <c r="G22" s="1183" t="s">
        <v>3</v>
      </c>
      <c r="H22" s="1180">
        <v>2</v>
      </c>
      <c r="I22" s="1182" t="s">
        <v>581</v>
      </c>
      <c r="J22" s="112">
        <v>90</v>
      </c>
      <c r="K22" s="75">
        <v>360</v>
      </c>
      <c r="L22" s="75">
        <v>1300</v>
      </c>
      <c r="M22" s="202">
        <v>14.630122212037501</v>
      </c>
      <c r="N22" s="87">
        <v>2951.7290399999997</v>
      </c>
      <c r="O22" s="87">
        <v>280</v>
      </c>
      <c r="P22" s="123">
        <v>58837.29934717001</v>
      </c>
      <c r="Q22" s="120">
        <v>18338.218635171153</v>
      </c>
      <c r="R22" s="123">
        <v>77175.51798234116</v>
      </c>
      <c r="T22" s="7" t="s">
        <v>7736</v>
      </c>
    </row>
    <row r="23" spans="1:20" ht="16.5" thickBot="1">
      <c r="A23" s="1179" t="s">
        <v>469</v>
      </c>
      <c r="B23" s="1183">
        <f t="shared" si="0"/>
        <v>90</v>
      </c>
      <c r="C23" s="1183" t="s">
        <v>3</v>
      </c>
      <c r="D23" s="1183">
        <f t="shared" si="1"/>
        <v>360</v>
      </c>
      <c r="E23" s="1183" t="s">
        <v>3</v>
      </c>
      <c r="F23" s="1181">
        <f t="shared" si="2"/>
        <v>1350</v>
      </c>
      <c r="G23" s="1183" t="s">
        <v>3</v>
      </c>
      <c r="H23" s="1180">
        <v>2</v>
      </c>
      <c r="I23" s="1182" t="s">
        <v>581</v>
      </c>
      <c r="J23" s="112">
        <v>90</v>
      </c>
      <c r="K23" s="75">
        <v>360</v>
      </c>
      <c r="L23" s="75">
        <v>1350</v>
      </c>
      <c r="M23" s="202">
        <v>15.085855600804999</v>
      </c>
      <c r="N23" s="87">
        <v>3107.0832</v>
      </c>
      <c r="O23" s="87">
        <v>280</v>
      </c>
      <c r="P23" s="123">
        <v>60084.022496710008</v>
      </c>
      <c r="Q23" s="120">
        <v>18891.815776674081</v>
      </c>
      <c r="R23" s="123">
        <v>78975.838273384084</v>
      </c>
      <c r="T23" s="7" t="s">
        <v>7737</v>
      </c>
    </row>
    <row r="24" spans="1:20" ht="16.5" thickBot="1">
      <c r="A24" s="1179" t="s">
        <v>469</v>
      </c>
      <c r="B24" s="1183">
        <f t="shared" si="0"/>
        <v>90</v>
      </c>
      <c r="C24" s="1183" t="s">
        <v>3</v>
      </c>
      <c r="D24" s="1183">
        <f t="shared" si="1"/>
        <v>360</v>
      </c>
      <c r="E24" s="1183" t="s">
        <v>3</v>
      </c>
      <c r="F24" s="1181">
        <f t="shared" si="2"/>
        <v>1400</v>
      </c>
      <c r="G24" s="1183" t="s">
        <v>3</v>
      </c>
      <c r="H24" s="1180">
        <v>2</v>
      </c>
      <c r="I24" s="1182" t="s">
        <v>581</v>
      </c>
      <c r="J24" s="112">
        <v>90</v>
      </c>
      <c r="K24" s="75">
        <v>360</v>
      </c>
      <c r="L24" s="75">
        <v>1400</v>
      </c>
      <c r="M24" s="202">
        <v>15.558628989572503</v>
      </c>
      <c r="N24" s="87">
        <v>3262.4373600000004</v>
      </c>
      <c r="O24" s="87">
        <v>280</v>
      </c>
      <c r="P24" s="123">
        <v>61715.471161170011</v>
      </c>
      <c r="Q24" s="120">
        <v>19675.994695960278</v>
      </c>
      <c r="R24" s="123">
        <v>81391.465857130286</v>
      </c>
      <c r="T24" s="7" t="s">
        <v>7738</v>
      </c>
    </row>
    <row r="25" spans="1:20" ht="16.5" thickBot="1">
      <c r="A25" s="1179" t="s">
        <v>469</v>
      </c>
      <c r="B25" s="1183">
        <f t="shared" si="0"/>
        <v>90</v>
      </c>
      <c r="C25" s="1183" t="s">
        <v>3</v>
      </c>
      <c r="D25" s="1183">
        <f t="shared" si="1"/>
        <v>360</v>
      </c>
      <c r="E25" s="1183" t="s">
        <v>3</v>
      </c>
      <c r="F25" s="1181">
        <f t="shared" si="2"/>
        <v>1450</v>
      </c>
      <c r="G25" s="1183" t="s">
        <v>3</v>
      </c>
      <c r="H25" s="1180">
        <v>2</v>
      </c>
      <c r="I25" s="1182" t="s">
        <v>581</v>
      </c>
      <c r="J25" s="112">
        <v>90</v>
      </c>
      <c r="K25" s="75">
        <v>360</v>
      </c>
      <c r="L25" s="75">
        <v>1450</v>
      </c>
      <c r="M25" s="202">
        <v>16.01436237834</v>
      </c>
      <c r="N25" s="87">
        <v>3417.7915199999998</v>
      </c>
      <c r="O25" s="87">
        <v>280</v>
      </c>
      <c r="P25" s="123">
        <v>62962.194427340008</v>
      </c>
      <c r="Q25" s="120">
        <v>20229.591837463206</v>
      </c>
      <c r="R25" s="123">
        <v>83191.786264803217</v>
      </c>
      <c r="T25" s="7" t="s">
        <v>7739</v>
      </c>
    </row>
    <row r="26" spans="1:20" ht="16.5" thickBot="1">
      <c r="A26" s="1179" t="s">
        <v>469</v>
      </c>
      <c r="B26" s="1183">
        <f t="shared" si="0"/>
        <v>90</v>
      </c>
      <c r="C26" s="1183" t="s">
        <v>3</v>
      </c>
      <c r="D26" s="1183">
        <f t="shared" si="1"/>
        <v>360</v>
      </c>
      <c r="E26" s="1183" t="s">
        <v>3</v>
      </c>
      <c r="F26" s="1181">
        <f t="shared" si="2"/>
        <v>1500</v>
      </c>
      <c r="G26" s="1183" t="s">
        <v>3</v>
      </c>
      <c r="H26" s="1180">
        <v>2</v>
      </c>
      <c r="I26" s="1182" t="s">
        <v>581</v>
      </c>
      <c r="J26" s="112">
        <v>90</v>
      </c>
      <c r="K26" s="75">
        <v>360</v>
      </c>
      <c r="L26" s="75">
        <v>1500</v>
      </c>
      <c r="M26" s="202">
        <v>17.919700659907498</v>
      </c>
      <c r="N26" s="87">
        <v>3573.1456799999996</v>
      </c>
      <c r="O26" s="87">
        <v>460</v>
      </c>
      <c r="P26" s="123">
        <v>65577.794206590013</v>
      </c>
      <c r="Q26" s="120">
        <v>21013.770756749404</v>
      </c>
      <c r="R26" s="123">
        <v>86591.564963339421</v>
      </c>
      <c r="T26" s="7" t="s">
        <v>7740</v>
      </c>
    </row>
    <row r="27" spans="1:20" ht="16.5" thickBot="1">
      <c r="A27" s="1179" t="s">
        <v>469</v>
      </c>
      <c r="B27" s="1183">
        <f t="shared" si="0"/>
        <v>90</v>
      </c>
      <c r="C27" s="1183" t="s">
        <v>3</v>
      </c>
      <c r="D27" s="1183">
        <f t="shared" si="1"/>
        <v>360</v>
      </c>
      <c r="E27" s="1183" t="s">
        <v>3</v>
      </c>
      <c r="F27" s="1181">
        <f t="shared" si="2"/>
        <v>1550</v>
      </c>
      <c r="G27" s="1183" t="s">
        <v>3</v>
      </c>
      <c r="H27" s="1180">
        <v>2</v>
      </c>
      <c r="I27" s="1182" t="s">
        <v>581</v>
      </c>
      <c r="J27" s="112">
        <v>90</v>
      </c>
      <c r="K27" s="75">
        <v>360</v>
      </c>
      <c r="L27" s="75">
        <v>1550</v>
      </c>
      <c r="M27" s="202">
        <v>18.444434048674999</v>
      </c>
      <c r="N27" s="87">
        <v>3728.4998399999999</v>
      </c>
      <c r="O27" s="87">
        <v>460</v>
      </c>
      <c r="P27" s="123">
        <v>66824.517589390001</v>
      </c>
      <c r="Q27" s="120">
        <v>21567.367898252327</v>
      </c>
      <c r="R27" s="123">
        <v>88391.885487642328</v>
      </c>
      <c r="T27" s="7" t="s">
        <v>7741</v>
      </c>
    </row>
    <row r="28" spans="1:20" ht="16.5" thickBot="1">
      <c r="A28" s="1179" t="s">
        <v>469</v>
      </c>
      <c r="B28" s="1180">
        <f t="shared" si="0"/>
        <v>90</v>
      </c>
      <c r="C28" s="1180" t="s">
        <v>3</v>
      </c>
      <c r="D28" s="1180">
        <f t="shared" si="1"/>
        <v>360</v>
      </c>
      <c r="E28" s="1180" t="s">
        <v>3</v>
      </c>
      <c r="F28" s="1181">
        <f t="shared" si="2"/>
        <v>1600</v>
      </c>
      <c r="G28" s="1180" t="s">
        <v>3</v>
      </c>
      <c r="H28" s="1180">
        <v>2</v>
      </c>
      <c r="I28" s="1182" t="s">
        <v>581</v>
      </c>
      <c r="J28" s="112">
        <v>90</v>
      </c>
      <c r="K28" s="75">
        <v>360</v>
      </c>
      <c r="L28" s="75">
        <v>1600</v>
      </c>
      <c r="M28" s="202">
        <v>18.900167437442501</v>
      </c>
      <c r="N28" s="87">
        <v>3883.8539999999994</v>
      </c>
      <c r="O28" s="87">
        <v>460</v>
      </c>
      <c r="P28" s="123">
        <v>70360.701168010011</v>
      </c>
      <c r="Q28" s="120">
        <v>22120.965039755254</v>
      </c>
      <c r="R28" s="123">
        <v>92481.666207765258</v>
      </c>
      <c r="T28" s="7" t="s">
        <v>7742</v>
      </c>
    </row>
    <row r="29" spans="1:20" ht="16.5" thickBot="1">
      <c r="A29" s="1179" t="s">
        <v>469</v>
      </c>
      <c r="B29" s="1183">
        <f t="shared" si="0"/>
        <v>90</v>
      </c>
      <c r="C29" s="1183" t="s">
        <v>3</v>
      </c>
      <c r="D29" s="1183">
        <f t="shared" si="1"/>
        <v>360</v>
      </c>
      <c r="E29" s="1183" t="s">
        <v>3</v>
      </c>
      <c r="F29" s="1181">
        <f t="shared" si="2"/>
        <v>1650</v>
      </c>
      <c r="G29" s="1183" t="s">
        <v>3</v>
      </c>
      <c r="H29" s="1180">
        <v>2</v>
      </c>
      <c r="I29" s="1182" t="s">
        <v>581</v>
      </c>
      <c r="J29" s="112">
        <v>90</v>
      </c>
      <c r="K29" s="75">
        <v>360</v>
      </c>
      <c r="L29" s="75">
        <v>1650</v>
      </c>
      <c r="M29" s="202">
        <v>19.410940826210002</v>
      </c>
      <c r="N29" s="87">
        <v>4039.2081599999997</v>
      </c>
      <c r="O29" s="87">
        <v>460</v>
      </c>
      <c r="P29" s="123">
        <v>74193.661561260014</v>
      </c>
      <c r="Q29" s="120">
        <v>22905.143959041456</v>
      </c>
      <c r="R29" s="123">
        <v>97098.805520301466</v>
      </c>
      <c r="T29" s="7" t="s">
        <v>7743</v>
      </c>
    </row>
    <row r="30" spans="1:20" ht="16.5" thickBot="1">
      <c r="A30" s="1179" t="s">
        <v>469</v>
      </c>
      <c r="B30" s="1183">
        <f t="shared" si="0"/>
        <v>90</v>
      </c>
      <c r="C30" s="1183" t="s">
        <v>3</v>
      </c>
      <c r="D30" s="1183">
        <f t="shared" si="1"/>
        <v>360</v>
      </c>
      <c r="E30" s="1183" t="s">
        <v>3</v>
      </c>
      <c r="F30" s="1181">
        <f t="shared" si="2"/>
        <v>1700</v>
      </c>
      <c r="G30" s="1183" t="s">
        <v>3</v>
      </c>
      <c r="H30" s="1180">
        <v>2</v>
      </c>
      <c r="I30" s="1182" t="s">
        <v>581</v>
      </c>
      <c r="J30" s="112">
        <v>90</v>
      </c>
      <c r="K30" s="75">
        <v>360</v>
      </c>
      <c r="L30" s="75">
        <v>1700</v>
      </c>
      <c r="M30" s="202">
        <v>19.8666742149775</v>
      </c>
      <c r="N30" s="87">
        <v>4194.56232</v>
      </c>
      <c r="O30" s="87">
        <v>460</v>
      </c>
      <c r="P30" s="123">
        <v>75199.035020740004</v>
      </c>
      <c r="Q30" s="120">
        <v>23458.741100544379</v>
      </c>
      <c r="R30" s="123">
        <v>98657.776121284376</v>
      </c>
      <c r="T30" s="7" t="s">
        <v>7744</v>
      </c>
    </row>
    <row r="31" spans="1:20" ht="16.5" thickBot="1">
      <c r="A31" s="1179" t="s">
        <v>469</v>
      </c>
      <c r="B31" s="1183">
        <f t="shared" si="0"/>
        <v>90</v>
      </c>
      <c r="C31" s="1183" t="s">
        <v>3</v>
      </c>
      <c r="D31" s="1183">
        <f t="shared" si="1"/>
        <v>360</v>
      </c>
      <c r="E31" s="1183" t="s">
        <v>3</v>
      </c>
      <c r="F31" s="1181">
        <f t="shared" si="2"/>
        <v>1750</v>
      </c>
      <c r="G31" s="1183" t="s">
        <v>3</v>
      </c>
      <c r="H31" s="1180">
        <v>2</v>
      </c>
      <c r="I31" s="1182" t="s">
        <v>581</v>
      </c>
      <c r="J31" s="112">
        <v>90</v>
      </c>
      <c r="K31" s="75">
        <v>360</v>
      </c>
      <c r="L31" s="75">
        <v>1750</v>
      </c>
      <c r="M31" s="202">
        <v>20.339447603745</v>
      </c>
      <c r="N31" s="87">
        <v>4349.9164799999999</v>
      </c>
      <c r="O31" s="87">
        <v>460</v>
      </c>
      <c r="P31" s="123">
        <v>76114.815646820003</v>
      </c>
      <c r="Q31" s="120">
        <v>24242.920019830581</v>
      </c>
      <c r="R31" s="123">
        <v>100357.73566665058</v>
      </c>
      <c r="T31" s="7" t="s">
        <v>7745</v>
      </c>
    </row>
    <row r="32" spans="1:20" ht="16.5" thickBot="1">
      <c r="A32" s="1179" t="s">
        <v>469</v>
      </c>
      <c r="B32" s="1183">
        <f t="shared" si="0"/>
        <v>90</v>
      </c>
      <c r="C32" s="1183" t="s">
        <v>3</v>
      </c>
      <c r="D32" s="1183">
        <f t="shared" si="1"/>
        <v>360</v>
      </c>
      <c r="E32" s="1183" t="s">
        <v>3</v>
      </c>
      <c r="F32" s="1181">
        <f t="shared" si="2"/>
        <v>1800</v>
      </c>
      <c r="G32" s="1183" t="s">
        <v>3</v>
      </c>
      <c r="H32" s="1180">
        <v>2</v>
      </c>
      <c r="I32" s="1182" t="s">
        <v>581</v>
      </c>
      <c r="J32" s="112">
        <v>90</v>
      </c>
      <c r="K32" s="75">
        <v>360</v>
      </c>
      <c r="L32" s="75">
        <v>1800</v>
      </c>
      <c r="M32" s="202">
        <v>20.864180992512498</v>
      </c>
      <c r="N32" s="87">
        <v>4505.2706399999997</v>
      </c>
      <c r="O32" s="87">
        <v>460</v>
      </c>
      <c r="P32" s="123">
        <v>77121.008548680009</v>
      </c>
      <c r="Q32" s="120">
        <v>24796.517161333504</v>
      </c>
      <c r="R32" s="123">
        <v>101917.52571001352</v>
      </c>
      <c r="T32" s="7" t="s">
        <v>7746</v>
      </c>
    </row>
    <row r="33" spans="1:20" ht="16.5" thickBot="1">
      <c r="A33" s="1179" t="s">
        <v>469</v>
      </c>
      <c r="B33" s="1183">
        <f t="shared" si="0"/>
        <v>90</v>
      </c>
      <c r="C33" s="1183" t="s">
        <v>3</v>
      </c>
      <c r="D33" s="1183">
        <f t="shared" si="1"/>
        <v>360</v>
      </c>
      <c r="E33" s="1183" t="s">
        <v>3</v>
      </c>
      <c r="F33" s="1181">
        <f t="shared" si="2"/>
        <v>1850</v>
      </c>
      <c r="G33" s="1183" t="s">
        <v>3</v>
      </c>
      <c r="H33" s="1180">
        <v>2</v>
      </c>
      <c r="I33" s="1182" t="s">
        <v>581</v>
      </c>
      <c r="J33" s="112">
        <v>90</v>
      </c>
      <c r="K33" s="75">
        <v>360</v>
      </c>
      <c r="L33" s="75">
        <v>1850</v>
      </c>
      <c r="M33" s="202">
        <v>21.398954381279999</v>
      </c>
      <c r="N33" s="87">
        <v>4660.6247999999996</v>
      </c>
      <c r="O33" s="87">
        <v>460</v>
      </c>
      <c r="P33" s="123">
        <v>78127.144768360013</v>
      </c>
      <c r="Q33" s="120">
        <v>25580.69622101307</v>
      </c>
      <c r="R33" s="123">
        <v>103707.84098937309</v>
      </c>
      <c r="T33" s="7" t="s">
        <v>7747</v>
      </c>
    </row>
    <row r="34" spans="1:20" ht="16.5" thickBot="1">
      <c r="A34" s="1179" t="s">
        <v>469</v>
      </c>
      <c r="B34" s="1183">
        <f t="shared" si="0"/>
        <v>90</v>
      </c>
      <c r="C34" s="1183" t="s">
        <v>3</v>
      </c>
      <c r="D34" s="1183">
        <f t="shared" si="1"/>
        <v>360</v>
      </c>
      <c r="E34" s="1183" t="s">
        <v>3</v>
      </c>
      <c r="F34" s="1181">
        <f t="shared" si="2"/>
        <v>1900</v>
      </c>
      <c r="G34" s="1183" t="s">
        <v>3</v>
      </c>
      <c r="H34" s="1180">
        <v>2</v>
      </c>
      <c r="I34" s="1182" t="s">
        <v>581</v>
      </c>
      <c r="J34" s="112">
        <v>90</v>
      </c>
      <c r="K34" s="75">
        <v>360</v>
      </c>
      <c r="L34" s="75">
        <v>1900</v>
      </c>
      <c r="M34" s="202">
        <v>21.854687770047502</v>
      </c>
      <c r="N34" s="87">
        <v>4815.9789600000004</v>
      </c>
      <c r="O34" s="87">
        <v>460</v>
      </c>
      <c r="P34" s="123">
        <v>79339.227408340012</v>
      </c>
      <c r="Q34" s="120">
        <v>26134.293362515993</v>
      </c>
      <c r="R34" s="123">
        <v>105473.520770856</v>
      </c>
      <c r="T34" s="7" t="s">
        <v>7748</v>
      </c>
    </row>
    <row r="35" spans="1:20" ht="16.5" thickBot="1">
      <c r="A35" s="1179" t="s">
        <v>469</v>
      </c>
      <c r="B35" s="1183">
        <f t="shared" si="0"/>
        <v>90</v>
      </c>
      <c r="C35" s="1183" t="s">
        <v>3</v>
      </c>
      <c r="D35" s="1183">
        <f t="shared" si="1"/>
        <v>360</v>
      </c>
      <c r="E35" s="1183" t="s">
        <v>3</v>
      </c>
      <c r="F35" s="1181">
        <f t="shared" si="2"/>
        <v>1950</v>
      </c>
      <c r="G35" s="1183" t="s">
        <v>3</v>
      </c>
      <c r="H35" s="1180">
        <v>2</v>
      </c>
      <c r="I35" s="1182" t="s">
        <v>581</v>
      </c>
      <c r="J35" s="112">
        <v>90</v>
      </c>
      <c r="K35" s="75">
        <v>360</v>
      </c>
      <c r="L35" s="75">
        <v>1950</v>
      </c>
      <c r="M35" s="202">
        <v>22.463671158815004</v>
      </c>
      <c r="N35" s="87">
        <v>4971.3331200000002</v>
      </c>
      <c r="O35" s="87">
        <v>460</v>
      </c>
      <c r="P35" s="123">
        <v>80738.605582169999</v>
      </c>
      <c r="Q35" s="120">
        <v>26687.890504018917</v>
      </c>
      <c r="R35" s="123">
        <v>107426.49608618891</v>
      </c>
      <c r="T35" s="7" t="s">
        <v>7749</v>
      </c>
    </row>
    <row r="36" spans="1:20" ht="16.5" thickBot="1">
      <c r="A36" s="1179" t="s">
        <v>469</v>
      </c>
      <c r="B36" s="1183">
        <f t="shared" si="0"/>
        <v>90</v>
      </c>
      <c r="C36" s="1183" t="s">
        <v>3</v>
      </c>
      <c r="D36" s="1183">
        <f t="shared" si="1"/>
        <v>360</v>
      </c>
      <c r="E36" s="1183" t="s">
        <v>3</v>
      </c>
      <c r="F36" s="1181">
        <f t="shared" si="2"/>
        <v>2000</v>
      </c>
      <c r="G36" s="1183" t="s">
        <v>3</v>
      </c>
      <c r="H36" s="1180">
        <v>2</v>
      </c>
      <c r="I36" s="1182" t="s">
        <v>581</v>
      </c>
      <c r="J36" s="112">
        <v>90</v>
      </c>
      <c r="K36" s="75">
        <v>360</v>
      </c>
      <c r="L36" s="75">
        <v>2000</v>
      </c>
      <c r="M36" s="202">
        <v>23.0740069475825</v>
      </c>
      <c r="N36" s="87">
        <v>5126.6872799999992</v>
      </c>
      <c r="O36" s="87">
        <v>530</v>
      </c>
      <c r="P36" s="123">
        <v>82899.939558890022</v>
      </c>
      <c r="Q36" s="120">
        <v>27472.069423305118</v>
      </c>
      <c r="R36" s="123">
        <v>110372.00898219514</v>
      </c>
      <c r="T36" s="7" t="s">
        <v>7750</v>
      </c>
    </row>
    <row r="37" spans="1:20" ht="16.5" thickBot="1">
      <c r="A37" s="1179" t="s">
        <v>469</v>
      </c>
      <c r="B37" s="1183">
        <f t="shared" si="0"/>
        <v>90</v>
      </c>
      <c r="C37" s="1183" t="s">
        <v>3</v>
      </c>
      <c r="D37" s="1183">
        <f t="shared" si="1"/>
        <v>360</v>
      </c>
      <c r="E37" s="1183" t="s">
        <v>3</v>
      </c>
      <c r="F37" s="1181">
        <f t="shared" si="2"/>
        <v>2050</v>
      </c>
      <c r="G37" s="1183" t="s">
        <v>3</v>
      </c>
      <c r="H37" s="1180">
        <v>2</v>
      </c>
      <c r="I37" s="1182" t="s">
        <v>581</v>
      </c>
      <c r="J37" s="112">
        <v>90</v>
      </c>
      <c r="K37" s="75">
        <v>360</v>
      </c>
      <c r="L37" s="75">
        <v>2050</v>
      </c>
      <c r="M37" s="202">
        <v>23.529740336350002</v>
      </c>
      <c r="N37" s="87">
        <v>5282.0414399999991</v>
      </c>
      <c r="O37" s="87">
        <v>530</v>
      </c>
      <c r="P37" s="123">
        <v>86428.393834150003</v>
      </c>
      <c r="Q37" s="120">
        <v>28025.666564808042</v>
      </c>
      <c r="R37" s="123">
        <v>114454.06039895804</v>
      </c>
      <c r="T37" s="7" t="s">
        <v>7751</v>
      </c>
    </row>
    <row r="38" spans="1:20" ht="16.5" thickBot="1">
      <c r="A38" s="1179" t="s">
        <v>469</v>
      </c>
      <c r="B38" s="1180">
        <f t="shared" si="0"/>
        <v>90</v>
      </c>
      <c r="C38" s="1180" t="s">
        <v>3</v>
      </c>
      <c r="D38" s="1180">
        <f t="shared" si="1"/>
        <v>360</v>
      </c>
      <c r="E38" s="1180" t="s">
        <v>3</v>
      </c>
      <c r="F38" s="1181">
        <f t="shared" si="2"/>
        <v>2100</v>
      </c>
      <c r="G38" s="1180" t="s">
        <v>3</v>
      </c>
      <c r="H38" s="1180">
        <v>2</v>
      </c>
      <c r="I38" s="1182" t="s">
        <v>581</v>
      </c>
      <c r="J38" s="112">
        <v>90</v>
      </c>
      <c r="K38" s="75">
        <v>360</v>
      </c>
      <c r="L38" s="75">
        <v>2100</v>
      </c>
      <c r="M38" s="202">
        <v>24.002513725117502</v>
      </c>
      <c r="N38" s="87">
        <v>5437.3955999999998</v>
      </c>
      <c r="O38" s="87">
        <v>530</v>
      </c>
      <c r="P38" s="123">
        <v>87507.388581570005</v>
      </c>
      <c r="Q38" s="120">
        <v>28809.845484094247</v>
      </c>
      <c r="R38" s="123">
        <v>116317.23406566425</v>
      </c>
      <c r="T38" s="7" t="s">
        <v>7752</v>
      </c>
    </row>
    <row r="39" spans="1:20" ht="16.5" thickBot="1">
      <c r="A39" s="1179" t="s">
        <v>469</v>
      </c>
      <c r="B39" s="1183">
        <f t="shared" si="0"/>
        <v>90</v>
      </c>
      <c r="C39" s="1183" t="s">
        <v>3</v>
      </c>
      <c r="D39" s="1183">
        <f t="shared" si="1"/>
        <v>360</v>
      </c>
      <c r="E39" s="1183" t="s">
        <v>3</v>
      </c>
      <c r="F39" s="1181">
        <f t="shared" si="2"/>
        <v>2150</v>
      </c>
      <c r="G39" s="1183" t="s">
        <v>3</v>
      </c>
      <c r="H39" s="1180">
        <v>2</v>
      </c>
      <c r="I39" s="1182" t="s">
        <v>581</v>
      </c>
      <c r="J39" s="112">
        <v>90</v>
      </c>
      <c r="K39" s="75">
        <v>360</v>
      </c>
      <c r="L39" s="75">
        <v>2150</v>
      </c>
      <c r="M39" s="202">
        <v>24.582247113885003</v>
      </c>
      <c r="N39" s="87">
        <v>5592.7497599999997</v>
      </c>
      <c r="O39" s="87">
        <v>530</v>
      </c>
      <c r="P39" s="123">
        <v>88760.050997230021</v>
      </c>
      <c r="Q39" s="120">
        <v>29363.442625597167</v>
      </c>
      <c r="R39" s="123">
        <v>118123.49362282718</v>
      </c>
      <c r="T39" s="7" t="s">
        <v>7753</v>
      </c>
    </row>
    <row r="40" spans="1:20" ht="16.5" thickBot="1">
      <c r="A40" s="1179" t="s">
        <v>469</v>
      </c>
      <c r="B40" s="1183">
        <f t="shared" si="0"/>
        <v>90</v>
      </c>
      <c r="C40" s="1183" t="s">
        <v>3</v>
      </c>
      <c r="D40" s="1183">
        <f t="shared" si="1"/>
        <v>360</v>
      </c>
      <c r="E40" s="1183" t="s">
        <v>3</v>
      </c>
      <c r="F40" s="1181">
        <f t="shared" si="2"/>
        <v>2200</v>
      </c>
      <c r="G40" s="1183" t="s">
        <v>3</v>
      </c>
      <c r="H40" s="1180">
        <v>2</v>
      </c>
      <c r="I40" s="1182" t="s">
        <v>581</v>
      </c>
      <c r="J40" s="112">
        <v>90</v>
      </c>
      <c r="K40" s="75">
        <v>360</v>
      </c>
      <c r="L40" s="75">
        <v>2200</v>
      </c>
      <c r="M40" s="202">
        <v>25.0550205026525</v>
      </c>
      <c r="N40" s="87">
        <v>5748.1039199999996</v>
      </c>
      <c r="O40" s="87">
        <v>530</v>
      </c>
      <c r="P40" s="123">
        <v>90012.656847340011</v>
      </c>
      <c r="Q40" s="120">
        <v>30147.621544883372</v>
      </c>
      <c r="R40" s="123">
        <v>120160.27839222338</v>
      </c>
      <c r="T40" s="7" t="s">
        <v>7754</v>
      </c>
    </row>
    <row r="41" spans="1:20" ht="16.5" thickBot="1">
      <c r="A41" s="1179" t="s">
        <v>469</v>
      </c>
      <c r="B41" s="1183">
        <f t="shared" si="0"/>
        <v>90</v>
      </c>
      <c r="C41" s="1183" t="s">
        <v>3</v>
      </c>
      <c r="D41" s="1183">
        <f t="shared" si="1"/>
        <v>360</v>
      </c>
      <c r="E41" s="1183" t="s">
        <v>3</v>
      </c>
      <c r="F41" s="1181">
        <f t="shared" si="2"/>
        <v>2250</v>
      </c>
      <c r="G41" s="1183" t="s">
        <v>3</v>
      </c>
      <c r="H41" s="1180">
        <v>2</v>
      </c>
      <c r="I41" s="1182" t="s">
        <v>581</v>
      </c>
      <c r="J41" s="112">
        <v>90</v>
      </c>
      <c r="K41" s="75">
        <v>360</v>
      </c>
      <c r="L41" s="75">
        <v>2250</v>
      </c>
      <c r="M41" s="202">
        <v>25.510753891420002</v>
      </c>
      <c r="N41" s="87">
        <v>5903.4580799999994</v>
      </c>
      <c r="O41" s="87">
        <v>530</v>
      </c>
      <c r="P41" s="123">
        <v>91641.275718110017</v>
      </c>
      <c r="Q41" s="120">
        <v>30701.218686386295</v>
      </c>
      <c r="R41" s="123">
        <v>122342.4944044963</v>
      </c>
      <c r="T41" s="7" t="s">
        <v>7755</v>
      </c>
    </row>
    <row r="42" spans="1:20" ht="16.5" thickBot="1">
      <c r="A42" s="1179" t="s">
        <v>469</v>
      </c>
      <c r="B42" s="1183">
        <f t="shared" si="0"/>
        <v>90</v>
      </c>
      <c r="C42" s="1183" t="s">
        <v>3</v>
      </c>
      <c r="D42" s="1183">
        <f t="shared" si="1"/>
        <v>360</v>
      </c>
      <c r="E42" s="1183" t="s">
        <v>3</v>
      </c>
      <c r="F42" s="1181">
        <f t="shared" si="2"/>
        <v>2300</v>
      </c>
      <c r="G42" s="1183" t="s">
        <v>3</v>
      </c>
      <c r="H42" s="1180">
        <v>2</v>
      </c>
      <c r="I42" s="1182" t="s">
        <v>581</v>
      </c>
      <c r="J42" s="112">
        <v>90</v>
      </c>
      <c r="K42" s="75">
        <v>360</v>
      </c>
      <c r="L42" s="75">
        <v>2300</v>
      </c>
      <c r="M42" s="202">
        <v>25.966487280187501</v>
      </c>
      <c r="N42" s="87">
        <v>6058.8122400000002</v>
      </c>
      <c r="O42" s="87">
        <v>530</v>
      </c>
      <c r="P42" s="123">
        <v>92608.110426910003</v>
      </c>
      <c r="Q42" s="120">
        <v>31254.815827889219</v>
      </c>
      <c r="R42" s="123">
        <v>123862.92625479923</v>
      </c>
      <c r="T42" s="7" t="s">
        <v>7756</v>
      </c>
    </row>
    <row r="43" spans="1:20" ht="16.5" thickBot="1">
      <c r="A43" s="1179" t="s">
        <v>469</v>
      </c>
      <c r="B43" s="1183">
        <f t="shared" si="0"/>
        <v>90</v>
      </c>
      <c r="C43" s="1183" t="s">
        <v>3</v>
      </c>
      <c r="D43" s="1183">
        <f t="shared" si="1"/>
        <v>360</v>
      </c>
      <c r="E43" s="1183" t="s">
        <v>3</v>
      </c>
      <c r="F43" s="1181">
        <f t="shared" si="2"/>
        <v>2350</v>
      </c>
      <c r="G43" s="1183" t="s">
        <v>3</v>
      </c>
      <c r="H43" s="1180">
        <v>2</v>
      </c>
      <c r="I43" s="1182" t="s">
        <v>581</v>
      </c>
      <c r="J43" s="112">
        <v>90</v>
      </c>
      <c r="K43" s="75">
        <v>360</v>
      </c>
      <c r="L43" s="75">
        <v>2350</v>
      </c>
      <c r="M43" s="202">
        <v>26.439260668955001</v>
      </c>
      <c r="N43" s="87">
        <v>6214.1664000000001</v>
      </c>
      <c r="O43" s="87">
        <v>530</v>
      </c>
      <c r="P43" s="123">
        <v>93574.888570160008</v>
      </c>
      <c r="Q43" s="120">
        <v>32038.99474717542</v>
      </c>
      <c r="R43" s="123">
        <v>125613.88331733542</v>
      </c>
      <c r="T43" s="7" t="s">
        <v>7757</v>
      </c>
    </row>
    <row r="44" spans="1:20" ht="16.5" thickBot="1">
      <c r="A44" s="1179" t="s">
        <v>469</v>
      </c>
      <c r="B44" s="1183">
        <f t="shared" si="0"/>
        <v>90</v>
      </c>
      <c r="C44" s="1183" t="s">
        <v>3</v>
      </c>
      <c r="D44" s="1183">
        <f t="shared" si="1"/>
        <v>360</v>
      </c>
      <c r="E44" s="1183" t="s">
        <v>3</v>
      </c>
      <c r="F44" s="1181">
        <f t="shared" si="2"/>
        <v>2400</v>
      </c>
      <c r="G44" s="1183" t="s">
        <v>3</v>
      </c>
      <c r="H44" s="1180">
        <v>2</v>
      </c>
      <c r="I44" s="1182" t="s">
        <v>581</v>
      </c>
      <c r="J44" s="112">
        <v>90</v>
      </c>
      <c r="K44" s="75">
        <v>360</v>
      </c>
      <c r="L44" s="75">
        <v>2400</v>
      </c>
      <c r="M44" s="202">
        <v>26.894994057722499</v>
      </c>
      <c r="N44" s="87">
        <v>6369.520559999999</v>
      </c>
      <c r="O44" s="87">
        <v>530</v>
      </c>
      <c r="P44" s="123">
        <v>94541.610031230011</v>
      </c>
      <c r="Q44" s="120">
        <v>32592.591888678344</v>
      </c>
      <c r="R44" s="123">
        <v>127134.20191990836</v>
      </c>
      <c r="T44" s="7" t="s">
        <v>7758</v>
      </c>
    </row>
    <row r="45" spans="1:20" ht="16.5" thickBot="1">
      <c r="A45" s="1179" t="s">
        <v>469</v>
      </c>
      <c r="B45" s="1183">
        <f t="shared" si="0"/>
        <v>90</v>
      </c>
      <c r="C45" s="1183" t="s">
        <v>3</v>
      </c>
      <c r="D45" s="1183">
        <f t="shared" si="1"/>
        <v>360</v>
      </c>
      <c r="E45" s="1183" t="s">
        <v>3</v>
      </c>
      <c r="F45" s="1181">
        <f t="shared" si="2"/>
        <v>2450</v>
      </c>
      <c r="G45" s="1183" t="s">
        <v>3</v>
      </c>
      <c r="H45" s="1180">
        <v>2</v>
      </c>
      <c r="I45" s="1182" t="s">
        <v>581</v>
      </c>
      <c r="J45" s="112">
        <v>90</v>
      </c>
      <c r="K45" s="75">
        <v>360</v>
      </c>
      <c r="L45" s="75">
        <v>2450</v>
      </c>
      <c r="M45" s="202">
        <v>28.069332339289996</v>
      </c>
      <c r="N45" s="87">
        <v>6524.8747200000007</v>
      </c>
      <c r="O45" s="87">
        <v>530</v>
      </c>
      <c r="P45" s="123">
        <v>96130.346223830013</v>
      </c>
      <c r="Q45" s="120">
        <v>33376.770807964545</v>
      </c>
      <c r="R45" s="123">
        <v>129507.11703179457</v>
      </c>
      <c r="T45" s="7" t="s">
        <v>7759</v>
      </c>
    </row>
    <row r="46" spans="1:20" ht="16.5" thickBot="1">
      <c r="A46" s="1179" t="s">
        <v>469</v>
      </c>
      <c r="B46" s="1183">
        <f t="shared" si="0"/>
        <v>90</v>
      </c>
      <c r="C46" s="1183" t="s">
        <v>3</v>
      </c>
      <c r="D46" s="1183">
        <f t="shared" si="1"/>
        <v>360</v>
      </c>
      <c r="E46" s="1183" t="s">
        <v>3</v>
      </c>
      <c r="F46" s="1181">
        <f t="shared" si="2"/>
        <v>2500</v>
      </c>
      <c r="G46" s="1183" t="s">
        <v>3</v>
      </c>
      <c r="H46" s="1180">
        <v>2</v>
      </c>
      <c r="I46" s="1182" t="s">
        <v>581</v>
      </c>
      <c r="J46" s="112">
        <v>90</v>
      </c>
      <c r="K46" s="75">
        <v>360</v>
      </c>
      <c r="L46" s="75">
        <v>2500</v>
      </c>
      <c r="M46" s="202">
        <v>28.988065728057503</v>
      </c>
      <c r="N46" s="87">
        <v>6680.2288799999997</v>
      </c>
      <c r="O46" s="87">
        <v>800</v>
      </c>
      <c r="P46" s="123">
        <v>97852.717070430008</v>
      </c>
      <c r="Q46" s="120">
        <v>33930.367949467472</v>
      </c>
      <c r="R46" s="123">
        <v>131783.08501989749</v>
      </c>
      <c r="T46" s="7" t="s">
        <v>7760</v>
      </c>
    </row>
    <row r="47" spans="1:20" ht="16.5" thickBot="1">
      <c r="A47" s="1179" t="s">
        <v>469</v>
      </c>
      <c r="B47" s="1183">
        <f t="shared" si="0"/>
        <v>90</v>
      </c>
      <c r="C47" s="1183" t="s">
        <v>3</v>
      </c>
      <c r="D47" s="1183">
        <f t="shared" si="1"/>
        <v>360</v>
      </c>
      <c r="E47" s="1183" t="s">
        <v>3</v>
      </c>
      <c r="F47" s="1181">
        <f t="shared" si="2"/>
        <v>2550</v>
      </c>
      <c r="G47" s="1183" t="s">
        <v>3</v>
      </c>
      <c r="H47" s="1180">
        <v>2</v>
      </c>
      <c r="I47" s="1182" t="s">
        <v>581</v>
      </c>
      <c r="J47" s="112">
        <v>90</v>
      </c>
      <c r="K47" s="75">
        <v>360</v>
      </c>
      <c r="L47" s="75">
        <v>2550</v>
      </c>
      <c r="M47" s="202">
        <v>29.460839116825003</v>
      </c>
      <c r="N47" s="87">
        <v>6835.5830399999995</v>
      </c>
      <c r="O47" s="87">
        <v>800</v>
      </c>
      <c r="P47" s="123">
        <v>102694.95791153001</v>
      </c>
      <c r="Q47" s="120">
        <v>34714.547009147034</v>
      </c>
      <c r="R47" s="123">
        <v>137409.50492067705</v>
      </c>
      <c r="T47" s="7" t="s">
        <v>7761</v>
      </c>
    </row>
    <row r="48" spans="1:20" ht="16.5" thickBot="1">
      <c r="A48" s="1179" t="s">
        <v>469</v>
      </c>
      <c r="B48" s="1180">
        <f t="shared" si="0"/>
        <v>90</v>
      </c>
      <c r="C48" s="1180" t="s">
        <v>3</v>
      </c>
      <c r="D48" s="1180">
        <f t="shared" si="1"/>
        <v>360</v>
      </c>
      <c r="E48" s="1180" t="s">
        <v>3</v>
      </c>
      <c r="F48" s="1181">
        <f t="shared" si="2"/>
        <v>2600</v>
      </c>
      <c r="G48" s="1180" t="s">
        <v>3</v>
      </c>
      <c r="H48" s="1180">
        <v>2</v>
      </c>
      <c r="I48" s="1182" t="s">
        <v>581</v>
      </c>
      <c r="J48" s="112">
        <v>90</v>
      </c>
      <c r="K48" s="75">
        <v>360</v>
      </c>
      <c r="L48" s="75">
        <v>2600</v>
      </c>
      <c r="M48" s="202">
        <v>29.916572505592502</v>
      </c>
      <c r="N48" s="87">
        <v>6990.9371999999994</v>
      </c>
      <c r="O48" s="87">
        <v>800</v>
      </c>
      <c r="P48" s="123">
        <v>103979.81032382001</v>
      </c>
      <c r="Q48" s="120">
        <v>35268.144150649961</v>
      </c>
      <c r="R48" s="123">
        <v>139247.95447446997</v>
      </c>
      <c r="T48" s="7" t="s">
        <v>7762</v>
      </c>
    </row>
    <row r="49" spans="1:20" ht="16.5" thickBot="1">
      <c r="A49" s="1179" t="s">
        <v>469</v>
      </c>
      <c r="B49" s="1183">
        <f t="shared" si="0"/>
        <v>90</v>
      </c>
      <c r="C49" s="1183" t="s">
        <v>3</v>
      </c>
      <c r="D49" s="1183">
        <f t="shared" si="1"/>
        <v>360</v>
      </c>
      <c r="E49" s="1183" t="s">
        <v>3</v>
      </c>
      <c r="F49" s="1181">
        <f t="shared" si="2"/>
        <v>2650</v>
      </c>
      <c r="G49" s="1183" t="s">
        <v>3</v>
      </c>
      <c r="H49" s="1180">
        <v>2</v>
      </c>
      <c r="I49" s="1182" t="s">
        <v>581</v>
      </c>
      <c r="J49" s="112">
        <v>90</v>
      </c>
      <c r="K49" s="75">
        <v>360</v>
      </c>
      <c r="L49" s="75">
        <v>2650</v>
      </c>
      <c r="M49" s="202">
        <v>30.496345894360005</v>
      </c>
      <c r="N49" s="87">
        <v>7146.2913599999993</v>
      </c>
      <c r="O49" s="87">
        <v>800</v>
      </c>
      <c r="P49" s="123">
        <v>104758.05094035002</v>
      </c>
      <c r="Q49" s="120">
        <v>36052.323069936159</v>
      </c>
      <c r="R49" s="123">
        <v>140810.37401028618</v>
      </c>
      <c r="T49" s="7" t="s">
        <v>7763</v>
      </c>
    </row>
    <row r="50" spans="1:20" ht="16.5" thickBot="1">
      <c r="A50" s="1179" t="s">
        <v>469</v>
      </c>
      <c r="B50" s="1183">
        <f t="shared" si="0"/>
        <v>90</v>
      </c>
      <c r="C50" s="1183" t="s">
        <v>3</v>
      </c>
      <c r="D50" s="1183">
        <f t="shared" si="1"/>
        <v>360</v>
      </c>
      <c r="E50" s="1183" t="s">
        <v>3</v>
      </c>
      <c r="F50" s="1181">
        <f t="shared" si="2"/>
        <v>2700</v>
      </c>
      <c r="G50" s="1183" t="s">
        <v>3</v>
      </c>
      <c r="H50" s="1180">
        <v>2</v>
      </c>
      <c r="I50" s="1182" t="s">
        <v>581</v>
      </c>
      <c r="J50" s="112">
        <v>90</v>
      </c>
      <c r="K50" s="75">
        <v>360</v>
      </c>
      <c r="L50" s="75">
        <v>2700</v>
      </c>
      <c r="M50" s="202">
        <v>30.991329283127502</v>
      </c>
      <c r="N50" s="87">
        <v>7301.64552</v>
      </c>
      <c r="O50" s="87">
        <v>800</v>
      </c>
      <c r="P50" s="123">
        <v>105577.85802236</v>
      </c>
      <c r="Q50" s="120">
        <v>36605.920211439086</v>
      </c>
      <c r="R50" s="123">
        <v>142183.77823379909</v>
      </c>
      <c r="T50" s="7" t="s">
        <v>7764</v>
      </c>
    </row>
    <row r="51" spans="1:20" ht="16.5" thickBot="1">
      <c r="A51" s="1179" t="s">
        <v>469</v>
      </c>
      <c r="B51" s="1183">
        <f t="shared" si="0"/>
        <v>90</v>
      </c>
      <c r="C51" s="1183" t="s">
        <v>3</v>
      </c>
      <c r="D51" s="1183">
        <f t="shared" si="1"/>
        <v>360</v>
      </c>
      <c r="E51" s="1183" t="s">
        <v>3</v>
      </c>
      <c r="F51" s="1181">
        <f t="shared" si="2"/>
        <v>2750</v>
      </c>
      <c r="G51" s="1183" t="s">
        <v>3</v>
      </c>
      <c r="H51" s="1180">
        <v>2</v>
      </c>
      <c r="I51" s="1182" t="s">
        <v>581</v>
      </c>
      <c r="J51" s="112">
        <v>90</v>
      </c>
      <c r="K51" s="75">
        <v>360</v>
      </c>
      <c r="L51" s="75">
        <v>2750</v>
      </c>
      <c r="M51" s="202">
        <v>31.447062671895001</v>
      </c>
      <c r="N51" s="87">
        <v>7456.9996799999999</v>
      </c>
      <c r="O51" s="87">
        <v>800</v>
      </c>
      <c r="P51" s="123">
        <v>106452.16688652</v>
      </c>
      <c r="Q51" s="120">
        <v>37159.517352942006</v>
      </c>
      <c r="R51" s="123">
        <v>143611.68423946202</v>
      </c>
      <c r="T51" s="7" t="s">
        <v>7765</v>
      </c>
    </row>
    <row r="52" spans="1:20" ht="16.5" thickBot="1">
      <c r="A52" s="1179" t="s">
        <v>469</v>
      </c>
      <c r="B52" s="1183">
        <f t="shared" si="0"/>
        <v>90</v>
      </c>
      <c r="C52" s="1183" t="s">
        <v>3</v>
      </c>
      <c r="D52" s="1183">
        <f t="shared" si="1"/>
        <v>360</v>
      </c>
      <c r="E52" s="1183" t="s">
        <v>3</v>
      </c>
      <c r="F52" s="1181">
        <f t="shared" si="2"/>
        <v>2800</v>
      </c>
      <c r="G52" s="1183" t="s">
        <v>3</v>
      </c>
      <c r="H52" s="1180">
        <v>2</v>
      </c>
      <c r="I52" s="1182" t="s">
        <v>581</v>
      </c>
      <c r="J52" s="112">
        <v>90</v>
      </c>
      <c r="K52" s="75">
        <v>360</v>
      </c>
      <c r="L52" s="75">
        <v>2800</v>
      </c>
      <c r="M52" s="202">
        <v>31.919836060662504</v>
      </c>
      <c r="N52" s="87">
        <v>7612.3538400000007</v>
      </c>
      <c r="O52" s="87">
        <v>800</v>
      </c>
      <c r="P52" s="123">
        <v>107228.95534292002</v>
      </c>
      <c r="Q52" s="120">
        <v>37943.696272228204</v>
      </c>
      <c r="R52" s="123">
        <v>145172.65161514824</v>
      </c>
      <c r="T52" s="7" t="s">
        <v>7766</v>
      </c>
    </row>
    <row r="53" spans="1:20" ht="16.5" thickBot="1">
      <c r="A53" s="1179" t="s">
        <v>469</v>
      </c>
      <c r="B53" s="1183">
        <f t="shared" si="0"/>
        <v>90</v>
      </c>
      <c r="C53" s="1183" t="s">
        <v>3</v>
      </c>
      <c r="D53" s="1183">
        <f t="shared" si="1"/>
        <v>360</v>
      </c>
      <c r="E53" s="1183" t="s">
        <v>3</v>
      </c>
      <c r="F53" s="1181">
        <f t="shared" si="2"/>
        <v>2850</v>
      </c>
      <c r="G53" s="1183" t="s">
        <v>3</v>
      </c>
      <c r="H53" s="1180">
        <v>2</v>
      </c>
      <c r="I53" s="1182" t="s">
        <v>581</v>
      </c>
      <c r="J53" s="112">
        <v>90</v>
      </c>
      <c r="K53" s="75">
        <v>360</v>
      </c>
      <c r="L53" s="75">
        <v>2850</v>
      </c>
      <c r="M53" s="202">
        <v>32.375569449430003</v>
      </c>
      <c r="N53" s="87">
        <v>7767.7079999999987</v>
      </c>
      <c r="O53" s="87">
        <v>800</v>
      </c>
      <c r="P53" s="123">
        <v>108005.68735040001</v>
      </c>
      <c r="Q53" s="120">
        <v>38497.293413731131</v>
      </c>
      <c r="R53" s="123">
        <v>146502.98076413115</v>
      </c>
      <c r="T53" s="7" t="s">
        <v>7767</v>
      </c>
    </row>
    <row r="54" spans="1:20" ht="16.5" thickBot="1">
      <c r="A54" s="1179" t="s">
        <v>469</v>
      </c>
      <c r="B54" s="1183">
        <f t="shared" si="0"/>
        <v>90</v>
      </c>
      <c r="C54" s="1183" t="s">
        <v>3</v>
      </c>
      <c r="D54" s="1183">
        <f t="shared" si="1"/>
        <v>360</v>
      </c>
      <c r="E54" s="1183" t="s">
        <v>3</v>
      </c>
      <c r="F54" s="1181">
        <f t="shared" si="2"/>
        <v>2900</v>
      </c>
      <c r="G54" s="1183" t="s">
        <v>3</v>
      </c>
      <c r="H54" s="1180">
        <v>2</v>
      </c>
      <c r="I54" s="1182" t="s">
        <v>581</v>
      </c>
      <c r="J54" s="112">
        <v>90</v>
      </c>
      <c r="K54" s="75">
        <v>360</v>
      </c>
      <c r="L54" s="75">
        <v>2900</v>
      </c>
      <c r="M54" s="202">
        <v>33.024342838197498</v>
      </c>
      <c r="N54" s="87">
        <v>7923.0621599999986</v>
      </c>
      <c r="O54" s="87">
        <v>800</v>
      </c>
      <c r="P54" s="123">
        <v>108782.36255907001</v>
      </c>
      <c r="Q54" s="120">
        <v>39281.472333017329</v>
      </c>
      <c r="R54" s="123">
        <v>148063.83489208732</v>
      </c>
      <c r="T54" s="7" t="s">
        <v>7768</v>
      </c>
    </row>
    <row r="55" spans="1:20" ht="16.5" thickBot="1">
      <c r="A55" s="1179" t="s">
        <v>469</v>
      </c>
      <c r="B55" s="1183">
        <f t="shared" si="0"/>
        <v>90</v>
      </c>
      <c r="C55" s="1183" t="s">
        <v>3</v>
      </c>
      <c r="D55" s="1183">
        <f t="shared" si="1"/>
        <v>360</v>
      </c>
      <c r="E55" s="1183" t="s">
        <v>3</v>
      </c>
      <c r="F55" s="1181">
        <f t="shared" si="2"/>
        <v>2950</v>
      </c>
      <c r="G55" s="1183" t="s">
        <v>3</v>
      </c>
      <c r="H55" s="1180">
        <v>2</v>
      </c>
      <c r="I55" s="1182" t="s">
        <v>581</v>
      </c>
      <c r="J55" s="112">
        <v>90</v>
      </c>
      <c r="K55" s="75">
        <v>360</v>
      </c>
      <c r="L55" s="75">
        <v>2950</v>
      </c>
      <c r="M55" s="202">
        <v>33.480076226965004</v>
      </c>
      <c r="N55" s="87">
        <v>8078.4163199999994</v>
      </c>
      <c r="O55" s="87">
        <v>800</v>
      </c>
      <c r="P55" s="123">
        <v>109558.98143545001</v>
      </c>
      <c r="Q55" s="120">
        <v>39835.069474520256</v>
      </c>
      <c r="R55" s="123">
        <v>149394.05090997028</v>
      </c>
      <c r="T55" s="7" t="s">
        <v>7769</v>
      </c>
    </row>
    <row r="56" spans="1:20" ht="16.5" thickBot="1">
      <c r="A56" s="1179" t="s">
        <v>469</v>
      </c>
      <c r="B56" s="1183">
        <f t="shared" si="0"/>
        <v>90</v>
      </c>
      <c r="C56" s="1183" t="s">
        <v>3</v>
      </c>
      <c r="D56" s="1183">
        <f t="shared" si="1"/>
        <v>360</v>
      </c>
      <c r="E56" s="1183" t="s">
        <v>3</v>
      </c>
      <c r="F56" s="1181">
        <f t="shared" si="2"/>
        <v>3000</v>
      </c>
      <c r="G56" s="1183" t="s">
        <v>3</v>
      </c>
      <c r="H56" s="1180">
        <v>2</v>
      </c>
      <c r="I56" s="1182" t="s">
        <v>581</v>
      </c>
      <c r="J56" s="146">
        <v>90</v>
      </c>
      <c r="K56" s="147">
        <v>360</v>
      </c>
      <c r="L56" s="147">
        <v>3000</v>
      </c>
      <c r="M56" s="209">
        <v>34.402849615732499</v>
      </c>
      <c r="N56" s="148">
        <v>8233.7704799999992</v>
      </c>
      <c r="O56" s="148">
        <v>1000</v>
      </c>
      <c r="P56" s="149">
        <v>113117.83182131001</v>
      </c>
      <c r="Q56" s="159">
        <v>40619.248393806454</v>
      </c>
      <c r="R56" s="149">
        <v>153737.08021511647</v>
      </c>
      <c r="T56" s="7" t="s">
        <v>7770</v>
      </c>
    </row>
  </sheetData>
  <mergeCells count="11">
    <mergeCell ref="R4:R5"/>
    <mergeCell ref="P6:R6"/>
    <mergeCell ref="A8:R8"/>
    <mergeCell ref="A9:R9"/>
    <mergeCell ref="A4:I6"/>
    <mergeCell ref="J4:M5"/>
    <mergeCell ref="N4:N6"/>
    <mergeCell ref="O4:O6"/>
    <mergeCell ref="P4:P5"/>
    <mergeCell ref="Q4:Q5"/>
    <mergeCell ref="A7:R7"/>
  </mergeCells>
  <hyperlinks>
    <hyperlink ref="A1:I1" location="Главная!A1" display="Вернуться на главную страницу" xr:uid="{00000000-0004-0000-2400-000000000000}"/>
    <hyperlink ref="A2" location="'Калькулятор теплоотдач ВКВ'!R1C1" display="Вернуться Калькулятор теплоотдач ВКВ" xr:uid="{00000000-0004-0000-2400-000001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AB396-B1D6-4CF3-A13B-7A3E1C17BEB3}">
  <sheetPr>
    <tabColor rgb="FFFF5050"/>
  </sheetPr>
  <dimension ref="A1:OE321"/>
  <sheetViews>
    <sheetView zoomScale="70" zoomScaleNormal="70" workbookViewId="0">
      <selection sqref="A1:I1"/>
    </sheetView>
  </sheetViews>
  <sheetFormatPr defaultRowHeight="15"/>
  <cols>
    <col min="1" max="1" width="9.140625" style="74"/>
    <col min="2" max="2" width="33.85546875" style="74" customWidth="1"/>
    <col min="3" max="3" width="34.85546875" style="74" customWidth="1"/>
    <col min="4" max="16384" width="9.140625" style="74"/>
  </cols>
  <sheetData>
    <row r="1" spans="1:9" s="1968" customFormat="1" ht="15.75">
      <c r="A1" s="2016" t="s">
        <v>9</v>
      </c>
      <c r="B1" s="2016"/>
      <c r="C1" s="2016"/>
      <c r="D1" s="2016"/>
      <c r="E1" s="2016"/>
      <c r="F1" s="2016"/>
      <c r="G1" s="2016"/>
      <c r="H1" s="2016"/>
      <c r="I1" s="2016"/>
    </row>
    <row r="2" spans="1:9" s="1968" customFormat="1"/>
    <row r="3" spans="1:9" s="1968" customFormat="1"/>
    <row r="4" spans="1:9" s="1968" customFormat="1"/>
    <row r="5" spans="1:9" s="1968" customFormat="1"/>
    <row r="6" spans="1:9" s="1968" customFormat="1"/>
    <row r="7" spans="1:9" s="1968" customFormat="1"/>
    <row r="8" spans="1:9" s="1968" customFormat="1"/>
    <row r="9" spans="1:9" s="1968" customFormat="1"/>
    <row r="10" spans="1:9" s="1968" customFormat="1" ht="16.5" customHeight="1"/>
    <row r="11" spans="1:9" s="1968" customFormat="1"/>
    <row r="12" spans="1:9" s="1968" customFormat="1" ht="15.75" thickBot="1"/>
    <row r="13" spans="1:9" s="1968" customFormat="1" ht="16.5" thickBot="1">
      <c r="B13" s="2057" t="s">
        <v>5794</v>
      </c>
      <c r="C13" s="2058"/>
    </row>
    <row r="14" spans="1:9" s="1968" customFormat="1" ht="49.5" customHeight="1" thickBot="1">
      <c r="B14" s="1167" t="s">
        <v>395</v>
      </c>
      <c r="C14" s="1168">
        <v>0.5</v>
      </c>
    </row>
    <row r="15" spans="1:9" s="1968" customFormat="1"/>
    <row r="16" spans="1:9" s="1968" customFormat="1"/>
    <row r="17" s="1968" customFormat="1"/>
    <row r="18" s="1968" customFormat="1"/>
    <row r="19" s="1968" customFormat="1"/>
    <row r="20" s="1968" customFormat="1"/>
    <row r="21" s="1968" customFormat="1"/>
    <row r="22" s="1968" customFormat="1"/>
    <row r="23" s="1968" customFormat="1"/>
    <row r="24" s="1968" customFormat="1"/>
    <row r="25" s="1968" customFormat="1"/>
    <row r="26" s="1968" customFormat="1"/>
    <row r="27" s="1968" customFormat="1"/>
    <row r="28" s="1968" customFormat="1"/>
    <row r="29" s="1968" customFormat="1"/>
    <row r="30" s="1968" customFormat="1"/>
    <row r="31" s="1968" customFormat="1"/>
    <row r="32" s="1968" customFormat="1"/>
    <row r="33" s="1968" customFormat="1"/>
    <row r="34" s="1968" customFormat="1"/>
    <row r="35" s="1968" customFormat="1"/>
    <row r="36" s="1968" customFormat="1"/>
    <row r="37" s="1968" customFormat="1"/>
    <row r="38" s="1968" customFormat="1"/>
    <row r="39" s="1968" customFormat="1"/>
    <row r="40" s="1968" customFormat="1"/>
    <row r="41" s="1968" customFormat="1"/>
    <row r="42" s="1968" customFormat="1"/>
    <row r="43" s="1968" customFormat="1"/>
    <row r="44" s="1968" customFormat="1"/>
    <row r="45" s="1968" customFormat="1"/>
    <row r="46" s="1968" customFormat="1"/>
    <row r="47" s="1968" customFormat="1"/>
    <row r="48" s="1968" customFormat="1"/>
    <row r="49" s="1968" customFormat="1"/>
    <row r="50" s="1968" customFormat="1"/>
    <row r="51" s="1968" customFormat="1"/>
    <row r="52" s="1968" customFormat="1"/>
    <row r="53" s="1968" customFormat="1"/>
    <row r="54" s="1968" customFormat="1"/>
    <row r="55" s="1968" customFormat="1"/>
    <row r="56" s="1968" customFormat="1"/>
    <row r="57" s="1968" customFormat="1"/>
    <row r="58" s="1968" customFormat="1"/>
    <row r="59" s="1968" customFormat="1"/>
    <row r="60" s="1968" customFormat="1"/>
    <row r="61" s="1968" customFormat="1"/>
    <row r="62" s="1968" customFormat="1"/>
    <row r="63" s="1968" customFormat="1"/>
    <row r="64" s="1968" customFormat="1"/>
    <row r="65" s="1968" customFormat="1"/>
    <row r="66" s="1968" customFormat="1"/>
    <row r="67" s="1968" customFormat="1"/>
    <row r="68" s="1968" customFormat="1"/>
    <row r="69" s="1968" customFormat="1"/>
    <row r="70" s="1968" customFormat="1"/>
    <row r="71" s="1968" customFormat="1"/>
    <row r="72" s="1968" customFormat="1"/>
    <row r="73" s="1968" customFormat="1"/>
    <row r="74" s="1968" customFormat="1"/>
    <row r="75" s="1968" customFormat="1"/>
    <row r="76" s="1968" customFormat="1"/>
    <row r="77" s="1968" customFormat="1"/>
    <row r="78" s="1968" customFormat="1"/>
    <row r="79" s="1968" customFormat="1"/>
    <row r="80" s="1968" customFormat="1"/>
    <row r="81" s="1968" customFormat="1"/>
    <row r="82" s="1968" customFormat="1"/>
    <row r="83" s="1968" customFormat="1"/>
    <row r="84" s="1968" customFormat="1"/>
    <row r="85" s="1968" customFormat="1"/>
    <row r="86" s="1968" customFormat="1"/>
    <row r="87" s="1968" customFormat="1"/>
    <row r="88" s="1968" customFormat="1"/>
    <row r="89" s="1968" customFormat="1"/>
    <row r="90" s="1968" customFormat="1"/>
    <row r="91" s="1968" customFormat="1"/>
    <row r="92" s="1968" customFormat="1"/>
    <row r="93" s="1968" customFormat="1"/>
    <row r="94" s="1968" customFormat="1"/>
    <row r="95" s="1968" customFormat="1"/>
    <row r="96" s="1968" customFormat="1"/>
    <row r="97" s="1968" customFormat="1"/>
    <row r="98" s="1968" customFormat="1"/>
    <row r="99" s="1968" customFormat="1"/>
    <row r="100" s="1968" customFormat="1"/>
    <row r="101" s="1968" customFormat="1"/>
    <row r="102" s="1968" customFormat="1"/>
    <row r="103" s="1968" customFormat="1"/>
    <row r="104" s="1968" customFormat="1"/>
    <row r="105" s="1968" customFormat="1"/>
    <row r="106" s="1968" customFormat="1"/>
    <row r="107" s="1968" customFormat="1"/>
    <row r="108" s="1968" customFormat="1"/>
    <row r="109" s="1968" customFormat="1"/>
    <row r="110" s="1968" customFormat="1"/>
    <row r="111" s="1968" customFormat="1"/>
    <row r="112" s="1968" customFormat="1"/>
    <row r="113" spans="1:395" s="1968" customFormat="1"/>
    <row r="114" spans="1:395" s="1968" customFormat="1"/>
    <row r="115" spans="1:395" s="1968" customFormat="1"/>
    <row r="116" spans="1:395" s="1968" customFormat="1"/>
    <row r="117" spans="1:395" s="1968" customFormat="1"/>
    <row r="118" spans="1:395" s="1968" customFormat="1"/>
    <row r="119" spans="1:395" s="1968" customFormat="1"/>
    <row r="120" spans="1:395" s="1968" customFormat="1"/>
    <row r="121" spans="1:395" s="1968" customFormat="1"/>
    <row r="122" spans="1:395" s="1968" customFormat="1"/>
    <row r="123" spans="1:395" s="1968" customFormat="1"/>
    <row r="124" spans="1:395" s="1968" customFormat="1"/>
    <row r="125" spans="1:395" s="1968" customFormat="1"/>
    <row r="126" spans="1:395" s="1968" customFormat="1"/>
    <row r="127" spans="1:395">
      <c r="A127" s="1968"/>
      <c r="B127" s="1968"/>
      <c r="C127" s="1968"/>
      <c r="D127" s="1968"/>
      <c r="E127" s="1968"/>
      <c r="F127" s="1968"/>
      <c r="G127" s="1968"/>
      <c r="H127" s="1968"/>
      <c r="I127" s="1968"/>
      <c r="J127" s="1968"/>
      <c r="K127" s="1968"/>
      <c r="L127" s="1968"/>
      <c r="M127" s="1968"/>
      <c r="N127" s="1968"/>
      <c r="O127" s="1968"/>
      <c r="P127" s="1968"/>
      <c r="Q127" s="1968"/>
      <c r="R127" s="1968"/>
      <c r="S127" s="1968"/>
      <c r="T127" s="1968"/>
      <c r="U127" s="1968"/>
      <c r="V127" s="1968"/>
      <c r="W127" s="1968"/>
      <c r="X127" s="1968"/>
      <c r="Y127" s="1968"/>
      <c r="Z127" s="1968"/>
      <c r="AA127" s="1968"/>
      <c r="AB127" s="1968"/>
      <c r="AC127" s="1968"/>
      <c r="AD127" s="1968"/>
      <c r="AE127" s="1968"/>
      <c r="AF127" s="1968"/>
      <c r="AG127" s="1968"/>
      <c r="AH127" s="1968"/>
      <c r="AI127" s="1968"/>
      <c r="AJ127" s="1968"/>
      <c r="AK127" s="1968"/>
      <c r="AL127" s="1968"/>
      <c r="AM127" s="1968"/>
      <c r="AN127" s="1968"/>
      <c r="AO127" s="1968"/>
      <c r="AP127" s="1968"/>
      <c r="AQ127" s="1968"/>
      <c r="AR127" s="1968"/>
      <c r="AS127" s="1968"/>
      <c r="AT127" s="1968"/>
      <c r="AU127" s="1968"/>
      <c r="AV127" s="1968"/>
      <c r="AW127" s="1968"/>
      <c r="AX127" s="1968"/>
      <c r="AY127" s="1968"/>
      <c r="AZ127" s="1968"/>
      <c r="BA127" s="1968"/>
      <c r="BB127" s="1968"/>
      <c r="BC127" s="1968"/>
      <c r="BD127" s="1968"/>
      <c r="BE127" s="1968"/>
      <c r="BF127" s="1968"/>
      <c r="BG127" s="1968"/>
      <c r="BH127" s="1968"/>
      <c r="BI127" s="1968"/>
      <c r="BJ127" s="1968"/>
      <c r="BK127" s="1968"/>
      <c r="BL127" s="1968"/>
      <c r="BM127" s="1968"/>
      <c r="BN127" s="1968"/>
      <c r="BO127" s="1968"/>
      <c r="BP127" s="1968"/>
      <c r="BQ127" s="1968"/>
      <c r="BR127" s="1968"/>
      <c r="BS127" s="1968"/>
      <c r="BT127" s="1968"/>
      <c r="BU127" s="1968"/>
      <c r="BV127" s="1968"/>
      <c r="BW127" s="1968"/>
      <c r="BX127" s="1968"/>
      <c r="BY127" s="1968"/>
      <c r="BZ127" s="1968"/>
      <c r="CA127" s="1968"/>
      <c r="CB127" s="1968"/>
      <c r="CC127" s="1968"/>
      <c r="CD127" s="1968"/>
      <c r="CE127" s="1968"/>
      <c r="CF127" s="1968"/>
      <c r="CG127" s="1968"/>
      <c r="CH127" s="1968"/>
      <c r="CI127" s="1968"/>
      <c r="CJ127" s="1968"/>
      <c r="CK127" s="1968"/>
      <c r="CL127" s="1968"/>
      <c r="CM127" s="1968"/>
      <c r="CN127" s="1968"/>
      <c r="CO127" s="1968"/>
      <c r="CP127" s="1968"/>
      <c r="CQ127" s="1968"/>
      <c r="CR127" s="1968"/>
      <c r="CS127" s="1968"/>
      <c r="CT127" s="1968"/>
      <c r="CU127" s="1968"/>
      <c r="CV127" s="1968"/>
      <c r="CW127" s="1968"/>
      <c r="CX127" s="1968"/>
      <c r="CY127" s="1968"/>
      <c r="CZ127" s="1968"/>
      <c r="DA127" s="1968"/>
      <c r="DB127" s="1968"/>
      <c r="DC127" s="1968"/>
      <c r="DD127" s="1968"/>
      <c r="DE127" s="1968"/>
      <c r="DF127" s="1968"/>
      <c r="DG127" s="1968"/>
      <c r="DH127" s="1968"/>
      <c r="DI127" s="1968"/>
      <c r="DJ127" s="1968"/>
      <c r="DK127" s="1968"/>
      <c r="DL127" s="1968"/>
      <c r="DM127" s="1968"/>
      <c r="DN127" s="1968"/>
      <c r="DO127" s="1968"/>
      <c r="DP127" s="1968"/>
      <c r="DQ127" s="1968"/>
      <c r="DR127" s="1968"/>
      <c r="DS127" s="1968"/>
      <c r="DT127" s="1968"/>
      <c r="DU127" s="1968"/>
      <c r="DV127" s="1968"/>
      <c r="DW127" s="1968"/>
      <c r="DX127" s="1968"/>
      <c r="DY127" s="1968"/>
      <c r="DZ127" s="1968"/>
      <c r="EA127" s="1968"/>
      <c r="EB127" s="1968"/>
      <c r="EC127" s="1968"/>
      <c r="ED127" s="1968"/>
      <c r="EE127" s="1968"/>
      <c r="EF127" s="1968"/>
      <c r="EG127" s="1968"/>
      <c r="EH127" s="1968"/>
      <c r="EI127" s="1968"/>
      <c r="EJ127" s="1968"/>
      <c r="EK127" s="1968"/>
      <c r="EL127" s="1968"/>
      <c r="EM127" s="1968"/>
      <c r="EN127" s="1968"/>
      <c r="EO127" s="1968"/>
      <c r="EP127" s="1968"/>
      <c r="EQ127" s="1968"/>
      <c r="ER127" s="1968"/>
      <c r="ES127" s="1968"/>
      <c r="ET127" s="1968"/>
      <c r="EU127" s="1968"/>
      <c r="EV127" s="1968"/>
      <c r="EW127" s="1968"/>
      <c r="EX127" s="1968"/>
      <c r="EY127" s="1968"/>
      <c r="EZ127" s="1968"/>
      <c r="FA127" s="1968"/>
      <c r="FB127" s="1968"/>
      <c r="FC127" s="1968"/>
      <c r="FD127" s="1968"/>
      <c r="FE127" s="1968"/>
      <c r="FF127" s="1968"/>
      <c r="FG127" s="1968"/>
      <c r="FH127" s="1968"/>
      <c r="FI127" s="1968"/>
      <c r="FJ127" s="1968"/>
      <c r="FK127" s="1968"/>
      <c r="FL127" s="1968"/>
      <c r="FM127" s="1968"/>
      <c r="FN127" s="1968"/>
      <c r="FO127" s="1968"/>
      <c r="FP127" s="1968"/>
      <c r="FQ127" s="1968"/>
      <c r="FR127" s="1968"/>
      <c r="FS127" s="1968"/>
      <c r="FT127" s="1968"/>
      <c r="FU127" s="1968"/>
      <c r="FV127" s="1968"/>
      <c r="FW127" s="1968"/>
      <c r="FX127" s="1968"/>
      <c r="FY127" s="1968"/>
      <c r="FZ127" s="1968"/>
      <c r="GA127" s="1968"/>
      <c r="GB127" s="1968"/>
      <c r="GC127" s="1968"/>
      <c r="GD127" s="1968"/>
      <c r="GE127" s="1968"/>
      <c r="GF127" s="1968"/>
      <c r="GG127" s="1968"/>
      <c r="GH127" s="1968"/>
      <c r="GI127" s="1968"/>
      <c r="GJ127" s="1968"/>
      <c r="GK127" s="1968"/>
      <c r="GL127" s="1968"/>
      <c r="GM127" s="1968"/>
      <c r="GN127" s="1968"/>
      <c r="GO127" s="1968"/>
      <c r="GP127" s="1968"/>
      <c r="GQ127" s="1968"/>
      <c r="GR127" s="1968"/>
      <c r="GS127" s="1968"/>
      <c r="GT127" s="1968"/>
      <c r="GU127" s="1968"/>
      <c r="GV127" s="1968"/>
      <c r="GW127" s="1968"/>
      <c r="GX127" s="1968"/>
      <c r="GY127" s="1968"/>
      <c r="GZ127" s="1968"/>
      <c r="HA127" s="1968"/>
      <c r="HB127" s="1968"/>
      <c r="HC127" s="1968"/>
      <c r="HD127" s="1968"/>
      <c r="HE127" s="1968"/>
      <c r="HF127" s="1968"/>
      <c r="HG127" s="1968"/>
      <c r="HH127" s="1968"/>
      <c r="HI127" s="1968"/>
      <c r="HJ127" s="1968"/>
      <c r="HK127" s="1968"/>
      <c r="HL127" s="1968"/>
      <c r="HM127" s="1968"/>
      <c r="HN127" s="1968"/>
      <c r="HO127" s="1968"/>
      <c r="HP127" s="1968"/>
      <c r="HQ127" s="1968"/>
      <c r="HR127" s="1968"/>
      <c r="HS127" s="1968"/>
      <c r="HT127" s="1968"/>
      <c r="HU127" s="1968"/>
      <c r="HV127" s="1968"/>
      <c r="HW127" s="1968"/>
      <c r="HX127" s="1968"/>
      <c r="HY127" s="1968"/>
      <c r="HZ127" s="1968"/>
      <c r="IA127" s="1968"/>
      <c r="IB127" s="1968"/>
      <c r="IC127" s="1968"/>
      <c r="ID127" s="1968"/>
      <c r="IE127" s="1968"/>
      <c r="IF127" s="1968"/>
      <c r="IG127" s="1968"/>
      <c r="IH127" s="1968"/>
      <c r="II127" s="1968"/>
      <c r="IJ127" s="1968"/>
      <c r="IK127" s="1968"/>
      <c r="IL127" s="1968"/>
      <c r="IM127" s="1968"/>
      <c r="IN127" s="1968"/>
      <c r="IO127" s="1968"/>
      <c r="IP127" s="1968"/>
      <c r="IQ127" s="1968"/>
      <c r="IR127" s="1968"/>
      <c r="IS127" s="1968"/>
      <c r="IT127" s="1968"/>
      <c r="IU127" s="1968"/>
      <c r="IV127" s="1968"/>
      <c r="IW127" s="1968"/>
      <c r="IX127" s="1968"/>
      <c r="IY127" s="1968"/>
      <c r="IZ127" s="1968"/>
      <c r="JA127" s="1968"/>
      <c r="JB127" s="1968"/>
      <c r="JC127" s="1968"/>
      <c r="JD127" s="1968"/>
      <c r="JE127" s="1968"/>
      <c r="JF127" s="1968"/>
      <c r="JG127" s="1968"/>
      <c r="JH127" s="1968"/>
      <c r="JI127" s="1968"/>
      <c r="JJ127" s="1968"/>
      <c r="JK127" s="1968"/>
      <c r="JL127" s="1968"/>
      <c r="JM127" s="1968"/>
      <c r="JN127" s="1968"/>
      <c r="JO127" s="1968"/>
      <c r="JP127" s="1968"/>
      <c r="JQ127" s="1968"/>
      <c r="JR127" s="1968"/>
      <c r="JS127" s="1968"/>
      <c r="JT127" s="1968"/>
      <c r="JU127" s="1968"/>
      <c r="JV127" s="1968"/>
      <c r="JW127" s="1968"/>
      <c r="JX127" s="1968"/>
      <c r="JY127" s="1968"/>
      <c r="JZ127" s="1968"/>
      <c r="KA127" s="1968"/>
      <c r="KB127" s="1968"/>
      <c r="KC127" s="1968"/>
      <c r="KD127" s="1968"/>
      <c r="KE127" s="1968"/>
      <c r="KF127" s="1968"/>
      <c r="KG127" s="1968"/>
      <c r="KH127" s="1968"/>
      <c r="KI127" s="1968"/>
      <c r="KJ127" s="1968"/>
      <c r="KK127" s="1968"/>
      <c r="KL127" s="1968"/>
      <c r="KM127" s="1968"/>
      <c r="KN127" s="1968"/>
      <c r="KO127" s="1968"/>
      <c r="KP127" s="1968"/>
      <c r="KQ127" s="1968"/>
      <c r="KR127" s="1968"/>
      <c r="KS127" s="1968"/>
      <c r="KT127" s="1968"/>
      <c r="KU127" s="1968"/>
      <c r="KV127" s="1968"/>
      <c r="KW127" s="1968"/>
      <c r="KX127" s="1968"/>
      <c r="KY127" s="1968"/>
      <c r="KZ127" s="1968"/>
      <c r="LA127" s="1968"/>
      <c r="LB127" s="1968"/>
      <c r="LC127" s="1968"/>
      <c r="LD127" s="1968"/>
      <c r="LE127" s="1968"/>
      <c r="LF127" s="1968"/>
      <c r="LG127" s="1968"/>
      <c r="LH127" s="1968"/>
      <c r="LI127" s="1968"/>
      <c r="LJ127" s="1968"/>
      <c r="LK127" s="1968"/>
      <c r="LL127" s="1968"/>
      <c r="LM127" s="1968"/>
      <c r="LN127" s="1968"/>
      <c r="LO127" s="1968"/>
      <c r="LP127" s="1968"/>
      <c r="LQ127" s="1968"/>
      <c r="LR127" s="1968"/>
      <c r="LS127" s="1968"/>
      <c r="LT127" s="1968"/>
      <c r="LU127" s="1968"/>
      <c r="LV127" s="1968"/>
      <c r="LW127" s="1968"/>
      <c r="LX127" s="1968"/>
      <c r="LY127" s="1968"/>
      <c r="LZ127" s="1968"/>
      <c r="MA127" s="1968"/>
      <c r="MB127" s="1968"/>
      <c r="MC127" s="1968"/>
      <c r="MD127" s="1968"/>
      <c r="ME127" s="1968"/>
      <c r="MF127" s="1968"/>
      <c r="MG127" s="1968"/>
      <c r="MH127" s="1968"/>
      <c r="MI127" s="1968"/>
      <c r="MJ127" s="1968"/>
      <c r="MK127" s="1968"/>
      <c r="ML127" s="1968"/>
      <c r="MM127" s="1968"/>
      <c r="MN127" s="1968"/>
      <c r="MO127" s="1968"/>
      <c r="MP127" s="1968"/>
      <c r="MQ127" s="1968"/>
      <c r="MR127" s="1968"/>
      <c r="MS127" s="1968"/>
      <c r="MT127" s="1968"/>
      <c r="MU127" s="1968"/>
      <c r="MV127" s="1968"/>
      <c r="MW127" s="1968"/>
      <c r="MX127" s="1968"/>
      <c r="MY127" s="1968"/>
      <c r="MZ127" s="1968"/>
      <c r="NA127" s="1968"/>
      <c r="NB127" s="1968"/>
      <c r="NC127" s="1968"/>
      <c r="ND127" s="1968"/>
      <c r="NE127" s="1968"/>
      <c r="NF127" s="1968"/>
      <c r="NG127" s="1968"/>
      <c r="NH127" s="1968"/>
      <c r="NI127" s="1968"/>
      <c r="NJ127" s="1968"/>
      <c r="NK127" s="1968"/>
      <c r="NL127" s="1968"/>
      <c r="NM127" s="1968"/>
      <c r="NN127" s="1968"/>
      <c r="NO127" s="1968"/>
      <c r="NP127" s="1968"/>
      <c r="NQ127" s="1968"/>
      <c r="NR127" s="1968"/>
      <c r="NS127" s="1968"/>
      <c r="NT127" s="1968"/>
      <c r="NU127" s="1968"/>
      <c r="NV127" s="1968"/>
      <c r="NW127" s="1968"/>
      <c r="NX127" s="1968"/>
      <c r="NY127" s="1968"/>
      <c r="NZ127" s="1968"/>
      <c r="OA127" s="1968"/>
      <c r="OB127" s="1968"/>
      <c r="OC127" s="1968"/>
      <c r="OD127" s="1968"/>
      <c r="OE127" s="1968"/>
    </row>
    <row r="128" spans="1:395">
      <c r="A128" s="1968"/>
      <c r="B128" s="1968"/>
      <c r="C128" s="1968"/>
      <c r="D128" s="1968"/>
      <c r="E128" s="1968"/>
      <c r="F128" s="1968"/>
      <c r="G128" s="1968"/>
      <c r="H128" s="1968"/>
      <c r="I128" s="1968"/>
      <c r="J128" s="1968"/>
      <c r="K128" s="1968"/>
      <c r="L128" s="1968"/>
      <c r="M128" s="1968"/>
      <c r="N128" s="1968"/>
      <c r="O128" s="1968"/>
      <c r="P128" s="1968"/>
      <c r="Q128" s="1968"/>
      <c r="R128" s="1968"/>
      <c r="S128" s="1968"/>
      <c r="T128" s="1968"/>
      <c r="U128" s="1968"/>
      <c r="V128" s="1968"/>
      <c r="W128" s="1968"/>
      <c r="X128" s="1968"/>
      <c r="Y128" s="1968"/>
      <c r="Z128" s="1968"/>
      <c r="AA128" s="1968"/>
      <c r="AB128" s="1968"/>
      <c r="AC128" s="1968"/>
      <c r="AD128" s="1968"/>
      <c r="AE128" s="1968"/>
      <c r="AF128" s="1968"/>
      <c r="AG128" s="1968"/>
      <c r="AH128" s="1968"/>
      <c r="AI128" s="1968"/>
      <c r="AJ128" s="1968"/>
      <c r="AK128" s="1968"/>
      <c r="AL128" s="1968"/>
      <c r="AM128" s="1968"/>
      <c r="AN128" s="1968"/>
      <c r="AO128" s="1968"/>
      <c r="AP128" s="1968"/>
      <c r="AQ128" s="1968"/>
      <c r="AR128" s="1968"/>
      <c r="AS128" s="1968"/>
      <c r="AT128" s="1968"/>
      <c r="AU128" s="1968"/>
      <c r="AV128" s="1968"/>
      <c r="AW128" s="1968"/>
      <c r="AX128" s="1968"/>
      <c r="AY128" s="1968"/>
      <c r="AZ128" s="1968"/>
      <c r="BA128" s="1968"/>
      <c r="BB128" s="1968"/>
      <c r="BC128" s="1968"/>
      <c r="BD128" s="1968"/>
      <c r="BE128" s="1968"/>
      <c r="BF128" s="1968"/>
      <c r="BG128" s="1968"/>
      <c r="BH128" s="1968"/>
      <c r="BI128" s="1968"/>
      <c r="BJ128" s="1968"/>
      <c r="BK128" s="1968"/>
      <c r="BL128" s="1968"/>
      <c r="BM128" s="1968"/>
      <c r="BN128" s="1968"/>
      <c r="BO128" s="1968"/>
      <c r="BP128" s="1968"/>
      <c r="BQ128" s="1968"/>
      <c r="BR128" s="1968"/>
      <c r="BS128" s="1968"/>
      <c r="BT128" s="1968"/>
      <c r="BU128" s="1968"/>
      <c r="BV128" s="1968"/>
      <c r="BW128" s="1968"/>
      <c r="BX128" s="1968"/>
      <c r="BY128" s="1968"/>
      <c r="BZ128" s="1968"/>
      <c r="CA128" s="1968"/>
      <c r="CB128" s="1968"/>
      <c r="CC128" s="1968"/>
      <c r="CD128" s="1968"/>
      <c r="CE128" s="1968"/>
      <c r="CF128" s="1968"/>
      <c r="CG128" s="1968"/>
      <c r="CH128" s="1968"/>
      <c r="CI128" s="1968"/>
      <c r="CJ128" s="1968"/>
      <c r="CK128" s="1968"/>
      <c r="CL128" s="1968"/>
      <c r="CM128" s="1968"/>
      <c r="CN128" s="1968"/>
      <c r="CO128" s="1968"/>
      <c r="CP128" s="1968"/>
      <c r="CQ128" s="1968"/>
      <c r="CR128" s="1968"/>
      <c r="CS128" s="1968"/>
      <c r="CT128" s="1968"/>
      <c r="CU128" s="1968"/>
      <c r="CV128" s="1968"/>
      <c r="CW128" s="1968"/>
      <c r="CX128" s="1968"/>
      <c r="CY128" s="1968"/>
      <c r="CZ128" s="1968"/>
      <c r="DA128" s="1968"/>
      <c r="DB128" s="1968"/>
      <c r="DC128" s="1968"/>
      <c r="DD128" s="1968"/>
      <c r="DE128" s="1968"/>
      <c r="DF128" s="1968"/>
      <c r="DG128" s="1968"/>
      <c r="DH128" s="1968"/>
      <c r="DI128" s="1968"/>
      <c r="DJ128" s="1968"/>
      <c r="DK128" s="1968"/>
      <c r="DL128" s="1968"/>
      <c r="DM128" s="1968"/>
      <c r="DN128" s="1968"/>
      <c r="DO128" s="1968"/>
      <c r="DP128" s="1968"/>
      <c r="DQ128" s="1968"/>
      <c r="DR128" s="1968"/>
      <c r="DS128" s="1968"/>
      <c r="DT128" s="1968"/>
      <c r="DU128" s="1968"/>
      <c r="DV128" s="1968"/>
      <c r="DW128" s="1968"/>
      <c r="DX128" s="1968"/>
      <c r="DY128" s="1968"/>
      <c r="DZ128" s="1968"/>
      <c r="EA128" s="1968"/>
      <c r="EB128" s="1968"/>
      <c r="EC128" s="1968"/>
      <c r="ED128" s="1968"/>
      <c r="EE128" s="1968"/>
      <c r="EF128" s="1968"/>
      <c r="EG128" s="1968"/>
      <c r="EH128" s="1968"/>
      <c r="EI128" s="1968"/>
      <c r="EJ128" s="1968"/>
      <c r="EK128" s="1968"/>
      <c r="EL128" s="1968"/>
      <c r="EM128" s="1968"/>
      <c r="EN128" s="1968"/>
      <c r="EO128" s="1968"/>
      <c r="EP128" s="1968"/>
      <c r="EQ128" s="1968"/>
      <c r="ER128" s="1968"/>
      <c r="ES128" s="1968"/>
      <c r="ET128" s="1968"/>
      <c r="EU128" s="1968"/>
      <c r="EV128" s="1968"/>
      <c r="EW128" s="1968"/>
      <c r="EX128" s="1968"/>
      <c r="EY128" s="1968"/>
      <c r="EZ128" s="1968"/>
      <c r="FA128" s="1968"/>
      <c r="FB128" s="1968"/>
      <c r="FC128" s="1968"/>
      <c r="FD128" s="1968"/>
      <c r="FE128" s="1968"/>
      <c r="FF128" s="1968"/>
      <c r="FG128" s="1968"/>
      <c r="FH128" s="1968"/>
      <c r="FI128" s="1968"/>
      <c r="FJ128" s="1968"/>
      <c r="FK128" s="1968"/>
      <c r="FL128" s="1968"/>
      <c r="FM128" s="1968"/>
      <c r="FN128" s="1968"/>
      <c r="FO128" s="1968"/>
      <c r="FP128" s="1968"/>
      <c r="FQ128" s="1968"/>
      <c r="FR128" s="1968"/>
      <c r="FS128" s="1968"/>
      <c r="FT128" s="1968"/>
      <c r="FU128" s="1968"/>
      <c r="FV128" s="1968"/>
      <c r="FW128" s="1968"/>
      <c r="FX128" s="1968"/>
      <c r="FY128" s="1968"/>
      <c r="FZ128" s="1968"/>
      <c r="GA128" s="1968"/>
      <c r="GB128" s="1968"/>
      <c r="GC128" s="1968"/>
      <c r="GD128" s="1968"/>
      <c r="GE128" s="1968"/>
      <c r="GF128" s="1968"/>
      <c r="GG128" s="1968"/>
      <c r="GH128" s="1968"/>
      <c r="GI128" s="1968"/>
      <c r="GJ128" s="1968"/>
      <c r="GK128" s="1968"/>
      <c r="GL128" s="1968"/>
      <c r="GM128" s="1968"/>
      <c r="GN128" s="1968"/>
      <c r="GO128" s="1968"/>
      <c r="GP128" s="1968"/>
      <c r="GQ128" s="1968"/>
      <c r="GR128" s="1968"/>
      <c r="GS128" s="1968"/>
      <c r="GT128" s="1968"/>
      <c r="GU128" s="1968"/>
      <c r="GV128" s="1968"/>
      <c r="GW128" s="1968"/>
      <c r="GX128" s="1968"/>
      <c r="GY128" s="1968"/>
      <c r="GZ128" s="1968"/>
      <c r="HA128" s="1968"/>
      <c r="HB128" s="1968"/>
      <c r="HC128" s="1968"/>
      <c r="HD128" s="1968"/>
      <c r="HE128" s="1968"/>
      <c r="HF128" s="1968"/>
      <c r="HG128" s="1968"/>
      <c r="HH128" s="1968"/>
      <c r="HI128" s="1968"/>
      <c r="HJ128" s="1968"/>
      <c r="HK128" s="1968"/>
      <c r="HL128" s="1968"/>
      <c r="HM128" s="1968"/>
      <c r="HN128" s="1968"/>
      <c r="HO128" s="1968"/>
      <c r="HP128" s="1968"/>
      <c r="HQ128" s="1968"/>
      <c r="HR128" s="1968"/>
      <c r="HS128" s="1968"/>
      <c r="HT128" s="1968"/>
      <c r="HU128" s="1968"/>
      <c r="HV128" s="1968"/>
      <c r="HW128" s="1968"/>
      <c r="HX128" s="1968"/>
      <c r="HY128" s="1968"/>
      <c r="HZ128" s="1968"/>
      <c r="IA128" s="1968"/>
      <c r="IB128" s="1968"/>
      <c r="IC128" s="1968"/>
      <c r="ID128" s="1968"/>
      <c r="IE128" s="1968"/>
      <c r="IF128" s="1968"/>
      <c r="IG128" s="1968"/>
      <c r="IH128" s="1968"/>
      <c r="II128" s="1968"/>
      <c r="IJ128" s="1968"/>
      <c r="IK128" s="1968"/>
      <c r="IL128" s="1968"/>
      <c r="IM128" s="1968"/>
      <c r="IN128" s="1968"/>
      <c r="IO128" s="1968"/>
      <c r="IP128" s="1968"/>
      <c r="IQ128" s="1968"/>
      <c r="IR128" s="1968"/>
      <c r="IS128" s="1968"/>
      <c r="IT128" s="1968"/>
      <c r="IU128" s="1968"/>
      <c r="IV128" s="1968"/>
      <c r="IW128" s="1968"/>
      <c r="IX128" s="1968"/>
      <c r="IY128" s="1968"/>
      <c r="IZ128" s="1968"/>
      <c r="JA128" s="1968"/>
      <c r="JB128" s="1968"/>
      <c r="JC128" s="1968"/>
      <c r="JD128" s="1968"/>
      <c r="JE128" s="1968"/>
      <c r="JF128" s="1968"/>
      <c r="JG128" s="1968"/>
      <c r="JH128" s="1968"/>
      <c r="JI128" s="1968"/>
      <c r="JJ128" s="1968"/>
      <c r="JK128" s="1968"/>
      <c r="JL128" s="1968"/>
      <c r="JM128" s="1968"/>
      <c r="JN128" s="1968"/>
      <c r="JO128" s="1968"/>
      <c r="JP128" s="1968"/>
      <c r="JQ128" s="1968"/>
      <c r="JR128" s="1968"/>
      <c r="JS128" s="1968"/>
      <c r="JT128" s="1968"/>
      <c r="JU128" s="1968"/>
      <c r="JV128" s="1968"/>
      <c r="JW128" s="1968"/>
      <c r="JX128" s="1968"/>
      <c r="JY128" s="1968"/>
      <c r="JZ128" s="1968"/>
      <c r="KA128" s="1968"/>
      <c r="KB128" s="1968"/>
      <c r="KC128" s="1968"/>
      <c r="KD128" s="1968"/>
      <c r="KE128" s="1968"/>
      <c r="KF128" s="1968"/>
      <c r="KG128" s="1968"/>
      <c r="KH128" s="1968"/>
      <c r="KI128" s="1968"/>
      <c r="KJ128" s="1968"/>
      <c r="KK128" s="1968"/>
      <c r="KL128" s="1968"/>
      <c r="KM128" s="1968"/>
      <c r="KN128" s="1968"/>
      <c r="KO128" s="1968"/>
      <c r="KP128" s="1968"/>
      <c r="KQ128" s="1968"/>
      <c r="KR128" s="1968"/>
      <c r="KS128" s="1968"/>
      <c r="KT128" s="1968"/>
      <c r="KU128" s="1968"/>
      <c r="KV128" s="1968"/>
      <c r="KW128" s="1968"/>
      <c r="KX128" s="1968"/>
      <c r="KY128" s="1968"/>
      <c r="KZ128" s="1968"/>
      <c r="LA128" s="1968"/>
      <c r="LB128" s="1968"/>
      <c r="LC128" s="1968"/>
      <c r="LD128" s="1968"/>
      <c r="LE128" s="1968"/>
      <c r="LF128" s="1968"/>
      <c r="LG128" s="1968"/>
      <c r="LH128" s="1968"/>
      <c r="LI128" s="1968"/>
      <c r="LJ128" s="1968"/>
      <c r="LK128" s="1968"/>
      <c r="LL128" s="1968"/>
      <c r="LM128" s="1968"/>
      <c r="LN128" s="1968"/>
      <c r="LO128" s="1968"/>
      <c r="LP128" s="1968"/>
      <c r="LQ128" s="1968"/>
      <c r="LR128" s="1968"/>
      <c r="LS128" s="1968"/>
      <c r="LT128" s="1968"/>
      <c r="LU128" s="1968"/>
      <c r="LV128" s="1968"/>
      <c r="LW128" s="1968"/>
      <c r="LX128" s="1968"/>
      <c r="LY128" s="1968"/>
      <c r="LZ128" s="1968"/>
      <c r="MA128" s="1968"/>
      <c r="MB128" s="1968"/>
      <c r="MC128" s="1968"/>
      <c r="MD128" s="1968"/>
      <c r="ME128" s="1968"/>
      <c r="MF128" s="1968"/>
      <c r="MG128" s="1968"/>
      <c r="MH128" s="1968"/>
      <c r="MI128" s="1968"/>
      <c r="MJ128" s="1968"/>
      <c r="MK128" s="1968"/>
      <c r="ML128" s="1968"/>
      <c r="MM128" s="1968"/>
      <c r="MN128" s="1968"/>
      <c r="MO128" s="1968"/>
      <c r="MP128" s="1968"/>
      <c r="MQ128" s="1968"/>
      <c r="MR128" s="1968"/>
      <c r="MS128" s="1968"/>
      <c r="MT128" s="1968"/>
      <c r="MU128" s="1968"/>
      <c r="MV128" s="1968"/>
      <c r="MW128" s="1968"/>
      <c r="MX128" s="1968"/>
      <c r="MY128" s="1968"/>
      <c r="MZ128" s="1968"/>
      <c r="NA128" s="1968"/>
      <c r="NB128" s="1968"/>
      <c r="NC128" s="1968"/>
      <c r="ND128" s="1968"/>
      <c r="NE128" s="1968"/>
      <c r="NF128" s="1968"/>
      <c r="NG128" s="1968"/>
      <c r="NH128" s="1968"/>
      <c r="NI128" s="1968"/>
      <c r="NJ128" s="1968"/>
      <c r="NK128" s="1968"/>
      <c r="NL128" s="1968"/>
      <c r="NM128" s="1968"/>
      <c r="NN128" s="1968"/>
      <c r="NO128" s="1968"/>
      <c r="NP128" s="1968"/>
      <c r="NQ128" s="1968"/>
      <c r="NR128" s="1968"/>
      <c r="NS128" s="1968"/>
      <c r="NT128" s="1968"/>
      <c r="NU128" s="1968"/>
      <c r="NV128" s="1968"/>
      <c r="NW128" s="1968"/>
      <c r="NX128" s="1968"/>
      <c r="NY128" s="1968"/>
      <c r="NZ128" s="1968"/>
      <c r="OA128" s="1968"/>
      <c r="OB128" s="1968"/>
      <c r="OC128" s="1968"/>
      <c r="OD128" s="1968"/>
      <c r="OE128" s="1968"/>
    </row>
    <row r="129" spans="1:395">
      <c r="A129" s="1968"/>
      <c r="B129" s="1968"/>
      <c r="C129" s="1968"/>
      <c r="D129" s="1968"/>
      <c r="E129" s="1968"/>
      <c r="F129" s="1968"/>
      <c r="G129" s="1968"/>
      <c r="H129" s="1968"/>
      <c r="I129" s="1968"/>
      <c r="J129" s="1968"/>
      <c r="K129" s="1968"/>
      <c r="L129" s="1968"/>
      <c r="M129" s="1968"/>
      <c r="N129" s="1968"/>
      <c r="O129" s="1968"/>
      <c r="P129" s="1968"/>
      <c r="Q129" s="1968"/>
      <c r="R129" s="1968"/>
      <c r="S129" s="1968"/>
      <c r="T129" s="1968"/>
      <c r="U129" s="1968"/>
      <c r="V129" s="1968"/>
      <c r="W129" s="1968"/>
      <c r="X129" s="1968"/>
      <c r="Y129" s="1968"/>
      <c r="Z129" s="1968"/>
      <c r="AA129" s="1968"/>
      <c r="AB129" s="1968"/>
      <c r="AC129" s="1968"/>
      <c r="AD129" s="1968"/>
      <c r="AE129" s="1968"/>
      <c r="AF129" s="1968"/>
      <c r="AG129" s="1968"/>
      <c r="AH129" s="1968"/>
      <c r="AI129" s="1968"/>
      <c r="AJ129" s="1968"/>
      <c r="AK129" s="1968"/>
      <c r="AL129" s="1968"/>
      <c r="AM129" s="1968"/>
      <c r="AN129" s="1968"/>
      <c r="AO129" s="1968"/>
      <c r="AP129" s="1968"/>
      <c r="AQ129" s="1968"/>
      <c r="AR129" s="1968"/>
      <c r="AS129" s="1968"/>
      <c r="AT129" s="1968"/>
      <c r="AU129" s="1968"/>
      <c r="AV129" s="1968"/>
      <c r="AW129" s="1968"/>
      <c r="AX129" s="1968"/>
      <c r="AY129" s="1968"/>
      <c r="AZ129" s="1968"/>
      <c r="BA129" s="1968"/>
      <c r="BB129" s="1968"/>
      <c r="BC129" s="1968"/>
      <c r="BD129" s="1968"/>
      <c r="BE129" s="1968"/>
      <c r="BF129" s="1968"/>
      <c r="BG129" s="1968"/>
      <c r="BH129" s="1968"/>
      <c r="BI129" s="1968"/>
      <c r="BJ129" s="1968"/>
      <c r="BK129" s="1968"/>
      <c r="BL129" s="1968"/>
      <c r="BM129" s="1968"/>
      <c r="BN129" s="1968"/>
      <c r="BO129" s="1968"/>
      <c r="BP129" s="1968"/>
      <c r="BQ129" s="1968"/>
      <c r="BR129" s="1968"/>
      <c r="BS129" s="1968"/>
      <c r="BT129" s="1968"/>
      <c r="BU129" s="1968"/>
      <c r="BV129" s="1968"/>
      <c r="BW129" s="1968"/>
      <c r="BX129" s="1968"/>
      <c r="BY129" s="1968"/>
      <c r="BZ129" s="1968"/>
      <c r="CA129" s="1968"/>
      <c r="CB129" s="1968"/>
      <c r="CC129" s="1968"/>
      <c r="CD129" s="1968"/>
      <c r="CE129" s="1968"/>
      <c r="CF129" s="1968"/>
      <c r="CG129" s="1968"/>
      <c r="CH129" s="1968"/>
      <c r="CI129" s="1968"/>
      <c r="CJ129" s="1968"/>
      <c r="CK129" s="1968"/>
      <c r="CL129" s="1968"/>
      <c r="CM129" s="1968"/>
      <c r="CN129" s="1968"/>
      <c r="CO129" s="1968"/>
      <c r="CP129" s="1968"/>
      <c r="CQ129" s="1968"/>
      <c r="CR129" s="1968"/>
      <c r="CS129" s="1968"/>
      <c r="CT129" s="1968"/>
      <c r="CU129" s="1968"/>
      <c r="CV129" s="1968"/>
      <c r="CW129" s="1968"/>
      <c r="CX129" s="1968"/>
      <c r="CY129" s="1968"/>
      <c r="CZ129" s="1968"/>
      <c r="DA129" s="1968"/>
      <c r="DB129" s="1968"/>
      <c r="DC129" s="1968"/>
      <c r="DD129" s="1968"/>
      <c r="DE129" s="1968"/>
      <c r="DF129" s="1968"/>
      <c r="DG129" s="1968"/>
      <c r="DH129" s="1968"/>
      <c r="DI129" s="1968"/>
      <c r="DJ129" s="1968"/>
      <c r="DK129" s="1968"/>
      <c r="DL129" s="1968"/>
      <c r="DM129" s="1968"/>
      <c r="DN129" s="1968"/>
      <c r="DO129" s="1968"/>
      <c r="DP129" s="1968"/>
      <c r="DQ129" s="1968"/>
      <c r="DR129" s="1968"/>
      <c r="DS129" s="1968"/>
      <c r="DT129" s="1968"/>
      <c r="DU129" s="1968"/>
      <c r="DV129" s="1968"/>
      <c r="DW129" s="1968"/>
      <c r="DX129" s="1968"/>
      <c r="DY129" s="1968"/>
      <c r="DZ129" s="1968"/>
      <c r="EA129" s="1968"/>
      <c r="EB129" s="1968"/>
      <c r="EC129" s="1968"/>
      <c r="ED129" s="1968"/>
      <c r="EE129" s="1968"/>
      <c r="EF129" s="1968"/>
      <c r="EG129" s="1968"/>
      <c r="EH129" s="1968"/>
      <c r="EI129" s="1968"/>
      <c r="EJ129" s="1968"/>
      <c r="EK129" s="1968"/>
      <c r="EL129" s="1968"/>
      <c r="EM129" s="1968"/>
      <c r="EN129" s="1968"/>
      <c r="EO129" s="1968"/>
      <c r="EP129" s="1968"/>
      <c r="EQ129" s="1968"/>
      <c r="ER129" s="1968"/>
      <c r="ES129" s="1968"/>
      <c r="ET129" s="1968"/>
      <c r="EU129" s="1968"/>
      <c r="EV129" s="1968"/>
      <c r="EW129" s="1968"/>
      <c r="EX129" s="1968"/>
      <c r="EY129" s="1968"/>
      <c r="EZ129" s="1968"/>
      <c r="FA129" s="1968"/>
      <c r="FB129" s="1968"/>
      <c r="FC129" s="1968"/>
      <c r="FD129" s="1968"/>
      <c r="FE129" s="1968"/>
      <c r="FF129" s="1968"/>
      <c r="FG129" s="1968"/>
      <c r="FH129" s="1968"/>
      <c r="FI129" s="1968"/>
      <c r="FJ129" s="1968"/>
      <c r="FK129" s="1968"/>
      <c r="FL129" s="1968"/>
      <c r="FM129" s="1968"/>
      <c r="FN129" s="1968"/>
      <c r="FO129" s="1968"/>
      <c r="FP129" s="1968"/>
      <c r="FQ129" s="1968"/>
      <c r="FR129" s="1968"/>
      <c r="FS129" s="1968"/>
      <c r="FT129" s="1968"/>
      <c r="FU129" s="1968"/>
      <c r="FV129" s="1968"/>
      <c r="FW129" s="1968"/>
      <c r="FX129" s="1968"/>
      <c r="FY129" s="1968"/>
      <c r="FZ129" s="1968"/>
      <c r="GA129" s="1968"/>
      <c r="GB129" s="1968"/>
      <c r="GC129" s="1968"/>
      <c r="GD129" s="1968"/>
      <c r="GE129" s="1968"/>
      <c r="GF129" s="1968"/>
      <c r="GG129" s="1968"/>
      <c r="GH129" s="1968"/>
      <c r="GI129" s="1968"/>
      <c r="GJ129" s="1968"/>
      <c r="GK129" s="1968"/>
      <c r="GL129" s="1968"/>
      <c r="GM129" s="1968"/>
      <c r="GN129" s="1968"/>
      <c r="GO129" s="1968"/>
      <c r="GP129" s="1968"/>
      <c r="GQ129" s="1968"/>
      <c r="GR129" s="1968"/>
      <c r="GS129" s="1968"/>
      <c r="GT129" s="1968"/>
      <c r="GU129" s="1968"/>
      <c r="GV129" s="1968"/>
      <c r="GW129" s="1968"/>
      <c r="GX129" s="1968"/>
      <c r="GY129" s="1968"/>
      <c r="GZ129" s="1968"/>
      <c r="HA129" s="1968"/>
      <c r="HB129" s="1968"/>
      <c r="HC129" s="1968"/>
      <c r="HD129" s="1968"/>
      <c r="HE129" s="1968"/>
      <c r="HF129" s="1968"/>
      <c r="HG129" s="1968"/>
      <c r="HH129" s="1968"/>
      <c r="HI129" s="1968"/>
      <c r="HJ129" s="1968"/>
      <c r="HK129" s="1968"/>
      <c r="HL129" s="1968"/>
      <c r="HM129" s="1968"/>
      <c r="HN129" s="1968"/>
      <c r="HO129" s="1968"/>
      <c r="HP129" s="1968"/>
      <c r="HQ129" s="1968"/>
      <c r="HR129" s="1968"/>
      <c r="HS129" s="1968"/>
      <c r="HT129" s="1968"/>
      <c r="HU129" s="1968"/>
      <c r="HV129" s="1968"/>
      <c r="HW129" s="1968"/>
      <c r="HX129" s="1968"/>
      <c r="HY129" s="1968"/>
      <c r="HZ129" s="1968"/>
      <c r="IA129" s="1968"/>
      <c r="IB129" s="1968"/>
      <c r="IC129" s="1968"/>
      <c r="ID129" s="1968"/>
      <c r="IE129" s="1968"/>
      <c r="IF129" s="1968"/>
      <c r="IG129" s="1968"/>
      <c r="IH129" s="1968"/>
      <c r="II129" s="1968"/>
      <c r="IJ129" s="1968"/>
      <c r="IK129" s="1968"/>
      <c r="IL129" s="1968"/>
      <c r="IM129" s="1968"/>
      <c r="IN129" s="1968"/>
      <c r="IO129" s="1968"/>
      <c r="IP129" s="1968"/>
      <c r="IQ129" s="1968"/>
      <c r="IR129" s="1968"/>
      <c r="IS129" s="1968"/>
      <c r="IT129" s="1968"/>
      <c r="IU129" s="1968"/>
      <c r="IV129" s="1968"/>
      <c r="IW129" s="1968"/>
      <c r="IX129" s="1968"/>
      <c r="IY129" s="1968"/>
      <c r="IZ129" s="1968"/>
      <c r="JA129" s="1968"/>
      <c r="JB129" s="1968"/>
      <c r="JC129" s="1968"/>
      <c r="JD129" s="1968"/>
      <c r="JE129" s="1968"/>
      <c r="JF129" s="1968"/>
      <c r="JG129" s="1968"/>
      <c r="JH129" s="1968"/>
      <c r="JI129" s="1968"/>
      <c r="JJ129" s="1968"/>
      <c r="JK129" s="1968"/>
      <c r="JL129" s="1968"/>
      <c r="JM129" s="1968"/>
      <c r="JN129" s="1968"/>
      <c r="JO129" s="1968"/>
      <c r="JP129" s="1968"/>
      <c r="JQ129" s="1968"/>
      <c r="JR129" s="1968"/>
      <c r="JS129" s="1968"/>
      <c r="JT129" s="1968"/>
      <c r="JU129" s="1968"/>
      <c r="JV129" s="1968"/>
      <c r="JW129" s="1968"/>
      <c r="JX129" s="1968"/>
      <c r="JY129" s="1968"/>
      <c r="JZ129" s="1968"/>
      <c r="KA129" s="1968"/>
      <c r="KB129" s="1968"/>
      <c r="KC129" s="1968"/>
      <c r="KD129" s="1968"/>
      <c r="KE129" s="1968"/>
      <c r="KF129" s="1968"/>
      <c r="KG129" s="1968"/>
      <c r="KH129" s="1968"/>
      <c r="KI129" s="1968"/>
      <c r="KJ129" s="1968"/>
      <c r="KK129" s="1968"/>
      <c r="KL129" s="1968"/>
      <c r="KM129" s="1968"/>
      <c r="KN129" s="1968"/>
      <c r="KO129" s="1968"/>
      <c r="KP129" s="1968"/>
      <c r="KQ129" s="1968"/>
      <c r="KR129" s="1968"/>
      <c r="KS129" s="1968"/>
      <c r="KT129" s="1968"/>
      <c r="KU129" s="1968"/>
      <c r="KV129" s="1968"/>
      <c r="KW129" s="1968"/>
      <c r="KX129" s="1968"/>
      <c r="KY129" s="1968"/>
      <c r="KZ129" s="1968"/>
      <c r="LA129" s="1968"/>
      <c r="LB129" s="1968"/>
      <c r="LC129" s="1968"/>
      <c r="LD129" s="1968"/>
      <c r="LE129" s="1968"/>
      <c r="LF129" s="1968"/>
      <c r="LG129" s="1968"/>
      <c r="LH129" s="1968"/>
      <c r="LI129" s="1968"/>
      <c r="LJ129" s="1968"/>
      <c r="LK129" s="1968"/>
      <c r="LL129" s="1968"/>
      <c r="LM129" s="1968"/>
      <c r="LN129" s="1968"/>
      <c r="LO129" s="1968"/>
      <c r="LP129" s="1968"/>
      <c r="LQ129" s="1968"/>
      <c r="LR129" s="1968"/>
      <c r="LS129" s="1968"/>
      <c r="LT129" s="1968"/>
      <c r="LU129" s="1968"/>
      <c r="LV129" s="1968"/>
      <c r="LW129" s="1968"/>
      <c r="LX129" s="1968"/>
      <c r="LY129" s="1968"/>
      <c r="LZ129" s="1968"/>
      <c r="MA129" s="1968"/>
      <c r="MB129" s="1968"/>
      <c r="MC129" s="1968"/>
      <c r="MD129" s="1968"/>
      <c r="ME129" s="1968"/>
      <c r="MF129" s="1968"/>
      <c r="MG129" s="1968"/>
      <c r="MH129" s="1968"/>
      <c r="MI129" s="1968"/>
      <c r="MJ129" s="1968"/>
      <c r="MK129" s="1968"/>
      <c r="ML129" s="1968"/>
      <c r="MM129" s="1968"/>
      <c r="MN129" s="1968"/>
      <c r="MO129" s="1968"/>
      <c r="MP129" s="1968"/>
      <c r="MQ129" s="1968"/>
      <c r="MR129" s="1968"/>
      <c r="MS129" s="1968"/>
      <c r="MT129" s="1968"/>
      <c r="MU129" s="1968"/>
      <c r="MV129" s="1968"/>
      <c r="MW129" s="1968"/>
      <c r="MX129" s="1968"/>
      <c r="MY129" s="1968"/>
      <c r="MZ129" s="1968"/>
      <c r="NA129" s="1968"/>
      <c r="NB129" s="1968"/>
      <c r="NC129" s="1968"/>
      <c r="ND129" s="1968"/>
      <c r="NE129" s="1968"/>
      <c r="NF129" s="1968"/>
      <c r="NG129" s="1968"/>
      <c r="NH129" s="1968"/>
      <c r="NI129" s="1968"/>
      <c r="NJ129" s="1968"/>
      <c r="NK129" s="1968"/>
      <c r="NL129" s="1968"/>
      <c r="NM129" s="1968"/>
      <c r="NN129" s="1968"/>
      <c r="NO129" s="1968"/>
      <c r="NP129" s="1968"/>
      <c r="NQ129" s="1968"/>
      <c r="NR129" s="1968"/>
      <c r="NS129" s="1968"/>
      <c r="NT129" s="1968"/>
      <c r="NU129" s="1968"/>
      <c r="NV129" s="1968"/>
      <c r="NW129" s="1968"/>
      <c r="NX129" s="1968"/>
      <c r="NY129" s="1968"/>
      <c r="NZ129" s="1968"/>
      <c r="OA129" s="1968"/>
      <c r="OB129" s="1968"/>
      <c r="OC129" s="1968"/>
      <c r="OD129" s="1968"/>
      <c r="OE129" s="1968"/>
    </row>
    <row r="130" spans="1:395">
      <c r="A130" s="1968"/>
      <c r="B130" s="1968"/>
      <c r="C130" s="1968"/>
      <c r="D130" s="1968"/>
      <c r="E130" s="1968"/>
      <c r="F130" s="1968"/>
      <c r="G130" s="1968"/>
      <c r="H130" s="1968"/>
      <c r="I130" s="1968"/>
      <c r="J130" s="1968"/>
      <c r="K130" s="1968"/>
      <c r="L130" s="1968"/>
      <c r="M130" s="1968"/>
      <c r="N130" s="1968"/>
      <c r="O130" s="1968"/>
      <c r="P130" s="1968"/>
      <c r="Q130" s="1968"/>
      <c r="R130" s="1968"/>
      <c r="S130" s="1968"/>
      <c r="T130" s="1968"/>
      <c r="U130" s="1968"/>
      <c r="V130" s="1968"/>
      <c r="W130" s="1968"/>
      <c r="X130" s="1968"/>
      <c r="Y130" s="1968"/>
      <c r="Z130" s="1968"/>
      <c r="AA130" s="1968"/>
      <c r="AB130" s="1968"/>
      <c r="AC130" s="1968"/>
      <c r="AD130" s="1968"/>
      <c r="AE130" s="1968"/>
      <c r="AF130" s="1968"/>
      <c r="AG130" s="1968"/>
      <c r="AH130" s="1968"/>
      <c r="AI130" s="1968"/>
      <c r="AJ130" s="1968"/>
      <c r="AK130" s="1968"/>
      <c r="AL130" s="1968"/>
      <c r="AM130" s="1968"/>
      <c r="AN130" s="1968"/>
      <c r="AO130" s="1968"/>
      <c r="AP130" s="1968"/>
      <c r="AQ130" s="1968"/>
      <c r="AR130" s="1968"/>
      <c r="AS130" s="1968"/>
      <c r="AT130" s="1968"/>
      <c r="AU130" s="1968"/>
      <c r="AV130" s="1968"/>
      <c r="AW130" s="1968"/>
      <c r="AX130" s="1968"/>
      <c r="AY130" s="1968"/>
      <c r="AZ130" s="1968"/>
      <c r="BA130" s="1968"/>
      <c r="BB130" s="1968"/>
      <c r="BC130" s="1968"/>
      <c r="BD130" s="1968"/>
      <c r="BE130" s="1968"/>
      <c r="BF130" s="1968"/>
      <c r="BG130" s="1968"/>
      <c r="BH130" s="1968"/>
      <c r="BI130" s="1968"/>
      <c r="BJ130" s="1968"/>
      <c r="BK130" s="1968"/>
      <c r="BL130" s="1968"/>
      <c r="BM130" s="1968"/>
      <c r="BN130" s="1968"/>
      <c r="BO130" s="1968"/>
      <c r="BP130" s="1968"/>
      <c r="BQ130" s="1968"/>
      <c r="BR130" s="1968"/>
      <c r="BS130" s="1968"/>
      <c r="BT130" s="1968"/>
      <c r="BU130" s="1968"/>
      <c r="BV130" s="1968"/>
      <c r="BW130" s="1968"/>
      <c r="BX130" s="1968"/>
      <c r="BY130" s="1968"/>
      <c r="BZ130" s="1968"/>
      <c r="CA130" s="1968"/>
      <c r="CB130" s="1968"/>
      <c r="CC130" s="1968"/>
      <c r="CD130" s="1968"/>
      <c r="CE130" s="1968"/>
      <c r="CF130" s="1968"/>
      <c r="CG130" s="1968"/>
      <c r="CH130" s="1968"/>
      <c r="CI130" s="1968"/>
      <c r="CJ130" s="1968"/>
      <c r="CK130" s="1968"/>
      <c r="CL130" s="1968"/>
      <c r="CM130" s="1968"/>
      <c r="CN130" s="1968"/>
      <c r="CO130" s="1968"/>
      <c r="CP130" s="1968"/>
      <c r="CQ130" s="1968"/>
      <c r="CR130" s="1968"/>
      <c r="CS130" s="1968"/>
      <c r="CT130" s="1968"/>
      <c r="CU130" s="1968"/>
      <c r="CV130" s="1968"/>
      <c r="CW130" s="1968"/>
      <c r="CX130" s="1968"/>
      <c r="CY130" s="1968"/>
      <c r="CZ130" s="1968"/>
      <c r="DA130" s="1968"/>
      <c r="DB130" s="1968"/>
      <c r="DC130" s="1968"/>
      <c r="DD130" s="1968"/>
      <c r="DE130" s="1968"/>
      <c r="DF130" s="1968"/>
      <c r="DG130" s="1968"/>
      <c r="DH130" s="1968"/>
      <c r="DI130" s="1968"/>
      <c r="DJ130" s="1968"/>
      <c r="DK130" s="1968"/>
      <c r="DL130" s="1968"/>
      <c r="DM130" s="1968"/>
      <c r="DN130" s="1968"/>
      <c r="DO130" s="1968"/>
      <c r="DP130" s="1968"/>
      <c r="DQ130" s="1968"/>
      <c r="DR130" s="1968"/>
      <c r="DS130" s="1968"/>
      <c r="DT130" s="1968"/>
      <c r="DU130" s="1968"/>
      <c r="DV130" s="1968"/>
      <c r="DW130" s="1968"/>
      <c r="DX130" s="1968"/>
      <c r="DY130" s="1968"/>
      <c r="DZ130" s="1968"/>
      <c r="EA130" s="1968"/>
      <c r="EB130" s="1968"/>
      <c r="EC130" s="1968"/>
      <c r="ED130" s="1968"/>
      <c r="EE130" s="1968"/>
      <c r="EF130" s="1968"/>
      <c r="EG130" s="1968"/>
      <c r="EH130" s="1968"/>
      <c r="EI130" s="1968"/>
      <c r="EJ130" s="1968"/>
      <c r="EK130" s="1968"/>
      <c r="EL130" s="1968"/>
      <c r="EM130" s="1968"/>
      <c r="EN130" s="1968"/>
      <c r="EO130" s="1968"/>
      <c r="EP130" s="1968"/>
      <c r="EQ130" s="1968"/>
      <c r="ER130" s="1968"/>
      <c r="ES130" s="1968"/>
      <c r="ET130" s="1968"/>
      <c r="EU130" s="1968"/>
      <c r="EV130" s="1968"/>
      <c r="EW130" s="1968"/>
      <c r="EX130" s="1968"/>
      <c r="EY130" s="1968"/>
      <c r="EZ130" s="1968"/>
      <c r="FA130" s="1968"/>
      <c r="FB130" s="1968"/>
      <c r="FC130" s="1968"/>
      <c r="FD130" s="1968"/>
      <c r="FE130" s="1968"/>
      <c r="FF130" s="1968"/>
      <c r="FG130" s="1968"/>
      <c r="FH130" s="1968"/>
      <c r="FI130" s="1968"/>
      <c r="FJ130" s="1968"/>
      <c r="FK130" s="1968"/>
      <c r="FL130" s="1968"/>
      <c r="FM130" s="1968"/>
      <c r="FN130" s="1968"/>
      <c r="FO130" s="1968"/>
      <c r="FP130" s="1968"/>
      <c r="FQ130" s="1968"/>
      <c r="FR130" s="1968"/>
      <c r="FS130" s="1968"/>
      <c r="FT130" s="1968"/>
      <c r="FU130" s="1968"/>
      <c r="FV130" s="1968"/>
      <c r="FW130" s="1968"/>
      <c r="FX130" s="1968"/>
      <c r="FY130" s="1968"/>
      <c r="FZ130" s="1968"/>
      <c r="GA130" s="1968"/>
      <c r="GB130" s="1968"/>
      <c r="GC130" s="1968"/>
      <c r="GD130" s="1968"/>
      <c r="GE130" s="1968"/>
      <c r="GF130" s="1968"/>
      <c r="GG130" s="1968"/>
      <c r="GH130" s="1968"/>
      <c r="GI130" s="1968"/>
      <c r="GJ130" s="1968"/>
      <c r="GK130" s="1968"/>
      <c r="GL130" s="1968"/>
      <c r="GM130" s="1968"/>
      <c r="GN130" s="1968"/>
      <c r="GO130" s="1968"/>
      <c r="GP130" s="1968"/>
      <c r="GQ130" s="1968"/>
      <c r="GR130" s="1968"/>
      <c r="GS130" s="1968"/>
      <c r="GT130" s="1968"/>
      <c r="GU130" s="1968"/>
      <c r="GV130" s="1968"/>
      <c r="GW130" s="1968"/>
      <c r="GX130" s="1968"/>
      <c r="GY130" s="1968"/>
      <c r="GZ130" s="1968"/>
      <c r="HA130" s="1968"/>
      <c r="HB130" s="1968"/>
      <c r="HC130" s="1968"/>
      <c r="HD130" s="1968"/>
      <c r="HE130" s="1968"/>
      <c r="HF130" s="1968"/>
      <c r="HG130" s="1968"/>
      <c r="HH130" s="1968"/>
      <c r="HI130" s="1968"/>
      <c r="HJ130" s="1968"/>
      <c r="HK130" s="1968"/>
      <c r="HL130" s="1968"/>
      <c r="HM130" s="1968"/>
      <c r="HN130" s="1968"/>
      <c r="HO130" s="1968"/>
      <c r="HP130" s="1968"/>
      <c r="HQ130" s="1968"/>
      <c r="HR130" s="1968"/>
      <c r="HS130" s="1968"/>
      <c r="HT130" s="1968"/>
      <c r="HU130" s="1968"/>
      <c r="HV130" s="1968"/>
      <c r="HW130" s="1968"/>
      <c r="HX130" s="1968"/>
      <c r="HY130" s="1968"/>
      <c r="HZ130" s="1968"/>
      <c r="IA130" s="1968"/>
      <c r="IB130" s="1968"/>
      <c r="IC130" s="1968"/>
      <c r="ID130" s="1968"/>
      <c r="IE130" s="1968"/>
      <c r="IF130" s="1968"/>
      <c r="IG130" s="1968"/>
      <c r="IH130" s="1968"/>
      <c r="II130" s="1968"/>
      <c r="IJ130" s="1968"/>
      <c r="IK130" s="1968"/>
      <c r="IL130" s="1968"/>
      <c r="IM130" s="1968"/>
      <c r="IN130" s="1968"/>
      <c r="IO130" s="1968"/>
      <c r="IP130" s="1968"/>
      <c r="IQ130" s="1968"/>
      <c r="IR130" s="1968"/>
      <c r="IS130" s="1968"/>
      <c r="IT130" s="1968"/>
      <c r="IU130" s="1968"/>
      <c r="IV130" s="1968"/>
      <c r="IW130" s="1968"/>
      <c r="IX130" s="1968"/>
      <c r="IY130" s="1968"/>
      <c r="IZ130" s="1968"/>
      <c r="JA130" s="1968"/>
      <c r="JB130" s="1968"/>
      <c r="JC130" s="1968"/>
      <c r="JD130" s="1968"/>
      <c r="JE130" s="1968"/>
      <c r="JF130" s="1968"/>
      <c r="JG130" s="1968"/>
      <c r="JH130" s="1968"/>
      <c r="JI130" s="1968"/>
      <c r="JJ130" s="1968"/>
      <c r="JK130" s="1968"/>
      <c r="JL130" s="1968"/>
      <c r="JM130" s="1968"/>
      <c r="JN130" s="1968"/>
      <c r="JO130" s="1968"/>
      <c r="JP130" s="1968"/>
      <c r="JQ130" s="1968"/>
      <c r="JR130" s="1968"/>
      <c r="JS130" s="1968"/>
      <c r="JT130" s="1968"/>
      <c r="JU130" s="1968"/>
      <c r="JV130" s="1968"/>
      <c r="JW130" s="1968"/>
      <c r="JX130" s="1968"/>
      <c r="JY130" s="1968"/>
      <c r="JZ130" s="1968"/>
      <c r="KA130" s="1968"/>
      <c r="KB130" s="1968"/>
      <c r="KC130" s="1968"/>
      <c r="KD130" s="1968"/>
      <c r="KE130" s="1968"/>
      <c r="KF130" s="1968"/>
      <c r="KG130" s="1968"/>
      <c r="KH130" s="1968"/>
      <c r="KI130" s="1968"/>
      <c r="KJ130" s="1968"/>
      <c r="KK130" s="1968"/>
      <c r="KL130" s="1968"/>
      <c r="KM130" s="1968"/>
      <c r="KN130" s="1968"/>
      <c r="KO130" s="1968"/>
      <c r="KP130" s="1968"/>
      <c r="KQ130" s="1968"/>
      <c r="KR130" s="1968"/>
      <c r="KS130" s="1968"/>
      <c r="KT130" s="1968"/>
      <c r="KU130" s="1968"/>
      <c r="KV130" s="1968"/>
      <c r="KW130" s="1968"/>
      <c r="KX130" s="1968"/>
      <c r="KY130" s="1968"/>
      <c r="KZ130" s="1968"/>
      <c r="LA130" s="1968"/>
      <c r="LB130" s="1968"/>
      <c r="LC130" s="1968"/>
      <c r="LD130" s="1968"/>
      <c r="LE130" s="1968"/>
      <c r="LF130" s="1968"/>
      <c r="LG130" s="1968"/>
      <c r="LH130" s="1968"/>
      <c r="LI130" s="1968"/>
      <c r="LJ130" s="1968"/>
      <c r="LK130" s="1968"/>
      <c r="LL130" s="1968"/>
      <c r="LM130" s="1968"/>
      <c r="LN130" s="1968"/>
      <c r="LO130" s="1968"/>
      <c r="LP130" s="1968"/>
      <c r="LQ130" s="1968"/>
      <c r="LR130" s="1968"/>
      <c r="LS130" s="1968"/>
      <c r="LT130" s="1968"/>
      <c r="LU130" s="1968"/>
      <c r="LV130" s="1968"/>
      <c r="LW130" s="1968"/>
      <c r="LX130" s="1968"/>
      <c r="LY130" s="1968"/>
      <c r="LZ130" s="1968"/>
      <c r="MA130" s="1968"/>
      <c r="MB130" s="1968"/>
      <c r="MC130" s="1968"/>
      <c r="MD130" s="1968"/>
      <c r="ME130" s="1968"/>
      <c r="MF130" s="1968"/>
      <c r="MG130" s="1968"/>
      <c r="MH130" s="1968"/>
      <c r="MI130" s="1968"/>
      <c r="MJ130" s="1968"/>
      <c r="MK130" s="1968"/>
      <c r="ML130" s="1968"/>
      <c r="MM130" s="1968"/>
      <c r="MN130" s="1968"/>
      <c r="MO130" s="1968"/>
      <c r="MP130" s="1968"/>
      <c r="MQ130" s="1968"/>
      <c r="MR130" s="1968"/>
      <c r="MS130" s="1968"/>
      <c r="MT130" s="1968"/>
      <c r="MU130" s="1968"/>
      <c r="MV130" s="1968"/>
      <c r="MW130" s="1968"/>
      <c r="MX130" s="1968"/>
      <c r="MY130" s="1968"/>
      <c r="MZ130" s="1968"/>
      <c r="NA130" s="1968"/>
      <c r="NB130" s="1968"/>
      <c r="NC130" s="1968"/>
      <c r="ND130" s="1968"/>
      <c r="NE130" s="1968"/>
      <c r="NF130" s="1968"/>
      <c r="NG130" s="1968"/>
      <c r="NH130" s="1968"/>
      <c r="NI130" s="1968"/>
      <c r="NJ130" s="1968"/>
      <c r="NK130" s="1968"/>
      <c r="NL130" s="1968"/>
      <c r="NM130" s="1968"/>
      <c r="NN130" s="1968"/>
      <c r="NO130" s="1968"/>
      <c r="NP130" s="1968"/>
      <c r="NQ130" s="1968"/>
      <c r="NR130" s="1968"/>
      <c r="NS130" s="1968"/>
      <c r="NT130" s="1968"/>
      <c r="NU130" s="1968"/>
      <c r="NV130" s="1968"/>
      <c r="NW130" s="1968"/>
      <c r="NX130" s="1968"/>
      <c r="NY130" s="1968"/>
      <c r="NZ130" s="1968"/>
      <c r="OA130" s="1968"/>
      <c r="OB130" s="1968"/>
      <c r="OC130" s="1968"/>
      <c r="OD130" s="1968"/>
      <c r="OE130" s="1968"/>
    </row>
    <row r="131" spans="1:395">
      <c r="A131" s="1968"/>
      <c r="B131" s="1968"/>
      <c r="C131" s="1968"/>
      <c r="D131" s="1968"/>
      <c r="E131" s="1968"/>
      <c r="F131" s="1968"/>
      <c r="G131" s="1968"/>
      <c r="H131" s="1968"/>
      <c r="I131" s="1968"/>
      <c r="J131" s="1968"/>
      <c r="K131" s="1968"/>
      <c r="L131" s="1968"/>
      <c r="M131" s="1968"/>
      <c r="N131" s="1968"/>
      <c r="O131" s="1968"/>
      <c r="P131" s="1968"/>
      <c r="Q131" s="1968"/>
      <c r="R131" s="1968"/>
      <c r="S131" s="1968"/>
      <c r="T131" s="1968"/>
      <c r="U131" s="1968"/>
      <c r="V131" s="1968"/>
      <c r="W131" s="1968"/>
      <c r="X131" s="1968"/>
      <c r="Y131" s="1968"/>
      <c r="Z131" s="1968"/>
      <c r="AA131" s="1968"/>
      <c r="AB131" s="1968"/>
      <c r="AC131" s="1968"/>
      <c r="AD131" s="1968"/>
      <c r="AE131" s="1968"/>
      <c r="AF131" s="1968"/>
      <c r="AG131" s="1968"/>
      <c r="AH131" s="1968"/>
      <c r="AI131" s="1968"/>
      <c r="AJ131" s="1968"/>
      <c r="AK131" s="1968"/>
      <c r="AL131" s="1968"/>
      <c r="AM131" s="1968"/>
      <c r="AN131" s="1968"/>
      <c r="AO131" s="1968"/>
      <c r="AP131" s="1968"/>
      <c r="AQ131" s="1968"/>
      <c r="AR131" s="1968"/>
      <c r="AS131" s="1968"/>
      <c r="AT131" s="1968"/>
      <c r="AU131" s="1968"/>
      <c r="AV131" s="1968"/>
      <c r="AW131" s="1968"/>
      <c r="AX131" s="1968"/>
      <c r="AY131" s="1968"/>
      <c r="AZ131" s="1968"/>
      <c r="BA131" s="1968"/>
      <c r="BB131" s="1968"/>
      <c r="BC131" s="1968"/>
      <c r="BD131" s="1968"/>
      <c r="BE131" s="1968"/>
      <c r="BF131" s="1968"/>
      <c r="BG131" s="1968"/>
      <c r="BH131" s="1968"/>
      <c r="BI131" s="1968"/>
      <c r="BJ131" s="1968"/>
      <c r="BK131" s="1968"/>
      <c r="BL131" s="1968"/>
      <c r="BM131" s="1968"/>
      <c r="BN131" s="1968"/>
      <c r="BO131" s="1968"/>
      <c r="BP131" s="1968"/>
      <c r="BQ131" s="1968"/>
      <c r="BR131" s="1968"/>
      <c r="BS131" s="1968"/>
      <c r="BT131" s="1968"/>
      <c r="BU131" s="1968"/>
      <c r="BV131" s="1968"/>
      <c r="BW131" s="1968"/>
      <c r="BX131" s="1968"/>
      <c r="BY131" s="1968"/>
      <c r="BZ131" s="1968"/>
      <c r="CA131" s="1968"/>
      <c r="CB131" s="1968"/>
      <c r="CC131" s="1968"/>
      <c r="CD131" s="1968"/>
      <c r="CE131" s="1968"/>
      <c r="CF131" s="1968"/>
      <c r="CG131" s="1968"/>
      <c r="CH131" s="1968"/>
      <c r="CI131" s="1968"/>
      <c r="CJ131" s="1968"/>
      <c r="CK131" s="1968"/>
      <c r="CL131" s="1968"/>
      <c r="CM131" s="1968"/>
      <c r="CN131" s="1968"/>
      <c r="CO131" s="1968"/>
      <c r="CP131" s="1968"/>
      <c r="CQ131" s="1968"/>
      <c r="CR131" s="1968"/>
      <c r="CS131" s="1968"/>
      <c r="CT131" s="1968"/>
      <c r="CU131" s="1968"/>
      <c r="CV131" s="1968"/>
      <c r="CW131" s="1968"/>
      <c r="CX131" s="1968"/>
      <c r="CY131" s="1968"/>
      <c r="CZ131" s="1968"/>
      <c r="DA131" s="1968"/>
      <c r="DB131" s="1968"/>
      <c r="DC131" s="1968"/>
      <c r="DD131" s="1968"/>
      <c r="DE131" s="1968"/>
      <c r="DF131" s="1968"/>
      <c r="DG131" s="1968"/>
      <c r="DH131" s="1968"/>
      <c r="DI131" s="1968"/>
      <c r="DJ131" s="1968"/>
      <c r="DK131" s="1968"/>
      <c r="DL131" s="1968"/>
      <c r="DM131" s="1968"/>
      <c r="DN131" s="1968"/>
      <c r="DO131" s="1968"/>
      <c r="DP131" s="1968"/>
      <c r="DQ131" s="1968"/>
      <c r="DR131" s="1968"/>
      <c r="DS131" s="1968"/>
      <c r="DT131" s="1968"/>
      <c r="DU131" s="1968"/>
      <c r="DV131" s="1968"/>
      <c r="DW131" s="1968"/>
      <c r="DX131" s="1968"/>
      <c r="DY131" s="1968"/>
      <c r="DZ131" s="1968"/>
      <c r="EA131" s="1968"/>
      <c r="EB131" s="1968"/>
      <c r="EC131" s="1968"/>
      <c r="ED131" s="1968"/>
      <c r="EE131" s="1968"/>
      <c r="EF131" s="1968"/>
      <c r="EG131" s="1968"/>
      <c r="EH131" s="1968"/>
      <c r="EI131" s="1968"/>
      <c r="EJ131" s="1968"/>
      <c r="EK131" s="1968"/>
      <c r="EL131" s="1968"/>
      <c r="EM131" s="1968"/>
      <c r="EN131" s="1968"/>
      <c r="EO131" s="1968"/>
      <c r="EP131" s="1968"/>
      <c r="EQ131" s="1968"/>
      <c r="ER131" s="1968"/>
      <c r="ES131" s="1968"/>
      <c r="ET131" s="1968"/>
      <c r="EU131" s="1968"/>
      <c r="EV131" s="1968"/>
      <c r="EW131" s="1968"/>
      <c r="EX131" s="1968"/>
      <c r="EY131" s="1968"/>
      <c r="EZ131" s="1968"/>
      <c r="FA131" s="1968"/>
      <c r="FB131" s="1968"/>
      <c r="FC131" s="1968"/>
      <c r="FD131" s="1968"/>
      <c r="FE131" s="1968"/>
      <c r="FF131" s="1968"/>
      <c r="FG131" s="1968"/>
      <c r="FH131" s="1968"/>
      <c r="FI131" s="1968"/>
      <c r="FJ131" s="1968"/>
      <c r="FK131" s="1968"/>
      <c r="FL131" s="1968"/>
      <c r="FM131" s="1968"/>
      <c r="FN131" s="1968"/>
      <c r="FO131" s="1968"/>
      <c r="FP131" s="1968"/>
      <c r="FQ131" s="1968"/>
      <c r="FR131" s="1968"/>
      <c r="FS131" s="1968"/>
      <c r="FT131" s="1968"/>
      <c r="FU131" s="1968"/>
      <c r="FV131" s="1968"/>
      <c r="FW131" s="1968"/>
      <c r="FX131" s="1968"/>
      <c r="FY131" s="1968"/>
      <c r="FZ131" s="1968"/>
      <c r="GA131" s="1968"/>
      <c r="GB131" s="1968"/>
      <c r="GC131" s="1968"/>
      <c r="GD131" s="1968"/>
      <c r="GE131" s="1968"/>
      <c r="GF131" s="1968"/>
      <c r="GG131" s="1968"/>
      <c r="GH131" s="1968"/>
      <c r="GI131" s="1968"/>
      <c r="GJ131" s="1968"/>
      <c r="GK131" s="1968"/>
      <c r="GL131" s="1968"/>
      <c r="GM131" s="1968"/>
      <c r="GN131" s="1968"/>
      <c r="GO131" s="1968"/>
      <c r="GP131" s="1968"/>
      <c r="GQ131" s="1968"/>
      <c r="GR131" s="1968"/>
      <c r="GS131" s="1968"/>
      <c r="GT131" s="1968"/>
      <c r="GU131" s="1968"/>
      <c r="GV131" s="1968"/>
      <c r="GW131" s="1968"/>
      <c r="GX131" s="1968"/>
      <c r="GY131" s="1968"/>
      <c r="GZ131" s="1968"/>
      <c r="HA131" s="1968"/>
      <c r="HB131" s="1968"/>
      <c r="HC131" s="1968"/>
      <c r="HD131" s="1968"/>
      <c r="HE131" s="1968"/>
      <c r="HF131" s="1968"/>
      <c r="HG131" s="1968"/>
      <c r="HH131" s="1968"/>
      <c r="HI131" s="1968"/>
      <c r="HJ131" s="1968"/>
      <c r="HK131" s="1968"/>
      <c r="HL131" s="1968"/>
      <c r="HM131" s="1968"/>
      <c r="HN131" s="1968"/>
      <c r="HO131" s="1968"/>
      <c r="HP131" s="1968"/>
      <c r="HQ131" s="1968"/>
      <c r="HR131" s="1968"/>
      <c r="HS131" s="1968"/>
      <c r="HT131" s="1968"/>
      <c r="HU131" s="1968"/>
      <c r="HV131" s="1968"/>
      <c r="HW131" s="1968"/>
      <c r="HX131" s="1968"/>
      <c r="HY131" s="1968"/>
      <c r="HZ131" s="1968"/>
      <c r="IA131" s="1968"/>
      <c r="IB131" s="1968"/>
      <c r="IC131" s="1968"/>
      <c r="ID131" s="1968"/>
      <c r="IE131" s="1968"/>
      <c r="IF131" s="1968"/>
      <c r="IG131" s="1968"/>
      <c r="IH131" s="1968"/>
      <c r="II131" s="1968"/>
      <c r="IJ131" s="1968"/>
      <c r="IK131" s="1968"/>
      <c r="IL131" s="1968"/>
      <c r="IM131" s="1968"/>
      <c r="IN131" s="1968"/>
      <c r="IO131" s="1968"/>
      <c r="IP131" s="1968"/>
      <c r="IQ131" s="1968"/>
      <c r="IR131" s="1968"/>
      <c r="IS131" s="1968"/>
      <c r="IT131" s="1968"/>
      <c r="IU131" s="1968"/>
      <c r="IV131" s="1968"/>
      <c r="IW131" s="1968"/>
      <c r="IX131" s="1968"/>
      <c r="IY131" s="1968"/>
      <c r="IZ131" s="1968"/>
      <c r="JA131" s="1968"/>
      <c r="JB131" s="1968"/>
      <c r="JC131" s="1968"/>
      <c r="JD131" s="1968"/>
      <c r="JE131" s="1968"/>
      <c r="JF131" s="1968"/>
      <c r="JG131" s="1968"/>
      <c r="JH131" s="1968"/>
      <c r="JI131" s="1968"/>
      <c r="JJ131" s="1968"/>
      <c r="JK131" s="1968"/>
      <c r="JL131" s="1968"/>
      <c r="JM131" s="1968"/>
      <c r="JN131" s="1968"/>
      <c r="JO131" s="1968"/>
      <c r="JP131" s="1968"/>
      <c r="JQ131" s="1968"/>
      <c r="JR131" s="1968"/>
      <c r="JS131" s="1968"/>
      <c r="JT131" s="1968"/>
      <c r="JU131" s="1968"/>
      <c r="JV131" s="1968"/>
      <c r="JW131" s="1968"/>
      <c r="JX131" s="1968"/>
      <c r="JY131" s="1968"/>
      <c r="JZ131" s="1968"/>
      <c r="KA131" s="1968"/>
      <c r="KB131" s="1968"/>
      <c r="KC131" s="1968"/>
      <c r="KD131" s="1968"/>
      <c r="KE131" s="1968"/>
      <c r="KF131" s="1968"/>
      <c r="KG131" s="1968"/>
      <c r="KH131" s="1968"/>
      <c r="KI131" s="1968"/>
      <c r="KJ131" s="1968"/>
      <c r="KK131" s="1968"/>
      <c r="KL131" s="1968"/>
      <c r="KM131" s="1968"/>
      <c r="KN131" s="1968"/>
      <c r="KO131" s="1968"/>
      <c r="KP131" s="1968"/>
      <c r="KQ131" s="1968"/>
      <c r="KR131" s="1968"/>
      <c r="KS131" s="1968"/>
      <c r="KT131" s="1968"/>
      <c r="KU131" s="1968"/>
      <c r="KV131" s="1968"/>
      <c r="KW131" s="1968"/>
      <c r="KX131" s="1968"/>
      <c r="KY131" s="1968"/>
      <c r="KZ131" s="1968"/>
      <c r="LA131" s="1968"/>
      <c r="LB131" s="1968"/>
      <c r="LC131" s="1968"/>
      <c r="LD131" s="1968"/>
      <c r="LE131" s="1968"/>
      <c r="LF131" s="1968"/>
      <c r="LG131" s="1968"/>
      <c r="LH131" s="1968"/>
      <c r="LI131" s="1968"/>
      <c r="LJ131" s="1968"/>
      <c r="LK131" s="1968"/>
      <c r="LL131" s="1968"/>
      <c r="LM131" s="1968"/>
      <c r="LN131" s="1968"/>
      <c r="LO131" s="1968"/>
      <c r="LP131" s="1968"/>
      <c r="LQ131" s="1968"/>
      <c r="LR131" s="1968"/>
      <c r="LS131" s="1968"/>
      <c r="LT131" s="1968"/>
      <c r="LU131" s="1968"/>
      <c r="LV131" s="1968"/>
      <c r="LW131" s="1968"/>
      <c r="LX131" s="1968"/>
      <c r="LY131" s="1968"/>
      <c r="LZ131" s="1968"/>
      <c r="MA131" s="1968"/>
      <c r="MB131" s="1968"/>
      <c r="MC131" s="1968"/>
      <c r="MD131" s="1968"/>
      <c r="ME131" s="1968"/>
      <c r="MF131" s="1968"/>
      <c r="MG131" s="1968"/>
      <c r="MH131" s="1968"/>
      <c r="MI131" s="1968"/>
      <c r="MJ131" s="1968"/>
      <c r="MK131" s="1968"/>
      <c r="ML131" s="1968"/>
      <c r="MM131" s="1968"/>
      <c r="MN131" s="1968"/>
      <c r="MO131" s="1968"/>
      <c r="MP131" s="1968"/>
      <c r="MQ131" s="1968"/>
      <c r="MR131" s="1968"/>
      <c r="MS131" s="1968"/>
      <c r="MT131" s="1968"/>
      <c r="MU131" s="1968"/>
      <c r="MV131" s="1968"/>
      <c r="MW131" s="1968"/>
      <c r="MX131" s="1968"/>
      <c r="MY131" s="1968"/>
      <c r="MZ131" s="1968"/>
      <c r="NA131" s="1968"/>
      <c r="NB131" s="1968"/>
      <c r="NC131" s="1968"/>
      <c r="ND131" s="1968"/>
      <c r="NE131" s="1968"/>
      <c r="NF131" s="1968"/>
      <c r="NG131" s="1968"/>
      <c r="NH131" s="1968"/>
      <c r="NI131" s="1968"/>
      <c r="NJ131" s="1968"/>
      <c r="NK131" s="1968"/>
      <c r="NL131" s="1968"/>
      <c r="NM131" s="1968"/>
      <c r="NN131" s="1968"/>
      <c r="NO131" s="1968"/>
      <c r="NP131" s="1968"/>
      <c r="NQ131" s="1968"/>
      <c r="NR131" s="1968"/>
      <c r="NS131" s="1968"/>
      <c r="NT131" s="1968"/>
      <c r="NU131" s="1968"/>
      <c r="NV131" s="1968"/>
      <c r="NW131" s="1968"/>
      <c r="NX131" s="1968"/>
      <c r="NY131" s="1968"/>
      <c r="NZ131" s="1968"/>
      <c r="OA131" s="1968"/>
      <c r="OB131" s="1968"/>
      <c r="OC131" s="1968"/>
      <c r="OD131" s="1968"/>
      <c r="OE131" s="1968"/>
    </row>
    <row r="132" spans="1:395">
      <c r="A132" s="1968"/>
      <c r="B132" s="1968"/>
      <c r="C132" s="1968"/>
      <c r="D132" s="1968"/>
      <c r="E132" s="1968"/>
      <c r="F132" s="1968"/>
      <c r="G132" s="1968"/>
      <c r="H132" s="1968"/>
      <c r="I132" s="1968"/>
      <c r="J132" s="1968"/>
      <c r="K132" s="1968"/>
      <c r="L132" s="1968"/>
      <c r="M132" s="1968"/>
      <c r="N132" s="1968"/>
      <c r="O132" s="1968"/>
      <c r="P132" s="1968"/>
      <c r="Q132" s="1968"/>
      <c r="R132" s="1968"/>
      <c r="S132" s="1968"/>
      <c r="T132" s="1968"/>
      <c r="U132" s="1968"/>
      <c r="V132" s="1968"/>
      <c r="W132" s="1968"/>
      <c r="X132" s="1968"/>
      <c r="Y132" s="1968"/>
      <c r="Z132" s="1968"/>
      <c r="AA132" s="1968"/>
      <c r="AB132" s="1968"/>
      <c r="AC132" s="1968"/>
      <c r="AD132" s="1968"/>
      <c r="AE132" s="1968"/>
      <c r="AF132" s="1968"/>
      <c r="AG132" s="1968"/>
      <c r="AH132" s="1968"/>
      <c r="AI132" s="1968"/>
      <c r="AJ132" s="1968"/>
      <c r="AK132" s="1968"/>
      <c r="AL132" s="1968"/>
      <c r="AM132" s="1968"/>
      <c r="AN132" s="1968"/>
      <c r="AO132" s="1968"/>
      <c r="AP132" s="1968"/>
      <c r="AQ132" s="1968"/>
      <c r="AR132" s="1968"/>
      <c r="AS132" s="1968"/>
      <c r="AT132" s="1968"/>
      <c r="AU132" s="1968"/>
      <c r="AV132" s="1968"/>
      <c r="AW132" s="1968"/>
      <c r="AX132" s="1968"/>
      <c r="AY132" s="1968"/>
      <c r="AZ132" s="1968"/>
      <c r="BA132" s="1968"/>
      <c r="BB132" s="1968"/>
      <c r="BC132" s="1968"/>
      <c r="BD132" s="1968"/>
      <c r="BE132" s="1968"/>
      <c r="BF132" s="1968"/>
      <c r="BG132" s="1968"/>
      <c r="BH132" s="1968"/>
      <c r="BI132" s="1968"/>
      <c r="BJ132" s="1968"/>
      <c r="BK132" s="1968"/>
      <c r="BL132" s="1968"/>
      <c r="BM132" s="1968"/>
      <c r="BN132" s="1968"/>
      <c r="BO132" s="1968"/>
      <c r="BP132" s="1968"/>
      <c r="BQ132" s="1968"/>
      <c r="BR132" s="1968"/>
      <c r="BS132" s="1968"/>
      <c r="BT132" s="1968"/>
      <c r="BU132" s="1968"/>
      <c r="BV132" s="1968"/>
      <c r="BW132" s="1968"/>
      <c r="BX132" s="1968"/>
      <c r="BY132" s="1968"/>
      <c r="BZ132" s="1968"/>
      <c r="CA132" s="1968"/>
      <c r="CB132" s="1968"/>
      <c r="CC132" s="1968"/>
      <c r="CD132" s="1968"/>
      <c r="CE132" s="1968"/>
      <c r="CF132" s="1968"/>
      <c r="CG132" s="1968"/>
      <c r="CH132" s="1968"/>
      <c r="CI132" s="1968"/>
      <c r="CJ132" s="1968"/>
      <c r="CK132" s="1968"/>
      <c r="CL132" s="1968"/>
      <c r="CM132" s="1968"/>
      <c r="CN132" s="1968"/>
      <c r="CO132" s="1968"/>
      <c r="CP132" s="1968"/>
      <c r="CQ132" s="1968"/>
      <c r="CR132" s="1968"/>
      <c r="CS132" s="1968"/>
      <c r="CT132" s="1968"/>
      <c r="CU132" s="1968"/>
      <c r="CV132" s="1968"/>
      <c r="CW132" s="1968"/>
      <c r="CX132" s="1968"/>
      <c r="CY132" s="1968"/>
      <c r="CZ132" s="1968"/>
      <c r="DA132" s="1968"/>
      <c r="DB132" s="1968"/>
      <c r="DC132" s="1968"/>
      <c r="DD132" s="1968"/>
      <c r="DE132" s="1968"/>
      <c r="DF132" s="1968"/>
      <c r="DG132" s="1968"/>
      <c r="DH132" s="1968"/>
      <c r="DI132" s="1968"/>
      <c r="DJ132" s="1968"/>
      <c r="DK132" s="1968"/>
      <c r="DL132" s="1968"/>
      <c r="DM132" s="1968"/>
      <c r="DN132" s="1968"/>
      <c r="DO132" s="1968"/>
      <c r="DP132" s="1968"/>
      <c r="DQ132" s="1968"/>
      <c r="DR132" s="1968"/>
      <c r="DS132" s="1968"/>
      <c r="DT132" s="1968"/>
      <c r="DU132" s="1968"/>
      <c r="DV132" s="1968"/>
      <c r="DW132" s="1968"/>
      <c r="DX132" s="1968"/>
      <c r="DY132" s="1968"/>
      <c r="DZ132" s="1968"/>
      <c r="EA132" s="1968"/>
      <c r="EB132" s="1968"/>
      <c r="EC132" s="1968"/>
      <c r="ED132" s="1968"/>
      <c r="EE132" s="1968"/>
      <c r="EF132" s="1968"/>
      <c r="EG132" s="1968"/>
      <c r="EH132" s="1968"/>
      <c r="EI132" s="1968"/>
      <c r="EJ132" s="1968"/>
      <c r="EK132" s="1968"/>
      <c r="EL132" s="1968"/>
      <c r="EM132" s="1968"/>
      <c r="EN132" s="1968"/>
      <c r="EO132" s="1968"/>
      <c r="EP132" s="1968"/>
      <c r="EQ132" s="1968"/>
      <c r="ER132" s="1968"/>
      <c r="ES132" s="1968"/>
      <c r="ET132" s="1968"/>
      <c r="EU132" s="1968"/>
      <c r="EV132" s="1968"/>
      <c r="EW132" s="1968"/>
      <c r="EX132" s="1968"/>
      <c r="EY132" s="1968"/>
      <c r="EZ132" s="1968"/>
      <c r="FA132" s="1968"/>
      <c r="FB132" s="1968"/>
      <c r="FC132" s="1968"/>
      <c r="FD132" s="1968"/>
      <c r="FE132" s="1968"/>
      <c r="FF132" s="1968"/>
      <c r="FG132" s="1968"/>
      <c r="FH132" s="1968"/>
      <c r="FI132" s="1968"/>
      <c r="FJ132" s="1968"/>
      <c r="FK132" s="1968"/>
      <c r="FL132" s="1968"/>
      <c r="FM132" s="1968"/>
      <c r="FN132" s="1968"/>
      <c r="FO132" s="1968"/>
      <c r="FP132" s="1968"/>
      <c r="FQ132" s="1968"/>
      <c r="FR132" s="1968"/>
      <c r="FS132" s="1968"/>
      <c r="FT132" s="1968"/>
      <c r="FU132" s="1968"/>
      <c r="FV132" s="1968"/>
      <c r="FW132" s="1968"/>
      <c r="FX132" s="1968"/>
      <c r="FY132" s="1968"/>
      <c r="FZ132" s="1968"/>
      <c r="GA132" s="1968"/>
      <c r="GB132" s="1968"/>
      <c r="GC132" s="1968"/>
      <c r="GD132" s="1968"/>
      <c r="GE132" s="1968"/>
      <c r="GF132" s="1968"/>
      <c r="GG132" s="1968"/>
      <c r="GH132" s="1968"/>
      <c r="GI132" s="1968"/>
      <c r="GJ132" s="1968"/>
      <c r="GK132" s="1968"/>
      <c r="GL132" s="1968"/>
      <c r="GM132" s="1968"/>
      <c r="GN132" s="1968"/>
      <c r="GO132" s="1968"/>
      <c r="GP132" s="1968"/>
      <c r="GQ132" s="1968"/>
      <c r="GR132" s="1968"/>
      <c r="GS132" s="1968"/>
      <c r="GT132" s="1968"/>
      <c r="GU132" s="1968"/>
      <c r="GV132" s="1968"/>
      <c r="GW132" s="1968"/>
      <c r="GX132" s="1968"/>
      <c r="GY132" s="1968"/>
      <c r="GZ132" s="1968"/>
      <c r="HA132" s="1968"/>
      <c r="HB132" s="1968"/>
      <c r="HC132" s="1968"/>
      <c r="HD132" s="1968"/>
      <c r="HE132" s="1968"/>
      <c r="HF132" s="1968"/>
      <c r="HG132" s="1968"/>
      <c r="HH132" s="1968"/>
      <c r="HI132" s="1968"/>
      <c r="HJ132" s="1968"/>
      <c r="HK132" s="1968"/>
      <c r="HL132" s="1968"/>
      <c r="HM132" s="1968"/>
      <c r="HN132" s="1968"/>
      <c r="HO132" s="1968"/>
      <c r="HP132" s="1968"/>
      <c r="HQ132" s="1968"/>
      <c r="HR132" s="1968"/>
      <c r="HS132" s="1968"/>
      <c r="HT132" s="1968"/>
      <c r="HU132" s="1968"/>
      <c r="HV132" s="1968"/>
      <c r="HW132" s="1968"/>
      <c r="HX132" s="1968"/>
      <c r="HY132" s="1968"/>
      <c r="HZ132" s="1968"/>
      <c r="IA132" s="1968"/>
      <c r="IB132" s="1968"/>
      <c r="IC132" s="1968"/>
      <c r="ID132" s="1968"/>
      <c r="IE132" s="1968"/>
      <c r="IF132" s="1968"/>
      <c r="IG132" s="1968"/>
      <c r="IH132" s="1968"/>
      <c r="II132" s="1968"/>
      <c r="IJ132" s="1968"/>
      <c r="IK132" s="1968"/>
      <c r="IL132" s="1968"/>
      <c r="IM132" s="1968"/>
      <c r="IN132" s="1968"/>
      <c r="IO132" s="1968"/>
      <c r="IP132" s="1968"/>
      <c r="IQ132" s="1968"/>
      <c r="IR132" s="1968"/>
      <c r="IS132" s="1968"/>
      <c r="IT132" s="1968"/>
      <c r="IU132" s="1968"/>
      <c r="IV132" s="1968"/>
      <c r="IW132" s="1968"/>
      <c r="IX132" s="1968"/>
      <c r="IY132" s="1968"/>
      <c r="IZ132" s="1968"/>
      <c r="JA132" s="1968"/>
      <c r="JB132" s="1968"/>
      <c r="JC132" s="1968"/>
      <c r="JD132" s="1968"/>
      <c r="JE132" s="1968"/>
      <c r="JF132" s="1968"/>
      <c r="JG132" s="1968"/>
      <c r="JH132" s="1968"/>
      <c r="JI132" s="1968"/>
      <c r="JJ132" s="1968"/>
      <c r="JK132" s="1968"/>
      <c r="JL132" s="1968"/>
      <c r="JM132" s="1968"/>
      <c r="JN132" s="1968"/>
      <c r="JO132" s="1968"/>
      <c r="JP132" s="1968"/>
      <c r="JQ132" s="1968"/>
      <c r="JR132" s="1968"/>
      <c r="JS132" s="1968"/>
      <c r="JT132" s="1968"/>
      <c r="JU132" s="1968"/>
      <c r="JV132" s="1968"/>
      <c r="JW132" s="1968"/>
      <c r="JX132" s="1968"/>
      <c r="JY132" s="1968"/>
      <c r="JZ132" s="1968"/>
      <c r="KA132" s="1968"/>
      <c r="KB132" s="1968"/>
      <c r="KC132" s="1968"/>
      <c r="KD132" s="1968"/>
      <c r="KE132" s="1968"/>
      <c r="KF132" s="1968"/>
      <c r="KG132" s="1968"/>
      <c r="KH132" s="1968"/>
      <c r="KI132" s="1968"/>
      <c r="KJ132" s="1968"/>
      <c r="KK132" s="1968"/>
      <c r="KL132" s="1968"/>
      <c r="KM132" s="1968"/>
      <c r="KN132" s="1968"/>
      <c r="KO132" s="1968"/>
      <c r="KP132" s="1968"/>
      <c r="KQ132" s="1968"/>
      <c r="KR132" s="1968"/>
      <c r="KS132" s="1968"/>
      <c r="KT132" s="1968"/>
      <c r="KU132" s="1968"/>
      <c r="KV132" s="1968"/>
      <c r="KW132" s="1968"/>
      <c r="KX132" s="1968"/>
      <c r="KY132" s="1968"/>
      <c r="KZ132" s="1968"/>
      <c r="LA132" s="1968"/>
      <c r="LB132" s="1968"/>
      <c r="LC132" s="1968"/>
      <c r="LD132" s="1968"/>
      <c r="LE132" s="1968"/>
      <c r="LF132" s="1968"/>
      <c r="LG132" s="1968"/>
      <c r="LH132" s="1968"/>
      <c r="LI132" s="1968"/>
      <c r="LJ132" s="1968"/>
      <c r="LK132" s="1968"/>
      <c r="LL132" s="1968"/>
      <c r="LM132" s="1968"/>
      <c r="LN132" s="1968"/>
      <c r="LO132" s="1968"/>
      <c r="LP132" s="1968"/>
      <c r="LQ132" s="1968"/>
      <c r="LR132" s="1968"/>
      <c r="LS132" s="1968"/>
      <c r="LT132" s="1968"/>
      <c r="LU132" s="1968"/>
      <c r="LV132" s="1968"/>
      <c r="LW132" s="1968"/>
      <c r="LX132" s="1968"/>
      <c r="LY132" s="1968"/>
      <c r="LZ132" s="1968"/>
      <c r="MA132" s="1968"/>
      <c r="MB132" s="1968"/>
      <c r="MC132" s="1968"/>
      <c r="MD132" s="1968"/>
      <c r="ME132" s="1968"/>
      <c r="MF132" s="1968"/>
      <c r="MG132" s="1968"/>
      <c r="MH132" s="1968"/>
      <c r="MI132" s="1968"/>
      <c r="MJ132" s="1968"/>
      <c r="MK132" s="1968"/>
      <c r="ML132" s="1968"/>
      <c r="MM132" s="1968"/>
      <c r="MN132" s="1968"/>
      <c r="MO132" s="1968"/>
      <c r="MP132" s="1968"/>
      <c r="MQ132" s="1968"/>
      <c r="MR132" s="1968"/>
      <c r="MS132" s="1968"/>
      <c r="MT132" s="1968"/>
      <c r="MU132" s="1968"/>
      <c r="MV132" s="1968"/>
      <c r="MW132" s="1968"/>
      <c r="MX132" s="1968"/>
      <c r="MY132" s="1968"/>
      <c r="MZ132" s="1968"/>
      <c r="NA132" s="1968"/>
      <c r="NB132" s="1968"/>
      <c r="NC132" s="1968"/>
      <c r="ND132" s="1968"/>
      <c r="NE132" s="1968"/>
      <c r="NF132" s="1968"/>
      <c r="NG132" s="1968"/>
      <c r="NH132" s="1968"/>
      <c r="NI132" s="1968"/>
      <c r="NJ132" s="1968"/>
      <c r="NK132" s="1968"/>
      <c r="NL132" s="1968"/>
      <c r="NM132" s="1968"/>
      <c r="NN132" s="1968"/>
      <c r="NO132" s="1968"/>
      <c r="NP132" s="1968"/>
      <c r="NQ132" s="1968"/>
      <c r="NR132" s="1968"/>
      <c r="NS132" s="1968"/>
      <c r="NT132" s="1968"/>
      <c r="NU132" s="1968"/>
      <c r="NV132" s="1968"/>
      <c r="NW132" s="1968"/>
      <c r="NX132" s="1968"/>
      <c r="NY132" s="1968"/>
      <c r="NZ132" s="1968"/>
      <c r="OA132" s="1968"/>
      <c r="OB132" s="1968"/>
      <c r="OC132" s="1968"/>
      <c r="OD132" s="1968"/>
      <c r="OE132" s="1968"/>
    </row>
    <row r="133" spans="1:395">
      <c r="A133" s="1968"/>
      <c r="B133" s="1968"/>
      <c r="C133" s="1968"/>
      <c r="D133" s="1968"/>
      <c r="E133" s="1968"/>
      <c r="F133" s="1968"/>
      <c r="G133" s="1968"/>
      <c r="H133" s="1968"/>
      <c r="I133" s="1968"/>
      <c r="J133" s="1968"/>
      <c r="K133" s="1968"/>
      <c r="L133" s="1968"/>
      <c r="M133" s="1968"/>
      <c r="N133" s="1968"/>
      <c r="O133" s="1968"/>
      <c r="P133" s="1968"/>
      <c r="Q133" s="1968"/>
      <c r="R133" s="1968"/>
      <c r="S133" s="1968"/>
      <c r="T133" s="1968"/>
      <c r="U133" s="1968"/>
      <c r="V133" s="1968"/>
      <c r="W133" s="1968"/>
      <c r="X133" s="1968"/>
      <c r="Y133" s="1968"/>
      <c r="Z133" s="1968"/>
      <c r="AA133" s="1968"/>
      <c r="AB133" s="1968"/>
      <c r="AC133" s="1968"/>
      <c r="AD133" s="1968"/>
      <c r="AE133" s="1968"/>
      <c r="AF133" s="1968"/>
      <c r="AG133" s="1968"/>
      <c r="AH133" s="1968"/>
      <c r="AI133" s="1968"/>
      <c r="AJ133" s="1968"/>
      <c r="AK133" s="1968"/>
      <c r="AL133" s="1968"/>
      <c r="AM133" s="1968"/>
      <c r="AN133" s="1968"/>
      <c r="AO133" s="1968"/>
      <c r="AP133" s="1968"/>
      <c r="AQ133" s="1968"/>
      <c r="AR133" s="1968"/>
      <c r="AS133" s="1968"/>
      <c r="AT133" s="1968"/>
      <c r="AU133" s="1968"/>
      <c r="AV133" s="1968"/>
      <c r="AW133" s="1968"/>
      <c r="AX133" s="1968"/>
      <c r="AY133" s="1968"/>
      <c r="AZ133" s="1968"/>
      <c r="BA133" s="1968"/>
      <c r="BB133" s="1968"/>
      <c r="BC133" s="1968"/>
      <c r="BD133" s="1968"/>
      <c r="BE133" s="1968"/>
      <c r="BF133" s="1968"/>
      <c r="BG133" s="1968"/>
      <c r="BH133" s="1968"/>
      <c r="BI133" s="1968"/>
      <c r="BJ133" s="1968"/>
      <c r="BK133" s="1968"/>
      <c r="BL133" s="1968"/>
      <c r="BM133" s="1968"/>
      <c r="BN133" s="1968"/>
      <c r="BO133" s="1968"/>
      <c r="BP133" s="1968"/>
      <c r="BQ133" s="1968"/>
      <c r="BR133" s="1968"/>
      <c r="BS133" s="1968"/>
      <c r="BT133" s="1968"/>
      <c r="BU133" s="1968"/>
      <c r="BV133" s="1968"/>
      <c r="BW133" s="1968"/>
      <c r="BX133" s="1968"/>
      <c r="BY133" s="1968"/>
      <c r="BZ133" s="1968"/>
      <c r="CA133" s="1968"/>
      <c r="CB133" s="1968"/>
      <c r="CC133" s="1968"/>
      <c r="CD133" s="1968"/>
      <c r="CE133" s="1968"/>
      <c r="CF133" s="1968"/>
      <c r="CG133" s="1968"/>
      <c r="CH133" s="1968"/>
      <c r="CI133" s="1968"/>
      <c r="CJ133" s="1968"/>
      <c r="CK133" s="1968"/>
      <c r="CL133" s="1968"/>
      <c r="CM133" s="1968"/>
      <c r="CN133" s="1968"/>
      <c r="CO133" s="1968"/>
      <c r="CP133" s="1968"/>
      <c r="CQ133" s="1968"/>
      <c r="CR133" s="1968"/>
      <c r="CS133" s="1968"/>
      <c r="CT133" s="1968"/>
      <c r="CU133" s="1968"/>
      <c r="CV133" s="1968"/>
      <c r="CW133" s="1968"/>
      <c r="CX133" s="1968"/>
      <c r="CY133" s="1968"/>
      <c r="CZ133" s="1968"/>
      <c r="DA133" s="1968"/>
      <c r="DB133" s="1968"/>
      <c r="DC133" s="1968"/>
      <c r="DD133" s="1968"/>
      <c r="DE133" s="1968"/>
      <c r="DF133" s="1968"/>
      <c r="DG133" s="1968"/>
      <c r="DH133" s="1968"/>
      <c r="DI133" s="1968"/>
      <c r="DJ133" s="1968"/>
      <c r="DK133" s="1968"/>
      <c r="DL133" s="1968"/>
      <c r="DM133" s="1968"/>
      <c r="DN133" s="1968"/>
      <c r="DO133" s="1968"/>
      <c r="DP133" s="1968"/>
      <c r="DQ133" s="1968"/>
      <c r="DR133" s="1968"/>
      <c r="DS133" s="1968"/>
      <c r="DT133" s="1968"/>
      <c r="DU133" s="1968"/>
      <c r="DV133" s="1968"/>
      <c r="DW133" s="1968"/>
      <c r="DX133" s="1968"/>
      <c r="DY133" s="1968"/>
      <c r="DZ133" s="1968"/>
      <c r="EA133" s="1968"/>
      <c r="EB133" s="1968"/>
      <c r="EC133" s="1968"/>
      <c r="ED133" s="1968"/>
      <c r="EE133" s="1968"/>
      <c r="EF133" s="1968"/>
      <c r="EG133" s="1968"/>
      <c r="EH133" s="1968"/>
      <c r="EI133" s="1968"/>
      <c r="EJ133" s="1968"/>
      <c r="EK133" s="1968"/>
      <c r="EL133" s="1968"/>
      <c r="EM133" s="1968"/>
      <c r="EN133" s="1968"/>
      <c r="EO133" s="1968"/>
      <c r="EP133" s="1968"/>
      <c r="EQ133" s="1968"/>
      <c r="ER133" s="1968"/>
      <c r="ES133" s="1968"/>
      <c r="ET133" s="1968"/>
      <c r="EU133" s="1968"/>
      <c r="EV133" s="1968"/>
      <c r="EW133" s="1968"/>
      <c r="EX133" s="1968"/>
      <c r="EY133" s="1968"/>
      <c r="EZ133" s="1968"/>
      <c r="FA133" s="1968"/>
      <c r="FB133" s="1968"/>
      <c r="FC133" s="1968"/>
      <c r="FD133" s="1968"/>
      <c r="FE133" s="1968"/>
      <c r="FF133" s="1968"/>
      <c r="FG133" s="1968"/>
      <c r="FH133" s="1968"/>
      <c r="FI133" s="1968"/>
      <c r="FJ133" s="1968"/>
      <c r="FK133" s="1968"/>
      <c r="FL133" s="1968"/>
      <c r="FM133" s="1968"/>
      <c r="FN133" s="1968"/>
      <c r="FO133" s="1968"/>
      <c r="FP133" s="1968"/>
      <c r="FQ133" s="1968"/>
      <c r="FR133" s="1968"/>
      <c r="FS133" s="1968"/>
      <c r="FT133" s="1968"/>
      <c r="FU133" s="1968"/>
      <c r="FV133" s="1968"/>
      <c r="FW133" s="1968"/>
      <c r="FX133" s="1968"/>
      <c r="FY133" s="1968"/>
      <c r="FZ133" s="1968"/>
      <c r="GA133" s="1968"/>
      <c r="GB133" s="1968"/>
      <c r="GC133" s="1968"/>
      <c r="GD133" s="1968"/>
      <c r="GE133" s="1968"/>
      <c r="GF133" s="1968"/>
      <c r="GG133" s="1968"/>
      <c r="GH133" s="1968"/>
      <c r="GI133" s="1968"/>
      <c r="GJ133" s="1968"/>
      <c r="GK133" s="1968"/>
      <c r="GL133" s="1968"/>
      <c r="GM133" s="1968"/>
      <c r="GN133" s="1968"/>
      <c r="GO133" s="1968"/>
      <c r="GP133" s="1968"/>
      <c r="GQ133" s="1968"/>
      <c r="GR133" s="1968"/>
      <c r="GS133" s="1968"/>
      <c r="GT133" s="1968"/>
      <c r="GU133" s="1968"/>
      <c r="GV133" s="1968"/>
      <c r="GW133" s="1968"/>
      <c r="GX133" s="1968"/>
      <c r="GY133" s="1968"/>
      <c r="GZ133" s="1968"/>
      <c r="HA133" s="1968"/>
      <c r="HB133" s="1968"/>
      <c r="HC133" s="1968"/>
      <c r="HD133" s="1968"/>
      <c r="HE133" s="1968"/>
      <c r="HF133" s="1968"/>
      <c r="HG133" s="1968"/>
      <c r="HH133" s="1968"/>
      <c r="HI133" s="1968"/>
      <c r="HJ133" s="1968"/>
      <c r="HK133" s="1968"/>
      <c r="HL133" s="1968"/>
      <c r="HM133" s="1968"/>
      <c r="HN133" s="1968"/>
      <c r="HO133" s="1968"/>
      <c r="HP133" s="1968"/>
      <c r="HQ133" s="1968"/>
      <c r="HR133" s="1968"/>
      <c r="HS133" s="1968"/>
      <c r="HT133" s="1968"/>
      <c r="HU133" s="1968"/>
      <c r="HV133" s="1968"/>
      <c r="HW133" s="1968"/>
      <c r="HX133" s="1968"/>
      <c r="HY133" s="1968"/>
      <c r="HZ133" s="1968"/>
      <c r="IA133" s="1968"/>
      <c r="IB133" s="1968"/>
      <c r="IC133" s="1968"/>
      <c r="ID133" s="1968"/>
      <c r="IE133" s="1968"/>
      <c r="IF133" s="1968"/>
      <c r="IG133" s="1968"/>
      <c r="IH133" s="1968"/>
      <c r="II133" s="1968"/>
      <c r="IJ133" s="1968"/>
      <c r="IK133" s="1968"/>
      <c r="IL133" s="1968"/>
      <c r="IM133" s="1968"/>
      <c r="IN133" s="1968"/>
      <c r="IO133" s="1968"/>
      <c r="IP133" s="1968"/>
      <c r="IQ133" s="1968"/>
      <c r="IR133" s="1968"/>
      <c r="IS133" s="1968"/>
      <c r="IT133" s="1968"/>
      <c r="IU133" s="1968"/>
      <c r="IV133" s="1968"/>
      <c r="IW133" s="1968"/>
      <c r="IX133" s="1968"/>
      <c r="IY133" s="1968"/>
      <c r="IZ133" s="1968"/>
      <c r="JA133" s="1968"/>
      <c r="JB133" s="1968"/>
      <c r="JC133" s="1968"/>
      <c r="JD133" s="1968"/>
      <c r="JE133" s="1968"/>
      <c r="JF133" s="1968"/>
      <c r="JG133" s="1968"/>
      <c r="JH133" s="1968"/>
      <c r="JI133" s="1968"/>
      <c r="JJ133" s="1968"/>
      <c r="JK133" s="1968"/>
      <c r="JL133" s="1968"/>
      <c r="JM133" s="1968"/>
      <c r="JN133" s="1968"/>
      <c r="JO133" s="1968"/>
      <c r="JP133" s="1968"/>
      <c r="JQ133" s="1968"/>
      <c r="JR133" s="1968"/>
      <c r="JS133" s="1968"/>
      <c r="JT133" s="1968"/>
      <c r="JU133" s="1968"/>
      <c r="JV133" s="1968"/>
      <c r="JW133" s="1968"/>
      <c r="JX133" s="1968"/>
      <c r="JY133" s="1968"/>
      <c r="JZ133" s="1968"/>
      <c r="KA133" s="1968"/>
      <c r="KB133" s="1968"/>
      <c r="KC133" s="1968"/>
      <c r="KD133" s="1968"/>
      <c r="KE133" s="1968"/>
      <c r="KF133" s="1968"/>
      <c r="KG133" s="1968"/>
      <c r="KH133" s="1968"/>
      <c r="KI133" s="1968"/>
      <c r="KJ133" s="1968"/>
      <c r="KK133" s="1968"/>
      <c r="KL133" s="1968"/>
      <c r="KM133" s="1968"/>
      <c r="KN133" s="1968"/>
      <c r="KO133" s="1968"/>
      <c r="KP133" s="1968"/>
      <c r="KQ133" s="1968"/>
      <c r="KR133" s="1968"/>
      <c r="KS133" s="1968"/>
      <c r="KT133" s="1968"/>
      <c r="KU133" s="1968"/>
      <c r="KV133" s="1968"/>
      <c r="KW133" s="1968"/>
      <c r="KX133" s="1968"/>
      <c r="KY133" s="1968"/>
      <c r="KZ133" s="1968"/>
      <c r="LA133" s="1968"/>
      <c r="LB133" s="1968"/>
      <c r="LC133" s="1968"/>
      <c r="LD133" s="1968"/>
      <c r="LE133" s="1968"/>
      <c r="LF133" s="1968"/>
      <c r="LG133" s="1968"/>
      <c r="LH133" s="1968"/>
      <c r="LI133" s="1968"/>
      <c r="LJ133" s="1968"/>
      <c r="LK133" s="1968"/>
      <c r="LL133" s="1968"/>
      <c r="LM133" s="1968"/>
      <c r="LN133" s="1968"/>
      <c r="LO133" s="1968"/>
      <c r="LP133" s="1968"/>
      <c r="LQ133" s="1968"/>
      <c r="LR133" s="1968"/>
      <c r="LS133" s="1968"/>
      <c r="LT133" s="1968"/>
      <c r="LU133" s="1968"/>
      <c r="LV133" s="1968"/>
      <c r="LW133" s="1968"/>
      <c r="LX133" s="1968"/>
      <c r="LY133" s="1968"/>
      <c r="LZ133" s="1968"/>
      <c r="MA133" s="1968"/>
      <c r="MB133" s="1968"/>
      <c r="MC133" s="1968"/>
      <c r="MD133" s="1968"/>
      <c r="ME133" s="1968"/>
      <c r="MF133" s="1968"/>
      <c r="MG133" s="1968"/>
      <c r="MH133" s="1968"/>
      <c r="MI133" s="1968"/>
      <c r="MJ133" s="1968"/>
      <c r="MK133" s="1968"/>
      <c r="ML133" s="1968"/>
      <c r="MM133" s="1968"/>
      <c r="MN133" s="1968"/>
      <c r="MO133" s="1968"/>
      <c r="MP133" s="1968"/>
      <c r="MQ133" s="1968"/>
      <c r="MR133" s="1968"/>
      <c r="MS133" s="1968"/>
      <c r="MT133" s="1968"/>
      <c r="MU133" s="1968"/>
      <c r="MV133" s="1968"/>
      <c r="MW133" s="1968"/>
      <c r="MX133" s="1968"/>
      <c r="MY133" s="1968"/>
      <c r="MZ133" s="1968"/>
      <c r="NA133" s="1968"/>
      <c r="NB133" s="1968"/>
      <c r="NC133" s="1968"/>
      <c r="ND133" s="1968"/>
      <c r="NE133" s="1968"/>
      <c r="NF133" s="1968"/>
      <c r="NG133" s="1968"/>
      <c r="NH133" s="1968"/>
      <c r="NI133" s="1968"/>
      <c r="NJ133" s="1968"/>
      <c r="NK133" s="1968"/>
      <c r="NL133" s="1968"/>
      <c r="NM133" s="1968"/>
      <c r="NN133" s="1968"/>
      <c r="NO133" s="1968"/>
      <c r="NP133" s="1968"/>
      <c r="NQ133" s="1968"/>
      <c r="NR133" s="1968"/>
      <c r="NS133" s="1968"/>
      <c r="NT133" s="1968"/>
      <c r="NU133" s="1968"/>
      <c r="NV133" s="1968"/>
      <c r="NW133" s="1968"/>
      <c r="NX133" s="1968"/>
      <c r="NY133" s="1968"/>
      <c r="NZ133" s="1968"/>
      <c r="OA133" s="1968"/>
      <c r="OB133" s="1968"/>
      <c r="OC133" s="1968"/>
      <c r="OD133" s="1968"/>
      <c r="OE133" s="1968"/>
    </row>
    <row r="134" spans="1:395">
      <c r="A134" s="1968"/>
      <c r="B134" s="1968"/>
      <c r="C134" s="1968"/>
      <c r="D134" s="1968"/>
      <c r="E134" s="1968"/>
      <c r="F134" s="1968"/>
      <c r="G134" s="1968"/>
      <c r="H134" s="1968"/>
      <c r="I134" s="1968"/>
      <c r="J134" s="1968"/>
      <c r="K134" s="1968"/>
      <c r="L134" s="1968"/>
      <c r="M134" s="1968"/>
      <c r="N134" s="1968"/>
      <c r="O134" s="1968"/>
      <c r="P134" s="1968"/>
      <c r="Q134" s="1968"/>
      <c r="R134" s="1968"/>
      <c r="S134" s="1968"/>
      <c r="T134" s="1968"/>
      <c r="U134" s="1968"/>
      <c r="V134" s="1968"/>
      <c r="W134" s="1968"/>
      <c r="X134" s="1968"/>
      <c r="Y134" s="1968"/>
      <c r="Z134" s="1968"/>
      <c r="AA134" s="1968"/>
      <c r="AB134" s="1968"/>
      <c r="AC134" s="1968"/>
      <c r="AD134" s="1968"/>
      <c r="AE134" s="1968"/>
      <c r="AF134" s="1968"/>
      <c r="AG134" s="1968"/>
      <c r="AH134" s="1968"/>
      <c r="AI134" s="1968"/>
      <c r="AJ134" s="1968"/>
      <c r="AK134" s="1968"/>
      <c r="AL134" s="1968"/>
      <c r="AM134" s="1968"/>
      <c r="AN134" s="1968"/>
      <c r="AO134" s="1968"/>
      <c r="AP134" s="1968"/>
      <c r="AQ134" s="1968"/>
      <c r="AR134" s="1968"/>
      <c r="AS134" s="1968"/>
      <c r="AT134" s="1968"/>
      <c r="AU134" s="1968"/>
      <c r="AV134" s="1968"/>
      <c r="AW134" s="1968"/>
      <c r="AX134" s="1968"/>
      <c r="AY134" s="1968"/>
      <c r="AZ134" s="1968"/>
      <c r="BA134" s="1968"/>
      <c r="BB134" s="1968"/>
      <c r="BC134" s="1968"/>
      <c r="BD134" s="1968"/>
      <c r="BE134" s="1968"/>
      <c r="BF134" s="1968"/>
      <c r="BG134" s="1968"/>
      <c r="BH134" s="1968"/>
      <c r="BI134" s="1968"/>
      <c r="BJ134" s="1968"/>
      <c r="BK134" s="1968"/>
      <c r="BL134" s="1968"/>
      <c r="BM134" s="1968"/>
      <c r="BN134" s="1968"/>
      <c r="BO134" s="1968"/>
      <c r="BP134" s="1968"/>
      <c r="BQ134" s="1968"/>
      <c r="BR134" s="1968"/>
      <c r="BS134" s="1968"/>
      <c r="BT134" s="1968"/>
      <c r="BU134" s="1968"/>
      <c r="BV134" s="1968"/>
      <c r="BW134" s="1968"/>
      <c r="BX134" s="1968"/>
      <c r="BY134" s="1968"/>
      <c r="BZ134" s="1968"/>
      <c r="CA134" s="1968"/>
      <c r="CB134" s="1968"/>
      <c r="CC134" s="1968"/>
      <c r="CD134" s="1968"/>
      <c r="CE134" s="1968"/>
      <c r="CF134" s="1968"/>
      <c r="CG134" s="1968"/>
      <c r="CH134" s="1968"/>
      <c r="CI134" s="1968"/>
      <c r="CJ134" s="1968"/>
      <c r="CK134" s="1968"/>
      <c r="CL134" s="1968"/>
      <c r="CM134" s="1968"/>
      <c r="CN134" s="1968"/>
      <c r="CO134" s="1968"/>
      <c r="CP134" s="1968"/>
      <c r="CQ134" s="1968"/>
      <c r="CR134" s="1968"/>
      <c r="CS134" s="1968"/>
      <c r="CT134" s="1968"/>
      <c r="CU134" s="1968"/>
      <c r="CV134" s="1968"/>
      <c r="CW134" s="1968"/>
      <c r="CX134" s="1968"/>
      <c r="CY134" s="1968"/>
      <c r="CZ134" s="1968"/>
      <c r="DA134" s="1968"/>
      <c r="DB134" s="1968"/>
      <c r="DC134" s="1968"/>
      <c r="DD134" s="1968"/>
      <c r="DE134" s="1968"/>
      <c r="DF134" s="1968"/>
      <c r="DG134" s="1968"/>
      <c r="DH134" s="1968"/>
      <c r="DI134" s="1968"/>
      <c r="DJ134" s="1968"/>
      <c r="DK134" s="1968"/>
      <c r="DL134" s="1968"/>
      <c r="DM134" s="1968"/>
      <c r="DN134" s="1968"/>
      <c r="DO134" s="1968"/>
      <c r="DP134" s="1968"/>
      <c r="DQ134" s="1968"/>
      <c r="DR134" s="1968"/>
      <c r="DS134" s="1968"/>
      <c r="DT134" s="1968"/>
      <c r="DU134" s="1968"/>
      <c r="DV134" s="1968"/>
      <c r="DW134" s="1968"/>
      <c r="DX134" s="1968"/>
      <c r="DY134" s="1968"/>
      <c r="DZ134" s="1968"/>
      <c r="EA134" s="1968"/>
      <c r="EB134" s="1968"/>
      <c r="EC134" s="1968"/>
      <c r="ED134" s="1968"/>
      <c r="EE134" s="1968"/>
      <c r="EF134" s="1968"/>
      <c r="EG134" s="1968"/>
      <c r="EH134" s="1968"/>
      <c r="EI134" s="1968"/>
      <c r="EJ134" s="1968"/>
      <c r="EK134" s="1968"/>
      <c r="EL134" s="1968"/>
      <c r="EM134" s="1968"/>
      <c r="EN134" s="1968"/>
      <c r="EO134" s="1968"/>
      <c r="EP134" s="1968"/>
      <c r="EQ134" s="1968"/>
      <c r="ER134" s="1968"/>
      <c r="ES134" s="1968"/>
      <c r="ET134" s="1968"/>
      <c r="EU134" s="1968"/>
      <c r="EV134" s="1968"/>
      <c r="EW134" s="1968"/>
      <c r="EX134" s="1968"/>
      <c r="EY134" s="1968"/>
      <c r="EZ134" s="1968"/>
      <c r="FA134" s="1968"/>
      <c r="FB134" s="1968"/>
      <c r="FC134" s="1968"/>
      <c r="FD134" s="1968"/>
      <c r="FE134" s="1968"/>
      <c r="FF134" s="1968"/>
      <c r="FG134" s="1968"/>
      <c r="FH134" s="1968"/>
      <c r="FI134" s="1968"/>
      <c r="FJ134" s="1968"/>
      <c r="FK134" s="1968"/>
      <c r="FL134" s="1968"/>
      <c r="FM134" s="1968"/>
      <c r="FN134" s="1968"/>
      <c r="FO134" s="1968"/>
      <c r="FP134" s="1968"/>
      <c r="FQ134" s="1968"/>
      <c r="FR134" s="1968"/>
      <c r="FS134" s="1968"/>
      <c r="FT134" s="1968"/>
      <c r="FU134" s="1968"/>
      <c r="FV134" s="1968"/>
      <c r="FW134" s="1968"/>
      <c r="FX134" s="1968"/>
      <c r="FY134" s="1968"/>
      <c r="FZ134" s="1968"/>
      <c r="GA134" s="1968"/>
      <c r="GB134" s="1968"/>
      <c r="GC134" s="1968"/>
      <c r="GD134" s="1968"/>
      <c r="GE134" s="1968"/>
      <c r="GF134" s="1968"/>
      <c r="GG134" s="1968"/>
      <c r="GH134" s="1968"/>
      <c r="GI134" s="1968"/>
      <c r="GJ134" s="1968"/>
      <c r="GK134" s="1968"/>
      <c r="GL134" s="1968"/>
      <c r="GM134" s="1968"/>
      <c r="GN134" s="1968"/>
      <c r="GO134" s="1968"/>
      <c r="GP134" s="1968"/>
      <c r="GQ134" s="1968"/>
      <c r="GR134" s="1968"/>
      <c r="GS134" s="1968"/>
      <c r="GT134" s="1968"/>
      <c r="GU134" s="1968"/>
      <c r="GV134" s="1968"/>
      <c r="GW134" s="1968"/>
      <c r="GX134" s="1968"/>
      <c r="GY134" s="1968"/>
      <c r="GZ134" s="1968"/>
      <c r="HA134" s="1968"/>
      <c r="HB134" s="1968"/>
      <c r="HC134" s="1968"/>
      <c r="HD134" s="1968"/>
      <c r="HE134" s="1968"/>
      <c r="HF134" s="1968"/>
      <c r="HG134" s="1968"/>
      <c r="HH134" s="1968"/>
      <c r="HI134" s="1968"/>
      <c r="HJ134" s="1968"/>
      <c r="HK134" s="1968"/>
      <c r="HL134" s="1968"/>
      <c r="HM134" s="1968"/>
      <c r="HN134" s="1968"/>
      <c r="HO134" s="1968"/>
      <c r="HP134" s="1968"/>
      <c r="HQ134" s="1968"/>
      <c r="HR134" s="1968"/>
      <c r="HS134" s="1968"/>
      <c r="HT134" s="1968"/>
      <c r="HU134" s="1968"/>
      <c r="HV134" s="1968"/>
      <c r="HW134" s="1968"/>
      <c r="HX134" s="1968"/>
      <c r="HY134" s="1968"/>
      <c r="HZ134" s="1968"/>
      <c r="IA134" s="1968"/>
      <c r="IB134" s="1968"/>
      <c r="IC134" s="1968"/>
      <c r="ID134" s="1968"/>
      <c r="IE134" s="1968"/>
      <c r="IF134" s="1968"/>
      <c r="IG134" s="1968"/>
      <c r="IH134" s="1968"/>
      <c r="II134" s="1968"/>
      <c r="IJ134" s="1968"/>
      <c r="IK134" s="1968"/>
      <c r="IL134" s="1968"/>
      <c r="IM134" s="1968"/>
      <c r="IN134" s="1968"/>
      <c r="IO134" s="1968"/>
      <c r="IP134" s="1968"/>
      <c r="IQ134" s="1968"/>
      <c r="IR134" s="1968"/>
      <c r="IS134" s="1968"/>
      <c r="IT134" s="1968"/>
      <c r="IU134" s="1968"/>
      <c r="IV134" s="1968"/>
      <c r="IW134" s="1968"/>
      <c r="IX134" s="1968"/>
      <c r="IY134" s="1968"/>
      <c r="IZ134" s="1968"/>
      <c r="JA134" s="1968"/>
      <c r="JB134" s="1968"/>
      <c r="JC134" s="1968"/>
      <c r="JD134" s="1968"/>
      <c r="JE134" s="1968"/>
      <c r="JF134" s="1968"/>
      <c r="JG134" s="1968"/>
      <c r="JH134" s="1968"/>
      <c r="JI134" s="1968"/>
      <c r="JJ134" s="1968"/>
      <c r="JK134" s="1968"/>
      <c r="JL134" s="1968"/>
      <c r="JM134" s="1968"/>
      <c r="JN134" s="1968"/>
      <c r="JO134" s="1968"/>
      <c r="JP134" s="1968"/>
      <c r="JQ134" s="1968"/>
      <c r="JR134" s="1968"/>
      <c r="JS134" s="1968"/>
      <c r="JT134" s="1968"/>
      <c r="JU134" s="1968"/>
      <c r="JV134" s="1968"/>
      <c r="JW134" s="1968"/>
      <c r="JX134" s="1968"/>
      <c r="JY134" s="1968"/>
      <c r="JZ134" s="1968"/>
      <c r="KA134" s="1968"/>
      <c r="KB134" s="1968"/>
      <c r="KC134" s="1968"/>
      <c r="KD134" s="1968"/>
      <c r="KE134" s="1968"/>
      <c r="KF134" s="1968"/>
      <c r="KG134" s="1968"/>
      <c r="KH134" s="1968"/>
      <c r="KI134" s="1968"/>
      <c r="KJ134" s="1968"/>
      <c r="KK134" s="1968"/>
      <c r="KL134" s="1968"/>
      <c r="KM134" s="1968"/>
      <c r="KN134" s="1968"/>
      <c r="KO134" s="1968"/>
      <c r="KP134" s="1968"/>
      <c r="KQ134" s="1968"/>
      <c r="KR134" s="1968"/>
      <c r="KS134" s="1968"/>
      <c r="KT134" s="1968"/>
      <c r="KU134" s="1968"/>
      <c r="KV134" s="1968"/>
      <c r="KW134" s="1968"/>
      <c r="KX134" s="1968"/>
      <c r="KY134" s="1968"/>
      <c r="KZ134" s="1968"/>
      <c r="LA134" s="1968"/>
      <c r="LB134" s="1968"/>
      <c r="LC134" s="1968"/>
      <c r="LD134" s="1968"/>
      <c r="LE134" s="1968"/>
      <c r="LF134" s="1968"/>
      <c r="LG134" s="1968"/>
      <c r="LH134" s="1968"/>
      <c r="LI134" s="1968"/>
      <c r="LJ134" s="1968"/>
      <c r="LK134" s="1968"/>
      <c r="LL134" s="1968"/>
      <c r="LM134" s="1968"/>
      <c r="LN134" s="1968"/>
      <c r="LO134" s="1968"/>
      <c r="LP134" s="1968"/>
      <c r="LQ134" s="1968"/>
      <c r="LR134" s="1968"/>
      <c r="LS134" s="1968"/>
      <c r="LT134" s="1968"/>
      <c r="LU134" s="1968"/>
      <c r="LV134" s="1968"/>
      <c r="LW134" s="1968"/>
      <c r="LX134" s="1968"/>
      <c r="LY134" s="1968"/>
      <c r="LZ134" s="1968"/>
      <c r="MA134" s="1968"/>
      <c r="MB134" s="1968"/>
      <c r="MC134" s="1968"/>
      <c r="MD134" s="1968"/>
      <c r="ME134" s="1968"/>
      <c r="MF134" s="1968"/>
      <c r="MG134" s="1968"/>
      <c r="MH134" s="1968"/>
      <c r="MI134" s="1968"/>
      <c r="MJ134" s="1968"/>
      <c r="MK134" s="1968"/>
      <c r="ML134" s="1968"/>
      <c r="MM134" s="1968"/>
      <c r="MN134" s="1968"/>
      <c r="MO134" s="1968"/>
      <c r="MP134" s="1968"/>
      <c r="MQ134" s="1968"/>
      <c r="MR134" s="1968"/>
      <c r="MS134" s="1968"/>
      <c r="MT134" s="1968"/>
      <c r="MU134" s="1968"/>
      <c r="MV134" s="1968"/>
      <c r="MW134" s="1968"/>
      <c r="MX134" s="1968"/>
      <c r="MY134" s="1968"/>
      <c r="MZ134" s="1968"/>
      <c r="NA134" s="1968"/>
      <c r="NB134" s="1968"/>
      <c r="NC134" s="1968"/>
      <c r="ND134" s="1968"/>
      <c r="NE134" s="1968"/>
      <c r="NF134" s="1968"/>
      <c r="NG134" s="1968"/>
      <c r="NH134" s="1968"/>
      <c r="NI134" s="1968"/>
      <c r="NJ134" s="1968"/>
      <c r="NK134" s="1968"/>
      <c r="NL134" s="1968"/>
      <c r="NM134" s="1968"/>
      <c r="NN134" s="1968"/>
      <c r="NO134" s="1968"/>
      <c r="NP134" s="1968"/>
      <c r="NQ134" s="1968"/>
      <c r="NR134" s="1968"/>
      <c r="NS134" s="1968"/>
      <c r="NT134" s="1968"/>
      <c r="NU134" s="1968"/>
      <c r="NV134" s="1968"/>
      <c r="NW134" s="1968"/>
      <c r="NX134" s="1968"/>
      <c r="NY134" s="1968"/>
      <c r="NZ134" s="1968"/>
      <c r="OA134" s="1968"/>
      <c r="OB134" s="1968"/>
      <c r="OC134" s="1968"/>
      <c r="OD134" s="1968"/>
      <c r="OE134" s="1968"/>
    </row>
    <row r="135" spans="1:395">
      <c r="A135" s="1968"/>
      <c r="B135" s="1968"/>
      <c r="C135" s="1968"/>
      <c r="D135" s="1968"/>
      <c r="E135" s="1968"/>
      <c r="F135" s="1968"/>
      <c r="G135" s="1968"/>
      <c r="H135" s="1968"/>
      <c r="I135" s="1968"/>
      <c r="J135" s="1968"/>
      <c r="K135" s="1968"/>
      <c r="L135" s="1968"/>
      <c r="M135" s="1968"/>
      <c r="N135" s="1968"/>
      <c r="O135" s="1968"/>
      <c r="P135" s="1968"/>
      <c r="Q135" s="1968"/>
      <c r="R135" s="1968"/>
      <c r="S135" s="1968"/>
      <c r="T135" s="1968"/>
      <c r="U135" s="1968"/>
      <c r="V135" s="1968"/>
      <c r="W135" s="1968"/>
      <c r="X135" s="1968"/>
      <c r="Y135" s="1968"/>
      <c r="Z135" s="1968"/>
      <c r="AA135" s="1968"/>
      <c r="AB135" s="1968"/>
      <c r="AC135" s="1968"/>
      <c r="AD135" s="1968"/>
      <c r="AE135" s="1968"/>
      <c r="AF135" s="1968"/>
      <c r="AG135" s="1968"/>
      <c r="AH135" s="1968"/>
      <c r="AI135" s="1968"/>
      <c r="AJ135" s="1968"/>
      <c r="AK135" s="1968"/>
      <c r="AL135" s="1968"/>
      <c r="AM135" s="1968"/>
      <c r="AN135" s="1968"/>
      <c r="AO135" s="1968"/>
      <c r="AP135" s="1968"/>
      <c r="AQ135" s="1968"/>
      <c r="AR135" s="1968"/>
      <c r="AS135" s="1968"/>
      <c r="AT135" s="1968"/>
      <c r="AU135" s="1968"/>
      <c r="AV135" s="1968"/>
      <c r="AW135" s="1968"/>
      <c r="AX135" s="1968"/>
      <c r="AY135" s="1968"/>
      <c r="AZ135" s="1968"/>
      <c r="BA135" s="1968"/>
      <c r="BB135" s="1968"/>
      <c r="BC135" s="1968"/>
      <c r="BD135" s="1968"/>
      <c r="BE135" s="1968"/>
      <c r="BF135" s="1968"/>
      <c r="BG135" s="1968"/>
      <c r="BH135" s="1968"/>
      <c r="BI135" s="1968"/>
      <c r="BJ135" s="1968"/>
      <c r="BK135" s="1968"/>
      <c r="BL135" s="1968"/>
      <c r="BM135" s="1968"/>
      <c r="BN135" s="1968"/>
      <c r="BO135" s="1968"/>
      <c r="BP135" s="1968"/>
      <c r="BQ135" s="1968"/>
      <c r="BR135" s="1968"/>
      <c r="BS135" s="1968"/>
      <c r="BT135" s="1968"/>
      <c r="BU135" s="1968"/>
      <c r="BV135" s="1968"/>
      <c r="BW135" s="1968"/>
      <c r="BX135" s="1968"/>
      <c r="BY135" s="1968"/>
      <c r="BZ135" s="1968"/>
      <c r="CA135" s="1968"/>
      <c r="CB135" s="1968"/>
      <c r="CC135" s="1968"/>
      <c r="CD135" s="1968"/>
      <c r="CE135" s="1968"/>
      <c r="CF135" s="1968"/>
      <c r="CG135" s="1968"/>
      <c r="CH135" s="1968"/>
      <c r="CI135" s="1968"/>
      <c r="CJ135" s="1968"/>
      <c r="CK135" s="1968"/>
      <c r="CL135" s="1968"/>
      <c r="CM135" s="1968"/>
      <c r="CN135" s="1968"/>
      <c r="CO135" s="1968"/>
      <c r="CP135" s="1968"/>
      <c r="CQ135" s="1968"/>
      <c r="CR135" s="1968"/>
      <c r="CS135" s="1968"/>
      <c r="CT135" s="1968"/>
      <c r="CU135" s="1968"/>
      <c r="CV135" s="1968"/>
      <c r="CW135" s="1968"/>
      <c r="CX135" s="1968"/>
      <c r="CY135" s="1968"/>
      <c r="CZ135" s="1968"/>
      <c r="DA135" s="1968"/>
      <c r="DB135" s="1968"/>
      <c r="DC135" s="1968"/>
      <c r="DD135" s="1968"/>
      <c r="DE135" s="1968"/>
      <c r="DF135" s="1968"/>
      <c r="DG135" s="1968"/>
      <c r="DH135" s="1968"/>
      <c r="DI135" s="1968"/>
      <c r="DJ135" s="1968"/>
      <c r="DK135" s="1968"/>
      <c r="DL135" s="1968"/>
      <c r="DM135" s="1968"/>
      <c r="DN135" s="1968"/>
      <c r="DO135" s="1968"/>
      <c r="DP135" s="1968"/>
      <c r="DQ135" s="1968"/>
      <c r="DR135" s="1968"/>
      <c r="DS135" s="1968"/>
      <c r="DT135" s="1968"/>
      <c r="DU135" s="1968"/>
      <c r="DV135" s="1968"/>
      <c r="DW135" s="1968"/>
      <c r="DX135" s="1968"/>
      <c r="DY135" s="1968"/>
      <c r="DZ135" s="1968"/>
      <c r="EA135" s="1968"/>
      <c r="EB135" s="1968"/>
      <c r="EC135" s="1968"/>
      <c r="ED135" s="1968"/>
      <c r="EE135" s="1968"/>
      <c r="EF135" s="1968"/>
      <c r="EG135" s="1968"/>
      <c r="EH135" s="1968"/>
      <c r="EI135" s="1968"/>
      <c r="EJ135" s="1968"/>
      <c r="EK135" s="1968"/>
      <c r="EL135" s="1968"/>
      <c r="EM135" s="1968"/>
      <c r="EN135" s="1968"/>
      <c r="EO135" s="1968"/>
      <c r="EP135" s="1968"/>
      <c r="EQ135" s="1968"/>
      <c r="ER135" s="1968"/>
      <c r="ES135" s="1968"/>
      <c r="ET135" s="1968"/>
      <c r="EU135" s="1968"/>
      <c r="EV135" s="1968"/>
      <c r="EW135" s="1968"/>
      <c r="EX135" s="1968"/>
      <c r="EY135" s="1968"/>
      <c r="EZ135" s="1968"/>
      <c r="FA135" s="1968"/>
      <c r="FB135" s="1968"/>
      <c r="FC135" s="1968"/>
      <c r="FD135" s="1968"/>
      <c r="FE135" s="1968"/>
      <c r="FF135" s="1968"/>
      <c r="FG135" s="1968"/>
      <c r="FH135" s="1968"/>
      <c r="FI135" s="1968"/>
      <c r="FJ135" s="1968"/>
      <c r="FK135" s="1968"/>
      <c r="FL135" s="1968"/>
      <c r="FM135" s="1968"/>
      <c r="FN135" s="1968"/>
      <c r="FO135" s="1968"/>
      <c r="FP135" s="1968"/>
      <c r="FQ135" s="1968"/>
      <c r="FR135" s="1968"/>
      <c r="FS135" s="1968"/>
      <c r="FT135" s="1968"/>
      <c r="FU135" s="1968"/>
      <c r="FV135" s="1968"/>
      <c r="FW135" s="1968"/>
      <c r="FX135" s="1968"/>
      <c r="FY135" s="1968"/>
      <c r="FZ135" s="1968"/>
      <c r="GA135" s="1968"/>
      <c r="GB135" s="1968"/>
      <c r="GC135" s="1968"/>
      <c r="GD135" s="1968"/>
      <c r="GE135" s="1968"/>
      <c r="GF135" s="1968"/>
      <c r="GG135" s="1968"/>
      <c r="GH135" s="1968"/>
      <c r="GI135" s="1968"/>
      <c r="GJ135" s="1968"/>
      <c r="GK135" s="1968"/>
      <c r="GL135" s="1968"/>
      <c r="GM135" s="1968"/>
      <c r="GN135" s="1968"/>
      <c r="GO135" s="1968"/>
      <c r="GP135" s="1968"/>
      <c r="GQ135" s="1968"/>
      <c r="GR135" s="1968"/>
      <c r="GS135" s="1968"/>
      <c r="GT135" s="1968"/>
      <c r="GU135" s="1968"/>
      <c r="GV135" s="1968"/>
      <c r="GW135" s="1968"/>
      <c r="GX135" s="1968"/>
      <c r="GY135" s="1968"/>
      <c r="GZ135" s="1968"/>
      <c r="HA135" s="1968"/>
      <c r="HB135" s="1968"/>
      <c r="HC135" s="1968"/>
      <c r="HD135" s="1968"/>
      <c r="HE135" s="1968"/>
      <c r="HF135" s="1968"/>
      <c r="HG135" s="1968"/>
      <c r="HH135" s="1968"/>
      <c r="HI135" s="1968"/>
      <c r="HJ135" s="1968"/>
      <c r="HK135" s="1968"/>
      <c r="HL135" s="1968"/>
      <c r="HM135" s="1968"/>
      <c r="HN135" s="1968"/>
      <c r="HO135" s="1968"/>
      <c r="HP135" s="1968"/>
      <c r="HQ135" s="1968"/>
      <c r="HR135" s="1968"/>
      <c r="HS135" s="1968"/>
      <c r="HT135" s="1968"/>
      <c r="HU135" s="1968"/>
      <c r="HV135" s="1968"/>
      <c r="HW135" s="1968"/>
      <c r="HX135" s="1968"/>
      <c r="HY135" s="1968"/>
      <c r="HZ135" s="1968"/>
      <c r="IA135" s="1968"/>
      <c r="IB135" s="1968"/>
      <c r="IC135" s="1968"/>
      <c r="ID135" s="1968"/>
      <c r="IE135" s="1968"/>
      <c r="IF135" s="1968"/>
      <c r="IG135" s="1968"/>
      <c r="IH135" s="1968"/>
      <c r="II135" s="1968"/>
      <c r="IJ135" s="1968"/>
      <c r="IK135" s="1968"/>
      <c r="IL135" s="1968"/>
      <c r="IM135" s="1968"/>
      <c r="IN135" s="1968"/>
      <c r="IO135" s="1968"/>
      <c r="IP135" s="1968"/>
      <c r="IQ135" s="1968"/>
      <c r="IR135" s="1968"/>
      <c r="IS135" s="1968"/>
      <c r="IT135" s="1968"/>
      <c r="IU135" s="1968"/>
      <c r="IV135" s="1968"/>
      <c r="IW135" s="1968"/>
      <c r="IX135" s="1968"/>
      <c r="IY135" s="1968"/>
      <c r="IZ135" s="1968"/>
      <c r="JA135" s="1968"/>
      <c r="JB135" s="1968"/>
      <c r="JC135" s="1968"/>
      <c r="JD135" s="1968"/>
      <c r="JE135" s="1968"/>
      <c r="JF135" s="1968"/>
      <c r="JG135" s="1968"/>
      <c r="JH135" s="1968"/>
      <c r="JI135" s="1968"/>
      <c r="JJ135" s="1968"/>
      <c r="JK135" s="1968"/>
      <c r="JL135" s="1968"/>
      <c r="JM135" s="1968"/>
      <c r="JN135" s="1968"/>
      <c r="JO135" s="1968"/>
      <c r="JP135" s="1968"/>
      <c r="JQ135" s="1968"/>
      <c r="JR135" s="1968"/>
      <c r="JS135" s="1968"/>
      <c r="JT135" s="1968"/>
      <c r="JU135" s="1968"/>
      <c r="JV135" s="1968"/>
      <c r="JW135" s="1968"/>
      <c r="JX135" s="1968"/>
      <c r="JY135" s="1968"/>
      <c r="JZ135" s="1968"/>
      <c r="KA135" s="1968"/>
      <c r="KB135" s="1968"/>
      <c r="KC135" s="1968"/>
      <c r="KD135" s="1968"/>
      <c r="KE135" s="1968"/>
      <c r="KF135" s="1968"/>
      <c r="KG135" s="1968"/>
      <c r="KH135" s="1968"/>
      <c r="KI135" s="1968"/>
      <c r="KJ135" s="1968"/>
      <c r="KK135" s="1968"/>
      <c r="KL135" s="1968"/>
      <c r="KM135" s="1968"/>
      <c r="KN135" s="1968"/>
      <c r="KO135" s="1968"/>
      <c r="KP135" s="1968"/>
      <c r="KQ135" s="1968"/>
      <c r="KR135" s="1968"/>
      <c r="KS135" s="1968"/>
      <c r="KT135" s="1968"/>
      <c r="KU135" s="1968"/>
      <c r="KV135" s="1968"/>
      <c r="KW135" s="1968"/>
      <c r="KX135" s="1968"/>
      <c r="KY135" s="1968"/>
      <c r="KZ135" s="1968"/>
      <c r="LA135" s="1968"/>
      <c r="LB135" s="1968"/>
      <c r="LC135" s="1968"/>
      <c r="LD135" s="1968"/>
      <c r="LE135" s="1968"/>
      <c r="LF135" s="1968"/>
      <c r="LG135" s="1968"/>
      <c r="LH135" s="1968"/>
      <c r="LI135" s="1968"/>
      <c r="LJ135" s="1968"/>
      <c r="LK135" s="1968"/>
      <c r="LL135" s="1968"/>
      <c r="LM135" s="1968"/>
      <c r="LN135" s="1968"/>
      <c r="LO135" s="1968"/>
      <c r="LP135" s="1968"/>
      <c r="LQ135" s="1968"/>
      <c r="LR135" s="1968"/>
      <c r="LS135" s="1968"/>
      <c r="LT135" s="1968"/>
      <c r="LU135" s="1968"/>
      <c r="LV135" s="1968"/>
      <c r="LW135" s="1968"/>
      <c r="LX135" s="1968"/>
      <c r="LY135" s="1968"/>
      <c r="LZ135" s="1968"/>
      <c r="MA135" s="1968"/>
      <c r="MB135" s="1968"/>
      <c r="MC135" s="1968"/>
      <c r="MD135" s="1968"/>
      <c r="ME135" s="1968"/>
      <c r="MF135" s="1968"/>
      <c r="MG135" s="1968"/>
      <c r="MH135" s="1968"/>
      <c r="MI135" s="1968"/>
      <c r="MJ135" s="1968"/>
      <c r="MK135" s="1968"/>
      <c r="ML135" s="1968"/>
      <c r="MM135" s="1968"/>
      <c r="MN135" s="1968"/>
      <c r="MO135" s="1968"/>
      <c r="MP135" s="1968"/>
      <c r="MQ135" s="1968"/>
      <c r="MR135" s="1968"/>
      <c r="MS135" s="1968"/>
      <c r="MT135" s="1968"/>
      <c r="MU135" s="1968"/>
      <c r="MV135" s="1968"/>
      <c r="MW135" s="1968"/>
      <c r="MX135" s="1968"/>
      <c r="MY135" s="1968"/>
      <c r="MZ135" s="1968"/>
      <c r="NA135" s="1968"/>
      <c r="NB135" s="1968"/>
      <c r="NC135" s="1968"/>
      <c r="ND135" s="1968"/>
      <c r="NE135" s="1968"/>
      <c r="NF135" s="1968"/>
      <c r="NG135" s="1968"/>
      <c r="NH135" s="1968"/>
      <c r="NI135" s="1968"/>
      <c r="NJ135" s="1968"/>
      <c r="NK135" s="1968"/>
      <c r="NL135" s="1968"/>
      <c r="NM135" s="1968"/>
      <c r="NN135" s="1968"/>
      <c r="NO135" s="1968"/>
      <c r="NP135" s="1968"/>
      <c r="NQ135" s="1968"/>
      <c r="NR135" s="1968"/>
      <c r="NS135" s="1968"/>
      <c r="NT135" s="1968"/>
      <c r="NU135" s="1968"/>
      <c r="NV135" s="1968"/>
      <c r="NW135" s="1968"/>
      <c r="NX135" s="1968"/>
      <c r="NY135" s="1968"/>
      <c r="NZ135" s="1968"/>
      <c r="OA135" s="1968"/>
      <c r="OB135" s="1968"/>
      <c r="OC135" s="1968"/>
      <c r="OD135" s="1968"/>
      <c r="OE135" s="1968"/>
    </row>
    <row r="136" spans="1:395">
      <c r="A136" s="1968"/>
      <c r="B136" s="1968"/>
      <c r="C136" s="1968"/>
      <c r="D136" s="1968"/>
      <c r="E136" s="1968"/>
      <c r="F136" s="1968"/>
      <c r="G136" s="1968"/>
      <c r="H136" s="1968"/>
      <c r="I136" s="1968"/>
      <c r="J136" s="1968"/>
      <c r="K136" s="1968"/>
      <c r="L136" s="1968"/>
      <c r="M136" s="1968"/>
      <c r="N136" s="1968"/>
      <c r="O136" s="1968"/>
      <c r="P136" s="1968"/>
      <c r="Q136" s="1968"/>
      <c r="R136" s="1968"/>
      <c r="S136" s="1968"/>
      <c r="T136" s="1968"/>
      <c r="U136" s="1968"/>
      <c r="V136" s="1968"/>
      <c r="W136" s="1968"/>
      <c r="X136" s="1968"/>
      <c r="Y136" s="1968"/>
      <c r="Z136" s="1968"/>
      <c r="AA136" s="1968"/>
      <c r="AB136" s="1968"/>
      <c r="AC136" s="1968"/>
      <c r="AD136" s="1968"/>
      <c r="AE136" s="1968"/>
      <c r="AF136" s="1968"/>
      <c r="AG136" s="1968"/>
      <c r="AH136" s="1968"/>
      <c r="AI136" s="1968"/>
      <c r="AJ136" s="1968"/>
      <c r="AK136" s="1968"/>
      <c r="AL136" s="1968"/>
      <c r="AM136" s="1968"/>
      <c r="AN136" s="1968"/>
      <c r="AO136" s="1968"/>
      <c r="AP136" s="1968"/>
      <c r="AQ136" s="1968"/>
      <c r="AR136" s="1968"/>
      <c r="AS136" s="1968"/>
      <c r="AT136" s="1968"/>
      <c r="AU136" s="1968"/>
      <c r="AV136" s="1968"/>
      <c r="AW136" s="1968"/>
      <c r="AX136" s="1968"/>
      <c r="AY136" s="1968"/>
      <c r="AZ136" s="1968"/>
      <c r="BA136" s="1968"/>
      <c r="BB136" s="1968"/>
      <c r="BC136" s="1968"/>
      <c r="BD136" s="1968"/>
      <c r="BE136" s="1968"/>
      <c r="BF136" s="1968"/>
      <c r="BG136" s="1968"/>
      <c r="BH136" s="1968"/>
      <c r="BI136" s="1968"/>
      <c r="BJ136" s="1968"/>
      <c r="BK136" s="1968"/>
      <c r="BL136" s="1968"/>
      <c r="BM136" s="1968"/>
      <c r="BN136" s="1968"/>
      <c r="BO136" s="1968"/>
      <c r="BP136" s="1968"/>
      <c r="BQ136" s="1968"/>
      <c r="BR136" s="1968"/>
      <c r="BS136" s="1968"/>
      <c r="BT136" s="1968"/>
      <c r="BU136" s="1968"/>
      <c r="BV136" s="1968"/>
      <c r="BW136" s="1968"/>
      <c r="BX136" s="1968"/>
      <c r="BY136" s="1968"/>
      <c r="BZ136" s="1968"/>
      <c r="CA136" s="1968"/>
      <c r="CB136" s="1968"/>
      <c r="CC136" s="1968"/>
      <c r="CD136" s="1968"/>
      <c r="CE136" s="1968"/>
      <c r="CF136" s="1968"/>
      <c r="CG136" s="1968"/>
      <c r="CH136" s="1968"/>
      <c r="CI136" s="1968"/>
      <c r="CJ136" s="1968"/>
      <c r="CK136" s="1968"/>
      <c r="CL136" s="1968"/>
      <c r="CM136" s="1968"/>
      <c r="CN136" s="1968"/>
      <c r="CO136" s="1968"/>
      <c r="CP136" s="1968"/>
      <c r="CQ136" s="1968"/>
      <c r="CR136" s="1968"/>
      <c r="CS136" s="1968"/>
      <c r="CT136" s="1968"/>
      <c r="CU136" s="1968"/>
      <c r="CV136" s="1968"/>
      <c r="CW136" s="1968"/>
      <c r="CX136" s="1968"/>
      <c r="CY136" s="1968"/>
      <c r="CZ136" s="1968"/>
      <c r="DA136" s="1968"/>
      <c r="DB136" s="1968"/>
      <c r="DC136" s="1968"/>
      <c r="DD136" s="1968"/>
      <c r="DE136" s="1968"/>
      <c r="DF136" s="1968"/>
      <c r="DG136" s="1968"/>
      <c r="DH136" s="1968"/>
      <c r="DI136" s="1968"/>
      <c r="DJ136" s="1968"/>
      <c r="DK136" s="1968"/>
      <c r="DL136" s="1968"/>
      <c r="DM136" s="1968"/>
      <c r="DN136" s="1968"/>
      <c r="DO136" s="1968"/>
      <c r="DP136" s="1968"/>
      <c r="DQ136" s="1968"/>
      <c r="DR136" s="1968"/>
      <c r="DS136" s="1968"/>
      <c r="DT136" s="1968"/>
      <c r="DU136" s="1968"/>
      <c r="DV136" s="1968"/>
      <c r="DW136" s="1968"/>
      <c r="DX136" s="1968"/>
      <c r="DY136" s="1968"/>
      <c r="DZ136" s="1968"/>
      <c r="EA136" s="1968"/>
      <c r="EB136" s="1968"/>
      <c r="EC136" s="1968"/>
      <c r="ED136" s="1968"/>
      <c r="EE136" s="1968"/>
      <c r="EF136" s="1968"/>
      <c r="EG136" s="1968"/>
      <c r="EH136" s="1968"/>
      <c r="EI136" s="1968"/>
      <c r="EJ136" s="1968"/>
      <c r="EK136" s="1968"/>
      <c r="EL136" s="1968"/>
      <c r="EM136" s="1968"/>
      <c r="EN136" s="1968"/>
      <c r="EO136" s="1968"/>
      <c r="EP136" s="1968"/>
      <c r="EQ136" s="1968"/>
      <c r="ER136" s="1968"/>
      <c r="ES136" s="1968"/>
      <c r="ET136" s="1968"/>
      <c r="EU136" s="1968"/>
      <c r="EV136" s="1968"/>
      <c r="EW136" s="1968"/>
      <c r="EX136" s="1968"/>
      <c r="EY136" s="1968"/>
      <c r="EZ136" s="1968"/>
      <c r="FA136" s="1968"/>
      <c r="FB136" s="1968"/>
      <c r="FC136" s="1968"/>
      <c r="FD136" s="1968"/>
      <c r="FE136" s="1968"/>
      <c r="FF136" s="1968"/>
      <c r="FG136" s="1968"/>
      <c r="FH136" s="1968"/>
      <c r="FI136" s="1968"/>
      <c r="FJ136" s="1968"/>
      <c r="FK136" s="1968"/>
      <c r="FL136" s="1968"/>
      <c r="FM136" s="1968"/>
      <c r="FN136" s="1968"/>
      <c r="FO136" s="1968"/>
      <c r="FP136" s="1968"/>
      <c r="FQ136" s="1968"/>
      <c r="FR136" s="1968"/>
      <c r="FS136" s="1968"/>
      <c r="FT136" s="1968"/>
      <c r="FU136" s="1968"/>
      <c r="FV136" s="1968"/>
      <c r="FW136" s="1968"/>
      <c r="FX136" s="1968"/>
      <c r="FY136" s="1968"/>
      <c r="FZ136" s="1968"/>
      <c r="GA136" s="1968"/>
      <c r="GB136" s="1968"/>
      <c r="GC136" s="1968"/>
      <c r="GD136" s="1968"/>
      <c r="GE136" s="1968"/>
      <c r="GF136" s="1968"/>
      <c r="GG136" s="1968"/>
      <c r="GH136" s="1968"/>
      <c r="GI136" s="1968"/>
      <c r="GJ136" s="1968"/>
      <c r="GK136" s="1968"/>
      <c r="GL136" s="1968"/>
      <c r="GM136" s="1968"/>
      <c r="GN136" s="1968"/>
      <c r="GO136" s="1968"/>
      <c r="GP136" s="1968"/>
      <c r="GQ136" s="1968"/>
      <c r="GR136" s="1968"/>
      <c r="GS136" s="1968"/>
      <c r="GT136" s="1968"/>
      <c r="GU136" s="1968"/>
      <c r="GV136" s="1968"/>
      <c r="GW136" s="1968"/>
      <c r="GX136" s="1968"/>
      <c r="GY136" s="1968"/>
      <c r="GZ136" s="1968"/>
      <c r="HA136" s="1968"/>
      <c r="HB136" s="1968"/>
      <c r="HC136" s="1968"/>
      <c r="HD136" s="1968"/>
      <c r="HE136" s="1968"/>
      <c r="HF136" s="1968"/>
      <c r="HG136" s="1968"/>
      <c r="HH136" s="1968"/>
      <c r="HI136" s="1968"/>
      <c r="HJ136" s="1968"/>
      <c r="HK136" s="1968"/>
      <c r="HL136" s="1968"/>
      <c r="HM136" s="1968"/>
      <c r="HN136" s="1968"/>
      <c r="HO136" s="1968"/>
      <c r="HP136" s="1968"/>
      <c r="HQ136" s="1968"/>
      <c r="HR136" s="1968"/>
      <c r="HS136" s="1968"/>
      <c r="HT136" s="1968"/>
      <c r="HU136" s="1968"/>
      <c r="HV136" s="1968"/>
      <c r="HW136" s="1968"/>
      <c r="HX136" s="1968"/>
      <c r="HY136" s="1968"/>
      <c r="HZ136" s="1968"/>
      <c r="IA136" s="1968"/>
      <c r="IB136" s="1968"/>
      <c r="IC136" s="1968"/>
      <c r="ID136" s="1968"/>
      <c r="IE136" s="1968"/>
      <c r="IF136" s="1968"/>
      <c r="IG136" s="1968"/>
      <c r="IH136" s="1968"/>
      <c r="II136" s="1968"/>
      <c r="IJ136" s="1968"/>
      <c r="IK136" s="1968"/>
      <c r="IL136" s="1968"/>
      <c r="IM136" s="1968"/>
      <c r="IN136" s="1968"/>
      <c r="IO136" s="1968"/>
      <c r="IP136" s="1968"/>
      <c r="IQ136" s="1968"/>
      <c r="IR136" s="1968"/>
      <c r="IS136" s="1968"/>
      <c r="IT136" s="1968"/>
      <c r="IU136" s="1968"/>
      <c r="IV136" s="1968"/>
      <c r="IW136" s="1968"/>
      <c r="IX136" s="1968"/>
      <c r="IY136" s="1968"/>
      <c r="IZ136" s="1968"/>
      <c r="JA136" s="1968"/>
      <c r="JB136" s="1968"/>
      <c r="JC136" s="1968"/>
      <c r="JD136" s="1968"/>
      <c r="JE136" s="1968"/>
      <c r="JF136" s="1968"/>
      <c r="JG136" s="1968"/>
      <c r="JH136" s="1968"/>
      <c r="JI136" s="1968"/>
      <c r="JJ136" s="1968"/>
      <c r="JK136" s="1968"/>
      <c r="JL136" s="1968"/>
      <c r="JM136" s="1968"/>
      <c r="JN136" s="1968"/>
      <c r="JO136" s="1968"/>
      <c r="JP136" s="1968"/>
      <c r="JQ136" s="1968"/>
      <c r="JR136" s="1968"/>
      <c r="JS136" s="1968"/>
      <c r="JT136" s="1968"/>
      <c r="JU136" s="1968"/>
      <c r="JV136" s="1968"/>
      <c r="JW136" s="1968"/>
      <c r="JX136" s="1968"/>
      <c r="JY136" s="1968"/>
      <c r="JZ136" s="1968"/>
      <c r="KA136" s="1968"/>
      <c r="KB136" s="1968"/>
      <c r="KC136" s="1968"/>
      <c r="KD136" s="1968"/>
      <c r="KE136" s="1968"/>
      <c r="KF136" s="1968"/>
      <c r="KG136" s="1968"/>
      <c r="KH136" s="1968"/>
      <c r="KI136" s="1968"/>
      <c r="KJ136" s="1968"/>
      <c r="KK136" s="1968"/>
      <c r="KL136" s="1968"/>
      <c r="KM136" s="1968"/>
      <c r="KN136" s="1968"/>
      <c r="KO136" s="1968"/>
      <c r="KP136" s="1968"/>
      <c r="KQ136" s="1968"/>
      <c r="KR136" s="1968"/>
      <c r="KS136" s="1968"/>
      <c r="KT136" s="1968"/>
      <c r="KU136" s="1968"/>
      <c r="KV136" s="1968"/>
      <c r="KW136" s="1968"/>
      <c r="KX136" s="1968"/>
      <c r="KY136" s="1968"/>
      <c r="KZ136" s="1968"/>
      <c r="LA136" s="1968"/>
      <c r="LB136" s="1968"/>
      <c r="LC136" s="1968"/>
      <c r="LD136" s="1968"/>
      <c r="LE136" s="1968"/>
      <c r="LF136" s="1968"/>
      <c r="LG136" s="1968"/>
      <c r="LH136" s="1968"/>
      <c r="LI136" s="1968"/>
      <c r="LJ136" s="1968"/>
      <c r="LK136" s="1968"/>
      <c r="LL136" s="1968"/>
      <c r="LM136" s="1968"/>
      <c r="LN136" s="1968"/>
      <c r="LO136" s="1968"/>
      <c r="LP136" s="1968"/>
      <c r="LQ136" s="1968"/>
      <c r="LR136" s="1968"/>
      <c r="LS136" s="1968"/>
      <c r="LT136" s="1968"/>
      <c r="LU136" s="1968"/>
      <c r="LV136" s="1968"/>
      <c r="LW136" s="1968"/>
      <c r="LX136" s="1968"/>
      <c r="LY136" s="1968"/>
      <c r="LZ136" s="1968"/>
      <c r="MA136" s="1968"/>
      <c r="MB136" s="1968"/>
      <c r="MC136" s="1968"/>
      <c r="MD136" s="1968"/>
      <c r="ME136" s="1968"/>
      <c r="MF136" s="1968"/>
      <c r="MG136" s="1968"/>
      <c r="MH136" s="1968"/>
      <c r="MI136" s="1968"/>
      <c r="MJ136" s="1968"/>
      <c r="MK136" s="1968"/>
      <c r="ML136" s="1968"/>
      <c r="MM136" s="1968"/>
      <c r="MN136" s="1968"/>
      <c r="MO136" s="1968"/>
      <c r="MP136" s="1968"/>
      <c r="MQ136" s="1968"/>
      <c r="MR136" s="1968"/>
      <c r="MS136" s="1968"/>
      <c r="MT136" s="1968"/>
      <c r="MU136" s="1968"/>
      <c r="MV136" s="1968"/>
      <c r="MW136" s="1968"/>
      <c r="MX136" s="1968"/>
      <c r="MY136" s="1968"/>
      <c r="MZ136" s="1968"/>
      <c r="NA136" s="1968"/>
      <c r="NB136" s="1968"/>
      <c r="NC136" s="1968"/>
      <c r="ND136" s="1968"/>
      <c r="NE136" s="1968"/>
      <c r="NF136" s="1968"/>
      <c r="NG136" s="1968"/>
      <c r="NH136" s="1968"/>
      <c r="NI136" s="1968"/>
      <c r="NJ136" s="1968"/>
      <c r="NK136" s="1968"/>
      <c r="NL136" s="1968"/>
      <c r="NM136" s="1968"/>
      <c r="NN136" s="1968"/>
      <c r="NO136" s="1968"/>
      <c r="NP136" s="1968"/>
      <c r="NQ136" s="1968"/>
      <c r="NR136" s="1968"/>
      <c r="NS136" s="1968"/>
      <c r="NT136" s="1968"/>
      <c r="NU136" s="1968"/>
      <c r="NV136" s="1968"/>
      <c r="NW136" s="1968"/>
      <c r="NX136" s="1968"/>
      <c r="NY136" s="1968"/>
      <c r="NZ136" s="1968"/>
      <c r="OA136" s="1968"/>
      <c r="OB136" s="1968"/>
      <c r="OC136" s="1968"/>
      <c r="OD136" s="1968"/>
      <c r="OE136" s="1968"/>
    </row>
    <row r="137" spans="1:395">
      <c r="A137" s="1968"/>
      <c r="B137" s="1968"/>
      <c r="C137" s="1968"/>
      <c r="D137" s="1968"/>
      <c r="E137" s="1968"/>
      <c r="F137" s="1968"/>
      <c r="G137" s="1968"/>
      <c r="H137" s="1968"/>
      <c r="I137" s="1968"/>
      <c r="J137" s="1968"/>
      <c r="K137" s="1968"/>
      <c r="L137" s="1968"/>
      <c r="M137" s="1968"/>
      <c r="N137" s="1968"/>
      <c r="O137" s="1968"/>
      <c r="P137" s="1968"/>
      <c r="Q137" s="1968"/>
      <c r="R137" s="1968"/>
      <c r="S137" s="1968"/>
      <c r="T137" s="1968"/>
      <c r="U137" s="1968"/>
      <c r="V137" s="1968"/>
      <c r="W137" s="1968"/>
      <c r="X137" s="1968"/>
      <c r="Y137" s="1968"/>
      <c r="Z137" s="1968"/>
      <c r="AA137" s="1968"/>
      <c r="AB137" s="1968"/>
      <c r="AC137" s="1968"/>
      <c r="AD137" s="1968"/>
      <c r="AE137" s="1968"/>
      <c r="AF137" s="1968"/>
      <c r="AG137" s="1968"/>
      <c r="AH137" s="1968"/>
      <c r="AI137" s="1968"/>
      <c r="AJ137" s="1968"/>
      <c r="AK137" s="1968"/>
      <c r="AL137" s="1968"/>
      <c r="AM137" s="1968"/>
      <c r="AN137" s="1968"/>
      <c r="AO137" s="1968"/>
      <c r="AP137" s="1968"/>
      <c r="AQ137" s="1968"/>
      <c r="AR137" s="1968"/>
      <c r="AS137" s="1968"/>
      <c r="AT137" s="1968"/>
      <c r="AU137" s="1968"/>
      <c r="AV137" s="1968"/>
      <c r="AW137" s="1968"/>
      <c r="AX137" s="1968"/>
      <c r="AY137" s="1968"/>
      <c r="AZ137" s="1968"/>
      <c r="BA137" s="1968"/>
      <c r="BB137" s="1968"/>
      <c r="BC137" s="1968"/>
      <c r="BD137" s="1968"/>
      <c r="BE137" s="1968"/>
      <c r="BF137" s="1968"/>
      <c r="BG137" s="1968"/>
      <c r="BH137" s="1968"/>
      <c r="BI137" s="1968"/>
      <c r="BJ137" s="1968"/>
      <c r="BK137" s="1968"/>
      <c r="BL137" s="1968"/>
      <c r="BM137" s="1968"/>
      <c r="BN137" s="1968"/>
      <c r="BO137" s="1968"/>
      <c r="BP137" s="1968"/>
      <c r="BQ137" s="1968"/>
      <c r="BR137" s="1968"/>
      <c r="BS137" s="1968"/>
      <c r="BT137" s="1968"/>
      <c r="BU137" s="1968"/>
      <c r="BV137" s="1968"/>
      <c r="BW137" s="1968"/>
      <c r="BX137" s="1968"/>
      <c r="BY137" s="1968"/>
      <c r="BZ137" s="1968"/>
      <c r="CA137" s="1968"/>
      <c r="CB137" s="1968"/>
      <c r="CC137" s="1968"/>
      <c r="CD137" s="1968"/>
      <c r="CE137" s="1968"/>
      <c r="CF137" s="1968"/>
      <c r="CG137" s="1968"/>
      <c r="CH137" s="1968"/>
      <c r="CI137" s="1968"/>
      <c r="CJ137" s="1968"/>
      <c r="CK137" s="1968"/>
      <c r="CL137" s="1968"/>
      <c r="CM137" s="1968"/>
      <c r="CN137" s="1968"/>
      <c r="CO137" s="1968"/>
      <c r="CP137" s="1968"/>
      <c r="CQ137" s="1968"/>
      <c r="CR137" s="1968"/>
      <c r="CS137" s="1968"/>
      <c r="CT137" s="1968"/>
      <c r="CU137" s="1968"/>
      <c r="CV137" s="1968"/>
      <c r="CW137" s="1968"/>
      <c r="CX137" s="1968"/>
      <c r="CY137" s="1968"/>
      <c r="CZ137" s="1968"/>
      <c r="DA137" s="1968"/>
      <c r="DB137" s="1968"/>
      <c r="DC137" s="1968"/>
      <c r="DD137" s="1968"/>
      <c r="DE137" s="1968"/>
      <c r="DF137" s="1968"/>
      <c r="DG137" s="1968"/>
      <c r="DH137" s="1968"/>
      <c r="DI137" s="1968"/>
      <c r="DJ137" s="1968"/>
      <c r="DK137" s="1968"/>
      <c r="DL137" s="1968"/>
      <c r="DM137" s="1968"/>
      <c r="DN137" s="1968"/>
      <c r="DO137" s="1968"/>
      <c r="DP137" s="1968"/>
      <c r="DQ137" s="1968"/>
      <c r="DR137" s="1968"/>
      <c r="DS137" s="1968"/>
      <c r="DT137" s="1968"/>
      <c r="DU137" s="1968"/>
      <c r="DV137" s="1968"/>
      <c r="DW137" s="1968"/>
      <c r="DX137" s="1968"/>
      <c r="DY137" s="1968"/>
      <c r="DZ137" s="1968"/>
      <c r="EA137" s="1968"/>
      <c r="EB137" s="1968"/>
      <c r="EC137" s="1968"/>
      <c r="ED137" s="1968"/>
      <c r="EE137" s="1968"/>
      <c r="EF137" s="1968"/>
      <c r="EG137" s="1968"/>
      <c r="EH137" s="1968"/>
      <c r="EI137" s="1968"/>
      <c r="EJ137" s="1968"/>
      <c r="EK137" s="1968"/>
      <c r="EL137" s="1968"/>
      <c r="EM137" s="1968"/>
      <c r="EN137" s="1968"/>
      <c r="EO137" s="1968"/>
      <c r="EP137" s="1968"/>
      <c r="EQ137" s="1968"/>
      <c r="ER137" s="1968"/>
      <c r="ES137" s="1968"/>
      <c r="ET137" s="1968"/>
      <c r="EU137" s="1968"/>
      <c r="EV137" s="1968"/>
      <c r="EW137" s="1968"/>
      <c r="EX137" s="1968"/>
      <c r="EY137" s="1968"/>
      <c r="EZ137" s="1968"/>
      <c r="FA137" s="1968"/>
      <c r="FB137" s="1968"/>
      <c r="FC137" s="1968"/>
      <c r="FD137" s="1968"/>
      <c r="FE137" s="1968"/>
      <c r="FF137" s="1968"/>
      <c r="FG137" s="1968"/>
      <c r="FH137" s="1968"/>
      <c r="FI137" s="1968"/>
      <c r="FJ137" s="1968"/>
      <c r="FK137" s="1968"/>
      <c r="FL137" s="1968"/>
      <c r="FM137" s="1968"/>
      <c r="FN137" s="1968"/>
      <c r="FO137" s="1968"/>
      <c r="FP137" s="1968"/>
      <c r="FQ137" s="1968"/>
      <c r="FR137" s="1968"/>
      <c r="FS137" s="1968"/>
      <c r="FT137" s="1968"/>
      <c r="FU137" s="1968"/>
      <c r="FV137" s="1968"/>
      <c r="FW137" s="1968"/>
      <c r="FX137" s="1968"/>
      <c r="FY137" s="1968"/>
      <c r="FZ137" s="1968"/>
      <c r="GA137" s="1968"/>
      <c r="GB137" s="1968"/>
      <c r="GC137" s="1968"/>
      <c r="GD137" s="1968"/>
      <c r="GE137" s="1968"/>
      <c r="GF137" s="1968"/>
      <c r="GG137" s="1968"/>
      <c r="GH137" s="1968"/>
      <c r="GI137" s="1968"/>
      <c r="GJ137" s="1968"/>
      <c r="GK137" s="1968"/>
      <c r="GL137" s="1968"/>
      <c r="GM137" s="1968"/>
      <c r="GN137" s="1968"/>
      <c r="GO137" s="1968"/>
      <c r="GP137" s="1968"/>
      <c r="GQ137" s="1968"/>
      <c r="GR137" s="1968"/>
      <c r="GS137" s="1968"/>
      <c r="GT137" s="1968"/>
      <c r="GU137" s="1968"/>
      <c r="GV137" s="1968"/>
      <c r="GW137" s="1968"/>
      <c r="GX137" s="1968"/>
      <c r="GY137" s="1968"/>
      <c r="GZ137" s="1968"/>
      <c r="HA137" s="1968"/>
      <c r="HB137" s="1968"/>
      <c r="HC137" s="1968"/>
      <c r="HD137" s="1968"/>
      <c r="HE137" s="1968"/>
      <c r="HF137" s="1968"/>
      <c r="HG137" s="1968"/>
      <c r="HH137" s="1968"/>
      <c r="HI137" s="1968"/>
      <c r="HJ137" s="1968"/>
      <c r="HK137" s="1968"/>
      <c r="HL137" s="1968"/>
      <c r="HM137" s="1968"/>
      <c r="HN137" s="1968"/>
      <c r="HO137" s="1968"/>
      <c r="HP137" s="1968"/>
      <c r="HQ137" s="1968"/>
      <c r="HR137" s="1968"/>
      <c r="HS137" s="1968"/>
      <c r="HT137" s="1968"/>
      <c r="HU137" s="1968"/>
      <c r="HV137" s="1968"/>
      <c r="HW137" s="1968"/>
      <c r="HX137" s="1968"/>
      <c r="HY137" s="1968"/>
      <c r="HZ137" s="1968"/>
      <c r="IA137" s="1968"/>
      <c r="IB137" s="1968"/>
      <c r="IC137" s="1968"/>
      <c r="ID137" s="1968"/>
      <c r="IE137" s="1968"/>
      <c r="IF137" s="1968"/>
      <c r="IG137" s="1968"/>
      <c r="IH137" s="1968"/>
      <c r="II137" s="1968"/>
      <c r="IJ137" s="1968"/>
      <c r="IK137" s="1968"/>
      <c r="IL137" s="1968"/>
      <c r="IM137" s="1968"/>
      <c r="IN137" s="1968"/>
      <c r="IO137" s="1968"/>
      <c r="IP137" s="1968"/>
      <c r="IQ137" s="1968"/>
      <c r="IR137" s="1968"/>
      <c r="IS137" s="1968"/>
      <c r="IT137" s="1968"/>
      <c r="IU137" s="1968"/>
      <c r="IV137" s="1968"/>
      <c r="IW137" s="1968"/>
      <c r="IX137" s="1968"/>
      <c r="IY137" s="1968"/>
      <c r="IZ137" s="1968"/>
      <c r="JA137" s="1968"/>
      <c r="JB137" s="1968"/>
      <c r="JC137" s="1968"/>
      <c r="JD137" s="1968"/>
      <c r="JE137" s="1968"/>
      <c r="JF137" s="1968"/>
      <c r="JG137" s="1968"/>
      <c r="JH137" s="1968"/>
      <c r="JI137" s="1968"/>
      <c r="JJ137" s="1968"/>
      <c r="JK137" s="1968"/>
      <c r="JL137" s="1968"/>
      <c r="JM137" s="1968"/>
      <c r="JN137" s="1968"/>
      <c r="JO137" s="1968"/>
      <c r="JP137" s="1968"/>
      <c r="JQ137" s="1968"/>
      <c r="JR137" s="1968"/>
      <c r="JS137" s="1968"/>
      <c r="JT137" s="1968"/>
      <c r="JU137" s="1968"/>
      <c r="JV137" s="1968"/>
      <c r="JW137" s="1968"/>
      <c r="JX137" s="1968"/>
      <c r="JY137" s="1968"/>
      <c r="JZ137" s="1968"/>
      <c r="KA137" s="1968"/>
      <c r="KB137" s="1968"/>
      <c r="KC137" s="1968"/>
      <c r="KD137" s="1968"/>
      <c r="KE137" s="1968"/>
      <c r="KF137" s="1968"/>
      <c r="KG137" s="1968"/>
      <c r="KH137" s="1968"/>
      <c r="KI137" s="1968"/>
      <c r="KJ137" s="1968"/>
      <c r="KK137" s="1968"/>
      <c r="KL137" s="1968"/>
      <c r="KM137" s="1968"/>
      <c r="KN137" s="1968"/>
      <c r="KO137" s="1968"/>
      <c r="KP137" s="1968"/>
      <c r="KQ137" s="1968"/>
      <c r="KR137" s="1968"/>
      <c r="KS137" s="1968"/>
      <c r="KT137" s="1968"/>
      <c r="KU137" s="1968"/>
      <c r="KV137" s="1968"/>
      <c r="KW137" s="1968"/>
      <c r="KX137" s="1968"/>
      <c r="KY137" s="1968"/>
      <c r="KZ137" s="1968"/>
      <c r="LA137" s="1968"/>
      <c r="LB137" s="1968"/>
      <c r="LC137" s="1968"/>
      <c r="LD137" s="1968"/>
      <c r="LE137" s="1968"/>
      <c r="LF137" s="1968"/>
      <c r="LG137" s="1968"/>
      <c r="LH137" s="1968"/>
      <c r="LI137" s="1968"/>
      <c r="LJ137" s="1968"/>
      <c r="LK137" s="1968"/>
      <c r="LL137" s="1968"/>
      <c r="LM137" s="1968"/>
      <c r="LN137" s="1968"/>
      <c r="LO137" s="1968"/>
      <c r="LP137" s="1968"/>
      <c r="LQ137" s="1968"/>
      <c r="LR137" s="1968"/>
      <c r="LS137" s="1968"/>
      <c r="LT137" s="1968"/>
      <c r="LU137" s="1968"/>
      <c r="LV137" s="1968"/>
      <c r="LW137" s="1968"/>
      <c r="LX137" s="1968"/>
      <c r="LY137" s="1968"/>
      <c r="LZ137" s="1968"/>
      <c r="MA137" s="1968"/>
      <c r="MB137" s="1968"/>
      <c r="MC137" s="1968"/>
      <c r="MD137" s="1968"/>
      <c r="ME137" s="1968"/>
      <c r="MF137" s="1968"/>
      <c r="MG137" s="1968"/>
      <c r="MH137" s="1968"/>
      <c r="MI137" s="1968"/>
      <c r="MJ137" s="1968"/>
      <c r="MK137" s="1968"/>
      <c r="ML137" s="1968"/>
      <c r="MM137" s="1968"/>
      <c r="MN137" s="1968"/>
      <c r="MO137" s="1968"/>
      <c r="MP137" s="1968"/>
      <c r="MQ137" s="1968"/>
      <c r="MR137" s="1968"/>
      <c r="MS137" s="1968"/>
      <c r="MT137" s="1968"/>
      <c r="MU137" s="1968"/>
      <c r="MV137" s="1968"/>
      <c r="MW137" s="1968"/>
      <c r="MX137" s="1968"/>
      <c r="MY137" s="1968"/>
      <c r="MZ137" s="1968"/>
      <c r="NA137" s="1968"/>
      <c r="NB137" s="1968"/>
      <c r="NC137" s="1968"/>
      <c r="ND137" s="1968"/>
      <c r="NE137" s="1968"/>
      <c r="NF137" s="1968"/>
      <c r="NG137" s="1968"/>
      <c r="NH137" s="1968"/>
      <c r="NI137" s="1968"/>
      <c r="NJ137" s="1968"/>
      <c r="NK137" s="1968"/>
      <c r="NL137" s="1968"/>
      <c r="NM137" s="1968"/>
      <c r="NN137" s="1968"/>
      <c r="NO137" s="1968"/>
      <c r="NP137" s="1968"/>
      <c r="NQ137" s="1968"/>
      <c r="NR137" s="1968"/>
      <c r="NS137" s="1968"/>
      <c r="NT137" s="1968"/>
      <c r="NU137" s="1968"/>
      <c r="NV137" s="1968"/>
      <c r="NW137" s="1968"/>
      <c r="NX137" s="1968"/>
      <c r="NY137" s="1968"/>
      <c r="NZ137" s="1968"/>
      <c r="OA137" s="1968"/>
      <c r="OB137" s="1968"/>
      <c r="OC137" s="1968"/>
      <c r="OD137" s="1968"/>
      <c r="OE137" s="1968"/>
    </row>
    <row r="138" spans="1:395">
      <c r="A138" s="1968"/>
      <c r="B138" s="1968"/>
      <c r="C138" s="1968"/>
      <c r="D138" s="1968"/>
      <c r="E138" s="1968"/>
      <c r="F138" s="1968"/>
      <c r="G138" s="1968"/>
      <c r="H138" s="1968"/>
      <c r="I138" s="1968"/>
      <c r="J138" s="1968"/>
      <c r="K138" s="1968"/>
      <c r="L138" s="1968"/>
      <c r="M138" s="1968"/>
      <c r="N138" s="1968"/>
      <c r="O138" s="1968"/>
      <c r="P138" s="1968"/>
      <c r="Q138" s="1968"/>
      <c r="R138" s="1968"/>
      <c r="S138" s="1968"/>
      <c r="T138" s="1968"/>
      <c r="U138" s="1968"/>
      <c r="V138" s="1968"/>
      <c r="W138" s="1968"/>
      <c r="X138" s="1968"/>
      <c r="Y138" s="1968"/>
      <c r="Z138" s="1968"/>
      <c r="AA138" s="1968"/>
      <c r="AB138" s="1968"/>
      <c r="AC138" s="1968"/>
      <c r="AD138" s="1968"/>
      <c r="AE138" s="1968"/>
      <c r="AF138" s="1968"/>
      <c r="AG138" s="1968"/>
      <c r="AH138" s="1968"/>
      <c r="AI138" s="1968"/>
      <c r="AJ138" s="1968"/>
      <c r="AK138" s="1968"/>
      <c r="AL138" s="1968"/>
      <c r="AM138" s="1968"/>
      <c r="AN138" s="1968"/>
      <c r="AO138" s="1968"/>
      <c r="AP138" s="1968"/>
      <c r="AQ138" s="1968"/>
      <c r="AR138" s="1968"/>
      <c r="AS138" s="1968"/>
      <c r="AT138" s="1968"/>
      <c r="AU138" s="1968"/>
      <c r="AV138" s="1968"/>
      <c r="AW138" s="1968"/>
      <c r="AX138" s="1968"/>
      <c r="AY138" s="1968"/>
      <c r="AZ138" s="1968"/>
      <c r="BA138" s="1968"/>
      <c r="BB138" s="1968"/>
      <c r="BC138" s="1968"/>
      <c r="BD138" s="1968"/>
      <c r="BE138" s="1968"/>
      <c r="BF138" s="1968"/>
      <c r="BG138" s="1968"/>
      <c r="BH138" s="1968"/>
      <c r="BI138" s="1968"/>
      <c r="BJ138" s="1968"/>
      <c r="BK138" s="1968"/>
      <c r="BL138" s="1968"/>
      <c r="BM138" s="1968"/>
      <c r="BN138" s="1968"/>
      <c r="BO138" s="1968"/>
      <c r="BP138" s="1968"/>
      <c r="BQ138" s="1968"/>
      <c r="BR138" s="1968"/>
      <c r="BS138" s="1968"/>
      <c r="BT138" s="1968"/>
      <c r="BU138" s="1968"/>
      <c r="BV138" s="1968"/>
      <c r="BW138" s="1968"/>
      <c r="BX138" s="1968"/>
      <c r="BY138" s="1968"/>
      <c r="BZ138" s="1968"/>
      <c r="CA138" s="1968"/>
      <c r="CB138" s="1968"/>
      <c r="CC138" s="1968"/>
      <c r="CD138" s="1968"/>
      <c r="CE138" s="1968"/>
      <c r="CF138" s="1968"/>
      <c r="CG138" s="1968"/>
      <c r="CH138" s="1968"/>
      <c r="CI138" s="1968"/>
      <c r="CJ138" s="1968"/>
      <c r="CK138" s="1968"/>
      <c r="CL138" s="1968"/>
      <c r="CM138" s="1968"/>
      <c r="CN138" s="1968"/>
      <c r="CO138" s="1968"/>
      <c r="CP138" s="1968"/>
      <c r="CQ138" s="1968"/>
      <c r="CR138" s="1968"/>
      <c r="CS138" s="1968"/>
      <c r="CT138" s="1968"/>
      <c r="CU138" s="1968"/>
      <c r="CV138" s="1968"/>
      <c r="CW138" s="1968"/>
      <c r="CX138" s="1968"/>
      <c r="CY138" s="1968"/>
      <c r="CZ138" s="1968"/>
      <c r="DA138" s="1968"/>
      <c r="DB138" s="1968"/>
      <c r="DC138" s="1968"/>
      <c r="DD138" s="1968"/>
      <c r="DE138" s="1968"/>
      <c r="DF138" s="1968"/>
      <c r="DG138" s="1968"/>
      <c r="DH138" s="1968"/>
      <c r="DI138" s="1968"/>
      <c r="DJ138" s="1968"/>
      <c r="DK138" s="1968"/>
      <c r="DL138" s="1968"/>
      <c r="DM138" s="1968"/>
      <c r="DN138" s="1968"/>
      <c r="DO138" s="1968"/>
      <c r="DP138" s="1968"/>
      <c r="DQ138" s="1968"/>
      <c r="DR138" s="1968"/>
      <c r="DS138" s="1968"/>
      <c r="DT138" s="1968"/>
      <c r="DU138" s="1968"/>
      <c r="DV138" s="1968"/>
      <c r="DW138" s="1968"/>
      <c r="DX138" s="1968"/>
      <c r="DY138" s="1968"/>
      <c r="DZ138" s="1968"/>
      <c r="EA138" s="1968"/>
      <c r="EB138" s="1968"/>
      <c r="EC138" s="1968"/>
      <c r="ED138" s="1968"/>
      <c r="EE138" s="1968"/>
      <c r="EF138" s="1968"/>
      <c r="EG138" s="1968"/>
      <c r="EH138" s="1968"/>
      <c r="EI138" s="1968"/>
      <c r="EJ138" s="1968"/>
      <c r="EK138" s="1968"/>
      <c r="EL138" s="1968"/>
      <c r="EM138" s="1968"/>
      <c r="EN138" s="1968"/>
      <c r="EO138" s="1968"/>
      <c r="EP138" s="1968"/>
      <c r="EQ138" s="1968"/>
      <c r="ER138" s="1968"/>
      <c r="ES138" s="1968"/>
      <c r="ET138" s="1968"/>
      <c r="EU138" s="1968"/>
      <c r="EV138" s="1968"/>
      <c r="EW138" s="1968"/>
      <c r="EX138" s="1968"/>
      <c r="EY138" s="1968"/>
      <c r="EZ138" s="1968"/>
      <c r="FA138" s="1968"/>
      <c r="FB138" s="1968"/>
      <c r="FC138" s="1968"/>
      <c r="FD138" s="1968"/>
      <c r="FE138" s="1968"/>
      <c r="FF138" s="1968"/>
      <c r="FG138" s="1968"/>
      <c r="FH138" s="1968"/>
      <c r="FI138" s="1968"/>
      <c r="FJ138" s="1968"/>
      <c r="FK138" s="1968"/>
      <c r="FL138" s="1968"/>
      <c r="FM138" s="1968"/>
      <c r="FN138" s="1968"/>
      <c r="FO138" s="1968"/>
      <c r="FP138" s="1968"/>
      <c r="FQ138" s="1968"/>
      <c r="FR138" s="1968"/>
      <c r="FS138" s="1968"/>
      <c r="FT138" s="1968"/>
      <c r="FU138" s="1968"/>
      <c r="FV138" s="1968"/>
      <c r="FW138" s="1968"/>
      <c r="FX138" s="1968"/>
      <c r="FY138" s="1968"/>
      <c r="FZ138" s="1968"/>
      <c r="GA138" s="1968"/>
      <c r="GB138" s="1968"/>
      <c r="GC138" s="1968"/>
      <c r="GD138" s="1968"/>
      <c r="GE138" s="1968"/>
      <c r="GF138" s="1968"/>
      <c r="GG138" s="1968"/>
      <c r="GH138" s="1968"/>
      <c r="GI138" s="1968"/>
      <c r="GJ138" s="1968"/>
      <c r="GK138" s="1968"/>
      <c r="GL138" s="1968"/>
      <c r="GM138" s="1968"/>
      <c r="GN138" s="1968"/>
      <c r="GO138" s="1968"/>
      <c r="GP138" s="1968"/>
      <c r="GQ138" s="1968"/>
      <c r="GR138" s="1968"/>
      <c r="GS138" s="1968"/>
      <c r="GT138" s="1968"/>
      <c r="GU138" s="1968"/>
      <c r="GV138" s="1968"/>
      <c r="GW138" s="1968"/>
      <c r="GX138" s="1968"/>
      <c r="GY138" s="1968"/>
      <c r="GZ138" s="1968"/>
      <c r="HA138" s="1968"/>
      <c r="HB138" s="1968"/>
      <c r="HC138" s="1968"/>
      <c r="HD138" s="1968"/>
      <c r="HE138" s="1968"/>
      <c r="HF138" s="1968"/>
      <c r="HG138" s="1968"/>
      <c r="HH138" s="1968"/>
      <c r="HI138" s="1968"/>
      <c r="HJ138" s="1968"/>
      <c r="HK138" s="1968"/>
      <c r="HL138" s="1968"/>
      <c r="HM138" s="1968"/>
      <c r="HN138" s="1968"/>
      <c r="HO138" s="1968"/>
      <c r="HP138" s="1968"/>
      <c r="HQ138" s="1968"/>
      <c r="HR138" s="1968"/>
      <c r="HS138" s="1968"/>
      <c r="HT138" s="1968"/>
      <c r="HU138" s="1968"/>
      <c r="HV138" s="1968"/>
      <c r="HW138" s="1968"/>
      <c r="HX138" s="1968"/>
      <c r="HY138" s="1968"/>
      <c r="HZ138" s="1968"/>
      <c r="IA138" s="1968"/>
      <c r="IB138" s="1968"/>
      <c r="IC138" s="1968"/>
      <c r="ID138" s="1968"/>
      <c r="IE138" s="1968"/>
      <c r="IF138" s="1968"/>
      <c r="IG138" s="1968"/>
      <c r="IH138" s="1968"/>
      <c r="II138" s="1968"/>
      <c r="IJ138" s="1968"/>
      <c r="IK138" s="1968"/>
      <c r="IL138" s="1968"/>
      <c r="IM138" s="1968"/>
      <c r="IN138" s="1968"/>
      <c r="IO138" s="1968"/>
      <c r="IP138" s="1968"/>
      <c r="IQ138" s="1968"/>
      <c r="IR138" s="1968"/>
      <c r="IS138" s="1968"/>
      <c r="IT138" s="1968"/>
      <c r="IU138" s="1968"/>
      <c r="IV138" s="1968"/>
      <c r="IW138" s="1968"/>
      <c r="IX138" s="1968"/>
      <c r="IY138" s="1968"/>
      <c r="IZ138" s="1968"/>
      <c r="JA138" s="1968"/>
      <c r="JB138" s="1968"/>
      <c r="JC138" s="1968"/>
      <c r="JD138" s="1968"/>
      <c r="JE138" s="1968"/>
      <c r="JF138" s="1968"/>
      <c r="JG138" s="1968"/>
      <c r="JH138" s="1968"/>
      <c r="JI138" s="1968"/>
      <c r="JJ138" s="1968"/>
      <c r="JK138" s="1968"/>
      <c r="JL138" s="1968"/>
      <c r="JM138" s="1968"/>
      <c r="JN138" s="1968"/>
      <c r="JO138" s="1968"/>
      <c r="JP138" s="1968"/>
      <c r="JQ138" s="1968"/>
      <c r="JR138" s="1968"/>
      <c r="JS138" s="1968"/>
      <c r="JT138" s="1968"/>
      <c r="JU138" s="1968"/>
      <c r="JV138" s="1968"/>
      <c r="JW138" s="1968"/>
      <c r="JX138" s="1968"/>
      <c r="JY138" s="1968"/>
      <c r="JZ138" s="1968"/>
      <c r="KA138" s="1968"/>
      <c r="KB138" s="1968"/>
      <c r="KC138" s="1968"/>
      <c r="KD138" s="1968"/>
      <c r="KE138" s="1968"/>
      <c r="KF138" s="1968"/>
      <c r="KG138" s="1968"/>
      <c r="KH138" s="1968"/>
      <c r="KI138" s="1968"/>
      <c r="KJ138" s="1968"/>
      <c r="KK138" s="1968"/>
      <c r="KL138" s="1968"/>
      <c r="KM138" s="1968"/>
      <c r="KN138" s="1968"/>
      <c r="KO138" s="1968"/>
      <c r="KP138" s="1968"/>
      <c r="KQ138" s="1968"/>
      <c r="KR138" s="1968"/>
      <c r="KS138" s="1968"/>
      <c r="KT138" s="1968"/>
      <c r="KU138" s="1968"/>
      <c r="KV138" s="1968"/>
      <c r="KW138" s="1968"/>
      <c r="KX138" s="1968"/>
      <c r="KY138" s="1968"/>
      <c r="KZ138" s="1968"/>
      <c r="LA138" s="1968"/>
      <c r="LB138" s="1968"/>
      <c r="LC138" s="1968"/>
      <c r="LD138" s="1968"/>
      <c r="LE138" s="1968"/>
      <c r="LF138" s="1968"/>
      <c r="LG138" s="1968"/>
      <c r="LH138" s="1968"/>
      <c r="LI138" s="1968"/>
      <c r="LJ138" s="1968"/>
      <c r="LK138" s="1968"/>
      <c r="LL138" s="1968"/>
      <c r="LM138" s="1968"/>
      <c r="LN138" s="1968"/>
      <c r="LO138" s="1968"/>
      <c r="LP138" s="1968"/>
      <c r="LQ138" s="1968"/>
      <c r="LR138" s="1968"/>
      <c r="LS138" s="1968"/>
      <c r="LT138" s="1968"/>
      <c r="LU138" s="1968"/>
      <c r="LV138" s="1968"/>
      <c r="LW138" s="1968"/>
      <c r="LX138" s="1968"/>
      <c r="LY138" s="1968"/>
      <c r="LZ138" s="1968"/>
      <c r="MA138" s="1968"/>
      <c r="MB138" s="1968"/>
      <c r="MC138" s="1968"/>
      <c r="MD138" s="1968"/>
      <c r="ME138" s="1968"/>
      <c r="MF138" s="1968"/>
      <c r="MG138" s="1968"/>
      <c r="MH138" s="1968"/>
      <c r="MI138" s="1968"/>
      <c r="MJ138" s="1968"/>
      <c r="MK138" s="1968"/>
      <c r="ML138" s="1968"/>
      <c r="MM138" s="1968"/>
      <c r="MN138" s="1968"/>
      <c r="MO138" s="1968"/>
      <c r="MP138" s="1968"/>
      <c r="MQ138" s="1968"/>
      <c r="MR138" s="1968"/>
      <c r="MS138" s="1968"/>
      <c r="MT138" s="1968"/>
      <c r="MU138" s="1968"/>
      <c r="MV138" s="1968"/>
      <c r="MW138" s="1968"/>
      <c r="MX138" s="1968"/>
      <c r="MY138" s="1968"/>
      <c r="MZ138" s="1968"/>
      <c r="NA138" s="1968"/>
      <c r="NB138" s="1968"/>
      <c r="NC138" s="1968"/>
      <c r="ND138" s="1968"/>
      <c r="NE138" s="1968"/>
      <c r="NF138" s="1968"/>
      <c r="NG138" s="1968"/>
      <c r="NH138" s="1968"/>
      <c r="NI138" s="1968"/>
      <c r="NJ138" s="1968"/>
      <c r="NK138" s="1968"/>
      <c r="NL138" s="1968"/>
      <c r="NM138" s="1968"/>
      <c r="NN138" s="1968"/>
      <c r="NO138" s="1968"/>
      <c r="NP138" s="1968"/>
      <c r="NQ138" s="1968"/>
      <c r="NR138" s="1968"/>
      <c r="NS138" s="1968"/>
      <c r="NT138" s="1968"/>
      <c r="NU138" s="1968"/>
      <c r="NV138" s="1968"/>
      <c r="NW138" s="1968"/>
      <c r="NX138" s="1968"/>
      <c r="NY138" s="1968"/>
      <c r="NZ138" s="1968"/>
      <c r="OA138" s="1968"/>
      <c r="OB138" s="1968"/>
      <c r="OC138" s="1968"/>
      <c r="OD138" s="1968"/>
      <c r="OE138" s="1968"/>
    </row>
    <row r="139" spans="1:395">
      <c r="A139" s="1968"/>
      <c r="B139" s="1968"/>
      <c r="C139" s="1968"/>
      <c r="D139" s="1968"/>
      <c r="E139" s="1968"/>
      <c r="F139" s="1968"/>
      <c r="G139" s="1968"/>
      <c r="H139" s="1968"/>
      <c r="I139" s="1968"/>
      <c r="J139" s="1968"/>
      <c r="K139" s="1968"/>
      <c r="L139" s="1968"/>
      <c r="M139" s="1968"/>
      <c r="N139" s="1968"/>
      <c r="O139" s="1968"/>
      <c r="P139" s="1968"/>
      <c r="Q139" s="1968"/>
      <c r="R139" s="1968"/>
      <c r="S139" s="1968"/>
      <c r="T139" s="1968"/>
      <c r="U139" s="1968"/>
      <c r="V139" s="1968"/>
      <c r="W139" s="1968"/>
      <c r="X139" s="1968"/>
      <c r="Y139" s="1968"/>
      <c r="Z139" s="1968"/>
      <c r="AA139" s="1968"/>
      <c r="AB139" s="1968"/>
      <c r="AC139" s="1968"/>
      <c r="AD139" s="1968"/>
      <c r="AE139" s="1968"/>
      <c r="AF139" s="1968"/>
      <c r="AG139" s="1968"/>
      <c r="AH139" s="1968"/>
      <c r="AI139" s="1968"/>
      <c r="AJ139" s="1968"/>
      <c r="AK139" s="1968"/>
      <c r="AL139" s="1968"/>
      <c r="AM139" s="1968"/>
      <c r="AN139" s="1968"/>
      <c r="AO139" s="1968"/>
      <c r="AP139" s="1968"/>
      <c r="AQ139" s="1968"/>
      <c r="AR139" s="1968"/>
      <c r="AS139" s="1968"/>
      <c r="AT139" s="1968"/>
      <c r="AU139" s="1968"/>
      <c r="AV139" s="1968"/>
      <c r="AW139" s="1968"/>
      <c r="AX139" s="1968"/>
      <c r="AY139" s="1968"/>
      <c r="AZ139" s="1968"/>
      <c r="BA139" s="1968"/>
      <c r="BB139" s="1968"/>
      <c r="BC139" s="1968"/>
      <c r="BD139" s="1968"/>
      <c r="BE139" s="1968"/>
      <c r="BF139" s="1968"/>
      <c r="BG139" s="1968"/>
      <c r="BH139" s="1968"/>
      <c r="BI139" s="1968"/>
      <c r="BJ139" s="1968"/>
      <c r="BK139" s="1968"/>
      <c r="BL139" s="1968"/>
      <c r="BM139" s="1968"/>
      <c r="BN139" s="1968"/>
      <c r="BO139" s="1968"/>
      <c r="BP139" s="1968"/>
      <c r="BQ139" s="1968"/>
      <c r="BR139" s="1968"/>
      <c r="BS139" s="1968"/>
      <c r="BT139" s="1968"/>
      <c r="BU139" s="1968"/>
      <c r="BV139" s="1968"/>
      <c r="BW139" s="1968"/>
      <c r="BX139" s="1968"/>
      <c r="BY139" s="1968"/>
      <c r="BZ139" s="1968"/>
      <c r="CA139" s="1968"/>
      <c r="CB139" s="1968"/>
      <c r="CC139" s="1968"/>
      <c r="CD139" s="1968"/>
      <c r="CE139" s="1968"/>
      <c r="CF139" s="1968"/>
      <c r="CG139" s="1968"/>
      <c r="CH139" s="1968"/>
      <c r="CI139" s="1968"/>
      <c r="CJ139" s="1968"/>
      <c r="CK139" s="1968"/>
      <c r="CL139" s="1968"/>
      <c r="CM139" s="1968"/>
      <c r="CN139" s="1968"/>
      <c r="CO139" s="1968"/>
      <c r="CP139" s="1968"/>
      <c r="CQ139" s="1968"/>
      <c r="CR139" s="1968"/>
      <c r="CS139" s="1968"/>
      <c r="CT139" s="1968"/>
      <c r="CU139" s="1968"/>
      <c r="CV139" s="1968"/>
      <c r="CW139" s="1968"/>
      <c r="CX139" s="1968"/>
      <c r="CY139" s="1968"/>
      <c r="CZ139" s="1968"/>
      <c r="DA139" s="1968"/>
      <c r="DB139" s="1968"/>
      <c r="DC139" s="1968"/>
      <c r="DD139" s="1968"/>
      <c r="DE139" s="1968"/>
      <c r="DF139" s="1968"/>
      <c r="DG139" s="1968"/>
      <c r="DH139" s="1968"/>
      <c r="DI139" s="1968"/>
      <c r="DJ139" s="1968"/>
      <c r="DK139" s="1968"/>
      <c r="DL139" s="1968"/>
      <c r="DM139" s="1968"/>
      <c r="DN139" s="1968"/>
      <c r="DO139" s="1968"/>
      <c r="DP139" s="1968"/>
      <c r="DQ139" s="1968"/>
      <c r="DR139" s="1968"/>
      <c r="DS139" s="1968"/>
      <c r="DT139" s="1968"/>
      <c r="DU139" s="1968"/>
      <c r="DV139" s="1968"/>
      <c r="DW139" s="1968"/>
      <c r="DX139" s="1968"/>
      <c r="DY139" s="1968"/>
      <c r="DZ139" s="1968"/>
      <c r="EA139" s="1968"/>
      <c r="EB139" s="1968"/>
      <c r="EC139" s="1968"/>
      <c r="ED139" s="1968"/>
      <c r="EE139" s="1968"/>
      <c r="EF139" s="1968"/>
      <c r="EG139" s="1968"/>
      <c r="EH139" s="1968"/>
      <c r="EI139" s="1968"/>
      <c r="EJ139" s="1968"/>
      <c r="EK139" s="1968"/>
      <c r="EL139" s="1968"/>
      <c r="EM139" s="1968"/>
      <c r="EN139" s="1968"/>
      <c r="EO139" s="1968"/>
      <c r="EP139" s="1968"/>
      <c r="EQ139" s="1968"/>
      <c r="ER139" s="1968"/>
      <c r="ES139" s="1968"/>
      <c r="ET139" s="1968"/>
      <c r="EU139" s="1968"/>
      <c r="EV139" s="1968"/>
      <c r="EW139" s="1968"/>
      <c r="EX139" s="1968"/>
      <c r="EY139" s="1968"/>
      <c r="EZ139" s="1968"/>
      <c r="FA139" s="1968"/>
      <c r="FB139" s="1968"/>
      <c r="FC139" s="1968"/>
      <c r="FD139" s="1968"/>
      <c r="FE139" s="1968"/>
      <c r="FF139" s="1968"/>
      <c r="FG139" s="1968"/>
      <c r="FH139" s="1968"/>
      <c r="FI139" s="1968"/>
      <c r="FJ139" s="1968"/>
      <c r="FK139" s="1968"/>
      <c r="FL139" s="1968"/>
      <c r="FM139" s="1968"/>
      <c r="FN139" s="1968"/>
      <c r="FO139" s="1968"/>
      <c r="FP139" s="1968"/>
      <c r="FQ139" s="1968"/>
      <c r="FR139" s="1968"/>
      <c r="FS139" s="1968"/>
      <c r="FT139" s="1968"/>
      <c r="FU139" s="1968"/>
      <c r="FV139" s="1968"/>
      <c r="FW139" s="1968"/>
      <c r="FX139" s="1968"/>
      <c r="FY139" s="1968"/>
      <c r="FZ139" s="1968"/>
      <c r="GA139" s="1968"/>
      <c r="GB139" s="1968"/>
      <c r="GC139" s="1968"/>
      <c r="GD139" s="1968"/>
      <c r="GE139" s="1968"/>
      <c r="GF139" s="1968"/>
      <c r="GG139" s="1968"/>
      <c r="GH139" s="1968"/>
      <c r="GI139" s="1968"/>
      <c r="GJ139" s="1968"/>
      <c r="GK139" s="1968"/>
      <c r="GL139" s="1968"/>
      <c r="GM139" s="1968"/>
      <c r="GN139" s="1968"/>
      <c r="GO139" s="1968"/>
      <c r="GP139" s="1968"/>
      <c r="GQ139" s="1968"/>
      <c r="GR139" s="1968"/>
      <c r="GS139" s="1968"/>
      <c r="GT139" s="1968"/>
      <c r="GU139" s="1968"/>
      <c r="GV139" s="1968"/>
      <c r="GW139" s="1968"/>
      <c r="GX139" s="1968"/>
      <c r="GY139" s="1968"/>
      <c r="GZ139" s="1968"/>
      <c r="HA139" s="1968"/>
      <c r="HB139" s="1968"/>
      <c r="HC139" s="1968"/>
      <c r="HD139" s="1968"/>
      <c r="HE139" s="1968"/>
      <c r="HF139" s="1968"/>
      <c r="HG139" s="1968"/>
      <c r="HH139" s="1968"/>
      <c r="HI139" s="1968"/>
      <c r="HJ139" s="1968"/>
      <c r="HK139" s="1968"/>
      <c r="HL139" s="1968"/>
      <c r="HM139" s="1968"/>
      <c r="HN139" s="1968"/>
      <c r="HO139" s="1968"/>
      <c r="HP139" s="1968"/>
      <c r="HQ139" s="1968"/>
      <c r="HR139" s="1968"/>
      <c r="HS139" s="1968"/>
      <c r="HT139" s="1968"/>
      <c r="HU139" s="1968"/>
      <c r="HV139" s="1968"/>
      <c r="HW139" s="1968"/>
      <c r="HX139" s="1968"/>
      <c r="HY139" s="1968"/>
      <c r="HZ139" s="1968"/>
      <c r="IA139" s="1968"/>
      <c r="IB139" s="1968"/>
      <c r="IC139" s="1968"/>
      <c r="ID139" s="1968"/>
      <c r="IE139" s="1968"/>
      <c r="IF139" s="1968"/>
      <c r="IG139" s="1968"/>
      <c r="IH139" s="1968"/>
      <c r="II139" s="1968"/>
      <c r="IJ139" s="1968"/>
      <c r="IK139" s="1968"/>
      <c r="IL139" s="1968"/>
      <c r="IM139" s="1968"/>
      <c r="IN139" s="1968"/>
      <c r="IO139" s="1968"/>
      <c r="IP139" s="1968"/>
      <c r="IQ139" s="1968"/>
      <c r="IR139" s="1968"/>
      <c r="IS139" s="1968"/>
      <c r="IT139" s="1968"/>
      <c r="IU139" s="1968"/>
      <c r="IV139" s="1968"/>
      <c r="IW139" s="1968"/>
      <c r="IX139" s="1968"/>
      <c r="IY139" s="1968"/>
      <c r="IZ139" s="1968"/>
      <c r="JA139" s="1968"/>
      <c r="JB139" s="1968"/>
      <c r="JC139" s="1968"/>
      <c r="JD139" s="1968"/>
      <c r="JE139" s="1968"/>
      <c r="JF139" s="1968"/>
      <c r="JG139" s="1968"/>
      <c r="JH139" s="1968"/>
      <c r="JI139" s="1968"/>
      <c r="JJ139" s="1968"/>
      <c r="JK139" s="1968"/>
      <c r="JL139" s="1968"/>
      <c r="JM139" s="1968"/>
      <c r="JN139" s="1968"/>
      <c r="JO139" s="1968"/>
      <c r="JP139" s="1968"/>
      <c r="JQ139" s="1968"/>
      <c r="JR139" s="1968"/>
      <c r="JS139" s="1968"/>
      <c r="JT139" s="1968"/>
      <c r="JU139" s="1968"/>
      <c r="JV139" s="1968"/>
      <c r="JW139" s="1968"/>
      <c r="JX139" s="1968"/>
      <c r="JY139" s="1968"/>
      <c r="JZ139" s="1968"/>
      <c r="KA139" s="1968"/>
      <c r="KB139" s="1968"/>
      <c r="KC139" s="1968"/>
      <c r="KD139" s="1968"/>
      <c r="KE139" s="1968"/>
      <c r="KF139" s="1968"/>
      <c r="KG139" s="1968"/>
      <c r="KH139" s="1968"/>
      <c r="KI139" s="1968"/>
      <c r="KJ139" s="1968"/>
      <c r="KK139" s="1968"/>
      <c r="KL139" s="1968"/>
      <c r="KM139" s="1968"/>
      <c r="KN139" s="1968"/>
      <c r="KO139" s="1968"/>
      <c r="KP139" s="1968"/>
      <c r="KQ139" s="1968"/>
      <c r="KR139" s="1968"/>
      <c r="KS139" s="1968"/>
      <c r="KT139" s="1968"/>
      <c r="KU139" s="1968"/>
      <c r="KV139" s="1968"/>
      <c r="KW139" s="1968"/>
      <c r="KX139" s="1968"/>
      <c r="KY139" s="1968"/>
      <c r="KZ139" s="1968"/>
      <c r="LA139" s="1968"/>
      <c r="LB139" s="1968"/>
      <c r="LC139" s="1968"/>
      <c r="LD139" s="1968"/>
      <c r="LE139" s="1968"/>
      <c r="LF139" s="1968"/>
      <c r="LG139" s="1968"/>
      <c r="LH139" s="1968"/>
      <c r="LI139" s="1968"/>
      <c r="LJ139" s="1968"/>
      <c r="LK139" s="1968"/>
      <c r="LL139" s="1968"/>
      <c r="LM139" s="1968"/>
      <c r="LN139" s="1968"/>
      <c r="LO139" s="1968"/>
      <c r="LP139" s="1968"/>
      <c r="LQ139" s="1968"/>
      <c r="LR139" s="1968"/>
      <c r="LS139" s="1968"/>
      <c r="LT139" s="1968"/>
      <c r="LU139" s="1968"/>
      <c r="LV139" s="1968"/>
      <c r="LW139" s="1968"/>
      <c r="LX139" s="1968"/>
      <c r="LY139" s="1968"/>
      <c r="LZ139" s="1968"/>
      <c r="MA139" s="1968"/>
      <c r="MB139" s="1968"/>
      <c r="MC139" s="1968"/>
      <c r="MD139" s="1968"/>
      <c r="ME139" s="1968"/>
      <c r="MF139" s="1968"/>
      <c r="MG139" s="1968"/>
      <c r="MH139" s="1968"/>
      <c r="MI139" s="1968"/>
      <c r="MJ139" s="1968"/>
      <c r="MK139" s="1968"/>
      <c r="ML139" s="1968"/>
      <c r="MM139" s="1968"/>
      <c r="MN139" s="1968"/>
      <c r="MO139" s="1968"/>
      <c r="MP139" s="1968"/>
      <c r="MQ139" s="1968"/>
      <c r="MR139" s="1968"/>
      <c r="MS139" s="1968"/>
      <c r="MT139" s="1968"/>
      <c r="MU139" s="1968"/>
      <c r="MV139" s="1968"/>
      <c r="MW139" s="1968"/>
      <c r="MX139" s="1968"/>
      <c r="MY139" s="1968"/>
      <c r="MZ139" s="1968"/>
      <c r="NA139" s="1968"/>
      <c r="NB139" s="1968"/>
      <c r="NC139" s="1968"/>
      <c r="ND139" s="1968"/>
      <c r="NE139" s="1968"/>
      <c r="NF139" s="1968"/>
      <c r="NG139" s="1968"/>
      <c r="NH139" s="1968"/>
      <c r="NI139" s="1968"/>
      <c r="NJ139" s="1968"/>
      <c r="NK139" s="1968"/>
      <c r="NL139" s="1968"/>
      <c r="NM139" s="1968"/>
      <c r="NN139" s="1968"/>
      <c r="NO139" s="1968"/>
      <c r="NP139" s="1968"/>
      <c r="NQ139" s="1968"/>
      <c r="NR139" s="1968"/>
      <c r="NS139" s="1968"/>
      <c r="NT139" s="1968"/>
      <c r="NU139" s="1968"/>
      <c r="NV139" s="1968"/>
      <c r="NW139" s="1968"/>
      <c r="NX139" s="1968"/>
      <c r="NY139" s="1968"/>
      <c r="NZ139" s="1968"/>
      <c r="OA139" s="1968"/>
      <c r="OB139" s="1968"/>
      <c r="OC139" s="1968"/>
      <c r="OD139" s="1968"/>
      <c r="OE139" s="1968"/>
    </row>
    <row r="140" spans="1:395">
      <c r="A140" s="1968"/>
      <c r="B140" s="1968"/>
      <c r="C140" s="1968"/>
      <c r="D140" s="1968"/>
      <c r="E140" s="1968"/>
      <c r="F140" s="1968"/>
      <c r="G140" s="1968"/>
      <c r="H140" s="1968"/>
      <c r="I140" s="1968"/>
      <c r="J140" s="1968"/>
      <c r="K140" s="1968"/>
      <c r="L140" s="1968"/>
      <c r="M140" s="1968"/>
      <c r="N140" s="1968"/>
      <c r="O140" s="1968"/>
      <c r="P140" s="1968"/>
      <c r="Q140" s="1968"/>
      <c r="R140" s="1968"/>
      <c r="S140" s="1968"/>
      <c r="T140" s="1968"/>
      <c r="U140" s="1968"/>
      <c r="V140" s="1968"/>
      <c r="W140" s="1968"/>
      <c r="X140" s="1968"/>
      <c r="Y140" s="1968"/>
      <c r="Z140" s="1968"/>
      <c r="AA140" s="1968"/>
      <c r="AB140" s="1968"/>
      <c r="AC140" s="1968"/>
      <c r="AD140" s="1968"/>
      <c r="AE140" s="1968"/>
      <c r="AF140" s="1968"/>
      <c r="AG140" s="1968"/>
      <c r="AH140" s="1968"/>
      <c r="AI140" s="1968"/>
      <c r="AJ140" s="1968"/>
      <c r="AK140" s="1968"/>
      <c r="AL140" s="1968"/>
      <c r="AM140" s="1968"/>
      <c r="AN140" s="1968"/>
      <c r="AO140" s="1968"/>
      <c r="AP140" s="1968"/>
      <c r="AQ140" s="1968"/>
      <c r="AR140" s="1968"/>
      <c r="AS140" s="1968"/>
      <c r="AT140" s="1968"/>
      <c r="AU140" s="1968"/>
      <c r="AV140" s="1968"/>
      <c r="AW140" s="1968"/>
      <c r="AX140" s="1968"/>
      <c r="AY140" s="1968"/>
      <c r="AZ140" s="1968"/>
      <c r="BA140" s="1968"/>
      <c r="BB140" s="1968"/>
      <c r="BC140" s="1968"/>
      <c r="BD140" s="1968"/>
      <c r="BE140" s="1968"/>
      <c r="BF140" s="1968"/>
      <c r="BG140" s="1968"/>
      <c r="BH140" s="1968"/>
      <c r="BI140" s="1968"/>
      <c r="BJ140" s="1968"/>
      <c r="BK140" s="1968"/>
      <c r="BL140" s="1968"/>
      <c r="BM140" s="1968"/>
      <c r="BN140" s="1968"/>
      <c r="BO140" s="1968"/>
      <c r="BP140" s="1968"/>
      <c r="BQ140" s="1968"/>
      <c r="BR140" s="1968"/>
      <c r="BS140" s="1968"/>
      <c r="BT140" s="1968"/>
      <c r="BU140" s="1968"/>
      <c r="BV140" s="1968"/>
      <c r="BW140" s="1968"/>
      <c r="BX140" s="1968"/>
      <c r="BY140" s="1968"/>
      <c r="BZ140" s="1968"/>
      <c r="CA140" s="1968"/>
      <c r="CB140" s="1968"/>
      <c r="CC140" s="1968"/>
      <c r="CD140" s="1968"/>
      <c r="CE140" s="1968"/>
      <c r="CF140" s="1968"/>
      <c r="CG140" s="1968"/>
      <c r="CH140" s="1968"/>
      <c r="CI140" s="1968"/>
      <c r="CJ140" s="1968"/>
      <c r="CK140" s="1968"/>
      <c r="CL140" s="1968"/>
      <c r="CM140" s="1968"/>
      <c r="CN140" s="1968"/>
      <c r="CO140" s="1968"/>
      <c r="CP140" s="1968"/>
      <c r="CQ140" s="1968"/>
      <c r="CR140" s="1968"/>
      <c r="CS140" s="1968"/>
      <c r="CT140" s="1968"/>
      <c r="CU140" s="1968"/>
      <c r="CV140" s="1968"/>
      <c r="CW140" s="1968"/>
      <c r="CX140" s="1968"/>
      <c r="CY140" s="1968"/>
      <c r="CZ140" s="1968"/>
      <c r="DA140" s="1968"/>
      <c r="DB140" s="1968"/>
      <c r="DC140" s="1968"/>
      <c r="DD140" s="1968"/>
      <c r="DE140" s="1968"/>
      <c r="DF140" s="1968"/>
      <c r="DG140" s="1968"/>
      <c r="DH140" s="1968"/>
      <c r="DI140" s="1968"/>
      <c r="DJ140" s="1968"/>
      <c r="DK140" s="1968"/>
      <c r="DL140" s="1968"/>
      <c r="DM140" s="1968"/>
      <c r="DN140" s="1968"/>
      <c r="DO140" s="1968"/>
      <c r="DP140" s="1968"/>
      <c r="DQ140" s="1968"/>
      <c r="DR140" s="1968"/>
      <c r="DS140" s="1968"/>
      <c r="DT140" s="1968"/>
      <c r="DU140" s="1968"/>
      <c r="DV140" s="1968"/>
      <c r="DW140" s="1968"/>
      <c r="DX140" s="1968"/>
      <c r="DY140" s="1968"/>
      <c r="DZ140" s="1968"/>
      <c r="EA140" s="1968"/>
      <c r="EB140" s="1968"/>
      <c r="EC140" s="1968"/>
      <c r="ED140" s="1968"/>
      <c r="EE140" s="1968"/>
      <c r="EF140" s="1968"/>
      <c r="EG140" s="1968"/>
      <c r="EH140" s="1968"/>
      <c r="EI140" s="1968"/>
      <c r="EJ140" s="1968"/>
      <c r="EK140" s="1968"/>
      <c r="EL140" s="1968"/>
      <c r="EM140" s="1968"/>
      <c r="EN140" s="1968"/>
      <c r="EO140" s="1968"/>
      <c r="EP140" s="1968"/>
      <c r="EQ140" s="1968"/>
      <c r="ER140" s="1968"/>
      <c r="ES140" s="1968"/>
      <c r="ET140" s="1968"/>
      <c r="EU140" s="1968"/>
      <c r="EV140" s="1968"/>
      <c r="EW140" s="1968"/>
      <c r="EX140" s="1968"/>
      <c r="EY140" s="1968"/>
      <c r="EZ140" s="1968"/>
      <c r="FA140" s="1968"/>
      <c r="FB140" s="1968"/>
      <c r="FC140" s="1968"/>
      <c r="FD140" s="1968"/>
      <c r="FE140" s="1968"/>
      <c r="FF140" s="1968"/>
      <c r="FG140" s="1968"/>
      <c r="FH140" s="1968"/>
      <c r="FI140" s="1968"/>
      <c r="FJ140" s="1968"/>
      <c r="FK140" s="1968"/>
      <c r="FL140" s="1968"/>
      <c r="FM140" s="1968"/>
      <c r="FN140" s="1968"/>
      <c r="FO140" s="1968"/>
      <c r="FP140" s="1968"/>
      <c r="FQ140" s="1968"/>
      <c r="FR140" s="1968"/>
      <c r="FS140" s="1968"/>
      <c r="FT140" s="1968"/>
      <c r="FU140" s="1968"/>
      <c r="FV140" s="1968"/>
      <c r="FW140" s="1968"/>
      <c r="FX140" s="1968"/>
      <c r="FY140" s="1968"/>
      <c r="FZ140" s="1968"/>
      <c r="GA140" s="1968"/>
      <c r="GB140" s="1968"/>
      <c r="GC140" s="1968"/>
      <c r="GD140" s="1968"/>
      <c r="GE140" s="1968"/>
      <c r="GF140" s="1968"/>
      <c r="GG140" s="1968"/>
      <c r="GH140" s="1968"/>
      <c r="GI140" s="1968"/>
      <c r="GJ140" s="1968"/>
      <c r="GK140" s="1968"/>
      <c r="GL140" s="1968"/>
      <c r="GM140" s="1968"/>
      <c r="GN140" s="1968"/>
      <c r="GO140" s="1968"/>
      <c r="GP140" s="1968"/>
      <c r="GQ140" s="1968"/>
      <c r="GR140" s="1968"/>
      <c r="GS140" s="1968"/>
      <c r="GT140" s="1968"/>
      <c r="GU140" s="1968"/>
      <c r="GV140" s="1968"/>
      <c r="GW140" s="1968"/>
      <c r="GX140" s="1968"/>
      <c r="GY140" s="1968"/>
      <c r="GZ140" s="1968"/>
      <c r="HA140" s="1968"/>
      <c r="HB140" s="1968"/>
      <c r="HC140" s="1968"/>
      <c r="HD140" s="1968"/>
      <c r="HE140" s="1968"/>
      <c r="HF140" s="1968"/>
      <c r="HG140" s="1968"/>
      <c r="HH140" s="1968"/>
      <c r="HI140" s="1968"/>
      <c r="HJ140" s="1968"/>
      <c r="HK140" s="1968"/>
      <c r="HL140" s="1968"/>
      <c r="HM140" s="1968"/>
      <c r="HN140" s="1968"/>
      <c r="HO140" s="1968"/>
      <c r="HP140" s="1968"/>
      <c r="HQ140" s="1968"/>
      <c r="HR140" s="1968"/>
      <c r="HS140" s="1968"/>
      <c r="HT140" s="1968"/>
      <c r="HU140" s="1968"/>
      <c r="HV140" s="1968"/>
      <c r="HW140" s="1968"/>
      <c r="HX140" s="1968"/>
      <c r="HY140" s="1968"/>
      <c r="HZ140" s="1968"/>
      <c r="IA140" s="1968"/>
      <c r="IB140" s="1968"/>
      <c r="IC140" s="1968"/>
      <c r="ID140" s="1968"/>
      <c r="IE140" s="1968"/>
      <c r="IF140" s="1968"/>
      <c r="IG140" s="1968"/>
      <c r="IH140" s="1968"/>
      <c r="II140" s="1968"/>
      <c r="IJ140" s="1968"/>
      <c r="IK140" s="1968"/>
      <c r="IL140" s="1968"/>
      <c r="IM140" s="1968"/>
      <c r="IN140" s="1968"/>
      <c r="IO140" s="1968"/>
      <c r="IP140" s="1968"/>
      <c r="IQ140" s="1968"/>
      <c r="IR140" s="1968"/>
      <c r="IS140" s="1968"/>
      <c r="IT140" s="1968"/>
      <c r="IU140" s="1968"/>
      <c r="IV140" s="1968"/>
      <c r="IW140" s="1968"/>
      <c r="IX140" s="1968"/>
      <c r="IY140" s="1968"/>
      <c r="IZ140" s="1968"/>
      <c r="JA140" s="1968"/>
      <c r="JB140" s="1968"/>
      <c r="JC140" s="1968"/>
      <c r="JD140" s="1968"/>
      <c r="JE140" s="1968"/>
      <c r="JF140" s="1968"/>
      <c r="JG140" s="1968"/>
      <c r="JH140" s="1968"/>
      <c r="JI140" s="1968"/>
      <c r="JJ140" s="1968"/>
      <c r="JK140" s="1968"/>
      <c r="JL140" s="1968"/>
      <c r="JM140" s="1968"/>
      <c r="JN140" s="1968"/>
      <c r="JO140" s="1968"/>
      <c r="JP140" s="1968"/>
      <c r="JQ140" s="1968"/>
      <c r="JR140" s="1968"/>
      <c r="JS140" s="1968"/>
      <c r="JT140" s="1968"/>
      <c r="JU140" s="1968"/>
      <c r="JV140" s="1968"/>
      <c r="JW140" s="1968"/>
      <c r="JX140" s="1968"/>
      <c r="JY140" s="1968"/>
      <c r="JZ140" s="1968"/>
      <c r="KA140" s="1968"/>
      <c r="KB140" s="1968"/>
      <c r="KC140" s="1968"/>
      <c r="KD140" s="1968"/>
      <c r="KE140" s="1968"/>
      <c r="KF140" s="1968"/>
      <c r="KG140" s="1968"/>
      <c r="KH140" s="1968"/>
      <c r="KI140" s="1968"/>
      <c r="KJ140" s="1968"/>
      <c r="KK140" s="1968"/>
      <c r="KL140" s="1968"/>
      <c r="KM140" s="1968"/>
      <c r="KN140" s="1968"/>
      <c r="KO140" s="1968"/>
      <c r="KP140" s="1968"/>
      <c r="KQ140" s="1968"/>
      <c r="KR140" s="1968"/>
      <c r="KS140" s="1968"/>
      <c r="KT140" s="1968"/>
      <c r="KU140" s="1968"/>
      <c r="KV140" s="1968"/>
      <c r="KW140" s="1968"/>
      <c r="KX140" s="1968"/>
      <c r="KY140" s="1968"/>
      <c r="KZ140" s="1968"/>
      <c r="LA140" s="1968"/>
      <c r="LB140" s="1968"/>
      <c r="LC140" s="1968"/>
      <c r="LD140" s="1968"/>
      <c r="LE140" s="1968"/>
      <c r="LF140" s="1968"/>
      <c r="LG140" s="1968"/>
      <c r="LH140" s="1968"/>
      <c r="LI140" s="1968"/>
      <c r="LJ140" s="1968"/>
      <c r="LK140" s="1968"/>
      <c r="LL140" s="1968"/>
      <c r="LM140" s="1968"/>
      <c r="LN140" s="1968"/>
      <c r="LO140" s="1968"/>
      <c r="LP140" s="1968"/>
      <c r="LQ140" s="1968"/>
      <c r="LR140" s="1968"/>
      <c r="LS140" s="1968"/>
      <c r="LT140" s="1968"/>
      <c r="LU140" s="1968"/>
      <c r="LV140" s="1968"/>
      <c r="LW140" s="1968"/>
      <c r="LX140" s="1968"/>
      <c r="LY140" s="1968"/>
      <c r="LZ140" s="1968"/>
      <c r="MA140" s="1968"/>
      <c r="MB140" s="1968"/>
      <c r="MC140" s="1968"/>
      <c r="MD140" s="1968"/>
      <c r="ME140" s="1968"/>
      <c r="MF140" s="1968"/>
      <c r="MG140" s="1968"/>
      <c r="MH140" s="1968"/>
      <c r="MI140" s="1968"/>
      <c r="MJ140" s="1968"/>
      <c r="MK140" s="1968"/>
      <c r="ML140" s="1968"/>
      <c r="MM140" s="1968"/>
      <c r="MN140" s="1968"/>
      <c r="MO140" s="1968"/>
      <c r="MP140" s="1968"/>
      <c r="MQ140" s="1968"/>
      <c r="MR140" s="1968"/>
      <c r="MS140" s="1968"/>
      <c r="MT140" s="1968"/>
      <c r="MU140" s="1968"/>
      <c r="MV140" s="1968"/>
      <c r="MW140" s="1968"/>
      <c r="MX140" s="1968"/>
      <c r="MY140" s="1968"/>
      <c r="MZ140" s="1968"/>
      <c r="NA140" s="1968"/>
      <c r="NB140" s="1968"/>
      <c r="NC140" s="1968"/>
      <c r="ND140" s="1968"/>
      <c r="NE140" s="1968"/>
      <c r="NF140" s="1968"/>
      <c r="NG140" s="1968"/>
      <c r="NH140" s="1968"/>
      <c r="NI140" s="1968"/>
      <c r="NJ140" s="1968"/>
      <c r="NK140" s="1968"/>
      <c r="NL140" s="1968"/>
      <c r="NM140" s="1968"/>
      <c r="NN140" s="1968"/>
      <c r="NO140" s="1968"/>
      <c r="NP140" s="1968"/>
      <c r="NQ140" s="1968"/>
      <c r="NR140" s="1968"/>
      <c r="NS140" s="1968"/>
      <c r="NT140" s="1968"/>
      <c r="NU140" s="1968"/>
      <c r="NV140" s="1968"/>
      <c r="NW140" s="1968"/>
      <c r="NX140" s="1968"/>
      <c r="NY140" s="1968"/>
      <c r="NZ140" s="1968"/>
      <c r="OA140" s="1968"/>
      <c r="OB140" s="1968"/>
      <c r="OC140" s="1968"/>
      <c r="OD140" s="1968"/>
      <c r="OE140" s="1968"/>
    </row>
    <row r="141" spans="1:395">
      <c r="A141" s="1968"/>
      <c r="B141" s="1968"/>
      <c r="C141" s="1968"/>
      <c r="D141" s="1968"/>
      <c r="E141" s="1968"/>
      <c r="F141" s="1968"/>
      <c r="G141" s="1968"/>
      <c r="H141" s="1968"/>
      <c r="I141" s="1968"/>
      <c r="J141" s="1968"/>
      <c r="K141" s="1968"/>
      <c r="L141" s="1968"/>
      <c r="M141" s="1968"/>
      <c r="N141" s="1968"/>
      <c r="O141" s="1968"/>
      <c r="P141" s="1968"/>
      <c r="Q141" s="1968"/>
      <c r="R141" s="1968"/>
      <c r="S141" s="1968"/>
      <c r="T141" s="1968"/>
      <c r="U141" s="1968"/>
      <c r="V141" s="1968"/>
      <c r="W141" s="1968"/>
      <c r="X141" s="1968"/>
      <c r="Y141" s="1968"/>
      <c r="Z141" s="1968"/>
      <c r="AA141" s="1968"/>
      <c r="AB141" s="1968"/>
      <c r="AC141" s="1968"/>
      <c r="AD141" s="1968"/>
      <c r="AE141" s="1968"/>
      <c r="AF141" s="1968"/>
      <c r="AG141" s="1968"/>
      <c r="AH141" s="1968"/>
      <c r="AI141" s="1968"/>
      <c r="AJ141" s="1968"/>
      <c r="AK141" s="1968"/>
      <c r="AL141" s="1968"/>
      <c r="AM141" s="1968"/>
      <c r="AN141" s="1968"/>
      <c r="AO141" s="1968"/>
      <c r="AP141" s="1968"/>
      <c r="AQ141" s="1968"/>
      <c r="AR141" s="1968"/>
      <c r="AS141" s="1968"/>
      <c r="AT141" s="1968"/>
      <c r="AU141" s="1968"/>
      <c r="AV141" s="1968"/>
      <c r="AW141" s="1968"/>
      <c r="AX141" s="1968"/>
      <c r="AY141" s="1968"/>
      <c r="AZ141" s="1968"/>
      <c r="BA141" s="1968"/>
      <c r="BB141" s="1968"/>
      <c r="BC141" s="1968"/>
      <c r="BD141" s="1968"/>
      <c r="BE141" s="1968"/>
      <c r="BF141" s="1968"/>
      <c r="BG141" s="1968"/>
      <c r="BH141" s="1968"/>
      <c r="BI141" s="1968"/>
      <c r="BJ141" s="1968"/>
      <c r="BK141" s="1968"/>
      <c r="BL141" s="1968"/>
      <c r="BM141" s="1968"/>
      <c r="BN141" s="1968"/>
      <c r="BO141" s="1968"/>
      <c r="BP141" s="1968"/>
      <c r="BQ141" s="1968"/>
      <c r="BR141" s="1968"/>
      <c r="BS141" s="1968"/>
      <c r="BT141" s="1968"/>
      <c r="BU141" s="1968"/>
      <c r="BV141" s="1968"/>
      <c r="BW141" s="1968"/>
      <c r="BX141" s="1968"/>
      <c r="BY141" s="1968"/>
      <c r="BZ141" s="1968"/>
      <c r="CA141" s="1968"/>
      <c r="CB141" s="1968"/>
      <c r="CC141" s="1968"/>
      <c r="CD141" s="1968"/>
      <c r="CE141" s="1968"/>
      <c r="CF141" s="1968"/>
      <c r="CG141" s="1968"/>
      <c r="CH141" s="1968"/>
      <c r="CI141" s="1968"/>
      <c r="CJ141" s="1968"/>
      <c r="CK141" s="1968"/>
      <c r="CL141" s="1968"/>
      <c r="CM141" s="1968"/>
      <c r="CN141" s="1968"/>
      <c r="CO141" s="1968"/>
      <c r="CP141" s="1968"/>
      <c r="CQ141" s="1968"/>
      <c r="CR141" s="1968"/>
      <c r="CS141" s="1968"/>
      <c r="CT141" s="1968"/>
      <c r="CU141" s="1968"/>
      <c r="CV141" s="1968"/>
      <c r="CW141" s="1968"/>
      <c r="CX141" s="1968"/>
      <c r="CY141" s="1968"/>
      <c r="CZ141" s="1968"/>
      <c r="DA141" s="1968"/>
      <c r="DB141" s="1968"/>
      <c r="DC141" s="1968"/>
      <c r="DD141" s="1968"/>
      <c r="DE141" s="1968"/>
      <c r="DF141" s="1968"/>
      <c r="DG141" s="1968"/>
      <c r="DH141" s="1968"/>
      <c r="DI141" s="1968"/>
      <c r="DJ141" s="1968"/>
      <c r="DK141" s="1968"/>
      <c r="DL141" s="1968"/>
      <c r="DM141" s="1968"/>
      <c r="DN141" s="1968"/>
      <c r="DO141" s="1968"/>
      <c r="DP141" s="1968"/>
      <c r="DQ141" s="1968"/>
      <c r="DR141" s="1968"/>
      <c r="DS141" s="1968"/>
      <c r="DT141" s="1968"/>
      <c r="DU141" s="1968"/>
      <c r="DV141" s="1968"/>
      <c r="DW141" s="1968"/>
      <c r="DX141" s="1968"/>
      <c r="DY141" s="1968"/>
      <c r="DZ141" s="1968"/>
      <c r="EA141" s="1968"/>
      <c r="EB141" s="1968"/>
      <c r="EC141" s="1968"/>
      <c r="ED141" s="1968"/>
      <c r="EE141" s="1968"/>
      <c r="EF141" s="1968"/>
      <c r="EG141" s="1968"/>
      <c r="EH141" s="1968"/>
      <c r="EI141" s="1968"/>
      <c r="EJ141" s="1968"/>
      <c r="EK141" s="1968"/>
      <c r="EL141" s="1968"/>
      <c r="EM141" s="1968"/>
      <c r="EN141" s="1968"/>
      <c r="EO141" s="1968"/>
      <c r="EP141" s="1968"/>
      <c r="EQ141" s="1968"/>
      <c r="ER141" s="1968"/>
      <c r="ES141" s="1968"/>
      <c r="ET141" s="1968"/>
      <c r="EU141" s="1968"/>
      <c r="EV141" s="1968"/>
      <c r="EW141" s="1968"/>
      <c r="EX141" s="1968"/>
      <c r="EY141" s="1968"/>
      <c r="EZ141" s="1968"/>
      <c r="FA141" s="1968"/>
      <c r="FB141" s="1968"/>
      <c r="FC141" s="1968"/>
      <c r="FD141" s="1968"/>
      <c r="FE141" s="1968"/>
      <c r="FF141" s="1968"/>
      <c r="FG141" s="1968"/>
      <c r="FH141" s="1968"/>
      <c r="FI141" s="1968"/>
      <c r="FJ141" s="1968"/>
      <c r="FK141" s="1968"/>
      <c r="FL141" s="1968"/>
      <c r="FM141" s="1968"/>
      <c r="FN141" s="1968"/>
      <c r="FO141" s="1968"/>
      <c r="FP141" s="1968"/>
      <c r="FQ141" s="1968"/>
      <c r="FR141" s="1968"/>
      <c r="FS141" s="1968"/>
      <c r="FT141" s="1968"/>
      <c r="FU141" s="1968"/>
      <c r="FV141" s="1968"/>
      <c r="FW141" s="1968"/>
      <c r="FX141" s="1968"/>
      <c r="FY141" s="1968"/>
      <c r="FZ141" s="1968"/>
      <c r="GA141" s="1968"/>
      <c r="GB141" s="1968"/>
      <c r="GC141" s="1968"/>
      <c r="GD141" s="1968"/>
      <c r="GE141" s="1968"/>
      <c r="GF141" s="1968"/>
      <c r="GG141" s="1968"/>
      <c r="GH141" s="1968"/>
      <c r="GI141" s="1968"/>
      <c r="GJ141" s="1968"/>
      <c r="GK141" s="1968"/>
      <c r="GL141" s="1968"/>
      <c r="GM141" s="1968"/>
      <c r="GN141" s="1968"/>
      <c r="GO141" s="1968"/>
      <c r="GP141" s="1968"/>
      <c r="GQ141" s="1968"/>
      <c r="GR141" s="1968"/>
      <c r="GS141" s="1968"/>
      <c r="GT141" s="1968"/>
      <c r="GU141" s="1968"/>
      <c r="GV141" s="1968"/>
      <c r="GW141" s="1968"/>
      <c r="GX141" s="1968"/>
      <c r="GY141" s="1968"/>
      <c r="GZ141" s="1968"/>
      <c r="HA141" s="1968"/>
      <c r="HB141" s="1968"/>
      <c r="HC141" s="1968"/>
      <c r="HD141" s="1968"/>
      <c r="HE141" s="1968"/>
      <c r="HF141" s="1968"/>
      <c r="HG141" s="1968"/>
      <c r="HH141" s="1968"/>
      <c r="HI141" s="1968"/>
      <c r="HJ141" s="1968"/>
      <c r="HK141" s="1968"/>
      <c r="HL141" s="1968"/>
      <c r="HM141" s="1968"/>
      <c r="HN141" s="1968"/>
      <c r="HO141" s="1968"/>
      <c r="HP141" s="1968"/>
      <c r="HQ141" s="1968"/>
      <c r="HR141" s="1968"/>
      <c r="HS141" s="1968"/>
      <c r="HT141" s="1968"/>
      <c r="HU141" s="1968"/>
      <c r="HV141" s="1968"/>
      <c r="HW141" s="1968"/>
      <c r="HX141" s="1968"/>
      <c r="HY141" s="1968"/>
      <c r="HZ141" s="1968"/>
      <c r="IA141" s="1968"/>
      <c r="IB141" s="1968"/>
      <c r="IC141" s="1968"/>
      <c r="ID141" s="1968"/>
      <c r="IE141" s="1968"/>
      <c r="IF141" s="1968"/>
      <c r="IG141" s="1968"/>
      <c r="IH141" s="1968"/>
      <c r="II141" s="1968"/>
      <c r="IJ141" s="1968"/>
      <c r="IK141" s="1968"/>
      <c r="IL141" s="1968"/>
      <c r="IM141" s="1968"/>
      <c r="IN141" s="1968"/>
      <c r="IO141" s="1968"/>
      <c r="IP141" s="1968"/>
      <c r="IQ141" s="1968"/>
      <c r="IR141" s="1968"/>
      <c r="IS141" s="1968"/>
      <c r="IT141" s="1968"/>
      <c r="IU141" s="1968"/>
      <c r="IV141" s="1968"/>
      <c r="IW141" s="1968"/>
      <c r="IX141" s="1968"/>
      <c r="IY141" s="1968"/>
      <c r="IZ141" s="1968"/>
      <c r="JA141" s="1968"/>
      <c r="JB141" s="1968"/>
      <c r="JC141" s="1968"/>
      <c r="JD141" s="1968"/>
      <c r="JE141" s="1968"/>
      <c r="JF141" s="1968"/>
      <c r="JG141" s="1968"/>
      <c r="JH141" s="1968"/>
      <c r="JI141" s="1968"/>
      <c r="JJ141" s="1968"/>
      <c r="JK141" s="1968"/>
      <c r="JL141" s="1968"/>
      <c r="JM141" s="1968"/>
      <c r="JN141" s="1968"/>
      <c r="JO141" s="1968"/>
      <c r="JP141" s="1968"/>
      <c r="JQ141" s="1968"/>
      <c r="JR141" s="1968"/>
      <c r="JS141" s="1968"/>
      <c r="JT141" s="1968"/>
      <c r="JU141" s="1968"/>
      <c r="JV141" s="1968"/>
      <c r="JW141" s="1968"/>
      <c r="JX141" s="1968"/>
      <c r="JY141" s="1968"/>
      <c r="JZ141" s="1968"/>
      <c r="KA141" s="1968"/>
      <c r="KB141" s="1968"/>
      <c r="KC141" s="1968"/>
      <c r="KD141" s="1968"/>
      <c r="KE141" s="1968"/>
      <c r="KF141" s="1968"/>
      <c r="KG141" s="1968"/>
      <c r="KH141" s="1968"/>
      <c r="KI141" s="1968"/>
      <c r="KJ141" s="1968"/>
      <c r="KK141" s="1968"/>
      <c r="KL141" s="1968"/>
      <c r="KM141" s="1968"/>
      <c r="KN141" s="1968"/>
      <c r="KO141" s="1968"/>
      <c r="KP141" s="1968"/>
      <c r="KQ141" s="1968"/>
      <c r="KR141" s="1968"/>
      <c r="KS141" s="1968"/>
      <c r="KT141" s="1968"/>
      <c r="KU141" s="1968"/>
      <c r="KV141" s="1968"/>
      <c r="KW141" s="1968"/>
      <c r="KX141" s="1968"/>
      <c r="KY141" s="1968"/>
      <c r="KZ141" s="1968"/>
      <c r="LA141" s="1968"/>
      <c r="LB141" s="1968"/>
      <c r="LC141" s="1968"/>
      <c r="LD141" s="1968"/>
      <c r="LE141" s="1968"/>
      <c r="LF141" s="1968"/>
      <c r="LG141" s="1968"/>
      <c r="LH141" s="1968"/>
      <c r="LI141" s="1968"/>
      <c r="LJ141" s="1968"/>
      <c r="LK141" s="1968"/>
      <c r="LL141" s="1968"/>
      <c r="LM141" s="1968"/>
      <c r="LN141" s="1968"/>
      <c r="LO141" s="1968"/>
      <c r="LP141" s="1968"/>
      <c r="LQ141" s="1968"/>
      <c r="LR141" s="1968"/>
      <c r="LS141" s="1968"/>
      <c r="LT141" s="1968"/>
      <c r="LU141" s="1968"/>
      <c r="LV141" s="1968"/>
      <c r="LW141" s="1968"/>
      <c r="LX141" s="1968"/>
      <c r="LY141" s="1968"/>
      <c r="LZ141" s="1968"/>
      <c r="MA141" s="1968"/>
      <c r="MB141" s="1968"/>
      <c r="MC141" s="1968"/>
      <c r="MD141" s="1968"/>
      <c r="ME141" s="1968"/>
      <c r="MF141" s="1968"/>
      <c r="MG141" s="1968"/>
      <c r="MH141" s="1968"/>
      <c r="MI141" s="1968"/>
      <c r="MJ141" s="1968"/>
      <c r="MK141" s="1968"/>
      <c r="ML141" s="1968"/>
      <c r="MM141" s="1968"/>
      <c r="MN141" s="1968"/>
      <c r="MO141" s="1968"/>
      <c r="MP141" s="1968"/>
      <c r="MQ141" s="1968"/>
      <c r="MR141" s="1968"/>
      <c r="MS141" s="1968"/>
      <c r="MT141" s="1968"/>
      <c r="MU141" s="1968"/>
      <c r="MV141" s="1968"/>
      <c r="MW141" s="1968"/>
      <c r="MX141" s="1968"/>
      <c r="MY141" s="1968"/>
      <c r="MZ141" s="1968"/>
      <c r="NA141" s="1968"/>
      <c r="NB141" s="1968"/>
      <c r="NC141" s="1968"/>
      <c r="ND141" s="1968"/>
      <c r="NE141" s="1968"/>
      <c r="NF141" s="1968"/>
      <c r="NG141" s="1968"/>
      <c r="NH141" s="1968"/>
      <c r="NI141" s="1968"/>
      <c r="NJ141" s="1968"/>
      <c r="NK141" s="1968"/>
      <c r="NL141" s="1968"/>
      <c r="NM141" s="1968"/>
      <c r="NN141" s="1968"/>
      <c r="NO141" s="1968"/>
      <c r="NP141" s="1968"/>
      <c r="NQ141" s="1968"/>
      <c r="NR141" s="1968"/>
      <c r="NS141" s="1968"/>
      <c r="NT141" s="1968"/>
      <c r="NU141" s="1968"/>
      <c r="NV141" s="1968"/>
      <c r="NW141" s="1968"/>
      <c r="NX141" s="1968"/>
      <c r="NY141" s="1968"/>
      <c r="NZ141" s="1968"/>
      <c r="OA141" s="1968"/>
      <c r="OB141" s="1968"/>
      <c r="OC141" s="1968"/>
      <c r="OD141" s="1968"/>
      <c r="OE141" s="1968"/>
    </row>
    <row r="142" spans="1:395">
      <c r="A142" s="1968"/>
      <c r="B142" s="1968"/>
      <c r="C142" s="1968"/>
      <c r="D142" s="1968"/>
      <c r="E142" s="1968"/>
      <c r="F142" s="1968"/>
      <c r="G142" s="1968"/>
      <c r="H142" s="1968"/>
      <c r="I142" s="1968"/>
      <c r="J142" s="1968"/>
      <c r="K142" s="1968"/>
      <c r="L142" s="1968"/>
      <c r="M142" s="1968"/>
      <c r="N142" s="1968"/>
      <c r="O142" s="1968"/>
      <c r="P142" s="1968"/>
      <c r="Q142" s="1968"/>
      <c r="R142" s="1968"/>
      <c r="S142" s="1968"/>
      <c r="T142" s="1968"/>
      <c r="U142" s="1968"/>
      <c r="V142" s="1968"/>
      <c r="W142" s="1968"/>
      <c r="X142" s="1968"/>
      <c r="Y142" s="1968"/>
      <c r="Z142" s="1968"/>
      <c r="AA142" s="1968"/>
      <c r="AB142" s="1968"/>
      <c r="AC142" s="1968"/>
      <c r="AD142" s="1968"/>
      <c r="AE142" s="1968"/>
      <c r="AF142" s="1968"/>
      <c r="AG142" s="1968"/>
      <c r="AH142" s="1968"/>
      <c r="AI142" s="1968"/>
      <c r="AJ142" s="1968"/>
      <c r="AK142" s="1968"/>
      <c r="AL142" s="1968"/>
      <c r="AM142" s="1968"/>
      <c r="AN142" s="1968"/>
      <c r="AO142" s="1968"/>
      <c r="AP142" s="1968"/>
      <c r="AQ142" s="1968"/>
      <c r="AR142" s="1968"/>
      <c r="AS142" s="1968"/>
      <c r="AT142" s="1968"/>
      <c r="AU142" s="1968"/>
      <c r="AV142" s="1968"/>
      <c r="AW142" s="1968"/>
      <c r="AX142" s="1968"/>
      <c r="AY142" s="1968"/>
      <c r="AZ142" s="1968"/>
      <c r="BA142" s="1968"/>
      <c r="BB142" s="1968"/>
      <c r="BC142" s="1968"/>
      <c r="BD142" s="1968"/>
      <c r="BE142" s="1968"/>
      <c r="BF142" s="1968"/>
      <c r="BG142" s="1968"/>
      <c r="BH142" s="1968"/>
      <c r="BI142" s="1968"/>
      <c r="BJ142" s="1968"/>
      <c r="BK142" s="1968"/>
      <c r="BL142" s="1968"/>
      <c r="BM142" s="1968"/>
      <c r="BN142" s="1968"/>
      <c r="BO142" s="1968"/>
      <c r="BP142" s="1968"/>
      <c r="BQ142" s="1968"/>
      <c r="BR142" s="1968"/>
      <c r="BS142" s="1968"/>
      <c r="BT142" s="1968"/>
      <c r="BU142" s="1968"/>
      <c r="BV142" s="1968"/>
      <c r="BW142" s="1968"/>
      <c r="BX142" s="1968"/>
      <c r="BY142" s="1968"/>
      <c r="BZ142" s="1968"/>
      <c r="CA142" s="1968"/>
      <c r="CB142" s="1968"/>
      <c r="CC142" s="1968"/>
      <c r="CD142" s="1968"/>
      <c r="CE142" s="1968"/>
      <c r="CF142" s="1968"/>
      <c r="CG142" s="1968"/>
      <c r="CH142" s="1968"/>
      <c r="CI142" s="1968"/>
      <c r="CJ142" s="1968"/>
      <c r="CK142" s="1968"/>
      <c r="CL142" s="1968"/>
      <c r="CM142" s="1968"/>
      <c r="CN142" s="1968"/>
      <c r="CO142" s="1968"/>
      <c r="CP142" s="1968"/>
      <c r="CQ142" s="1968"/>
      <c r="CR142" s="1968"/>
      <c r="CS142" s="1968"/>
      <c r="CT142" s="1968"/>
      <c r="CU142" s="1968"/>
      <c r="CV142" s="1968"/>
      <c r="CW142" s="1968"/>
      <c r="CX142" s="1968"/>
      <c r="CY142" s="1968"/>
      <c r="CZ142" s="1968"/>
      <c r="DA142" s="1968"/>
      <c r="DB142" s="1968"/>
      <c r="DC142" s="1968"/>
      <c r="DD142" s="1968"/>
      <c r="DE142" s="1968"/>
      <c r="DF142" s="1968"/>
      <c r="DG142" s="1968"/>
      <c r="DH142" s="1968"/>
      <c r="DI142" s="1968"/>
      <c r="DJ142" s="1968"/>
      <c r="DK142" s="1968"/>
      <c r="DL142" s="1968"/>
      <c r="DM142" s="1968"/>
      <c r="DN142" s="1968"/>
      <c r="DO142" s="1968"/>
      <c r="DP142" s="1968"/>
      <c r="DQ142" s="1968"/>
      <c r="DR142" s="1968"/>
      <c r="DS142" s="1968"/>
      <c r="DT142" s="1968"/>
      <c r="DU142" s="1968"/>
      <c r="DV142" s="1968"/>
      <c r="DW142" s="1968"/>
      <c r="DX142" s="1968"/>
      <c r="DY142" s="1968"/>
      <c r="DZ142" s="1968"/>
      <c r="EA142" s="1968"/>
      <c r="EB142" s="1968"/>
      <c r="EC142" s="1968"/>
      <c r="ED142" s="1968"/>
      <c r="EE142" s="1968"/>
      <c r="EF142" s="1968"/>
      <c r="EG142" s="1968"/>
      <c r="EH142" s="1968"/>
      <c r="EI142" s="1968"/>
      <c r="EJ142" s="1968"/>
      <c r="EK142" s="1968"/>
      <c r="EL142" s="1968"/>
      <c r="EM142" s="1968"/>
      <c r="EN142" s="1968"/>
      <c r="EO142" s="1968"/>
      <c r="EP142" s="1968"/>
      <c r="EQ142" s="1968"/>
      <c r="ER142" s="1968"/>
      <c r="ES142" s="1968"/>
      <c r="ET142" s="1968"/>
      <c r="EU142" s="1968"/>
      <c r="EV142" s="1968"/>
      <c r="EW142" s="1968"/>
      <c r="EX142" s="1968"/>
      <c r="EY142" s="1968"/>
      <c r="EZ142" s="1968"/>
      <c r="FA142" s="1968"/>
      <c r="FB142" s="1968"/>
      <c r="FC142" s="1968"/>
      <c r="FD142" s="1968"/>
      <c r="FE142" s="1968"/>
      <c r="FF142" s="1968"/>
      <c r="FG142" s="1968"/>
      <c r="FH142" s="1968"/>
      <c r="FI142" s="1968"/>
      <c r="FJ142" s="1968"/>
      <c r="FK142" s="1968"/>
      <c r="FL142" s="1968"/>
      <c r="FM142" s="1968"/>
      <c r="FN142" s="1968"/>
      <c r="FO142" s="1968"/>
      <c r="FP142" s="1968"/>
      <c r="FQ142" s="1968"/>
      <c r="FR142" s="1968"/>
      <c r="FS142" s="1968"/>
      <c r="FT142" s="1968"/>
      <c r="FU142" s="1968"/>
      <c r="FV142" s="1968"/>
      <c r="FW142" s="1968"/>
      <c r="FX142" s="1968"/>
      <c r="FY142" s="1968"/>
      <c r="FZ142" s="1968"/>
      <c r="GA142" s="1968"/>
      <c r="GB142" s="1968"/>
      <c r="GC142" s="1968"/>
      <c r="GD142" s="1968"/>
      <c r="GE142" s="1968"/>
      <c r="GF142" s="1968"/>
      <c r="GG142" s="1968"/>
      <c r="GH142" s="1968"/>
      <c r="GI142" s="1968"/>
      <c r="GJ142" s="1968"/>
      <c r="GK142" s="1968"/>
      <c r="GL142" s="1968"/>
      <c r="GM142" s="1968"/>
      <c r="GN142" s="1968"/>
      <c r="GO142" s="1968"/>
      <c r="GP142" s="1968"/>
      <c r="GQ142" s="1968"/>
      <c r="GR142" s="1968"/>
      <c r="GS142" s="1968"/>
      <c r="GT142" s="1968"/>
      <c r="GU142" s="1968"/>
      <c r="GV142" s="1968"/>
      <c r="GW142" s="1968"/>
      <c r="GX142" s="1968"/>
      <c r="GY142" s="1968"/>
      <c r="GZ142" s="1968"/>
      <c r="HA142" s="1968"/>
      <c r="HB142" s="1968"/>
      <c r="HC142" s="1968"/>
      <c r="HD142" s="1968"/>
      <c r="HE142" s="1968"/>
      <c r="HF142" s="1968"/>
      <c r="HG142" s="1968"/>
      <c r="HH142" s="1968"/>
      <c r="HI142" s="1968"/>
      <c r="HJ142" s="1968"/>
      <c r="HK142" s="1968"/>
      <c r="HL142" s="1968"/>
      <c r="HM142" s="1968"/>
      <c r="HN142" s="1968"/>
      <c r="HO142" s="1968"/>
      <c r="HP142" s="1968"/>
      <c r="HQ142" s="1968"/>
      <c r="HR142" s="1968"/>
      <c r="HS142" s="1968"/>
      <c r="HT142" s="1968"/>
      <c r="HU142" s="1968"/>
      <c r="HV142" s="1968"/>
      <c r="HW142" s="1968"/>
      <c r="HX142" s="1968"/>
      <c r="HY142" s="1968"/>
      <c r="HZ142" s="1968"/>
      <c r="IA142" s="1968"/>
      <c r="IB142" s="1968"/>
      <c r="IC142" s="1968"/>
      <c r="ID142" s="1968"/>
      <c r="IE142" s="1968"/>
      <c r="IF142" s="1968"/>
      <c r="IG142" s="1968"/>
      <c r="IH142" s="1968"/>
      <c r="II142" s="1968"/>
      <c r="IJ142" s="1968"/>
      <c r="IK142" s="1968"/>
      <c r="IL142" s="1968"/>
      <c r="IM142" s="1968"/>
      <c r="IN142" s="1968"/>
      <c r="IO142" s="1968"/>
      <c r="IP142" s="1968"/>
      <c r="IQ142" s="1968"/>
      <c r="IR142" s="1968"/>
      <c r="IS142" s="1968"/>
      <c r="IT142" s="1968"/>
      <c r="IU142" s="1968"/>
      <c r="IV142" s="1968"/>
      <c r="IW142" s="1968"/>
      <c r="IX142" s="1968"/>
      <c r="IY142" s="1968"/>
      <c r="IZ142" s="1968"/>
      <c r="JA142" s="1968"/>
      <c r="JB142" s="1968"/>
      <c r="JC142" s="1968"/>
      <c r="JD142" s="1968"/>
      <c r="JE142" s="1968"/>
      <c r="JF142" s="1968"/>
      <c r="JG142" s="1968"/>
      <c r="JH142" s="1968"/>
      <c r="JI142" s="1968"/>
      <c r="JJ142" s="1968"/>
      <c r="JK142" s="1968"/>
      <c r="JL142" s="1968"/>
      <c r="JM142" s="1968"/>
      <c r="JN142" s="1968"/>
      <c r="JO142" s="1968"/>
      <c r="JP142" s="1968"/>
      <c r="JQ142" s="1968"/>
      <c r="JR142" s="1968"/>
      <c r="JS142" s="1968"/>
      <c r="JT142" s="1968"/>
      <c r="JU142" s="1968"/>
      <c r="JV142" s="1968"/>
      <c r="JW142" s="1968"/>
      <c r="JX142" s="1968"/>
      <c r="JY142" s="1968"/>
      <c r="JZ142" s="1968"/>
      <c r="KA142" s="1968"/>
      <c r="KB142" s="1968"/>
      <c r="KC142" s="1968"/>
      <c r="KD142" s="1968"/>
      <c r="KE142" s="1968"/>
      <c r="KF142" s="1968"/>
      <c r="KG142" s="1968"/>
      <c r="KH142" s="1968"/>
      <c r="KI142" s="1968"/>
      <c r="KJ142" s="1968"/>
      <c r="KK142" s="1968"/>
      <c r="KL142" s="1968"/>
      <c r="KM142" s="1968"/>
      <c r="KN142" s="1968"/>
      <c r="KO142" s="1968"/>
      <c r="KP142" s="1968"/>
      <c r="KQ142" s="1968"/>
      <c r="KR142" s="1968"/>
      <c r="KS142" s="1968"/>
      <c r="KT142" s="1968"/>
      <c r="KU142" s="1968"/>
      <c r="KV142" s="1968"/>
      <c r="KW142" s="1968"/>
      <c r="KX142" s="1968"/>
      <c r="KY142" s="1968"/>
      <c r="KZ142" s="1968"/>
      <c r="LA142" s="1968"/>
      <c r="LB142" s="1968"/>
      <c r="LC142" s="1968"/>
      <c r="LD142" s="1968"/>
      <c r="LE142" s="1968"/>
      <c r="LF142" s="1968"/>
      <c r="LG142" s="1968"/>
      <c r="LH142" s="1968"/>
      <c r="LI142" s="1968"/>
      <c r="LJ142" s="1968"/>
      <c r="LK142" s="1968"/>
      <c r="LL142" s="1968"/>
      <c r="LM142" s="1968"/>
      <c r="LN142" s="1968"/>
      <c r="LO142" s="1968"/>
      <c r="LP142" s="1968"/>
      <c r="LQ142" s="1968"/>
      <c r="LR142" s="1968"/>
      <c r="LS142" s="1968"/>
      <c r="LT142" s="1968"/>
      <c r="LU142" s="1968"/>
      <c r="LV142" s="1968"/>
      <c r="LW142" s="1968"/>
      <c r="LX142" s="1968"/>
      <c r="LY142" s="1968"/>
      <c r="LZ142" s="1968"/>
      <c r="MA142" s="1968"/>
      <c r="MB142" s="1968"/>
      <c r="MC142" s="1968"/>
      <c r="MD142" s="1968"/>
      <c r="ME142" s="1968"/>
      <c r="MF142" s="1968"/>
      <c r="MG142" s="1968"/>
      <c r="MH142" s="1968"/>
      <c r="MI142" s="1968"/>
      <c r="MJ142" s="1968"/>
      <c r="MK142" s="1968"/>
      <c r="ML142" s="1968"/>
      <c r="MM142" s="1968"/>
      <c r="MN142" s="1968"/>
      <c r="MO142" s="1968"/>
      <c r="MP142" s="1968"/>
      <c r="MQ142" s="1968"/>
      <c r="MR142" s="1968"/>
      <c r="MS142" s="1968"/>
      <c r="MT142" s="1968"/>
      <c r="MU142" s="1968"/>
      <c r="MV142" s="1968"/>
      <c r="MW142" s="1968"/>
      <c r="MX142" s="1968"/>
      <c r="MY142" s="1968"/>
      <c r="MZ142" s="1968"/>
      <c r="NA142" s="1968"/>
      <c r="NB142" s="1968"/>
      <c r="NC142" s="1968"/>
      <c r="ND142" s="1968"/>
      <c r="NE142" s="1968"/>
      <c r="NF142" s="1968"/>
      <c r="NG142" s="1968"/>
      <c r="NH142" s="1968"/>
      <c r="NI142" s="1968"/>
      <c r="NJ142" s="1968"/>
      <c r="NK142" s="1968"/>
      <c r="NL142" s="1968"/>
      <c r="NM142" s="1968"/>
      <c r="NN142" s="1968"/>
      <c r="NO142" s="1968"/>
      <c r="NP142" s="1968"/>
      <c r="NQ142" s="1968"/>
      <c r="NR142" s="1968"/>
      <c r="NS142" s="1968"/>
      <c r="NT142" s="1968"/>
      <c r="NU142" s="1968"/>
      <c r="NV142" s="1968"/>
      <c r="NW142" s="1968"/>
      <c r="NX142" s="1968"/>
      <c r="NY142" s="1968"/>
      <c r="NZ142" s="1968"/>
      <c r="OA142" s="1968"/>
      <c r="OB142" s="1968"/>
      <c r="OC142" s="1968"/>
      <c r="OD142" s="1968"/>
      <c r="OE142" s="1968"/>
    </row>
    <row r="143" spans="1:395" s="1968" customFormat="1"/>
    <row r="144" spans="1:395" s="1968" customFormat="1"/>
    <row r="145" s="1968" customFormat="1"/>
    <row r="146" s="1968" customFormat="1"/>
    <row r="147" s="1968" customFormat="1"/>
    <row r="148" s="1968" customFormat="1"/>
    <row r="149" s="1968" customFormat="1"/>
    <row r="150" s="1968" customFormat="1"/>
    <row r="151" s="1968" customFormat="1"/>
    <row r="152" s="1968" customFormat="1"/>
    <row r="153" s="1968" customFormat="1"/>
    <row r="154" s="1968" customFormat="1"/>
    <row r="155" s="1968" customFormat="1"/>
    <row r="156" s="1968" customFormat="1"/>
    <row r="157" s="1968" customFormat="1"/>
    <row r="158" s="1968" customFormat="1"/>
    <row r="159" s="1968" customFormat="1"/>
    <row r="160" s="1968" customFormat="1"/>
    <row r="161" spans="1:59" s="1968" customFormat="1"/>
    <row r="162" spans="1:59" s="1968" customFormat="1"/>
    <row r="163" spans="1:59" s="1968" customFormat="1"/>
    <row r="164" spans="1:59" s="1968" customFormat="1"/>
    <row r="165" spans="1:59" s="1968" customFormat="1"/>
    <row r="166" spans="1:59" s="1968" customFormat="1"/>
    <row r="167" spans="1:59" s="1968" customFormat="1"/>
    <row r="168" spans="1:59" s="1968" customFormat="1"/>
    <row r="169" spans="1:59" s="1968" customFormat="1"/>
    <row r="170" spans="1:59" s="1968" customFormat="1"/>
    <row r="171" spans="1:59" s="1968" customFormat="1"/>
    <row r="172" spans="1:59" s="1968" customFormat="1"/>
    <row r="173" spans="1:59" s="2011" customFormat="1"/>
    <row r="174" spans="1:59">
      <c r="A174" s="81"/>
      <c r="B174" s="2011"/>
      <c r="C174" s="2011"/>
      <c r="D174" s="2011"/>
      <c r="E174" s="2011"/>
      <c r="F174" s="2011"/>
      <c r="G174" s="2011"/>
      <c r="H174" s="2011"/>
      <c r="I174" s="2011"/>
      <c r="J174" s="2011"/>
      <c r="K174" s="2011"/>
      <c r="L174" s="2011"/>
      <c r="M174" s="2011"/>
      <c r="N174" s="2011"/>
      <c r="O174" s="2011"/>
      <c r="P174" s="2011"/>
      <c r="Q174" s="2011"/>
      <c r="R174" s="2011"/>
      <c r="S174" s="2011"/>
      <c r="T174" s="2011"/>
      <c r="U174" s="2011"/>
      <c r="V174" s="2011"/>
      <c r="W174" s="2011"/>
      <c r="X174" s="2011"/>
      <c r="Y174" s="2011"/>
      <c r="Z174" s="2011"/>
      <c r="AA174" s="2011"/>
      <c r="AB174" s="2011"/>
      <c r="AC174" s="2011"/>
      <c r="AD174" s="2011"/>
      <c r="AE174" s="2011"/>
      <c r="AF174" s="2011"/>
      <c r="AG174" s="2011"/>
      <c r="AH174" s="2011"/>
      <c r="AI174" s="2011"/>
      <c r="AJ174" s="2011"/>
      <c r="AK174" s="2011"/>
      <c r="AL174" s="2011"/>
      <c r="AM174" s="2011"/>
      <c r="AN174" s="2011"/>
      <c r="AO174" s="2011"/>
      <c r="AP174" s="2011"/>
      <c r="AQ174" s="2011"/>
      <c r="AR174" s="2011"/>
      <c r="AS174" s="2011"/>
      <c r="AT174" s="2011"/>
      <c r="AU174" s="2011"/>
      <c r="AV174" s="2011"/>
      <c r="AW174" s="2011"/>
      <c r="AX174" s="2011"/>
      <c r="AY174" s="2011"/>
      <c r="AZ174" s="2011"/>
      <c r="BA174" s="2011"/>
      <c r="BB174" s="2011"/>
      <c r="BC174" s="2011"/>
      <c r="BD174" s="2011"/>
      <c r="BE174" s="2011"/>
      <c r="BF174" s="2011"/>
      <c r="BG174" s="2011"/>
    </row>
    <row r="175" spans="1:59">
      <c r="A175" s="2011"/>
      <c r="B175" s="2011"/>
      <c r="C175" s="2011"/>
      <c r="D175" s="2011"/>
      <c r="E175" s="2011"/>
      <c r="F175" s="2011"/>
      <c r="G175" s="2011"/>
      <c r="H175" s="2011"/>
      <c r="I175" s="2011"/>
      <c r="J175" s="2011"/>
      <c r="K175" s="2011"/>
      <c r="L175" s="2011"/>
      <c r="M175" s="2011"/>
      <c r="N175" s="2011"/>
      <c r="O175" s="2011"/>
      <c r="P175" s="2011"/>
      <c r="Q175" s="2011"/>
      <c r="R175" s="2011"/>
      <c r="S175" s="2011"/>
      <c r="T175" s="2011"/>
      <c r="U175" s="2011"/>
      <c r="V175" s="2011"/>
      <c r="W175" s="2011"/>
      <c r="X175" s="2011"/>
      <c r="Y175" s="2011"/>
      <c r="Z175" s="2011"/>
      <c r="AA175" s="2011"/>
      <c r="AB175" s="2011"/>
      <c r="AC175" s="2011"/>
      <c r="AD175" s="2011"/>
      <c r="AE175" s="2011"/>
      <c r="AF175" s="2011"/>
      <c r="AG175" s="2011"/>
      <c r="AH175" s="2011"/>
      <c r="AI175" s="2011"/>
      <c r="AJ175" s="2011"/>
      <c r="AK175" s="2011"/>
      <c r="AL175" s="2011"/>
      <c r="AM175" s="2011"/>
      <c r="AN175" s="2011"/>
      <c r="AO175" s="2011"/>
      <c r="AP175" s="2011"/>
      <c r="AQ175" s="2011"/>
      <c r="AR175" s="2011"/>
      <c r="AS175" s="2011"/>
      <c r="AT175" s="2011"/>
      <c r="AU175" s="2011"/>
      <c r="AV175" s="2011"/>
      <c r="AW175" s="2011"/>
      <c r="AX175" s="2011"/>
      <c r="AY175" s="2011"/>
      <c r="AZ175" s="2011"/>
      <c r="BA175" s="2011"/>
      <c r="BB175" s="2011"/>
      <c r="BC175" s="2011"/>
      <c r="BD175" s="2011"/>
      <c r="BE175" s="2011"/>
      <c r="BF175" s="2011"/>
      <c r="BG175" s="2011"/>
    </row>
    <row r="176" spans="1:59">
      <c r="A176" s="2011"/>
      <c r="B176" s="2011"/>
      <c r="C176" s="2011"/>
      <c r="D176" s="2011"/>
      <c r="E176" s="2011"/>
      <c r="F176" s="2011"/>
      <c r="G176" s="2011"/>
      <c r="H176" s="2011"/>
      <c r="I176" s="2011"/>
      <c r="J176" s="2011"/>
      <c r="K176" s="2011"/>
      <c r="L176" s="2011"/>
      <c r="M176" s="2011"/>
      <c r="N176" s="2011"/>
      <c r="O176" s="2011"/>
      <c r="P176" s="2011"/>
      <c r="Q176" s="2011"/>
      <c r="R176" s="2011"/>
      <c r="S176" s="2011"/>
      <c r="T176" s="2011"/>
      <c r="U176" s="2011"/>
      <c r="V176" s="2011"/>
      <c r="W176" s="2011"/>
      <c r="X176" s="2011"/>
      <c r="Y176" s="2011"/>
      <c r="Z176" s="2011"/>
      <c r="AA176" s="2011"/>
      <c r="AB176" s="2011"/>
      <c r="AC176" s="2011"/>
      <c r="AD176" s="2011"/>
      <c r="AE176" s="2011"/>
      <c r="AF176" s="2011"/>
      <c r="AG176" s="2011"/>
      <c r="AH176" s="2011"/>
      <c r="AI176" s="2011"/>
      <c r="AJ176" s="2011"/>
      <c r="AK176" s="2011"/>
      <c r="AL176" s="2011"/>
      <c r="AM176" s="2011"/>
      <c r="AN176" s="2011"/>
      <c r="AO176" s="2011"/>
      <c r="AP176" s="2011"/>
      <c r="AQ176" s="2011"/>
      <c r="AR176" s="2011"/>
      <c r="AS176" s="2011"/>
      <c r="AT176" s="2011"/>
      <c r="AU176" s="2011"/>
      <c r="AV176" s="2011"/>
      <c r="AW176" s="2011"/>
      <c r="AX176" s="2011"/>
      <c r="AY176" s="2011"/>
      <c r="AZ176" s="2011"/>
      <c r="BA176" s="2011"/>
      <c r="BB176" s="2011"/>
      <c r="BC176" s="2011"/>
      <c r="BD176" s="2011"/>
      <c r="BE176" s="2011"/>
      <c r="BF176" s="2011"/>
      <c r="BG176" s="2011"/>
    </row>
    <row r="177" spans="1:59">
      <c r="A177" s="2011"/>
      <c r="B177" s="2011"/>
      <c r="C177" s="2011"/>
      <c r="D177" s="2011"/>
      <c r="E177" s="2011"/>
      <c r="F177" s="2011"/>
      <c r="G177" s="2011"/>
      <c r="H177" s="2011"/>
      <c r="I177" s="2011"/>
      <c r="J177" s="2011"/>
      <c r="K177" s="2011"/>
      <c r="L177" s="2011"/>
      <c r="M177" s="2011"/>
      <c r="N177" s="2011"/>
      <c r="O177" s="2011"/>
      <c r="P177" s="2011"/>
      <c r="Q177" s="2011"/>
      <c r="R177" s="2011"/>
      <c r="S177" s="2011"/>
      <c r="T177" s="2011"/>
      <c r="U177" s="2011"/>
      <c r="V177" s="2011"/>
      <c r="W177" s="2011"/>
      <c r="X177" s="2011"/>
      <c r="Y177" s="2011"/>
      <c r="Z177" s="2011"/>
      <c r="AA177" s="2011"/>
      <c r="AB177" s="2011"/>
      <c r="AC177" s="2011"/>
      <c r="AD177" s="2011"/>
      <c r="AE177" s="2011"/>
      <c r="AF177" s="2011"/>
      <c r="AG177" s="2011"/>
      <c r="AH177" s="2011"/>
      <c r="AI177" s="2011"/>
      <c r="AJ177" s="2011"/>
      <c r="AK177" s="2011"/>
      <c r="AL177" s="2011"/>
      <c r="AM177" s="2011"/>
      <c r="AN177" s="2011"/>
      <c r="AO177" s="2011"/>
      <c r="AP177" s="2011"/>
      <c r="AQ177" s="2011"/>
      <c r="AR177" s="2011"/>
      <c r="AS177" s="2011"/>
      <c r="AT177" s="2011"/>
      <c r="AU177" s="2011"/>
      <c r="AV177" s="2011"/>
      <c r="AW177" s="2011"/>
      <c r="AX177" s="2011"/>
      <c r="AY177" s="2011"/>
      <c r="AZ177" s="2011"/>
      <c r="BA177" s="2011"/>
      <c r="BB177" s="2011"/>
      <c r="BC177" s="2011"/>
      <c r="BD177" s="2011"/>
      <c r="BE177" s="2011"/>
      <c r="BF177" s="2011"/>
      <c r="BG177" s="2011"/>
    </row>
    <row r="178" spans="1:59">
      <c r="A178" s="2011"/>
      <c r="B178" s="2011"/>
      <c r="C178" s="2011"/>
      <c r="D178" s="2011"/>
      <c r="E178" s="2011"/>
      <c r="F178" s="2011"/>
      <c r="G178" s="2011"/>
      <c r="H178" s="2011"/>
      <c r="I178" s="2011"/>
      <c r="J178" s="2011"/>
      <c r="K178" s="2011"/>
      <c r="L178" s="2011"/>
      <c r="M178" s="2011"/>
      <c r="N178" s="2011"/>
      <c r="O178" s="2011"/>
      <c r="P178" s="2011"/>
      <c r="Q178" s="2011"/>
      <c r="R178" s="2011"/>
      <c r="S178" s="2011"/>
      <c r="T178" s="2011"/>
      <c r="U178" s="2011"/>
      <c r="V178" s="2011"/>
      <c r="W178" s="2011"/>
      <c r="X178" s="2011"/>
      <c r="Y178" s="2011"/>
      <c r="Z178" s="2011"/>
      <c r="AA178" s="2011"/>
      <c r="AB178" s="2011"/>
      <c r="AC178" s="2011"/>
      <c r="AD178" s="2011"/>
      <c r="AE178" s="2011"/>
      <c r="AF178" s="2011"/>
      <c r="AG178" s="2011"/>
      <c r="AH178" s="2011"/>
      <c r="AI178" s="2011"/>
      <c r="AJ178" s="2011"/>
      <c r="AK178" s="2011"/>
      <c r="AL178" s="2011"/>
      <c r="AM178" s="2011"/>
      <c r="AN178" s="2011"/>
      <c r="AO178" s="2011"/>
      <c r="AP178" s="2011"/>
      <c r="AQ178" s="2011"/>
      <c r="AR178" s="2011"/>
      <c r="AS178" s="2011"/>
      <c r="AT178" s="2011"/>
      <c r="AU178" s="2011"/>
      <c r="AV178" s="2011"/>
      <c r="AW178" s="2011"/>
      <c r="AX178" s="2011"/>
      <c r="AY178" s="2011"/>
      <c r="AZ178" s="2011"/>
      <c r="BA178" s="2011"/>
      <c r="BB178" s="2011"/>
      <c r="BC178" s="2011"/>
      <c r="BD178" s="2011"/>
      <c r="BE178" s="2011"/>
      <c r="BF178" s="2011"/>
      <c r="BG178" s="2011"/>
    </row>
    <row r="179" spans="1:59">
      <c r="A179" s="2011"/>
      <c r="B179" s="2011"/>
      <c r="C179" s="2011"/>
      <c r="D179" s="2011"/>
      <c r="E179" s="2011"/>
      <c r="F179" s="2011"/>
      <c r="G179" s="2011"/>
      <c r="H179" s="2011"/>
      <c r="I179" s="2011"/>
      <c r="J179" s="2011"/>
      <c r="K179" s="2011"/>
      <c r="L179" s="2011"/>
      <c r="M179" s="2011"/>
      <c r="N179" s="2011"/>
      <c r="O179" s="2011"/>
      <c r="P179" s="2011"/>
      <c r="Q179" s="2011"/>
      <c r="R179" s="2011"/>
      <c r="S179" s="2011"/>
      <c r="T179" s="2011"/>
      <c r="U179" s="2011"/>
      <c r="V179" s="2011"/>
      <c r="W179" s="2011"/>
      <c r="X179" s="2011"/>
      <c r="Y179" s="2011"/>
      <c r="Z179" s="2011"/>
      <c r="AA179" s="2011"/>
      <c r="AB179" s="2011"/>
      <c r="AC179" s="2011"/>
      <c r="AD179" s="2011"/>
      <c r="AE179" s="2011"/>
      <c r="AF179" s="2011"/>
      <c r="AG179" s="2011"/>
      <c r="AH179" s="2011"/>
      <c r="AI179" s="2011"/>
      <c r="AJ179" s="2011"/>
      <c r="AK179" s="2011"/>
      <c r="AL179" s="2011"/>
      <c r="AM179" s="2011"/>
      <c r="AN179" s="2011"/>
      <c r="AO179" s="2011"/>
      <c r="AP179" s="2011"/>
      <c r="AQ179" s="2011"/>
      <c r="AR179" s="2011"/>
      <c r="AS179" s="2011"/>
      <c r="AT179" s="2011"/>
      <c r="AU179" s="2011"/>
      <c r="AV179" s="2011"/>
      <c r="AW179" s="2011"/>
      <c r="AX179" s="2011"/>
      <c r="AY179" s="2011"/>
      <c r="AZ179" s="2011"/>
      <c r="BA179" s="2011"/>
      <c r="BB179" s="2011"/>
      <c r="BC179" s="2011"/>
      <c r="BD179" s="2011"/>
      <c r="BE179" s="2011"/>
      <c r="BF179" s="2011"/>
      <c r="BG179" s="2011"/>
    </row>
    <row r="180" spans="1:59">
      <c r="A180" s="2011"/>
      <c r="B180" s="2011"/>
      <c r="C180" s="2011"/>
      <c r="D180" s="2011"/>
      <c r="E180" s="2011"/>
      <c r="F180" s="2011"/>
      <c r="G180" s="2011"/>
      <c r="H180" s="2011"/>
      <c r="I180" s="2011"/>
      <c r="J180" s="2011"/>
      <c r="K180" s="2011"/>
      <c r="L180" s="2011"/>
      <c r="M180" s="2011"/>
      <c r="N180" s="2011"/>
      <c r="O180" s="2011"/>
      <c r="P180" s="2011"/>
      <c r="Q180" s="2011"/>
      <c r="R180" s="2011"/>
      <c r="S180" s="2011"/>
      <c r="T180" s="2011"/>
      <c r="U180" s="2011"/>
      <c r="V180" s="2011"/>
      <c r="W180" s="2011"/>
      <c r="X180" s="2011"/>
      <c r="Y180" s="2011"/>
      <c r="Z180" s="2011"/>
      <c r="AA180" s="2011"/>
      <c r="AB180" s="2011"/>
      <c r="AC180" s="2011"/>
      <c r="AD180" s="2011"/>
      <c r="AE180" s="2011"/>
      <c r="AF180" s="2011"/>
      <c r="AG180" s="2011"/>
      <c r="AH180" s="2011"/>
      <c r="AI180" s="2011"/>
      <c r="AJ180" s="2011"/>
      <c r="AK180" s="2011"/>
      <c r="AL180" s="2011"/>
      <c r="AM180" s="2011"/>
      <c r="AN180" s="2011"/>
      <c r="AO180" s="2011"/>
      <c r="AP180" s="2011"/>
      <c r="AQ180" s="2011"/>
      <c r="AR180" s="2011"/>
      <c r="AS180" s="2011"/>
      <c r="AT180" s="2011"/>
      <c r="AU180" s="2011"/>
      <c r="AV180" s="2011"/>
      <c r="AW180" s="2011"/>
      <c r="AX180" s="2011"/>
      <c r="AY180" s="2011"/>
      <c r="AZ180" s="2011"/>
      <c r="BA180" s="2011"/>
      <c r="BB180" s="2011"/>
      <c r="BC180" s="2011"/>
      <c r="BD180" s="2011"/>
      <c r="BE180" s="2011"/>
      <c r="BF180" s="2011"/>
      <c r="BG180" s="2011"/>
    </row>
    <row r="181" spans="1:59">
      <c r="A181" s="2011"/>
      <c r="B181" s="2011"/>
      <c r="C181" s="2011"/>
      <c r="D181" s="2011"/>
      <c r="E181" s="2011"/>
      <c r="F181" s="2011"/>
      <c r="G181" s="2011"/>
      <c r="H181" s="2011"/>
      <c r="I181" s="2011"/>
      <c r="J181" s="2011"/>
      <c r="K181" s="2011"/>
      <c r="L181" s="2011"/>
      <c r="M181" s="2011"/>
      <c r="N181" s="2011"/>
      <c r="O181" s="2011"/>
      <c r="P181" s="2011"/>
      <c r="Q181" s="2011"/>
      <c r="R181" s="2011"/>
      <c r="S181" s="2011"/>
      <c r="T181" s="2011"/>
      <c r="U181" s="2011"/>
      <c r="V181" s="2011"/>
      <c r="W181" s="2011"/>
      <c r="X181" s="2011"/>
      <c r="Y181" s="2011"/>
      <c r="Z181" s="2011"/>
      <c r="AA181" s="2011"/>
      <c r="AB181" s="2011"/>
      <c r="AC181" s="2011"/>
      <c r="AD181" s="2011"/>
      <c r="AE181" s="2011"/>
      <c r="AF181" s="2011"/>
      <c r="AG181" s="2011"/>
      <c r="AH181" s="2011"/>
      <c r="AI181" s="2011"/>
      <c r="AJ181" s="2011"/>
      <c r="AK181" s="2011"/>
      <c r="AL181" s="2011"/>
      <c r="AM181" s="2011"/>
      <c r="AN181" s="2011"/>
      <c r="AO181" s="2011"/>
      <c r="AP181" s="2011"/>
      <c r="AQ181" s="2011"/>
      <c r="AR181" s="2011"/>
      <c r="AS181" s="2011"/>
      <c r="AT181" s="2011"/>
      <c r="AU181" s="2011"/>
      <c r="AV181" s="2011"/>
      <c r="AW181" s="2011"/>
      <c r="AX181" s="2011"/>
      <c r="AY181" s="2011"/>
      <c r="AZ181" s="2011"/>
      <c r="BA181" s="2011"/>
      <c r="BB181" s="2011"/>
      <c r="BC181" s="2011"/>
      <c r="BD181" s="2011"/>
      <c r="BE181" s="2011"/>
      <c r="BF181" s="2011"/>
      <c r="BG181" s="2011"/>
    </row>
    <row r="182" spans="1:59">
      <c r="A182" s="2011"/>
      <c r="B182" s="2011"/>
      <c r="C182" s="2011"/>
      <c r="D182" s="2011"/>
      <c r="E182" s="2011"/>
      <c r="F182" s="2011"/>
      <c r="G182" s="2011"/>
      <c r="H182" s="2011"/>
      <c r="I182" s="2011"/>
      <c r="J182" s="2011"/>
      <c r="K182" s="2011"/>
      <c r="L182" s="2011"/>
      <c r="M182" s="2011"/>
      <c r="N182" s="2011"/>
      <c r="O182" s="2011"/>
      <c r="P182" s="2011"/>
      <c r="Q182" s="2011"/>
      <c r="R182" s="2011"/>
      <c r="S182" s="2011"/>
      <c r="T182" s="2011"/>
      <c r="U182" s="2011"/>
      <c r="V182" s="2011"/>
      <c r="W182" s="2011"/>
      <c r="X182" s="2011"/>
      <c r="Y182" s="2011"/>
      <c r="Z182" s="2011"/>
      <c r="AA182" s="2011"/>
      <c r="AB182" s="2011"/>
      <c r="AC182" s="2011"/>
      <c r="AD182" s="2011"/>
      <c r="AE182" s="2011"/>
      <c r="AF182" s="2011"/>
      <c r="AG182" s="2011"/>
      <c r="AH182" s="2011"/>
      <c r="AI182" s="2011"/>
      <c r="AJ182" s="2011"/>
      <c r="AK182" s="2011"/>
      <c r="AL182" s="2011"/>
      <c r="AM182" s="2011"/>
      <c r="AN182" s="2011"/>
      <c r="AO182" s="2011"/>
      <c r="AP182" s="2011"/>
      <c r="AQ182" s="2011"/>
      <c r="AR182" s="2011"/>
      <c r="AS182" s="2011"/>
      <c r="AT182" s="2011"/>
      <c r="AU182" s="2011"/>
      <c r="AV182" s="2011"/>
      <c r="AW182" s="2011"/>
      <c r="AX182" s="2011"/>
      <c r="AY182" s="2011"/>
      <c r="AZ182" s="2011"/>
      <c r="BA182" s="2011"/>
      <c r="BB182" s="2011"/>
      <c r="BC182" s="2011"/>
      <c r="BD182" s="2011"/>
      <c r="BE182" s="2011"/>
      <c r="BF182" s="2011"/>
      <c r="BG182" s="2011"/>
    </row>
    <row r="183" spans="1:59">
      <c r="A183" s="2011"/>
      <c r="B183" s="2011"/>
      <c r="C183" s="2011"/>
      <c r="D183" s="2011"/>
      <c r="E183" s="2011"/>
      <c r="F183" s="2011"/>
      <c r="G183" s="2011"/>
      <c r="H183" s="2011"/>
      <c r="I183" s="2011"/>
      <c r="J183" s="2011"/>
      <c r="K183" s="2011"/>
      <c r="L183" s="2011"/>
      <c r="M183" s="2011"/>
      <c r="N183" s="2011"/>
      <c r="O183" s="2011"/>
      <c r="P183" s="2011"/>
      <c r="Q183" s="2011"/>
      <c r="R183" s="2011"/>
      <c r="S183" s="2011"/>
      <c r="T183" s="2011"/>
      <c r="U183" s="2011"/>
      <c r="V183" s="2011"/>
      <c r="W183" s="2011"/>
      <c r="X183" s="2011"/>
      <c r="Y183" s="2011"/>
      <c r="Z183" s="2011"/>
      <c r="AA183" s="2011"/>
      <c r="AB183" s="2011"/>
      <c r="AC183" s="2011"/>
      <c r="AD183" s="2011"/>
      <c r="AE183" s="2011"/>
      <c r="AF183" s="2011"/>
      <c r="AG183" s="2011"/>
      <c r="AH183" s="2011"/>
      <c r="AI183" s="2011"/>
      <c r="AJ183" s="2011"/>
      <c r="AK183" s="2011"/>
      <c r="AL183" s="2011"/>
      <c r="AM183" s="2011"/>
      <c r="AN183" s="2011"/>
      <c r="AO183" s="2011"/>
      <c r="AP183" s="2011"/>
      <c r="AQ183" s="2011"/>
      <c r="AR183" s="2011"/>
      <c r="AS183" s="2011"/>
      <c r="AT183" s="2011"/>
      <c r="AU183" s="2011"/>
      <c r="AV183" s="2011"/>
      <c r="AW183" s="2011"/>
      <c r="AX183" s="2011"/>
      <c r="AY183" s="2011"/>
      <c r="AZ183" s="2011"/>
      <c r="BA183" s="2011"/>
      <c r="BB183" s="2011"/>
      <c r="BC183" s="2011"/>
      <c r="BD183" s="2011"/>
      <c r="BE183" s="2011"/>
      <c r="BF183" s="2011"/>
      <c r="BG183" s="2011"/>
    </row>
    <row r="184" spans="1:59">
      <c r="A184" s="2011"/>
      <c r="B184" s="2011"/>
      <c r="C184" s="2011"/>
      <c r="D184" s="2011"/>
      <c r="E184" s="2011"/>
      <c r="F184" s="2011"/>
      <c r="G184" s="2011"/>
      <c r="H184" s="2011"/>
      <c r="I184" s="2011"/>
      <c r="J184" s="2011"/>
      <c r="K184" s="2011"/>
      <c r="L184" s="2011"/>
      <c r="M184" s="2011"/>
      <c r="N184" s="2011"/>
      <c r="O184" s="2011"/>
      <c r="P184" s="2011"/>
      <c r="Q184" s="2011"/>
      <c r="R184" s="2011"/>
      <c r="S184" s="2011"/>
      <c r="T184" s="2011"/>
      <c r="U184" s="2011"/>
      <c r="V184" s="2011"/>
      <c r="W184" s="2011"/>
      <c r="X184" s="2011"/>
      <c r="Y184" s="2011"/>
      <c r="Z184" s="2011"/>
      <c r="AA184" s="2011"/>
      <c r="AB184" s="2011"/>
      <c r="AC184" s="2011"/>
      <c r="AD184" s="2011"/>
      <c r="AE184" s="2011"/>
      <c r="AF184" s="2011"/>
      <c r="AG184" s="2011"/>
      <c r="AH184" s="2011"/>
      <c r="AI184" s="2011"/>
      <c r="AJ184" s="2011"/>
      <c r="AK184" s="2011"/>
      <c r="AL184" s="2011"/>
      <c r="AM184" s="2011"/>
      <c r="AN184" s="2011"/>
      <c r="AO184" s="2011"/>
      <c r="AP184" s="2011"/>
      <c r="AQ184" s="2011"/>
      <c r="AR184" s="2011"/>
      <c r="AS184" s="2011"/>
      <c r="AT184" s="2011"/>
      <c r="AU184" s="2011"/>
      <c r="AV184" s="2011"/>
      <c r="AW184" s="2011"/>
      <c r="AX184" s="2011"/>
      <c r="AY184" s="2011"/>
      <c r="AZ184" s="2011"/>
      <c r="BA184" s="2011"/>
      <c r="BB184" s="2011"/>
      <c r="BC184" s="2011"/>
      <c r="BD184" s="2011"/>
      <c r="BE184" s="2011"/>
      <c r="BF184" s="2011"/>
      <c r="BG184" s="2011"/>
    </row>
    <row r="185" spans="1:59">
      <c r="A185" s="2011"/>
      <c r="B185" s="2011"/>
      <c r="C185" s="2011"/>
      <c r="D185" s="2011"/>
      <c r="E185" s="2011"/>
      <c r="F185" s="2011"/>
      <c r="G185" s="2011"/>
      <c r="H185" s="2011"/>
      <c r="I185" s="2011"/>
      <c r="J185" s="2011"/>
      <c r="K185" s="2011"/>
      <c r="L185" s="2011"/>
      <c r="M185" s="2011"/>
      <c r="N185" s="2011"/>
      <c r="O185" s="2011"/>
      <c r="P185" s="2011"/>
      <c r="Q185" s="2011"/>
      <c r="R185" s="2011"/>
      <c r="S185" s="2011"/>
      <c r="T185" s="2011"/>
      <c r="U185" s="2011"/>
      <c r="V185" s="2011"/>
      <c r="W185" s="2011"/>
      <c r="X185" s="2011"/>
      <c r="Y185" s="2011"/>
      <c r="Z185" s="2011"/>
      <c r="AA185" s="2011"/>
      <c r="AB185" s="2011"/>
      <c r="AC185" s="2011"/>
      <c r="AD185" s="2011"/>
      <c r="AE185" s="2011"/>
      <c r="AF185" s="2011"/>
      <c r="AG185" s="2011"/>
      <c r="AH185" s="2011"/>
      <c r="AI185" s="2011"/>
      <c r="AJ185" s="2011"/>
      <c r="AK185" s="2011"/>
      <c r="AL185" s="2011"/>
      <c r="AM185" s="2011"/>
      <c r="AN185" s="2011"/>
      <c r="AO185" s="2011"/>
      <c r="AP185" s="2011"/>
      <c r="AQ185" s="2011"/>
      <c r="AR185" s="2011"/>
      <c r="AS185" s="2011"/>
      <c r="AT185" s="2011"/>
      <c r="AU185" s="2011"/>
      <c r="AV185" s="2011"/>
      <c r="AW185" s="2011"/>
      <c r="AX185" s="2011"/>
      <c r="AY185" s="2011"/>
      <c r="AZ185" s="2011"/>
      <c r="BA185" s="2011"/>
      <c r="BB185" s="2011"/>
      <c r="BC185" s="2011"/>
      <c r="BD185" s="2011"/>
      <c r="BE185" s="2011"/>
      <c r="BF185" s="2011"/>
      <c r="BG185" s="2011"/>
    </row>
    <row r="186" spans="1:59">
      <c r="A186" s="2011"/>
      <c r="B186" s="2011"/>
      <c r="C186" s="2011"/>
      <c r="D186" s="2011"/>
      <c r="E186" s="2011"/>
      <c r="F186" s="2011"/>
      <c r="G186" s="2011"/>
      <c r="H186" s="2011"/>
      <c r="I186" s="2011"/>
      <c r="J186" s="2011"/>
      <c r="K186" s="2011"/>
      <c r="L186" s="2011"/>
      <c r="M186" s="2011"/>
      <c r="N186" s="2011"/>
      <c r="O186" s="2011"/>
      <c r="P186" s="2011"/>
      <c r="Q186" s="2011"/>
      <c r="R186" s="2011"/>
      <c r="S186" s="2011"/>
      <c r="T186" s="2011"/>
      <c r="U186" s="2011"/>
      <c r="V186" s="2011"/>
      <c r="W186" s="2011"/>
      <c r="X186" s="2011"/>
      <c r="Y186" s="2011"/>
      <c r="Z186" s="2011"/>
      <c r="AA186" s="2011"/>
      <c r="AB186" s="2011"/>
      <c r="AC186" s="2011"/>
      <c r="AD186" s="2011"/>
      <c r="AE186" s="2011"/>
      <c r="AF186" s="2011"/>
      <c r="AG186" s="2011"/>
      <c r="AH186" s="2011"/>
      <c r="AI186" s="2011"/>
      <c r="AJ186" s="2011"/>
      <c r="AK186" s="2011"/>
      <c r="AL186" s="2011"/>
      <c r="AM186" s="2011"/>
      <c r="AN186" s="2011"/>
      <c r="AO186" s="2011"/>
      <c r="AP186" s="2011"/>
      <c r="AQ186" s="2011"/>
      <c r="AR186" s="2011"/>
      <c r="AS186" s="2011"/>
      <c r="AT186" s="2011"/>
      <c r="AU186" s="2011"/>
      <c r="AV186" s="2011"/>
      <c r="AW186" s="2011"/>
      <c r="AX186" s="2011"/>
      <c r="AY186" s="2011"/>
      <c r="AZ186" s="2011"/>
      <c r="BA186" s="2011"/>
      <c r="BB186" s="2011"/>
      <c r="BC186" s="2011"/>
      <c r="BD186" s="2011"/>
      <c r="BE186" s="2011"/>
      <c r="BF186" s="2011"/>
      <c r="BG186" s="2011"/>
    </row>
    <row r="187" spans="1:59">
      <c r="A187" s="2011"/>
      <c r="B187" s="2011"/>
      <c r="C187" s="2011"/>
      <c r="D187" s="2011"/>
      <c r="E187" s="2011"/>
      <c r="F187" s="2011"/>
      <c r="G187" s="2011"/>
      <c r="H187" s="2011"/>
      <c r="I187" s="2011"/>
      <c r="J187" s="2011"/>
      <c r="K187" s="2011"/>
      <c r="L187" s="2011"/>
      <c r="M187" s="2011"/>
      <c r="N187" s="2011"/>
      <c r="O187" s="2011"/>
      <c r="P187" s="2011"/>
      <c r="Q187" s="2011"/>
      <c r="R187" s="2011"/>
      <c r="S187" s="2011"/>
      <c r="T187" s="2011"/>
      <c r="U187" s="2011"/>
      <c r="V187" s="2011"/>
      <c r="W187" s="2011"/>
      <c r="X187" s="2011"/>
      <c r="Y187" s="2011"/>
      <c r="Z187" s="2011"/>
      <c r="AA187" s="2011"/>
      <c r="AB187" s="2011"/>
      <c r="AC187" s="2011"/>
      <c r="AD187" s="2011"/>
      <c r="AE187" s="2011"/>
      <c r="AF187" s="2011"/>
      <c r="AG187" s="2011"/>
      <c r="AH187" s="2011"/>
      <c r="AI187" s="2011"/>
      <c r="AJ187" s="2011"/>
      <c r="AK187" s="2011"/>
      <c r="AL187" s="2011"/>
      <c r="AM187" s="2011"/>
      <c r="AN187" s="2011"/>
      <c r="AO187" s="2011"/>
      <c r="AP187" s="2011"/>
      <c r="AQ187" s="2011"/>
      <c r="AR187" s="2011"/>
      <c r="AS187" s="2011"/>
      <c r="AT187" s="2011"/>
      <c r="AU187" s="2011"/>
      <c r="AV187" s="2011"/>
      <c r="AW187" s="2011"/>
      <c r="AX187" s="2011"/>
      <c r="AY187" s="2011"/>
      <c r="AZ187" s="2011"/>
      <c r="BA187" s="2011"/>
      <c r="BB187" s="2011"/>
      <c r="BC187" s="2011"/>
      <c r="BD187" s="2011"/>
      <c r="BE187" s="2011"/>
      <c r="BF187" s="2011"/>
      <c r="BG187" s="2011"/>
    </row>
    <row r="188" spans="1:59">
      <c r="A188" s="2011"/>
      <c r="B188" s="2011"/>
      <c r="C188" s="2011"/>
      <c r="D188" s="2011"/>
      <c r="E188" s="2011"/>
      <c r="F188" s="2011"/>
      <c r="G188" s="2011"/>
      <c r="H188" s="2011"/>
      <c r="I188" s="2011"/>
      <c r="J188" s="2011"/>
      <c r="K188" s="2011"/>
      <c r="L188" s="2011"/>
      <c r="M188" s="2011"/>
      <c r="N188" s="2011"/>
      <c r="O188" s="2011"/>
      <c r="P188" s="2011"/>
      <c r="Q188" s="2011"/>
      <c r="R188" s="2011"/>
      <c r="S188" s="2011"/>
      <c r="T188" s="2011"/>
      <c r="U188" s="2011"/>
      <c r="V188" s="2011"/>
      <c r="W188" s="2011"/>
      <c r="X188" s="2011"/>
      <c r="Y188" s="2011"/>
      <c r="Z188" s="2011"/>
      <c r="AA188" s="2011"/>
      <c r="AB188" s="2011"/>
      <c r="AC188" s="2011"/>
      <c r="AD188" s="2011"/>
      <c r="AE188" s="2011"/>
      <c r="AF188" s="2011"/>
      <c r="AG188" s="2011"/>
      <c r="AH188" s="2011"/>
      <c r="AI188" s="2011"/>
      <c r="AJ188" s="2011"/>
      <c r="AK188" s="2011"/>
      <c r="AL188" s="2011"/>
      <c r="AM188" s="2011"/>
      <c r="AN188" s="2011"/>
      <c r="AO188" s="2011"/>
      <c r="AP188" s="2011"/>
      <c r="AQ188" s="2011"/>
      <c r="AR188" s="2011"/>
      <c r="AS188" s="2011"/>
      <c r="AT188" s="2011"/>
      <c r="AU188" s="2011"/>
      <c r="AV188" s="2011"/>
      <c r="AW188" s="2011"/>
      <c r="AX188" s="2011"/>
      <c r="AY188" s="2011"/>
      <c r="AZ188" s="2011"/>
      <c r="BA188" s="2011"/>
      <c r="BB188" s="2011"/>
      <c r="BC188" s="2011"/>
      <c r="BD188" s="2011"/>
      <c r="BE188" s="2011"/>
      <c r="BF188" s="2011"/>
      <c r="BG188" s="2011"/>
    </row>
    <row r="189" spans="1:59">
      <c r="A189" s="2011"/>
      <c r="B189" s="2011"/>
      <c r="C189" s="2011"/>
      <c r="D189" s="2011"/>
      <c r="E189" s="2011"/>
      <c r="F189" s="2011"/>
      <c r="G189" s="2011"/>
      <c r="H189" s="2011"/>
      <c r="I189" s="2011"/>
      <c r="J189" s="2011"/>
      <c r="K189" s="2011"/>
      <c r="L189" s="2011"/>
      <c r="M189" s="2011"/>
      <c r="N189" s="2011"/>
      <c r="O189" s="2011"/>
      <c r="P189" s="2011"/>
      <c r="Q189" s="2011"/>
      <c r="R189" s="2011"/>
      <c r="S189" s="2011"/>
      <c r="T189" s="2011"/>
      <c r="U189" s="2011"/>
      <c r="V189" s="2011"/>
      <c r="W189" s="2011"/>
      <c r="X189" s="2011"/>
      <c r="Y189" s="2011"/>
      <c r="Z189" s="2011"/>
      <c r="AA189" s="2011"/>
      <c r="AB189" s="2011"/>
      <c r="AC189" s="2011"/>
      <c r="AD189" s="2011"/>
      <c r="AE189" s="2011"/>
      <c r="AF189" s="2011"/>
      <c r="AG189" s="2011"/>
      <c r="AH189" s="2011"/>
      <c r="AI189" s="2011"/>
      <c r="AJ189" s="2011"/>
      <c r="AK189" s="2011"/>
      <c r="AL189" s="2011"/>
      <c r="AM189" s="2011"/>
      <c r="AN189" s="2011"/>
      <c r="AO189" s="2011"/>
      <c r="AP189" s="2011"/>
      <c r="AQ189" s="2011"/>
      <c r="AR189" s="2011"/>
      <c r="AS189" s="2011"/>
      <c r="AT189" s="2011"/>
      <c r="AU189" s="2011"/>
      <c r="AV189" s="2011"/>
      <c r="AW189" s="2011"/>
      <c r="AX189" s="2011"/>
      <c r="AY189" s="2011"/>
      <c r="AZ189" s="2011"/>
      <c r="BA189" s="2011"/>
      <c r="BB189" s="2011"/>
      <c r="BC189" s="2011"/>
      <c r="BD189" s="2011"/>
      <c r="BE189" s="2011"/>
      <c r="BF189" s="2011"/>
      <c r="BG189" s="2011"/>
    </row>
    <row r="190" spans="1:59">
      <c r="A190" s="2011"/>
      <c r="B190" s="2011"/>
      <c r="C190" s="2011"/>
      <c r="D190" s="2011"/>
      <c r="E190" s="2011"/>
      <c r="F190" s="2011"/>
      <c r="G190" s="2011"/>
      <c r="H190" s="2011"/>
      <c r="I190" s="2011"/>
      <c r="J190" s="2011"/>
      <c r="K190" s="2011"/>
      <c r="L190" s="2011"/>
      <c r="M190" s="2011"/>
      <c r="N190" s="2011"/>
      <c r="O190" s="2011"/>
      <c r="P190" s="2011"/>
      <c r="Q190" s="2011"/>
      <c r="R190" s="2011"/>
      <c r="S190" s="2011"/>
      <c r="T190" s="2011"/>
      <c r="U190" s="2011"/>
      <c r="V190" s="2011"/>
      <c r="W190" s="2011"/>
      <c r="X190" s="2011"/>
      <c r="Y190" s="2011"/>
      <c r="Z190" s="2011"/>
      <c r="AA190" s="2011"/>
      <c r="AB190" s="2011"/>
      <c r="AC190" s="2011"/>
      <c r="AD190" s="2011"/>
      <c r="AE190" s="2011"/>
      <c r="AF190" s="2011"/>
      <c r="AG190" s="2011"/>
      <c r="AH190" s="2011"/>
      <c r="AI190" s="2011"/>
      <c r="AJ190" s="2011"/>
      <c r="AK190" s="2011"/>
      <c r="AL190" s="2011"/>
      <c r="AM190" s="2011"/>
      <c r="AN190" s="2011"/>
      <c r="AO190" s="2011"/>
      <c r="AP190" s="2011"/>
      <c r="AQ190" s="2011"/>
      <c r="AR190" s="2011"/>
      <c r="AS190" s="2011"/>
      <c r="AT190" s="2011"/>
      <c r="AU190" s="2011"/>
      <c r="AV190" s="2011"/>
      <c r="AW190" s="2011"/>
      <c r="AX190" s="2011"/>
      <c r="AY190" s="2011"/>
      <c r="AZ190" s="2011"/>
      <c r="BA190" s="2011"/>
      <c r="BB190" s="2011"/>
      <c r="BC190" s="2011"/>
      <c r="BD190" s="2011"/>
      <c r="BE190" s="2011"/>
      <c r="BF190" s="2011"/>
      <c r="BG190" s="2011"/>
    </row>
    <row r="191" spans="1:59">
      <c r="A191" s="2011"/>
      <c r="B191" s="2011"/>
      <c r="C191" s="2011"/>
      <c r="D191" s="2011"/>
      <c r="E191" s="2011"/>
      <c r="F191" s="2011"/>
      <c r="G191" s="2011"/>
      <c r="H191" s="2011"/>
      <c r="I191" s="2011"/>
      <c r="J191" s="2011"/>
      <c r="K191" s="2011"/>
      <c r="L191" s="2011"/>
      <c r="M191" s="2011"/>
      <c r="N191" s="2011"/>
      <c r="O191" s="2011"/>
      <c r="P191" s="2011"/>
      <c r="Q191" s="2011"/>
      <c r="R191" s="2011"/>
      <c r="S191" s="2011"/>
      <c r="T191" s="2011"/>
      <c r="U191" s="2011"/>
      <c r="V191" s="2011"/>
      <c r="W191" s="2011"/>
      <c r="X191" s="2011"/>
      <c r="Y191" s="2011"/>
      <c r="Z191" s="2011"/>
      <c r="AA191" s="2011"/>
      <c r="AB191" s="2011"/>
      <c r="AC191" s="2011"/>
      <c r="AD191" s="2011"/>
      <c r="AE191" s="2011"/>
      <c r="AF191" s="2011"/>
      <c r="AG191" s="2011"/>
      <c r="AH191" s="2011"/>
      <c r="AI191" s="2011"/>
      <c r="AJ191" s="2011"/>
      <c r="AK191" s="2011"/>
      <c r="AL191" s="2011"/>
      <c r="AM191" s="2011"/>
      <c r="AN191" s="2011"/>
      <c r="AO191" s="2011"/>
      <c r="AP191" s="2011"/>
      <c r="AQ191" s="2011"/>
      <c r="AR191" s="2011"/>
      <c r="AS191" s="2011"/>
      <c r="AT191" s="2011"/>
      <c r="AU191" s="2011"/>
      <c r="AV191" s="2011"/>
      <c r="AW191" s="2011"/>
      <c r="AX191" s="2011"/>
      <c r="AY191" s="2011"/>
      <c r="AZ191" s="2011"/>
      <c r="BA191" s="2011"/>
      <c r="BB191" s="2011"/>
      <c r="BC191" s="2011"/>
      <c r="BD191" s="2011"/>
      <c r="BE191" s="2011"/>
      <c r="BF191" s="2011"/>
      <c r="BG191" s="2011"/>
    </row>
    <row r="192" spans="1:59">
      <c r="A192" s="2011"/>
      <c r="B192" s="2011"/>
      <c r="C192" s="2011"/>
      <c r="D192" s="2011"/>
      <c r="E192" s="2011"/>
      <c r="F192" s="2011"/>
      <c r="G192" s="2011"/>
      <c r="H192" s="2011"/>
      <c r="I192" s="2011"/>
      <c r="J192" s="2011"/>
      <c r="K192" s="2011"/>
      <c r="L192" s="2011"/>
      <c r="M192" s="2011"/>
      <c r="N192" s="2011"/>
      <c r="O192" s="2011"/>
      <c r="P192" s="2011"/>
      <c r="Q192" s="2011"/>
      <c r="R192" s="2011"/>
      <c r="S192" s="2011"/>
      <c r="T192" s="2011"/>
      <c r="U192" s="2011"/>
      <c r="V192" s="2011"/>
      <c r="W192" s="2011"/>
      <c r="X192" s="2011"/>
      <c r="Y192" s="2011"/>
      <c r="Z192" s="2011"/>
      <c r="AA192" s="2011"/>
      <c r="AB192" s="2011"/>
      <c r="AC192" s="2011"/>
      <c r="AD192" s="2011"/>
      <c r="AE192" s="2011"/>
      <c r="AF192" s="2011"/>
      <c r="AG192" s="2011"/>
      <c r="AH192" s="2011"/>
      <c r="AI192" s="2011"/>
      <c r="AJ192" s="2011"/>
      <c r="AK192" s="2011"/>
      <c r="AL192" s="2011"/>
      <c r="AM192" s="2011"/>
      <c r="AN192" s="2011"/>
      <c r="AO192" s="2011"/>
      <c r="AP192" s="2011"/>
      <c r="AQ192" s="2011"/>
      <c r="AR192" s="2011"/>
      <c r="AS192" s="2011"/>
      <c r="AT192" s="2011"/>
      <c r="AU192" s="2011"/>
      <c r="AV192" s="2011"/>
      <c r="AW192" s="2011"/>
      <c r="AX192" s="2011"/>
      <c r="AY192" s="2011"/>
      <c r="AZ192" s="2011"/>
      <c r="BA192" s="2011"/>
      <c r="BB192" s="2011"/>
      <c r="BC192" s="2011"/>
      <c r="BD192" s="2011"/>
      <c r="BE192" s="2011"/>
      <c r="BF192" s="2011"/>
      <c r="BG192" s="2011"/>
    </row>
    <row r="193" spans="1:59">
      <c r="A193" s="2011"/>
      <c r="B193" s="2011"/>
      <c r="C193" s="2011"/>
      <c r="D193" s="2011"/>
      <c r="E193" s="2011"/>
      <c r="F193" s="2011"/>
      <c r="G193" s="2011"/>
      <c r="H193" s="2011"/>
      <c r="I193" s="2011"/>
      <c r="J193" s="2011"/>
      <c r="K193" s="2011"/>
      <c r="L193" s="2011"/>
      <c r="M193" s="2011"/>
      <c r="N193" s="2011"/>
      <c r="O193" s="2011"/>
      <c r="P193" s="2011"/>
      <c r="Q193" s="2011"/>
      <c r="R193" s="2011"/>
      <c r="S193" s="2011"/>
      <c r="T193" s="2011"/>
      <c r="U193" s="2011"/>
      <c r="V193" s="2011"/>
      <c r="W193" s="2011"/>
      <c r="X193" s="2011"/>
      <c r="Y193" s="2011"/>
      <c r="Z193" s="2011"/>
      <c r="AA193" s="2011"/>
      <c r="AB193" s="2011"/>
      <c r="AC193" s="2011"/>
      <c r="AD193" s="2011"/>
      <c r="AE193" s="2011"/>
      <c r="AF193" s="2011"/>
      <c r="AG193" s="2011"/>
      <c r="AH193" s="2011"/>
      <c r="AI193" s="2011"/>
      <c r="AJ193" s="2011"/>
      <c r="AK193" s="2011"/>
      <c r="AL193" s="2011"/>
      <c r="AM193" s="2011"/>
      <c r="AN193" s="2011"/>
      <c r="AO193" s="2011"/>
      <c r="AP193" s="2011"/>
      <c r="AQ193" s="2011"/>
      <c r="AR193" s="2011"/>
      <c r="AS193" s="2011"/>
      <c r="AT193" s="2011"/>
      <c r="AU193" s="2011"/>
      <c r="AV193" s="2011"/>
      <c r="AW193" s="2011"/>
      <c r="AX193" s="2011"/>
      <c r="AY193" s="2011"/>
      <c r="AZ193" s="2011"/>
      <c r="BA193" s="2011"/>
      <c r="BB193" s="2011"/>
      <c r="BC193" s="2011"/>
      <c r="BD193" s="2011"/>
      <c r="BE193" s="2011"/>
      <c r="BF193" s="2011"/>
      <c r="BG193" s="2011"/>
    </row>
    <row r="194" spans="1:59">
      <c r="A194" s="2011"/>
      <c r="B194" s="2011"/>
      <c r="C194" s="2011"/>
      <c r="D194" s="2011"/>
      <c r="E194" s="2011"/>
      <c r="F194" s="2011"/>
      <c r="G194" s="2011"/>
      <c r="H194" s="2011"/>
      <c r="I194" s="2011"/>
      <c r="J194" s="2011"/>
      <c r="K194" s="2011"/>
      <c r="L194" s="2011"/>
      <c r="M194" s="2011"/>
      <c r="N194" s="2011"/>
      <c r="O194" s="2011"/>
      <c r="P194" s="2011"/>
      <c r="Q194" s="2011"/>
      <c r="R194" s="2011"/>
      <c r="S194" s="2011"/>
      <c r="T194" s="2011"/>
      <c r="U194" s="2011"/>
      <c r="V194" s="2011"/>
      <c r="W194" s="2011"/>
      <c r="X194" s="2011"/>
      <c r="Y194" s="2011"/>
      <c r="Z194" s="2011"/>
      <c r="AA194" s="2011"/>
      <c r="AB194" s="2011"/>
      <c r="AC194" s="2011"/>
      <c r="AD194" s="2011"/>
      <c r="AE194" s="2011"/>
      <c r="AF194" s="2011"/>
      <c r="AG194" s="2011"/>
      <c r="AH194" s="2011"/>
      <c r="AI194" s="2011"/>
      <c r="AJ194" s="2011"/>
      <c r="AK194" s="2011"/>
      <c r="AL194" s="2011"/>
      <c r="AM194" s="2011"/>
      <c r="AN194" s="2011"/>
      <c r="AO194" s="2011"/>
      <c r="AP194" s="2011"/>
      <c r="AQ194" s="2011"/>
      <c r="AR194" s="2011"/>
      <c r="AS194" s="2011"/>
      <c r="AT194" s="2011"/>
      <c r="AU194" s="2011"/>
      <c r="AV194" s="2011"/>
      <c r="AW194" s="2011"/>
      <c r="AX194" s="2011"/>
      <c r="AY194" s="2011"/>
      <c r="AZ194" s="2011"/>
      <c r="BA194" s="2011"/>
      <c r="BB194" s="2011"/>
      <c r="BC194" s="2011"/>
      <c r="BD194" s="2011"/>
      <c r="BE194" s="2011"/>
      <c r="BF194" s="2011"/>
      <c r="BG194" s="2011"/>
    </row>
    <row r="195" spans="1:59">
      <c r="A195" s="2011"/>
      <c r="B195" s="2011"/>
      <c r="C195" s="2011"/>
      <c r="D195" s="2011"/>
      <c r="E195" s="2011"/>
      <c r="F195" s="2011"/>
      <c r="G195" s="2011"/>
      <c r="H195" s="2011"/>
      <c r="I195" s="2011"/>
      <c r="J195" s="2011"/>
      <c r="K195" s="2011"/>
      <c r="L195" s="2011"/>
      <c r="M195" s="2011"/>
      <c r="N195" s="2011"/>
      <c r="O195" s="2011"/>
      <c r="P195" s="2011"/>
      <c r="Q195" s="2011"/>
      <c r="R195" s="2011"/>
      <c r="S195" s="2011"/>
      <c r="T195" s="2011"/>
      <c r="U195" s="2011"/>
      <c r="V195" s="2011"/>
      <c r="W195" s="2011"/>
      <c r="X195" s="2011"/>
      <c r="Y195" s="2011"/>
      <c r="Z195" s="2011"/>
      <c r="AA195" s="2011"/>
      <c r="AB195" s="2011"/>
      <c r="AC195" s="2011"/>
      <c r="AD195" s="2011"/>
      <c r="AE195" s="2011"/>
      <c r="AF195" s="2011"/>
      <c r="AG195" s="2011"/>
      <c r="AH195" s="2011"/>
      <c r="AI195" s="2011"/>
      <c r="AJ195" s="2011"/>
      <c r="AK195" s="2011"/>
      <c r="AL195" s="2011"/>
      <c r="AM195" s="2011"/>
      <c r="AN195" s="2011"/>
      <c r="AO195" s="2011"/>
      <c r="AP195" s="2011"/>
      <c r="AQ195" s="2011"/>
      <c r="AR195" s="2011"/>
      <c r="AS195" s="2011"/>
      <c r="AT195" s="2011"/>
      <c r="AU195" s="2011"/>
      <c r="AV195" s="2011"/>
      <c r="AW195" s="2011"/>
      <c r="AX195" s="2011"/>
      <c r="AY195" s="2011"/>
      <c r="AZ195" s="2011"/>
      <c r="BA195" s="2011"/>
      <c r="BB195" s="2011"/>
      <c r="BC195" s="2011"/>
      <c r="BD195" s="2011"/>
      <c r="BE195" s="2011"/>
      <c r="BF195" s="2011"/>
      <c r="BG195" s="2011"/>
    </row>
    <row r="196" spans="1:59">
      <c r="A196" s="2011"/>
      <c r="B196" s="2011"/>
      <c r="C196" s="2011"/>
      <c r="D196" s="2011"/>
      <c r="E196" s="2011"/>
      <c r="F196" s="2011"/>
      <c r="G196" s="2011"/>
      <c r="H196" s="2011"/>
      <c r="I196" s="2011"/>
      <c r="J196" s="2011"/>
      <c r="K196" s="2011"/>
      <c r="L196" s="2011"/>
      <c r="M196" s="2011"/>
      <c r="N196" s="2011"/>
      <c r="O196" s="2011"/>
      <c r="P196" s="2011"/>
      <c r="Q196" s="2011"/>
      <c r="R196" s="2011"/>
      <c r="S196" s="2011"/>
      <c r="T196" s="2011"/>
      <c r="U196" s="2011"/>
      <c r="V196" s="2011"/>
      <c r="W196" s="2011"/>
      <c r="X196" s="2011"/>
      <c r="Y196" s="2011"/>
      <c r="Z196" s="2011"/>
      <c r="AA196" s="2011"/>
      <c r="AB196" s="2011"/>
      <c r="AC196" s="2011"/>
      <c r="AD196" s="2011"/>
      <c r="AE196" s="2011"/>
      <c r="AF196" s="2011"/>
      <c r="AG196" s="2011"/>
      <c r="AH196" s="2011"/>
      <c r="AI196" s="2011"/>
      <c r="AJ196" s="2011"/>
      <c r="AK196" s="2011"/>
      <c r="AL196" s="2011"/>
      <c r="AM196" s="2011"/>
      <c r="AN196" s="2011"/>
      <c r="AO196" s="2011"/>
      <c r="AP196" s="2011"/>
      <c r="AQ196" s="2011"/>
      <c r="AR196" s="2011"/>
      <c r="AS196" s="2011"/>
      <c r="AT196" s="2011"/>
      <c r="AU196" s="2011"/>
      <c r="AV196" s="2011"/>
      <c r="AW196" s="2011"/>
      <c r="AX196" s="2011"/>
      <c r="AY196" s="2011"/>
      <c r="AZ196" s="2011"/>
      <c r="BA196" s="2011"/>
      <c r="BB196" s="2011"/>
      <c r="BC196" s="2011"/>
      <c r="BD196" s="2011"/>
      <c r="BE196" s="2011"/>
      <c r="BF196" s="2011"/>
      <c r="BG196" s="2011"/>
    </row>
    <row r="197" spans="1:59">
      <c r="A197" s="2011"/>
      <c r="B197" s="2011"/>
      <c r="C197" s="2011"/>
      <c r="D197" s="2011"/>
      <c r="E197" s="2011"/>
      <c r="F197" s="2011"/>
      <c r="G197" s="2011"/>
      <c r="H197" s="2011"/>
      <c r="I197" s="2011"/>
      <c r="J197" s="2011"/>
      <c r="K197" s="2011"/>
      <c r="L197" s="2011"/>
      <c r="M197" s="2011"/>
      <c r="N197" s="2011"/>
      <c r="O197" s="2011"/>
      <c r="P197" s="2011"/>
      <c r="Q197" s="2011"/>
      <c r="R197" s="2011"/>
      <c r="S197" s="2011"/>
      <c r="T197" s="2011"/>
      <c r="U197" s="2011"/>
      <c r="V197" s="2011"/>
      <c r="W197" s="2011"/>
      <c r="X197" s="2011"/>
      <c r="Y197" s="2011"/>
      <c r="Z197" s="2011"/>
      <c r="AA197" s="2011"/>
      <c r="AB197" s="2011"/>
      <c r="AC197" s="2011"/>
      <c r="AD197" s="2011"/>
      <c r="AE197" s="2011"/>
      <c r="AF197" s="2011"/>
      <c r="AG197" s="2011"/>
      <c r="AH197" s="2011"/>
      <c r="AI197" s="2011"/>
      <c r="AJ197" s="2011"/>
      <c r="AK197" s="2011"/>
      <c r="AL197" s="2011"/>
      <c r="AM197" s="2011"/>
      <c r="AN197" s="2011"/>
      <c r="AO197" s="2011"/>
      <c r="AP197" s="2011"/>
      <c r="AQ197" s="2011"/>
      <c r="AR197" s="2011"/>
      <c r="AS197" s="2011"/>
      <c r="AT197" s="2011"/>
      <c r="AU197" s="2011"/>
      <c r="AV197" s="2011"/>
      <c r="AW197" s="2011"/>
      <c r="AX197" s="2011"/>
      <c r="AY197" s="2011"/>
      <c r="AZ197" s="2011"/>
      <c r="BA197" s="2011"/>
      <c r="BB197" s="2011"/>
      <c r="BC197" s="2011"/>
      <c r="BD197" s="2011"/>
      <c r="BE197" s="2011"/>
      <c r="BF197" s="2011"/>
      <c r="BG197" s="2011"/>
    </row>
    <row r="198" spans="1:59">
      <c r="A198" s="2011"/>
      <c r="B198" s="2011"/>
      <c r="C198" s="2011"/>
      <c r="D198" s="2011"/>
      <c r="E198" s="2011"/>
      <c r="F198" s="2011"/>
      <c r="G198" s="2011"/>
      <c r="H198" s="2011"/>
      <c r="I198" s="2011"/>
      <c r="J198" s="2011"/>
      <c r="K198" s="2011"/>
      <c r="L198" s="2011"/>
      <c r="M198" s="2011"/>
      <c r="N198" s="2011"/>
      <c r="O198" s="2011"/>
      <c r="P198" s="2011"/>
      <c r="Q198" s="2011"/>
      <c r="R198" s="2011"/>
      <c r="S198" s="2011"/>
      <c r="T198" s="2011"/>
      <c r="U198" s="2011"/>
      <c r="V198" s="2011"/>
      <c r="W198" s="2011"/>
      <c r="X198" s="2011"/>
      <c r="Y198" s="2011"/>
      <c r="Z198" s="2011"/>
      <c r="AA198" s="2011"/>
      <c r="AB198" s="2011"/>
      <c r="AC198" s="2011"/>
      <c r="AD198" s="2011"/>
      <c r="AE198" s="2011"/>
      <c r="AF198" s="2011"/>
      <c r="AG198" s="2011"/>
      <c r="AH198" s="2011"/>
      <c r="AI198" s="2011"/>
      <c r="AJ198" s="2011"/>
      <c r="AK198" s="2011"/>
      <c r="AL198" s="2011"/>
      <c r="AM198" s="2011"/>
      <c r="AN198" s="2011"/>
      <c r="AO198" s="2011"/>
      <c r="AP198" s="2011"/>
      <c r="AQ198" s="2011"/>
      <c r="AR198" s="2011"/>
      <c r="AS198" s="2011"/>
      <c r="AT198" s="2011"/>
      <c r="AU198" s="2011"/>
      <c r="AV198" s="2011"/>
      <c r="AW198" s="2011"/>
      <c r="AX198" s="2011"/>
      <c r="AY198" s="2011"/>
      <c r="AZ198" s="2011"/>
      <c r="BA198" s="2011"/>
      <c r="BB198" s="2011"/>
      <c r="BC198" s="2011"/>
      <c r="BD198" s="2011"/>
      <c r="BE198" s="2011"/>
      <c r="BF198" s="2011"/>
      <c r="BG198" s="2011"/>
    </row>
    <row r="199" spans="1:59">
      <c r="A199" s="2011"/>
      <c r="B199" s="2011"/>
      <c r="C199" s="2011"/>
      <c r="D199" s="2011"/>
      <c r="E199" s="2011"/>
      <c r="F199" s="2011"/>
      <c r="G199" s="2011"/>
      <c r="H199" s="2011"/>
      <c r="I199" s="2011"/>
      <c r="J199" s="2011"/>
      <c r="K199" s="2011"/>
      <c r="L199" s="2011"/>
      <c r="M199" s="2011"/>
      <c r="N199" s="2011"/>
      <c r="O199" s="2011"/>
      <c r="P199" s="2011"/>
      <c r="Q199" s="2011"/>
      <c r="R199" s="2011"/>
      <c r="S199" s="2011"/>
      <c r="T199" s="2011"/>
      <c r="U199" s="2011"/>
      <c r="V199" s="2011"/>
      <c r="W199" s="2011"/>
      <c r="X199" s="2011"/>
      <c r="Y199" s="2011"/>
      <c r="Z199" s="2011"/>
      <c r="AA199" s="2011"/>
      <c r="AB199" s="2011"/>
      <c r="AC199" s="2011"/>
      <c r="AD199" s="2011"/>
      <c r="AE199" s="2011"/>
      <c r="AF199" s="2011"/>
      <c r="AG199" s="2011"/>
      <c r="AH199" s="2011"/>
      <c r="AI199" s="2011"/>
      <c r="AJ199" s="2011"/>
      <c r="AK199" s="2011"/>
      <c r="AL199" s="2011"/>
      <c r="AM199" s="2011"/>
      <c r="AN199" s="2011"/>
      <c r="AO199" s="2011"/>
      <c r="AP199" s="2011"/>
      <c r="AQ199" s="2011"/>
      <c r="AR199" s="2011"/>
      <c r="AS199" s="2011"/>
      <c r="AT199" s="2011"/>
      <c r="AU199" s="2011"/>
      <c r="AV199" s="2011"/>
      <c r="AW199" s="2011"/>
      <c r="AX199" s="2011"/>
      <c r="AY199" s="2011"/>
      <c r="AZ199" s="2011"/>
      <c r="BA199" s="2011"/>
      <c r="BB199" s="2011"/>
      <c r="BC199" s="2011"/>
      <c r="BD199" s="2011"/>
      <c r="BE199" s="2011"/>
      <c r="BF199" s="2011"/>
      <c r="BG199" s="2011"/>
    </row>
    <row r="200" spans="1:59">
      <c r="A200" s="2011"/>
      <c r="B200" s="2011"/>
      <c r="C200" s="2011"/>
      <c r="D200" s="2011"/>
      <c r="E200" s="2011"/>
      <c r="F200" s="2011"/>
      <c r="G200" s="2011"/>
      <c r="H200" s="2011"/>
      <c r="I200" s="2011"/>
      <c r="J200" s="2011"/>
      <c r="K200" s="2011"/>
      <c r="L200" s="2011"/>
      <c r="M200" s="2011"/>
      <c r="N200" s="2011"/>
      <c r="O200" s="2011"/>
      <c r="P200" s="2011"/>
      <c r="Q200" s="2011"/>
      <c r="R200" s="2011"/>
      <c r="S200" s="2011"/>
      <c r="T200" s="2011"/>
      <c r="U200" s="2011"/>
      <c r="V200" s="2011"/>
      <c r="W200" s="2011"/>
      <c r="X200" s="2011"/>
      <c r="Y200" s="2011"/>
      <c r="Z200" s="2011"/>
      <c r="AA200" s="2011"/>
      <c r="AB200" s="2011"/>
      <c r="AC200" s="2011"/>
      <c r="AD200" s="2011"/>
      <c r="AE200" s="2011"/>
      <c r="AF200" s="2011"/>
      <c r="AG200" s="2011"/>
      <c r="AH200" s="2011"/>
      <c r="AI200" s="2011"/>
      <c r="AJ200" s="2011"/>
      <c r="AK200" s="2011"/>
      <c r="AL200" s="2011"/>
      <c r="AM200" s="2011"/>
      <c r="AN200" s="2011"/>
      <c r="AO200" s="2011"/>
      <c r="AP200" s="2011"/>
      <c r="AQ200" s="2011"/>
      <c r="AR200" s="2011"/>
      <c r="AS200" s="2011"/>
      <c r="AT200" s="2011"/>
      <c r="AU200" s="2011"/>
      <c r="AV200" s="2011"/>
      <c r="AW200" s="2011"/>
      <c r="AX200" s="2011"/>
      <c r="AY200" s="2011"/>
      <c r="AZ200" s="2011"/>
      <c r="BA200" s="2011"/>
      <c r="BB200" s="2011"/>
      <c r="BC200" s="2011"/>
      <c r="BD200" s="2011"/>
      <c r="BE200" s="2011"/>
      <c r="BF200" s="2011"/>
      <c r="BG200" s="2011"/>
    </row>
    <row r="201" spans="1:59">
      <c r="A201" s="2011"/>
      <c r="B201" s="2011"/>
      <c r="C201" s="2011"/>
      <c r="D201" s="2011"/>
      <c r="E201" s="2011"/>
      <c r="F201" s="2011"/>
      <c r="G201" s="2011"/>
      <c r="H201" s="2011"/>
      <c r="I201" s="2011"/>
      <c r="J201" s="2011"/>
      <c r="K201" s="2011"/>
      <c r="L201" s="2011"/>
      <c r="M201" s="2011"/>
      <c r="N201" s="2011"/>
      <c r="O201" s="2011"/>
      <c r="P201" s="2011"/>
      <c r="Q201" s="2011"/>
      <c r="R201" s="2011"/>
      <c r="S201" s="2011"/>
      <c r="T201" s="2011"/>
      <c r="U201" s="2011"/>
      <c r="V201" s="2011"/>
      <c r="W201" s="2011"/>
      <c r="X201" s="2011"/>
      <c r="Y201" s="2011"/>
      <c r="Z201" s="2011"/>
      <c r="AA201" s="2011"/>
      <c r="AB201" s="2011"/>
      <c r="AC201" s="2011"/>
      <c r="AD201" s="2011"/>
      <c r="AE201" s="2011"/>
      <c r="AF201" s="2011"/>
      <c r="AG201" s="2011"/>
      <c r="AH201" s="2011"/>
      <c r="AI201" s="2011"/>
      <c r="AJ201" s="2011"/>
      <c r="AK201" s="2011"/>
      <c r="AL201" s="2011"/>
      <c r="AM201" s="2011"/>
      <c r="AN201" s="2011"/>
      <c r="AO201" s="2011"/>
      <c r="AP201" s="2011"/>
      <c r="AQ201" s="2011"/>
      <c r="AR201" s="2011"/>
      <c r="AS201" s="2011"/>
      <c r="AT201" s="2011"/>
      <c r="AU201" s="2011"/>
      <c r="AV201" s="2011"/>
      <c r="AW201" s="2011"/>
      <c r="AX201" s="2011"/>
      <c r="AY201" s="2011"/>
      <c r="AZ201" s="2011"/>
      <c r="BA201" s="2011"/>
      <c r="BB201" s="2011"/>
      <c r="BC201" s="2011"/>
      <c r="BD201" s="2011"/>
      <c r="BE201" s="2011"/>
      <c r="BF201" s="2011"/>
      <c r="BG201" s="2011"/>
    </row>
    <row r="202" spans="1:59">
      <c r="A202" s="2011"/>
      <c r="B202" s="2011"/>
      <c r="C202" s="2011"/>
      <c r="D202" s="2011"/>
      <c r="E202" s="2011"/>
      <c r="F202" s="2011"/>
      <c r="G202" s="2011"/>
      <c r="H202" s="2011"/>
      <c r="I202" s="2011"/>
      <c r="J202" s="2011"/>
      <c r="K202" s="2011"/>
      <c r="L202" s="2011"/>
      <c r="M202" s="2011"/>
      <c r="N202" s="2011"/>
      <c r="O202" s="2011"/>
      <c r="P202" s="2011"/>
      <c r="Q202" s="2011"/>
      <c r="R202" s="2011"/>
      <c r="S202" s="2011"/>
      <c r="T202" s="2011"/>
      <c r="U202" s="2011"/>
      <c r="V202" s="2011"/>
      <c r="W202" s="2011"/>
      <c r="X202" s="2011"/>
      <c r="Y202" s="2011"/>
      <c r="Z202" s="2011"/>
      <c r="AA202" s="2011"/>
      <c r="AB202" s="2011"/>
      <c r="AC202" s="2011"/>
      <c r="AD202" s="2011"/>
      <c r="AE202" s="2011"/>
      <c r="AF202" s="2011"/>
      <c r="AG202" s="2011"/>
      <c r="AH202" s="2011"/>
      <c r="AI202" s="2011"/>
      <c r="AJ202" s="2011"/>
      <c r="AK202" s="2011"/>
      <c r="AL202" s="2011"/>
      <c r="AM202" s="2011"/>
      <c r="AN202" s="2011"/>
      <c r="AO202" s="2011"/>
      <c r="AP202" s="2011"/>
      <c r="AQ202" s="2011"/>
      <c r="AR202" s="2011"/>
      <c r="AS202" s="2011"/>
      <c r="AT202" s="2011"/>
      <c r="AU202" s="2011"/>
      <c r="AV202" s="2011"/>
      <c r="AW202" s="2011"/>
      <c r="AX202" s="2011"/>
      <c r="AY202" s="2011"/>
      <c r="AZ202" s="2011"/>
      <c r="BA202" s="2011"/>
      <c r="BB202" s="2011"/>
      <c r="BC202" s="2011"/>
      <c r="BD202" s="2011"/>
      <c r="BE202" s="2011"/>
      <c r="BF202" s="2011"/>
      <c r="BG202" s="2011"/>
    </row>
    <row r="203" spans="1:59">
      <c r="A203" s="2011"/>
      <c r="B203" s="2011"/>
      <c r="C203" s="2011"/>
      <c r="D203" s="2011"/>
      <c r="E203" s="2011"/>
      <c r="F203" s="2011"/>
      <c r="G203" s="2011"/>
      <c r="H203" s="2011"/>
      <c r="I203" s="2011"/>
      <c r="J203" s="2011"/>
      <c r="K203" s="2011"/>
      <c r="L203" s="2011"/>
      <c r="M203" s="2011"/>
      <c r="N203" s="2011"/>
      <c r="O203" s="2011"/>
      <c r="P203" s="2011"/>
      <c r="Q203" s="2011"/>
      <c r="R203" s="2011"/>
      <c r="S203" s="2011"/>
      <c r="T203" s="2011"/>
      <c r="U203" s="2011"/>
      <c r="V203" s="2011"/>
      <c r="W203" s="2011"/>
      <c r="X203" s="2011"/>
      <c r="Y203" s="2011"/>
      <c r="Z203" s="2011"/>
      <c r="AA203" s="2011"/>
      <c r="AB203" s="2011"/>
      <c r="AC203" s="2011"/>
      <c r="AD203" s="2011"/>
      <c r="AE203" s="2011"/>
      <c r="AF203" s="2011"/>
      <c r="AG203" s="2011"/>
      <c r="AH203" s="2011"/>
      <c r="AI203" s="2011"/>
      <c r="AJ203" s="2011"/>
      <c r="AK203" s="2011"/>
      <c r="AL203" s="2011"/>
      <c r="AM203" s="2011"/>
      <c r="AN203" s="2011"/>
      <c r="AO203" s="2011"/>
      <c r="AP203" s="2011"/>
      <c r="AQ203" s="2011"/>
      <c r="AR203" s="2011"/>
      <c r="AS203" s="2011"/>
      <c r="AT203" s="2011"/>
      <c r="AU203" s="2011"/>
      <c r="AV203" s="2011"/>
      <c r="AW203" s="2011"/>
      <c r="AX203" s="2011"/>
      <c r="AY203" s="2011"/>
      <c r="AZ203" s="2011"/>
      <c r="BA203" s="2011"/>
      <c r="BB203" s="2011"/>
      <c r="BC203" s="2011"/>
      <c r="BD203" s="2011"/>
      <c r="BE203" s="2011"/>
      <c r="BF203" s="2011"/>
      <c r="BG203" s="2011"/>
    </row>
    <row r="204" spans="1:59">
      <c r="A204" s="2011"/>
      <c r="B204" s="2011"/>
      <c r="C204" s="2011"/>
      <c r="D204" s="2011"/>
      <c r="E204" s="2011"/>
      <c r="F204" s="2011"/>
      <c r="G204" s="2011"/>
      <c r="H204" s="2011"/>
      <c r="I204" s="2011"/>
      <c r="J204" s="2011"/>
      <c r="K204" s="2011"/>
      <c r="L204" s="2011"/>
      <c r="M204" s="2011"/>
      <c r="N204" s="2011"/>
      <c r="O204" s="2011"/>
      <c r="P204" s="2011"/>
      <c r="Q204" s="2011"/>
      <c r="R204" s="2011"/>
      <c r="S204" s="2011"/>
      <c r="T204" s="2011"/>
      <c r="U204" s="2011"/>
      <c r="V204" s="2011"/>
      <c r="W204" s="2011"/>
      <c r="X204" s="2011"/>
      <c r="Y204" s="2011"/>
      <c r="Z204" s="2011"/>
      <c r="AA204" s="2011"/>
      <c r="AB204" s="2011"/>
      <c r="AC204" s="2011"/>
      <c r="AD204" s="2011"/>
      <c r="AE204" s="2011"/>
      <c r="AF204" s="2011"/>
      <c r="AG204" s="2011"/>
      <c r="AH204" s="2011"/>
      <c r="AI204" s="2011"/>
      <c r="AJ204" s="2011"/>
      <c r="AK204" s="2011"/>
      <c r="AL204" s="2011"/>
      <c r="AM204" s="2011"/>
      <c r="AN204" s="2011"/>
      <c r="AO204" s="2011"/>
      <c r="AP204" s="2011"/>
      <c r="AQ204" s="2011"/>
      <c r="AR204" s="2011"/>
      <c r="AS204" s="2011"/>
      <c r="AT204" s="2011"/>
      <c r="AU204" s="2011"/>
      <c r="AV204" s="2011"/>
      <c r="AW204" s="2011"/>
      <c r="AX204" s="2011"/>
      <c r="AY204" s="2011"/>
      <c r="AZ204" s="2011"/>
      <c r="BA204" s="2011"/>
      <c r="BB204" s="2011"/>
      <c r="BC204" s="2011"/>
      <c r="BD204" s="2011"/>
      <c r="BE204" s="2011"/>
      <c r="BF204" s="2011"/>
      <c r="BG204" s="2011"/>
    </row>
    <row r="205" spans="1:59">
      <c r="A205" s="2011"/>
      <c r="B205" s="2011"/>
      <c r="C205" s="2011"/>
      <c r="D205" s="2011"/>
      <c r="E205" s="2011"/>
      <c r="F205" s="2011"/>
      <c r="G205" s="2011"/>
      <c r="H205" s="2011"/>
      <c r="I205" s="2011"/>
      <c r="J205" s="2011"/>
      <c r="K205" s="2011"/>
      <c r="L205" s="2011"/>
      <c r="M205" s="2011"/>
      <c r="N205" s="2011"/>
      <c r="O205" s="2011"/>
      <c r="P205" s="2011"/>
      <c r="Q205" s="2011"/>
      <c r="R205" s="2011"/>
      <c r="S205" s="2011"/>
      <c r="T205" s="2011"/>
      <c r="U205" s="2011"/>
      <c r="V205" s="2011"/>
      <c r="W205" s="2011"/>
      <c r="X205" s="2011"/>
      <c r="Y205" s="2011"/>
      <c r="Z205" s="2011"/>
      <c r="AA205" s="2011"/>
      <c r="AB205" s="2011"/>
      <c r="AC205" s="2011"/>
      <c r="AD205" s="2011"/>
      <c r="AE205" s="2011"/>
      <c r="AF205" s="2011"/>
      <c r="AG205" s="2011"/>
      <c r="AH205" s="2011"/>
      <c r="AI205" s="2011"/>
      <c r="AJ205" s="2011"/>
      <c r="AK205" s="2011"/>
      <c r="AL205" s="2011"/>
      <c r="AM205" s="2011"/>
      <c r="AN205" s="2011"/>
      <c r="AO205" s="2011"/>
      <c r="AP205" s="2011"/>
      <c r="AQ205" s="2011"/>
      <c r="AR205" s="2011"/>
      <c r="AS205" s="2011"/>
      <c r="AT205" s="2011"/>
      <c r="AU205" s="2011"/>
      <c r="AV205" s="2011"/>
      <c r="AW205" s="2011"/>
      <c r="AX205" s="2011"/>
      <c r="AY205" s="2011"/>
      <c r="AZ205" s="2011"/>
      <c r="BA205" s="2011"/>
      <c r="BB205" s="2011"/>
      <c r="BC205" s="2011"/>
      <c r="BD205" s="2011"/>
      <c r="BE205" s="2011"/>
      <c r="BF205" s="2011"/>
      <c r="BG205" s="2011"/>
    </row>
    <row r="206" spans="1:59">
      <c r="A206" s="2011"/>
      <c r="B206" s="2011"/>
      <c r="C206" s="2011"/>
      <c r="D206" s="2011"/>
      <c r="E206" s="2011"/>
      <c r="F206" s="2011"/>
      <c r="G206" s="2011"/>
      <c r="H206" s="2011"/>
      <c r="I206" s="2011"/>
      <c r="J206" s="2011"/>
      <c r="K206" s="2011"/>
      <c r="L206" s="2011"/>
      <c r="M206" s="2011"/>
      <c r="N206" s="2011"/>
      <c r="O206" s="2011"/>
      <c r="P206" s="2011"/>
      <c r="Q206" s="2011"/>
      <c r="R206" s="2011"/>
      <c r="S206" s="2011"/>
      <c r="T206" s="2011"/>
      <c r="U206" s="2011"/>
      <c r="V206" s="2011"/>
      <c r="W206" s="2011"/>
      <c r="X206" s="2011"/>
      <c r="Y206" s="2011"/>
      <c r="Z206" s="2011"/>
      <c r="AA206" s="2011"/>
      <c r="AB206" s="2011"/>
      <c r="AC206" s="2011"/>
      <c r="AD206" s="2011"/>
      <c r="AE206" s="2011"/>
      <c r="AF206" s="2011"/>
      <c r="AG206" s="2011"/>
      <c r="AH206" s="2011"/>
      <c r="AI206" s="2011"/>
      <c r="AJ206" s="2011"/>
      <c r="AK206" s="2011"/>
      <c r="AL206" s="2011"/>
      <c r="AM206" s="2011"/>
      <c r="AN206" s="2011"/>
      <c r="AO206" s="2011"/>
      <c r="AP206" s="2011"/>
      <c r="AQ206" s="2011"/>
      <c r="AR206" s="2011"/>
      <c r="AS206" s="2011"/>
      <c r="AT206" s="2011"/>
      <c r="AU206" s="2011"/>
      <c r="AV206" s="2011"/>
      <c r="AW206" s="2011"/>
      <c r="AX206" s="2011"/>
      <c r="AY206" s="2011"/>
      <c r="AZ206" s="2011"/>
      <c r="BA206" s="2011"/>
      <c r="BB206" s="2011"/>
      <c r="BC206" s="2011"/>
      <c r="BD206" s="2011"/>
      <c r="BE206" s="2011"/>
      <c r="BF206" s="2011"/>
      <c r="BG206" s="2011"/>
    </row>
    <row r="207" spans="1:59">
      <c r="A207" s="2011"/>
      <c r="B207" s="2011"/>
      <c r="C207" s="2011"/>
      <c r="D207" s="2011"/>
      <c r="E207" s="2011"/>
      <c r="F207" s="2011"/>
      <c r="G207" s="2011"/>
      <c r="H207" s="2011"/>
      <c r="I207" s="2011"/>
      <c r="J207" s="2011"/>
      <c r="K207" s="2011"/>
      <c r="L207" s="2011"/>
      <c r="M207" s="2011"/>
      <c r="N207" s="2011"/>
      <c r="O207" s="2011"/>
      <c r="P207" s="2011"/>
      <c r="Q207" s="2011"/>
      <c r="R207" s="2011"/>
      <c r="S207" s="2011"/>
      <c r="T207" s="2011"/>
      <c r="U207" s="2011"/>
      <c r="V207" s="2011"/>
      <c r="W207" s="2011"/>
      <c r="X207" s="2011"/>
      <c r="Y207" s="2011"/>
      <c r="Z207" s="2011"/>
      <c r="AA207" s="2011"/>
      <c r="AB207" s="2011"/>
      <c r="AC207" s="2011"/>
      <c r="AD207" s="2011"/>
      <c r="AE207" s="2011"/>
      <c r="AF207" s="2011"/>
      <c r="AG207" s="2011"/>
      <c r="AH207" s="2011"/>
      <c r="AI207" s="2011"/>
      <c r="AJ207" s="2011"/>
      <c r="AK207" s="2011"/>
      <c r="AL207" s="2011"/>
      <c r="AM207" s="2011"/>
      <c r="AN207" s="2011"/>
      <c r="AO207" s="2011"/>
      <c r="AP207" s="2011"/>
      <c r="AQ207" s="2011"/>
      <c r="AR207" s="2011"/>
      <c r="AS207" s="2011"/>
      <c r="AT207" s="2011"/>
      <c r="AU207" s="2011"/>
      <c r="AV207" s="2011"/>
      <c r="AW207" s="2011"/>
      <c r="AX207" s="2011"/>
      <c r="AY207" s="2011"/>
      <c r="AZ207" s="2011"/>
      <c r="BA207" s="2011"/>
      <c r="BB207" s="2011"/>
      <c r="BC207" s="2011"/>
      <c r="BD207" s="2011"/>
      <c r="BE207" s="2011"/>
      <c r="BF207" s="2011"/>
      <c r="BG207" s="2011"/>
    </row>
    <row r="208" spans="1:59">
      <c r="A208" s="2011"/>
      <c r="B208" s="2011"/>
      <c r="C208" s="2011"/>
      <c r="D208" s="2011"/>
      <c r="E208" s="2011"/>
      <c r="F208" s="2011"/>
      <c r="G208" s="2011"/>
      <c r="H208" s="2011"/>
      <c r="I208" s="2011"/>
      <c r="J208" s="2011"/>
      <c r="K208" s="2011"/>
      <c r="L208" s="2011"/>
      <c r="M208" s="2011"/>
      <c r="N208" s="2011"/>
      <c r="O208" s="2011"/>
      <c r="P208" s="2011"/>
      <c r="Q208" s="2011"/>
      <c r="R208" s="2011"/>
      <c r="S208" s="2011"/>
      <c r="T208" s="2011"/>
      <c r="U208" s="2011"/>
      <c r="V208" s="2011"/>
      <c r="W208" s="2011"/>
      <c r="X208" s="2011"/>
      <c r="Y208" s="2011"/>
      <c r="Z208" s="2011"/>
      <c r="AA208" s="2011"/>
      <c r="AB208" s="2011"/>
      <c r="AC208" s="2011"/>
      <c r="AD208" s="2011"/>
      <c r="AE208" s="2011"/>
      <c r="AF208" s="2011"/>
      <c r="AG208" s="2011"/>
      <c r="AH208" s="2011"/>
      <c r="AI208" s="2011"/>
      <c r="AJ208" s="2011"/>
      <c r="AK208" s="2011"/>
      <c r="AL208" s="2011"/>
      <c r="AM208" s="2011"/>
      <c r="AN208" s="2011"/>
      <c r="AO208" s="2011"/>
      <c r="AP208" s="2011"/>
      <c r="AQ208" s="2011"/>
      <c r="AR208" s="2011"/>
      <c r="AS208" s="2011"/>
      <c r="AT208" s="2011"/>
      <c r="AU208" s="2011"/>
      <c r="AV208" s="2011"/>
      <c r="AW208" s="2011"/>
      <c r="AX208" s="2011"/>
      <c r="AY208" s="2011"/>
      <c r="AZ208" s="2011"/>
      <c r="BA208" s="2011"/>
      <c r="BB208" s="2011"/>
      <c r="BC208" s="2011"/>
      <c r="BD208" s="2011"/>
      <c r="BE208" s="2011"/>
      <c r="BF208" s="2011"/>
      <c r="BG208" s="2011"/>
    </row>
    <row r="209" spans="1:59">
      <c r="A209" s="2011"/>
      <c r="B209" s="2011"/>
      <c r="C209" s="2011"/>
      <c r="D209" s="2011"/>
      <c r="E209" s="2011"/>
      <c r="F209" s="2011"/>
      <c r="G209" s="2011"/>
      <c r="H209" s="2011"/>
      <c r="I209" s="2011"/>
      <c r="J209" s="2011"/>
      <c r="K209" s="2011"/>
      <c r="L209" s="2011"/>
      <c r="M209" s="2011"/>
      <c r="N209" s="2011"/>
      <c r="O209" s="2011"/>
      <c r="P209" s="2011"/>
      <c r="Q209" s="2011"/>
      <c r="R209" s="2011"/>
      <c r="S209" s="2011"/>
      <c r="T209" s="2011"/>
      <c r="U209" s="2011"/>
      <c r="V209" s="2011"/>
      <c r="W209" s="2011"/>
      <c r="X209" s="2011"/>
      <c r="Y209" s="2011"/>
      <c r="Z209" s="2011"/>
      <c r="AA209" s="2011"/>
      <c r="AB209" s="2011"/>
      <c r="AC209" s="2011"/>
      <c r="AD209" s="2011"/>
      <c r="AE209" s="2011"/>
      <c r="AF209" s="2011"/>
      <c r="AG209" s="2011"/>
      <c r="AH209" s="2011"/>
      <c r="AI209" s="2011"/>
      <c r="AJ209" s="2011"/>
      <c r="AK209" s="2011"/>
      <c r="AL209" s="2011"/>
      <c r="AM209" s="2011"/>
      <c r="AN209" s="2011"/>
      <c r="AO209" s="2011"/>
      <c r="AP209" s="2011"/>
      <c r="AQ209" s="2011"/>
      <c r="AR209" s="2011"/>
      <c r="AS209" s="2011"/>
      <c r="AT209" s="2011"/>
      <c r="AU209" s="2011"/>
      <c r="AV209" s="2011"/>
      <c r="AW209" s="2011"/>
      <c r="AX209" s="2011"/>
      <c r="AY209" s="2011"/>
      <c r="AZ209" s="2011"/>
      <c r="BA209" s="2011"/>
      <c r="BB209" s="2011"/>
      <c r="BC209" s="2011"/>
      <c r="BD209" s="2011"/>
      <c r="BE209" s="2011"/>
      <c r="BF209" s="2011"/>
      <c r="BG209" s="2011"/>
    </row>
    <row r="210" spans="1:59">
      <c r="A210" s="2011"/>
      <c r="B210" s="2011"/>
      <c r="C210" s="2011"/>
      <c r="D210" s="2011"/>
      <c r="E210" s="2011"/>
      <c r="F210" s="2011"/>
      <c r="G210" s="2011"/>
      <c r="H210" s="2011"/>
      <c r="I210" s="2011"/>
      <c r="J210" s="2011"/>
      <c r="K210" s="2011"/>
      <c r="L210" s="2011"/>
      <c r="M210" s="2011"/>
      <c r="N210" s="2011"/>
      <c r="O210" s="2011"/>
      <c r="P210" s="2011"/>
      <c r="Q210" s="2011"/>
      <c r="R210" s="2011"/>
      <c r="S210" s="2011"/>
      <c r="T210" s="2011"/>
      <c r="U210" s="2011"/>
      <c r="V210" s="2011"/>
      <c r="W210" s="2011"/>
      <c r="X210" s="2011"/>
      <c r="Y210" s="2011"/>
      <c r="Z210" s="2011"/>
      <c r="AA210" s="2011"/>
      <c r="AB210" s="2011"/>
      <c r="AC210" s="2011"/>
      <c r="AD210" s="2011"/>
      <c r="AE210" s="2011"/>
      <c r="AF210" s="2011"/>
      <c r="AG210" s="2011"/>
      <c r="AH210" s="2011"/>
      <c r="AI210" s="2011"/>
      <c r="AJ210" s="2011"/>
      <c r="AK210" s="2011"/>
      <c r="AL210" s="2011"/>
      <c r="AM210" s="2011"/>
      <c r="AN210" s="2011"/>
      <c r="AO210" s="2011"/>
      <c r="AP210" s="2011"/>
      <c r="AQ210" s="2011"/>
      <c r="AR210" s="2011"/>
      <c r="AS210" s="2011"/>
      <c r="AT210" s="2011"/>
      <c r="AU210" s="2011"/>
      <c r="AV210" s="2011"/>
      <c r="AW210" s="2011"/>
      <c r="AX210" s="2011"/>
      <c r="AY210" s="2011"/>
      <c r="AZ210" s="2011"/>
      <c r="BA210" s="2011"/>
      <c r="BB210" s="2011"/>
      <c r="BC210" s="2011"/>
      <c r="BD210" s="2011"/>
      <c r="BE210" s="2011"/>
      <c r="BF210" s="2011"/>
      <c r="BG210" s="2011"/>
    </row>
    <row r="211" spans="1:59">
      <c r="A211" s="2011"/>
      <c r="B211" s="2011"/>
      <c r="C211" s="2011"/>
      <c r="D211" s="2011"/>
      <c r="E211" s="2011"/>
      <c r="F211" s="2011"/>
      <c r="G211" s="2011"/>
      <c r="H211" s="2011"/>
      <c r="I211" s="2011"/>
      <c r="J211" s="2011"/>
      <c r="K211" s="2011"/>
      <c r="L211" s="2011"/>
      <c r="M211" s="2011"/>
      <c r="N211" s="2011"/>
      <c r="O211" s="2011"/>
      <c r="P211" s="2011"/>
      <c r="Q211" s="2011"/>
      <c r="R211" s="2011"/>
      <c r="S211" s="2011"/>
      <c r="T211" s="2011"/>
      <c r="U211" s="2011"/>
      <c r="V211" s="2011"/>
      <c r="W211" s="2011"/>
      <c r="X211" s="2011"/>
      <c r="Y211" s="2011"/>
      <c r="Z211" s="2011"/>
      <c r="AA211" s="2011"/>
      <c r="AB211" s="2011"/>
      <c r="AC211" s="2011"/>
      <c r="AD211" s="2011"/>
      <c r="AE211" s="2011"/>
      <c r="AF211" s="2011"/>
      <c r="AG211" s="2011"/>
      <c r="AH211" s="2011"/>
      <c r="AI211" s="2011"/>
      <c r="AJ211" s="2011"/>
      <c r="AK211" s="2011"/>
      <c r="AL211" s="2011"/>
      <c r="AM211" s="2011"/>
      <c r="AN211" s="2011"/>
      <c r="AO211" s="2011"/>
      <c r="AP211" s="2011"/>
      <c r="AQ211" s="2011"/>
      <c r="AR211" s="2011"/>
      <c r="AS211" s="2011"/>
      <c r="AT211" s="2011"/>
      <c r="AU211" s="2011"/>
      <c r="AV211" s="2011"/>
      <c r="AW211" s="2011"/>
      <c r="AX211" s="2011"/>
      <c r="AY211" s="2011"/>
      <c r="AZ211" s="2011"/>
      <c r="BA211" s="2011"/>
      <c r="BB211" s="2011"/>
      <c r="BC211" s="2011"/>
      <c r="BD211" s="2011"/>
      <c r="BE211" s="2011"/>
      <c r="BF211" s="2011"/>
      <c r="BG211" s="2011"/>
    </row>
    <row r="212" spans="1:59">
      <c r="A212" s="2011"/>
      <c r="B212" s="2011"/>
      <c r="C212" s="2011"/>
      <c r="D212" s="2011"/>
      <c r="E212" s="2011"/>
      <c r="F212" s="2011"/>
      <c r="G212" s="2011"/>
      <c r="H212" s="2011"/>
      <c r="I212" s="2011"/>
      <c r="J212" s="2011"/>
      <c r="K212" s="2011"/>
      <c r="L212" s="2011"/>
      <c r="M212" s="2011"/>
      <c r="N212" s="2011"/>
      <c r="O212" s="2011"/>
      <c r="P212" s="2011"/>
      <c r="Q212" s="2011"/>
      <c r="R212" s="2011"/>
      <c r="S212" s="2011"/>
      <c r="T212" s="2011"/>
      <c r="U212" s="2011"/>
      <c r="V212" s="2011"/>
      <c r="W212" s="2011"/>
      <c r="X212" s="2011"/>
      <c r="Y212" s="2011"/>
      <c r="Z212" s="2011"/>
      <c r="AA212" s="2011"/>
      <c r="AB212" s="2011"/>
      <c r="AC212" s="2011"/>
      <c r="AD212" s="2011"/>
      <c r="AE212" s="2011"/>
      <c r="AF212" s="2011"/>
      <c r="AG212" s="2011"/>
      <c r="AH212" s="2011"/>
      <c r="AI212" s="2011"/>
      <c r="AJ212" s="2011"/>
      <c r="AK212" s="2011"/>
      <c r="AL212" s="2011"/>
      <c r="AM212" s="2011"/>
      <c r="AN212" s="2011"/>
      <c r="AO212" s="2011"/>
      <c r="AP212" s="2011"/>
      <c r="AQ212" s="2011"/>
      <c r="AR212" s="2011"/>
      <c r="AS212" s="2011"/>
      <c r="AT212" s="2011"/>
      <c r="AU212" s="2011"/>
      <c r="AV212" s="2011"/>
      <c r="AW212" s="2011"/>
      <c r="AX212" s="2011"/>
      <c r="AY212" s="2011"/>
      <c r="AZ212" s="2011"/>
      <c r="BA212" s="2011"/>
      <c r="BB212" s="2011"/>
      <c r="BC212" s="2011"/>
      <c r="BD212" s="2011"/>
      <c r="BE212" s="2011"/>
      <c r="BF212" s="2011"/>
      <c r="BG212" s="2011"/>
    </row>
    <row r="213" spans="1:59">
      <c r="A213" s="2011"/>
      <c r="B213" s="2011"/>
      <c r="C213" s="2011"/>
      <c r="D213" s="2011"/>
      <c r="E213" s="2011"/>
      <c r="F213" s="2011"/>
      <c r="G213" s="2011"/>
      <c r="H213" s="2011"/>
      <c r="I213" s="2011"/>
      <c r="J213" s="2011"/>
      <c r="K213" s="2011"/>
      <c r="L213" s="2011"/>
      <c r="M213" s="2011"/>
      <c r="N213" s="2011"/>
      <c r="O213" s="2011"/>
      <c r="P213" s="2011"/>
      <c r="Q213" s="2011"/>
      <c r="R213" s="2011"/>
      <c r="S213" s="2011"/>
      <c r="T213" s="2011"/>
      <c r="U213" s="2011"/>
      <c r="V213" s="2011"/>
      <c r="W213" s="2011"/>
      <c r="X213" s="2011"/>
      <c r="Y213" s="2011"/>
      <c r="Z213" s="2011"/>
      <c r="AA213" s="2011"/>
      <c r="AB213" s="2011"/>
      <c r="AC213" s="2011"/>
      <c r="AD213" s="2011"/>
      <c r="AE213" s="2011"/>
      <c r="AF213" s="2011"/>
      <c r="AG213" s="2011"/>
      <c r="AH213" s="2011"/>
      <c r="AI213" s="2011"/>
      <c r="AJ213" s="2011"/>
      <c r="AK213" s="2011"/>
      <c r="AL213" s="2011"/>
      <c r="AM213" s="2011"/>
      <c r="AN213" s="2011"/>
      <c r="AO213" s="2011"/>
      <c r="AP213" s="2011"/>
      <c r="AQ213" s="2011"/>
      <c r="AR213" s="2011"/>
      <c r="AS213" s="2011"/>
      <c r="AT213" s="2011"/>
      <c r="AU213" s="2011"/>
      <c r="AV213" s="2011"/>
      <c r="AW213" s="2011"/>
      <c r="AX213" s="2011"/>
      <c r="AY213" s="2011"/>
      <c r="AZ213" s="2011"/>
      <c r="BA213" s="2011"/>
      <c r="BB213" s="2011"/>
      <c r="BC213" s="2011"/>
      <c r="BD213" s="2011"/>
      <c r="BE213" s="2011"/>
      <c r="BF213" s="2011"/>
      <c r="BG213" s="2011"/>
    </row>
    <row r="214" spans="1:59">
      <c r="A214" s="2011"/>
      <c r="B214" s="2011"/>
      <c r="C214" s="2011"/>
      <c r="D214" s="2011"/>
      <c r="E214" s="2011"/>
      <c r="F214" s="2011"/>
      <c r="G214" s="2011"/>
      <c r="H214" s="2011"/>
      <c r="I214" s="2011"/>
      <c r="J214" s="2011"/>
      <c r="K214" s="2011"/>
      <c r="L214" s="2011"/>
      <c r="M214" s="2011"/>
      <c r="N214" s="2011"/>
      <c r="O214" s="2011"/>
      <c r="P214" s="2011"/>
      <c r="Q214" s="2011"/>
      <c r="R214" s="2011"/>
      <c r="S214" s="2011"/>
      <c r="T214" s="2011"/>
      <c r="U214" s="2011"/>
      <c r="V214" s="2011"/>
      <c r="W214" s="2011"/>
      <c r="X214" s="2011"/>
      <c r="Y214" s="2011"/>
      <c r="Z214" s="2011"/>
      <c r="AA214" s="2011"/>
      <c r="AB214" s="2011"/>
      <c r="AC214" s="2011"/>
      <c r="AD214" s="2011"/>
      <c r="AE214" s="2011"/>
      <c r="AF214" s="2011"/>
      <c r="AG214" s="2011"/>
      <c r="AH214" s="2011"/>
      <c r="AI214" s="2011"/>
      <c r="AJ214" s="2011"/>
      <c r="AK214" s="2011"/>
      <c r="AL214" s="2011"/>
      <c r="AM214" s="2011"/>
      <c r="AN214" s="2011"/>
      <c r="AO214" s="2011"/>
      <c r="AP214" s="2011"/>
      <c r="AQ214" s="2011"/>
      <c r="AR214" s="2011"/>
      <c r="AS214" s="2011"/>
      <c r="AT214" s="2011"/>
      <c r="AU214" s="2011"/>
      <c r="AV214" s="2011"/>
      <c r="AW214" s="2011"/>
      <c r="AX214" s="2011"/>
      <c r="AY214" s="2011"/>
      <c r="AZ214" s="2011"/>
      <c r="BA214" s="2011"/>
      <c r="BB214" s="2011"/>
      <c r="BC214" s="2011"/>
      <c r="BD214" s="2011"/>
      <c r="BE214" s="2011"/>
      <c r="BF214" s="2011"/>
      <c r="BG214" s="2011"/>
    </row>
    <row r="215" spans="1:59">
      <c r="A215" s="2011"/>
      <c r="B215" s="2011"/>
      <c r="C215" s="2011"/>
      <c r="D215" s="2011"/>
      <c r="E215" s="2011"/>
      <c r="F215" s="2011"/>
      <c r="G215" s="2011"/>
      <c r="H215" s="2011"/>
      <c r="I215" s="2011"/>
      <c r="J215" s="2011"/>
      <c r="K215" s="2011"/>
      <c r="L215" s="2011"/>
      <c r="M215" s="2011"/>
      <c r="N215" s="2011"/>
      <c r="O215" s="2011"/>
      <c r="P215" s="2011"/>
      <c r="Q215" s="2011"/>
      <c r="R215" s="2011"/>
      <c r="S215" s="2011"/>
      <c r="T215" s="2011"/>
      <c r="U215" s="2011"/>
      <c r="V215" s="2011"/>
      <c r="W215" s="2011"/>
      <c r="X215" s="2011"/>
      <c r="Y215" s="2011"/>
      <c r="Z215" s="2011"/>
      <c r="AA215" s="2011"/>
      <c r="AB215" s="2011"/>
      <c r="AC215" s="2011"/>
      <c r="AD215" s="2011"/>
      <c r="AE215" s="2011"/>
      <c r="AF215" s="2011"/>
      <c r="AG215" s="2011"/>
      <c r="AH215" s="2011"/>
      <c r="AI215" s="2011"/>
      <c r="AJ215" s="2011"/>
      <c r="AK215" s="2011"/>
      <c r="AL215" s="2011"/>
      <c r="AM215" s="2011"/>
      <c r="AN215" s="2011"/>
      <c r="AO215" s="2011"/>
      <c r="AP215" s="2011"/>
      <c r="AQ215" s="2011"/>
      <c r="AR215" s="2011"/>
      <c r="AS215" s="2011"/>
      <c r="AT215" s="2011"/>
      <c r="AU215" s="2011"/>
      <c r="AV215" s="2011"/>
      <c r="AW215" s="2011"/>
      <c r="AX215" s="2011"/>
      <c r="AY215" s="2011"/>
      <c r="AZ215" s="2011"/>
      <c r="BA215" s="2011"/>
      <c r="BB215" s="2011"/>
      <c r="BC215" s="2011"/>
      <c r="BD215" s="2011"/>
      <c r="BE215" s="2011"/>
      <c r="BF215" s="2011"/>
      <c r="BG215" s="2011"/>
    </row>
    <row r="216" spans="1:59">
      <c r="A216" s="2011"/>
      <c r="B216" s="2011"/>
      <c r="C216" s="2011"/>
      <c r="D216" s="2011"/>
      <c r="E216" s="2011"/>
      <c r="F216" s="2011"/>
      <c r="G216" s="2011"/>
      <c r="H216" s="2011"/>
      <c r="I216" s="2011"/>
      <c r="J216" s="2011"/>
      <c r="K216" s="2011"/>
      <c r="L216" s="2011"/>
      <c r="M216" s="2011"/>
      <c r="N216" s="2011"/>
      <c r="O216" s="2011"/>
      <c r="P216" s="2011"/>
      <c r="Q216" s="2011"/>
      <c r="R216" s="2011"/>
      <c r="S216" s="2011"/>
      <c r="T216" s="2011"/>
      <c r="U216" s="2011"/>
      <c r="V216" s="2011"/>
      <c r="W216" s="2011"/>
      <c r="X216" s="2011"/>
      <c r="Y216" s="2011"/>
      <c r="Z216" s="2011"/>
      <c r="AA216" s="2011"/>
      <c r="AB216" s="2011"/>
      <c r="AC216" s="2011"/>
      <c r="AD216" s="2011"/>
      <c r="AE216" s="2011"/>
      <c r="AF216" s="2011"/>
      <c r="AG216" s="2011"/>
      <c r="AH216" s="2011"/>
      <c r="AI216" s="2011"/>
      <c r="AJ216" s="2011"/>
      <c r="AK216" s="2011"/>
      <c r="AL216" s="2011"/>
      <c r="AM216" s="2011"/>
      <c r="AN216" s="2011"/>
      <c r="AO216" s="2011"/>
      <c r="AP216" s="2011"/>
      <c r="AQ216" s="2011"/>
      <c r="AR216" s="2011"/>
      <c r="AS216" s="2011"/>
      <c r="AT216" s="2011"/>
      <c r="AU216" s="2011"/>
      <c r="AV216" s="2011"/>
      <c r="AW216" s="2011"/>
      <c r="AX216" s="2011"/>
      <c r="AY216" s="2011"/>
      <c r="AZ216" s="2011"/>
      <c r="BA216" s="2011"/>
      <c r="BB216" s="2011"/>
      <c r="BC216" s="2011"/>
      <c r="BD216" s="2011"/>
      <c r="BE216" s="2011"/>
      <c r="BF216" s="2011"/>
      <c r="BG216" s="2011"/>
    </row>
    <row r="217" spans="1:59">
      <c r="A217" s="2011"/>
      <c r="B217" s="2011"/>
      <c r="C217" s="2011"/>
      <c r="D217" s="2011"/>
      <c r="E217" s="2011"/>
      <c r="F217" s="2011"/>
      <c r="G217" s="2011"/>
      <c r="H217" s="2011"/>
      <c r="I217" s="2011"/>
      <c r="J217" s="2011"/>
      <c r="K217" s="2011"/>
      <c r="L217" s="2011"/>
      <c r="M217" s="2011"/>
      <c r="N217" s="2011"/>
      <c r="O217" s="2011"/>
      <c r="P217" s="2011"/>
      <c r="Q217" s="2011"/>
      <c r="R217" s="2011"/>
      <c r="S217" s="2011"/>
      <c r="T217" s="2011"/>
      <c r="U217" s="2011"/>
      <c r="V217" s="2011"/>
      <c r="W217" s="2011"/>
      <c r="X217" s="2011"/>
      <c r="Y217" s="2011"/>
      <c r="Z217" s="2011"/>
      <c r="AA217" s="2011"/>
      <c r="AB217" s="2011"/>
      <c r="AC217" s="2011"/>
      <c r="AD217" s="2011"/>
      <c r="AE217" s="2011"/>
      <c r="AF217" s="2011"/>
      <c r="AG217" s="2011"/>
      <c r="AH217" s="2011"/>
      <c r="AI217" s="2011"/>
      <c r="AJ217" s="2011"/>
      <c r="AK217" s="2011"/>
      <c r="AL217" s="2011"/>
      <c r="AM217" s="2011"/>
      <c r="AN217" s="2011"/>
      <c r="AO217" s="2011"/>
      <c r="AP217" s="2011"/>
      <c r="AQ217" s="2011"/>
      <c r="AR217" s="2011"/>
      <c r="AS217" s="2011"/>
      <c r="AT217" s="2011"/>
      <c r="AU217" s="2011"/>
      <c r="AV217" s="2011"/>
      <c r="AW217" s="2011"/>
      <c r="AX217" s="2011"/>
      <c r="AY217" s="2011"/>
      <c r="AZ217" s="2011"/>
      <c r="BA217" s="2011"/>
      <c r="BB217" s="2011"/>
      <c r="BC217" s="2011"/>
      <c r="BD217" s="2011"/>
      <c r="BE217" s="2011"/>
      <c r="BF217" s="2011"/>
      <c r="BG217" s="2011"/>
    </row>
    <row r="218" spans="1:59">
      <c r="A218" s="2011"/>
      <c r="B218" s="2011"/>
      <c r="C218" s="2011"/>
      <c r="D218" s="2011"/>
      <c r="E218" s="2011"/>
      <c r="F218" s="2011"/>
      <c r="G218" s="2011"/>
      <c r="H218" s="2011"/>
      <c r="I218" s="2011"/>
      <c r="J218" s="2011"/>
      <c r="K218" s="2011"/>
      <c r="L218" s="2011"/>
      <c r="M218" s="2011"/>
      <c r="N218" s="2011"/>
      <c r="O218" s="2011"/>
      <c r="P218" s="2011"/>
      <c r="Q218" s="2011"/>
      <c r="R218" s="2011"/>
      <c r="S218" s="2011"/>
      <c r="T218" s="2011"/>
      <c r="U218" s="2011"/>
      <c r="V218" s="2011"/>
      <c r="W218" s="2011"/>
      <c r="X218" s="2011"/>
      <c r="Y218" s="2011"/>
      <c r="Z218" s="2011"/>
      <c r="AA218" s="2011"/>
      <c r="AB218" s="2011"/>
      <c r="AC218" s="2011"/>
      <c r="AD218" s="2011"/>
      <c r="AE218" s="2011"/>
      <c r="AF218" s="2011"/>
      <c r="AG218" s="2011"/>
      <c r="AH218" s="2011"/>
      <c r="AI218" s="2011"/>
      <c r="AJ218" s="2011"/>
      <c r="AK218" s="2011"/>
      <c r="AL218" s="2011"/>
      <c r="AM218" s="2011"/>
      <c r="AN218" s="2011"/>
      <c r="AO218" s="2011"/>
      <c r="AP218" s="2011"/>
      <c r="AQ218" s="2011"/>
      <c r="AR218" s="2011"/>
      <c r="AS218" s="2011"/>
      <c r="AT218" s="2011"/>
      <c r="AU218" s="2011"/>
      <c r="AV218" s="2011"/>
      <c r="AW218" s="2011"/>
      <c r="AX218" s="2011"/>
      <c r="AY218" s="2011"/>
      <c r="AZ218" s="2011"/>
      <c r="BA218" s="2011"/>
      <c r="BB218" s="2011"/>
      <c r="BC218" s="2011"/>
      <c r="BD218" s="2011"/>
      <c r="BE218" s="2011"/>
      <c r="BF218" s="2011"/>
      <c r="BG218" s="2011"/>
    </row>
    <row r="219" spans="1:59">
      <c r="A219" s="2011"/>
      <c r="B219" s="2011"/>
      <c r="C219" s="2011"/>
      <c r="D219" s="2011"/>
      <c r="E219" s="2011"/>
      <c r="F219" s="2011"/>
      <c r="G219" s="2011"/>
      <c r="H219" s="2011"/>
      <c r="I219" s="2011"/>
      <c r="J219" s="2011"/>
      <c r="K219" s="2011"/>
      <c r="L219" s="2011"/>
      <c r="M219" s="2011"/>
      <c r="N219" s="2011"/>
      <c r="O219" s="2011"/>
      <c r="P219" s="2011"/>
      <c r="Q219" s="2011"/>
      <c r="R219" s="2011"/>
      <c r="S219" s="2011"/>
      <c r="T219" s="2011"/>
      <c r="U219" s="2011"/>
      <c r="V219" s="2011"/>
      <c r="W219" s="2011"/>
      <c r="X219" s="2011"/>
      <c r="Y219" s="2011"/>
      <c r="Z219" s="2011"/>
      <c r="AA219" s="2011"/>
      <c r="AB219" s="2011"/>
      <c r="AC219" s="2011"/>
      <c r="AD219" s="2011"/>
      <c r="AE219" s="2011"/>
      <c r="AF219" s="2011"/>
      <c r="AG219" s="2011"/>
      <c r="AH219" s="2011"/>
      <c r="AI219" s="2011"/>
      <c r="AJ219" s="2011"/>
      <c r="AK219" s="2011"/>
      <c r="AL219" s="2011"/>
      <c r="AM219" s="2011"/>
      <c r="AN219" s="2011"/>
      <c r="AO219" s="2011"/>
      <c r="AP219" s="2011"/>
      <c r="AQ219" s="2011"/>
      <c r="AR219" s="2011"/>
      <c r="AS219" s="2011"/>
      <c r="AT219" s="2011"/>
      <c r="AU219" s="2011"/>
      <c r="AV219" s="2011"/>
      <c r="AW219" s="2011"/>
      <c r="AX219" s="2011"/>
      <c r="AY219" s="2011"/>
      <c r="AZ219" s="2011"/>
      <c r="BA219" s="2011"/>
      <c r="BB219" s="2011"/>
      <c r="BC219" s="2011"/>
      <c r="BD219" s="2011"/>
      <c r="BE219" s="2011"/>
      <c r="BF219" s="2011"/>
      <c r="BG219" s="2011"/>
    </row>
    <row r="220" spans="1:59">
      <c r="A220" s="2011"/>
      <c r="B220" s="2011"/>
      <c r="C220" s="2011"/>
      <c r="D220" s="2011"/>
      <c r="E220" s="2011"/>
      <c r="F220" s="2011"/>
      <c r="G220" s="2011"/>
      <c r="H220" s="2011"/>
      <c r="I220" s="2011"/>
      <c r="J220" s="2011"/>
      <c r="K220" s="2011"/>
      <c r="L220" s="2011"/>
      <c r="M220" s="2011"/>
      <c r="N220" s="2011"/>
      <c r="O220" s="2011"/>
      <c r="P220" s="2011"/>
      <c r="Q220" s="2011"/>
      <c r="R220" s="2011"/>
      <c r="S220" s="2011"/>
      <c r="T220" s="2011"/>
      <c r="U220" s="2011"/>
      <c r="V220" s="2011"/>
      <c r="W220" s="2011"/>
      <c r="X220" s="2011"/>
      <c r="Y220" s="2011"/>
      <c r="Z220" s="2011"/>
      <c r="AA220" s="2011"/>
      <c r="AB220" s="2011"/>
      <c r="AC220" s="2011"/>
      <c r="AD220" s="2011"/>
      <c r="AE220" s="2011"/>
      <c r="AF220" s="2011"/>
      <c r="AG220" s="2011"/>
      <c r="AH220" s="2011"/>
      <c r="AI220" s="2011"/>
      <c r="AJ220" s="2011"/>
      <c r="AK220" s="2011"/>
      <c r="AL220" s="2011"/>
      <c r="AM220" s="2011"/>
      <c r="AN220" s="2011"/>
      <c r="AO220" s="2011"/>
      <c r="AP220" s="2011"/>
      <c r="AQ220" s="2011"/>
      <c r="AR220" s="2011"/>
      <c r="AS220" s="2011"/>
      <c r="AT220" s="2011"/>
      <c r="AU220" s="2011"/>
      <c r="AV220" s="2011"/>
      <c r="AW220" s="2011"/>
      <c r="AX220" s="2011"/>
      <c r="AY220" s="2011"/>
      <c r="AZ220" s="2011"/>
      <c r="BA220" s="2011"/>
      <c r="BB220" s="2011"/>
      <c r="BC220" s="2011"/>
      <c r="BD220" s="2011"/>
      <c r="BE220" s="2011"/>
      <c r="BF220" s="2011"/>
      <c r="BG220" s="2011"/>
    </row>
    <row r="221" spans="1:59">
      <c r="A221" s="2011"/>
      <c r="B221" s="2011"/>
      <c r="C221" s="2011"/>
      <c r="D221" s="2011"/>
      <c r="E221" s="2011"/>
      <c r="F221" s="2011"/>
      <c r="G221" s="2011"/>
      <c r="H221" s="2011"/>
      <c r="I221" s="2011"/>
      <c r="J221" s="2011"/>
      <c r="K221" s="2011"/>
      <c r="L221" s="2011"/>
      <c r="M221" s="2011"/>
      <c r="N221" s="2011"/>
      <c r="O221" s="2011"/>
      <c r="P221" s="2011"/>
      <c r="Q221" s="2011"/>
      <c r="R221" s="2011"/>
      <c r="S221" s="2011"/>
      <c r="T221" s="2011"/>
      <c r="U221" s="2011"/>
      <c r="V221" s="2011"/>
      <c r="W221" s="2011"/>
      <c r="X221" s="2011"/>
      <c r="Y221" s="2011"/>
      <c r="Z221" s="2011"/>
      <c r="AA221" s="2011"/>
      <c r="AB221" s="2011"/>
      <c r="AC221" s="2011"/>
      <c r="AD221" s="2011"/>
      <c r="AE221" s="2011"/>
      <c r="AF221" s="2011"/>
      <c r="AG221" s="2011"/>
      <c r="AH221" s="2011"/>
      <c r="AI221" s="2011"/>
      <c r="AJ221" s="2011"/>
      <c r="AK221" s="2011"/>
      <c r="AL221" s="2011"/>
      <c r="AM221" s="2011"/>
      <c r="AN221" s="2011"/>
      <c r="AO221" s="2011"/>
      <c r="AP221" s="2011"/>
      <c r="AQ221" s="2011"/>
      <c r="AR221" s="2011"/>
      <c r="AS221" s="2011"/>
      <c r="AT221" s="2011"/>
      <c r="AU221" s="2011"/>
      <c r="AV221" s="2011"/>
      <c r="AW221" s="2011"/>
      <c r="AX221" s="2011"/>
      <c r="AY221" s="2011"/>
      <c r="AZ221" s="2011"/>
      <c r="BA221" s="2011"/>
      <c r="BB221" s="2011"/>
      <c r="BC221" s="2011"/>
      <c r="BD221" s="2011"/>
      <c r="BE221" s="2011"/>
      <c r="BF221" s="2011"/>
      <c r="BG221" s="2011"/>
    </row>
    <row r="222" spans="1:59">
      <c r="A222" s="2011"/>
      <c r="B222" s="2011"/>
      <c r="C222" s="2011"/>
      <c r="D222" s="2011"/>
      <c r="E222" s="2011"/>
      <c r="F222" s="2011"/>
      <c r="G222" s="2011"/>
      <c r="H222" s="2011"/>
      <c r="I222" s="2011"/>
      <c r="J222" s="2011"/>
      <c r="K222" s="2011"/>
      <c r="L222" s="2011"/>
      <c r="M222" s="2011"/>
      <c r="N222" s="2011"/>
      <c r="O222" s="2011"/>
      <c r="P222" s="2011"/>
      <c r="Q222" s="2011"/>
      <c r="R222" s="2011"/>
      <c r="S222" s="2011"/>
      <c r="T222" s="2011"/>
      <c r="U222" s="2011"/>
      <c r="V222" s="2011"/>
      <c r="W222" s="2011"/>
      <c r="X222" s="2011"/>
      <c r="Y222" s="2011"/>
      <c r="Z222" s="2011"/>
      <c r="AA222" s="2011"/>
      <c r="AB222" s="2011"/>
      <c r="AC222" s="2011"/>
      <c r="AD222" s="2011"/>
      <c r="AE222" s="2011"/>
      <c r="AF222" s="2011"/>
      <c r="AG222" s="2011"/>
      <c r="AH222" s="2011"/>
      <c r="AI222" s="2011"/>
      <c r="AJ222" s="2011"/>
      <c r="AK222" s="2011"/>
      <c r="AL222" s="2011"/>
      <c r="AM222" s="2011"/>
      <c r="AN222" s="2011"/>
      <c r="AO222" s="2011"/>
      <c r="AP222" s="2011"/>
      <c r="AQ222" s="2011"/>
      <c r="AR222" s="2011"/>
      <c r="AS222" s="2011"/>
      <c r="AT222" s="2011"/>
      <c r="AU222" s="2011"/>
      <c r="AV222" s="2011"/>
      <c r="AW222" s="2011"/>
      <c r="AX222" s="2011"/>
      <c r="AY222" s="2011"/>
      <c r="AZ222" s="2011"/>
      <c r="BA222" s="2011"/>
      <c r="BB222" s="2011"/>
      <c r="BC222" s="2011"/>
      <c r="BD222" s="2011"/>
      <c r="BE222" s="2011"/>
      <c r="BF222" s="2011"/>
      <c r="BG222" s="2011"/>
    </row>
    <row r="223" spans="1:59">
      <c r="A223" s="2011"/>
      <c r="B223" s="2011"/>
      <c r="C223" s="2011"/>
      <c r="D223" s="2011"/>
      <c r="E223" s="2011"/>
      <c r="F223" s="2011"/>
      <c r="G223" s="2011"/>
      <c r="H223" s="2011"/>
      <c r="I223" s="2011"/>
      <c r="J223" s="2011"/>
      <c r="K223" s="2011"/>
      <c r="L223" s="2011"/>
      <c r="M223" s="2011"/>
      <c r="N223" s="2011"/>
      <c r="O223" s="2011"/>
      <c r="P223" s="2011"/>
      <c r="Q223" s="2011"/>
      <c r="R223" s="2011"/>
      <c r="S223" s="2011"/>
      <c r="T223" s="2011"/>
      <c r="U223" s="2011"/>
      <c r="V223" s="2011"/>
      <c r="W223" s="2011"/>
      <c r="X223" s="2011"/>
      <c r="Y223" s="2011"/>
      <c r="Z223" s="2011"/>
      <c r="AA223" s="2011"/>
      <c r="AB223" s="2011"/>
      <c r="AC223" s="2011"/>
      <c r="AD223" s="2011"/>
      <c r="AE223" s="2011"/>
      <c r="AF223" s="2011"/>
      <c r="AG223" s="2011"/>
      <c r="AH223" s="2011"/>
      <c r="AI223" s="2011"/>
      <c r="AJ223" s="2011"/>
      <c r="AK223" s="2011"/>
      <c r="AL223" s="2011"/>
      <c r="AM223" s="2011"/>
      <c r="AN223" s="2011"/>
      <c r="AO223" s="2011"/>
      <c r="AP223" s="2011"/>
      <c r="AQ223" s="2011"/>
      <c r="AR223" s="2011"/>
      <c r="AS223" s="2011"/>
      <c r="AT223" s="2011"/>
      <c r="AU223" s="2011"/>
      <c r="AV223" s="2011"/>
      <c r="AW223" s="2011"/>
      <c r="AX223" s="2011"/>
      <c r="AY223" s="2011"/>
      <c r="AZ223" s="2011"/>
      <c r="BA223" s="2011"/>
      <c r="BB223" s="2011"/>
      <c r="BC223" s="2011"/>
      <c r="BD223" s="2011"/>
      <c r="BE223" s="2011"/>
      <c r="BF223" s="2011"/>
      <c r="BG223" s="2011"/>
    </row>
    <row r="224" spans="1:59">
      <c r="A224" s="2011"/>
      <c r="B224" s="2011"/>
      <c r="C224" s="2011"/>
      <c r="D224" s="2011"/>
      <c r="E224" s="2011"/>
      <c r="F224" s="2011"/>
      <c r="G224" s="2011"/>
      <c r="H224" s="2011"/>
      <c r="I224" s="2011"/>
      <c r="J224" s="2011"/>
      <c r="K224" s="2011"/>
      <c r="L224" s="2011"/>
      <c r="M224" s="2011"/>
      <c r="N224" s="2011"/>
      <c r="O224" s="2011"/>
      <c r="P224" s="2011"/>
      <c r="Q224" s="2011"/>
      <c r="R224" s="2011"/>
      <c r="S224" s="2011"/>
      <c r="T224" s="2011"/>
      <c r="U224" s="2011"/>
      <c r="V224" s="2011"/>
      <c r="W224" s="2011"/>
      <c r="X224" s="2011"/>
      <c r="Y224" s="2011"/>
      <c r="Z224" s="2011"/>
      <c r="AA224" s="2011"/>
      <c r="AB224" s="2011"/>
      <c r="AC224" s="2011"/>
      <c r="AD224" s="2011"/>
      <c r="AE224" s="2011"/>
      <c r="AF224" s="2011"/>
      <c r="AG224" s="2011"/>
      <c r="AH224" s="2011"/>
      <c r="AI224" s="2011"/>
      <c r="AJ224" s="2011"/>
      <c r="AK224" s="2011"/>
      <c r="AL224" s="2011"/>
      <c r="AM224" s="2011"/>
      <c r="AN224" s="2011"/>
      <c r="AO224" s="2011"/>
      <c r="AP224" s="2011"/>
      <c r="AQ224" s="2011"/>
      <c r="AR224" s="2011"/>
      <c r="AS224" s="2011"/>
      <c r="AT224" s="2011"/>
      <c r="AU224" s="2011"/>
      <c r="AV224" s="2011"/>
      <c r="AW224" s="2011"/>
      <c r="AX224" s="2011"/>
      <c r="AY224" s="2011"/>
      <c r="AZ224" s="2011"/>
      <c r="BA224" s="2011"/>
      <c r="BB224" s="2011"/>
      <c r="BC224" s="2011"/>
      <c r="BD224" s="2011"/>
      <c r="BE224" s="2011"/>
      <c r="BF224" s="2011"/>
      <c r="BG224" s="2011"/>
    </row>
    <row r="225" spans="1:59">
      <c r="A225" s="2011"/>
      <c r="B225" s="2011"/>
      <c r="C225" s="2011"/>
      <c r="D225" s="2011"/>
      <c r="E225" s="2011"/>
      <c r="F225" s="2011"/>
      <c r="G225" s="2011"/>
      <c r="H225" s="2011"/>
      <c r="I225" s="2011"/>
      <c r="J225" s="2011"/>
      <c r="K225" s="2011"/>
      <c r="L225" s="2011"/>
      <c r="M225" s="2011"/>
      <c r="N225" s="2011"/>
      <c r="O225" s="2011"/>
      <c r="P225" s="2011"/>
      <c r="Q225" s="2011"/>
      <c r="R225" s="2011"/>
      <c r="S225" s="2011"/>
      <c r="T225" s="2011"/>
      <c r="U225" s="2011"/>
      <c r="V225" s="2011"/>
      <c r="W225" s="2011"/>
      <c r="X225" s="2011"/>
      <c r="Y225" s="2011"/>
      <c r="Z225" s="2011"/>
      <c r="AA225" s="2011"/>
      <c r="AB225" s="2011"/>
      <c r="AC225" s="2011"/>
      <c r="AD225" s="2011"/>
      <c r="AE225" s="2011"/>
      <c r="AF225" s="2011"/>
      <c r="AG225" s="2011"/>
      <c r="AH225" s="2011"/>
      <c r="AI225" s="2011"/>
      <c r="AJ225" s="2011"/>
      <c r="AK225" s="2011"/>
      <c r="AL225" s="2011"/>
      <c r="AM225" s="2011"/>
      <c r="AN225" s="2011"/>
      <c r="AO225" s="2011"/>
      <c r="AP225" s="2011"/>
      <c r="AQ225" s="2011"/>
      <c r="AR225" s="2011"/>
      <c r="AS225" s="2011"/>
      <c r="AT225" s="2011"/>
      <c r="AU225" s="2011"/>
      <c r="AV225" s="2011"/>
      <c r="AW225" s="2011"/>
      <c r="AX225" s="2011"/>
      <c r="AY225" s="2011"/>
      <c r="AZ225" s="2011"/>
      <c r="BA225" s="2011"/>
      <c r="BB225" s="2011"/>
      <c r="BC225" s="2011"/>
      <c r="BD225" s="2011"/>
      <c r="BE225" s="2011"/>
      <c r="BF225" s="2011"/>
      <c r="BG225" s="2011"/>
    </row>
    <row r="226" spans="1:59">
      <c r="A226" s="2011"/>
      <c r="B226" s="2011"/>
      <c r="C226" s="2011"/>
      <c r="D226" s="2011"/>
      <c r="E226" s="2011"/>
      <c r="F226" s="2011"/>
      <c r="G226" s="2011"/>
      <c r="H226" s="2011"/>
      <c r="I226" s="2011"/>
      <c r="J226" s="2011"/>
      <c r="K226" s="2011"/>
      <c r="L226" s="2011"/>
      <c r="M226" s="2011"/>
      <c r="N226" s="2011"/>
      <c r="O226" s="2011"/>
      <c r="P226" s="2011"/>
      <c r="Q226" s="2011"/>
      <c r="R226" s="2011"/>
      <c r="S226" s="2011"/>
      <c r="T226" s="2011"/>
      <c r="U226" s="2011"/>
      <c r="V226" s="2011"/>
      <c r="W226" s="2011"/>
      <c r="X226" s="2011"/>
      <c r="Y226" s="2011"/>
      <c r="Z226" s="2011"/>
      <c r="AA226" s="2011"/>
      <c r="AB226" s="2011"/>
      <c r="AC226" s="2011"/>
      <c r="AD226" s="2011"/>
      <c r="AE226" s="2011"/>
      <c r="AF226" s="2011"/>
      <c r="AG226" s="2011"/>
      <c r="AH226" s="2011"/>
      <c r="AI226" s="2011"/>
      <c r="AJ226" s="2011"/>
      <c r="AK226" s="2011"/>
      <c r="AL226" s="2011"/>
      <c r="AM226" s="2011"/>
      <c r="AN226" s="2011"/>
      <c r="AO226" s="2011"/>
      <c r="AP226" s="2011"/>
      <c r="AQ226" s="2011"/>
      <c r="AR226" s="2011"/>
      <c r="AS226" s="2011"/>
      <c r="AT226" s="2011"/>
      <c r="AU226" s="2011"/>
      <c r="AV226" s="2011"/>
      <c r="AW226" s="2011"/>
      <c r="AX226" s="2011"/>
      <c r="AY226" s="2011"/>
      <c r="AZ226" s="2011"/>
      <c r="BA226" s="2011"/>
      <c r="BB226" s="2011"/>
      <c r="BC226" s="2011"/>
      <c r="BD226" s="2011"/>
      <c r="BE226" s="2011"/>
      <c r="BF226" s="2011"/>
      <c r="BG226" s="2011"/>
    </row>
    <row r="227" spans="1:59">
      <c r="A227" s="2011"/>
      <c r="B227" s="2011"/>
      <c r="C227" s="2011"/>
      <c r="D227" s="2011"/>
      <c r="E227" s="2011"/>
      <c r="F227" s="2011"/>
      <c r="G227" s="2011"/>
      <c r="H227" s="2011"/>
      <c r="I227" s="2011"/>
      <c r="J227" s="2011"/>
      <c r="K227" s="2011"/>
      <c r="L227" s="2011"/>
      <c r="M227" s="2011"/>
      <c r="N227" s="2011"/>
      <c r="O227" s="2011"/>
      <c r="P227" s="2011"/>
      <c r="Q227" s="2011"/>
      <c r="R227" s="2011"/>
      <c r="S227" s="2011"/>
      <c r="T227" s="2011"/>
      <c r="U227" s="2011"/>
      <c r="V227" s="2011"/>
      <c r="W227" s="2011"/>
      <c r="X227" s="2011"/>
      <c r="Y227" s="2011"/>
      <c r="Z227" s="2011"/>
      <c r="AA227" s="2011"/>
      <c r="AB227" s="2011"/>
      <c r="AC227" s="2011"/>
      <c r="AD227" s="2011"/>
      <c r="AE227" s="2011"/>
      <c r="AF227" s="2011"/>
      <c r="AG227" s="2011"/>
      <c r="AH227" s="2011"/>
      <c r="AI227" s="2011"/>
      <c r="AJ227" s="2011"/>
      <c r="AK227" s="2011"/>
      <c r="AL227" s="2011"/>
      <c r="AM227" s="2011"/>
      <c r="AN227" s="2011"/>
      <c r="AO227" s="2011"/>
      <c r="AP227" s="2011"/>
      <c r="AQ227" s="2011"/>
      <c r="AR227" s="2011"/>
      <c r="AS227" s="2011"/>
      <c r="AT227" s="2011"/>
      <c r="AU227" s="2011"/>
      <c r="AV227" s="2011"/>
      <c r="AW227" s="2011"/>
      <c r="AX227" s="2011"/>
      <c r="AY227" s="2011"/>
      <c r="AZ227" s="2011"/>
      <c r="BA227" s="2011"/>
      <c r="BB227" s="2011"/>
      <c r="BC227" s="2011"/>
      <c r="BD227" s="2011"/>
      <c r="BE227" s="2011"/>
      <c r="BF227" s="2011"/>
      <c r="BG227" s="2011"/>
    </row>
    <row r="228" spans="1:59">
      <c r="A228" s="2011"/>
      <c r="B228" s="2011"/>
      <c r="C228" s="2011"/>
      <c r="D228" s="2011"/>
      <c r="E228" s="2011"/>
      <c r="F228" s="2011"/>
      <c r="G228" s="2011"/>
      <c r="H228" s="2011"/>
      <c r="I228" s="2011"/>
      <c r="J228" s="2011"/>
      <c r="K228" s="2011"/>
      <c r="L228" s="2011"/>
      <c r="M228" s="2011"/>
      <c r="N228" s="2011"/>
      <c r="O228" s="2011"/>
      <c r="P228" s="2011"/>
      <c r="Q228" s="2011"/>
      <c r="R228" s="2011"/>
      <c r="S228" s="2011"/>
      <c r="T228" s="2011"/>
      <c r="U228" s="2011"/>
      <c r="V228" s="2011"/>
      <c r="W228" s="2011"/>
      <c r="X228" s="2011"/>
      <c r="Y228" s="2011"/>
      <c r="Z228" s="2011"/>
      <c r="AA228" s="2011"/>
      <c r="AB228" s="2011"/>
      <c r="AC228" s="2011"/>
      <c r="AD228" s="2011"/>
      <c r="AE228" s="2011"/>
      <c r="AF228" s="2011"/>
      <c r="AG228" s="2011"/>
      <c r="AH228" s="2011"/>
      <c r="AI228" s="2011"/>
      <c r="AJ228" s="2011"/>
      <c r="AK228" s="2011"/>
      <c r="AL228" s="2011"/>
      <c r="AM228" s="2011"/>
      <c r="AN228" s="2011"/>
      <c r="AO228" s="2011"/>
      <c r="AP228" s="2011"/>
      <c r="AQ228" s="2011"/>
      <c r="AR228" s="2011"/>
      <c r="AS228" s="2011"/>
      <c r="AT228" s="2011"/>
      <c r="AU228" s="2011"/>
      <c r="AV228" s="2011"/>
      <c r="AW228" s="2011"/>
      <c r="AX228" s="2011"/>
      <c r="AY228" s="2011"/>
      <c r="AZ228" s="2011"/>
      <c r="BA228" s="2011"/>
      <c r="BB228" s="2011"/>
      <c r="BC228" s="2011"/>
      <c r="BD228" s="2011"/>
      <c r="BE228" s="2011"/>
      <c r="BF228" s="2011"/>
      <c r="BG228" s="2011"/>
    </row>
    <row r="229" spans="1:59">
      <c r="A229" s="2011"/>
      <c r="B229" s="2011"/>
      <c r="C229" s="2011"/>
      <c r="D229" s="2011"/>
      <c r="E229" s="2011"/>
      <c r="F229" s="2011"/>
      <c r="G229" s="2011"/>
      <c r="H229" s="2011"/>
      <c r="I229" s="2011"/>
      <c r="J229" s="2011"/>
      <c r="K229" s="2011"/>
      <c r="L229" s="2011"/>
      <c r="M229" s="2011"/>
      <c r="N229" s="2011"/>
      <c r="O229" s="2011"/>
      <c r="P229" s="2011"/>
      <c r="Q229" s="2011"/>
      <c r="R229" s="2011"/>
      <c r="S229" s="2011"/>
      <c r="T229" s="2011"/>
      <c r="U229" s="2011"/>
      <c r="V229" s="2011"/>
      <c r="W229" s="2011"/>
      <c r="X229" s="2011"/>
      <c r="Y229" s="2011"/>
      <c r="Z229" s="2011"/>
      <c r="AA229" s="2011"/>
      <c r="AB229" s="2011"/>
      <c r="AC229" s="2011"/>
      <c r="AD229" s="2011"/>
      <c r="AE229" s="2011"/>
      <c r="AF229" s="2011"/>
      <c r="AG229" s="2011"/>
      <c r="AH229" s="2011"/>
      <c r="AI229" s="2011"/>
      <c r="AJ229" s="2011"/>
      <c r="AK229" s="2011"/>
      <c r="AL229" s="2011"/>
      <c r="AM229" s="2011"/>
      <c r="AN229" s="2011"/>
      <c r="AO229" s="2011"/>
      <c r="AP229" s="2011"/>
      <c r="AQ229" s="2011"/>
      <c r="AR229" s="2011"/>
      <c r="AS229" s="2011"/>
      <c r="AT229" s="2011"/>
      <c r="AU229" s="2011"/>
      <c r="AV229" s="2011"/>
      <c r="AW229" s="2011"/>
      <c r="AX229" s="2011"/>
      <c r="AY229" s="2011"/>
      <c r="AZ229" s="2011"/>
      <c r="BA229" s="2011"/>
      <c r="BB229" s="2011"/>
      <c r="BC229" s="2011"/>
      <c r="BD229" s="2011"/>
      <c r="BE229" s="2011"/>
      <c r="BF229" s="2011"/>
      <c r="BG229" s="2011"/>
    </row>
    <row r="230" spans="1:59">
      <c r="A230" s="2011"/>
      <c r="B230" s="2011"/>
      <c r="C230" s="2011"/>
      <c r="D230" s="2011"/>
      <c r="E230" s="2011"/>
      <c r="F230" s="2011"/>
      <c r="G230" s="2011"/>
      <c r="H230" s="2011"/>
      <c r="I230" s="2011"/>
      <c r="J230" s="2011"/>
      <c r="K230" s="2011"/>
      <c r="L230" s="2011"/>
      <c r="M230" s="2011"/>
      <c r="N230" s="2011"/>
      <c r="O230" s="2011"/>
      <c r="P230" s="2011"/>
      <c r="Q230" s="2011"/>
      <c r="R230" s="2011"/>
      <c r="S230" s="2011"/>
      <c r="T230" s="2011"/>
      <c r="U230" s="2011"/>
      <c r="V230" s="2011"/>
      <c r="W230" s="2011"/>
      <c r="X230" s="2011"/>
      <c r="Y230" s="2011"/>
      <c r="Z230" s="2011"/>
      <c r="AA230" s="2011"/>
      <c r="AB230" s="2011"/>
      <c r="AC230" s="2011"/>
      <c r="AD230" s="2011"/>
      <c r="AE230" s="2011"/>
      <c r="AF230" s="2011"/>
      <c r="AG230" s="2011"/>
      <c r="AH230" s="2011"/>
      <c r="AI230" s="2011"/>
      <c r="AJ230" s="2011"/>
      <c r="AK230" s="2011"/>
      <c r="AL230" s="2011"/>
      <c r="AM230" s="2011"/>
      <c r="AN230" s="2011"/>
      <c r="AO230" s="2011"/>
      <c r="AP230" s="2011"/>
      <c r="AQ230" s="2011"/>
      <c r="AR230" s="2011"/>
      <c r="AS230" s="2011"/>
      <c r="AT230" s="2011"/>
      <c r="AU230" s="2011"/>
      <c r="AV230" s="2011"/>
      <c r="AW230" s="2011"/>
      <c r="AX230" s="2011"/>
      <c r="AY230" s="2011"/>
      <c r="AZ230" s="2011"/>
      <c r="BA230" s="2011"/>
      <c r="BB230" s="2011"/>
      <c r="BC230" s="2011"/>
      <c r="BD230" s="2011"/>
      <c r="BE230" s="2011"/>
      <c r="BF230" s="2011"/>
      <c r="BG230" s="2011"/>
    </row>
    <row r="231" spans="1:59">
      <c r="A231" s="2011"/>
      <c r="B231" s="2011"/>
      <c r="C231" s="2011"/>
      <c r="D231" s="2011"/>
      <c r="E231" s="2011"/>
      <c r="F231" s="2011"/>
      <c r="G231" s="2011"/>
      <c r="H231" s="2011"/>
      <c r="I231" s="2011"/>
      <c r="J231" s="2011"/>
      <c r="K231" s="2011"/>
      <c r="L231" s="2011"/>
      <c r="M231" s="2011"/>
      <c r="N231" s="2011"/>
      <c r="O231" s="2011"/>
      <c r="P231" s="2011"/>
      <c r="Q231" s="2011"/>
      <c r="R231" s="2011"/>
      <c r="S231" s="2011"/>
      <c r="T231" s="2011"/>
      <c r="U231" s="2011"/>
      <c r="V231" s="2011"/>
      <c r="W231" s="2011"/>
      <c r="X231" s="2011"/>
      <c r="Y231" s="2011"/>
      <c r="Z231" s="2011"/>
      <c r="AA231" s="2011"/>
      <c r="AB231" s="2011"/>
      <c r="AC231" s="2011"/>
      <c r="AD231" s="2011"/>
      <c r="AE231" s="2011"/>
      <c r="AF231" s="2011"/>
      <c r="AG231" s="2011"/>
      <c r="AH231" s="2011"/>
      <c r="AI231" s="2011"/>
      <c r="AJ231" s="2011"/>
      <c r="AK231" s="2011"/>
      <c r="AL231" s="2011"/>
      <c r="AM231" s="2011"/>
      <c r="AN231" s="2011"/>
      <c r="AO231" s="2011"/>
      <c r="AP231" s="2011"/>
      <c r="AQ231" s="2011"/>
      <c r="AR231" s="2011"/>
      <c r="AS231" s="2011"/>
      <c r="AT231" s="2011"/>
      <c r="AU231" s="2011"/>
      <c r="AV231" s="2011"/>
      <c r="AW231" s="2011"/>
      <c r="AX231" s="2011"/>
      <c r="AY231" s="2011"/>
      <c r="AZ231" s="2011"/>
      <c r="BA231" s="2011"/>
      <c r="BB231" s="2011"/>
      <c r="BC231" s="2011"/>
      <c r="BD231" s="2011"/>
      <c r="BE231" s="2011"/>
      <c r="BF231" s="2011"/>
      <c r="BG231" s="2011"/>
    </row>
    <row r="232" spans="1:59">
      <c r="A232" s="2011"/>
      <c r="B232" s="2011"/>
      <c r="C232" s="2011"/>
      <c r="D232" s="2011"/>
      <c r="E232" s="2011"/>
      <c r="F232" s="2011"/>
      <c r="G232" s="2011"/>
      <c r="H232" s="2011"/>
      <c r="I232" s="2011"/>
      <c r="J232" s="2011"/>
      <c r="K232" s="2011"/>
      <c r="L232" s="2011"/>
      <c r="M232" s="2011"/>
      <c r="N232" s="2011"/>
      <c r="O232" s="2011"/>
      <c r="P232" s="2011"/>
      <c r="Q232" s="2011"/>
      <c r="R232" s="2011"/>
      <c r="S232" s="2011"/>
      <c r="T232" s="2011"/>
      <c r="U232" s="2011"/>
      <c r="V232" s="2011"/>
      <c r="W232" s="2011"/>
      <c r="X232" s="2011"/>
      <c r="Y232" s="2011"/>
      <c r="Z232" s="2011"/>
      <c r="AA232" s="2011"/>
      <c r="AB232" s="2011"/>
      <c r="AC232" s="2011"/>
      <c r="AD232" s="2011"/>
      <c r="AE232" s="2011"/>
      <c r="AF232" s="2011"/>
      <c r="AG232" s="2011"/>
      <c r="AH232" s="2011"/>
      <c r="AI232" s="2011"/>
      <c r="AJ232" s="2011"/>
      <c r="AK232" s="2011"/>
      <c r="AL232" s="2011"/>
      <c r="AM232" s="2011"/>
      <c r="AN232" s="2011"/>
      <c r="AO232" s="2011"/>
      <c r="AP232" s="2011"/>
      <c r="AQ232" s="2011"/>
      <c r="AR232" s="2011"/>
      <c r="AS232" s="2011"/>
      <c r="AT232" s="2011"/>
      <c r="AU232" s="2011"/>
      <c r="AV232" s="2011"/>
      <c r="AW232" s="2011"/>
      <c r="AX232" s="2011"/>
      <c r="AY232" s="2011"/>
      <c r="AZ232" s="2011"/>
      <c r="BA232" s="2011"/>
      <c r="BB232" s="2011"/>
      <c r="BC232" s="2011"/>
      <c r="BD232" s="2011"/>
      <c r="BE232" s="2011"/>
      <c r="BF232" s="2011"/>
      <c r="BG232" s="2011"/>
    </row>
    <row r="233" spans="1:59">
      <c r="A233" s="2011"/>
      <c r="B233" s="2011"/>
      <c r="C233" s="2011"/>
      <c r="D233" s="2011"/>
      <c r="E233" s="2011"/>
      <c r="F233" s="2011"/>
      <c r="G233" s="2011"/>
      <c r="H233" s="2011"/>
      <c r="I233" s="2011"/>
      <c r="J233" s="2011"/>
      <c r="K233" s="2011"/>
      <c r="L233" s="2011"/>
      <c r="M233" s="2011"/>
      <c r="N233" s="2011"/>
      <c r="O233" s="2011"/>
      <c r="P233" s="2011"/>
      <c r="Q233" s="2011"/>
      <c r="R233" s="2011"/>
      <c r="S233" s="2011"/>
      <c r="T233" s="2011"/>
      <c r="U233" s="2011"/>
      <c r="V233" s="2011"/>
      <c r="W233" s="2011"/>
      <c r="X233" s="2011"/>
      <c r="Y233" s="2011"/>
      <c r="Z233" s="2011"/>
      <c r="AA233" s="2011"/>
      <c r="AB233" s="2011"/>
      <c r="AC233" s="2011"/>
      <c r="AD233" s="2011"/>
      <c r="AE233" s="2011"/>
      <c r="AF233" s="2011"/>
      <c r="AG233" s="2011"/>
      <c r="AH233" s="2011"/>
      <c r="AI233" s="2011"/>
      <c r="AJ233" s="2011"/>
      <c r="AK233" s="2011"/>
      <c r="AL233" s="2011"/>
      <c r="AM233" s="2011"/>
      <c r="AN233" s="2011"/>
      <c r="AO233" s="2011"/>
      <c r="AP233" s="2011"/>
      <c r="AQ233" s="2011"/>
      <c r="AR233" s="2011"/>
      <c r="AS233" s="2011"/>
      <c r="AT233" s="2011"/>
      <c r="AU233" s="2011"/>
      <c r="AV233" s="2011"/>
      <c r="AW233" s="2011"/>
      <c r="AX233" s="2011"/>
      <c r="AY233" s="2011"/>
      <c r="AZ233" s="2011"/>
      <c r="BA233" s="2011"/>
      <c r="BB233" s="2011"/>
      <c r="BC233" s="2011"/>
      <c r="BD233" s="2011"/>
      <c r="BE233" s="2011"/>
      <c r="BF233" s="2011"/>
      <c r="BG233" s="2011"/>
    </row>
    <row r="234" spans="1:59">
      <c r="A234" s="2011"/>
      <c r="B234" s="2011"/>
      <c r="C234" s="2011"/>
      <c r="D234" s="2011"/>
      <c r="E234" s="2011"/>
      <c r="F234" s="2011"/>
      <c r="G234" s="2011"/>
      <c r="H234" s="2011"/>
      <c r="I234" s="2011"/>
      <c r="J234" s="2011"/>
      <c r="K234" s="2011"/>
      <c r="L234" s="2011"/>
      <c r="M234" s="2011"/>
      <c r="N234" s="2011"/>
      <c r="O234" s="2011"/>
      <c r="P234" s="2011"/>
      <c r="Q234" s="2011"/>
      <c r="R234" s="2011"/>
      <c r="S234" s="2011"/>
      <c r="T234" s="2011"/>
      <c r="U234" s="2011"/>
      <c r="V234" s="2011"/>
      <c r="W234" s="2011"/>
      <c r="X234" s="2011"/>
      <c r="Y234" s="2011"/>
      <c r="Z234" s="2011"/>
      <c r="AA234" s="2011"/>
      <c r="AB234" s="2011"/>
      <c r="AC234" s="2011"/>
      <c r="AD234" s="2011"/>
      <c r="AE234" s="2011"/>
      <c r="AF234" s="2011"/>
      <c r="AG234" s="2011"/>
      <c r="AH234" s="2011"/>
      <c r="AI234" s="2011"/>
      <c r="AJ234" s="2011"/>
      <c r="AK234" s="2011"/>
      <c r="AL234" s="2011"/>
      <c r="AM234" s="2011"/>
      <c r="AN234" s="2011"/>
      <c r="AO234" s="2011"/>
      <c r="AP234" s="2011"/>
      <c r="AQ234" s="2011"/>
      <c r="AR234" s="2011"/>
      <c r="AS234" s="2011"/>
      <c r="AT234" s="2011"/>
      <c r="AU234" s="2011"/>
      <c r="AV234" s="2011"/>
      <c r="AW234" s="2011"/>
      <c r="AX234" s="2011"/>
      <c r="AY234" s="2011"/>
      <c r="AZ234" s="2011"/>
      <c r="BA234" s="2011"/>
      <c r="BB234" s="2011"/>
      <c r="BC234" s="2011"/>
      <c r="BD234" s="2011"/>
      <c r="BE234" s="2011"/>
      <c r="BF234" s="2011"/>
      <c r="BG234" s="2011"/>
    </row>
    <row r="235" spans="1:59">
      <c r="A235" s="2011"/>
      <c r="B235" s="2011"/>
      <c r="C235" s="2011"/>
      <c r="D235" s="2011"/>
      <c r="E235" s="2011"/>
      <c r="F235" s="2011"/>
      <c r="G235" s="2011"/>
      <c r="H235" s="2011"/>
      <c r="I235" s="2011"/>
      <c r="J235" s="2011"/>
      <c r="K235" s="2011"/>
      <c r="L235" s="2011"/>
      <c r="M235" s="2011"/>
      <c r="N235" s="2011"/>
      <c r="O235" s="2011"/>
      <c r="P235" s="2011"/>
      <c r="Q235" s="2011"/>
      <c r="R235" s="2011"/>
      <c r="S235" s="2011"/>
      <c r="T235" s="2011"/>
      <c r="U235" s="2011"/>
      <c r="V235" s="2011"/>
      <c r="W235" s="2011"/>
      <c r="X235" s="2011"/>
      <c r="Y235" s="2011"/>
      <c r="Z235" s="2011"/>
      <c r="AA235" s="2011"/>
      <c r="AB235" s="2011"/>
      <c r="AC235" s="2011"/>
      <c r="AD235" s="2011"/>
      <c r="AE235" s="2011"/>
      <c r="AF235" s="2011"/>
      <c r="AG235" s="2011"/>
      <c r="AH235" s="2011"/>
      <c r="AI235" s="2011"/>
      <c r="AJ235" s="2011"/>
      <c r="AK235" s="2011"/>
      <c r="AL235" s="2011"/>
      <c r="AM235" s="2011"/>
      <c r="AN235" s="2011"/>
      <c r="AO235" s="2011"/>
      <c r="AP235" s="2011"/>
      <c r="AQ235" s="2011"/>
      <c r="AR235" s="2011"/>
      <c r="AS235" s="2011"/>
      <c r="AT235" s="2011"/>
      <c r="AU235" s="2011"/>
      <c r="AV235" s="2011"/>
      <c r="AW235" s="2011"/>
      <c r="AX235" s="2011"/>
      <c r="AY235" s="2011"/>
      <c r="AZ235" s="2011"/>
      <c r="BA235" s="2011"/>
      <c r="BB235" s="2011"/>
      <c r="BC235" s="2011"/>
      <c r="BD235" s="2011"/>
      <c r="BE235" s="2011"/>
      <c r="BF235" s="2011"/>
      <c r="BG235" s="2011"/>
    </row>
    <row r="236" spans="1:59">
      <c r="A236" s="2011"/>
      <c r="B236" s="2011"/>
      <c r="C236" s="2011"/>
      <c r="D236" s="2011"/>
      <c r="E236" s="2011"/>
      <c r="F236" s="2011"/>
      <c r="G236" s="2011"/>
      <c r="H236" s="2011"/>
      <c r="I236" s="2011"/>
      <c r="J236" s="2011"/>
      <c r="K236" s="2011"/>
      <c r="L236" s="2011"/>
      <c r="M236" s="2011"/>
      <c r="N236" s="2011"/>
      <c r="O236" s="2011"/>
      <c r="P236" s="2011"/>
      <c r="Q236" s="2011"/>
      <c r="R236" s="2011"/>
      <c r="S236" s="2011"/>
      <c r="T236" s="2011"/>
      <c r="U236" s="2011"/>
      <c r="V236" s="2011"/>
      <c r="W236" s="2011"/>
      <c r="X236" s="2011"/>
      <c r="Y236" s="2011"/>
      <c r="Z236" s="2011"/>
      <c r="AA236" s="2011"/>
      <c r="AB236" s="2011"/>
      <c r="AC236" s="2011"/>
      <c r="AD236" s="2011"/>
      <c r="AE236" s="2011"/>
      <c r="AF236" s="2011"/>
      <c r="AG236" s="2011"/>
      <c r="AH236" s="2011"/>
      <c r="AI236" s="2011"/>
      <c r="AJ236" s="2011"/>
      <c r="AK236" s="2011"/>
      <c r="AL236" s="2011"/>
      <c r="AM236" s="2011"/>
      <c r="AN236" s="2011"/>
      <c r="AO236" s="2011"/>
      <c r="AP236" s="2011"/>
      <c r="AQ236" s="2011"/>
      <c r="AR236" s="2011"/>
      <c r="AS236" s="2011"/>
      <c r="AT236" s="2011"/>
      <c r="AU236" s="2011"/>
      <c r="AV236" s="2011"/>
      <c r="AW236" s="2011"/>
      <c r="AX236" s="2011"/>
      <c r="AY236" s="2011"/>
      <c r="AZ236" s="2011"/>
      <c r="BA236" s="2011"/>
      <c r="BB236" s="2011"/>
      <c r="BC236" s="2011"/>
      <c r="BD236" s="2011"/>
      <c r="BE236" s="2011"/>
      <c r="BF236" s="2011"/>
      <c r="BG236" s="2011"/>
    </row>
    <row r="237" spans="1:59">
      <c r="A237" s="2011"/>
      <c r="B237" s="2011"/>
      <c r="C237" s="2011"/>
      <c r="D237" s="2011"/>
      <c r="E237" s="2011"/>
      <c r="F237" s="2011"/>
      <c r="G237" s="2011"/>
      <c r="H237" s="2011"/>
      <c r="I237" s="2011"/>
      <c r="J237" s="2011"/>
      <c r="K237" s="2011"/>
      <c r="L237" s="2011"/>
      <c r="M237" s="2011"/>
      <c r="N237" s="2011"/>
      <c r="O237" s="2011"/>
      <c r="P237" s="2011"/>
      <c r="Q237" s="2011"/>
      <c r="R237" s="2011"/>
      <c r="S237" s="2011"/>
      <c r="T237" s="2011"/>
      <c r="U237" s="2011"/>
      <c r="V237" s="2011"/>
      <c r="W237" s="2011"/>
      <c r="X237" s="2011"/>
      <c r="Y237" s="2011"/>
      <c r="Z237" s="2011"/>
      <c r="AA237" s="2011"/>
      <c r="AB237" s="2011"/>
      <c r="AC237" s="2011"/>
      <c r="AD237" s="2011"/>
      <c r="AE237" s="2011"/>
      <c r="AF237" s="2011"/>
      <c r="AG237" s="2011"/>
      <c r="AH237" s="2011"/>
      <c r="AI237" s="2011"/>
      <c r="AJ237" s="2011"/>
      <c r="AK237" s="2011"/>
      <c r="AL237" s="2011"/>
      <c r="AM237" s="2011"/>
      <c r="AN237" s="2011"/>
      <c r="AO237" s="2011"/>
      <c r="AP237" s="2011"/>
      <c r="AQ237" s="2011"/>
      <c r="AR237" s="2011"/>
      <c r="AS237" s="2011"/>
      <c r="AT237" s="2011"/>
      <c r="AU237" s="2011"/>
      <c r="AV237" s="2011"/>
      <c r="AW237" s="2011"/>
      <c r="AX237" s="2011"/>
      <c r="AY237" s="2011"/>
      <c r="AZ237" s="2011"/>
      <c r="BA237" s="2011"/>
      <c r="BB237" s="2011"/>
      <c r="BC237" s="2011"/>
      <c r="BD237" s="2011"/>
      <c r="BE237" s="2011"/>
      <c r="BF237" s="2011"/>
      <c r="BG237" s="2011"/>
    </row>
    <row r="238" spans="1:59">
      <c r="A238" s="2011"/>
      <c r="B238" s="2011"/>
      <c r="C238" s="2011"/>
      <c r="D238" s="2011"/>
      <c r="E238" s="2011"/>
      <c r="F238" s="2011"/>
      <c r="G238" s="2011"/>
      <c r="H238" s="2011"/>
      <c r="I238" s="2011"/>
      <c r="J238" s="2011"/>
      <c r="K238" s="2011"/>
      <c r="L238" s="2011"/>
      <c r="M238" s="2011"/>
      <c r="N238" s="2011"/>
      <c r="O238" s="2011"/>
      <c r="P238" s="2011"/>
      <c r="Q238" s="2011"/>
      <c r="R238" s="2011"/>
      <c r="S238" s="2011"/>
      <c r="T238" s="2011"/>
      <c r="U238" s="2011"/>
      <c r="V238" s="2011"/>
      <c r="W238" s="2011"/>
      <c r="X238" s="2011"/>
      <c r="Y238" s="2011"/>
      <c r="Z238" s="2011"/>
      <c r="AA238" s="2011"/>
      <c r="AB238" s="2011"/>
      <c r="AC238" s="2011"/>
      <c r="AD238" s="2011"/>
      <c r="AE238" s="2011"/>
      <c r="AF238" s="2011"/>
      <c r="AG238" s="2011"/>
      <c r="AH238" s="2011"/>
      <c r="AI238" s="2011"/>
      <c r="AJ238" s="2011"/>
      <c r="AK238" s="2011"/>
      <c r="AL238" s="2011"/>
      <c r="AM238" s="2011"/>
      <c r="AN238" s="2011"/>
      <c r="AO238" s="2011"/>
      <c r="AP238" s="2011"/>
      <c r="AQ238" s="2011"/>
      <c r="AR238" s="2011"/>
      <c r="AS238" s="2011"/>
      <c r="AT238" s="2011"/>
      <c r="AU238" s="2011"/>
      <c r="AV238" s="2011"/>
      <c r="AW238" s="2011"/>
      <c r="AX238" s="2011"/>
      <c r="AY238" s="2011"/>
      <c r="AZ238" s="2011"/>
      <c r="BA238" s="2011"/>
      <c r="BB238" s="2011"/>
      <c r="BC238" s="2011"/>
      <c r="BD238" s="2011"/>
      <c r="BE238" s="2011"/>
      <c r="BF238" s="2011"/>
      <c r="BG238" s="2011"/>
    </row>
    <row r="239" spans="1:59">
      <c r="A239" s="2011"/>
      <c r="B239" s="2011"/>
      <c r="C239" s="2011"/>
      <c r="D239" s="2011"/>
      <c r="E239" s="2011"/>
      <c r="F239" s="2011"/>
      <c r="G239" s="2011"/>
      <c r="H239" s="2011"/>
      <c r="I239" s="2011"/>
      <c r="J239" s="2011"/>
      <c r="K239" s="2011"/>
      <c r="L239" s="2011"/>
      <c r="M239" s="2011"/>
      <c r="N239" s="2011"/>
      <c r="O239" s="2011"/>
      <c r="P239" s="2011"/>
      <c r="Q239" s="2011"/>
      <c r="R239" s="2011"/>
      <c r="S239" s="2011"/>
      <c r="T239" s="2011"/>
      <c r="U239" s="2011"/>
      <c r="V239" s="2011"/>
      <c r="W239" s="2011"/>
      <c r="X239" s="2011"/>
      <c r="Y239" s="2011"/>
      <c r="Z239" s="2011"/>
      <c r="AA239" s="2011"/>
      <c r="AB239" s="2011"/>
      <c r="AC239" s="2011"/>
      <c r="AD239" s="2011"/>
      <c r="AE239" s="2011"/>
      <c r="AF239" s="2011"/>
      <c r="AG239" s="2011"/>
      <c r="AH239" s="2011"/>
      <c r="AI239" s="2011"/>
      <c r="AJ239" s="2011"/>
      <c r="AK239" s="2011"/>
      <c r="AL239" s="2011"/>
      <c r="AM239" s="2011"/>
      <c r="AN239" s="2011"/>
      <c r="AO239" s="2011"/>
      <c r="AP239" s="2011"/>
      <c r="AQ239" s="2011"/>
      <c r="AR239" s="2011"/>
      <c r="AS239" s="2011"/>
      <c r="AT239" s="2011"/>
      <c r="AU239" s="2011"/>
      <c r="AV239" s="2011"/>
      <c r="AW239" s="2011"/>
      <c r="AX239" s="2011"/>
      <c r="AY239" s="2011"/>
      <c r="AZ239" s="2011"/>
      <c r="BA239" s="2011"/>
      <c r="BB239" s="2011"/>
      <c r="BC239" s="2011"/>
      <c r="BD239" s="2011"/>
      <c r="BE239" s="2011"/>
      <c r="BF239" s="2011"/>
      <c r="BG239" s="2011"/>
    </row>
    <row r="240" spans="1:59">
      <c r="A240" s="2011"/>
      <c r="B240" s="2011"/>
      <c r="C240" s="2011"/>
      <c r="D240" s="2011"/>
      <c r="E240" s="2011"/>
      <c r="F240" s="2011"/>
      <c r="G240" s="2011"/>
      <c r="H240" s="2011"/>
      <c r="I240" s="2011"/>
      <c r="J240" s="2011"/>
      <c r="K240" s="2011"/>
      <c r="L240" s="2011"/>
      <c r="M240" s="2011"/>
      <c r="N240" s="2011"/>
      <c r="O240" s="2011"/>
      <c r="P240" s="2011"/>
      <c r="Q240" s="2011"/>
      <c r="R240" s="2011"/>
      <c r="S240" s="2011"/>
      <c r="T240" s="2011"/>
      <c r="U240" s="2011"/>
      <c r="V240" s="2011"/>
      <c r="W240" s="2011"/>
      <c r="X240" s="2011"/>
      <c r="Y240" s="2011"/>
      <c r="Z240" s="2011"/>
      <c r="AA240" s="2011"/>
      <c r="AB240" s="2011"/>
      <c r="AC240" s="2011"/>
      <c r="AD240" s="2011"/>
      <c r="AE240" s="2011"/>
      <c r="AF240" s="2011"/>
      <c r="AG240" s="2011"/>
      <c r="AH240" s="2011"/>
      <c r="AI240" s="2011"/>
      <c r="AJ240" s="2011"/>
      <c r="AK240" s="2011"/>
      <c r="AL240" s="2011"/>
      <c r="AM240" s="2011"/>
      <c r="AN240" s="2011"/>
      <c r="AO240" s="2011"/>
      <c r="AP240" s="2011"/>
      <c r="AQ240" s="2011"/>
      <c r="AR240" s="2011"/>
      <c r="AS240" s="2011"/>
      <c r="AT240" s="2011"/>
      <c r="AU240" s="2011"/>
      <c r="AV240" s="2011"/>
      <c r="AW240" s="2011"/>
      <c r="AX240" s="2011"/>
      <c r="AY240" s="2011"/>
      <c r="AZ240" s="2011"/>
      <c r="BA240" s="2011"/>
      <c r="BB240" s="2011"/>
      <c r="BC240" s="2011"/>
      <c r="BD240" s="2011"/>
      <c r="BE240" s="2011"/>
      <c r="BF240" s="2011"/>
      <c r="BG240" s="2011"/>
    </row>
    <row r="241" spans="1:59">
      <c r="A241" s="2011"/>
      <c r="B241" s="2011"/>
      <c r="C241" s="2011"/>
      <c r="D241" s="2011"/>
      <c r="E241" s="2011"/>
      <c r="F241" s="2011"/>
      <c r="G241" s="2011"/>
      <c r="H241" s="2011"/>
      <c r="I241" s="2011"/>
      <c r="J241" s="2011"/>
      <c r="K241" s="2011"/>
      <c r="L241" s="2011"/>
      <c r="M241" s="2011"/>
      <c r="N241" s="2011"/>
      <c r="O241" s="2011"/>
      <c r="P241" s="2011"/>
      <c r="Q241" s="2011"/>
      <c r="R241" s="2011"/>
      <c r="S241" s="2011"/>
      <c r="T241" s="2011"/>
      <c r="U241" s="2011"/>
      <c r="V241" s="2011"/>
      <c r="W241" s="2011"/>
      <c r="X241" s="2011"/>
      <c r="Y241" s="2011"/>
      <c r="Z241" s="2011"/>
      <c r="AA241" s="2011"/>
      <c r="AB241" s="2011"/>
      <c r="AC241" s="2011"/>
      <c r="AD241" s="2011"/>
      <c r="AE241" s="2011"/>
      <c r="AF241" s="2011"/>
      <c r="AG241" s="2011"/>
      <c r="AH241" s="2011"/>
      <c r="AI241" s="2011"/>
      <c r="AJ241" s="2011"/>
      <c r="AK241" s="2011"/>
      <c r="AL241" s="2011"/>
      <c r="AM241" s="2011"/>
      <c r="AN241" s="2011"/>
      <c r="AO241" s="2011"/>
      <c r="AP241" s="2011"/>
      <c r="AQ241" s="2011"/>
      <c r="AR241" s="2011"/>
      <c r="AS241" s="2011"/>
      <c r="AT241" s="2011"/>
      <c r="AU241" s="2011"/>
      <c r="AV241" s="2011"/>
      <c r="AW241" s="2011"/>
      <c r="AX241" s="2011"/>
      <c r="AY241" s="2011"/>
      <c r="AZ241" s="2011"/>
      <c r="BA241" s="2011"/>
      <c r="BB241" s="2011"/>
      <c r="BC241" s="2011"/>
      <c r="BD241" s="2011"/>
      <c r="BE241" s="2011"/>
      <c r="BF241" s="2011"/>
      <c r="BG241" s="2011"/>
    </row>
    <row r="242" spans="1:59">
      <c r="A242" s="2011"/>
      <c r="B242" s="2011"/>
      <c r="C242" s="2011"/>
      <c r="D242" s="2011"/>
      <c r="E242" s="2011"/>
      <c r="F242" s="2011"/>
      <c r="G242" s="2011"/>
      <c r="H242" s="2011"/>
      <c r="I242" s="2011"/>
      <c r="J242" s="2011"/>
      <c r="K242" s="2011"/>
      <c r="L242" s="2011"/>
      <c r="M242" s="2011"/>
      <c r="N242" s="2011"/>
      <c r="O242" s="2011"/>
      <c r="P242" s="2011"/>
      <c r="Q242" s="2011"/>
      <c r="R242" s="2011"/>
      <c r="S242" s="2011"/>
      <c r="T242" s="2011"/>
      <c r="U242" s="2011"/>
      <c r="V242" s="2011"/>
      <c r="W242" s="2011"/>
      <c r="X242" s="2011"/>
      <c r="Y242" s="2011"/>
      <c r="Z242" s="2011"/>
      <c r="AA242" s="2011"/>
      <c r="AB242" s="2011"/>
      <c r="AC242" s="2011"/>
      <c r="AD242" s="2011"/>
      <c r="AE242" s="2011"/>
      <c r="AF242" s="2011"/>
      <c r="AG242" s="2011"/>
      <c r="AH242" s="2011"/>
      <c r="AI242" s="2011"/>
      <c r="AJ242" s="2011"/>
      <c r="AK242" s="2011"/>
      <c r="AL242" s="2011"/>
      <c r="AM242" s="2011"/>
      <c r="AN242" s="2011"/>
      <c r="AO242" s="2011"/>
      <c r="AP242" s="2011"/>
      <c r="AQ242" s="2011"/>
      <c r="AR242" s="2011"/>
      <c r="AS242" s="2011"/>
      <c r="AT242" s="2011"/>
      <c r="AU242" s="2011"/>
      <c r="AV242" s="2011"/>
      <c r="AW242" s="2011"/>
      <c r="AX242" s="2011"/>
      <c r="AY242" s="2011"/>
      <c r="AZ242" s="2011"/>
      <c r="BA242" s="2011"/>
      <c r="BB242" s="2011"/>
      <c r="BC242" s="2011"/>
      <c r="BD242" s="2011"/>
      <c r="BE242" s="2011"/>
      <c r="BF242" s="2011"/>
      <c r="BG242" s="2011"/>
    </row>
    <row r="243" spans="1:59">
      <c r="A243" s="2011"/>
      <c r="B243" s="2011"/>
      <c r="C243" s="2011"/>
      <c r="D243" s="2011"/>
      <c r="E243" s="2011"/>
      <c r="F243" s="2011"/>
      <c r="G243" s="2011"/>
      <c r="H243" s="2011"/>
      <c r="I243" s="2011"/>
      <c r="J243" s="2011"/>
      <c r="K243" s="2011"/>
      <c r="L243" s="2011"/>
      <c r="M243" s="2011"/>
      <c r="N243" s="2011"/>
      <c r="O243" s="2011"/>
      <c r="P243" s="2011"/>
      <c r="Q243" s="2011"/>
      <c r="R243" s="2011"/>
      <c r="S243" s="2011"/>
      <c r="T243" s="2011"/>
      <c r="U243" s="2011"/>
      <c r="V243" s="2011"/>
      <c r="W243" s="2011"/>
      <c r="X243" s="2011"/>
      <c r="Y243" s="2011"/>
      <c r="Z243" s="2011"/>
      <c r="AA243" s="2011"/>
      <c r="AB243" s="2011"/>
      <c r="AC243" s="2011"/>
      <c r="AD243" s="2011"/>
      <c r="AE243" s="2011"/>
      <c r="AF243" s="2011"/>
      <c r="AG243" s="2011"/>
      <c r="AH243" s="2011"/>
      <c r="AI243" s="2011"/>
      <c r="AJ243" s="2011"/>
      <c r="AK243" s="2011"/>
      <c r="AL243" s="2011"/>
      <c r="AM243" s="2011"/>
      <c r="AN243" s="2011"/>
      <c r="AO243" s="2011"/>
      <c r="AP243" s="2011"/>
      <c r="AQ243" s="2011"/>
      <c r="AR243" s="2011"/>
      <c r="AS243" s="2011"/>
      <c r="AT243" s="2011"/>
      <c r="AU243" s="2011"/>
      <c r="AV243" s="2011"/>
      <c r="AW243" s="2011"/>
      <c r="AX243" s="2011"/>
      <c r="AY243" s="2011"/>
      <c r="AZ243" s="2011"/>
      <c r="BA243" s="2011"/>
      <c r="BB243" s="2011"/>
      <c r="BC243" s="2011"/>
      <c r="BD243" s="2011"/>
      <c r="BE243" s="2011"/>
      <c r="BF243" s="2011"/>
      <c r="BG243" s="2011"/>
    </row>
    <row r="244" spans="1:59">
      <c r="A244" s="2011"/>
      <c r="B244" s="2011"/>
      <c r="C244" s="2011"/>
      <c r="D244" s="2011"/>
      <c r="E244" s="2011"/>
      <c r="F244" s="2011"/>
      <c r="G244" s="2011"/>
      <c r="H244" s="2011"/>
      <c r="I244" s="2011"/>
      <c r="J244" s="2011"/>
      <c r="K244" s="2011"/>
      <c r="L244" s="2011"/>
      <c r="M244" s="2011"/>
      <c r="N244" s="2011"/>
      <c r="O244" s="2011"/>
      <c r="P244" s="2011"/>
      <c r="Q244" s="2011"/>
      <c r="R244" s="2011"/>
      <c r="S244" s="2011"/>
      <c r="T244" s="2011"/>
      <c r="U244" s="2011"/>
      <c r="V244" s="2011"/>
      <c r="W244" s="2011"/>
      <c r="X244" s="2011"/>
      <c r="Y244" s="2011"/>
      <c r="Z244" s="2011"/>
      <c r="AA244" s="2011"/>
      <c r="AB244" s="2011"/>
      <c r="AC244" s="2011"/>
      <c r="AD244" s="2011"/>
      <c r="AE244" s="2011"/>
      <c r="AF244" s="2011"/>
      <c r="AG244" s="2011"/>
      <c r="AH244" s="2011"/>
      <c r="AI244" s="2011"/>
      <c r="AJ244" s="2011"/>
      <c r="AK244" s="2011"/>
      <c r="AL244" s="2011"/>
      <c r="AM244" s="2011"/>
      <c r="AN244" s="2011"/>
      <c r="AO244" s="2011"/>
      <c r="AP244" s="2011"/>
      <c r="AQ244" s="2011"/>
      <c r="AR244" s="2011"/>
      <c r="AS244" s="2011"/>
      <c r="AT244" s="2011"/>
      <c r="AU244" s="2011"/>
      <c r="AV244" s="2011"/>
      <c r="AW244" s="2011"/>
      <c r="AX244" s="2011"/>
      <c r="AY244" s="2011"/>
      <c r="AZ244" s="2011"/>
      <c r="BA244" s="2011"/>
      <c r="BB244" s="2011"/>
      <c r="BC244" s="2011"/>
      <c r="BD244" s="2011"/>
      <c r="BE244" s="2011"/>
      <c r="BF244" s="2011"/>
      <c r="BG244" s="2011"/>
    </row>
    <row r="245" spans="1:59">
      <c r="A245" s="2011"/>
      <c r="B245" s="2011"/>
      <c r="C245" s="2011"/>
      <c r="D245" s="2011"/>
      <c r="E245" s="2011"/>
      <c r="F245" s="2011"/>
      <c r="G245" s="2011"/>
      <c r="H245" s="2011"/>
      <c r="I245" s="2011"/>
      <c r="J245" s="2011"/>
      <c r="K245" s="2011"/>
      <c r="L245" s="2011"/>
      <c r="M245" s="2011"/>
      <c r="N245" s="2011"/>
      <c r="O245" s="2011"/>
      <c r="P245" s="2011"/>
      <c r="Q245" s="2011"/>
      <c r="R245" s="2011"/>
      <c r="S245" s="2011"/>
      <c r="T245" s="2011"/>
      <c r="U245" s="2011"/>
      <c r="V245" s="2011"/>
      <c r="W245" s="2011"/>
      <c r="X245" s="2011"/>
      <c r="Y245" s="2011"/>
      <c r="Z245" s="2011"/>
      <c r="AA245" s="2011"/>
      <c r="AB245" s="2011"/>
      <c r="AC245" s="2011"/>
      <c r="AD245" s="2011"/>
      <c r="AE245" s="2011"/>
      <c r="AF245" s="2011"/>
      <c r="AG245" s="2011"/>
      <c r="AH245" s="2011"/>
      <c r="AI245" s="2011"/>
      <c r="AJ245" s="2011"/>
      <c r="AK245" s="2011"/>
      <c r="AL245" s="2011"/>
      <c r="AM245" s="2011"/>
      <c r="AN245" s="2011"/>
      <c r="AO245" s="2011"/>
      <c r="AP245" s="2011"/>
      <c r="AQ245" s="2011"/>
      <c r="AR245" s="2011"/>
      <c r="AS245" s="2011"/>
      <c r="AT245" s="2011"/>
      <c r="AU245" s="2011"/>
      <c r="AV245" s="2011"/>
      <c r="AW245" s="2011"/>
      <c r="AX245" s="2011"/>
      <c r="AY245" s="2011"/>
      <c r="AZ245" s="2011"/>
      <c r="BA245" s="2011"/>
      <c r="BB245" s="2011"/>
      <c r="BC245" s="2011"/>
      <c r="BD245" s="2011"/>
      <c r="BE245" s="2011"/>
      <c r="BF245" s="2011"/>
      <c r="BG245" s="2011"/>
    </row>
    <row r="246" spans="1:59">
      <c r="A246" s="2011"/>
      <c r="B246" s="2011"/>
      <c r="C246" s="2011"/>
      <c r="D246" s="2011"/>
      <c r="E246" s="2011"/>
      <c r="F246" s="2011"/>
      <c r="G246" s="2011"/>
      <c r="H246" s="2011"/>
      <c r="I246" s="2011"/>
      <c r="J246" s="2011"/>
      <c r="K246" s="2011"/>
      <c r="L246" s="2011"/>
      <c r="M246" s="2011"/>
      <c r="N246" s="2011"/>
      <c r="O246" s="2011"/>
      <c r="P246" s="2011"/>
      <c r="Q246" s="2011"/>
      <c r="R246" s="2011"/>
      <c r="S246" s="2011"/>
      <c r="T246" s="2011"/>
      <c r="U246" s="2011"/>
      <c r="V246" s="2011"/>
      <c r="W246" s="2011"/>
      <c r="X246" s="2011"/>
      <c r="Y246" s="2011"/>
      <c r="Z246" s="2011"/>
      <c r="AA246" s="2011"/>
      <c r="AB246" s="2011"/>
      <c r="AC246" s="2011"/>
      <c r="AD246" s="2011"/>
      <c r="AE246" s="2011"/>
      <c r="AF246" s="2011"/>
      <c r="AG246" s="2011"/>
      <c r="AH246" s="2011"/>
      <c r="AI246" s="2011"/>
      <c r="AJ246" s="2011"/>
      <c r="AK246" s="2011"/>
      <c r="AL246" s="2011"/>
      <c r="AM246" s="2011"/>
      <c r="AN246" s="2011"/>
      <c r="AO246" s="2011"/>
      <c r="AP246" s="2011"/>
      <c r="AQ246" s="2011"/>
      <c r="AR246" s="2011"/>
      <c r="AS246" s="2011"/>
      <c r="AT246" s="2011"/>
      <c r="AU246" s="2011"/>
      <c r="AV246" s="2011"/>
      <c r="AW246" s="2011"/>
      <c r="AX246" s="2011"/>
      <c r="AY246" s="2011"/>
      <c r="AZ246" s="2011"/>
      <c r="BA246" s="2011"/>
      <c r="BB246" s="2011"/>
      <c r="BC246" s="2011"/>
      <c r="BD246" s="2011"/>
      <c r="BE246" s="2011"/>
      <c r="BF246" s="2011"/>
      <c r="BG246" s="2011"/>
    </row>
    <row r="247" spans="1:59">
      <c r="A247" s="2011"/>
      <c r="B247" s="2011"/>
      <c r="C247" s="2011"/>
      <c r="D247" s="2011"/>
      <c r="E247" s="2011"/>
      <c r="F247" s="2011"/>
      <c r="G247" s="2011"/>
      <c r="H247" s="2011"/>
      <c r="I247" s="2011"/>
      <c r="J247" s="2011"/>
      <c r="K247" s="2011"/>
      <c r="L247" s="2011"/>
      <c r="M247" s="2011"/>
      <c r="N247" s="2011"/>
      <c r="O247" s="2011"/>
      <c r="P247" s="2011"/>
      <c r="Q247" s="2011"/>
      <c r="R247" s="2011"/>
      <c r="S247" s="2011"/>
      <c r="T247" s="2011"/>
      <c r="U247" s="2011"/>
      <c r="V247" s="2011"/>
      <c r="W247" s="2011"/>
      <c r="X247" s="2011"/>
      <c r="Y247" s="2011"/>
      <c r="Z247" s="2011"/>
      <c r="AA247" s="2011"/>
      <c r="AB247" s="2011"/>
      <c r="AC247" s="2011"/>
      <c r="AD247" s="2011"/>
      <c r="AE247" s="2011"/>
      <c r="AF247" s="2011"/>
      <c r="AG247" s="2011"/>
      <c r="AH247" s="2011"/>
      <c r="AI247" s="2011"/>
      <c r="AJ247" s="2011"/>
      <c r="AK247" s="2011"/>
      <c r="AL247" s="2011"/>
      <c r="AM247" s="2011"/>
      <c r="AN247" s="2011"/>
      <c r="AO247" s="2011"/>
      <c r="AP247" s="2011"/>
      <c r="AQ247" s="2011"/>
      <c r="AR247" s="2011"/>
      <c r="AS247" s="2011"/>
      <c r="AT247" s="2011"/>
      <c r="AU247" s="2011"/>
      <c r="AV247" s="2011"/>
      <c r="AW247" s="2011"/>
      <c r="AX247" s="2011"/>
      <c r="AY247" s="2011"/>
      <c r="AZ247" s="2011"/>
      <c r="BA247" s="2011"/>
      <c r="BB247" s="2011"/>
      <c r="BC247" s="2011"/>
      <c r="BD247" s="2011"/>
      <c r="BE247" s="2011"/>
      <c r="BF247" s="2011"/>
      <c r="BG247" s="2011"/>
    </row>
    <row r="248" spans="1:59">
      <c r="A248" s="2011"/>
      <c r="B248" s="2011"/>
      <c r="C248" s="2011"/>
      <c r="D248" s="2011"/>
      <c r="E248" s="2011"/>
      <c r="F248" s="2011"/>
      <c r="G248" s="2011"/>
      <c r="H248" s="2011"/>
      <c r="I248" s="2011"/>
      <c r="J248" s="2011"/>
      <c r="K248" s="2011"/>
      <c r="L248" s="2011"/>
      <c r="M248" s="2011"/>
      <c r="N248" s="2011"/>
      <c r="O248" s="2011"/>
      <c r="P248" s="2011"/>
      <c r="Q248" s="2011"/>
      <c r="R248" s="2011"/>
      <c r="S248" s="2011"/>
      <c r="T248" s="2011"/>
      <c r="U248" s="2011"/>
      <c r="V248" s="2011"/>
      <c r="W248" s="2011"/>
      <c r="X248" s="2011"/>
      <c r="Y248" s="2011"/>
      <c r="Z248" s="2011"/>
      <c r="AA248" s="2011"/>
      <c r="AB248" s="2011"/>
      <c r="AC248" s="2011"/>
      <c r="AD248" s="2011"/>
      <c r="AE248" s="2011"/>
      <c r="AF248" s="2011"/>
      <c r="AG248" s="2011"/>
      <c r="AH248" s="2011"/>
      <c r="AI248" s="2011"/>
      <c r="AJ248" s="2011"/>
      <c r="AK248" s="2011"/>
      <c r="AL248" s="2011"/>
      <c r="AM248" s="2011"/>
      <c r="AN248" s="2011"/>
      <c r="AO248" s="2011"/>
      <c r="AP248" s="2011"/>
      <c r="AQ248" s="2011"/>
      <c r="AR248" s="2011"/>
      <c r="AS248" s="2011"/>
      <c r="AT248" s="2011"/>
      <c r="AU248" s="2011"/>
      <c r="AV248" s="2011"/>
      <c r="AW248" s="2011"/>
      <c r="AX248" s="2011"/>
      <c r="AY248" s="2011"/>
      <c r="AZ248" s="2011"/>
      <c r="BA248" s="2011"/>
      <c r="BB248" s="2011"/>
      <c r="BC248" s="2011"/>
      <c r="BD248" s="2011"/>
      <c r="BE248" s="2011"/>
      <c r="BF248" s="2011"/>
      <c r="BG248" s="2011"/>
    </row>
    <row r="249" spans="1:59">
      <c r="A249" s="2011"/>
      <c r="B249" s="2011"/>
      <c r="C249" s="2011"/>
      <c r="D249" s="2011"/>
      <c r="E249" s="2011"/>
      <c r="F249" s="2011"/>
      <c r="G249" s="2011"/>
      <c r="H249" s="2011"/>
      <c r="I249" s="2011"/>
      <c r="J249" s="2011"/>
      <c r="K249" s="2011"/>
      <c r="L249" s="2011"/>
      <c r="M249" s="2011"/>
      <c r="N249" s="2011"/>
      <c r="O249" s="2011"/>
      <c r="P249" s="2011"/>
      <c r="Q249" s="2011"/>
      <c r="R249" s="2011"/>
      <c r="S249" s="2011"/>
      <c r="T249" s="2011"/>
      <c r="U249" s="2011"/>
      <c r="V249" s="2011"/>
      <c r="W249" s="2011"/>
      <c r="X249" s="2011"/>
      <c r="Y249" s="2011"/>
      <c r="Z249" s="2011"/>
      <c r="AA249" s="2011"/>
      <c r="AB249" s="2011"/>
      <c r="AC249" s="2011"/>
      <c r="AD249" s="2011"/>
      <c r="AE249" s="2011"/>
      <c r="AF249" s="2011"/>
      <c r="AG249" s="2011"/>
      <c r="AH249" s="2011"/>
      <c r="AI249" s="2011"/>
      <c r="AJ249" s="2011"/>
      <c r="AK249" s="2011"/>
      <c r="AL249" s="2011"/>
      <c r="AM249" s="2011"/>
      <c r="AN249" s="2011"/>
      <c r="AO249" s="2011"/>
      <c r="AP249" s="2011"/>
      <c r="AQ249" s="2011"/>
      <c r="AR249" s="2011"/>
      <c r="AS249" s="2011"/>
      <c r="AT249" s="2011"/>
      <c r="AU249" s="2011"/>
      <c r="AV249" s="2011"/>
      <c r="AW249" s="2011"/>
      <c r="AX249" s="2011"/>
      <c r="AY249" s="2011"/>
      <c r="AZ249" s="2011"/>
      <c r="BA249" s="2011"/>
      <c r="BB249" s="2011"/>
      <c r="BC249" s="2011"/>
      <c r="BD249" s="2011"/>
      <c r="BE249" s="2011"/>
      <c r="BF249" s="2011"/>
      <c r="BG249" s="2011"/>
    </row>
    <row r="250" spans="1:59">
      <c r="A250" s="2011"/>
      <c r="B250" s="2011"/>
      <c r="C250" s="2011"/>
      <c r="D250" s="2011"/>
      <c r="E250" s="2011"/>
      <c r="F250" s="2011"/>
      <c r="G250" s="2011"/>
      <c r="H250" s="2011"/>
      <c r="I250" s="2011"/>
      <c r="J250" s="2011"/>
      <c r="K250" s="2011"/>
      <c r="L250" s="2011"/>
      <c r="M250" s="2011"/>
      <c r="N250" s="2011"/>
      <c r="O250" s="2011"/>
      <c r="P250" s="2011"/>
      <c r="Q250" s="2011"/>
      <c r="R250" s="2011"/>
      <c r="S250" s="2011"/>
      <c r="T250" s="2011"/>
      <c r="U250" s="2011"/>
      <c r="V250" s="2011"/>
      <c r="W250" s="2011"/>
      <c r="X250" s="2011"/>
      <c r="Y250" s="2011"/>
      <c r="Z250" s="2011"/>
      <c r="AA250" s="2011"/>
      <c r="AB250" s="2011"/>
      <c r="AC250" s="2011"/>
      <c r="AD250" s="2011"/>
      <c r="AE250" s="2011"/>
      <c r="AF250" s="2011"/>
      <c r="AG250" s="2011"/>
      <c r="AH250" s="2011"/>
      <c r="AI250" s="2011"/>
      <c r="AJ250" s="2011"/>
      <c r="AK250" s="2011"/>
      <c r="AL250" s="2011"/>
      <c r="AM250" s="2011"/>
      <c r="AN250" s="2011"/>
      <c r="AO250" s="2011"/>
      <c r="AP250" s="2011"/>
      <c r="AQ250" s="2011"/>
      <c r="AR250" s="2011"/>
      <c r="AS250" s="2011"/>
      <c r="AT250" s="2011"/>
      <c r="AU250" s="2011"/>
      <c r="AV250" s="2011"/>
      <c r="AW250" s="2011"/>
      <c r="AX250" s="2011"/>
      <c r="AY250" s="2011"/>
      <c r="AZ250" s="2011"/>
      <c r="BA250" s="2011"/>
      <c r="BB250" s="2011"/>
      <c r="BC250" s="2011"/>
      <c r="BD250" s="2011"/>
      <c r="BE250" s="2011"/>
      <c r="BF250" s="2011"/>
      <c r="BG250" s="2011"/>
    </row>
    <row r="251" spans="1:59">
      <c r="A251" s="2011"/>
      <c r="B251" s="2011"/>
      <c r="C251" s="2011"/>
      <c r="D251" s="2011"/>
      <c r="E251" s="2011"/>
      <c r="F251" s="2011"/>
      <c r="G251" s="2011"/>
      <c r="H251" s="2011"/>
      <c r="I251" s="2011"/>
      <c r="J251" s="2011"/>
      <c r="K251" s="2011"/>
      <c r="L251" s="2011"/>
      <c r="M251" s="2011"/>
      <c r="N251" s="2011"/>
      <c r="O251" s="2011"/>
      <c r="P251" s="2011"/>
      <c r="Q251" s="2011"/>
      <c r="R251" s="2011"/>
      <c r="S251" s="2011"/>
      <c r="T251" s="2011"/>
      <c r="U251" s="2011"/>
      <c r="V251" s="2011"/>
      <c r="W251" s="2011"/>
      <c r="X251" s="2011"/>
      <c r="Y251" s="2011"/>
      <c r="Z251" s="2011"/>
      <c r="AA251" s="2011"/>
      <c r="AB251" s="2011"/>
      <c r="AC251" s="2011"/>
      <c r="AD251" s="2011"/>
      <c r="AE251" s="2011"/>
      <c r="AF251" s="2011"/>
      <c r="AG251" s="2011"/>
      <c r="AH251" s="2011"/>
      <c r="AI251" s="2011"/>
      <c r="AJ251" s="2011"/>
      <c r="AK251" s="2011"/>
      <c r="AL251" s="2011"/>
      <c r="AM251" s="2011"/>
      <c r="AN251" s="2011"/>
      <c r="AO251" s="2011"/>
      <c r="AP251" s="2011"/>
      <c r="AQ251" s="2011"/>
      <c r="AR251" s="2011"/>
      <c r="AS251" s="2011"/>
      <c r="AT251" s="2011"/>
      <c r="AU251" s="2011"/>
      <c r="AV251" s="2011"/>
      <c r="AW251" s="2011"/>
      <c r="AX251" s="2011"/>
      <c r="AY251" s="2011"/>
      <c r="AZ251" s="2011"/>
      <c r="BA251" s="2011"/>
      <c r="BB251" s="2011"/>
      <c r="BC251" s="2011"/>
      <c r="BD251" s="2011"/>
      <c r="BE251" s="2011"/>
      <c r="BF251" s="2011"/>
      <c r="BG251" s="2011"/>
    </row>
    <row r="252" spans="1:59">
      <c r="A252" s="2011"/>
      <c r="B252" s="2011"/>
      <c r="C252" s="2011"/>
      <c r="D252" s="2011"/>
      <c r="E252" s="2011"/>
      <c r="F252" s="2011"/>
      <c r="G252" s="2011"/>
      <c r="H252" s="2011"/>
      <c r="I252" s="2011"/>
      <c r="J252" s="2011"/>
      <c r="K252" s="2011"/>
      <c r="L252" s="2011"/>
      <c r="M252" s="2011"/>
      <c r="N252" s="2011"/>
      <c r="O252" s="2011"/>
      <c r="P252" s="2011"/>
      <c r="Q252" s="2011"/>
      <c r="R252" s="2011"/>
      <c r="S252" s="2011"/>
      <c r="T252" s="2011"/>
      <c r="U252" s="2011"/>
      <c r="V252" s="2011"/>
      <c r="W252" s="2011"/>
      <c r="X252" s="2011"/>
      <c r="Y252" s="2011"/>
      <c r="Z252" s="2011"/>
      <c r="AA252" s="2011"/>
      <c r="AB252" s="2011"/>
      <c r="AC252" s="2011"/>
      <c r="AD252" s="2011"/>
      <c r="AE252" s="2011"/>
      <c r="AF252" s="2011"/>
      <c r="AG252" s="2011"/>
      <c r="AH252" s="2011"/>
      <c r="AI252" s="2011"/>
      <c r="AJ252" s="2011"/>
      <c r="AK252" s="2011"/>
      <c r="AL252" s="2011"/>
      <c r="AM252" s="2011"/>
      <c r="AN252" s="2011"/>
      <c r="AO252" s="2011"/>
      <c r="AP252" s="2011"/>
      <c r="AQ252" s="2011"/>
      <c r="AR252" s="2011"/>
      <c r="AS252" s="2011"/>
      <c r="AT252" s="2011"/>
      <c r="AU252" s="2011"/>
      <c r="AV252" s="2011"/>
      <c r="AW252" s="2011"/>
      <c r="AX252" s="2011"/>
      <c r="AY252" s="2011"/>
      <c r="AZ252" s="2011"/>
      <c r="BA252" s="2011"/>
      <c r="BB252" s="2011"/>
      <c r="BC252" s="2011"/>
      <c r="BD252" s="2011"/>
      <c r="BE252" s="2011"/>
      <c r="BF252" s="2011"/>
      <c r="BG252" s="2011"/>
    </row>
    <row r="253" spans="1:59">
      <c r="A253" s="2011"/>
      <c r="B253" s="2011"/>
      <c r="C253" s="2011"/>
      <c r="D253" s="2011"/>
      <c r="E253" s="2011"/>
      <c r="F253" s="2011"/>
      <c r="G253" s="2011"/>
      <c r="H253" s="2011"/>
      <c r="I253" s="2011"/>
      <c r="J253" s="2011"/>
      <c r="K253" s="2011"/>
      <c r="L253" s="2011"/>
      <c r="M253" s="2011"/>
      <c r="N253" s="2011"/>
      <c r="O253" s="2011"/>
      <c r="P253" s="2011"/>
      <c r="Q253" s="2011"/>
      <c r="R253" s="2011"/>
      <c r="S253" s="2011"/>
      <c r="T253" s="2011"/>
      <c r="U253" s="2011"/>
      <c r="V253" s="2011"/>
      <c r="W253" s="2011"/>
      <c r="X253" s="2011"/>
      <c r="Y253" s="2011"/>
      <c r="Z253" s="2011"/>
      <c r="AA253" s="2011"/>
      <c r="AB253" s="2011"/>
      <c r="AC253" s="2011"/>
      <c r="AD253" s="2011"/>
      <c r="AE253" s="2011"/>
      <c r="AF253" s="2011"/>
      <c r="AG253" s="2011"/>
      <c r="AH253" s="2011"/>
      <c r="AI253" s="2011"/>
      <c r="AJ253" s="2011"/>
      <c r="AK253" s="2011"/>
      <c r="AL253" s="2011"/>
      <c r="AM253" s="2011"/>
      <c r="AN253" s="2011"/>
      <c r="AO253" s="2011"/>
      <c r="AP253" s="2011"/>
      <c r="AQ253" s="2011"/>
      <c r="AR253" s="2011"/>
      <c r="AS253" s="2011"/>
      <c r="AT253" s="2011"/>
      <c r="AU253" s="2011"/>
      <c r="AV253" s="2011"/>
      <c r="AW253" s="2011"/>
      <c r="AX253" s="2011"/>
      <c r="AY253" s="2011"/>
      <c r="AZ253" s="2011"/>
      <c r="BA253" s="2011"/>
      <c r="BB253" s="2011"/>
      <c r="BC253" s="2011"/>
      <c r="BD253" s="2011"/>
      <c r="BE253" s="2011"/>
      <c r="BF253" s="2011"/>
      <c r="BG253" s="2011"/>
    </row>
    <row r="254" spans="1:59">
      <c r="A254" s="2011"/>
      <c r="B254" s="2011"/>
      <c r="C254" s="2011"/>
      <c r="D254" s="2011"/>
      <c r="E254" s="2011"/>
      <c r="F254" s="2011"/>
      <c r="G254" s="2011"/>
      <c r="H254" s="2011"/>
      <c r="I254" s="2011"/>
      <c r="J254" s="2011"/>
      <c r="K254" s="2011"/>
      <c r="L254" s="2011"/>
      <c r="M254" s="2011"/>
      <c r="N254" s="2011"/>
      <c r="O254" s="2011"/>
      <c r="P254" s="2011"/>
      <c r="Q254" s="2011"/>
      <c r="R254" s="2011"/>
      <c r="S254" s="2011"/>
      <c r="T254" s="2011"/>
      <c r="U254" s="2011"/>
      <c r="V254" s="2011"/>
      <c r="W254" s="2011"/>
      <c r="X254" s="2011"/>
      <c r="Y254" s="2011"/>
      <c r="Z254" s="2011"/>
      <c r="AA254" s="2011"/>
      <c r="AB254" s="2011"/>
      <c r="AC254" s="2011"/>
      <c r="AD254" s="2011"/>
      <c r="AE254" s="2011"/>
      <c r="AF254" s="2011"/>
      <c r="AG254" s="2011"/>
      <c r="AH254" s="2011"/>
      <c r="AI254" s="2011"/>
      <c r="AJ254" s="2011"/>
      <c r="AK254" s="2011"/>
      <c r="AL254" s="2011"/>
      <c r="AM254" s="2011"/>
      <c r="AN254" s="2011"/>
      <c r="AO254" s="2011"/>
      <c r="AP254" s="2011"/>
      <c r="AQ254" s="2011"/>
      <c r="AR254" s="2011"/>
      <c r="AS254" s="2011"/>
      <c r="AT254" s="2011"/>
      <c r="AU254" s="2011"/>
      <c r="AV254" s="2011"/>
      <c r="AW254" s="2011"/>
      <c r="AX254" s="2011"/>
      <c r="AY254" s="2011"/>
      <c r="AZ254" s="2011"/>
      <c r="BA254" s="2011"/>
      <c r="BB254" s="2011"/>
      <c r="BC254" s="2011"/>
      <c r="BD254" s="2011"/>
      <c r="BE254" s="2011"/>
      <c r="BF254" s="2011"/>
      <c r="BG254" s="2011"/>
    </row>
    <row r="255" spans="1:59">
      <c r="A255" s="2011"/>
      <c r="B255" s="2011"/>
      <c r="C255" s="2011"/>
      <c r="D255" s="2011"/>
      <c r="E255" s="2011"/>
      <c r="F255" s="2011"/>
      <c r="G255" s="2011"/>
      <c r="H255" s="2011"/>
      <c r="I255" s="2011"/>
      <c r="J255" s="2011"/>
      <c r="K255" s="2011"/>
      <c r="L255" s="2011"/>
      <c r="M255" s="2011"/>
      <c r="N255" s="2011"/>
      <c r="O255" s="2011"/>
      <c r="P255" s="2011"/>
      <c r="Q255" s="2011"/>
      <c r="R255" s="2011"/>
      <c r="S255" s="2011"/>
      <c r="T255" s="2011"/>
      <c r="U255" s="2011"/>
      <c r="V255" s="2011"/>
      <c r="W255" s="2011"/>
      <c r="X255" s="2011"/>
      <c r="Y255" s="2011"/>
      <c r="Z255" s="2011"/>
      <c r="AA255" s="2011"/>
      <c r="AB255" s="2011"/>
      <c r="AC255" s="2011"/>
      <c r="AD255" s="2011"/>
      <c r="AE255" s="2011"/>
      <c r="AF255" s="2011"/>
      <c r="AG255" s="2011"/>
      <c r="AH255" s="2011"/>
      <c r="AI255" s="2011"/>
      <c r="AJ255" s="2011"/>
      <c r="AK255" s="2011"/>
      <c r="AL255" s="2011"/>
      <c r="AM255" s="2011"/>
      <c r="AN255" s="2011"/>
      <c r="AO255" s="2011"/>
      <c r="AP255" s="2011"/>
      <c r="AQ255" s="2011"/>
      <c r="AR255" s="2011"/>
      <c r="AS255" s="2011"/>
      <c r="AT255" s="2011"/>
      <c r="AU255" s="2011"/>
      <c r="AV255" s="2011"/>
      <c r="AW255" s="2011"/>
      <c r="AX255" s="2011"/>
      <c r="AY255" s="2011"/>
      <c r="AZ255" s="2011"/>
      <c r="BA255" s="2011"/>
      <c r="BB255" s="2011"/>
      <c r="BC255" s="2011"/>
      <c r="BD255" s="2011"/>
      <c r="BE255" s="2011"/>
      <c r="BF255" s="2011"/>
      <c r="BG255" s="2011"/>
    </row>
    <row r="256" spans="1:59">
      <c r="A256" s="2011"/>
      <c r="B256" s="2011"/>
      <c r="C256" s="2011"/>
      <c r="D256" s="2011"/>
      <c r="E256" s="2011"/>
      <c r="F256" s="2011"/>
      <c r="G256" s="2011"/>
      <c r="H256" s="2011"/>
      <c r="I256" s="2011"/>
      <c r="J256" s="2011"/>
      <c r="K256" s="2011"/>
      <c r="L256" s="2011"/>
      <c r="M256" s="2011"/>
      <c r="N256" s="2011"/>
      <c r="O256" s="2011"/>
      <c r="P256" s="2011"/>
      <c r="Q256" s="2011"/>
      <c r="R256" s="2011"/>
      <c r="S256" s="2011"/>
      <c r="T256" s="2011"/>
      <c r="U256" s="2011"/>
      <c r="V256" s="2011"/>
      <c r="W256" s="2011"/>
      <c r="X256" s="2011"/>
      <c r="Y256" s="2011"/>
      <c r="Z256" s="2011"/>
      <c r="AA256" s="2011"/>
      <c r="AB256" s="2011"/>
      <c r="AC256" s="2011"/>
      <c r="AD256" s="2011"/>
      <c r="AE256" s="2011"/>
      <c r="AF256" s="2011"/>
      <c r="AG256" s="2011"/>
      <c r="AH256" s="2011"/>
      <c r="AI256" s="2011"/>
      <c r="AJ256" s="2011"/>
      <c r="AK256" s="2011"/>
      <c r="AL256" s="2011"/>
      <c r="AM256" s="2011"/>
      <c r="AN256" s="2011"/>
      <c r="AO256" s="2011"/>
      <c r="AP256" s="2011"/>
      <c r="AQ256" s="2011"/>
      <c r="AR256" s="2011"/>
      <c r="AS256" s="2011"/>
      <c r="AT256" s="2011"/>
      <c r="AU256" s="2011"/>
      <c r="AV256" s="2011"/>
      <c r="AW256" s="2011"/>
      <c r="AX256" s="2011"/>
      <c r="AY256" s="2011"/>
      <c r="AZ256" s="2011"/>
      <c r="BA256" s="2011"/>
      <c r="BB256" s="2011"/>
      <c r="BC256" s="2011"/>
      <c r="BD256" s="2011"/>
      <c r="BE256" s="2011"/>
      <c r="BF256" s="2011"/>
      <c r="BG256" s="2011"/>
    </row>
    <row r="257" spans="1:59">
      <c r="A257" s="2011"/>
      <c r="B257" s="2011"/>
      <c r="C257" s="2011"/>
      <c r="D257" s="2011"/>
      <c r="E257" s="2011"/>
      <c r="F257" s="2011"/>
      <c r="G257" s="2011"/>
      <c r="H257" s="2011"/>
      <c r="I257" s="2011"/>
      <c r="J257" s="2011"/>
      <c r="K257" s="2011"/>
      <c r="L257" s="2011"/>
      <c r="M257" s="2011"/>
      <c r="N257" s="2011"/>
      <c r="O257" s="2011"/>
      <c r="P257" s="2011"/>
      <c r="Q257" s="2011"/>
      <c r="R257" s="2011"/>
      <c r="S257" s="2011"/>
      <c r="T257" s="2011"/>
      <c r="U257" s="2011"/>
      <c r="V257" s="2011"/>
      <c r="W257" s="2011"/>
      <c r="X257" s="2011"/>
      <c r="Y257" s="2011"/>
      <c r="Z257" s="2011"/>
      <c r="AA257" s="2011"/>
      <c r="AB257" s="2011"/>
      <c r="AC257" s="2011"/>
      <c r="AD257" s="2011"/>
      <c r="AE257" s="2011"/>
      <c r="AF257" s="2011"/>
      <c r="AG257" s="2011"/>
      <c r="AH257" s="2011"/>
      <c r="AI257" s="2011"/>
      <c r="AJ257" s="2011"/>
      <c r="AK257" s="2011"/>
      <c r="AL257" s="2011"/>
      <c r="AM257" s="2011"/>
      <c r="AN257" s="2011"/>
      <c r="AO257" s="2011"/>
      <c r="AP257" s="2011"/>
      <c r="AQ257" s="2011"/>
      <c r="AR257" s="2011"/>
      <c r="AS257" s="2011"/>
      <c r="AT257" s="2011"/>
      <c r="AU257" s="2011"/>
      <c r="AV257" s="2011"/>
      <c r="AW257" s="2011"/>
      <c r="AX257" s="2011"/>
      <c r="AY257" s="2011"/>
      <c r="AZ257" s="2011"/>
      <c r="BA257" s="2011"/>
      <c r="BB257" s="2011"/>
      <c r="BC257" s="2011"/>
      <c r="BD257" s="2011"/>
      <c r="BE257" s="2011"/>
      <c r="BF257" s="2011"/>
      <c r="BG257" s="2011"/>
    </row>
    <row r="258" spans="1:59">
      <c r="A258" s="2011"/>
      <c r="B258" s="2011"/>
      <c r="C258" s="2011"/>
      <c r="D258" s="2011"/>
      <c r="E258" s="2011"/>
      <c r="F258" s="2011"/>
      <c r="G258" s="2011"/>
      <c r="H258" s="2011"/>
      <c r="I258" s="2011"/>
      <c r="J258" s="2011"/>
      <c r="K258" s="2011"/>
      <c r="L258" s="2011"/>
      <c r="M258" s="2011"/>
      <c r="N258" s="2011"/>
      <c r="O258" s="2011"/>
      <c r="P258" s="2011"/>
      <c r="Q258" s="2011"/>
      <c r="R258" s="2011"/>
      <c r="S258" s="2011"/>
      <c r="T258" s="2011"/>
      <c r="U258" s="2011"/>
      <c r="V258" s="2011"/>
      <c r="W258" s="2011"/>
      <c r="X258" s="2011"/>
      <c r="Y258" s="2011"/>
      <c r="Z258" s="2011"/>
      <c r="AA258" s="2011"/>
      <c r="AB258" s="2011"/>
      <c r="AC258" s="2011"/>
      <c r="AD258" s="2011"/>
      <c r="AE258" s="2011"/>
      <c r="AF258" s="2011"/>
      <c r="AG258" s="2011"/>
      <c r="AH258" s="2011"/>
      <c r="AI258" s="2011"/>
      <c r="AJ258" s="2011"/>
      <c r="AK258" s="2011"/>
      <c r="AL258" s="2011"/>
      <c r="AM258" s="2011"/>
      <c r="AN258" s="2011"/>
      <c r="AO258" s="2011"/>
      <c r="AP258" s="2011"/>
      <c r="AQ258" s="2011"/>
      <c r="AR258" s="2011"/>
      <c r="AS258" s="2011"/>
      <c r="AT258" s="2011"/>
      <c r="AU258" s="2011"/>
      <c r="AV258" s="2011"/>
      <c r="AW258" s="2011"/>
      <c r="AX258" s="2011"/>
      <c r="AY258" s="2011"/>
      <c r="AZ258" s="2011"/>
      <c r="BA258" s="2011"/>
      <c r="BB258" s="2011"/>
      <c r="BC258" s="2011"/>
      <c r="BD258" s="2011"/>
      <c r="BE258" s="2011"/>
      <c r="BF258" s="2011"/>
      <c r="BG258" s="2011"/>
    </row>
    <row r="259" spans="1:59">
      <c r="A259" s="2011"/>
      <c r="B259" s="2011"/>
      <c r="C259" s="2011"/>
      <c r="D259" s="2011"/>
      <c r="E259" s="2011"/>
      <c r="F259" s="2011"/>
      <c r="G259" s="2011"/>
      <c r="H259" s="2011"/>
      <c r="I259" s="2011"/>
      <c r="J259" s="2011"/>
      <c r="K259" s="2011"/>
      <c r="L259" s="2011"/>
      <c r="M259" s="2011"/>
      <c r="N259" s="2011"/>
      <c r="O259" s="2011"/>
      <c r="P259" s="2011"/>
      <c r="Q259" s="2011"/>
      <c r="R259" s="2011"/>
      <c r="S259" s="2011"/>
      <c r="T259" s="2011"/>
      <c r="U259" s="2011"/>
      <c r="V259" s="2011"/>
      <c r="W259" s="2011"/>
      <c r="X259" s="2011"/>
      <c r="Y259" s="2011"/>
      <c r="Z259" s="2011"/>
      <c r="AA259" s="2011"/>
      <c r="AB259" s="2011"/>
      <c r="AC259" s="2011"/>
      <c r="AD259" s="2011"/>
      <c r="AE259" s="2011"/>
      <c r="AF259" s="2011"/>
      <c r="AG259" s="2011"/>
      <c r="AH259" s="2011"/>
      <c r="AI259" s="2011"/>
      <c r="AJ259" s="2011"/>
      <c r="AK259" s="2011"/>
      <c r="AL259" s="2011"/>
      <c r="AM259" s="2011"/>
      <c r="AN259" s="2011"/>
      <c r="AO259" s="2011"/>
      <c r="AP259" s="2011"/>
      <c r="AQ259" s="2011"/>
      <c r="AR259" s="2011"/>
      <c r="AS259" s="2011"/>
      <c r="AT259" s="2011"/>
      <c r="AU259" s="2011"/>
      <c r="AV259" s="2011"/>
      <c r="AW259" s="2011"/>
      <c r="AX259" s="2011"/>
      <c r="AY259" s="2011"/>
      <c r="AZ259" s="2011"/>
      <c r="BA259" s="2011"/>
      <c r="BB259" s="2011"/>
      <c r="BC259" s="2011"/>
      <c r="BD259" s="2011"/>
      <c r="BE259" s="2011"/>
      <c r="BF259" s="2011"/>
      <c r="BG259" s="2011"/>
    </row>
    <row r="260" spans="1:59">
      <c r="A260" s="2011"/>
      <c r="B260" s="2011"/>
      <c r="C260" s="2011"/>
      <c r="D260" s="2011"/>
      <c r="E260" s="2011"/>
      <c r="F260" s="2011"/>
      <c r="G260" s="2011"/>
      <c r="H260" s="2011"/>
      <c r="I260" s="2011"/>
      <c r="J260" s="2011"/>
      <c r="K260" s="2011"/>
      <c r="L260" s="2011"/>
      <c r="M260" s="2011"/>
      <c r="N260" s="2011"/>
      <c r="O260" s="2011"/>
      <c r="P260" s="2011"/>
      <c r="Q260" s="2011"/>
      <c r="R260" s="2011"/>
      <c r="S260" s="2011"/>
      <c r="T260" s="2011"/>
      <c r="U260" s="2011"/>
      <c r="V260" s="2011"/>
      <c r="W260" s="2011"/>
      <c r="X260" s="2011"/>
      <c r="Y260" s="2011"/>
      <c r="Z260" s="2011"/>
      <c r="AA260" s="2011"/>
      <c r="AB260" s="2011"/>
      <c r="AC260" s="2011"/>
      <c r="AD260" s="2011"/>
      <c r="AE260" s="2011"/>
      <c r="AF260" s="2011"/>
      <c r="AG260" s="2011"/>
      <c r="AH260" s="2011"/>
      <c r="AI260" s="2011"/>
      <c r="AJ260" s="2011"/>
      <c r="AK260" s="2011"/>
      <c r="AL260" s="2011"/>
      <c r="AM260" s="2011"/>
      <c r="AN260" s="2011"/>
      <c r="AO260" s="2011"/>
      <c r="AP260" s="2011"/>
      <c r="AQ260" s="2011"/>
      <c r="AR260" s="2011"/>
      <c r="AS260" s="2011"/>
      <c r="AT260" s="2011"/>
      <c r="AU260" s="2011"/>
      <c r="AV260" s="2011"/>
      <c r="AW260" s="2011"/>
      <c r="AX260" s="2011"/>
      <c r="AY260" s="2011"/>
      <c r="AZ260" s="2011"/>
      <c r="BA260" s="2011"/>
      <c r="BB260" s="2011"/>
      <c r="BC260" s="2011"/>
      <c r="BD260" s="2011"/>
      <c r="BE260" s="2011"/>
      <c r="BF260" s="2011"/>
      <c r="BG260" s="2011"/>
    </row>
    <row r="261" spans="1:59">
      <c r="A261" s="2011"/>
      <c r="B261" s="2011"/>
      <c r="C261" s="2011"/>
      <c r="D261" s="2011"/>
      <c r="E261" s="2011"/>
      <c r="F261" s="2011"/>
      <c r="G261" s="2011"/>
      <c r="H261" s="2011"/>
      <c r="I261" s="2011"/>
      <c r="J261" s="2011"/>
      <c r="K261" s="2011"/>
      <c r="L261" s="2011"/>
      <c r="M261" s="2011"/>
      <c r="N261" s="2011"/>
      <c r="O261" s="2011"/>
      <c r="P261" s="2011"/>
      <c r="Q261" s="2011"/>
      <c r="R261" s="2011"/>
      <c r="S261" s="2011"/>
      <c r="T261" s="2011"/>
      <c r="U261" s="2011"/>
      <c r="V261" s="2011"/>
      <c r="W261" s="2011"/>
      <c r="X261" s="2011"/>
      <c r="Y261" s="2011"/>
      <c r="Z261" s="2011"/>
      <c r="AA261" s="2011"/>
      <c r="AB261" s="2011"/>
      <c r="AC261" s="2011"/>
      <c r="AD261" s="2011"/>
      <c r="AE261" s="2011"/>
      <c r="AF261" s="2011"/>
      <c r="AG261" s="2011"/>
      <c r="AH261" s="2011"/>
      <c r="AI261" s="2011"/>
      <c r="AJ261" s="2011"/>
      <c r="AK261" s="2011"/>
      <c r="AL261" s="2011"/>
      <c r="AM261" s="2011"/>
      <c r="AN261" s="2011"/>
      <c r="AO261" s="2011"/>
      <c r="AP261" s="2011"/>
      <c r="AQ261" s="2011"/>
      <c r="AR261" s="2011"/>
      <c r="AS261" s="2011"/>
      <c r="AT261" s="2011"/>
      <c r="AU261" s="2011"/>
      <c r="AV261" s="2011"/>
      <c r="AW261" s="2011"/>
      <c r="AX261" s="2011"/>
      <c r="AY261" s="2011"/>
      <c r="AZ261" s="2011"/>
      <c r="BA261" s="2011"/>
      <c r="BB261" s="2011"/>
      <c r="BC261" s="2011"/>
      <c r="BD261" s="2011"/>
      <c r="BE261" s="2011"/>
      <c r="BF261" s="2011"/>
      <c r="BG261" s="2011"/>
    </row>
    <row r="262" spans="1:59">
      <c r="A262" s="2011"/>
      <c r="B262" s="2011"/>
      <c r="C262" s="2011"/>
      <c r="D262" s="2011"/>
      <c r="E262" s="2011"/>
      <c r="F262" s="2011"/>
      <c r="G262" s="2011"/>
      <c r="H262" s="2011"/>
      <c r="I262" s="2011"/>
      <c r="J262" s="2011"/>
      <c r="K262" s="2011"/>
      <c r="L262" s="2011"/>
      <c r="M262" s="2011"/>
      <c r="N262" s="2011"/>
      <c r="O262" s="2011"/>
      <c r="P262" s="2011"/>
      <c r="Q262" s="2011"/>
      <c r="R262" s="2011"/>
      <c r="S262" s="2011"/>
      <c r="T262" s="2011"/>
      <c r="U262" s="2011"/>
      <c r="V262" s="2011"/>
      <c r="W262" s="2011"/>
      <c r="X262" s="2011"/>
      <c r="Y262" s="2011"/>
      <c r="Z262" s="2011"/>
      <c r="AA262" s="2011"/>
      <c r="AB262" s="2011"/>
      <c r="AC262" s="2011"/>
      <c r="AD262" s="2011"/>
      <c r="AE262" s="2011"/>
      <c r="AF262" s="2011"/>
      <c r="AG262" s="2011"/>
      <c r="AH262" s="2011"/>
      <c r="AI262" s="2011"/>
      <c r="AJ262" s="2011"/>
      <c r="AK262" s="2011"/>
      <c r="AL262" s="2011"/>
      <c r="AM262" s="2011"/>
      <c r="AN262" s="2011"/>
      <c r="AO262" s="2011"/>
      <c r="AP262" s="2011"/>
      <c r="AQ262" s="2011"/>
      <c r="AR262" s="2011"/>
      <c r="AS262" s="2011"/>
      <c r="AT262" s="2011"/>
      <c r="AU262" s="2011"/>
      <c r="AV262" s="2011"/>
      <c r="AW262" s="2011"/>
      <c r="AX262" s="2011"/>
      <c r="AY262" s="2011"/>
      <c r="AZ262" s="2011"/>
      <c r="BA262" s="2011"/>
      <c r="BB262" s="2011"/>
      <c r="BC262" s="2011"/>
      <c r="BD262" s="2011"/>
      <c r="BE262" s="2011"/>
      <c r="BF262" s="2011"/>
      <c r="BG262" s="2011"/>
    </row>
    <row r="263" spans="1:59">
      <c r="A263" s="2011"/>
      <c r="B263" s="2011"/>
      <c r="C263" s="2011"/>
      <c r="D263" s="2011"/>
      <c r="E263" s="2011"/>
      <c r="F263" s="2011"/>
      <c r="G263" s="2011"/>
      <c r="H263" s="2011"/>
      <c r="I263" s="2011"/>
      <c r="J263" s="2011"/>
      <c r="K263" s="2011"/>
      <c r="L263" s="2011"/>
      <c r="M263" s="2011"/>
      <c r="N263" s="2011"/>
      <c r="O263" s="2011"/>
      <c r="P263" s="2011"/>
      <c r="Q263" s="2011"/>
      <c r="R263" s="2011"/>
      <c r="S263" s="2011"/>
      <c r="T263" s="2011"/>
      <c r="U263" s="2011"/>
      <c r="V263" s="2011"/>
      <c r="W263" s="2011"/>
      <c r="X263" s="2011"/>
      <c r="Y263" s="2011"/>
      <c r="Z263" s="2011"/>
      <c r="AA263" s="2011"/>
      <c r="AB263" s="2011"/>
      <c r="AC263" s="2011"/>
      <c r="AD263" s="2011"/>
      <c r="AE263" s="2011"/>
      <c r="AF263" s="2011"/>
      <c r="AG263" s="2011"/>
      <c r="AH263" s="2011"/>
      <c r="AI263" s="2011"/>
      <c r="AJ263" s="2011"/>
      <c r="AK263" s="2011"/>
      <c r="AL263" s="2011"/>
      <c r="AM263" s="2011"/>
      <c r="AN263" s="2011"/>
      <c r="AO263" s="2011"/>
      <c r="AP263" s="2011"/>
      <c r="AQ263" s="2011"/>
      <c r="AR263" s="2011"/>
      <c r="AS263" s="2011"/>
      <c r="AT263" s="2011"/>
      <c r="AU263" s="2011"/>
      <c r="AV263" s="2011"/>
      <c r="AW263" s="2011"/>
      <c r="AX263" s="2011"/>
      <c r="AY263" s="2011"/>
      <c r="AZ263" s="2011"/>
      <c r="BA263" s="2011"/>
      <c r="BB263" s="2011"/>
      <c r="BC263" s="2011"/>
      <c r="BD263" s="2011"/>
      <c r="BE263" s="2011"/>
      <c r="BF263" s="2011"/>
      <c r="BG263" s="2011"/>
    </row>
    <row r="264" spans="1:59">
      <c r="A264" s="2011"/>
      <c r="B264" s="2011"/>
      <c r="C264" s="2011"/>
      <c r="D264" s="2011"/>
      <c r="E264" s="2011"/>
      <c r="F264" s="2011"/>
      <c r="G264" s="2011"/>
      <c r="H264" s="2011"/>
      <c r="I264" s="2011"/>
      <c r="J264" s="2011"/>
      <c r="K264" s="2011"/>
      <c r="L264" s="2011"/>
      <c r="M264" s="2011"/>
      <c r="N264" s="2011"/>
      <c r="O264" s="2011"/>
      <c r="P264" s="2011"/>
      <c r="Q264" s="2011"/>
      <c r="R264" s="2011"/>
      <c r="S264" s="2011"/>
      <c r="T264" s="2011"/>
      <c r="U264" s="2011"/>
      <c r="V264" s="2011"/>
      <c r="W264" s="2011"/>
      <c r="X264" s="2011"/>
      <c r="Y264" s="2011"/>
      <c r="Z264" s="2011"/>
      <c r="AA264" s="2011"/>
      <c r="AB264" s="2011"/>
      <c r="AC264" s="2011"/>
      <c r="AD264" s="2011"/>
      <c r="AE264" s="2011"/>
      <c r="AF264" s="2011"/>
      <c r="AG264" s="2011"/>
      <c r="AH264" s="2011"/>
      <c r="AI264" s="2011"/>
      <c r="AJ264" s="2011"/>
      <c r="AK264" s="2011"/>
      <c r="AL264" s="2011"/>
      <c r="AM264" s="2011"/>
      <c r="AN264" s="2011"/>
      <c r="AO264" s="2011"/>
      <c r="AP264" s="2011"/>
      <c r="AQ264" s="2011"/>
      <c r="AR264" s="2011"/>
      <c r="AS264" s="2011"/>
      <c r="AT264" s="2011"/>
      <c r="AU264" s="2011"/>
      <c r="AV264" s="2011"/>
      <c r="AW264" s="2011"/>
      <c r="AX264" s="2011"/>
      <c r="AY264" s="2011"/>
      <c r="AZ264" s="2011"/>
      <c r="BA264" s="2011"/>
      <c r="BB264" s="2011"/>
      <c r="BC264" s="2011"/>
      <c r="BD264" s="2011"/>
      <c r="BE264" s="2011"/>
      <c r="BF264" s="2011"/>
      <c r="BG264" s="2011"/>
    </row>
    <row r="265" spans="1:59">
      <c r="A265" s="2011"/>
      <c r="B265" s="2011"/>
      <c r="C265" s="2011"/>
      <c r="D265" s="2011"/>
      <c r="E265" s="2011"/>
      <c r="F265" s="2011"/>
      <c r="G265" s="2011"/>
      <c r="H265" s="2011"/>
      <c r="I265" s="2011"/>
      <c r="J265" s="2011"/>
      <c r="K265" s="2011"/>
      <c r="L265" s="2011"/>
      <c r="M265" s="2011"/>
      <c r="N265" s="2011"/>
      <c r="O265" s="2011"/>
      <c r="P265" s="2011"/>
      <c r="Q265" s="2011"/>
      <c r="R265" s="2011"/>
      <c r="S265" s="2011"/>
      <c r="T265" s="2011"/>
      <c r="U265" s="2011"/>
      <c r="V265" s="2011"/>
      <c r="W265" s="2011"/>
      <c r="X265" s="2011"/>
      <c r="Y265" s="2011"/>
      <c r="Z265" s="2011"/>
      <c r="AA265" s="2011"/>
      <c r="AB265" s="2011"/>
      <c r="AC265" s="2011"/>
      <c r="AD265" s="2011"/>
      <c r="AE265" s="2011"/>
      <c r="AF265" s="2011"/>
      <c r="AG265" s="2011"/>
      <c r="AH265" s="2011"/>
      <c r="AI265" s="2011"/>
      <c r="AJ265" s="2011"/>
      <c r="AK265" s="2011"/>
      <c r="AL265" s="2011"/>
      <c r="AM265" s="2011"/>
      <c r="AN265" s="2011"/>
      <c r="AO265" s="2011"/>
      <c r="AP265" s="2011"/>
      <c r="AQ265" s="2011"/>
      <c r="AR265" s="2011"/>
      <c r="AS265" s="2011"/>
      <c r="AT265" s="2011"/>
      <c r="AU265" s="2011"/>
      <c r="AV265" s="2011"/>
      <c r="AW265" s="2011"/>
      <c r="AX265" s="2011"/>
      <c r="AY265" s="2011"/>
      <c r="AZ265" s="2011"/>
      <c r="BA265" s="2011"/>
      <c r="BB265" s="2011"/>
      <c r="BC265" s="2011"/>
      <c r="BD265" s="2011"/>
      <c r="BE265" s="2011"/>
      <c r="BF265" s="2011"/>
      <c r="BG265" s="2011"/>
    </row>
    <row r="266" spans="1:59">
      <c r="A266" s="2011"/>
      <c r="B266" s="2011"/>
      <c r="C266" s="2011"/>
      <c r="D266" s="2011"/>
      <c r="E266" s="2011"/>
      <c r="F266" s="2011"/>
      <c r="G266" s="2011"/>
      <c r="H266" s="2011"/>
      <c r="I266" s="2011"/>
      <c r="J266" s="2011"/>
      <c r="K266" s="2011"/>
      <c r="L266" s="2011"/>
      <c r="M266" s="2011"/>
      <c r="N266" s="2011"/>
      <c r="O266" s="2011"/>
      <c r="P266" s="2011"/>
      <c r="Q266" s="2011"/>
      <c r="R266" s="2011"/>
      <c r="S266" s="2011"/>
      <c r="T266" s="2011"/>
      <c r="U266" s="2011"/>
      <c r="V266" s="2011"/>
      <c r="W266" s="2011"/>
      <c r="X266" s="2011"/>
      <c r="Y266" s="2011"/>
      <c r="Z266" s="2011"/>
      <c r="AA266" s="2011"/>
      <c r="AB266" s="2011"/>
      <c r="AC266" s="2011"/>
      <c r="AD266" s="2011"/>
      <c r="AE266" s="2011"/>
      <c r="AF266" s="2011"/>
      <c r="AG266" s="2011"/>
      <c r="AH266" s="2011"/>
      <c r="AI266" s="2011"/>
      <c r="AJ266" s="2011"/>
      <c r="AK266" s="2011"/>
      <c r="AL266" s="2011"/>
      <c r="AM266" s="2011"/>
      <c r="AN266" s="2011"/>
      <c r="AO266" s="2011"/>
      <c r="AP266" s="2011"/>
      <c r="AQ266" s="2011"/>
      <c r="AR266" s="2011"/>
      <c r="AS266" s="2011"/>
      <c r="AT266" s="2011"/>
      <c r="AU266" s="2011"/>
      <c r="AV266" s="2011"/>
      <c r="AW266" s="2011"/>
      <c r="AX266" s="2011"/>
      <c r="AY266" s="2011"/>
      <c r="AZ266" s="2011"/>
      <c r="BA266" s="2011"/>
      <c r="BB266" s="2011"/>
      <c r="BC266" s="2011"/>
      <c r="BD266" s="2011"/>
      <c r="BE266" s="2011"/>
      <c r="BF266" s="2011"/>
      <c r="BG266" s="2011"/>
    </row>
    <row r="267" spans="1:59">
      <c r="A267" s="2011"/>
      <c r="B267" s="2011"/>
      <c r="C267" s="2011"/>
      <c r="D267" s="2011"/>
      <c r="E267" s="2011"/>
      <c r="F267" s="2011"/>
      <c r="G267" s="2011"/>
      <c r="H267" s="2011"/>
      <c r="I267" s="2011"/>
      <c r="J267" s="2011"/>
      <c r="K267" s="2011"/>
      <c r="L267" s="2011"/>
      <c r="M267" s="2011"/>
      <c r="N267" s="2011"/>
      <c r="O267" s="2011"/>
      <c r="P267" s="2011"/>
      <c r="Q267" s="2011"/>
      <c r="R267" s="2011"/>
      <c r="S267" s="2011"/>
      <c r="T267" s="2011"/>
      <c r="U267" s="2011"/>
      <c r="V267" s="2011"/>
      <c r="W267" s="2011"/>
      <c r="X267" s="2011"/>
      <c r="Y267" s="2011"/>
      <c r="Z267" s="2011"/>
      <c r="AA267" s="2011"/>
      <c r="AB267" s="2011"/>
      <c r="AC267" s="2011"/>
      <c r="AD267" s="2011"/>
      <c r="AE267" s="2011"/>
      <c r="AF267" s="2011"/>
      <c r="AG267" s="2011"/>
      <c r="AH267" s="2011"/>
      <c r="AI267" s="2011"/>
      <c r="AJ267" s="2011"/>
      <c r="AK267" s="2011"/>
      <c r="AL267" s="2011"/>
      <c r="AM267" s="2011"/>
      <c r="AN267" s="2011"/>
      <c r="AO267" s="2011"/>
      <c r="AP267" s="2011"/>
      <c r="AQ267" s="2011"/>
      <c r="AR267" s="2011"/>
      <c r="AS267" s="2011"/>
      <c r="AT267" s="2011"/>
      <c r="AU267" s="2011"/>
      <c r="AV267" s="2011"/>
      <c r="AW267" s="2011"/>
      <c r="AX267" s="2011"/>
      <c r="AY267" s="2011"/>
      <c r="AZ267" s="2011"/>
      <c r="BA267" s="2011"/>
      <c r="BB267" s="2011"/>
      <c r="BC267" s="2011"/>
      <c r="BD267" s="2011"/>
      <c r="BE267" s="2011"/>
      <c r="BF267" s="2011"/>
      <c r="BG267" s="2011"/>
    </row>
    <row r="268" spans="1:59">
      <c r="A268" s="2011"/>
      <c r="B268" s="2011"/>
      <c r="C268" s="2011"/>
      <c r="D268" s="2011"/>
      <c r="E268" s="2011"/>
      <c r="F268" s="2011"/>
      <c r="G268" s="2011"/>
      <c r="H268" s="2011"/>
      <c r="I268" s="2011"/>
      <c r="J268" s="2011"/>
      <c r="K268" s="2011"/>
      <c r="L268" s="2011"/>
      <c r="M268" s="2011"/>
      <c r="N268" s="2011"/>
      <c r="O268" s="2011"/>
      <c r="P268" s="2011"/>
      <c r="Q268" s="2011"/>
      <c r="R268" s="2011"/>
      <c r="S268" s="2011"/>
      <c r="T268" s="2011"/>
      <c r="U268" s="2011"/>
      <c r="V268" s="2011"/>
      <c r="W268" s="2011"/>
      <c r="X268" s="2011"/>
      <c r="Y268" s="2011"/>
      <c r="Z268" s="2011"/>
      <c r="AA268" s="2011"/>
      <c r="AB268" s="2011"/>
      <c r="AC268" s="2011"/>
      <c r="AD268" s="2011"/>
      <c r="AE268" s="2011"/>
      <c r="AF268" s="2011"/>
      <c r="AG268" s="2011"/>
      <c r="AH268" s="2011"/>
      <c r="AI268" s="2011"/>
      <c r="AJ268" s="2011"/>
      <c r="AK268" s="2011"/>
      <c r="AL268" s="2011"/>
      <c r="AM268" s="2011"/>
      <c r="AN268" s="2011"/>
      <c r="AO268" s="2011"/>
      <c r="AP268" s="2011"/>
      <c r="AQ268" s="2011"/>
      <c r="AR268" s="2011"/>
      <c r="AS268" s="2011"/>
      <c r="AT268" s="2011"/>
      <c r="AU268" s="2011"/>
      <c r="AV268" s="2011"/>
      <c r="AW268" s="2011"/>
      <c r="AX268" s="2011"/>
      <c r="AY268" s="2011"/>
      <c r="AZ268" s="2011"/>
      <c r="BA268" s="2011"/>
      <c r="BB268" s="2011"/>
      <c r="BC268" s="2011"/>
      <c r="BD268" s="2011"/>
      <c r="BE268" s="2011"/>
      <c r="BF268" s="2011"/>
      <c r="BG268" s="2011"/>
    </row>
    <row r="269" spans="1:59">
      <c r="A269" s="2011"/>
      <c r="B269" s="2011"/>
      <c r="C269" s="2011"/>
      <c r="D269" s="2011"/>
      <c r="E269" s="2011"/>
      <c r="F269" s="2011"/>
      <c r="G269" s="2011"/>
      <c r="H269" s="2011"/>
      <c r="I269" s="2011"/>
      <c r="J269" s="2011"/>
      <c r="K269" s="2011"/>
      <c r="L269" s="2011"/>
      <c r="M269" s="2011"/>
      <c r="N269" s="2011"/>
      <c r="O269" s="2011"/>
      <c r="P269" s="2011"/>
      <c r="Q269" s="2011"/>
      <c r="R269" s="2011"/>
      <c r="S269" s="2011"/>
      <c r="T269" s="2011"/>
      <c r="U269" s="2011"/>
      <c r="V269" s="2011"/>
      <c r="W269" s="2011"/>
      <c r="X269" s="2011"/>
      <c r="Y269" s="2011"/>
      <c r="Z269" s="2011"/>
      <c r="AA269" s="2011"/>
      <c r="AB269" s="2011"/>
      <c r="AC269" s="2011"/>
      <c r="AD269" s="2011"/>
      <c r="AE269" s="2011"/>
      <c r="AF269" s="2011"/>
      <c r="AG269" s="2011"/>
      <c r="AH269" s="2011"/>
      <c r="AI269" s="2011"/>
      <c r="AJ269" s="2011"/>
      <c r="AK269" s="2011"/>
      <c r="AL269" s="2011"/>
      <c r="AM269" s="2011"/>
      <c r="AN269" s="2011"/>
      <c r="AO269" s="2011"/>
      <c r="AP269" s="2011"/>
      <c r="AQ269" s="2011"/>
      <c r="AR269" s="2011"/>
      <c r="AS269" s="2011"/>
      <c r="AT269" s="2011"/>
      <c r="AU269" s="2011"/>
      <c r="AV269" s="2011"/>
      <c r="AW269" s="2011"/>
      <c r="AX269" s="2011"/>
      <c r="AY269" s="2011"/>
      <c r="AZ269" s="2011"/>
      <c r="BA269" s="2011"/>
      <c r="BB269" s="2011"/>
      <c r="BC269" s="2011"/>
      <c r="BD269" s="2011"/>
      <c r="BE269" s="2011"/>
      <c r="BF269" s="2011"/>
      <c r="BG269" s="2011"/>
    </row>
    <row r="270" spans="1:59">
      <c r="A270" s="2011"/>
      <c r="B270" s="2011"/>
      <c r="C270" s="2011"/>
      <c r="D270" s="2011"/>
      <c r="E270" s="2011"/>
      <c r="F270" s="2011"/>
      <c r="G270" s="2011"/>
      <c r="H270" s="2011"/>
      <c r="I270" s="2011"/>
      <c r="J270" s="2011"/>
      <c r="K270" s="2011"/>
      <c r="L270" s="2011"/>
      <c r="M270" s="2011"/>
      <c r="N270" s="2011"/>
      <c r="O270" s="2011"/>
      <c r="P270" s="2011"/>
      <c r="Q270" s="2011"/>
      <c r="R270" s="2011"/>
      <c r="S270" s="2011"/>
      <c r="T270" s="2011"/>
      <c r="U270" s="2011"/>
      <c r="V270" s="2011"/>
      <c r="W270" s="2011"/>
      <c r="X270" s="2011"/>
      <c r="Y270" s="2011"/>
      <c r="Z270" s="2011"/>
      <c r="AA270" s="2011"/>
      <c r="AB270" s="2011"/>
      <c r="AC270" s="2011"/>
      <c r="AD270" s="2011"/>
      <c r="AE270" s="2011"/>
      <c r="AF270" s="2011"/>
      <c r="AG270" s="2011"/>
      <c r="AH270" s="2011"/>
      <c r="AI270" s="2011"/>
      <c r="AJ270" s="2011"/>
      <c r="AK270" s="2011"/>
      <c r="AL270" s="2011"/>
      <c r="AM270" s="2011"/>
      <c r="AN270" s="2011"/>
      <c r="AO270" s="2011"/>
      <c r="AP270" s="2011"/>
      <c r="AQ270" s="2011"/>
      <c r="AR270" s="2011"/>
      <c r="AS270" s="2011"/>
      <c r="AT270" s="2011"/>
      <c r="AU270" s="2011"/>
      <c r="AV270" s="2011"/>
      <c r="AW270" s="2011"/>
      <c r="AX270" s="2011"/>
      <c r="AY270" s="2011"/>
      <c r="AZ270" s="2011"/>
      <c r="BA270" s="2011"/>
      <c r="BB270" s="2011"/>
      <c r="BC270" s="2011"/>
      <c r="BD270" s="2011"/>
      <c r="BE270" s="2011"/>
      <c r="BF270" s="2011"/>
      <c r="BG270" s="2011"/>
    </row>
    <row r="271" spans="1:59">
      <c r="A271" s="2011"/>
      <c r="B271" s="2011"/>
      <c r="C271" s="2011"/>
      <c r="D271" s="2011"/>
      <c r="E271" s="2011"/>
      <c r="F271" s="2011"/>
      <c r="G271" s="2011"/>
      <c r="H271" s="2011"/>
      <c r="I271" s="2011"/>
      <c r="J271" s="2011"/>
      <c r="K271" s="2011"/>
      <c r="L271" s="2011"/>
      <c r="M271" s="2011"/>
      <c r="N271" s="2011"/>
      <c r="O271" s="2011"/>
      <c r="P271" s="2011"/>
      <c r="Q271" s="2011"/>
      <c r="R271" s="2011"/>
      <c r="S271" s="2011"/>
      <c r="T271" s="2011"/>
      <c r="U271" s="2011"/>
      <c r="V271" s="2011"/>
      <c r="W271" s="2011"/>
      <c r="X271" s="2011"/>
      <c r="Y271" s="2011"/>
      <c r="Z271" s="2011"/>
      <c r="AA271" s="2011"/>
      <c r="AB271" s="2011"/>
      <c r="AC271" s="2011"/>
      <c r="AD271" s="2011"/>
      <c r="AE271" s="2011"/>
      <c r="AF271" s="2011"/>
      <c r="AG271" s="2011"/>
      <c r="AH271" s="2011"/>
      <c r="AI271" s="2011"/>
      <c r="AJ271" s="2011"/>
      <c r="AK271" s="2011"/>
      <c r="AL271" s="2011"/>
      <c r="AM271" s="2011"/>
      <c r="AN271" s="2011"/>
      <c r="AO271" s="2011"/>
      <c r="AP271" s="2011"/>
      <c r="AQ271" s="2011"/>
      <c r="AR271" s="2011"/>
      <c r="AS271" s="2011"/>
      <c r="AT271" s="2011"/>
      <c r="AU271" s="2011"/>
      <c r="AV271" s="2011"/>
      <c r="AW271" s="2011"/>
      <c r="AX271" s="2011"/>
      <c r="AY271" s="2011"/>
      <c r="AZ271" s="2011"/>
      <c r="BA271" s="2011"/>
      <c r="BB271" s="2011"/>
      <c r="BC271" s="2011"/>
      <c r="BD271" s="2011"/>
      <c r="BE271" s="2011"/>
      <c r="BF271" s="2011"/>
      <c r="BG271" s="2011"/>
    </row>
    <row r="272" spans="1:59">
      <c r="A272" s="2011"/>
      <c r="B272" s="2011"/>
      <c r="C272" s="2011"/>
      <c r="D272" s="2011"/>
      <c r="E272" s="2011"/>
      <c r="F272" s="2011"/>
      <c r="G272" s="2011"/>
      <c r="H272" s="2011"/>
      <c r="I272" s="2011"/>
      <c r="J272" s="2011"/>
      <c r="K272" s="2011"/>
      <c r="L272" s="2011"/>
      <c r="M272" s="2011"/>
      <c r="N272" s="2011"/>
      <c r="O272" s="2011"/>
      <c r="P272" s="2011"/>
      <c r="Q272" s="2011"/>
      <c r="R272" s="2011"/>
      <c r="S272" s="2011"/>
      <c r="T272" s="2011"/>
      <c r="U272" s="2011"/>
      <c r="V272" s="2011"/>
      <c r="W272" s="2011"/>
      <c r="X272" s="2011"/>
      <c r="Y272" s="2011"/>
      <c r="Z272" s="2011"/>
      <c r="AA272" s="2011"/>
      <c r="AB272" s="2011"/>
      <c r="AC272" s="2011"/>
      <c r="AD272" s="2011"/>
      <c r="AE272" s="2011"/>
      <c r="AF272" s="2011"/>
      <c r="AG272" s="2011"/>
      <c r="AH272" s="2011"/>
      <c r="AI272" s="2011"/>
      <c r="AJ272" s="2011"/>
      <c r="AK272" s="2011"/>
      <c r="AL272" s="2011"/>
      <c r="AM272" s="2011"/>
      <c r="AN272" s="2011"/>
      <c r="AO272" s="2011"/>
      <c r="AP272" s="2011"/>
      <c r="AQ272" s="2011"/>
      <c r="AR272" s="2011"/>
      <c r="AS272" s="2011"/>
      <c r="AT272" s="2011"/>
      <c r="AU272" s="2011"/>
      <c r="AV272" s="2011"/>
      <c r="AW272" s="2011"/>
      <c r="AX272" s="2011"/>
      <c r="AY272" s="2011"/>
      <c r="AZ272" s="2011"/>
      <c r="BA272" s="2011"/>
      <c r="BB272" s="2011"/>
      <c r="BC272" s="2011"/>
      <c r="BD272" s="2011"/>
      <c r="BE272" s="2011"/>
      <c r="BF272" s="2011"/>
      <c r="BG272" s="2011"/>
    </row>
    <row r="273" spans="1:59">
      <c r="A273" s="2011"/>
      <c r="B273" s="2011"/>
      <c r="C273" s="2011"/>
      <c r="D273" s="2011"/>
      <c r="E273" s="2011"/>
      <c r="F273" s="2011"/>
      <c r="G273" s="2011"/>
      <c r="H273" s="2011"/>
      <c r="I273" s="2011"/>
      <c r="J273" s="2011"/>
      <c r="K273" s="2011"/>
      <c r="L273" s="2011"/>
      <c r="M273" s="2011"/>
      <c r="N273" s="2011"/>
      <c r="O273" s="2011"/>
      <c r="P273" s="2011"/>
      <c r="Q273" s="2011"/>
      <c r="R273" s="2011"/>
      <c r="S273" s="2011"/>
      <c r="T273" s="2011"/>
      <c r="U273" s="2011"/>
      <c r="V273" s="2011"/>
      <c r="W273" s="2011"/>
      <c r="X273" s="2011"/>
      <c r="Y273" s="2011"/>
      <c r="Z273" s="2011"/>
      <c r="AA273" s="2011"/>
      <c r="AB273" s="2011"/>
      <c r="AC273" s="2011"/>
      <c r="AD273" s="2011"/>
      <c r="AE273" s="2011"/>
      <c r="AF273" s="2011"/>
      <c r="AG273" s="2011"/>
      <c r="AH273" s="2011"/>
      <c r="AI273" s="2011"/>
      <c r="AJ273" s="2011"/>
      <c r="AK273" s="2011"/>
      <c r="AL273" s="2011"/>
      <c r="AM273" s="2011"/>
      <c r="AN273" s="2011"/>
      <c r="AO273" s="2011"/>
      <c r="AP273" s="2011"/>
      <c r="AQ273" s="2011"/>
      <c r="AR273" s="2011"/>
      <c r="AS273" s="2011"/>
      <c r="AT273" s="2011"/>
      <c r="AU273" s="2011"/>
      <c r="AV273" s="2011"/>
      <c r="AW273" s="2011"/>
      <c r="AX273" s="2011"/>
      <c r="AY273" s="2011"/>
      <c r="AZ273" s="2011"/>
      <c r="BA273" s="2011"/>
      <c r="BB273" s="2011"/>
      <c r="BC273" s="2011"/>
      <c r="BD273" s="2011"/>
      <c r="BE273" s="2011"/>
      <c r="BF273" s="2011"/>
      <c r="BG273" s="2011"/>
    </row>
    <row r="274" spans="1:59">
      <c r="A274" s="2011"/>
      <c r="B274" s="2011"/>
      <c r="C274" s="2011"/>
      <c r="D274" s="2011"/>
      <c r="E274" s="2011"/>
      <c r="F274" s="2011"/>
      <c r="G274" s="2011"/>
      <c r="H274" s="2011"/>
      <c r="I274" s="2011"/>
      <c r="J274" s="2011"/>
      <c r="K274" s="2011"/>
      <c r="L274" s="2011"/>
      <c r="M274" s="2011"/>
      <c r="N274" s="2011"/>
      <c r="O274" s="2011"/>
      <c r="P274" s="2011"/>
      <c r="Q274" s="2011"/>
      <c r="R274" s="2011"/>
      <c r="S274" s="2011"/>
      <c r="T274" s="2011"/>
      <c r="U274" s="2011"/>
      <c r="V274" s="2011"/>
      <c r="W274" s="2011"/>
      <c r="X274" s="2011"/>
      <c r="Y274" s="2011"/>
      <c r="Z274" s="2011"/>
      <c r="AA274" s="2011"/>
      <c r="AB274" s="2011"/>
      <c r="AC274" s="2011"/>
      <c r="AD274" s="2011"/>
      <c r="AE274" s="2011"/>
      <c r="AF274" s="2011"/>
      <c r="AG274" s="2011"/>
      <c r="AH274" s="2011"/>
      <c r="AI274" s="2011"/>
      <c r="AJ274" s="2011"/>
      <c r="AK274" s="2011"/>
      <c r="AL274" s="2011"/>
      <c r="AM274" s="2011"/>
      <c r="AN274" s="2011"/>
      <c r="AO274" s="2011"/>
      <c r="AP274" s="2011"/>
      <c r="AQ274" s="2011"/>
      <c r="AR274" s="2011"/>
      <c r="AS274" s="2011"/>
      <c r="AT274" s="2011"/>
      <c r="AU274" s="2011"/>
      <c r="AV274" s="2011"/>
      <c r="AW274" s="2011"/>
      <c r="AX274" s="2011"/>
      <c r="AY274" s="2011"/>
      <c r="AZ274" s="2011"/>
      <c r="BA274" s="2011"/>
      <c r="BB274" s="2011"/>
      <c r="BC274" s="2011"/>
      <c r="BD274" s="2011"/>
      <c r="BE274" s="2011"/>
      <c r="BF274" s="2011"/>
      <c r="BG274" s="2011"/>
    </row>
    <row r="275" spans="1:59">
      <c r="A275" s="2011"/>
      <c r="B275" s="2011"/>
      <c r="C275" s="2011"/>
      <c r="D275" s="2011"/>
      <c r="E275" s="2011"/>
      <c r="F275" s="2011"/>
      <c r="G275" s="2011"/>
      <c r="H275" s="2011"/>
      <c r="I275" s="2011"/>
      <c r="J275" s="2011"/>
      <c r="K275" s="2011"/>
      <c r="L275" s="2011"/>
      <c r="M275" s="2011"/>
      <c r="N275" s="2011"/>
      <c r="O275" s="2011"/>
      <c r="P275" s="2011"/>
      <c r="Q275" s="2011"/>
      <c r="R275" s="2011"/>
      <c r="S275" s="2011"/>
      <c r="T275" s="2011"/>
      <c r="U275" s="2011"/>
      <c r="V275" s="2011"/>
      <c r="W275" s="2011"/>
      <c r="X275" s="2011"/>
      <c r="Y275" s="2011"/>
      <c r="Z275" s="2011"/>
      <c r="AA275" s="2011"/>
      <c r="AB275" s="2011"/>
      <c r="AC275" s="2011"/>
      <c r="AD275" s="2011"/>
      <c r="AE275" s="2011"/>
      <c r="AF275" s="2011"/>
      <c r="AG275" s="2011"/>
      <c r="AH275" s="2011"/>
      <c r="AI275" s="2011"/>
      <c r="AJ275" s="2011"/>
      <c r="AK275" s="2011"/>
      <c r="AL275" s="2011"/>
      <c r="AM275" s="2011"/>
      <c r="AN275" s="2011"/>
      <c r="AO275" s="2011"/>
      <c r="AP275" s="2011"/>
      <c r="AQ275" s="2011"/>
      <c r="AR275" s="2011"/>
      <c r="AS275" s="2011"/>
      <c r="AT275" s="2011"/>
      <c r="AU275" s="2011"/>
      <c r="AV275" s="2011"/>
      <c r="AW275" s="2011"/>
      <c r="AX275" s="2011"/>
      <c r="AY275" s="2011"/>
      <c r="AZ275" s="2011"/>
      <c r="BA275" s="2011"/>
      <c r="BB275" s="2011"/>
      <c r="BC275" s="2011"/>
      <c r="BD275" s="2011"/>
      <c r="BE275" s="2011"/>
      <c r="BF275" s="2011"/>
      <c r="BG275" s="2011"/>
    </row>
    <row r="276" spans="1:59">
      <c r="A276" s="2011"/>
      <c r="B276" s="2011"/>
      <c r="C276" s="2011"/>
      <c r="D276" s="2011"/>
      <c r="E276" s="2011"/>
      <c r="F276" s="2011"/>
      <c r="G276" s="2011"/>
      <c r="H276" s="2011"/>
      <c r="I276" s="2011"/>
      <c r="J276" s="2011"/>
      <c r="K276" s="2011"/>
      <c r="L276" s="2011"/>
      <c r="M276" s="2011"/>
      <c r="N276" s="2011"/>
      <c r="O276" s="2011"/>
      <c r="P276" s="2011"/>
      <c r="Q276" s="2011"/>
      <c r="R276" s="2011"/>
      <c r="S276" s="2011"/>
      <c r="T276" s="2011"/>
      <c r="U276" s="2011"/>
      <c r="V276" s="2011"/>
      <c r="W276" s="2011"/>
      <c r="X276" s="2011"/>
      <c r="Y276" s="2011"/>
      <c r="Z276" s="2011"/>
      <c r="AA276" s="2011"/>
      <c r="AB276" s="2011"/>
      <c r="AC276" s="2011"/>
      <c r="AD276" s="2011"/>
      <c r="AE276" s="2011"/>
      <c r="AF276" s="2011"/>
      <c r="AG276" s="2011"/>
      <c r="AH276" s="2011"/>
      <c r="AI276" s="2011"/>
      <c r="AJ276" s="2011"/>
      <c r="AK276" s="2011"/>
      <c r="AL276" s="2011"/>
      <c r="AM276" s="2011"/>
      <c r="AN276" s="2011"/>
      <c r="AO276" s="2011"/>
      <c r="AP276" s="2011"/>
      <c r="AQ276" s="2011"/>
      <c r="AR276" s="2011"/>
      <c r="AS276" s="2011"/>
      <c r="AT276" s="2011"/>
      <c r="AU276" s="2011"/>
      <c r="AV276" s="2011"/>
      <c r="AW276" s="2011"/>
      <c r="AX276" s="2011"/>
      <c r="AY276" s="2011"/>
      <c r="AZ276" s="2011"/>
      <c r="BA276" s="2011"/>
      <c r="BB276" s="2011"/>
      <c r="BC276" s="2011"/>
      <c r="BD276" s="2011"/>
      <c r="BE276" s="2011"/>
      <c r="BF276" s="2011"/>
      <c r="BG276" s="2011"/>
    </row>
    <row r="277" spans="1:59">
      <c r="A277" s="2011"/>
      <c r="B277" s="2011"/>
      <c r="C277" s="2011"/>
      <c r="D277" s="2011"/>
      <c r="E277" s="2011"/>
      <c r="F277" s="2011"/>
      <c r="G277" s="2011"/>
      <c r="H277" s="2011"/>
      <c r="I277" s="2011"/>
      <c r="J277" s="2011"/>
      <c r="K277" s="2011"/>
      <c r="L277" s="2011"/>
      <c r="M277" s="2011"/>
      <c r="N277" s="2011"/>
      <c r="O277" s="2011"/>
      <c r="P277" s="2011"/>
      <c r="Q277" s="2011"/>
      <c r="R277" s="2011"/>
      <c r="S277" s="2011"/>
      <c r="T277" s="2011"/>
      <c r="U277" s="2011"/>
      <c r="V277" s="2011"/>
      <c r="W277" s="2011"/>
      <c r="X277" s="2011"/>
      <c r="Y277" s="2011"/>
      <c r="Z277" s="2011"/>
      <c r="AA277" s="2011"/>
      <c r="AB277" s="2011"/>
      <c r="AC277" s="2011"/>
      <c r="AD277" s="2011"/>
      <c r="AE277" s="2011"/>
      <c r="AF277" s="2011"/>
      <c r="AG277" s="2011"/>
      <c r="AH277" s="2011"/>
      <c r="AI277" s="2011"/>
      <c r="AJ277" s="2011"/>
      <c r="AK277" s="2011"/>
      <c r="AL277" s="2011"/>
      <c r="AM277" s="2011"/>
      <c r="AN277" s="2011"/>
      <c r="AO277" s="2011"/>
      <c r="AP277" s="2011"/>
      <c r="AQ277" s="2011"/>
      <c r="AR277" s="2011"/>
      <c r="AS277" s="2011"/>
      <c r="AT277" s="2011"/>
      <c r="AU277" s="2011"/>
      <c r="AV277" s="2011"/>
      <c r="AW277" s="2011"/>
      <c r="AX277" s="2011"/>
      <c r="AY277" s="2011"/>
      <c r="AZ277" s="2011"/>
      <c r="BA277" s="2011"/>
      <c r="BB277" s="2011"/>
      <c r="BC277" s="2011"/>
      <c r="BD277" s="2011"/>
      <c r="BE277" s="2011"/>
      <c r="BF277" s="2011"/>
      <c r="BG277" s="2011"/>
    </row>
    <row r="278" spans="1:59">
      <c r="A278" s="2011"/>
      <c r="B278" s="2011"/>
      <c r="C278" s="2011"/>
      <c r="D278" s="2011"/>
      <c r="E278" s="2011"/>
      <c r="F278" s="2011"/>
      <c r="G278" s="2011"/>
      <c r="H278" s="2011"/>
      <c r="I278" s="2011"/>
      <c r="J278" s="2011"/>
      <c r="K278" s="2011"/>
      <c r="L278" s="2011"/>
      <c r="M278" s="2011"/>
      <c r="N278" s="2011"/>
      <c r="O278" s="2011"/>
      <c r="P278" s="2011"/>
      <c r="Q278" s="2011"/>
      <c r="R278" s="2011"/>
      <c r="S278" s="2011"/>
      <c r="T278" s="2011"/>
      <c r="U278" s="2011"/>
      <c r="V278" s="2011"/>
      <c r="W278" s="2011"/>
      <c r="X278" s="2011"/>
      <c r="Y278" s="2011"/>
      <c r="Z278" s="2011"/>
      <c r="AA278" s="2011"/>
      <c r="AB278" s="2011"/>
      <c r="AC278" s="2011"/>
      <c r="AD278" s="2011"/>
      <c r="AE278" s="2011"/>
      <c r="AF278" s="2011"/>
      <c r="AG278" s="2011"/>
      <c r="AH278" s="2011"/>
      <c r="AI278" s="2011"/>
      <c r="AJ278" s="2011"/>
      <c r="AK278" s="2011"/>
      <c r="AL278" s="2011"/>
      <c r="AM278" s="2011"/>
      <c r="AN278" s="2011"/>
      <c r="AO278" s="2011"/>
      <c r="AP278" s="2011"/>
      <c r="AQ278" s="2011"/>
      <c r="AR278" s="2011"/>
      <c r="AS278" s="2011"/>
      <c r="AT278" s="2011"/>
      <c r="AU278" s="2011"/>
      <c r="AV278" s="2011"/>
      <c r="AW278" s="2011"/>
      <c r="AX278" s="2011"/>
      <c r="AY278" s="2011"/>
      <c r="AZ278" s="2011"/>
      <c r="BA278" s="2011"/>
      <c r="BB278" s="2011"/>
      <c r="BC278" s="2011"/>
      <c r="BD278" s="2011"/>
      <c r="BE278" s="2011"/>
      <c r="BF278" s="2011"/>
      <c r="BG278" s="2011"/>
    </row>
    <row r="279" spans="1:59">
      <c r="A279" s="2011"/>
      <c r="B279" s="2011"/>
      <c r="C279" s="2011"/>
      <c r="D279" s="2011"/>
      <c r="E279" s="2011"/>
      <c r="F279" s="2011"/>
      <c r="G279" s="2011"/>
      <c r="H279" s="2011"/>
      <c r="I279" s="2011"/>
      <c r="J279" s="2011"/>
      <c r="K279" s="2011"/>
      <c r="L279" s="2011"/>
      <c r="M279" s="2011"/>
      <c r="N279" s="2011"/>
      <c r="O279" s="2011"/>
      <c r="P279" s="2011"/>
      <c r="Q279" s="2011"/>
      <c r="R279" s="2011"/>
      <c r="S279" s="2011"/>
      <c r="T279" s="2011"/>
      <c r="U279" s="2011"/>
      <c r="V279" s="2011"/>
      <c r="W279" s="2011"/>
      <c r="X279" s="2011"/>
      <c r="Y279" s="2011"/>
      <c r="Z279" s="2011"/>
      <c r="AA279" s="2011"/>
      <c r="AB279" s="2011"/>
      <c r="AC279" s="2011"/>
      <c r="AD279" s="2011"/>
      <c r="AE279" s="2011"/>
      <c r="AF279" s="2011"/>
      <c r="AG279" s="2011"/>
      <c r="AH279" s="2011"/>
      <c r="AI279" s="2011"/>
      <c r="AJ279" s="2011"/>
      <c r="AK279" s="2011"/>
      <c r="AL279" s="2011"/>
      <c r="AM279" s="2011"/>
      <c r="AN279" s="2011"/>
      <c r="AO279" s="2011"/>
      <c r="AP279" s="2011"/>
      <c r="AQ279" s="2011"/>
      <c r="AR279" s="2011"/>
      <c r="AS279" s="2011"/>
      <c r="AT279" s="2011"/>
      <c r="AU279" s="2011"/>
      <c r="AV279" s="2011"/>
      <c r="AW279" s="2011"/>
      <c r="AX279" s="2011"/>
      <c r="AY279" s="2011"/>
      <c r="AZ279" s="2011"/>
      <c r="BA279" s="2011"/>
      <c r="BB279" s="2011"/>
      <c r="BC279" s="2011"/>
      <c r="BD279" s="2011"/>
      <c r="BE279" s="2011"/>
      <c r="BF279" s="2011"/>
      <c r="BG279" s="2011"/>
    </row>
    <row r="280" spans="1:59">
      <c r="A280" s="2011"/>
      <c r="B280" s="2011"/>
      <c r="C280" s="2011"/>
      <c r="D280" s="2011"/>
      <c r="E280" s="2011"/>
      <c r="F280" s="2011"/>
      <c r="G280" s="2011"/>
      <c r="H280" s="2011"/>
      <c r="I280" s="2011"/>
      <c r="J280" s="2011"/>
      <c r="K280" s="2011"/>
      <c r="L280" s="2011"/>
      <c r="M280" s="2011"/>
      <c r="N280" s="2011"/>
      <c r="O280" s="2011"/>
      <c r="P280" s="2011"/>
      <c r="Q280" s="2011"/>
      <c r="R280" s="2011"/>
      <c r="S280" s="2011"/>
      <c r="T280" s="2011"/>
      <c r="U280" s="2011"/>
      <c r="V280" s="2011"/>
      <c r="W280" s="2011"/>
      <c r="X280" s="2011"/>
      <c r="Y280" s="2011"/>
      <c r="Z280" s="2011"/>
      <c r="AA280" s="2011"/>
      <c r="AB280" s="2011"/>
      <c r="AC280" s="2011"/>
      <c r="AD280" s="2011"/>
      <c r="AE280" s="2011"/>
      <c r="AF280" s="2011"/>
      <c r="AG280" s="2011"/>
      <c r="AH280" s="2011"/>
      <c r="AI280" s="2011"/>
      <c r="AJ280" s="2011"/>
      <c r="AK280" s="2011"/>
      <c r="AL280" s="2011"/>
      <c r="AM280" s="2011"/>
      <c r="AN280" s="2011"/>
      <c r="AO280" s="2011"/>
      <c r="AP280" s="2011"/>
      <c r="AQ280" s="2011"/>
      <c r="AR280" s="2011"/>
      <c r="AS280" s="2011"/>
      <c r="AT280" s="2011"/>
      <c r="AU280" s="2011"/>
      <c r="AV280" s="2011"/>
      <c r="AW280" s="2011"/>
      <c r="AX280" s="2011"/>
      <c r="AY280" s="2011"/>
      <c r="AZ280" s="2011"/>
      <c r="BA280" s="2011"/>
      <c r="BB280" s="2011"/>
      <c r="BC280" s="2011"/>
      <c r="BD280" s="2011"/>
      <c r="BE280" s="2011"/>
      <c r="BF280" s="2011"/>
      <c r="BG280" s="2011"/>
    </row>
    <row r="281" spans="1:59">
      <c r="A281" s="2011"/>
      <c r="B281" s="2011"/>
      <c r="C281" s="2011"/>
      <c r="D281" s="2011"/>
      <c r="E281" s="2011"/>
      <c r="F281" s="2011"/>
      <c r="G281" s="2011"/>
      <c r="H281" s="2011"/>
      <c r="I281" s="2011"/>
      <c r="J281" s="2011"/>
      <c r="K281" s="2011"/>
      <c r="L281" s="2011"/>
      <c r="M281" s="2011"/>
      <c r="N281" s="2011"/>
      <c r="O281" s="2011"/>
      <c r="P281" s="2011"/>
      <c r="Q281" s="2011"/>
      <c r="R281" s="2011"/>
      <c r="S281" s="2011"/>
      <c r="T281" s="2011"/>
      <c r="U281" s="2011"/>
      <c r="V281" s="2011"/>
      <c r="W281" s="2011"/>
      <c r="X281" s="2011"/>
      <c r="Y281" s="2011"/>
      <c r="Z281" s="2011"/>
      <c r="AA281" s="2011"/>
      <c r="AB281" s="2011"/>
      <c r="AC281" s="2011"/>
      <c r="AD281" s="2011"/>
      <c r="AE281" s="2011"/>
      <c r="AF281" s="2011"/>
      <c r="AG281" s="2011"/>
      <c r="AH281" s="2011"/>
      <c r="AI281" s="2011"/>
      <c r="AJ281" s="2011"/>
      <c r="AK281" s="2011"/>
      <c r="AL281" s="2011"/>
      <c r="AM281" s="2011"/>
      <c r="AN281" s="2011"/>
      <c r="AO281" s="2011"/>
      <c r="AP281" s="2011"/>
      <c r="AQ281" s="2011"/>
      <c r="AR281" s="2011"/>
      <c r="AS281" s="2011"/>
      <c r="AT281" s="2011"/>
      <c r="AU281" s="2011"/>
      <c r="AV281" s="2011"/>
      <c r="AW281" s="2011"/>
      <c r="AX281" s="2011"/>
      <c r="AY281" s="2011"/>
      <c r="AZ281" s="2011"/>
      <c r="BA281" s="2011"/>
      <c r="BB281" s="2011"/>
      <c r="BC281" s="2011"/>
      <c r="BD281" s="2011"/>
      <c r="BE281" s="2011"/>
      <c r="BF281" s="2011"/>
      <c r="BG281" s="2011"/>
    </row>
    <row r="282" spans="1:59">
      <c r="A282" s="2011"/>
      <c r="B282" s="2011"/>
      <c r="C282" s="2011"/>
      <c r="D282" s="2011"/>
      <c r="E282" s="2011"/>
      <c r="F282" s="2011"/>
      <c r="G282" s="2011"/>
      <c r="H282" s="2011"/>
      <c r="I282" s="2011"/>
      <c r="J282" s="2011"/>
      <c r="K282" s="2011"/>
      <c r="L282" s="2011"/>
      <c r="M282" s="2011"/>
      <c r="N282" s="2011"/>
      <c r="O282" s="2011"/>
      <c r="P282" s="2011"/>
      <c r="Q282" s="2011"/>
      <c r="R282" s="2011"/>
      <c r="S282" s="2011"/>
      <c r="T282" s="2011"/>
      <c r="U282" s="2011"/>
      <c r="V282" s="2011"/>
      <c r="W282" s="2011"/>
      <c r="X282" s="2011"/>
      <c r="Y282" s="2011"/>
      <c r="Z282" s="2011"/>
      <c r="AA282" s="2011"/>
      <c r="AB282" s="2011"/>
      <c r="AC282" s="2011"/>
      <c r="AD282" s="2011"/>
      <c r="AE282" s="2011"/>
      <c r="AF282" s="2011"/>
      <c r="AG282" s="2011"/>
      <c r="AH282" s="2011"/>
      <c r="AI282" s="2011"/>
      <c r="AJ282" s="2011"/>
      <c r="AK282" s="2011"/>
      <c r="AL282" s="2011"/>
      <c r="AM282" s="2011"/>
      <c r="AN282" s="2011"/>
      <c r="AO282" s="2011"/>
      <c r="AP282" s="2011"/>
      <c r="AQ282" s="2011"/>
      <c r="AR282" s="2011"/>
      <c r="AS282" s="2011"/>
      <c r="AT282" s="2011"/>
      <c r="AU282" s="2011"/>
      <c r="AV282" s="2011"/>
      <c r="AW282" s="2011"/>
      <c r="AX282" s="2011"/>
      <c r="AY282" s="2011"/>
      <c r="AZ282" s="2011"/>
      <c r="BA282" s="2011"/>
      <c r="BB282" s="2011"/>
      <c r="BC282" s="2011"/>
      <c r="BD282" s="2011"/>
      <c r="BE282" s="2011"/>
      <c r="BF282" s="2011"/>
      <c r="BG282" s="2011"/>
    </row>
    <row r="283" spans="1:59">
      <c r="A283" s="2011"/>
      <c r="B283" s="2011"/>
      <c r="C283" s="2011"/>
      <c r="D283" s="2011"/>
      <c r="E283" s="2011"/>
      <c r="F283" s="2011"/>
      <c r="G283" s="2011"/>
      <c r="H283" s="2011"/>
      <c r="I283" s="2011"/>
      <c r="J283" s="2011"/>
      <c r="K283" s="2011"/>
      <c r="L283" s="2011"/>
      <c r="M283" s="2011"/>
      <c r="N283" s="2011"/>
      <c r="O283" s="2011"/>
      <c r="P283" s="2011"/>
      <c r="Q283" s="2011"/>
      <c r="R283" s="2011"/>
      <c r="S283" s="2011"/>
      <c r="T283" s="2011"/>
      <c r="U283" s="2011"/>
      <c r="V283" s="2011"/>
      <c r="W283" s="2011"/>
      <c r="X283" s="2011"/>
      <c r="Y283" s="2011"/>
      <c r="Z283" s="2011"/>
      <c r="AA283" s="2011"/>
      <c r="AB283" s="2011"/>
      <c r="AC283" s="2011"/>
      <c r="AD283" s="2011"/>
      <c r="AE283" s="2011"/>
      <c r="AF283" s="2011"/>
      <c r="AG283" s="2011"/>
      <c r="AH283" s="2011"/>
      <c r="AI283" s="2011"/>
      <c r="AJ283" s="2011"/>
      <c r="AK283" s="2011"/>
      <c r="AL283" s="2011"/>
      <c r="AM283" s="2011"/>
      <c r="AN283" s="2011"/>
      <c r="AO283" s="2011"/>
      <c r="AP283" s="2011"/>
      <c r="AQ283" s="2011"/>
      <c r="AR283" s="2011"/>
      <c r="AS283" s="2011"/>
      <c r="AT283" s="2011"/>
      <c r="AU283" s="2011"/>
      <c r="AV283" s="2011"/>
      <c r="AW283" s="2011"/>
      <c r="AX283" s="2011"/>
      <c r="AY283" s="2011"/>
      <c r="AZ283" s="2011"/>
      <c r="BA283" s="2011"/>
      <c r="BB283" s="2011"/>
      <c r="BC283" s="2011"/>
      <c r="BD283" s="2011"/>
      <c r="BE283" s="2011"/>
      <c r="BF283" s="2011"/>
      <c r="BG283" s="2011"/>
    </row>
    <row r="284" spans="1:59">
      <c r="A284" s="2011"/>
      <c r="B284" s="2011"/>
      <c r="C284" s="2011"/>
      <c r="D284" s="2011"/>
      <c r="E284" s="2011"/>
      <c r="F284" s="2011"/>
      <c r="G284" s="2011"/>
      <c r="H284" s="2011"/>
      <c r="I284" s="2011"/>
      <c r="J284" s="2011"/>
      <c r="K284" s="2011"/>
      <c r="L284" s="2011"/>
      <c r="M284" s="2011"/>
      <c r="N284" s="2011"/>
      <c r="O284" s="2011"/>
      <c r="P284" s="2011"/>
      <c r="Q284" s="2011"/>
      <c r="R284" s="2011"/>
      <c r="S284" s="2011"/>
      <c r="T284" s="2011"/>
      <c r="U284" s="2011"/>
      <c r="V284" s="2011"/>
      <c r="W284" s="2011"/>
      <c r="X284" s="2011"/>
      <c r="Y284" s="2011"/>
      <c r="Z284" s="2011"/>
      <c r="AA284" s="2011"/>
      <c r="AB284" s="2011"/>
      <c r="AC284" s="2011"/>
      <c r="AD284" s="2011"/>
      <c r="AE284" s="2011"/>
      <c r="AF284" s="2011"/>
      <c r="AG284" s="2011"/>
      <c r="AH284" s="2011"/>
      <c r="AI284" s="2011"/>
      <c r="AJ284" s="2011"/>
      <c r="AK284" s="2011"/>
      <c r="AL284" s="2011"/>
      <c r="AM284" s="2011"/>
      <c r="AN284" s="2011"/>
      <c r="AO284" s="2011"/>
      <c r="AP284" s="2011"/>
      <c r="AQ284" s="2011"/>
      <c r="AR284" s="2011"/>
      <c r="AS284" s="2011"/>
      <c r="AT284" s="2011"/>
      <c r="AU284" s="2011"/>
      <c r="AV284" s="2011"/>
      <c r="AW284" s="2011"/>
      <c r="AX284" s="2011"/>
      <c r="AY284" s="2011"/>
      <c r="AZ284" s="2011"/>
      <c r="BA284" s="2011"/>
      <c r="BB284" s="2011"/>
      <c r="BC284" s="2011"/>
      <c r="BD284" s="2011"/>
      <c r="BE284" s="2011"/>
      <c r="BF284" s="2011"/>
      <c r="BG284" s="2011"/>
    </row>
    <row r="285" spans="1:59">
      <c r="A285" s="2011"/>
      <c r="B285" s="2011"/>
      <c r="C285" s="2011"/>
      <c r="D285" s="2011"/>
      <c r="E285" s="2011"/>
      <c r="F285" s="2011"/>
      <c r="G285" s="2011"/>
      <c r="H285" s="2011"/>
      <c r="I285" s="2011"/>
      <c r="J285" s="2011"/>
      <c r="K285" s="2011"/>
      <c r="L285" s="2011"/>
      <c r="M285" s="2011"/>
      <c r="N285" s="2011"/>
      <c r="O285" s="2011"/>
      <c r="P285" s="2011"/>
      <c r="Q285" s="2011"/>
      <c r="R285" s="2011"/>
      <c r="S285" s="2011"/>
      <c r="T285" s="2011"/>
      <c r="U285" s="2011"/>
      <c r="V285" s="2011"/>
      <c r="W285" s="2011"/>
      <c r="X285" s="2011"/>
      <c r="Y285" s="2011"/>
      <c r="Z285" s="2011"/>
      <c r="AA285" s="2011"/>
      <c r="AB285" s="2011"/>
      <c r="AC285" s="2011"/>
      <c r="AD285" s="2011"/>
      <c r="AE285" s="2011"/>
      <c r="AF285" s="2011"/>
      <c r="AG285" s="2011"/>
      <c r="AH285" s="2011"/>
      <c r="AI285" s="2011"/>
      <c r="AJ285" s="2011"/>
      <c r="AK285" s="2011"/>
      <c r="AL285" s="2011"/>
      <c r="AM285" s="2011"/>
      <c r="AN285" s="2011"/>
      <c r="AO285" s="2011"/>
      <c r="AP285" s="2011"/>
      <c r="AQ285" s="2011"/>
      <c r="AR285" s="2011"/>
      <c r="AS285" s="2011"/>
      <c r="AT285" s="2011"/>
      <c r="AU285" s="2011"/>
      <c r="AV285" s="2011"/>
      <c r="AW285" s="2011"/>
      <c r="AX285" s="2011"/>
      <c r="AY285" s="2011"/>
      <c r="AZ285" s="2011"/>
      <c r="BA285" s="2011"/>
      <c r="BB285" s="2011"/>
      <c r="BC285" s="2011"/>
      <c r="BD285" s="2011"/>
      <c r="BE285" s="2011"/>
      <c r="BF285" s="2011"/>
      <c r="BG285" s="2011"/>
    </row>
    <row r="286" spans="1:59">
      <c r="A286" s="2011"/>
      <c r="B286" s="2011"/>
      <c r="C286" s="2011"/>
      <c r="D286" s="2011"/>
      <c r="E286" s="2011"/>
      <c r="F286" s="2011"/>
      <c r="G286" s="2011"/>
      <c r="H286" s="2011"/>
      <c r="I286" s="2011"/>
      <c r="J286" s="2011"/>
      <c r="K286" s="2011"/>
      <c r="L286" s="2011"/>
      <c r="M286" s="2011"/>
      <c r="N286" s="2011"/>
      <c r="O286" s="2011"/>
      <c r="P286" s="2011"/>
      <c r="Q286" s="2011"/>
      <c r="R286" s="2011"/>
      <c r="S286" s="2011"/>
      <c r="T286" s="2011"/>
      <c r="U286" s="2011"/>
      <c r="V286" s="2011"/>
      <c r="W286" s="2011"/>
      <c r="X286" s="2011"/>
      <c r="Y286" s="2011"/>
      <c r="Z286" s="2011"/>
      <c r="AA286" s="2011"/>
      <c r="AB286" s="2011"/>
      <c r="AC286" s="2011"/>
      <c r="AD286" s="2011"/>
      <c r="AE286" s="2011"/>
      <c r="AF286" s="2011"/>
      <c r="AG286" s="2011"/>
      <c r="AH286" s="2011"/>
      <c r="AI286" s="2011"/>
      <c r="AJ286" s="2011"/>
      <c r="AK286" s="2011"/>
      <c r="AL286" s="2011"/>
      <c r="AM286" s="2011"/>
      <c r="AN286" s="2011"/>
      <c r="AO286" s="2011"/>
      <c r="AP286" s="2011"/>
      <c r="AQ286" s="2011"/>
      <c r="AR286" s="2011"/>
      <c r="AS286" s="2011"/>
      <c r="AT286" s="2011"/>
      <c r="AU286" s="2011"/>
      <c r="AV286" s="2011"/>
      <c r="AW286" s="2011"/>
      <c r="AX286" s="2011"/>
      <c r="AY286" s="2011"/>
      <c r="AZ286" s="2011"/>
      <c r="BA286" s="2011"/>
      <c r="BB286" s="2011"/>
      <c r="BC286" s="2011"/>
      <c r="BD286" s="2011"/>
      <c r="BE286" s="2011"/>
      <c r="BF286" s="2011"/>
      <c r="BG286" s="2011"/>
    </row>
    <row r="287" spans="1:59">
      <c r="A287" s="2011"/>
      <c r="B287" s="2011"/>
      <c r="C287" s="2011"/>
      <c r="D287" s="2011"/>
      <c r="E287" s="2011"/>
      <c r="F287" s="2011"/>
      <c r="G287" s="2011"/>
      <c r="H287" s="2011"/>
      <c r="I287" s="2011"/>
      <c r="J287" s="2011"/>
      <c r="K287" s="2011"/>
      <c r="L287" s="2011"/>
      <c r="M287" s="2011"/>
      <c r="N287" s="2011"/>
      <c r="O287" s="2011"/>
      <c r="P287" s="2011"/>
      <c r="Q287" s="2011"/>
      <c r="R287" s="2011"/>
      <c r="S287" s="2011"/>
      <c r="T287" s="2011"/>
      <c r="U287" s="2011"/>
      <c r="V287" s="2011"/>
      <c r="W287" s="2011"/>
      <c r="X287" s="2011"/>
      <c r="Y287" s="2011"/>
      <c r="Z287" s="2011"/>
      <c r="AA287" s="2011"/>
      <c r="AB287" s="2011"/>
      <c r="AC287" s="2011"/>
      <c r="AD287" s="2011"/>
      <c r="AE287" s="2011"/>
      <c r="AF287" s="2011"/>
      <c r="AG287" s="2011"/>
      <c r="AH287" s="2011"/>
      <c r="AI287" s="2011"/>
      <c r="AJ287" s="2011"/>
      <c r="AK287" s="2011"/>
      <c r="AL287" s="2011"/>
      <c r="AM287" s="2011"/>
      <c r="AN287" s="2011"/>
      <c r="AO287" s="2011"/>
      <c r="AP287" s="2011"/>
      <c r="AQ287" s="2011"/>
      <c r="AR287" s="2011"/>
      <c r="AS287" s="2011"/>
      <c r="AT287" s="2011"/>
      <c r="AU287" s="2011"/>
      <c r="AV287" s="2011"/>
      <c r="AW287" s="2011"/>
      <c r="AX287" s="2011"/>
      <c r="AY287" s="2011"/>
      <c r="AZ287" s="2011"/>
      <c r="BA287" s="2011"/>
      <c r="BB287" s="2011"/>
      <c r="BC287" s="2011"/>
      <c r="BD287" s="2011"/>
      <c r="BE287" s="2011"/>
      <c r="BF287" s="2011"/>
      <c r="BG287" s="2011"/>
    </row>
    <row r="288" spans="1:59">
      <c r="A288" s="2011"/>
      <c r="B288" s="2011"/>
      <c r="C288" s="2011"/>
      <c r="D288" s="2011"/>
      <c r="E288" s="2011"/>
      <c r="F288" s="2011"/>
      <c r="G288" s="2011"/>
      <c r="H288" s="2011"/>
      <c r="I288" s="2011"/>
      <c r="J288" s="2011"/>
      <c r="K288" s="2011"/>
      <c r="L288" s="2011"/>
      <c r="M288" s="2011"/>
      <c r="N288" s="2011"/>
      <c r="O288" s="2011"/>
      <c r="P288" s="2011"/>
      <c r="Q288" s="2011"/>
      <c r="R288" s="2011"/>
      <c r="S288" s="2011"/>
      <c r="T288" s="2011"/>
      <c r="U288" s="2011"/>
      <c r="V288" s="2011"/>
      <c r="W288" s="2011"/>
      <c r="X288" s="2011"/>
      <c r="Y288" s="2011"/>
      <c r="Z288" s="2011"/>
      <c r="AA288" s="2011"/>
      <c r="AB288" s="2011"/>
      <c r="AC288" s="2011"/>
      <c r="AD288" s="2011"/>
      <c r="AE288" s="2011"/>
      <c r="AF288" s="2011"/>
      <c r="AG288" s="2011"/>
      <c r="AH288" s="2011"/>
      <c r="AI288" s="2011"/>
      <c r="AJ288" s="2011"/>
      <c r="AK288" s="2011"/>
      <c r="AL288" s="2011"/>
      <c r="AM288" s="2011"/>
      <c r="AN288" s="2011"/>
      <c r="AO288" s="2011"/>
      <c r="AP288" s="2011"/>
      <c r="AQ288" s="2011"/>
      <c r="AR288" s="2011"/>
      <c r="AS288" s="2011"/>
      <c r="AT288" s="2011"/>
      <c r="AU288" s="2011"/>
      <c r="AV288" s="2011"/>
      <c r="AW288" s="2011"/>
      <c r="AX288" s="2011"/>
      <c r="AY288" s="2011"/>
      <c r="AZ288" s="2011"/>
      <c r="BA288" s="2011"/>
      <c r="BB288" s="2011"/>
      <c r="BC288" s="2011"/>
      <c r="BD288" s="2011"/>
      <c r="BE288" s="2011"/>
      <c r="BF288" s="2011"/>
      <c r="BG288" s="2011"/>
    </row>
    <row r="289" spans="1:59">
      <c r="A289" s="2011"/>
      <c r="B289" s="2011"/>
      <c r="C289" s="2011"/>
      <c r="D289" s="2011"/>
      <c r="E289" s="2011"/>
      <c r="F289" s="2011"/>
      <c r="G289" s="2011"/>
      <c r="H289" s="2011"/>
      <c r="I289" s="2011"/>
      <c r="J289" s="2011"/>
      <c r="K289" s="2011"/>
      <c r="L289" s="2011"/>
      <c r="M289" s="2011"/>
      <c r="N289" s="2011"/>
      <c r="O289" s="2011"/>
      <c r="P289" s="2011"/>
      <c r="Q289" s="2011"/>
      <c r="R289" s="2011"/>
      <c r="S289" s="2011"/>
      <c r="T289" s="2011"/>
      <c r="U289" s="2011"/>
      <c r="V289" s="2011"/>
      <c r="W289" s="2011"/>
      <c r="X289" s="2011"/>
      <c r="Y289" s="2011"/>
      <c r="Z289" s="2011"/>
      <c r="AA289" s="2011"/>
      <c r="AB289" s="2011"/>
      <c r="AC289" s="2011"/>
      <c r="AD289" s="2011"/>
      <c r="AE289" s="2011"/>
      <c r="AF289" s="2011"/>
      <c r="AG289" s="2011"/>
      <c r="AH289" s="2011"/>
      <c r="AI289" s="2011"/>
      <c r="AJ289" s="2011"/>
      <c r="AK289" s="2011"/>
      <c r="AL289" s="2011"/>
      <c r="AM289" s="2011"/>
      <c r="AN289" s="2011"/>
      <c r="AO289" s="2011"/>
      <c r="AP289" s="2011"/>
      <c r="AQ289" s="2011"/>
      <c r="AR289" s="2011"/>
      <c r="AS289" s="2011"/>
      <c r="AT289" s="2011"/>
      <c r="AU289" s="2011"/>
      <c r="AV289" s="2011"/>
      <c r="AW289" s="2011"/>
      <c r="AX289" s="2011"/>
      <c r="AY289" s="2011"/>
      <c r="AZ289" s="2011"/>
      <c r="BA289" s="2011"/>
      <c r="BB289" s="2011"/>
      <c r="BC289" s="2011"/>
      <c r="BD289" s="2011"/>
      <c r="BE289" s="2011"/>
      <c r="BF289" s="2011"/>
      <c r="BG289" s="2011"/>
    </row>
    <row r="290" spans="1:59">
      <c r="A290" s="2011"/>
      <c r="B290" s="2011"/>
      <c r="C290" s="2011"/>
      <c r="D290" s="2011"/>
      <c r="E290" s="2011"/>
      <c r="F290" s="2011"/>
      <c r="G290" s="2011"/>
      <c r="H290" s="2011"/>
      <c r="I290" s="2011"/>
      <c r="J290" s="2011"/>
      <c r="K290" s="2011"/>
      <c r="L290" s="2011"/>
      <c r="M290" s="2011"/>
      <c r="N290" s="2011"/>
      <c r="O290" s="2011"/>
      <c r="P290" s="2011"/>
      <c r="Q290" s="2011"/>
      <c r="R290" s="2011"/>
      <c r="S290" s="2011"/>
      <c r="T290" s="2011"/>
      <c r="U290" s="2011"/>
      <c r="V290" s="2011"/>
      <c r="W290" s="2011"/>
      <c r="X290" s="2011"/>
      <c r="Y290" s="2011"/>
      <c r="Z290" s="2011"/>
      <c r="AA290" s="2011"/>
      <c r="AB290" s="2011"/>
      <c r="AC290" s="2011"/>
      <c r="AD290" s="2011"/>
      <c r="AE290" s="2011"/>
      <c r="AF290" s="2011"/>
      <c r="AG290" s="2011"/>
      <c r="AH290" s="2011"/>
      <c r="AI290" s="2011"/>
      <c r="AJ290" s="2011"/>
      <c r="AK290" s="2011"/>
      <c r="AL290" s="2011"/>
      <c r="AM290" s="2011"/>
      <c r="AN290" s="2011"/>
      <c r="AO290" s="2011"/>
      <c r="AP290" s="2011"/>
      <c r="AQ290" s="2011"/>
      <c r="AR290" s="2011"/>
      <c r="AS290" s="2011"/>
      <c r="AT290" s="2011"/>
      <c r="AU290" s="2011"/>
      <c r="AV290" s="2011"/>
      <c r="AW290" s="2011"/>
      <c r="AX290" s="2011"/>
      <c r="AY290" s="2011"/>
      <c r="AZ290" s="2011"/>
      <c r="BA290" s="2011"/>
      <c r="BB290" s="2011"/>
      <c r="BC290" s="2011"/>
      <c r="BD290" s="2011"/>
      <c r="BE290" s="2011"/>
      <c r="BF290" s="2011"/>
      <c r="BG290" s="2011"/>
    </row>
    <row r="291" spans="1:59">
      <c r="A291" s="2011"/>
      <c r="B291" s="2011"/>
      <c r="C291" s="2011"/>
      <c r="D291" s="2011"/>
      <c r="E291" s="2011"/>
      <c r="F291" s="2011"/>
      <c r="G291" s="2011"/>
      <c r="H291" s="2011"/>
      <c r="I291" s="2011"/>
      <c r="J291" s="2011"/>
      <c r="K291" s="2011"/>
      <c r="L291" s="2011"/>
      <c r="M291" s="2011"/>
      <c r="N291" s="2011"/>
      <c r="O291" s="2011"/>
      <c r="P291" s="2011"/>
      <c r="Q291" s="2011"/>
      <c r="R291" s="2011"/>
      <c r="S291" s="2011"/>
      <c r="T291" s="2011"/>
      <c r="U291" s="2011"/>
      <c r="V291" s="2011"/>
      <c r="W291" s="2011"/>
      <c r="X291" s="2011"/>
      <c r="Y291" s="2011"/>
      <c r="Z291" s="2011"/>
      <c r="AA291" s="2011"/>
      <c r="AB291" s="2011"/>
      <c r="AC291" s="2011"/>
      <c r="AD291" s="2011"/>
      <c r="AE291" s="2011"/>
      <c r="AF291" s="2011"/>
      <c r="AG291" s="2011"/>
      <c r="AH291" s="2011"/>
      <c r="AI291" s="2011"/>
      <c r="AJ291" s="2011"/>
      <c r="AK291" s="2011"/>
      <c r="AL291" s="2011"/>
      <c r="AM291" s="2011"/>
      <c r="AN291" s="2011"/>
      <c r="AO291" s="2011"/>
      <c r="AP291" s="2011"/>
      <c r="AQ291" s="2011"/>
      <c r="AR291" s="2011"/>
      <c r="AS291" s="2011"/>
      <c r="AT291" s="2011"/>
      <c r="AU291" s="2011"/>
      <c r="AV291" s="2011"/>
      <c r="AW291" s="2011"/>
      <c r="AX291" s="2011"/>
      <c r="AY291" s="2011"/>
      <c r="AZ291" s="2011"/>
      <c r="BA291" s="2011"/>
      <c r="BB291" s="2011"/>
      <c r="BC291" s="2011"/>
      <c r="BD291" s="2011"/>
      <c r="BE291" s="2011"/>
      <c r="BF291" s="2011"/>
      <c r="BG291" s="2011"/>
    </row>
    <row r="292" spans="1:59">
      <c r="A292" s="2011"/>
      <c r="B292" s="2011"/>
      <c r="C292" s="2011"/>
      <c r="D292" s="2011"/>
      <c r="E292" s="2011"/>
      <c r="F292" s="2011"/>
      <c r="G292" s="2011"/>
      <c r="H292" s="2011"/>
      <c r="I292" s="2011"/>
      <c r="J292" s="2011"/>
      <c r="K292" s="2011"/>
      <c r="L292" s="2011"/>
      <c r="M292" s="2011"/>
      <c r="N292" s="2011"/>
      <c r="O292" s="2011"/>
      <c r="P292" s="2011"/>
      <c r="Q292" s="2011"/>
      <c r="R292" s="2011"/>
      <c r="S292" s="2011"/>
      <c r="T292" s="2011"/>
      <c r="U292" s="2011"/>
      <c r="V292" s="2011"/>
      <c r="W292" s="2011"/>
      <c r="X292" s="2011"/>
      <c r="Y292" s="2011"/>
      <c r="Z292" s="2011"/>
      <c r="AA292" s="2011"/>
      <c r="AB292" s="2011"/>
      <c r="AC292" s="2011"/>
      <c r="AD292" s="2011"/>
      <c r="AE292" s="2011"/>
      <c r="AF292" s="2011"/>
      <c r="AG292" s="2011"/>
      <c r="AH292" s="2011"/>
      <c r="AI292" s="2011"/>
      <c r="AJ292" s="2011"/>
      <c r="AK292" s="2011"/>
      <c r="AL292" s="2011"/>
      <c r="AM292" s="2011"/>
      <c r="AN292" s="2011"/>
      <c r="AO292" s="2011"/>
      <c r="AP292" s="2011"/>
      <c r="AQ292" s="2011"/>
      <c r="AR292" s="2011"/>
      <c r="AS292" s="2011"/>
      <c r="AT292" s="2011"/>
      <c r="AU292" s="2011"/>
      <c r="AV292" s="2011"/>
      <c r="AW292" s="2011"/>
      <c r="AX292" s="2011"/>
      <c r="AY292" s="2011"/>
      <c r="AZ292" s="2011"/>
      <c r="BA292" s="2011"/>
      <c r="BB292" s="2011"/>
      <c r="BC292" s="2011"/>
      <c r="BD292" s="2011"/>
      <c r="BE292" s="2011"/>
      <c r="BF292" s="2011"/>
      <c r="BG292" s="2011"/>
    </row>
    <row r="293" spans="1:59">
      <c r="A293" s="2011"/>
      <c r="B293" s="2011"/>
      <c r="C293" s="2011"/>
      <c r="D293" s="2011"/>
      <c r="E293" s="2011"/>
      <c r="F293" s="2011"/>
      <c r="G293" s="2011"/>
      <c r="H293" s="2011"/>
      <c r="I293" s="2011"/>
      <c r="J293" s="2011"/>
      <c r="K293" s="2011"/>
      <c r="L293" s="2011"/>
      <c r="M293" s="2011"/>
      <c r="N293" s="2011"/>
      <c r="O293" s="2011"/>
      <c r="P293" s="2011"/>
      <c r="Q293" s="2011"/>
      <c r="R293" s="2011"/>
      <c r="S293" s="2011"/>
      <c r="T293" s="2011"/>
      <c r="U293" s="2011"/>
      <c r="V293" s="2011"/>
      <c r="W293" s="2011"/>
      <c r="X293" s="2011"/>
      <c r="Y293" s="2011"/>
      <c r="Z293" s="2011"/>
      <c r="AA293" s="2011"/>
      <c r="AB293" s="2011"/>
      <c r="AC293" s="2011"/>
      <c r="AD293" s="2011"/>
      <c r="AE293" s="2011"/>
      <c r="AF293" s="2011"/>
      <c r="AG293" s="2011"/>
      <c r="AH293" s="2011"/>
      <c r="AI293" s="2011"/>
      <c r="AJ293" s="2011"/>
      <c r="AK293" s="2011"/>
      <c r="AL293" s="2011"/>
      <c r="AM293" s="2011"/>
      <c r="AN293" s="2011"/>
      <c r="AO293" s="2011"/>
      <c r="AP293" s="2011"/>
      <c r="AQ293" s="2011"/>
      <c r="AR293" s="2011"/>
      <c r="AS293" s="2011"/>
      <c r="AT293" s="2011"/>
      <c r="AU293" s="2011"/>
      <c r="AV293" s="2011"/>
      <c r="AW293" s="2011"/>
      <c r="AX293" s="2011"/>
      <c r="AY293" s="2011"/>
      <c r="AZ293" s="2011"/>
      <c r="BA293" s="2011"/>
      <c r="BB293" s="2011"/>
      <c r="BC293" s="2011"/>
      <c r="BD293" s="2011"/>
      <c r="BE293" s="2011"/>
      <c r="BF293" s="2011"/>
      <c r="BG293" s="2011"/>
    </row>
    <row r="294" spans="1:59">
      <c r="A294" s="2011"/>
      <c r="B294" s="2011"/>
      <c r="C294" s="2011"/>
      <c r="D294" s="2011"/>
      <c r="E294" s="2011"/>
      <c r="F294" s="2011"/>
      <c r="G294" s="2011"/>
      <c r="H294" s="2011"/>
      <c r="I294" s="2011"/>
      <c r="J294" s="2011"/>
      <c r="K294" s="2011"/>
      <c r="L294" s="2011"/>
      <c r="M294" s="2011"/>
      <c r="N294" s="2011"/>
      <c r="O294" s="2011"/>
      <c r="P294" s="2011"/>
      <c r="Q294" s="2011"/>
      <c r="R294" s="2011"/>
      <c r="S294" s="2011"/>
      <c r="T294" s="2011"/>
      <c r="U294" s="2011"/>
      <c r="V294" s="2011"/>
      <c r="W294" s="2011"/>
      <c r="X294" s="2011"/>
      <c r="Y294" s="2011"/>
      <c r="Z294" s="2011"/>
      <c r="AA294" s="2011"/>
      <c r="AB294" s="2011"/>
      <c r="AC294" s="2011"/>
      <c r="AD294" s="2011"/>
      <c r="AE294" s="2011"/>
      <c r="AF294" s="2011"/>
      <c r="AG294" s="2011"/>
      <c r="AH294" s="2011"/>
      <c r="AI294" s="2011"/>
      <c r="AJ294" s="2011"/>
      <c r="AK294" s="2011"/>
      <c r="AL294" s="2011"/>
      <c r="AM294" s="2011"/>
      <c r="AN294" s="2011"/>
      <c r="AO294" s="2011"/>
      <c r="AP294" s="2011"/>
      <c r="AQ294" s="2011"/>
      <c r="AR294" s="2011"/>
      <c r="AS294" s="2011"/>
      <c r="AT294" s="2011"/>
      <c r="AU294" s="2011"/>
      <c r="AV294" s="2011"/>
      <c r="AW294" s="2011"/>
      <c r="AX294" s="2011"/>
      <c r="AY294" s="2011"/>
      <c r="AZ294" s="2011"/>
      <c r="BA294" s="2011"/>
      <c r="BB294" s="2011"/>
      <c r="BC294" s="2011"/>
      <c r="BD294" s="2011"/>
      <c r="BE294" s="2011"/>
      <c r="BF294" s="2011"/>
      <c r="BG294" s="2011"/>
    </row>
    <row r="295" spans="1:59">
      <c r="A295" s="2011"/>
      <c r="B295" s="2011"/>
      <c r="C295" s="2011"/>
      <c r="D295" s="2011"/>
      <c r="E295" s="2011"/>
      <c r="F295" s="2011"/>
      <c r="G295" s="2011"/>
      <c r="H295" s="2011"/>
      <c r="I295" s="2011"/>
      <c r="J295" s="2011"/>
      <c r="K295" s="2011"/>
      <c r="L295" s="2011"/>
      <c r="M295" s="2011"/>
      <c r="N295" s="2011"/>
      <c r="O295" s="2011"/>
      <c r="P295" s="2011"/>
      <c r="Q295" s="2011"/>
      <c r="R295" s="2011"/>
      <c r="S295" s="2011"/>
      <c r="T295" s="2011"/>
      <c r="U295" s="2011"/>
      <c r="V295" s="2011"/>
      <c r="W295" s="2011"/>
      <c r="X295" s="2011"/>
      <c r="Y295" s="2011"/>
      <c r="Z295" s="2011"/>
      <c r="AA295" s="2011"/>
      <c r="AB295" s="2011"/>
      <c r="AC295" s="2011"/>
      <c r="AD295" s="2011"/>
      <c r="AE295" s="2011"/>
      <c r="AF295" s="2011"/>
      <c r="AG295" s="2011"/>
      <c r="AH295" s="2011"/>
      <c r="AI295" s="2011"/>
      <c r="AJ295" s="2011"/>
      <c r="AK295" s="2011"/>
      <c r="AL295" s="2011"/>
      <c r="AM295" s="2011"/>
      <c r="AN295" s="2011"/>
      <c r="AO295" s="2011"/>
      <c r="AP295" s="2011"/>
      <c r="AQ295" s="2011"/>
      <c r="AR295" s="2011"/>
      <c r="AS295" s="2011"/>
      <c r="AT295" s="2011"/>
      <c r="AU295" s="2011"/>
      <c r="AV295" s="2011"/>
      <c r="AW295" s="2011"/>
      <c r="AX295" s="2011"/>
      <c r="AY295" s="2011"/>
      <c r="AZ295" s="2011"/>
      <c r="BA295" s="2011"/>
      <c r="BB295" s="2011"/>
      <c r="BC295" s="2011"/>
      <c r="BD295" s="2011"/>
      <c r="BE295" s="2011"/>
      <c r="BF295" s="2011"/>
      <c r="BG295" s="2011"/>
    </row>
    <row r="296" spans="1:59">
      <c r="A296" s="2011"/>
      <c r="B296" s="2011"/>
      <c r="C296" s="2011"/>
      <c r="D296" s="2011"/>
      <c r="E296" s="2011"/>
      <c r="F296" s="2011"/>
      <c r="G296" s="2011"/>
      <c r="H296" s="2011"/>
      <c r="I296" s="2011"/>
      <c r="J296" s="2011"/>
      <c r="K296" s="2011"/>
      <c r="L296" s="2011"/>
      <c r="M296" s="2011"/>
      <c r="N296" s="2011"/>
      <c r="O296" s="2011"/>
      <c r="P296" s="2011"/>
      <c r="Q296" s="2011"/>
      <c r="R296" s="2011"/>
      <c r="S296" s="2011"/>
      <c r="T296" s="2011"/>
      <c r="U296" s="2011"/>
      <c r="V296" s="2011"/>
      <c r="W296" s="2011"/>
      <c r="X296" s="2011"/>
      <c r="Y296" s="2011"/>
      <c r="Z296" s="2011"/>
      <c r="AA296" s="2011"/>
      <c r="AB296" s="2011"/>
      <c r="AC296" s="2011"/>
      <c r="AD296" s="2011"/>
      <c r="AE296" s="2011"/>
      <c r="AF296" s="2011"/>
      <c r="AG296" s="2011"/>
      <c r="AH296" s="2011"/>
      <c r="AI296" s="2011"/>
      <c r="AJ296" s="2011"/>
      <c r="AK296" s="2011"/>
      <c r="AL296" s="2011"/>
      <c r="AM296" s="2011"/>
      <c r="AN296" s="2011"/>
      <c r="AO296" s="2011"/>
      <c r="AP296" s="2011"/>
      <c r="AQ296" s="2011"/>
      <c r="AR296" s="2011"/>
      <c r="AS296" s="2011"/>
      <c r="AT296" s="2011"/>
      <c r="AU296" s="2011"/>
      <c r="AV296" s="2011"/>
      <c r="AW296" s="2011"/>
      <c r="AX296" s="2011"/>
      <c r="AY296" s="2011"/>
      <c r="AZ296" s="2011"/>
      <c r="BA296" s="2011"/>
      <c r="BB296" s="2011"/>
      <c r="BC296" s="2011"/>
      <c r="BD296" s="2011"/>
      <c r="BE296" s="2011"/>
      <c r="BF296" s="2011"/>
      <c r="BG296" s="2011"/>
    </row>
    <row r="297" spans="1:59">
      <c r="A297" s="2011"/>
      <c r="B297" s="2011"/>
      <c r="C297" s="2011"/>
      <c r="D297" s="2011"/>
      <c r="E297" s="2011"/>
      <c r="F297" s="2011"/>
      <c r="G297" s="2011"/>
      <c r="H297" s="2011"/>
      <c r="I297" s="2011"/>
      <c r="J297" s="2011"/>
      <c r="K297" s="2011"/>
      <c r="L297" s="2011"/>
      <c r="M297" s="2011"/>
      <c r="N297" s="2011"/>
      <c r="O297" s="2011"/>
      <c r="P297" s="2011"/>
      <c r="Q297" s="2011"/>
      <c r="R297" s="2011"/>
      <c r="S297" s="2011"/>
      <c r="T297" s="2011"/>
      <c r="U297" s="2011"/>
      <c r="V297" s="2011"/>
      <c r="W297" s="2011"/>
      <c r="X297" s="2011"/>
      <c r="Y297" s="2011"/>
      <c r="Z297" s="2011"/>
      <c r="AA297" s="2011"/>
      <c r="AB297" s="2011"/>
      <c r="AC297" s="2011"/>
      <c r="AD297" s="2011"/>
      <c r="AE297" s="2011"/>
      <c r="AF297" s="2011"/>
      <c r="AG297" s="2011"/>
      <c r="AH297" s="2011"/>
      <c r="AI297" s="2011"/>
      <c r="AJ297" s="2011"/>
      <c r="AK297" s="2011"/>
      <c r="AL297" s="2011"/>
      <c r="AM297" s="2011"/>
      <c r="AN297" s="2011"/>
      <c r="AO297" s="2011"/>
      <c r="AP297" s="2011"/>
      <c r="AQ297" s="2011"/>
      <c r="AR297" s="2011"/>
      <c r="AS297" s="2011"/>
      <c r="AT297" s="2011"/>
      <c r="AU297" s="2011"/>
      <c r="AV297" s="2011"/>
      <c r="AW297" s="2011"/>
      <c r="AX297" s="2011"/>
      <c r="AY297" s="2011"/>
      <c r="AZ297" s="2011"/>
      <c r="BA297" s="2011"/>
      <c r="BB297" s="2011"/>
      <c r="BC297" s="2011"/>
      <c r="BD297" s="2011"/>
      <c r="BE297" s="2011"/>
      <c r="BF297" s="2011"/>
      <c r="BG297" s="2011"/>
    </row>
    <row r="298" spans="1:59">
      <c r="A298" s="2011"/>
      <c r="B298" s="2011"/>
      <c r="C298" s="2011"/>
      <c r="D298" s="2011"/>
      <c r="E298" s="2011"/>
      <c r="F298" s="2011"/>
      <c r="G298" s="2011"/>
      <c r="H298" s="2011"/>
      <c r="I298" s="2011"/>
      <c r="J298" s="2011"/>
      <c r="K298" s="2011"/>
      <c r="L298" s="2011"/>
      <c r="M298" s="2011"/>
      <c r="N298" s="2011"/>
      <c r="O298" s="2011"/>
      <c r="P298" s="2011"/>
      <c r="Q298" s="2011"/>
      <c r="R298" s="2011"/>
      <c r="S298" s="2011"/>
      <c r="T298" s="2011"/>
      <c r="U298" s="2011"/>
      <c r="V298" s="2011"/>
      <c r="W298" s="2011"/>
      <c r="X298" s="2011"/>
      <c r="Y298" s="2011"/>
      <c r="Z298" s="2011"/>
      <c r="AA298" s="2011"/>
      <c r="AB298" s="2011"/>
      <c r="AC298" s="2011"/>
      <c r="AD298" s="2011"/>
      <c r="AE298" s="2011"/>
      <c r="AF298" s="2011"/>
      <c r="AG298" s="2011"/>
      <c r="AH298" s="2011"/>
      <c r="AI298" s="2011"/>
      <c r="AJ298" s="2011"/>
      <c r="AK298" s="2011"/>
      <c r="AL298" s="2011"/>
      <c r="AM298" s="2011"/>
      <c r="AN298" s="2011"/>
      <c r="AO298" s="2011"/>
      <c r="AP298" s="2011"/>
      <c r="AQ298" s="2011"/>
      <c r="AR298" s="2011"/>
      <c r="AS298" s="2011"/>
      <c r="AT298" s="2011"/>
      <c r="AU298" s="2011"/>
      <c r="AV298" s="2011"/>
      <c r="AW298" s="2011"/>
      <c r="AX298" s="2011"/>
      <c r="AY298" s="2011"/>
      <c r="AZ298" s="2011"/>
      <c r="BA298" s="2011"/>
      <c r="BB298" s="2011"/>
      <c r="BC298" s="2011"/>
      <c r="BD298" s="2011"/>
      <c r="BE298" s="2011"/>
      <c r="BF298" s="2011"/>
      <c r="BG298" s="2011"/>
    </row>
    <row r="299" spans="1:59">
      <c r="A299" s="2011"/>
      <c r="B299" s="2011"/>
      <c r="C299" s="2011"/>
      <c r="D299" s="2011"/>
      <c r="E299" s="2011"/>
      <c r="F299" s="2011"/>
      <c r="G299" s="2011"/>
      <c r="H299" s="2011"/>
      <c r="I299" s="2011"/>
      <c r="J299" s="2011"/>
      <c r="K299" s="2011"/>
      <c r="L299" s="2011"/>
      <c r="M299" s="2011"/>
      <c r="N299" s="2011"/>
      <c r="O299" s="2011"/>
      <c r="P299" s="2011"/>
      <c r="Q299" s="2011"/>
      <c r="R299" s="2011"/>
      <c r="S299" s="2011"/>
      <c r="T299" s="2011"/>
      <c r="U299" s="2011"/>
      <c r="V299" s="2011"/>
      <c r="W299" s="2011"/>
      <c r="X299" s="2011"/>
      <c r="Y299" s="2011"/>
      <c r="Z299" s="2011"/>
      <c r="AA299" s="2011"/>
      <c r="AB299" s="2011"/>
      <c r="AC299" s="2011"/>
      <c r="AD299" s="2011"/>
      <c r="AE299" s="2011"/>
      <c r="AF299" s="2011"/>
      <c r="AG299" s="2011"/>
      <c r="AH299" s="2011"/>
      <c r="AI299" s="2011"/>
      <c r="AJ299" s="2011"/>
      <c r="AK299" s="2011"/>
      <c r="AL299" s="2011"/>
      <c r="AM299" s="2011"/>
      <c r="AN299" s="2011"/>
      <c r="AO299" s="2011"/>
      <c r="AP299" s="2011"/>
      <c r="AQ299" s="2011"/>
      <c r="AR299" s="2011"/>
      <c r="AS299" s="2011"/>
      <c r="AT299" s="2011"/>
      <c r="AU299" s="2011"/>
      <c r="AV299" s="2011"/>
      <c r="AW299" s="2011"/>
      <c r="AX299" s="2011"/>
      <c r="AY299" s="2011"/>
      <c r="AZ299" s="2011"/>
      <c r="BA299" s="2011"/>
      <c r="BB299" s="2011"/>
      <c r="BC299" s="2011"/>
      <c r="BD299" s="2011"/>
      <c r="BE299" s="2011"/>
      <c r="BF299" s="2011"/>
      <c r="BG299" s="2011"/>
    </row>
    <row r="300" spans="1:59">
      <c r="A300" s="2011"/>
      <c r="B300" s="2011"/>
      <c r="C300" s="2011"/>
      <c r="D300" s="2011"/>
      <c r="E300" s="2011"/>
      <c r="F300" s="2011"/>
      <c r="G300" s="2011"/>
      <c r="H300" s="2011"/>
      <c r="I300" s="2011"/>
      <c r="J300" s="2011"/>
      <c r="K300" s="2011"/>
      <c r="L300" s="2011"/>
      <c r="M300" s="2011"/>
      <c r="N300" s="2011"/>
      <c r="O300" s="2011"/>
      <c r="P300" s="2011"/>
      <c r="Q300" s="2011"/>
      <c r="R300" s="2011"/>
      <c r="S300" s="2011"/>
      <c r="T300" s="2011"/>
      <c r="U300" s="2011"/>
      <c r="V300" s="2011"/>
      <c r="W300" s="2011"/>
      <c r="X300" s="2011"/>
      <c r="Y300" s="2011"/>
      <c r="Z300" s="2011"/>
      <c r="AA300" s="2011"/>
      <c r="AB300" s="2011"/>
      <c r="AC300" s="2011"/>
      <c r="AD300" s="2011"/>
      <c r="AE300" s="2011"/>
      <c r="AF300" s="2011"/>
      <c r="AG300" s="2011"/>
      <c r="AH300" s="2011"/>
      <c r="AI300" s="2011"/>
      <c r="AJ300" s="2011"/>
      <c r="AK300" s="2011"/>
      <c r="AL300" s="2011"/>
      <c r="AM300" s="2011"/>
      <c r="AN300" s="2011"/>
      <c r="AO300" s="2011"/>
      <c r="AP300" s="2011"/>
      <c r="AQ300" s="2011"/>
      <c r="AR300" s="2011"/>
      <c r="AS300" s="2011"/>
      <c r="AT300" s="2011"/>
      <c r="AU300" s="2011"/>
      <c r="AV300" s="2011"/>
      <c r="AW300" s="2011"/>
      <c r="AX300" s="2011"/>
      <c r="AY300" s="2011"/>
      <c r="AZ300" s="2011"/>
      <c r="BA300" s="2011"/>
      <c r="BB300" s="2011"/>
      <c r="BC300" s="2011"/>
      <c r="BD300" s="2011"/>
      <c r="BE300" s="2011"/>
      <c r="BF300" s="2011"/>
      <c r="BG300" s="2011"/>
    </row>
    <row r="301" spans="1:59">
      <c r="A301" s="2011"/>
      <c r="B301" s="2011"/>
      <c r="C301" s="2011"/>
      <c r="D301" s="2011"/>
      <c r="E301" s="2011"/>
      <c r="F301" s="2011"/>
      <c r="G301" s="2011"/>
      <c r="H301" s="2011"/>
      <c r="I301" s="2011"/>
      <c r="J301" s="2011"/>
      <c r="K301" s="2011"/>
      <c r="L301" s="2011"/>
      <c r="M301" s="2011"/>
      <c r="N301" s="2011"/>
      <c r="O301" s="2011"/>
      <c r="P301" s="2011"/>
      <c r="Q301" s="2011"/>
      <c r="R301" s="2011"/>
      <c r="S301" s="2011"/>
      <c r="T301" s="2011"/>
      <c r="U301" s="2011"/>
      <c r="V301" s="2011"/>
      <c r="W301" s="2011"/>
      <c r="X301" s="2011"/>
      <c r="Y301" s="2011"/>
      <c r="Z301" s="2011"/>
      <c r="AA301" s="2011"/>
      <c r="AB301" s="2011"/>
      <c r="AC301" s="2011"/>
      <c r="AD301" s="2011"/>
      <c r="AE301" s="2011"/>
      <c r="AF301" s="2011"/>
      <c r="AG301" s="2011"/>
      <c r="AH301" s="2011"/>
      <c r="AI301" s="2011"/>
      <c r="AJ301" s="2011"/>
      <c r="AK301" s="2011"/>
      <c r="AL301" s="2011"/>
      <c r="AM301" s="2011"/>
      <c r="AN301" s="2011"/>
      <c r="AO301" s="2011"/>
      <c r="AP301" s="2011"/>
      <c r="AQ301" s="2011"/>
      <c r="AR301" s="2011"/>
      <c r="AS301" s="2011"/>
      <c r="AT301" s="2011"/>
      <c r="AU301" s="2011"/>
      <c r="AV301" s="2011"/>
      <c r="AW301" s="2011"/>
      <c r="AX301" s="2011"/>
      <c r="AY301" s="2011"/>
      <c r="AZ301" s="2011"/>
      <c r="BA301" s="2011"/>
      <c r="BB301" s="2011"/>
      <c r="BC301" s="2011"/>
      <c r="BD301" s="2011"/>
      <c r="BE301" s="2011"/>
      <c r="BF301" s="2011"/>
      <c r="BG301" s="2011"/>
    </row>
    <row r="302" spans="1:59">
      <c r="A302" s="2011"/>
      <c r="B302" s="2011"/>
      <c r="C302" s="2011"/>
      <c r="D302" s="2011"/>
      <c r="E302" s="2011"/>
      <c r="F302" s="2011"/>
      <c r="G302" s="2011"/>
      <c r="H302" s="2011"/>
      <c r="I302" s="2011"/>
      <c r="J302" s="2011"/>
      <c r="K302" s="2011"/>
      <c r="L302" s="2011"/>
      <c r="M302" s="2011"/>
      <c r="N302" s="2011"/>
      <c r="O302" s="2011"/>
      <c r="P302" s="2011"/>
      <c r="Q302" s="2011"/>
      <c r="R302" s="2011"/>
      <c r="S302" s="2011"/>
      <c r="T302" s="2011"/>
      <c r="U302" s="2011"/>
      <c r="V302" s="2011"/>
      <c r="W302" s="2011"/>
      <c r="X302" s="2011"/>
      <c r="Y302" s="2011"/>
      <c r="Z302" s="2011"/>
      <c r="AA302" s="2011"/>
      <c r="AB302" s="2011"/>
      <c r="AC302" s="2011"/>
      <c r="AD302" s="2011"/>
      <c r="AE302" s="2011"/>
      <c r="AF302" s="2011"/>
      <c r="AG302" s="2011"/>
      <c r="AH302" s="2011"/>
      <c r="AI302" s="2011"/>
      <c r="AJ302" s="2011"/>
      <c r="AK302" s="2011"/>
      <c r="AL302" s="2011"/>
      <c r="AM302" s="2011"/>
      <c r="AN302" s="2011"/>
      <c r="AO302" s="2011"/>
      <c r="AP302" s="2011"/>
      <c r="AQ302" s="2011"/>
      <c r="AR302" s="2011"/>
      <c r="AS302" s="2011"/>
      <c r="AT302" s="2011"/>
      <c r="AU302" s="2011"/>
      <c r="AV302" s="2011"/>
      <c r="AW302" s="2011"/>
      <c r="AX302" s="2011"/>
      <c r="AY302" s="2011"/>
      <c r="AZ302" s="2011"/>
      <c r="BA302" s="2011"/>
      <c r="BB302" s="2011"/>
      <c r="BC302" s="2011"/>
      <c r="BD302" s="2011"/>
      <c r="BE302" s="2011"/>
      <c r="BF302" s="2011"/>
      <c r="BG302" s="2011"/>
    </row>
    <row r="303" spans="1:59">
      <c r="A303" s="2011"/>
      <c r="B303" s="2011"/>
      <c r="C303" s="2011"/>
      <c r="D303" s="2011"/>
      <c r="E303" s="2011"/>
      <c r="F303" s="2011"/>
      <c r="G303" s="2011"/>
      <c r="H303" s="2011"/>
      <c r="I303" s="2011"/>
      <c r="J303" s="2011"/>
      <c r="K303" s="2011"/>
      <c r="L303" s="2011"/>
      <c r="M303" s="2011"/>
      <c r="N303" s="2011"/>
      <c r="O303" s="2011"/>
      <c r="P303" s="2011"/>
      <c r="Q303" s="2011"/>
      <c r="R303" s="2011"/>
      <c r="S303" s="2011"/>
      <c r="T303" s="2011"/>
      <c r="U303" s="2011"/>
      <c r="V303" s="2011"/>
      <c r="W303" s="2011"/>
      <c r="X303" s="2011"/>
      <c r="Y303" s="2011"/>
      <c r="Z303" s="2011"/>
      <c r="AA303" s="2011"/>
      <c r="AB303" s="2011"/>
      <c r="AC303" s="2011"/>
      <c r="AD303" s="2011"/>
      <c r="AE303" s="2011"/>
      <c r="AF303" s="2011"/>
      <c r="AG303" s="2011"/>
      <c r="AH303" s="2011"/>
      <c r="AI303" s="2011"/>
      <c r="AJ303" s="2011"/>
      <c r="AK303" s="2011"/>
      <c r="AL303" s="2011"/>
      <c r="AM303" s="2011"/>
      <c r="AN303" s="2011"/>
      <c r="AO303" s="2011"/>
      <c r="AP303" s="2011"/>
      <c r="AQ303" s="2011"/>
      <c r="AR303" s="2011"/>
      <c r="AS303" s="2011"/>
      <c r="AT303" s="2011"/>
      <c r="AU303" s="2011"/>
      <c r="AV303" s="2011"/>
      <c r="AW303" s="2011"/>
      <c r="AX303" s="2011"/>
      <c r="AY303" s="2011"/>
      <c r="AZ303" s="2011"/>
      <c r="BA303" s="2011"/>
      <c r="BB303" s="2011"/>
      <c r="BC303" s="2011"/>
      <c r="BD303" s="2011"/>
      <c r="BE303" s="2011"/>
      <c r="BF303" s="2011"/>
      <c r="BG303" s="2011"/>
    </row>
    <row r="304" spans="1:59">
      <c r="A304" s="2011"/>
      <c r="B304" s="2011"/>
      <c r="C304" s="2011"/>
      <c r="D304" s="2011"/>
      <c r="E304" s="2011"/>
      <c r="F304" s="2011"/>
      <c r="G304" s="2011"/>
      <c r="H304" s="2011"/>
      <c r="I304" s="2011"/>
      <c r="J304" s="2011"/>
      <c r="K304" s="2011"/>
      <c r="L304" s="2011"/>
      <c r="M304" s="2011"/>
      <c r="N304" s="2011"/>
      <c r="O304" s="2011"/>
      <c r="P304" s="2011"/>
      <c r="Q304" s="2011"/>
      <c r="R304" s="2011"/>
      <c r="S304" s="2011"/>
      <c r="T304" s="2011"/>
      <c r="U304" s="2011"/>
      <c r="V304" s="2011"/>
      <c r="W304" s="2011"/>
      <c r="X304" s="2011"/>
      <c r="Y304" s="2011"/>
      <c r="Z304" s="2011"/>
      <c r="AA304" s="2011"/>
      <c r="AB304" s="2011"/>
      <c r="AC304" s="2011"/>
      <c r="AD304" s="2011"/>
      <c r="AE304" s="2011"/>
      <c r="AF304" s="2011"/>
      <c r="AG304" s="2011"/>
      <c r="AH304" s="2011"/>
      <c r="AI304" s="2011"/>
      <c r="AJ304" s="2011"/>
      <c r="AK304" s="2011"/>
      <c r="AL304" s="2011"/>
      <c r="AM304" s="2011"/>
      <c r="AN304" s="2011"/>
      <c r="AO304" s="2011"/>
      <c r="AP304" s="2011"/>
      <c r="AQ304" s="2011"/>
      <c r="AR304" s="2011"/>
      <c r="AS304" s="2011"/>
      <c r="AT304" s="2011"/>
      <c r="AU304" s="2011"/>
      <c r="AV304" s="2011"/>
      <c r="AW304" s="2011"/>
      <c r="AX304" s="2011"/>
      <c r="AY304" s="2011"/>
      <c r="AZ304" s="2011"/>
      <c r="BA304" s="2011"/>
      <c r="BB304" s="2011"/>
      <c r="BC304" s="2011"/>
      <c r="BD304" s="2011"/>
      <c r="BE304" s="2011"/>
      <c r="BF304" s="2011"/>
      <c r="BG304" s="2011"/>
    </row>
    <row r="305" spans="1:59">
      <c r="A305" s="2011"/>
      <c r="B305" s="2011"/>
      <c r="C305" s="2011"/>
      <c r="D305" s="2011"/>
      <c r="E305" s="2011"/>
      <c r="F305" s="2011"/>
      <c r="G305" s="2011"/>
      <c r="H305" s="2011"/>
      <c r="I305" s="2011"/>
      <c r="J305" s="2011"/>
      <c r="K305" s="2011"/>
      <c r="L305" s="2011"/>
      <c r="M305" s="2011"/>
      <c r="N305" s="2011"/>
      <c r="O305" s="2011"/>
      <c r="P305" s="2011"/>
      <c r="Q305" s="2011"/>
      <c r="R305" s="2011"/>
      <c r="S305" s="2011"/>
      <c r="T305" s="2011"/>
      <c r="U305" s="2011"/>
      <c r="V305" s="2011"/>
      <c r="W305" s="2011"/>
      <c r="X305" s="2011"/>
      <c r="Y305" s="2011"/>
      <c r="Z305" s="2011"/>
      <c r="AA305" s="2011"/>
      <c r="AB305" s="2011"/>
      <c r="AC305" s="2011"/>
      <c r="AD305" s="2011"/>
      <c r="AE305" s="2011"/>
      <c r="AF305" s="2011"/>
      <c r="AG305" s="2011"/>
      <c r="AH305" s="2011"/>
      <c r="AI305" s="2011"/>
      <c r="AJ305" s="2011"/>
      <c r="AK305" s="2011"/>
      <c r="AL305" s="2011"/>
      <c r="AM305" s="2011"/>
      <c r="AN305" s="2011"/>
      <c r="AO305" s="2011"/>
      <c r="AP305" s="2011"/>
      <c r="AQ305" s="2011"/>
      <c r="AR305" s="2011"/>
      <c r="AS305" s="2011"/>
      <c r="AT305" s="2011"/>
      <c r="AU305" s="2011"/>
      <c r="AV305" s="2011"/>
      <c r="AW305" s="2011"/>
      <c r="AX305" s="2011"/>
      <c r="AY305" s="2011"/>
      <c r="AZ305" s="2011"/>
      <c r="BA305" s="2011"/>
      <c r="BB305" s="2011"/>
      <c r="BC305" s="2011"/>
      <c r="BD305" s="2011"/>
      <c r="BE305" s="2011"/>
      <c r="BF305" s="2011"/>
      <c r="BG305" s="2011"/>
    </row>
    <row r="306" spans="1:59">
      <c r="A306" s="2011"/>
      <c r="B306" s="2011"/>
      <c r="C306" s="2011"/>
      <c r="D306" s="2011"/>
      <c r="E306" s="2011"/>
      <c r="F306" s="2011"/>
      <c r="G306" s="2011"/>
      <c r="H306" s="2011"/>
      <c r="I306" s="2011"/>
      <c r="J306" s="2011"/>
      <c r="K306" s="2011"/>
      <c r="L306" s="2011"/>
      <c r="M306" s="2011"/>
      <c r="N306" s="2011"/>
      <c r="O306" s="2011"/>
      <c r="P306" s="2011"/>
      <c r="Q306" s="2011"/>
      <c r="R306" s="2011"/>
      <c r="S306" s="2011"/>
      <c r="T306" s="2011"/>
      <c r="U306" s="2011"/>
      <c r="V306" s="2011"/>
      <c r="W306" s="2011"/>
      <c r="X306" s="2011"/>
      <c r="Y306" s="2011"/>
      <c r="Z306" s="2011"/>
      <c r="AA306" s="2011"/>
      <c r="AB306" s="2011"/>
      <c r="AC306" s="2011"/>
      <c r="AD306" s="2011"/>
      <c r="AE306" s="2011"/>
      <c r="AF306" s="2011"/>
      <c r="AG306" s="2011"/>
      <c r="AH306" s="2011"/>
      <c r="AI306" s="2011"/>
      <c r="AJ306" s="2011"/>
      <c r="AK306" s="2011"/>
      <c r="AL306" s="2011"/>
      <c r="AM306" s="2011"/>
      <c r="AN306" s="2011"/>
      <c r="AO306" s="2011"/>
      <c r="AP306" s="2011"/>
      <c r="AQ306" s="2011"/>
      <c r="AR306" s="2011"/>
      <c r="AS306" s="2011"/>
      <c r="AT306" s="2011"/>
      <c r="AU306" s="2011"/>
      <c r="AV306" s="2011"/>
      <c r="AW306" s="2011"/>
      <c r="AX306" s="2011"/>
      <c r="AY306" s="2011"/>
      <c r="AZ306" s="2011"/>
      <c r="BA306" s="2011"/>
      <c r="BB306" s="2011"/>
      <c r="BC306" s="2011"/>
      <c r="BD306" s="2011"/>
      <c r="BE306" s="2011"/>
      <c r="BF306" s="2011"/>
      <c r="BG306" s="2011"/>
    </row>
    <row r="307" spans="1:59">
      <c r="A307" s="2011"/>
      <c r="B307" s="2011"/>
      <c r="C307" s="2011"/>
      <c r="D307" s="2011"/>
      <c r="E307" s="2011"/>
      <c r="F307" s="2011"/>
      <c r="G307" s="2011"/>
      <c r="H307" s="2011"/>
      <c r="I307" s="2011"/>
      <c r="J307" s="2011"/>
      <c r="K307" s="2011"/>
      <c r="L307" s="2011"/>
      <c r="M307" s="2011"/>
      <c r="N307" s="2011"/>
      <c r="O307" s="2011"/>
      <c r="P307" s="2011"/>
      <c r="Q307" s="2011"/>
      <c r="R307" s="2011"/>
      <c r="S307" s="2011"/>
      <c r="T307" s="2011"/>
      <c r="U307" s="2011"/>
      <c r="V307" s="2011"/>
      <c r="W307" s="2011"/>
      <c r="X307" s="2011"/>
      <c r="Y307" s="2011"/>
      <c r="Z307" s="2011"/>
      <c r="AA307" s="2011"/>
      <c r="AB307" s="2011"/>
      <c r="AC307" s="2011"/>
      <c r="AD307" s="2011"/>
      <c r="AE307" s="2011"/>
      <c r="AF307" s="2011"/>
      <c r="AG307" s="2011"/>
      <c r="AH307" s="2011"/>
      <c r="AI307" s="2011"/>
      <c r="AJ307" s="2011"/>
      <c r="AK307" s="2011"/>
      <c r="AL307" s="2011"/>
      <c r="AM307" s="2011"/>
      <c r="AN307" s="2011"/>
      <c r="AO307" s="2011"/>
      <c r="AP307" s="2011"/>
      <c r="AQ307" s="2011"/>
      <c r="AR307" s="2011"/>
      <c r="AS307" s="2011"/>
      <c r="AT307" s="2011"/>
      <c r="AU307" s="2011"/>
      <c r="AV307" s="2011"/>
      <c r="AW307" s="2011"/>
      <c r="AX307" s="2011"/>
      <c r="AY307" s="2011"/>
      <c r="AZ307" s="2011"/>
      <c r="BA307" s="2011"/>
      <c r="BB307" s="2011"/>
      <c r="BC307" s="2011"/>
      <c r="BD307" s="2011"/>
      <c r="BE307" s="2011"/>
      <c r="BF307" s="2011"/>
      <c r="BG307" s="2011"/>
    </row>
    <row r="308" spans="1:59">
      <c r="A308" s="2011"/>
      <c r="B308" s="2011"/>
      <c r="C308" s="2011"/>
      <c r="D308" s="2011"/>
      <c r="E308" s="2011"/>
      <c r="F308" s="2011"/>
      <c r="G308" s="2011"/>
      <c r="H308" s="2011"/>
      <c r="I308" s="2011"/>
      <c r="J308" s="2011"/>
      <c r="K308" s="2011"/>
      <c r="L308" s="2011"/>
      <c r="M308" s="2011"/>
      <c r="N308" s="2011"/>
      <c r="O308" s="2011"/>
      <c r="P308" s="2011"/>
      <c r="Q308" s="2011"/>
      <c r="R308" s="2011"/>
      <c r="S308" s="2011"/>
      <c r="T308" s="2011"/>
      <c r="U308" s="2011"/>
      <c r="V308" s="2011"/>
      <c r="W308" s="2011"/>
      <c r="X308" s="2011"/>
      <c r="Y308" s="2011"/>
      <c r="Z308" s="2011"/>
      <c r="AA308" s="2011"/>
      <c r="AB308" s="2011"/>
      <c r="AC308" s="2011"/>
      <c r="AD308" s="2011"/>
      <c r="AE308" s="2011"/>
      <c r="AF308" s="2011"/>
      <c r="AG308" s="2011"/>
      <c r="AH308" s="2011"/>
      <c r="AI308" s="2011"/>
      <c r="AJ308" s="2011"/>
      <c r="AK308" s="2011"/>
      <c r="AL308" s="2011"/>
      <c r="AM308" s="2011"/>
      <c r="AN308" s="2011"/>
      <c r="AO308" s="2011"/>
      <c r="AP308" s="2011"/>
      <c r="AQ308" s="2011"/>
      <c r="AR308" s="2011"/>
      <c r="AS308" s="2011"/>
      <c r="AT308" s="2011"/>
      <c r="AU308" s="2011"/>
      <c r="AV308" s="2011"/>
      <c r="AW308" s="2011"/>
      <c r="AX308" s="2011"/>
      <c r="AY308" s="2011"/>
      <c r="AZ308" s="2011"/>
      <c r="BA308" s="2011"/>
      <c r="BB308" s="2011"/>
      <c r="BC308" s="2011"/>
      <c r="BD308" s="2011"/>
      <c r="BE308" s="2011"/>
      <c r="BF308" s="2011"/>
      <c r="BG308" s="2011"/>
    </row>
    <row r="309" spans="1:59">
      <c r="A309" s="2011"/>
      <c r="B309" s="2011"/>
      <c r="C309" s="2011"/>
      <c r="D309" s="2011"/>
      <c r="E309" s="2011"/>
      <c r="F309" s="2011"/>
      <c r="G309" s="2011"/>
      <c r="H309" s="2011"/>
      <c r="I309" s="2011"/>
      <c r="J309" s="2011"/>
      <c r="K309" s="2011"/>
      <c r="L309" s="2011"/>
      <c r="M309" s="2011"/>
      <c r="N309" s="2011"/>
      <c r="O309" s="2011"/>
      <c r="P309" s="2011"/>
      <c r="Q309" s="2011"/>
      <c r="R309" s="2011"/>
      <c r="S309" s="2011"/>
      <c r="T309" s="2011"/>
      <c r="U309" s="2011"/>
      <c r="V309" s="2011"/>
      <c r="W309" s="2011"/>
      <c r="X309" s="2011"/>
      <c r="Y309" s="2011"/>
      <c r="Z309" s="2011"/>
      <c r="AA309" s="2011"/>
      <c r="AB309" s="2011"/>
      <c r="AC309" s="2011"/>
      <c r="AD309" s="2011"/>
      <c r="AE309" s="2011"/>
      <c r="AF309" s="2011"/>
      <c r="AG309" s="2011"/>
      <c r="AH309" s="2011"/>
      <c r="AI309" s="2011"/>
      <c r="AJ309" s="2011"/>
      <c r="AK309" s="2011"/>
      <c r="AL309" s="2011"/>
      <c r="AM309" s="2011"/>
      <c r="AN309" s="2011"/>
      <c r="AO309" s="2011"/>
      <c r="AP309" s="2011"/>
      <c r="AQ309" s="2011"/>
      <c r="AR309" s="2011"/>
      <c r="AS309" s="2011"/>
      <c r="AT309" s="2011"/>
      <c r="AU309" s="2011"/>
      <c r="AV309" s="2011"/>
      <c r="AW309" s="2011"/>
      <c r="AX309" s="2011"/>
      <c r="AY309" s="2011"/>
      <c r="AZ309" s="2011"/>
      <c r="BA309" s="2011"/>
      <c r="BB309" s="2011"/>
      <c r="BC309" s="2011"/>
      <c r="BD309" s="2011"/>
      <c r="BE309" s="2011"/>
      <c r="BF309" s="2011"/>
      <c r="BG309" s="2011"/>
    </row>
    <row r="310" spans="1:59">
      <c r="A310" s="2011"/>
      <c r="B310" s="2011"/>
      <c r="C310" s="2011"/>
      <c r="D310" s="2011"/>
      <c r="E310" s="2011"/>
      <c r="F310" s="2011"/>
      <c r="G310" s="2011"/>
      <c r="H310" s="2011"/>
      <c r="I310" s="2011"/>
      <c r="J310" s="2011"/>
      <c r="K310" s="2011"/>
      <c r="L310" s="2011"/>
      <c r="M310" s="2011"/>
      <c r="N310" s="2011"/>
      <c r="O310" s="2011"/>
      <c r="P310" s="2011"/>
      <c r="Q310" s="2011"/>
      <c r="R310" s="2011"/>
      <c r="S310" s="2011"/>
      <c r="T310" s="2011"/>
      <c r="U310" s="2011"/>
      <c r="V310" s="2011"/>
      <c r="W310" s="2011"/>
      <c r="X310" s="2011"/>
      <c r="Y310" s="2011"/>
      <c r="Z310" s="2011"/>
      <c r="AA310" s="2011"/>
      <c r="AB310" s="2011"/>
      <c r="AC310" s="2011"/>
      <c r="AD310" s="2011"/>
      <c r="AE310" s="2011"/>
      <c r="AF310" s="2011"/>
      <c r="AG310" s="2011"/>
      <c r="AH310" s="2011"/>
      <c r="AI310" s="2011"/>
      <c r="AJ310" s="2011"/>
      <c r="AK310" s="2011"/>
      <c r="AL310" s="2011"/>
      <c r="AM310" s="2011"/>
      <c r="AN310" s="2011"/>
      <c r="AO310" s="2011"/>
      <c r="AP310" s="2011"/>
      <c r="AQ310" s="2011"/>
      <c r="AR310" s="2011"/>
      <c r="AS310" s="2011"/>
      <c r="AT310" s="2011"/>
      <c r="AU310" s="2011"/>
      <c r="AV310" s="2011"/>
      <c r="AW310" s="2011"/>
      <c r="AX310" s="2011"/>
      <c r="AY310" s="2011"/>
      <c r="AZ310" s="2011"/>
      <c r="BA310" s="2011"/>
      <c r="BB310" s="2011"/>
      <c r="BC310" s="2011"/>
      <c r="BD310" s="2011"/>
      <c r="BE310" s="2011"/>
      <c r="BF310" s="2011"/>
      <c r="BG310" s="2011"/>
    </row>
    <row r="311" spans="1:59">
      <c r="A311" s="2011"/>
      <c r="B311" s="2011"/>
      <c r="C311" s="2011"/>
      <c r="D311" s="2011"/>
      <c r="E311" s="2011"/>
      <c r="F311" s="2011"/>
      <c r="G311" s="2011"/>
      <c r="H311" s="2011"/>
      <c r="I311" s="2011"/>
      <c r="J311" s="2011"/>
      <c r="K311" s="2011"/>
      <c r="L311" s="2011"/>
      <c r="M311" s="2011"/>
      <c r="N311" s="2011"/>
      <c r="O311" s="2011"/>
      <c r="P311" s="2011"/>
      <c r="Q311" s="2011"/>
      <c r="R311" s="2011"/>
      <c r="S311" s="2011"/>
      <c r="T311" s="2011"/>
      <c r="U311" s="2011"/>
      <c r="V311" s="2011"/>
      <c r="W311" s="2011"/>
      <c r="X311" s="2011"/>
      <c r="Y311" s="2011"/>
      <c r="Z311" s="2011"/>
      <c r="AA311" s="2011"/>
      <c r="AB311" s="2011"/>
      <c r="AC311" s="2011"/>
      <c r="AD311" s="2011"/>
      <c r="AE311" s="2011"/>
      <c r="AF311" s="2011"/>
      <c r="AG311" s="2011"/>
      <c r="AH311" s="2011"/>
      <c r="AI311" s="2011"/>
      <c r="AJ311" s="2011"/>
      <c r="AK311" s="2011"/>
      <c r="AL311" s="2011"/>
      <c r="AM311" s="2011"/>
      <c r="AN311" s="2011"/>
      <c r="AO311" s="2011"/>
      <c r="AP311" s="2011"/>
      <c r="AQ311" s="2011"/>
      <c r="AR311" s="2011"/>
      <c r="AS311" s="2011"/>
      <c r="AT311" s="2011"/>
      <c r="AU311" s="2011"/>
      <c r="AV311" s="2011"/>
      <c r="AW311" s="2011"/>
      <c r="AX311" s="2011"/>
      <c r="AY311" s="2011"/>
      <c r="AZ311" s="2011"/>
      <c r="BA311" s="2011"/>
      <c r="BB311" s="2011"/>
      <c r="BC311" s="2011"/>
      <c r="BD311" s="2011"/>
      <c r="BE311" s="2011"/>
      <c r="BF311" s="2011"/>
      <c r="BG311" s="2011"/>
    </row>
    <row r="312" spans="1:59">
      <c r="A312" s="2011"/>
      <c r="B312" s="2011"/>
      <c r="C312" s="2011"/>
      <c r="D312" s="2011"/>
      <c r="E312" s="2011"/>
      <c r="F312" s="2011"/>
      <c r="G312" s="2011"/>
      <c r="H312" s="2011"/>
      <c r="I312" s="2011"/>
      <c r="J312" s="2011"/>
      <c r="K312" s="2011"/>
      <c r="L312" s="2011"/>
      <c r="M312" s="2011"/>
      <c r="N312" s="2011"/>
      <c r="O312" s="2011"/>
      <c r="P312" s="2011"/>
      <c r="Q312" s="2011"/>
      <c r="R312" s="2011"/>
      <c r="S312" s="2011"/>
      <c r="T312" s="2011"/>
      <c r="U312" s="2011"/>
      <c r="V312" s="2011"/>
      <c r="W312" s="2011"/>
      <c r="X312" s="2011"/>
      <c r="Y312" s="2011"/>
      <c r="Z312" s="2011"/>
      <c r="AA312" s="2011"/>
      <c r="AB312" s="2011"/>
      <c r="AC312" s="2011"/>
      <c r="AD312" s="2011"/>
      <c r="AE312" s="2011"/>
      <c r="AF312" s="2011"/>
      <c r="AG312" s="2011"/>
      <c r="AH312" s="2011"/>
      <c r="AI312" s="2011"/>
      <c r="AJ312" s="2011"/>
      <c r="AK312" s="2011"/>
      <c r="AL312" s="2011"/>
      <c r="AM312" s="2011"/>
      <c r="AN312" s="2011"/>
      <c r="AO312" s="2011"/>
      <c r="AP312" s="2011"/>
      <c r="AQ312" s="2011"/>
      <c r="AR312" s="2011"/>
      <c r="AS312" s="2011"/>
      <c r="AT312" s="2011"/>
      <c r="AU312" s="2011"/>
      <c r="AV312" s="2011"/>
      <c r="AW312" s="2011"/>
      <c r="AX312" s="2011"/>
      <c r="AY312" s="2011"/>
      <c r="AZ312" s="2011"/>
      <c r="BA312" s="2011"/>
      <c r="BB312" s="2011"/>
      <c r="BC312" s="2011"/>
      <c r="BD312" s="2011"/>
      <c r="BE312" s="2011"/>
      <c r="BF312" s="2011"/>
      <c r="BG312" s="2011"/>
    </row>
    <row r="313" spans="1:59">
      <c r="A313" s="2011"/>
      <c r="B313" s="2011"/>
      <c r="C313" s="2011"/>
      <c r="D313" s="2011"/>
      <c r="E313" s="2011"/>
      <c r="F313" s="2011"/>
      <c r="G313" s="2011"/>
      <c r="H313" s="2011"/>
      <c r="I313" s="2011"/>
      <c r="J313" s="2011"/>
      <c r="K313" s="2011"/>
      <c r="L313" s="2011"/>
      <c r="M313" s="2011"/>
      <c r="N313" s="2011"/>
      <c r="O313" s="2011"/>
      <c r="P313" s="2011"/>
      <c r="Q313" s="2011"/>
      <c r="R313" s="2011"/>
      <c r="S313" s="2011"/>
      <c r="T313" s="2011"/>
      <c r="U313" s="2011"/>
      <c r="V313" s="2011"/>
      <c r="W313" s="2011"/>
      <c r="X313" s="2011"/>
      <c r="Y313" s="2011"/>
      <c r="Z313" s="2011"/>
      <c r="AA313" s="2011"/>
      <c r="AB313" s="2011"/>
      <c r="AC313" s="2011"/>
      <c r="AD313" s="2011"/>
      <c r="AE313" s="2011"/>
      <c r="AF313" s="2011"/>
      <c r="AG313" s="2011"/>
      <c r="AH313" s="2011"/>
      <c r="AI313" s="2011"/>
      <c r="AJ313" s="2011"/>
      <c r="AK313" s="2011"/>
      <c r="AL313" s="2011"/>
      <c r="AM313" s="2011"/>
      <c r="AN313" s="2011"/>
      <c r="AO313" s="2011"/>
      <c r="AP313" s="2011"/>
      <c r="AQ313" s="2011"/>
      <c r="AR313" s="2011"/>
      <c r="AS313" s="2011"/>
      <c r="AT313" s="2011"/>
      <c r="AU313" s="2011"/>
      <c r="AV313" s="2011"/>
      <c r="AW313" s="2011"/>
      <c r="AX313" s="2011"/>
      <c r="AY313" s="2011"/>
      <c r="AZ313" s="2011"/>
      <c r="BA313" s="2011"/>
      <c r="BB313" s="2011"/>
      <c r="BC313" s="2011"/>
      <c r="BD313" s="2011"/>
      <c r="BE313" s="2011"/>
      <c r="BF313" s="2011"/>
      <c r="BG313" s="2011"/>
    </row>
    <row r="314" spans="1:59">
      <c r="A314" s="2011"/>
      <c r="B314" s="2011"/>
      <c r="C314" s="2011"/>
      <c r="D314" s="2011"/>
      <c r="E314" s="2011"/>
      <c r="F314" s="2011"/>
      <c r="G314" s="2011"/>
      <c r="H314" s="2011"/>
      <c r="I314" s="2011"/>
      <c r="J314" s="2011"/>
      <c r="K314" s="2011"/>
      <c r="L314" s="2011"/>
      <c r="M314" s="2011"/>
      <c r="N314" s="2011"/>
      <c r="O314" s="2011"/>
      <c r="P314" s="2011"/>
      <c r="Q314" s="2011"/>
      <c r="R314" s="2011"/>
      <c r="S314" s="2011"/>
      <c r="T314" s="2011"/>
      <c r="U314" s="2011"/>
      <c r="V314" s="2011"/>
      <c r="W314" s="2011"/>
      <c r="X314" s="2011"/>
      <c r="Y314" s="2011"/>
      <c r="Z314" s="2011"/>
      <c r="AA314" s="2011"/>
      <c r="AB314" s="2011"/>
      <c r="AC314" s="2011"/>
      <c r="AD314" s="2011"/>
      <c r="AE314" s="2011"/>
      <c r="AF314" s="2011"/>
      <c r="AG314" s="2011"/>
      <c r="AH314" s="2011"/>
      <c r="AI314" s="2011"/>
      <c r="AJ314" s="2011"/>
      <c r="AK314" s="2011"/>
      <c r="AL314" s="2011"/>
      <c r="AM314" s="2011"/>
      <c r="AN314" s="2011"/>
      <c r="AO314" s="2011"/>
      <c r="AP314" s="2011"/>
      <c r="AQ314" s="2011"/>
      <c r="AR314" s="2011"/>
      <c r="AS314" s="2011"/>
      <c r="AT314" s="2011"/>
      <c r="AU314" s="2011"/>
      <c r="AV314" s="2011"/>
      <c r="AW314" s="2011"/>
      <c r="AX314" s="2011"/>
      <c r="AY314" s="2011"/>
      <c r="AZ314" s="2011"/>
      <c r="BA314" s="2011"/>
      <c r="BB314" s="2011"/>
      <c r="BC314" s="2011"/>
      <c r="BD314" s="2011"/>
      <c r="BE314" s="2011"/>
      <c r="BF314" s="2011"/>
      <c r="BG314" s="2011"/>
    </row>
    <row r="315" spans="1:59">
      <c r="A315" s="2011"/>
      <c r="B315" s="2011"/>
      <c r="C315" s="2011"/>
      <c r="D315" s="2011"/>
      <c r="E315" s="2011"/>
      <c r="F315" s="2011"/>
      <c r="G315" s="2011"/>
      <c r="H315" s="2011"/>
      <c r="I315" s="2011"/>
      <c r="J315" s="2011"/>
      <c r="K315" s="2011"/>
      <c r="L315" s="2011"/>
      <c r="M315" s="2011"/>
      <c r="N315" s="2011"/>
      <c r="O315" s="2011"/>
      <c r="P315" s="2011"/>
      <c r="Q315" s="2011"/>
      <c r="R315" s="2011"/>
      <c r="S315" s="2011"/>
      <c r="T315" s="2011"/>
      <c r="U315" s="2011"/>
      <c r="V315" s="2011"/>
      <c r="W315" s="2011"/>
      <c r="X315" s="2011"/>
      <c r="Y315" s="2011"/>
      <c r="Z315" s="2011"/>
      <c r="AA315" s="2011"/>
      <c r="AB315" s="2011"/>
      <c r="AC315" s="2011"/>
      <c r="AD315" s="2011"/>
      <c r="AE315" s="2011"/>
      <c r="AF315" s="2011"/>
      <c r="AG315" s="2011"/>
      <c r="AH315" s="2011"/>
      <c r="AI315" s="2011"/>
      <c r="AJ315" s="2011"/>
      <c r="AK315" s="2011"/>
      <c r="AL315" s="2011"/>
      <c r="AM315" s="2011"/>
      <c r="AN315" s="2011"/>
      <c r="AO315" s="2011"/>
      <c r="AP315" s="2011"/>
      <c r="AQ315" s="2011"/>
      <c r="AR315" s="2011"/>
      <c r="AS315" s="2011"/>
      <c r="AT315" s="2011"/>
      <c r="AU315" s="2011"/>
      <c r="AV315" s="2011"/>
      <c r="AW315" s="2011"/>
      <c r="AX315" s="2011"/>
      <c r="AY315" s="2011"/>
      <c r="AZ315" s="2011"/>
      <c r="BA315" s="2011"/>
      <c r="BB315" s="2011"/>
      <c r="BC315" s="2011"/>
      <c r="BD315" s="2011"/>
      <c r="BE315" s="2011"/>
      <c r="BF315" s="2011"/>
      <c r="BG315" s="2011"/>
    </row>
    <row r="316" spans="1:59">
      <c r="A316" s="2011"/>
      <c r="B316" s="2011"/>
      <c r="C316" s="2011"/>
      <c r="D316" s="2011"/>
      <c r="E316" s="2011"/>
      <c r="F316" s="2011"/>
      <c r="G316" s="2011"/>
      <c r="H316" s="2011"/>
      <c r="I316" s="2011"/>
      <c r="J316" s="2011"/>
      <c r="K316" s="2011"/>
      <c r="L316" s="2011"/>
      <c r="M316" s="2011"/>
      <c r="N316" s="2011"/>
      <c r="O316" s="2011"/>
      <c r="P316" s="2011"/>
      <c r="Q316" s="2011"/>
      <c r="R316" s="2011"/>
      <c r="S316" s="2011"/>
      <c r="T316" s="2011"/>
      <c r="U316" s="2011"/>
      <c r="V316" s="2011"/>
      <c r="W316" s="2011"/>
      <c r="X316" s="2011"/>
      <c r="Y316" s="2011"/>
      <c r="Z316" s="2011"/>
      <c r="AA316" s="2011"/>
      <c r="AB316" s="2011"/>
      <c r="AC316" s="2011"/>
      <c r="AD316" s="2011"/>
      <c r="AE316" s="2011"/>
      <c r="AF316" s="2011"/>
      <c r="AG316" s="2011"/>
      <c r="AH316" s="2011"/>
      <c r="AI316" s="2011"/>
      <c r="AJ316" s="2011"/>
      <c r="AK316" s="2011"/>
      <c r="AL316" s="2011"/>
      <c r="AM316" s="2011"/>
      <c r="AN316" s="2011"/>
      <c r="AO316" s="2011"/>
      <c r="AP316" s="2011"/>
      <c r="AQ316" s="2011"/>
      <c r="AR316" s="2011"/>
      <c r="AS316" s="2011"/>
      <c r="AT316" s="2011"/>
      <c r="AU316" s="2011"/>
      <c r="AV316" s="2011"/>
      <c r="AW316" s="2011"/>
      <c r="AX316" s="2011"/>
      <c r="AY316" s="2011"/>
      <c r="AZ316" s="2011"/>
      <c r="BA316" s="2011"/>
      <c r="BB316" s="2011"/>
      <c r="BC316" s="2011"/>
      <c r="BD316" s="2011"/>
      <c r="BE316" s="2011"/>
      <c r="BF316" s="2011"/>
      <c r="BG316" s="2011"/>
    </row>
    <row r="317" spans="1:59">
      <c r="A317" s="2011"/>
      <c r="B317" s="2011"/>
      <c r="C317" s="2011"/>
      <c r="D317" s="2011"/>
      <c r="E317" s="2011"/>
      <c r="F317" s="2011"/>
      <c r="G317" s="2011"/>
      <c r="H317" s="2011"/>
      <c r="I317" s="2011"/>
      <c r="J317" s="2011"/>
      <c r="K317" s="2011"/>
      <c r="L317" s="2011"/>
      <c r="M317" s="2011"/>
      <c r="N317" s="2011"/>
      <c r="O317" s="2011"/>
      <c r="P317" s="2011"/>
      <c r="Q317" s="2011"/>
      <c r="R317" s="2011"/>
      <c r="S317" s="2011"/>
      <c r="T317" s="2011"/>
      <c r="U317" s="2011"/>
      <c r="V317" s="2011"/>
      <c r="W317" s="2011"/>
      <c r="X317" s="2011"/>
      <c r="Y317" s="2011"/>
      <c r="Z317" s="2011"/>
      <c r="AA317" s="2011"/>
      <c r="AB317" s="2011"/>
      <c r="AC317" s="2011"/>
      <c r="AD317" s="2011"/>
      <c r="AE317" s="2011"/>
      <c r="AF317" s="2011"/>
      <c r="AG317" s="2011"/>
      <c r="AH317" s="2011"/>
      <c r="AI317" s="2011"/>
      <c r="AJ317" s="2011"/>
      <c r="AK317" s="2011"/>
      <c r="AL317" s="2011"/>
      <c r="AM317" s="2011"/>
      <c r="AN317" s="2011"/>
      <c r="AO317" s="2011"/>
      <c r="AP317" s="2011"/>
      <c r="AQ317" s="2011"/>
      <c r="AR317" s="2011"/>
      <c r="AS317" s="2011"/>
      <c r="AT317" s="2011"/>
      <c r="AU317" s="2011"/>
      <c r="AV317" s="2011"/>
      <c r="AW317" s="2011"/>
      <c r="AX317" s="2011"/>
      <c r="AY317" s="2011"/>
      <c r="AZ317" s="2011"/>
      <c r="BA317" s="2011"/>
      <c r="BB317" s="2011"/>
      <c r="BC317" s="2011"/>
      <c r="BD317" s="2011"/>
      <c r="BE317" s="2011"/>
      <c r="BF317" s="2011"/>
      <c r="BG317" s="2011"/>
    </row>
    <row r="318" spans="1:59">
      <c r="A318" s="2011"/>
      <c r="B318" s="2011"/>
      <c r="C318" s="2011"/>
      <c r="D318" s="2011"/>
      <c r="E318" s="2011"/>
      <c r="F318" s="2011"/>
      <c r="G318" s="2011"/>
      <c r="H318" s="2011"/>
      <c r="I318" s="2011"/>
      <c r="J318" s="2011"/>
      <c r="K318" s="2011"/>
      <c r="L318" s="2011"/>
      <c r="M318" s="2011"/>
      <c r="N318" s="2011"/>
      <c r="O318" s="2011"/>
      <c r="P318" s="2011"/>
      <c r="Q318" s="2011"/>
      <c r="R318" s="2011"/>
      <c r="S318" s="2011"/>
      <c r="T318" s="2011"/>
      <c r="U318" s="2011"/>
      <c r="V318" s="2011"/>
      <c r="W318" s="2011"/>
      <c r="X318" s="2011"/>
      <c r="Y318" s="2011"/>
      <c r="Z318" s="2011"/>
      <c r="AA318" s="2011"/>
      <c r="AB318" s="2011"/>
      <c r="AC318" s="2011"/>
      <c r="AD318" s="2011"/>
      <c r="AE318" s="2011"/>
      <c r="AF318" s="2011"/>
      <c r="AG318" s="2011"/>
      <c r="AH318" s="2011"/>
      <c r="AI318" s="2011"/>
      <c r="AJ318" s="2011"/>
      <c r="AK318" s="2011"/>
      <c r="AL318" s="2011"/>
      <c r="AM318" s="2011"/>
      <c r="AN318" s="2011"/>
      <c r="AO318" s="2011"/>
      <c r="AP318" s="2011"/>
      <c r="AQ318" s="2011"/>
      <c r="AR318" s="2011"/>
      <c r="AS318" s="2011"/>
      <c r="AT318" s="2011"/>
      <c r="AU318" s="2011"/>
      <c r="AV318" s="2011"/>
      <c r="AW318" s="2011"/>
      <c r="AX318" s="2011"/>
      <c r="AY318" s="2011"/>
      <c r="AZ318" s="2011"/>
      <c r="BA318" s="2011"/>
      <c r="BB318" s="2011"/>
      <c r="BC318" s="2011"/>
      <c r="BD318" s="2011"/>
      <c r="BE318" s="2011"/>
      <c r="BF318" s="2011"/>
      <c r="BG318" s="2011"/>
    </row>
    <row r="319" spans="1:59">
      <c r="A319" s="2011"/>
      <c r="B319" s="2011"/>
      <c r="C319" s="2011"/>
      <c r="D319" s="2011"/>
      <c r="E319" s="2011"/>
      <c r="F319" s="2011"/>
      <c r="G319" s="2011"/>
      <c r="H319" s="2011"/>
      <c r="I319" s="2011"/>
      <c r="J319" s="2011"/>
      <c r="K319" s="2011"/>
      <c r="L319" s="2011"/>
      <c r="M319" s="2011"/>
      <c r="N319" s="2011"/>
      <c r="O319" s="2011"/>
      <c r="P319" s="2011"/>
      <c r="Q319" s="2011"/>
      <c r="R319" s="2011"/>
      <c r="S319" s="2011"/>
      <c r="T319" s="2011"/>
      <c r="U319" s="2011"/>
      <c r="V319" s="2011"/>
      <c r="W319" s="2011"/>
      <c r="X319" s="2011"/>
      <c r="Y319" s="2011"/>
      <c r="Z319" s="2011"/>
      <c r="AA319" s="2011"/>
      <c r="AB319" s="2011"/>
      <c r="AC319" s="2011"/>
      <c r="AD319" s="2011"/>
      <c r="AE319" s="2011"/>
      <c r="AF319" s="2011"/>
      <c r="AG319" s="2011"/>
      <c r="AH319" s="2011"/>
      <c r="AI319" s="2011"/>
      <c r="AJ319" s="2011"/>
      <c r="AK319" s="2011"/>
      <c r="AL319" s="2011"/>
      <c r="AM319" s="2011"/>
      <c r="AN319" s="2011"/>
      <c r="AO319" s="2011"/>
      <c r="AP319" s="2011"/>
      <c r="AQ319" s="2011"/>
      <c r="AR319" s="2011"/>
      <c r="AS319" s="2011"/>
      <c r="AT319" s="2011"/>
      <c r="AU319" s="2011"/>
      <c r="AV319" s="2011"/>
      <c r="AW319" s="2011"/>
      <c r="AX319" s="2011"/>
      <c r="AY319" s="2011"/>
      <c r="AZ319" s="2011"/>
      <c r="BA319" s="2011"/>
      <c r="BB319" s="2011"/>
      <c r="BC319" s="2011"/>
      <c r="BD319" s="2011"/>
      <c r="BE319" s="2011"/>
      <c r="BF319" s="2011"/>
      <c r="BG319" s="2011"/>
    </row>
    <row r="320" spans="1:59">
      <c r="A320" s="2011"/>
      <c r="B320" s="2011"/>
      <c r="C320" s="2011"/>
      <c r="D320" s="2011"/>
      <c r="E320" s="2011"/>
      <c r="F320" s="2011"/>
      <c r="G320" s="2011"/>
      <c r="H320" s="2011"/>
      <c r="I320" s="2011"/>
      <c r="J320" s="2011"/>
      <c r="K320" s="2011"/>
      <c r="L320" s="2011"/>
      <c r="M320" s="2011"/>
      <c r="N320" s="2011"/>
      <c r="O320" s="2011"/>
      <c r="P320" s="2011"/>
      <c r="Q320" s="2011"/>
      <c r="R320" s="2011"/>
      <c r="S320" s="2011"/>
      <c r="T320" s="2011"/>
      <c r="U320" s="2011"/>
      <c r="V320" s="2011"/>
      <c r="W320" s="2011"/>
      <c r="X320" s="2011"/>
      <c r="Y320" s="2011"/>
      <c r="Z320" s="2011"/>
      <c r="AA320" s="2011"/>
      <c r="AB320" s="2011"/>
      <c r="AC320" s="2011"/>
      <c r="AD320" s="2011"/>
      <c r="AE320" s="2011"/>
      <c r="AF320" s="2011"/>
      <c r="AG320" s="2011"/>
      <c r="AH320" s="2011"/>
      <c r="AI320" s="2011"/>
      <c r="AJ320" s="2011"/>
      <c r="AK320" s="2011"/>
      <c r="AL320" s="2011"/>
      <c r="AM320" s="2011"/>
      <c r="AN320" s="2011"/>
      <c r="AO320" s="2011"/>
      <c r="AP320" s="2011"/>
      <c r="AQ320" s="2011"/>
      <c r="AR320" s="2011"/>
      <c r="AS320" s="2011"/>
      <c r="AT320" s="2011"/>
      <c r="AU320" s="2011"/>
      <c r="AV320" s="2011"/>
      <c r="AW320" s="2011"/>
      <c r="AX320" s="2011"/>
      <c r="AY320" s="2011"/>
      <c r="AZ320" s="2011"/>
      <c r="BA320" s="2011"/>
      <c r="BB320" s="2011"/>
      <c r="BC320" s="2011"/>
      <c r="BD320" s="2011"/>
      <c r="BE320" s="2011"/>
      <c r="BF320" s="2011"/>
      <c r="BG320" s="2011"/>
    </row>
    <row r="321" spans="1:59">
      <c r="A321" s="2011"/>
      <c r="B321" s="2011"/>
      <c r="C321" s="2011"/>
      <c r="D321" s="2011"/>
      <c r="E321" s="2011"/>
      <c r="F321" s="2011"/>
      <c r="G321" s="2011"/>
      <c r="H321" s="2011"/>
      <c r="I321" s="2011"/>
      <c r="J321" s="2011"/>
      <c r="K321" s="2011"/>
      <c r="L321" s="2011"/>
      <c r="M321" s="2011"/>
      <c r="N321" s="2011"/>
      <c r="O321" s="2011"/>
      <c r="P321" s="2011"/>
      <c r="Q321" s="2011"/>
      <c r="R321" s="2011"/>
      <c r="S321" s="2011"/>
      <c r="T321" s="2011"/>
      <c r="U321" s="2011"/>
      <c r="V321" s="2011"/>
      <c r="W321" s="2011"/>
      <c r="X321" s="2011"/>
      <c r="Y321" s="2011"/>
      <c r="Z321" s="2011"/>
      <c r="AA321" s="2011"/>
      <c r="AB321" s="2011"/>
      <c r="AC321" s="2011"/>
      <c r="AD321" s="2011"/>
      <c r="AE321" s="2011"/>
      <c r="AF321" s="2011"/>
      <c r="AG321" s="2011"/>
      <c r="AH321" s="2011"/>
      <c r="AI321" s="2011"/>
      <c r="AJ321" s="2011"/>
      <c r="AK321" s="2011"/>
      <c r="AL321" s="2011"/>
      <c r="AM321" s="2011"/>
      <c r="AN321" s="2011"/>
      <c r="AO321" s="2011"/>
      <c r="AP321" s="2011"/>
      <c r="AQ321" s="2011"/>
      <c r="AR321" s="2011"/>
      <c r="AS321" s="2011"/>
      <c r="AT321" s="2011"/>
      <c r="AU321" s="2011"/>
      <c r="AV321" s="2011"/>
      <c r="AW321" s="2011"/>
      <c r="AX321" s="2011"/>
      <c r="AY321" s="2011"/>
      <c r="AZ321" s="2011"/>
      <c r="BA321" s="2011"/>
      <c r="BB321" s="2011"/>
      <c r="BC321" s="2011"/>
      <c r="BD321" s="2011"/>
      <c r="BE321" s="2011"/>
      <c r="BF321" s="2011"/>
      <c r="BG321" s="2011"/>
    </row>
  </sheetData>
  <mergeCells count="2">
    <mergeCell ref="A1:I1"/>
    <mergeCell ref="B13:C13"/>
  </mergeCells>
  <hyperlinks>
    <hyperlink ref="A1:I1" location="Главная!A1" display="Вернуться на главную страницу" xr:uid="{1AD8AFE7-E081-4E4E-B6E8-A86EBD11E3CC}"/>
  </hyperlink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Лист53">
    <tabColor rgb="FFFFFF00"/>
  </sheetPr>
  <dimension ref="A1:H61"/>
  <sheetViews>
    <sheetView zoomScale="70" zoomScaleNormal="70" workbookViewId="0">
      <pane ySplit="6" topLeftCell="A7" activePane="bottomLeft" state="frozen"/>
      <selection pane="bottomLeft" activeCell="B61" sqref="B61"/>
    </sheetView>
  </sheetViews>
  <sheetFormatPr defaultRowHeight="15"/>
  <cols>
    <col min="1" max="1" width="35.85546875" customWidth="1"/>
    <col min="2" max="8" width="26.85546875" customWidth="1"/>
  </cols>
  <sheetData>
    <row r="1" spans="1:8" ht="15.75">
      <c r="A1" s="97" t="s">
        <v>9</v>
      </c>
      <c r="B1" s="97"/>
      <c r="C1" s="8"/>
      <c r="D1" s="8"/>
    </row>
    <row r="2" spans="1:8" ht="16.5" thickBot="1">
      <c r="A2" s="98"/>
      <c r="B2" s="98"/>
      <c r="C2" s="8"/>
      <c r="D2" s="8"/>
      <c r="E2" s="74"/>
      <c r="F2" s="74"/>
      <c r="G2" s="74"/>
      <c r="H2" s="74"/>
    </row>
    <row r="3" spans="1:8" s="74" customFormat="1" ht="25.5" customHeight="1" thickBot="1">
      <c r="A3" s="2814" t="s">
        <v>98</v>
      </c>
      <c r="B3" s="2815"/>
      <c r="C3" s="2815"/>
      <c r="D3" s="2815"/>
      <c r="E3" s="2815"/>
      <c r="F3" s="2815"/>
      <c r="G3" s="2815"/>
      <c r="H3" s="2816"/>
    </row>
    <row r="4" spans="1:8" ht="35.25" customHeight="1" thickBot="1">
      <c r="A4" s="2805" t="s">
        <v>98</v>
      </c>
      <c r="B4" s="2808" t="s">
        <v>2</v>
      </c>
      <c r="C4" s="2805" t="s">
        <v>1</v>
      </c>
      <c r="D4" s="2805"/>
      <c r="E4" s="2805"/>
      <c r="F4" s="2805"/>
      <c r="G4" s="2805"/>
      <c r="H4" s="2805"/>
    </row>
    <row r="5" spans="1:8" ht="92.25" customHeight="1" thickBot="1">
      <c r="A5" s="2806"/>
      <c r="B5" s="2809"/>
      <c r="C5" s="207">
        <v>160</v>
      </c>
      <c r="D5" s="207">
        <v>200</v>
      </c>
      <c r="E5" s="207">
        <v>260</v>
      </c>
      <c r="F5" s="207">
        <v>300</v>
      </c>
      <c r="G5" s="207">
        <v>360</v>
      </c>
      <c r="H5" s="207">
        <v>400</v>
      </c>
    </row>
    <row r="6" spans="1:8" s="74" customFormat="1" ht="24" customHeight="1" thickBot="1">
      <c r="A6" s="2807"/>
      <c r="B6" s="2810"/>
      <c r="C6" s="2811" t="s">
        <v>169</v>
      </c>
      <c r="D6" s="2812"/>
      <c r="E6" s="2812"/>
      <c r="F6" s="2812"/>
      <c r="G6" s="2812"/>
      <c r="H6" s="2813"/>
    </row>
    <row r="7" spans="1:8" ht="15.75">
      <c r="A7" s="203" t="s">
        <v>614</v>
      </c>
      <c r="B7" s="204">
        <v>600</v>
      </c>
      <c r="C7" s="208">
        <v>911.16001995679585</v>
      </c>
      <c r="D7" s="208">
        <v>1059.5541151924799</v>
      </c>
      <c r="E7" s="208">
        <v>1285.9396694542938</v>
      </c>
      <c r="F7" s="208">
        <v>1434.3337646899779</v>
      </c>
      <c r="G7" s="208">
        <v>1660.7193189517914</v>
      </c>
      <c r="H7" s="208">
        <v>1809.1134141874757</v>
      </c>
    </row>
    <row r="8" spans="1:8" ht="15.75">
      <c r="A8" s="203" t="s">
        <v>614</v>
      </c>
      <c r="B8" s="113">
        <v>650</v>
      </c>
      <c r="C8" s="199">
        <v>970.22161769355387</v>
      </c>
      <c r="D8" s="199">
        <v>1130.2819153848734</v>
      </c>
      <c r="E8" s="199">
        <v>1374.1667733301406</v>
      </c>
      <c r="F8" s="199">
        <v>1534.22707102146</v>
      </c>
      <c r="G8" s="199">
        <v>1778.111928966727</v>
      </c>
      <c r="H8" s="199">
        <v>1938.1722266580466</v>
      </c>
    </row>
    <row r="9" spans="1:8" ht="15.75">
      <c r="A9" s="203" t="s">
        <v>614</v>
      </c>
      <c r="B9" s="113">
        <v>700</v>
      </c>
      <c r="C9" s="199">
        <v>1029.2832154303117</v>
      </c>
      <c r="D9" s="199">
        <v>1201.0097155772669</v>
      </c>
      <c r="E9" s="199">
        <v>1462.3938772059871</v>
      </c>
      <c r="F9" s="199">
        <v>1634.1203773529423</v>
      </c>
      <c r="G9" s="199">
        <v>1895.5045389816626</v>
      </c>
      <c r="H9" s="199">
        <v>2067.2310391286178</v>
      </c>
    </row>
    <row r="10" spans="1:8" ht="15.75">
      <c r="A10" s="203" t="s">
        <v>614</v>
      </c>
      <c r="B10" s="113">
        <v>750</v>
      </c>
      <c r="C10" s="199">
        <v>1088.3448131670696</v>
      </c>
      <c r="D10" s="199">
        <v>1271.7375157696604</v>
      </c>
      <c r="E10" s="199">
        <v>1550.6209810818339</v>
      </c>
      <c r="F10" s="199">
        <v>1734.0136836844247</v>
      </c>
      <c r="G10" s="199">
        <v>2012.8971489965984</v>
      </c>
      <c r="H10" s="199">
        <v>2196.2898515991892</v>
      </c>
    </row>
    <row r="11" spans="1:8" ht="15.75">
      <c r="A11" s="203" t="s">
        <v>614</v>
      </c>
      <c r="B11" s="113">
        <v>800</v>
      </c>
      <c r="C11" s="199">
        <v>1147.4064109038275</v>
      </c>
      <c r="D11" s="199">
        <v>1342.4653159620539</v>
      </c>
      <c r="E11" s="199">
        <v>1638.8480849576806</v>
      </c>
      <c r="F11" s="199">
        <v>1833.906990015907</v>
      </c>
      <c r="G11" s="199">
        <v>2130.289759011534</v>
      </c>
      <c r="H11" s="199">
        <v>2325.3486640697602</v>
      </c>
    </row>
    <row r="12" spans="1:8" ht="15.75">
      <c r="A12" s="203" t="s">
        <v>614</v>
      </c>
      <c r="B12" s="113">
        <v>850</v>
      </c>
      <c r="C12" s="199">
        <v>1206.4680086405856</v>
      </c>
      <c r="D12" s="199">
        <v>1413.1931161544474</v>
      </c>
      <c r="E12" s="199">
        <v>1727.0751888335274</v>
      </c>
      <c r="F12" s="199">
        <v>1933.8002963473891</v>
      </c>
      <c r="G12" s="199">
        <v>2247.6823690264696</v>
      </c>
      <c r="H12" s="199">
        <v>2454.4074765403316</v>
      </c>
    </row>
    <row r="13" spans="1:8" ht="15.75">
      <c r="A13" s="203" t="s">
        <v>614</v>
      </c>
      <c r="B13" s="113">
        <v>900</v>
      </c>
      <c r="C13" s="199">
        <v>1265.5296063773433</v>
      </c>
      <c r="D13" s="199">
        <v>1483.9209163468408</v>
      </c>
      <c r="E13" s="199">
        <v>1815.3022927093743</v>
      </c>
      <c r="F13" s="199">
        <v>2033.6936026788717</v>
      </c>
      <c r="G13" s="199">
        <v>2365.0749790414052</v>
      </c>
      <c r="H13" s="199">
        <v>2583.4662890109025</v>
      </c>
    </row>
    <row r="14" spans="1:8" ht="15.75">
      <c r="A14" s="203" t="s">
        <v>614</v>
      </c>
      <c r="B14" s="113">
        <v>950</v>
      </c>
      <c r="C14" s="199">
        <v>1324.5912041141012</v>
      </c>
      <c r="D14" s="199">
        <v>1554.6487165392341</v>
      </c>
      <c r="E14" s="199">
        <v>1903.5293965852211</v>
      </c>
      <c r="F14" s="199">
        <v>2133.5869090103538</v>
      </c>
      <c r="G14" s="199">
        <v>2482.4675890563408</v>
      </c>
      <c r="H14" s="199">
        <v>2712.5251014814735</v>
      </c>
    </row>
    <row r="15" spans="1:8" ht="15.75">
      <c r="A15" s="203" t="s">
        <v>614</v>
      </c>
      <c r="B15" s="113">
        <v>1000</v>
      </c>
      <c r="C15" s="199">
        <v>1383.6528018508591</v>
      </c>
      <c r="D15" s="199">
        <v>1625.3765167316276</v>
      </c>
      <c r="E15" s="199">
        <v>1991.7565004610678</v>
      </c>
      <c r="F15" s="199">
        <v>2233.4802153418364</v>
      </c>
      <c r="G15" s="199">
        <v>2599.8601990712764</v>
      </c>
      <c r="H15" s="199">
        <v>2841.5839139520449</v>
      </c>
    </row>
    <row r="16" spans="1:8" ht="15.75">
      <c r="A16" s="203" t="s">
        <v>614</v>
      </c>
      <c r="B16" s="113">
        <v>1050</v>
      </c>
      <c r="C16" s="199">
        <v>1442.714399587617</v>
      </c>
      <c r="D16" s="199">
        <v>1696.1043169240211</v>
      </c>
      <c r="E16" s="199">
        <v>2079.9836043369146</v>
      </c>
      <c r="F16" s="199">
        <v>2333.3735216733185</v>
      </c>
      <c r="G16" s="199">
        <v>2717.252809086212</v>
      </c>
      <c r="H16" s="199">
        <v>2970.6427264226163</v>
      </c>
    </row>
    <row r="17" spans="1:8" ht="15.75">
      <c r="A17" s="203" t="s">
        <v>614</v>
      </c>
      <c r="B17" s="113">
        <v>1100</v>
      </c>
      <c r="C17" s="199">
        <v>1501.7759973243749</v>
      </c>
      <c r="D17" s="199">
        <v>1766.8321171164143</v>
      </c>
      <c r="E17" s="199">
        <v>2168.2107082127613</v>
      </c>
      <c r="F17" s="199">
        <v>2433.266828004801</v>
      </c>
      <c r="G17" s="199">
        <v>2834.6454191011476</v>
      </c>
      <c r="H17" s="199">
        <v>3099.7015388931873</v>
      </c>
    </row>
    <row r="18" spans="1:8" ht="15.75">
      <c r="A18" s="203" t="s">
        <v>614</v>
      </c>
      <c r="B18" s="113">
        <v>1150</v>
      </c>
      <c r="C18" s="199">
        <v>1560.837595061133</v>
      </c>
      <c r="D18" s="199">
        <v>1837.5599173088081</v>
      </c>
      <c r="E18" s="199">
        <v>2256.4378120886081</v>
      </c>
      <c r="F18" s="199">
        <v>2533.1601343362831</v>
      </c>
      <c r="G18" s="199">
        <v>2952.0380291160832</v>
      </c>
      <c r="H18" s="199">
        <v>3228.7603513637582</v>
      </c>
    </row>
    <row r="19" spans="1:8" ht="15.75">
      <c r="A19" s="203" t="s">
        <v>614</v>
      </c>
      <c r="B19" s="113">
        <v>1200</v>
      </c>
      <c r="C19" s="199">
        <v>1619.8991927978909</v>
      </c>
      <c r="D19" s="199">
        <v>1908.2877175012015</v>
      </c>
      <c r="E19" s="199">
        <v>2344.6649159644548</v>
      </c>
      <c r="F19" s="199">
        <v>2633.0534406677657</v>
      </c>
      <c r="G19" s="199">
        <v>3069.4306391310192</v>
      </c>
      <c r="H19" s="199">
        <v>3357.8191638343296</v>
      </c>
    </row>
    <row r="20" spans="1:8" ht="15.75">
      <c r="A20" s="203" t="s">
        <v>614</v>
      </c>
      <c r="B20" s="113">
        <v>1250</v>
      </c>
      <c r="C20" s="199">
        <v>1678.9607905346488</v>
      </c>
      <c r="D20" s="199">
        <v>1979.0155176935948</v>
      </c>
      <c r="E20" s="199">
        <v>2432.8920198403016</v>
      </c>
      <c r="F20" s="199">
        <v>2732.9467469992478</v>
      </c>
      <c r="G20" s="199">
        <v>3186.8232491459544</v>
      </c>
      <c r="H20" s="199">
        <v>3486.8779763049006</v>
      </c>
    </row>
    <row r="21" spans="1:8" ht="15.75">
      <c r="A21" s="203" t="s">
        <v>614</v>
      </c>
      <c r="B21" s="113">
        <v>1300</v>
      </c>
      <c r="C21" s="199">
        <v>1738.0223882714067</v>
      </c>
      <c r="D21" s="199">
        <v>2049.7433178859883</v>
      </c>
      <c r="E21" s="199">
        <v>2521.1191237161484</v>
      </c>
      <c r="F21" s="199">
        <v>2832.8400533307299</v>
      </c>
      <c r="G21" s="199">
        <v>3304.21585916089</v>
      </c>
      <c r="H21" s="199">
        <v>3615.9367887754715</v>
      </c>
    </row>
    <row r="22" spans="1:8" ht="15.75">
      <c r="A22" s="203" t="s">
        <v>614</v>
      </c>
      <c r="B22" s="113">
        <v>1350</v>
      </c>
      <c r="C22" s="199">
        <v>1797.0839860081646</v>
      </c>
      <c r="D22" s="199">
        <v>2120.471118078382</v>
      </c>
      <c r="E22" s="199">
        <v>2609.3462275919951</v>
      </c>
      <c r="F22" s="199">
        <v>2932.7333596622125</v>
      </c>
      <c r="G22" s="199">
        <v>3421.608469175826</v>
      </c>
      <c r="H22" s="199">
        <v>3744.9956012460434</v>
      </c>
    </row>
    <row r="23" spans="1:8" ht="15.75">
      <c r="A23" s="203" t="s">
        <v>614</v>
      </c>
      <c r="B23" s="113">
        <v>1400</v>
      </c>
      <c r="C23" s="199">
        <v>1856.1455837449223</v>
      </c>
      <c r="D23" s="199">
        <v>2191.1989182707753</v>
      </c>
      <c r="E23" s="199">
        <v>2697.5733314678419</v>
      </c>
      <c r="F23" s="199">
        <v>3032.6266659936946</v>
      </c>
      <c r="G23" s="199">
        <v>3539.0010791907612</v>
      </c>
      <c r="H23" s="199">
        <v>3874.0544137166144</v>
      </c>
    </row>
    <row r="24" spans="1:8" ht="15.75">
      <c r="A24" s="203" t="s">
        <v>614</v>
      </c>
      <c r="B24" s="113">
        <v>1450</v>
      </c>
      <c r="C24" s="199">
        <v>1915.2071814816802</v>
      </c>
      <c r="D24" s="199">
        <v>2261.9267184631685</v>
      </c>
      <c r="E24" s="199">
        <v>2785.8004353436886</v>
      </c>
      <c r="F24" s="199">
        <v>3132.5199723251767</v>
      </c>
      <c r="G24" s="199">
        <v>3656.3936892056972</v>
      </c>
      <c r="H24" s="199">
        <v>4003.1132261871853</v>
      </c>
    </row>
    <row r="25" spans="1:8" ht="15.75">
      <c r="A25" s="203" t="s">
        <v>614</v>
      </c>
      <c r="B25" s="113">
        <v>1500</v>
      </c>
      <c r="C25" s="199">
        <v>1974.2687792184381</v>
      </c>
      <c r="D25" s="199">
        <v>2332.6545186555622</v>
      </c>
      <c r="E25" s="199">
        <v>2874.0275392195354</v>
      </c>
      <c r="F25" s="199">
        <v>3232.4132786566593</v>
      </c>
      <c r="G25" s="199">
        <v>3773.7862992206328</v>
      </c>
      <c r="H25" s="199">
        <v>4132.1720386577563</v>
      </c>
    </row>
    <row r="26" spans="1:8" ht="15.75">
      <c r="A26" s="203" t="s">
        <v>614</v>
      </c>
      <c r="B26" s="113">
        <v>1550</v>
      </c>
      <c r="C26" s="199">
        <v>2033.3303769551962</v>
      </c>
      <c r="D26" s="199">
        <v>2403.3823188479555</v>
      </c>
      <c r="E26" s="199">
        <v>2962.2546430953821</v>
      </c>
      <c r="F26" s="199">
        <v>3332.3065849881418</v>
      </c>
      <c r="G26" s="199">
        <v>3891.178909235568</v>
      </c>
      <c r="H26" s="199">
        <v>4261.2308511283272</v>
      </c>
    </row>
    <row r="27" spans="1:8" ht="15.75">
      <c r="A27" s="203" t="s">
        <v>614</v>
      </c>
      <c r="B27" s="113">
        <v>1600</v>
      </c>
      <c r="C27" s="199">
        <v>2092.3919746919541</v>
      </c>
      <c r="D27" s="199">
        <v>2474.1101190403492</v>
      </c>
      <c r="E27" s="199">
        <v>3050.4817469712289</v>
      </c>
      <c r="F27" s="199">
        <v>3432.1998913196239</v>
      </c>
      <c r="G27" s="199">
        <v>4008.571519250504</v>
      </c>
      <c r="H27" s="199">
        <v>4390.2896635988982</v>
      </c>
    </row>
    <row r="28" spans="1:8" ht="15.75">
      <c r="A28" s="203" t="s">
        <v>614</v>
      </c>
      <c r="B28" s="113">
        <v>1650</v>
      </c>
      <c r="C28" s="199">
        <v>2151.4535724287121</v>
      </c>
      <c r="D28" s="199">
        <v>2544.8379192327425</v>
      </c>
      <c r="E28" s="199">
        <v>3138.7088508470761</v>
      </c>
      <c r="F28" s="199">
        <v>3532.093197651106</v>
      </c>
      <c r="G28" s="199">
        <v>4125.9641292654396</v>
      </c>
      <c r="H28" s="199">
        <v>4519.3484760694701</v>
      </c>
    </row>
    <row r="29" spans="1:8" ht="15.75">
      <c r="A29" s="203" t="s">
        <v>614</v>
      </c>
      <c r="B29" s="113">
        <v>1700</v>
      </c>
      <c r="C29" s="199">
        <v>2210.51517016547</v>
      </c>
      <c r="D29" s="199">
        <v>2615.5657194251357</v>
      </c>
      <c r="E29" s="199">
        <v>3226.9359547229224</v>
      </c>
      <c r="F29" s="199">
        <v>3631.9865039825881</v>
      </c>
      <c r="G29" s="199">
        <v>4243.3567392803752</v>
      </c>
      <c r="H29" s="199">
        <v>4648.407288540041</v>
      </c>
    </row>
    <row r="30" spans="1:8" ht="15.75">
      <c r="A30" s="203" t="s">
        <v>614</v>
      </c>
      <c r="B30" s="113">
        <v>1750</v>
      </c>
      <c r="C30" s="199">
        <v>2269.5767679022279</v>
      </c>
      <c r="D30" s="199">
        <v>2686.2935196175295</v>
      </c>
      <c r="E30" s="199">
        <v>3315.1630585987696</v>
      </c>
      <c r="F30" s="199">
        <v>3731.8798103140712</v>
      </c>
      <c r="G30" s="199">
        <v>4360.7493492953108</v>
      </c>
      <c r="H30" s="199">
        <v>4777.466101010612</v>
      </c>
    </row>
    <row r="31" spans="1:8" ht="15.75">
      <c r="A31" s="203" t="s">
        <v>614</v>
      </c>
      <c r="B31" s="113">
        <v>1800</v>
      </c>
      <c r="C31" s="199">
        <v>2328.6383656389858</v>
      </c>
      <c r="D31" s="199">
        <v>2757.0213198099232</v>
      </c>
      <c r="E31" s="199">
        <v>3403.3901624746159</v>
      </c>
      <c r="F31" s="199">
        <v>3831.7731166455533</v>
      </c>
      <c r="G31" s="199">
        <v>4478.1419593102464</v>
      </c>
      <c r="H31" s="199">
        <v>4906.5249134811838</v>
      </c>
    </row>
    <row r="32" spans="1:8" ht="15.75">
      <c r="A32" s="203" t="s">
        <v>614</v>
      </c>
      <c r="B32" s="113">
        <v>1850</v>
      </c>
      <c r="C32" s="199">
        <v>2387.6999633757437</v>
      </c>
      <c r="D32" s="199">
        <v>2827.7491200023164</v>
      </c>
      <c r="E32" s="199">
        <v>3491.6172663504631</v>
      </c>
      <c r="F32" s="199">
        <v>3931.6664229770354</v>
      </c>
      <c r="G32" s="199">
        <v>4595.534569325182</v>
      </c>
      <c r="H32" s="199">
        <v>5035.5837259517548</v>
      </c>
    </row>
    <row r="33" spans="1:8" ht="15.75">
      <c r="A33" s="203" t="s">
        <v>614</v>
      </c>
      <c r="B33" s="113">
        <v>1900</v>
      </c>
      <c r="C33" s="199">
        <v>2446.7615611125016</v>
      </c>
      <c r="D33" s="199">
        <v>2898.4769201947097</v>
      </c>
      <c r="E33" s="199">
        <v>3579.8443702263094</v>
      </c>
      <c r="F33" s="199">
        <v>4031.5597293085175</v>
      </c>
      <c r="G33" s="199">
        <v>4712.9271793401176</v>
      </c>
      <c r="H33" s="199">
        <v>5164.6425384223257</v>
      </c>
    </row>
    <row r="34" spans="1:8" ht="15.75">
      <c r="A34" s="203" t="s">
        <v>614</v>
      </c>
      <c r="B34" s="113">
        <v>1950</v>
      </c>
      <c r="C34" s="199">
        <v>2505.8231588492595</v>
      </c>
      <c r="D34" s="199">
        <v>2969.2047203871034</v>
      </c>
      <c r="E34" s="199">
        <v>3668.0714741021566</v>
      </c>
      <c r="F34" s="199">
        <v>4131.4530356400001</v>
      </c>
      <c r="G34" s="199">
        <v>4830.3197893550532</v>
      </c>
      <c r="H34" s="199">
        <v>5293.7013508928976</v>
      </c>
    </row>
    <row r="35" spans="1:8" ht="15.75">
      <c r="A35" s="203" t="s">
        <v>614</v>
      </c>
      <c r="B35" s="113">
        <v>2000</v>
      </c>
      <c r="C35" s="199">
        <v>2564.8847565860174</v>
      </c>
      <c r="D35" s="199">
        <v>3039.9325205794967</v>
      </c>
      <c r="E35" s="199">
        <v>3756.2985779780029</v>
      </c>
      <c r="F35" s="199">
        <v>4231.3463419714826</v>
      </c>
      <c r="G35" s="199">
        <v>4947.7123993699888</v>
      </c>
      <c r="H35" s="199">
        <v>5422.7601633634686</v>
      </c>
    </row>
    <row r="36" spans="1:8" ht="15.75">
      <c r="A36" s="203" t="s">
        <v>614</v>
      </c>
      <c r="B36" s="113">
        <v>2050</v>
      </c>
      <c r="C36" s="199">
        <v>2623.9463543227753</v>
      </c>
      <c r="D36" s="199">
        <v>3110.6603207718899</v>
      </c>
      <c r="E36" s="199">
        <v>3844.5256818538501</v>
      </c>
      <c r="F36" s="199">
        <v>4331.2396483029643</v>
      </c>
      <c r="G36" s="199">
        <v>5065.1050093849244</v>
      </c>
      <c r="H36" s="199">
        <v>5551.8189758340395</v>
      </c>
    </row>
    <row r="37" spans="1:8" ht="15.75">
      <c r="A37" s="203" t="s">
        <v>614</v>
      </c>
      <c r="B37" s="113">
        <v>2100</v>
      </c>
      <c r="C37" s="199">
        <v>2683.0079520595332</v>
      </c>
      <c r="D37" s="199">
        <v>3181.3881209642836</v>
      </c>
      <c r="E37" s="199">
        <v>3932.7527857296964</v>
      </c>
      <c r="F37" s="199">
        <v>4431.1329546344477</v>
      </c>
      <c r="G37" s="199">
        <v>5182.49761939986</v>
      </c>
      <c r="H37" s="199">
        <v>5680.8777883046105</v>
      </c>
    </row>
    <row r="38" spans="1:8" ht="15.75">
      <c r="A38" s="203" t="s">
        <v>614</v>
      </c>
      <c r="B38" s="113">
        <v>2150</v>
      </c>
      <c r="C38" s="199">
        <v>2742.0695497962911</v>
      </c>
      <c r="D38" s="199">
        <v>3252.1159211566769</v>
      </c>
      <c r="E38" s="199">
        <v>4020.9798896055436</v>
      </c>
      <c r="F38" s="199">
        <v>4531.0262609659294</v>
      </c>
      <c r="G38" s="199">
        <v>5299.8902294147956</v>
      </c>
      <c r="H38" s="199">
        <v>5809.9366007751814</v>
      </c>
    </row>
    <row r="39" spans="1:8" ht="15.75">
      <c r="A39" s="203" t="s">
        <v>614</v>
      </c>
      <c r="B39" s="113">
        <v>2200</v>
      </c>
      <c r="C39" s="199">
        <v>2801.131147533049</v>
      </c>
      <c r="D39" s="199">
        <v>3322.8437213490702</v>
      </c>
      <c r="E39" s="199">
        <v>4109.2069934813899</v>
      </c>
      <c r="F39" s="199">
        <v>4630.919567297412</v>
      </c>
      <c r="G39" s="199">
        <v>5417.2828394297312</v>
      </c>
      <c r="H39" s="199">
        <v>5938.9954132457533</v>
      </c>
    </row>
    <row r="40" spans="1:8" ht="15.75">
      <c r="A40" s="203" t="s">
        <v>614</v>
      </c>
      <c r="B40" s="113">
        <v>2250</v>
      </c>
      <c r="C40" s="199">
        <v>2860.1927452698069</v>
      </c>
      <c r="D40" s="199">
        <v>3393.5715215414639</v>
      </c>
      <c r="E40" s="199">
        <v>4197.4340973572371</v>
      </c>
      <c r="F40" s="199">
        <v>4730.8128736288936</v>
      </c>
      <c r="G40" s="199">
        <v>5534.6754494446668</v>
      </c>
      <c r="H40" s="199">
        <v>6068.0542257163233</v>
      </c>
    </row>
    <row r="41" spans="1:8" ht="15.75">
      <c r="A41" s="203" t="s">
        <v>614</v>
      </c>
      <c r="B41" s="113">
        <v>2300</v>
      </c>
      <c r="C41" s="199">
        <v>2919.2543430065648</v>
      </c>
      <c r="D41" s="199">
        <v>3464.2993217338571</v>
      </c>
      <c r="E41" s="199">
        <v>4285.6612012330834</v>
      </c>
      <c r="F41" s="199">
        <v>4830.7061799603762</v>
      </c>
      <c r="G41" s="199">
        <v>5652.0680594596033</v>
      </c>
      <c r="H41" s="199">
        <v>6197.1130381868952</v>
      </c>
    </row>
    <row r="42" spans="1:8" ht="15.75">
      <c r="A42" s="203" t="s">
        <v>614</v>
      </c>
      <c r="B42" s="113">
        <v>2350</v>
      </c>
      <c r="C42" s="199">
        <v>2978.3159407433227</v>
      </c>
      <c r="D42" s="199">
        <v>3535.0271219262504</v>
      </c>
      <c r="E42" s="199">
        <v>4373.8883051089306</v>
      </c>
      <c r="F42" s="199">
        <v>4930.5994862918587</v>
      </c>
      <c r="G42" s="199">
        <v>5769.460669474538</v>
      </c>
      <c r="H42" s="199">
        <v>6326.1718506574671</v>
      </c>
    </row>
    <row r="43" spans="1:8" ht="15.75">
      <c r="A43" s="203" t="s">
        <v>614</v>
      </c>
      <c r="B43" s="113">
        <v>2400</v>
      </c>
      <c r="C43" s="199">
        <v>3037.3775384800806</v>
      </c>
      <c r="D43" s="199">
        <v>3605.7549221186446</v>
      </c>
      <c r="E43" s="199">
        <v>4462.1154089847769</v>
      </c>
      <c r="F43" s="199">
        <v>5030.4927926233413</v>
      </c>
      <c r="G43" s="199">
        <v>5886.8532794894736</v>
      </c>
      <c r="H43" s="199">
        <v>6455.2306631280371</v>
      </c>
    </row>
    <row r="44" spans="1:8" ht="15.75">
      <c r="A44" s="203" t="s">
        <v>614</v>
      </c>
      <c r="B44" s="113">
        <v>2450</v>
      </c>
      <c r="C44" s="199">
        <v>3096.4391362168385</v>
      </c>
      <c r="D44" s="199">
        <v>3676.4827223110378</v>
      </c>
      <c r="E44" s="199">
        <v>4550.3425128606241</v>
      </c>
      <c r="F44" s="199">
        <v>5130.386098954823</v>
      </c>
      <c r="G44" s="199">
        <v>6004.2458895044092</v>
      </c>
      <c r="H44" s="199">
        <v>6584.289475598609</v>
      </c>
    </row>
    <row r="45" spans="1:8" ht="15.75">
      <c r="A45" s="203" t="s">
        <v>614</v>
      </c>
      <c r="B45" s="113">
        <v>2500</v>
      </c>
      <c r="C45" s="199">
        <v>3155.5007339535964</v>
      </c>
      <c r="D45" s="199">
        <v>3747.2105225034311</v>
      </c>
      <c r="E45" s="199">
        <v>4638.5696167364704</v>
      </c>
      <c r="F45" s="199">
        <v>5230.2794052863055</v>
      </c>
      <c r="G45" s="199">
        <v>6121.6384995193457</v>
      </c>
      <c r="H45" s="199">
        <v>6713.348288069179</v>
      </c>
    </row>
    <row r="46" spans="1:8" ht="15.75">
      <c r="A46" s="203" t="s">
        <v>614</v>
      </c>
      <c r="B46" s="113">
        <v>2550</v>
      </c>
      <c r="C46" s="199">
        <v>3214.5623316903548</v>
      </c>
      <c r="D46" s="199">
        <v>3817.9383226958248</v>
      </c>
      <c r="E46" s="199">
        <v>4726.7967206123176</v>
      </c>
      <c r="F46" s="199">
        <v>5330.1727116177881</v>
      </c>
      <c r="G46" s="199">
        <v>6239.0311095342813</v>
      </c>
      <c r="H46" s="199">
        <v>6842.4071005397509</v>
      </c>
    </row>
    <row r="47" spans="1:8" ht="15.75">
      <c r="A47" s="203" t="s">
        <v>614</v>
      </c>
      <c r="B47" s="113">
        <v>2600</v>
      </c>
      <c r="C47" s="199">
        <v>3273.6239294271122</v>
      </c>
      <c r="D47" s="199">
        <v>3888.6661228882181</v>
      </c>
      <c r="E47" s="199">
        <v>4815.0238244881639</v>
      </c>
      <c r="F47" s="199">
        <v>5430.0660179492697</v>
      </c>
      <c r="G47" s="199">
        <v>6356.423719549216</v>
      </c>
      <c r="H47" s="199">
        <v>6971.4659130103219</v>
      </c>
    </row>
    <row r="48" spans="1:8" ht="15.75">
      <c r="A48" s="203" t="s">
        <v>614</v>
      </c>
      <c r="B48" s="113">
        <v>2650</v>
      </c>
      <c r="C48" s="199">
        <v>3332.6855271638706</v>
      </c>
      <c r="D48" s="199">
        <v>3959.3939230806113</v>
      </c>
      <c r="E48" s="199">
        <v>4903.2509283640111</v>
      </c>
      <c r="F48" s="199">
        <v>5529.9593242807523</v>
      </c>
      <c r="G48" s="199">
        <v>6473.8163295641516</v>
      </c>
      <c r="H48" s="199">
        <v>7100.5247254808937</v>
      </c>
    </row>
    <row r="49" spans="1:8" ht="15.75">
      <c r="A49" s="203" t="s">
        <v>614</v>
      </c>
      <c r="B49" s="113">
        <v>2700</v>
      </c>
      <c r="C49" s="199">
        <v>3391.747124900628</v>
      </c>
      <c r="D49" s="199">
        <v>4030.121723273005</v>
      </c>
      <c r="E49" s="199">
        <v>4991.4780322398583</v>
      </c>
      <c r="F49" s="199">
        <v>5629.8526306122349</v>
      </c>
      <c r="G49" s="199">
        <v>6591.2089395790872</v>
      </c>
      <c r="H49" s="199">
        <v>7229.5835379514647</v>
      </c>
    </row>
    <row r="50" spans="1:8" ht="15.75">
      <c r="A50" s="203" t="s">
        <v>614</v>
      </c>
      <c r="B50" s="113">
        <v>2750</v>
      </c>
      <c r="C50" s="199">
        <v>3450.8087226373864</v>
      </c>
      <c r="D50" s="199">
        <v>4100.8495234653983</v>
      </c>
      <c r="E50" s="199">
        <v>5079.7051361157046</v>
      </c>
      <c r="F50" s="199">
        <v>5729.7459369437174</v>
      </c>
      <c r="G50" s="199">
        <v>6708.6015495940237</v>
      </c>
      <c r="H50" s="199">
        <v>7358.6423504220356</v>
      </c>
    </row>
    <row r="51" spans="1:8" ht="15.75">
      <c r="A51" s="203" t="s">
        <v>614</v>
      </c>
      <c r="B51" s="113">
        <v>2800</v>
      </c>
      <c r="C51" s="199">
        <v>3509.8703203741438</v>
      </c>
      <c r="D51" s="199">
        <v>4171.5773236577916</v>
      </c>
      <c r="E51" s="199">
        <v>5167.9322399915518</v>
      </c>
      <c r="F51" s="199">
        <v>5829.6392432752</v>
      </c>
      <c r="G51" s="199">
        <v>6825.9941596089593</v>
      </c>
      <c r="H51" s="199">
        <v>7487.7011628926075</v>
      </c>
    </row>
    <row r="52" spans="1:8" ht="15.75">
      <c r="A52" s="203" t="s">
        <v>614</v>
      </c>
      <c r="B52" s="113">
        <v>2850</v>
      </c>
      <c r="C52" s="199">
        <v>3568.9319181109017</v>
      </c>
      <c r="D52" s="199">
        <v>4242.3051238501857</v>
      </c>
      <c r="E52" s="199">
        <v>5256.1593438673981</v>
      </c>
      <c r="F52" s="199">
        <v>5929.5325496066826</v>
      </c>
      <c r="G52" s="199">
        <v>6943.3867696238949</v>
      </c>
      <c r="H52" s="199">
        <v>7616.7599753631775</v>
      </c>
    </row>
    <row r="53" spans="1:8" ht="15.75">
      <c r="A53" s="203" t="s">
        <v>614</v>
      </c>
      <c r="B53" s="113">
        <v>2900</v>
      </c>
      <c r="C53" s="199">
        <v>3627.9935158476596</v>
      </c>
      <c r="D53" s="199">
        <v>4313.032924042579</v>
      </c>
      <c r="E53" s="199">
        <v>5344.3864477432453</v>
      </c>
      <c r="F53" s="199">
        <v>6029.4258559381642</v>
      </c>
      <c r="G53" s="199">
        <v>7060.7793796388296</v>
      </c>
      <c r="H53" s="199">
        <v>7745.8187878337494</v>
      </c>
    </row>
    <row r="54" spans="1:8" ht="15.75">
      <c r="A54" s="203" t="s">
        <v>614</v>
      </c>
      <c r="B54" s="113">
        <v>2950</v>
      </c>
      <c r="C54" s="199">
        <v>3687.0551135844175</v>
      </c>
      <c r="D54" s="199">
        <v>4383.7607242349723</v>
      </c>
      <c r="E54" s="199">
        <v>5432.6135516190916</v>
      </c>
      <c r="F54" s="199">
        <v>6129.3191622696468</v>
      </c>
      <c r="G54" s="199">
        <v>7178.1719896537652</v>
      </c>
      <c r="H54" s="199">
        <v>7874.8776003043213</v>
      </c>
    </row>
    <row r="55" spans="1:8" ht="16.5" thickBot="1">
      <c r="A55" s="203" t="s">
        <v>614</v>
      </c>
      <c r="B55" s="157">
        <v>3000</v>
      </c>
      <c r="C55" s="200">
        <v>3746.1167113211759</v>
      </c>
      <c r="D55" s="200">
        <v>4454.4885244273655</v>
      </c>
      <c r="E55" s="200">
        <v>5520.8406554949388</v>
      </c>
      <c r="F55" s="200">
        <v>6229.2124686011284</v>
      </c>
      <c r="G55" s="200">
        <v>7295.5645996687017</v>
      </c>
      <c r="H55" s="200">
        <v>8003.9364127748913</v>
      </c>
    </row>
    <row r="56" spans="1:8" ht="15.75" thickBot="1"/>
    <row r="57" spans="1:8" ht="27" thickBot="1">
      <c r="A57" s="2793" t="s">
        <v>615</v>
      </c>
      <c r="B57" s="2794"/>
      <c r="C57" s="2794"/>
      <c r="D57" s="2794"/>
      <c r="E57" s="2794"/>
      <c r="F57" s="2794"/>
      <c r="G57" s="2794"/>
      <c r="H57" s="2795"/>
    </row>
    <row r="58" spans="1:8" ht="16.5" thickBot="1">
      <c r="A58" s="2796" t="s">
        <v>615</v>
      </c>
      <c r="B58" s="2799" t="s">
        <v>2</v>
      </c>
      <c r="C58" s="2796" t="s">
        <v>1</v>
      </c>
      <c r="D58" s="2796"/>
      <c r="E58" s="2796"/>
      <c r="F58" s="2796"/>
      <c r="G58" s="2796"/>
      <c r="H58" s="2796"/>
    </row>
    <row r="59" spans="1:8" ht="16.5" thickBot="1">
      <c r="A59" s="2797"/>
      <c r="B59" s="2800"/>
      <c r="C59" s="1302">
        <v>160</v>
      </c>
      <c r="D59" s="1302">
        <v>200</v>
      </c>
      <c r="E59" s="1302">
        <v>260</v>
      </c>
      <c r="F59" s="1302">
        <v>300</v>
      </c>
      <c r="G59" s="1302">
        <v>360</v>
      </c>
      <c r="H59" s="1302">
        <v>400</v>
      </c>
    </row>
    <row r="60" spans="1:8" ht="16.5" thickBot="1">
      <c r="A60" s="2798"/>
      <c r="B60" s="2801"/>
      <c r="C60" s="2802" t="s">
        <v>169</v>
      </c>
      <c r="D60" s="2803"/>
      <c r="E60" s="2803"/>
      <c r="F60" s="2803"/>
      <c r="G60" s="2803"/>
      <c r="H60" s="2804"/>
    </row>
    <row r="61" spans="1:8" ht="15.75">
      <c r="A61" s="1303" t="s">
        <v>616</v>
      </c>
      <c r="B61" s="204" t="s">
        <v>617</v>
      </c>
      <c r="C61" s="208">
        <v>898.51752000000022</v>
      </c>
      <c r="D61" s="208">
        <v>1123.1469000000002</v>
      </c>
      <c r="E61" s="208">
        <v>1460.0909700000002</v>
      </c>
      <c r="F61" s="208">
        <v>1684.7203500000003</v>
      </c>
      <c r="G61" s="208">
        <v>2021.6644200000005</v>
      </c>
      <c r="H61" s="208">
        <v>2246.2938000000004</v>
      </c>
    </row>
  </sheetData>
  <mergeCells count="10">
    <mergeCell ref="C4:H4"/>
    <mergeCell ref="A4:A6"/>
    <mergeCell ref="B4:B6"/>
    <mergeCell ref="C6:H6"/>
    <mergeCell ref="A3:H3"/>
    <mergeCell ref="A57:H57"/>
    <mergeCell ref="A58:A60"/>
    <mergeCell ref="B58:B60"/>
    <mergeCell ref="C58:H58"/>
    <mergeCell ref="C60:H60"/>
  </mergeCells>
  <hyperlinks>
    <hyperlink ref="A1" location="Главная!A1" display="Вернуться на главную страницу" xr:uid="{00000000-0004-0000-2500-000000000000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Лист54">
    <tabColor rgb="FF00B0F0"/>
  </sheetPr>
  <dimension ref="A1:O186"/>
  <sheetViews>
    <sheetView zoomScale="70" zoomScaleNormal="70" workbookViewId="0">
      <selection activeCell="F42" sqref="F42"/>
    </sheetView>
  </sheetViews>
  <sheetFormatPr defaultRowHeight="15.75" outlineLevelCol="1"/>
  <cols>
    <col min="1" max="1" width="16.7109375" style="96" customWidth="1"/>
    <col min="2" max="2" width="16.85546875" style="96" bestFit="1" customWidth="1"/>
    <col min="3" max="6" width="40.7109375" style="8" customWidth="1"/>
    <col min="7" max="11" width="18.7109375" style="1" hidden="1" customWidth="1" outlineLevel="1"/>
    <col min="12" max="12" width="9.140625" collapsed="1"/>
  </cols>
  <sheetData>
    <row r="1" spans="1:11" ht="15.75" customHeight="1">
      <c r="A1" s="97" t="s">
        <v>9</v>
      </c>
      <c r="B1" s="97"/>
      <c r="G1" s="2856" t="s">
        <v>94</v>
      </c>
      <c r="H1" s="2857"/>
      <c r="I1" s="2857"/>
      <c r="J1" s="2857"/>
      <c r="K1" s="2858"/>
    </row>
    <row r="2" spans="1:11" s="74" customFormat="1" ht="15.75" customHeight="1">
      <c r="A2" s="8"/>
      <c r="B2" s="8"/>
      <c r="C2" s="8"/>
      <c r="D2" s="8"/>
      <c r="E2" s="8"/>
      <c r="F2" s="8"/>
      <c r="G2" s="2859"/>
      <c r="H2" s="2860"/>
      <c r="I2" s="2860"/>
      <c r="J2" s="2860"/>
      <c r="K2" s="2861"/>
    </row>
    <row r="3" spans="1:11" ht="16.5" thickBot="1">
      <c r="A3" s="98"/>
      <c r="B3" s="98"/>
      <c r="G3" s="2862"/>
      <c r="H3" s="2863"/>
      <c r="I3" s="2863"/>
      <c r="J3" s="2863"/>
      <c r="K3" s="2864"/>
    </row>
    <row r="4" spans="1:11" ht="26.25" customHeight="1" thickBot="1">
      <c r="A4" s="2867" t="s">
        <v>21</v>
      </c>
      <c r="B4" s="2868"/>
      <c r="C4" s="46" t="s">
        <v>22</v>
      </c>
      <c r="D4" s="46" t="s">
        <v>53</v>
      </c>
      <c r="E4" s="46" t="s">
        <v>56</v>
      </c>
      <c r="F4" s="46" t="s">
        <v>33</v>
      </c>
      <c r="G4" s="177" t="s">
        <v>22</v>
      </c>
      <c r="H4" s="177" t="s">
        <v>53</v>
      </c>
      <c r="I4" s="177" t="s">
        <v>56</v>
      </c>
      <c r="J4" s="177" t="s">
        <v>33</v>
      </c>
      <c r="K4" s="177" t="s">
        <v>34</v>
      </c>
    </row>
    <row r="5" spans="1:11" ht="16.5" thickBot="1">
      <c r="A5" s="2865" t="s">
        <v>23</v>
      </c>
      <c r="B5" s="2866"/>
      <c r="C5" s="33">
        <v>50</v>
      </c>
      <c r="D5" s="33" t="s">
        <v>54</v>
      </c>
      <c r="E5" s="33" t="s">
        <v>54</v>
      </c>
      <c r="F5" s="33">
        <v>100</v>
      </c>
      <c r="G5" s="177">
        <v>50</v>
      </c>
      <c r="H5" s="177" t="s">
        <v>54</v>
      </c>
      <c r="I5" s="177" t="s">
        <v>54</v>
      </c>
      <c r="J5" s="177">
        <v>100</v>
      </c>
      <c r="K5" s="177">
        <v>100</v>
      </c>
    </row>
    <row r="6" spans="1:11" s="2" customFormat="1" ht="16.5" thickBot="1">
      <c r="A6" s="2867" t="s">
        <v>24</v>
      </c>
      <c r="B6" s="2869"/>
      <c r="C6" s="101">
        <v>100</v>
      </c>
      <c r="D6" s="101" t="s">
        <v>55</v>
      </c>
      <c r="E6" s="101" t="s">
        <v>57</v>
      </c>
      <c r="F6" s="101">
        <v>200</v>
      </c>
      <c r="G6" s="178">
        <v>100</v>
      </c>
      <c r="H6" s="178" t="s">
        <v>55</v>
      </c>
      <c r="I6" s="178" t="s">
        <v>57</v>
      </c>
      <c r="J6" s="178">
        <v>200</v>
      </c>
      <c r="K6" s="178">
        <v>300</v>
      </c>
    </row>
    <row r="7" spans="1:11" s="2" customFormat="1" ht="16.5" thickBot="1">
      <c r="A7" s="2867" t="s">
        <v>25</v>
      </c>
      <c r="B7" s="2869"/>
      <c r="C7" s="101">
        <v>2</v>
      </c>
      <c r="D7" s="101">
        <v>4</v>
      </c>
      <c r="E7" s="101">
        <v>6</v>
      </c>
      <c r="F7" s="101">
        <v>8</v>
      </c>
      <c r="G7" s="101">
        <v>2</v>
      </c>
      <c r="H7" s="101">
        <v>4</v>
      </c>
      <c r="I7" s="101">
        <v>6</v>
      </c>
      <c r="J7" s="101">
        <v>8</v>
      </c>
      <c r="K7" s="101">
        <v>12</v>
      </c>
    </row>
    <row r="8" spans="1:11" ht="126.75" customHeight="1" thickBot="1">
      <c r="A8" s="2870" t="s">
        <v>18</v>
      </c>
      <c r="B8" s="2872" t="s">
        <v>26</v>
      </c>
      <c r="C8" s="73"/>
      <c r="D8" s="73"/>
      <c r="E8" s="73"/>
      <c r="F8" s="73"/>
    </row>
    <row r="9" spans="1:11" ht="16.5" thickBot="1">
      <c r="A9" s="2871"/>
      <c r="B9" s="2873"/>
      <c r="C9" s="2844" t="s">
        <v>58</v>
      </c>
      <c r="D9" s="2845"/>
      <c r="E9" s="2845"/>
      <c r="F9" s="2846"/>
    </row>
    <row r="10" spans="1:11" s="74" customFormat="1" ht="15">
      <c r="A10" s="2853" t="s">
        <v>398</v>
      </c>
      <c r="B10" s="2853"/>
      <c r="C10" s="2853"/>
      <c r="D10" s="2853"/>
      <c r="E10" s="2853"/>
      <c r="F10" s="2835">
        <v>1000</v>
      </c>
      <c r="G10" s="1"/>
      <c r="H10" s="1"/>
      <c r="I10" s="1"/>
      <c r="J10" s="1"/>
      <c r="K10" s="1"/>
    </row>
    <row r="11" spans="1:11" s="74" customFormat="1" ht="15">
      <c r="A11" s="2854"/>
      <c r="B11" s="2854"/>
      <c r="C11" s="2854"/>
      <c r="D11" s="2854"/>
      <c r="E11" s="2854"/>
      <c r="F11" s="2836"/>
      <c r="G11" s="1"/>
      <c r="H11" s="1"/>
      <c r="I11" s="1"/>
      <c r="J11" s="1"/>
      <c r="K11" s="1"/>
    </row>
    <row r="12" spans="1:11" s="74" customFormat="1" thickBot="1">
      <c r="A12" s="2855"/>
      <c r="B12" s="2855"/>
      <c r="C12" s="2855"/>
      <c r="D12" s="2855"/>
      <c r="E12" s="2855"/>
      <c r="F12" s="2837"/>
      <c r="G12" s="1"/>
      <c r="H12" s="1"/>
      <c r="I12" s="1"/>
      <c r="J12" s="1"/>
      <c r="K12" s="1"/>
    </row>
    <row r="13" spans="1:11" ht="16.5" customHeight="1" thickBot="1">
      <c r="A13" s="101">
        <v>500</v>
      </c>
      <c r="B13" s="102">
        <v>400</v>
      </c>
      <c r="C13" s="67">
        <v>5492.6026418127385</v>
      </c>
      <c r="D13" s="68">
        <v>8957.5971702306779</v>
      </c>
      <c r="E13" s="68">
        <v>12455.993947061252</v>
      </c>
      <c r="F13" s="68">
        <v>15920.988335085827</v>
      </c>
      <c r="G13" s="1">
        <v>0.52726900789499997</v>
      </c>
      <c r="H13" s="1">
        <v>0.87765437642999977</v>
      </c>
      <c r="I13" s="1">
        <v>1.2519696767249997</v>
      </c>
      <c r="J13" s="1">
        <v>1.6262503006199998</v>
      </c>
      <c r="K13" s="1">
        <v>2.3748025196099989</v>
      </c>
    </row>
    <row r="14" spans="1:11" ht="16.5" customHeight="1" thickBot="1">
      <c r="A14" s="101">
        <v>550</v>
      </c>
      <c r="B14" s="102">
        <v>450</v>
      </c>
      <c r="C14" s="69">
        <v>5730.5696720369642</v>
      </c>
      <c r="D14" s="70">
        <v>9433.5310902857636</v>
      </c>
      <c r="E14" s="70">
        <v>13169.894897340564</v>
      </c>
      <c r="F14" s="70">
        <v>16872.856315589368</v>
      </c>
      <c r="G14" s="1">
        <v>0.59389139777500011</v>
      </c>
      <c r="H14" s="1">
        <v>1.0109062841900001</v>
      </c>
      <c r="I14" s="1">
        <v>1.4518462843650002</v>
      </c>
      <c r="J14" s="1">
        <v>1.89274995814</v>
      </c>
      <c r="K14" s="1">
        <v>2.7745476168900001</v>
      </c>
    </row>
    <row r="15" spans="1:11" ht="16.5" customHeight="1" thickBot="1">
      <c r="A15" s="101">
        <v>600</v>
      </c>
      <c r="B15" s="102">
        <v>500</v>
      </c>
      <c r="C15" s="69">
        <v>5968.536702261189</v>
      </c>
      <c r="D15" s="70">
        <v>9909.465010340853</v>
      </c>
      <c r="E15" s="70">
        <v>13883.795847619876</v>
      </c>
      <c r="F15" s="70">
        <v>17824.724296092903</v>
      </c>
      <c r="G15" s="1">
        <v>0.66051378765500024</v>
      </c>
      <c r="H15" s="1">
        <v>1.1441439359500003</v>
      </c>
      <c r="I15" s="1">
        <v>1.6517040160050005</v>
      </c>
      <c r="J15" s="1">
        <v>2.1592294196600004</v>
      </c>
      <c r="K15" s="1">
        <v>3.1742711981700005</v>
      </c>
    </row>
    <row r="16" spans="1:11" ht="16.5" customHeight="1" thickBot="1">
      <c r="A16" s="101">
        <v>650</v>
      </c>
      <c r="B16" s="102">
        <v>550</v>
      </c>
      <c r="C16" s="69">
        <v>6206.5035920920518</v>
      </c>
      <c r="D16" s="70">
        <v>10385.399070789303</v>
      </c>
      <c r="E16" s="70">
        <v>14597.696797899191</v>
      </c>
      <c r="F16" s="70">
        <v>18776.592136203079</v>
      </c>
      <c r="G16" s="1">
        <v>0.72713617753500004</v>
      </c>
      <c r="H16" s="1">
        <v>1.2773958437099999</v>
      </c>
      <c r="I16" s="1">
        <v>1.8515806236449999</v>
      </c>
      <c r="J16" s="1">
        <v>2.4257290771799993</v>
      </c>
      <c r="K16" s="1">
        <v>3.5740162954499994</v>
      </c>
    </row>
    <row r="17" spans="1:11" ht="16.5" customHeight="1" thickBot="1">
      <c r="A17" s="101">
        <v>700</v>
      </c>
      <c r="B17" s="102">
        <v>600</v>
      </c>
      <c r="C17" s="69">
        <v>6444.4706223162766</v>
      </c>
      <c r="D17" s="70">
        <v>10861.33299084439</v>
      </c>
      <c r="E17" s="70">
        <v>15311.597748178503</v>
      </c>
      <c r="F17" s="70">
        <v>19728.460116706618</v>
      </c>
      <c r="G17" s="1">
        <v>0.79375856741499973</v>
      </c>
      <c r="H17" s="1">
        <v>1.4106477514699995</v>
      </c>
      <c r="I17" s="1">
        <v>2.0514572312849992</v>
      </c>
      <c r="J17" s="1">
        <v>2.6922287346999987</v>
      </c>
      <c r="K17" s="1">
        <v>3.9737613927299984</v>
      </c>
    </row>
    <row r="18" spans="1:11" ht="16.5" customHeight="1" thickBot="1">
      <c r="A18" s="101">
        <v>750</v>
      </c>
      <c r="B18" s="102">
        <v>650</v>
      </c>
      <c r="C18" s="69">
        <v>6682.4375121471394</v>
      </c>
      <c r="D18" s="70">
        <v>11337.266910899478</v>
      </c>
      <c r="E18" s="70">
        <v>16025.498698457815</v>
      </c>
      <c r="F18" s="70">
        <v>20680.327956816793</v>
      </c>
      <c r="G18" s="1">
        <v>0.86038095729499997</v>
      </c>
      <c r="H18" s="1">
        <v>1.5438996592300001</v>
      </c>
      <c r="I18" s="1">
        <v>2.2513338389249995</v>
      </c>
      <c r="J18" s="1">
        <v>2.9587283922199994</v>
      </c>
      <c r="K18" s="1">
        <v>4.3735064900100005</v>
      </c>
    </row>
    <row r="19" spans="1:11" ht="16.5" customHeight="1" thickBot="1">
      <c r="A19" s="101">
        <v>800</v>
      </c>
      <c r="B19" s="102">
        <v>700</v>
      </c>
      <c r="C19" s="69">
        <v>6920.4045423713633</v>
      </c>
      <c r="D19" s="70">
        <v>11813.200830954565</v>
      </c>
      <c r="E19" s="70">
        <v>16739.39964873713</v>
      </c>
      <c r="F19" s="70">
        <v>21632.195937320332</v>
      </c>
      <c r="G19" s="1">
        <v>0.92700334717499999</v>
      </c>
      <c r="H19" s="1">
        <v>1.6771515669900001</v>
      </c>
      <c r="I19" s="1">
        <v>2.4512104465649993</v>
      </c>
      <c r="J19" s="1">
        <v>3.2252280497399997</v>
      </c>
      <c r="K19" s="1">
        <v>4.7732515872899999</v>
      </c>
    </row>
    <row r="20" spans="1:11" ht="16.5" customHeight="1" thickBot="1">
      <c r="A20" s="101">
        <v>850</v>
      </c>
      <c r="B20" s="102">
        <v>750</v>
      </c>
      <c r="C20" s="69">
        <v>7158.371572595589</v>
      </c>
      <c r="D20" s="70">
        <v>12289.134891403013</v>
      </c>
      <c r="E20" s="70">
        <v>17453.300599016442</v>
      </c>
      <c r="F20" s="70">
        <v>22584.063917823867</v>
      </c>
      <c r="G20" s="1">
        <v>0.9936257370549999</v>
      </c>
      <c r="H20" s="1">
        <v>1.81040347475</v>
      </c>
      <c r="I20" s="1">
        <v>2.6510870542049991</v>
      </c>
      <c r="J20" s="1">
        <v>3.4917277072599995</v>
      </c>
      <c r="K20" s="1">
        <v>5.1729966845699993</v>
      </c>
    </row>
    <row r="21" spans="1:11" ht="16.5" customHeight="1" thickBot="1">
      <c r="A21" s="101">
        <v>900</v>
      </c>
      <c r="B21" s="102">
        <v>800</v>
      </c>
      <c r="C21" s="69">
        <v>7396.3384624264518</v>
      </c>
      <c r="D21" s="70">
        <v>12765.068811458104</v>
      </c>
      <c r="E21" s="70">
        <v>18167.201549295754</v>
      </c>
      <c r="F21" s="70">
        <v>23535.931757934039</v>
      </c>
      <c r="G21" s="1">
        <v>1.0602481269350001</v>
      </c>
      <c r="H21" s="1">
        <v>1.9436553825100007</v>
      </c>
      <c r="I21" s="1">
        <v>2.8509636618450003</v>
      </c>
      <c r="J21" s="1">
        <v>3.7582273647800006</v>
      </c>
      <c r="K21" s="1">
        <v>5.5727417818500022</v>
      </c>
    </row>
    <row r="22" spans="1:11" ht="16.5" customHeight="1" thickBot="1">
      <c r="A22" s="101">
        <v>950</v>
      </c>
      <c r="B22" s="102">
        <v>850</v>
      </c>
      <c r="C22" s="69">
        <v>7634.3054926506766</v>
      </c>
      <c r="D22" s="70">
        <v>13241.00273151319</v>
      </c>
      <c r="E22" s="70">
        <v>18881.102499575067</v>
      </c>
      <c r="F22" s="70">
        <v>24487.799738437578</v>
      </c>
      <c r="G22" s="1">
        <v>1.1268705168149997</v>
      </c>
      <c r="H22" s="1">
        <v>2.076907290269999</v>
      </c>
      <c r="I22" s="1">
        <v>3.0508402694849988</v>
      </c>
      <c r="J22" s="1">
        <v>4.0247270222999987</v>
      </c>
      <c r="K22" s="1">
        <v>5.972486879129999</v>
      </c>
    </row>
    <row r="23" spans="1:11" ht="16.5" customHeight="1" thickBot="1">
      <c r="A23" s="101">
        <v>1000</v>
      </c>
      <c r="B23" s="102">
        <v>900</v>
      </c>
      <c r="C23" s="69">
        <v>7872.2725228749014</v>
      </c>
      <c r="D23" s="70">
        <v>13716.93679196164</v>
      </c>
      <c r="E23" s="70">
        <v>19595.003449854379</v>
      </c>
      <c r="F23" s="70">
        <v>25439.667578547753</v>
      </c>
      <c r="G23" s="1">
        <v>1.193492906695</v>
      </c>
      <c r="H23" s="1">
        <v>2.2101591980299995</v>
      </c>
      <c r="I23" s="1">
        <v>3.250716877124999</v>
      </c>
      <c r="J23" s="1">
        <v>4.2912266798200003</v>
      </c>
      <c r="K23" s="1">
        <v>6.3722319764099993</v>
      </c>
    </row>
    <row r="24" spans="1:11" ht="16.5" customHeight="1" thickBot="1">
      <c r="A24" s="101">
        <v>1050</v>
      </c>
      <c r="B24" s="102">
        <v>950</v>
      </c>
      <c r="C24" s="69">
        <v>8110.2394127057642</v>
      </c>
      <c r="D24" s="70">
        <v>14192.870712016727</v>
      </c>
      <c r="E24" s="70">
        <v>20308.904400133692</v>
      </c>
      <c r="F24" s="70">
        <v>26391.535559051292</v>
      </c>
      <c r="G24" s="1">
        <v>1.2601152965749998</v>
      </c>
      <c r="H24" s="1">
        <v>2.3434111057899987</v>
      </c>
      <c r="I24" s="1">
        <v>3.4505934847649984</v>
      </c>
      <c r="J24" s="1">
        <v>4.5577263373399992</v>
      </c>
      <c r="K24" s="1">
        <v>6.7719770736899978</v>
      </c>
    </row>
    <row r="25" spans="1:11" ht="16.5" customHeight="1" thickBot="1">
      <c r="A25" s="101">
        <v>1100</v>
      </c>
      <c r="B25" s="102">
        <v>1000</v>
      </c>
      <c r="C25" s="69">
        <v>8348.206442929988</v>
      </c>
      <c r="D25" s="70">
        <v>14668.804632071817</v>
      </c>
      <c r="E25" s="70">
        <v>21022.805350413004</v>
      </c>
      <c r="F25" s="70">
        <v>27343.403539554831</v>
      </c>
      <c r="G25" s="1">
        <v>1.3267376864549998</v>
      </c>
      <c r="H25" s="1">
        <v>2.4766630135499987</v>
      </c>
      <c r="I25" s="1">
        <v>3.6504700924049982</v>
      </c>
      <c r="J25" s="1">
        <v>4.824225994859999</v>
      </c>
      <c r="K25" s="1">
        <v>7.1717221709699981</v>
      </c>
    </row>
    <row r="26" spans="1:11" ht="16.5" customHeight="1" thickBot="1">
      <c r="A26" s="101">
        <v>1150</v>
      </c>
      <c r="B26" s="102">
        <v>1050</v>
      </c>
      <c r="C26" s="69">
        <v>8586.1734731542147</v>
      </c>
      <c r="D26" s="70">
        <v>15144.738692520265</v>
      </c>
      <c r="E26" s="70">
        <v>21736.706160298952</v>
      </c>
      <c r="F26" s="70">
        <v>28295.271379665006</v>
      </c>
      <c r="G26" s="1">
        <v>1.393360076335</v>
      </c>
      <c r="H26" s="1">
        <v>2.6099149213099997</v>
      </c>
      <c r="I26" s="1">
        <v>3.8503467000449998</v>
      </c>
      <c r="J26" s="1">
        <v>5.0907256523800006</v>
      </c>
      <c r="K26" s="1">
        <v>7.571467268250001</v>
      </c>
    </row>
    <row r="27" spans="1:11" ht="16.5" customHeight="1" thickBot="1">
      <c r="A27" s="101">
        <v>1200</v>
      </c>
      <c r="B27" s="102">
        <v>1100</v>
      </c>
      <c r="C27" s="69">
        <v>8876.6529559012142</v>
      </c>
      <c r="D27" s="70">
        <v>15708.996323217903</v>
      </c>
      <c r="E27" s="70">
        <v>22591.443414136957</v>
      </c>
      <c r="F27" s="70">
        <v>29423.786921847004</v>
      </c>
      <c r="G27" s="1">
        <v>1.4992324662149996</v>
      </c>
      <c r="H27" s="1">
        <v>2.8216668290699989</v>
      </c>
      <c r="I27" s="1">
        <v>4.1679733076849992</v>
      </c>
      <c r="J27" s="1">
        <v>5.5142253098999996</v>
      </c>
      <c r="K27" s="1">
        <v>8.2067123655299987</v>
      </c>
    </row>
    <row r="28" spans="1:11" ht="16.5" customHeight="1" thickBot="1">
      <c r="A28" s="101">
        <v>1250</v>
      </c>
      <c r="B28" s="102">
        <v>1150</v>
      </c>
      <c r="C28" s="69">
        <v>9114.619845732077</v>
      </c>
      <c r="D28" s="70">
        <v>16184.930383666353</v>
      </c>
      <c r="E28" s="70">
        <v>23305.344364416265</v>
      </c>
      <c r="F28" s="70">
        <v>30375.654902350543</v>
      </c>
      <c r="G28" s="1">
        <v>1.5658548560950001</v>
      </c>
      <c r="H28" s="1">
        <v>2.9549187368299994</v>
      </c>
      <c r="I28" s="1">
        <v>4.3678499153249994</v>
      </c>
      <c r="J28" s="1">
        <v>5.7807249674200003</v>
      </c>
      <c r="K28" s="1">
        <v>8.606457462809999</v>
      </c>
    </row>
    <row r="29" spans="1:11" ht="16.5" customHeight="1" thickBot="1">
      <c r="A29" s="101">
        <v>1300</v>
      </c>
      <c r="B29" s="102">
        <v>1200</v>
      </c>
      <c r="C29" s="69">
        <v>9352.5868759563018</v>
      </c>
      <c r="D29" s="70">
        <v>16660.864303721439</v>
      </c>
      <c r="E29" s="70">
        <v>24019.245314695581</v>
      </c>
      <c r="F29" s="70">
        <v>31327.522742460718</v>
      </c>
      <c r="G29" s="1">
        <v>1.6324772459749997</v>
      </c>
      <c r="H29" s="1">
        <v>3.088170644589999</v>
      </c>
      <c r="I29" s="1">
        <v>4.5677265229649997</v>
      </c>
      <c r="J29" s="1">
        <v>6.0472246249399992</v>
      </c>
      <c r="K29" s="1">
        <v>9.0062025600900011</v>
      </c>
    </row>
    <row r="30" spans="1:11" ht="16.5" customHeight="1" thickBot="1">
      <c r="A30" s="101">
        <v>1350</v>
      </c>
      <c r="B30" s="102">
        <v>1250</v>
      </c>
      <c r="C30" s="69">
        <v>9590.5539061805266</v>
      </c>
      <c r="D30" s="70">
        <v>17136.798223776528</v>
      </c>
      <c r="E30" s="70">
        <v>24733.14626497489</v>
      </c>
      <c r="F30" s="70">
        <v>32279.390722964257</v>
      </c>
      <c r="G30" s="1">
        <v>1.6990996358549997</v>
      </c>
      <c r="H30" s="1">
        <v>3.2214225523499986</v>
      </c>
      <c r="I30" s="1">
        <v>4.7676031306049991</v>
      </c>
      <c r="J30" s="1">
        <v>6.3137242824599991</v>
      </c>
      <c r="K30" s="1">
        <v>9.4059476573699978</v>
      </c>
    </row>
    <row r="31" spans="1:11" ht="16.5" customHeight="1" thickBot="1">
      <c r="A31" s="101">
        <v>1400</v>
      </c>
      <c r="B31" s="102">
        <v>1300</v>
      </c>
      <c r="C31" s="69">
        <v>9828.5207960113894</v>
      </c>
      <c r="D31" s="70">
        <v>17612.732284224978</v>
      </c>
      <c r="E31" s="70">
        <v>25447.047215254206</v>
      </c>
      <c r="F31" s="70">
        <v>33231.258563074429</v>
      </c>
      <c r="G31" s="1">
        <v>1.7657220257349997</v>
      </c>
      <c r="H31" s="1">
        <v>3.3546744601099991</v>
      </c>
      <c r="I31" s="1">
        <v>4.9674797382449993</v>
      </c>
      <c r="J31" s="1">
        <v>6.5802239399799998</v>
      </c>
      <c r="K31" s="1">
        <v>9.8056927546499981</v>
      </c>
    </row>
    <row r="32" spans="1:11" ht="16.5" customHeight="1" thickBot="1">
      <c r="A32" s="101">
        <v>1450</v>
      </c>
      <c r="B32" s="102">
        <v>1350</v>
      </c>
      <c r="C32" s="69">
        <v>10066.487826235616</v>
      </c>
      <c r="D32" s="70">
        <v>18088.666204280067</v>
      </c>
      <c r="E32" s="70">
        <v>26160.948165533515</v>
      </c>
      <c r="F32" s="70">
        <v>34183.126543577971</v>
      </c>
      <c r="G32" s="1">
        <v>1.8323444156150004</v>
      </c>
      <c r="H32" s="1">
        <v>3.4879263678700005</v>
      </c>
      <c r="I32" s="1">
        <v>5.1673563458850014</v>
      </c>
      <c r="J32" s="1">
        <v>6.8467235975000023</v>
      </c>
      <c r="K32" s="1">
        <v>10.205437851930004</v>
      </c>
    </row>
    <row r="33" spans="1:11" ht="16.5" customHeight="1" thickBot="1">
      <c r="A33" s="101">
        <v>1500</v>
      </c>
      <c r="B33" s="102">
        <v>1400</v>
      </c>
      <c r="C33" s="69">
        <v>10304.454856459839</v>
      </c>
      <c r="D33" s="70">
        <v>18564.600124335153</v>
      </c>
      <c r="E33" s="70">
        <v>26874.849115812831</v>
      </c>
      <c r="F33" s="70">
        <v>35134.994524081507</v>
      </c>
      <c r="G33" s="1">
        <v>1.9049668054950002</v>
      </c>
      <c r="H33" s="1">
        <v>3.6211841469900001</v>
      </c>
      <c r="I33" s="1">
        <v>5.3672421842850007</v>
      </c>
      <c r="J33" s="1">
        <v>7.1132315089800011</v>
      </c>
      <c r="K33" s="1">
        <v>10.605192179970002</v>
      </c>
    </row>
    <row r="34" spans="1:11" ht="16.5" customHeight="1" thickBot="1">
      <c r="A34" s="101">
        <v>1550</v>
      </c>
      <c r="B34" s="102">
        <v>1450</v>
      </c>
      <c r="C34" s="69">
        <v>10542.421746290702</v>
      </c>
      <c r="D34" s="70">
        <v>19040.534184783603</v>
      </c>
      <c r="E34" s="70">
        <v>27588.750066092143</v>
      </c>
      <c r="F34" s="70">
        <v>36086.862364191686</v>
      </c>
      <c r="G34" s="1">
        <v>1.971589195375</v>
      </c>
      <c r="H34" s="1">
        <v>3.7544360547499993</v>
      </c>
      <c r="I34" s="1">
        <v>5.5671187919249991</v>
      </c>
      <c r="J34" s="1">
        <v>7.3797311665000001</v>
      </c>
      <c r="K34" s="1">
        <v>11.004937277249999</v>
      </c>
    </row>
    <row r="35" spans="1:11" ht="16.5" customHeight="1" thickBot="1">
      <c r="A35" s="101">
        <v>1600</v>
      </c>
      <c r="B35" s="102">
        <v>1500</v>
      </c>
      <c r="C35" s="69">
        <v>10780.388776514927</v>
      </c>
      <c r="D35" s="70">
        <v>19516.468104838692</v>
      </c>
      <c r="E35" s="70">
        <v>28302.651016371456</v>
      </c>
      <c r="F35" s="70">
        <v>37038.730344695221</v>
      </c>
      <c r="G35" s="1">
        <v>2.0382115852549991</v>
      </c>
      <c r="H35" s="1">
        <v>3.8876879625099989</v>
      </c>
      <c r="I35" s="1">
        <v>5.7669953995649985</v>
      </c>
      <c r="J35" s="1">
        <v>7.646230824019999</v>
      </c>
      <c r="K35" s="1">
        <v>11.404682374529997</v>
      </c>
    </row>
    <row r="36" spans="1:11" ht="16.5" customHeight="1" thickBot="1">
      <c r="A36" s="101">
        <v>1650</v>
      </c>
      <c r="B36" s="102">
        <v>1550</v>
      </c>
      <c r="C36" s="69">
        <v>11018.355806739153</v>
      </c>
      <c r="D36" s="70">
        <v>19992.402024893778</v>
      </c>
      <c r="E36" s="70">
        <v>29016.551966650768</v>
      </c>
      <c r="F36" s="70">
        <v>37990.598184805393</v>
      </c>
      <c r="G36" s="1">
        <v>2.1048339751349991</v>
      </c>
      <c r="H36" s="1">
        <v>4.0209398702699994</v>
      </c>
      <c r="I36" s="1">
        <v>5.9668720072049988</v>
      </c>
      <c r="J36" s="1">
        <v>7.9127304815399997</v>
      </c>
      <c r="K36" s="1">
        <v>11.804427471809998</v>
      </c>
    </row>
    <row r="37" spans="1:11" ht="16.5" customHeight="1" thickBot="1">
      <c r="A37" s="101">
        <v>1700</v>
      </c>
      <c r="B37" s="102">
        <v>1600</v>
      </c>
      <c r="C37" s="69">
        <v>11256.322696570016</v>
      </c>
      <c r="D37" s="70">
        <v>20468.336085342231</v>
      </c>
      <c r="E37" s="70">
        <v>29730.452916930084</v>
      </c>
      <c r="F37" s="70">
        <v>38942.466165308935</v>
      </c>
      <c r="G37" s="1">
        <v>2.1714563650149996</v>
      </c>
      <c r="H37" s="1">
        <v>4.1541917780300004</v>
      </c>
      <c r="I37" s="1">
        <v>6.1667486148449999</v>
      </c>
      <c r="J37" s="1">
        <v>8.1792301390599995</v>
      </c>
      <c r="K37" s="1">
        <v>12.20417256909</v>
      </c>
    </row>
    <row r="38" spans="1:11" ht="16.5" customHeight="1" thickBot="1">
      <c r="A38" s="101">
        <v>1750</v>
      </c>
      <c r="B38" s="102">
        <v>1650</v>
      </c>
      <c r="C38" s="69">
        <v>11494.289726794239</v>
      </c>
      <c r="D38" s="70">
        <v>20944.270005397317</v>
      </c>
      <c r="E38" s="70">
        <v>30444.353867209393</v>
      </c>
      <c r="F38" s="70">
        <v>39894.334145812471</v>
      </c>
      <c r="G38" s="1">
        <v>2.2380787548949987</v>
      </c>
      <c r="H38" s="1">
        <v>4.2874436857899987</v>
      </c>
      <c r="I38" s="1">
        <v>6.3666252224849975</v>
      </c>
      <c r="J38" s="1">
        <v>8.4457297965799967</v>
      </c>
      <c r="K38" s="1">
        <v>12.603917666369995</v>
      </c>
    </row>
    <row r="39" spans="1:11" ht="16.5" customHeight="1" thickBot="1">
      <c r="A39" s="101">
        <v>1800</v>
      </c>
      <c r="B39" s="102">
        <v>1700</v>
      </c>
      <c r="C39" s="69">
        <v>11732.256616625102</v>
      </c>
      <c r="D39" s="70">
        <v>21420.203925452402</v>
      </c>
      <c r="E39" s="70">
        <v>31158.254817488709</v>
      </c>
      <c r="F39" s="70">
        <v>40846.201985922649</v>
      </c>
      <c r="G39" s="1">
        <v>2.3047011447749992</v>
      </c>
      <c r="H39" s="1">
        <v>4.4206955935499996</v>
      </c>
      <c r="I39" s="1">
        <v>6.5665018301249987</v>
      </c>
      <c r="J39" s="1">
        <v>8.7122294540999974</v>
      </c>
      <c r="K39" s="1">
        <v>13.003662763649999</v>
      </c>
    </row>
    <row r="40" spans="1:11" ht="16.5" customHeight="1" thickBot="1">
      <c r="A40" s="101">
        <v>1850</v>
      </c>
      <c r="B40" s="102">
        <v>1750</v>
      </c>
      <c r="C40" s="69">
        <v>11970.223646849328</v>
      </c>
      <c r="D40" s="70">
        <v>21896.137845507492</v>
      </c>
      <c r="E40" s="70">
        <v>31872.155767768018</v>
      </c>
      <c r="F40" s="70">
        <v>41798.069966426185</v>
      </c>
      <c r="G40" s="1">
        <v>2.3713235346549997</v>
      </c>
      <c r="H40" s="1">
        <v>4.5539475013100006</v>
      </c>
      <c r="I40" s="1">
        <v>6.7663784377650007</v>
      </c>
      <c r="J40" s="1">
        <v>8.9787291116199999</v>
      </c>
      <c r="K40" s="1">
        <v>13.403407860930002</v>
      </c>
    </row>
    <row r="41" spans="1:11" ht="16.5" customHeight="1" thickBot="1">
      <c r="A41" s="101">
        <v>1900</v>
      </c>
      <c r="B41" s="102">
        <v>1800</v>
      </c>
      <c r="C41" s="69">
        <v>12208.190677073553</v>
      </c>
      <c r="D41" s="70">
        <v>22372.071905955941</v>
      </c>
      <c r="E41" s="70">
        <v>32586.056718047334</v>
      </c>
      <c r="F41" s="70">
        <v>42749.93794692972</v>
      </c>
      <c r="G41" s="1">
        <v>2.4379459245349988</v>
      </c>
      <c r="H41" s="1">
        <v>4.6871994090699989</v>
      </c>
      <c r="I41" s="1">
        <v>6.9662550454049983</v>
      </c>
      <c r="J41" s="1">
        <v>9.245228769139997</v>
      </c>
      <c r="K41" s="1">
        <v>13.803152958209996</v>
      </c>
    </row>
    <row r="42" spans="1:11" ht="16.5" customHeight="1" thickBot="1">
      <c r="A42" s="101">
        <v>1950</v>
      </c>
      <c r="B42" s="102">
        <v>1850</v>
      </c>
      <c r="C42" s="69">
        <v>12498.670159820551</v>
      </c>
      <c r="D42" s="70">
        <v>22936.329677046942</v>
      </c>
      <c r="E42" s="70">
        <v>33440.793831491967</v>
      </c>
      <c r="F42" s="70">
        <v>43878.453348718358</v>
      </c>
      <c r="G42" s="1">
        <v>2.5438183144149997</v>
      </c>
      <c r="H42" s="1">
        <v>4.8989513168300007</v>
      </c>
      <c r="I42" s="1">
        <v>7.2838816530450012</v>
      </c>
      <c r="J42" s="1">
        <v>9.6687284266599995</v>
      </c>
      <c r="K42" s="1">
        <v>14.438398055490003</v>
      </c>
    </row>
    <row r="43" spans="1:11" ht="16.5" customHeight="1" thickBot="1">
      <c r="A43" s="101">
        <v>2000</v>
      </c>
      <c r="B43" s="102">
        <v>1900</v>
      </c>
      <c r="C43" s="69">
        <v>12736.637049651416</v>
      </c>
      <c r="D43" s="70">
        <v>23412.263597102032</v>
      </c>
      <c r="E43" s="70">
        <v>34154.694781771286</v>
      </c>
      <c r="F43" s="70">
        <v>44830.321329221901</v>
      </c>
      <c r="G43" s="1">
        <v>2.6104407042949993</v>
      </c>
      <c r="H43" s="1">
        <v>5.0322032245899999</v>
      </c>
      <c r="I43" s="1">
        <v>7.4837582606849997</v>
      </c>
      <c r="J43" s="1">
        <v>9.9352280841799985</v>
      </c>
      <c r="K43" s="1">
        <v>14.83814315277</v>
      </c>
    </row>
    <row r="44" spans="1:11" ht="16.5" customHeight="1" thickBot="1">
      <c r="A44" s="101">
        <v>2050</v>
      </c>
      <c r="B44" s="102">
        <v>1950</v>
      </c>
      <c r="C44" s="69">
        <v>12974.604079875642</v>
      </c>
      <c r="D44" s="70">
        <v>23888.197517157118</v>
      </c>
      <c r="E44" s="70">
        <v>34868.595732050591</v>
      </c>
      <c r="F44" s="70">
        <v>45782.189169332072</v>
      </c>
      <c r="G44" s="1">
        <v>2.6770630941749989</v>
      </c>
      <c r="H44" s="1">
        <v>5.1654551323499991</v>
      </c>
      <c r="I44" s="1">
        <v>7.6836348683249982</v>
      </c>
      <c r="J44" s="1">
        <v>10.201727741699997</v>
      </c>
      <c r="K44" s="1">
        <v>15.237888250049997</v>
      </c>
    </row>
    <row r="45" spans="1:11" ht="16.5" customHeight="1" thickBot="1">
      <c r="A45" s="101">
        <v>2100</v>
      </c>
      <c r="B45" s="102">
        <v>2000</v>
      </c>
      <c r="C45" s="69">
        <v>13212.571110099865</v>
      </c>
      <c r="D45" s="70">
        <v>24364.131437212203</v>
      </c>
      <c r="E45" s="70">
        <v>35582.496682329911</v>
      </c>
      <c r="F45" s="70">
        <v>46734.057149835608</v>
      </c>
      <c r="G45" s="1">
        <v>2.7436854840549985</v>
      </c>
      <c r="H45" s="1">
        <v>5.2987070401099983</v>
      </c>
      <c r="I45" s="1">
        <v>7.8835114759649976</v>
      </c>
      <c r="J45" s="1">
        <v>10.468227399219995</v>
      </c>
      <c r="K45" s="1">
        <v>15.637633347329995</v>
      </c>
    </row>
    <row r="46" spans="1:11" ht="16.5" customHeight="1" thickBot="1">
      <c r="A46" s="101">
        <v>2150</v>
      </c>
      <c r="B46" s="102">
        <v>2050</v>
      </c>
      <c r="C46" s="69">
        <v>13450.537999930728</v>
      </c>
      <c r="D46" s="70">
        <v>24840.065497660657</v>
      </c>
      <c r="E46" s="70">
        <v>36296.397632609216</v>
      </c>
      <c r="F46" s="70">
        <v>47685.925130339143</v>
      </c>
      <c r="G46" s="1">
        <v>2.8103078739349994</v>
      </c>
      <c r="H46" s="1">
        <v>5.4319589478700001</v>
      </c>
      <c r="I46" s="1">
        <v>8.0833880836050014</v>
      </c>
      <c r="J46" s="1">
        <v>10.734727056739999</v>
      </c>
      <c r="K46" s="1">
        <v>16.037378444610003</v>
      </c>
    </row>
    <row r="47" spans="1:11" ht="16.5" customHeight="1" thickBot="1">
      <c r="A47" s="101">
        <v>2200</v>
      </c>
      <c r="B47" s="102">
        <v>2100</v>
      </c>
      <c r="C47" s="69">
        <v>13688.505030154951</v>
      </c>
      <c r="D47" s="70">
        <v>25315.999417715742</v>
      </c>
      <c r="E47" s="70">
        <v>37010.298582888536</v>
      </c>
      <c r="F47" s="70">
        <v>48637.792970449322</v>
      </c>
      <c r="G47" s="1">
        <v>2.8769302638149994</v>
      </c>
      <c r="H47" s="1">
        <v>5.5652108556300002</v>
      </c>
      <c r="I47" s="1">
        <v>8.2832646912449999</v>
      </c>
      <c r="J47" s="1">
        <v>11.00122671426</v>
      </c>
      <c r="K47" s="1">
        <v>16.437123541890003</v>
      </c>
    </row>
    <row r="48" spans="1:11" ht="16.5" customHeight="1" thickBot="1">
      <c r="A48" s="101">
        <v>2250</v>
      </c>
      <c r="B48" s="102">
        <v>2150</v>
      </c>
      <c r="C48" s="69">
        <v>13926.472060379177</v>
      </c>
      <c r="D48" s="70">
        <v>25791.933337770832</v>
      </c>
      <c r="E48" s="70">
        <v>37724.199533167848</v>
      </c>
      <c r="F48" s="70">
        <v>49589.660950952864</v>
      </c>
      <c r="G48" s="1">
        <v>2.9435526536949985</v>
      </c>
      <c r="H48" s="1">
        <v>5.6984627633899985</v>
      </c>
      <c r="I48" s="1">
        <v>8.4831412988849966</v>
      </c>
      <c r="J48" s="1">
        <v>11.267726371779995</v>
      </c>
      <c r="K48" s="1">
        <v>16.836868639169996</v>
      </c>
    </row>
    <row r="49" spans="1:15" ht="16.5" customHeight="1" thickBot="1">
      <c r="A49" s="101">
        <v>2300</v>
      </c>
      <c r="B49" s="102">
        <v>2200</v>
      </c>
      <c r="C49" s="69">
        <v>14164.438950210042</v>
      </c>
      <c r="D49" s="70">
        <v>26267.867398219281</v>
      </c>
      <c r="E49" s="70">
        <v>38438.100483447161</v>
      </c>
      <c r="F49" s="70">
        <v>50541.528931456392</v>
      </c>
      <c r="G49" s="1">
        <v>3.010175043574999</v>
      </c>
      <c r="H49" s="1">
        <v>5.8317146711499994</v>
      </c>
      <c r="I49" s="1">
        <v>8.6830179065249986</v>
      </c>
      <c r="J49" s="1">
        <v>11.534226029299997</v>
      </c>
      <c r="K49" s="1">
        <v>17.23661373645</v>
      </c>
    </row>
    <row r="50" spans="1:15" ht="16.5" customHeight="1" thickBot="1">
      <c r="A50" s="101">
        <v>2350</v>
      </c>
      <c r="B50" s="102">
        <v>2250</v>
      </c>
      <c r="C50" s="69">
        <v>14402.405980434265</v>
      </c>
      <c r="D50" s="70">
        <v>26743.801318274367</v>
      </c>
      <c r="E50" s="70">
        <v>39152.001433726473</v>
      </c>
      <c r="F50" s="70">
        <v>51493.396771566571</v>
      </c>
      <c r="G50" s="1">
        <v>3.076797433454999</v>
      </c>
      <c r="H50" s="1">
        <v>5.9649665789099995</v>
      </c>
      <c r="I50" s="1">
        <v>8.8828945141649989</v>
      </c>
      <c r="J50" s="1">
        <v>11.800725686819998</v>
      </c>
      <c r="K50" s="1">
        <v>17.636358833729997</v>
      </c>
    </row>
    <row r="51" spans="1:15" ht="16.5" customHeight="1" thickBot="1">
      <c r="A51" s="101">
        <v>2400</v>
      </c>
      <c r="B51" s="102">
        <v>2300</v>
      </c>
      <c r="C51" s="69">
        <v>14640.37301065849</v>
      </c>
      <c r="D51" s="70">
        <v>27219.735238329456</v>
      </c>
      <c r="E51" s="70">
        <v>39865.902384005778</v>
      </c>
      <c r="F51" s="70">
        <v>52445.264752070114</v>
      </c>
      <c r="G51" s="1">
        <v>3.1434198233349981</v>
      </c>
      <c r="H51" s="1">
        <v>6.0982184866699978</v>
      </c>
      <c r="I51" s="1">
        <v>9.0827711218049973</v>
      </c>
      <c r="J51" s="1">
        <v>12.067225344339993</v>
      </c>
      <c r="K51" s="1">
        <v>18.036103931009997</v>
      </c>
    </row>
    <row r="52" spans="1:15" ht="16.5" customHeight="1" thickBot="1">
      <c r="A52" s="101">
        <v>2450</v>
      </c>
      <c r="B52" s="102">
        <v>2350</v>
      </c>
      <c r="C52" s="69">
        <v>14878.339900489354</v>
      </c>
      <c r="D52" s="70">
        <v>27695.669298777906</v>
      </c>
      <c r="E52" s="70">
        <v>40579.803334285098</v>
      </c>
      <c r="F52" s="70">
        <v>53397.132592180285</v>
      </c>
      <c r="G52" s="1">
        <v>3.2160422132149993</v>
      </c>
      <c r="H52" s="1">
        <v>6.2314762657899996</v>
      </c>
      <c r="I52" s="1">
        <v>9.2826569602049993</v>
      </c>
      <c r="J52" s="1">
        <v>12.333733255819997</v>
      </c>
      <c r="K52" s="1">
        <v>18.435858259050001</v>
      </c>
    </row>
    <row r="53" spans="1:15" ht="16.5" customHeight="1" thickBot="1">
      <c r="A53" s="101">
        <v>2500</v>
      </c>
      <c r="B53" s="102">
        <v>2400</v>
      </c>
      <c r="C53" s="69">
        <v>15116.306930713577</v>
      </c>
      <c r="D53" s="70">
        <v>28171.603218832995</v>
      </c>
      <c r="E53" s="70">
        <v>41293.70428456441</v>
      </c>
      <c r="F53" s="70">
        <v>54349.000572683821</v>
      </c>
      <c r="G53" s="1">
        <v>3.2826646030949989</v>
      </c>
      <c r="H53" s="1">
        <v>6.3647281735499988</v>
      </c>
      <c r="I53" s="1">
        <v>9.4825335678449978</v>
      </c>
      <c r="J53" s="1">
        <v>12.600232913339996</v>
      </c>
      <c r="K53" s="1">
        <v>18.835603356329997</v>
      </c>
    </row>
    <row r="54" spans="1:15" ht="16.5" customHeight="1" thickBot="1">
      <c r="A54" s="101">
        <v>2550</v>
      </c>
      <c r="B54" s="102">
        <v>2450</v>
      </c>
      <c r="C54" s="69">
        <v>15354.273960937802</v>
      </c>
      <c r="D54" s="70">
        <v>28647.537138888081</v>
      </c>
      <c r="E54" s="70">
        <v>42007.605234843722</v>
      </c>
      <c r="F54" s="70">
        <v>55300.868553187363</v>
      </c>
      <c r="G54" s="1">
        <v>3.349286992974998</v>
      </c>
      <c r="H54" s="1">
        <v>6.4979800813099979</v>
      </c>
      <c r="I54" s="1">
        <v>9.6824101754849963</v>
      </c>
      <c r="J54" s="1">
        <v>12.866732570859995</v>
      </c>
      <c r="K54" s="1">
        <v>19.235348453609994</v>
      </c>
    </row>
    <row r="55" spans="1:15" ht="16.5" customHeight="1" thickBot="1">
      <c r="A55" s="101">
        <v>2600</v>
      </c>
      <c r="B55" s="102">
        <v>2500</v>
      </c>
      <c r="C55" s="69">
        <v>15592.240850768667</v>
      </c>
      <c r="D55" s="70">
        <v>29123.471199336531</v>
      </c>
      <c r="E55" s="70">
        <v>42721.506185123035</v>
      </c>
      <c r="F55" s="70">
        <v>56252.736393297542</v>
      </c>
      <c r="G55" s="1">
        <v>3.4159093828550002</v>
      </c>
      <c r="H55" s="1">
        <v>6.6312319890700016</v>
      </c>
      <c r="I55" s="1">
        <v>9.8822867831250001</v>
      </c>
      <c r="J55" s="1">
        <v>13.133232228380001</v>
      </c>
      <c r="K55" s="1">
        <v>19.635093550890002</v>
      </c>
    </row>
    <row r="56" spans="1:15" ht="16.5" customHeight="1" thickBot="1">
      <c r="A56" s="101">
        <v>2650</v>
      </c>
      <c r="B56" s="102">
        <v>2550</v>
      </c>
      <c r="C56" s="69">
        <v>15830.20788099289</v>
      </c>
      <c r="D56" s="70">
        <v>29599.40511939162</v>
      </c>
      <c r="E56" s="70">
        <v>43435.407135402347</v>
      </c>
      <c r="F56" s="70">
        <v>57204.60437380107</v>
      </c>
      <c r="G56" s="1">
        <v>3.4825317727349998</v>
      </c>
      <c r="H56" s="1">
        <v>6.7644838968300016</v>
      </c>
      <c r="I56" s="1">
        <v>10.082163390765002</v>
      </c>
      <c r="J56" s="1">
        <v>13.399731885900001</v>
      </c>
      <c r="K56" s="1">
        <v>20.034838648170009</v>
      </c>
    </row>
    <row r="57" spans="1:15" ht="16.5" customHeight="1" thickBot="1">
      <c r="A57" s="101">
        <v>2700</v>
      </c>
      <c r="B57" s="102">
        <v>2600</v>
      </c>
      <c r="C57" s="69">
        <v>16120.687363739891</v>
      </c>
      <c r="D57" s="70">
        <v>30163.662890482621</v>
      </c>
      <c r="E57" s="70">
        <v>44290.144248846984</v>
      </c>
      <c r="F57" s="70">
        <v>58333.119775589716</v>
      </c>
      <c r="G57" s="1">
        <v>3.5884041626150007</v>
      </c>
      <c r="H57" s="1">
        <v>6.9762358045900026</v>
      </c>
      <c r="I57" s="1">
        <v>10.399789998405003</v>
      </c>
      <c r="J57" s="1">
        <v>13.823231543420004</v>
      </c>
      <c r="K57" s="1">
        <v>20.670083745450007</v>
      </c>
    </row>
    <row r="58" spans="1:15" ht="16.5" customHeight="1" thickBot="1">
      <c r="A58" s="101">
        <v>2750</v>
      </c>
      <c r="B58" s="102">
        <v>2650</v>
      </c>
      <c r="C58" s="69">
        <v>16358.654253570752</v>
      </c>
      <c r="D58" s="70">
        <v>30639.596810537707</v>
      </c>
      <c r="E58" s="70">
        <v>45004.045199126296</v>
      </c>
      <c r="F58" s="70">
        <v>59284.987756093251</v>
      </c>
      <c r="G58" s="1">
        <v>3.655026552494999</v>
      </c>
      <c r="H58" s="1">
        <v>7.10948771235</v>
      </c>
      <c r="I58" s="1">
        <v>10.599666606045</v>
      </c>
      <c r="J58" s="1">
        <v>14.089731200939998</v>
      </c>
      <c r="K58" s="1">
        <v>21.069828842730001</v>
      </c>
    </row>
    <row r="59" spans="1:15" ht="16.5" customHeight="1" thickBot="1">
      <c r="A59" s="101">
        <v>2800</v>
      </c>
      <c r="B59" s="102">
        <v>2700</v>
      </c>
      <c r="C59" s="69">
        <v>16596.621283794979</v>
      </c>
      <c r="D59" s="70">
        <v>31115.530730592793</v>
      </c>
      <c r="E59" s="70">
        <v>45717.946149405609</v>
      </c>
      <c r="F59" s="70">
        <v>60236.855736596794</v>
      </c>
      <c r="G59" s="1">
        <v>3.7216489423749994</v>
      </c>
      <c r="H59" s="1">
        <v>7.2427396201100009</v>
      </c>
      <c r="I59" s="1">
        <v>10.799543213685</v>
      </c>
      <c r="J59" s="1">
        <v>14.35623085846</v>
      </c>
      <c r="K59" s="1">
        <v>21.469573940010001</v>
      </c>
    </row>
    <row r="60" spans="1:15" ht="16.5" customHeight="1" thickBot="1">
      <c r="A60" s="101">
        <v>2850</v>
      </c>
      <c r="B60" s="102">
        <v>2750</v>
      </c>
      <c r="C60" s="69">
        <v>16834.588314019202</v>
      </c>
      <c r="D60" s="70">
        <v>31591.464791041246</v>
      </c>
      <c r="E60" s="70">
        <v>46431.847099684921</v>
      </c>
      <c r="F60" s="70">
        <v>61188.723576706965</v>
      </c>
      <c r="G60" s="1">
        <v>3.788271332254999</v>
      </c>
      <c r="H60" s="1">
        <v>7.3759915278700001</v>
      </c>
      <c r="I60" s="1">
        <v>10.999419821324999</v>
      </c>
      <c r="J60" s="1">
        <v>14.622730515979999</v>
      </c>
      <c r="K60" s="1">
        <v>21.869319037290001</v>
      </c>
    </row>
    <row r="61" spans="1:15" ht="16.5" customHeight="1" thickBot="1">
      <c r="A61" s="101">
        <v>2900</v>
      </c>
      <c r="B61" s="102">
        <v>2800</v>
      </c>
      <c r="C61" s="69">
        <v>17072.555203850065</v>
      </c>
      <c r="D61" s="70">
        <v>32067.398711096332</v>
      </c>
      <c r="E61" s="70">
        <v>47145.748049964241</v>
      </c>
      <c r="F61" s="70">
        <v>62140.5915572105</v>
      </c>
      <c r="G61" s="1">
        <v>3.8548937221349981</v>
      </c>
      <c r="H61" s="1">
        <v>7.5092434356299984</v>
      </c>
      <c r="I61" s="1">
        <v>11.199296428964995</v>
      </c>
      <c r="J61" s="1">
        <v>14.889230173499994</v>
      </c>
      <c r="K61" s="1">
        <v>22.269064134569994</v>
      </c>
    </row>
    <row r="62" spans="1:15" ht="16.5" customHeight="1" thickBot="1">
      <c r="A62" s="101">
        <v>2950</v>
      </c>
      <c r="B62" s="102">
        <v>2850</v>
      </c>
      <c r="C62" s="69">
        <v>17310.522234074291</v>
      </c>
      <c r="D62" s="70">
        <v>32543.332631151421</v>
      </c>
      <c r="E62" s="70">
        <v>47859.649000243546</v>
      </c>
      <c r="F62" s="70">
        <v>63092.459537714043</v>
      </c>
      <c r="G62" s="1">
        <v>3.9215161120149991</v>
      </c>
      <c r="H62" s="1">
        <v>7.6424953433900003</v>
      </c>
      <c r="I62" s="1">
        <v>11.399173036604999</v>
      </c>
      <c r="J62" s="1">
        <v>15.155729831019999</v>
      </c>
      <c r="K62" s="1">
        <v>22.668809231850002</v>
      </c>
    </row>
    <row r="63" spans="1:15" ht="16.5" customHeight="1" thickBot="1">
      <c r="A63" s="101">
        <v>3000</v>
      </c>
      <c r="B63" s="102">
        <v>2900</v>
      </c>
      <c r="C63" s="71">
        <v>17548.489264298518</v>
      </c>
      <c r="D63" s="72">
        <v>33019.266691599871</v>
      </c>
      <c r="E63" s="72">
        <v>48573.549950522858</v>
      </c>
      <c r="F63" s="72">
        <v>64044.327377824215</v>
      </c>
      <c r="G63" s="1">
        <v>3.9881385018949986</v>
      </c>
      <c r="H63" s="1">
        <v>7.7757472511499994</v>
      </c>
      <c r="I63" s="1">
        <v>11.599049644244996</v>
      </c>
      <c r="J63" s="1">
        <v>15.422229488539998</v>
      </c>
      <c r="K63" s="1">
        <v>23.068554329129995</v>
      </c>
    </row>
    <row r="64" spans="1:15" s="74" customFormat="1">
      <c r="A64" s="2817" t="s">
        <v>7778</v>
      </c>
      <c r="B64" s="2818"/>
      <c r="C64" s="2818"/>
      <c r="D64" s="2818"/>
      <c r="E64" s="2818"/>
      <c r="F64" s="2819"/>
      <c r="G64" s="974"/>
      <c r="H64" s="974"/>
      <c r="I64" s="974"/>
      <c r="J64" s="974"/>
      <c r="K64" s="974"/>
      <c r="L64" s="2007"/>
      <c r="M64" s="2007"/>
      <c r="N64" s="2007"/>
      <c r="O64" s="2007"/>
    </row>
    <row r="65" spans="1:15" s="74" customFormat="1" ht="16.5" thickBot="1">
      <c r="A65" s="2820"/>
      <c r="B65" s="2821"/>
      <c r="C65" s="2821"/>
      <c r="D65" s="2821"/>
      <c r="E65" s="2821"/>
      <c r="F65" s="2822"/>
      <c r="G65" s="974"/>
      <c r="H65" s="974"/>
      <c r="I65" s="974"/>
      <c r="J65" s="974"/>
      <c r="K65" s="974"/>
      <c r="L65" s="2007"/>
      <c r="M65" s="2007"/>
      <c r="N65" s="2007"/>
      <c r="O65" s="2007"/>
    </row>
    <row r="66" spans="1:15" s="74" customFormat="1" ht="16.5" thickBot="1">
      <c r="A66" s="2823" t="s">
        <v>21</v>
      </c>
      <c r="B66" s="2824"/>
      <c r="C66" s="2008" t="s">
        <v>7771</v>
      </c>
      <c r="D66" s="2008" t="s">
        <v>7772</v>
      </c>
      <c r="E66" s="2008" t="s">
        <v>7773</v>
      </c>
      <c r="F66" s="2008" t="s">
        <v>7774</v>
      </c>
      <c r="G66" s="1"/>
      <c r="H66" s="1"/>
      <c r="I66" s="1"/>
      <c r="J66" s="1"/>
      <c r="K66" s="1"/>
    </row>
    <row r="67" spans="1:15" s="74" customFormat="1" ht="16.5" thickBot="1">
      <c r="A67" s="2823" t="s">
        <v>23</v>
      </c>
      <c r="B67" s="2824"/>
      <c r="C67" s="2008">
        <v>65</v>
      </c>
      <c r="D67" s="2008" t="s">
        <v>7775</v>
      </c>
      <c r="E67" s="2008" t="s">
        <v>7775</v>
      </c>
      <c r="F67" s="2008">
        <v>130</v>
      </c>
      <c r="G67" s="1"/>
      <c r="H67" s="1"/>
      <c r="I67" s="1"/>
      <c r="J67" s="1"/>
      <c r="K67" s="1"/>
    </row>
    <row r="68" spans="1:15" s="74" customFormat="1" ht="16.5" thickBot="1">
      <c r="A68" s="2823" t="s">
        <v>24</v>
      </c>
      <c r="B68" s="2824"/>
      <c r="C68" s="2009">
        <v>130</v>
      </c>
      <c r="D68" s="2009" t="s">
        <v>7776</v>
      </c>
      <c r="E68" s="2009" t="s">
        <v>7777</v>
      </c>
      <c r="F68" s="2009">
        <v>260</v>
      </c>
      <c r="G68" s="1"/>
      <c r="H68" s="1"/>
      <c r="I68" s="1"/>
      <c r="J68" s="1"/>
      <c r="K68" s="1"/>
    </row>
    <row r="69" spans="1:15" s="74" customFormat="1" ht="16.5" thickBot="1">
      <c r="A69" s="2823" t="s">
        <v>25</v>
      </c>
      <c r="B69" s="2824"/>
      <c r="C69" s="2009">
        <v>2</v>
      </c>
      <c r="D69" s="2009">
        <v>4</v>
      </c>
      <c r="E69" s="2009">
        <v>6</v>
      </c>
      <c r="F69" s="2009">
        <v>8</v>
      </c>
      <c r="G69" s="1"/>
      <c r="H69" s="1"/>
      <c r="I69" s="1"/>
      <c r="J69" s="1"/>
      <c r="K69" s="1"/>
    </row>
    <row r="70" spans="1:15" s="74" customFormat="1" ht="138.75" customHeight="1" thickBot="1">
      <c r="A70" s="2825" t="s">
        <v>18</v>
      </c>
      <c r="B70" s="2827" t="s">
        <v>26</v>
      </c>
      <c r="C70" s="73"/>
      <c r="D70" s="73"/>
      <c r="E70" s="73"/>
      <c r="F70" s="73"/>
      <c r="G70" s="1"/>
      <c r="H70" s="1"/>
      <c r="I70" s="1"/>
      <c r="J70" s="1"/>
      <c r="K70" s="1"/>
    </row>
    <row r="71" spans="1:15" s="74" customFormat="1" ht="16.5" thickBot="1">
      <c r="A71" s="2826"/>
      <c r="B71" s="2828"/>
      <c r="C71" s="2844" t="s">
        <v>58</v>
      </c>
      <c r="D71" s="2845"/>
      <c r="E71" s="2845"/>
      <c r="F71" s="2846"/>
      <c r="G71" s="1"/>
      <c r="H71" s="1"/>
      <c r="I71" s="1"/>
      <c r="J71" s="1"/>
      <c r="K71" s="1"/>
    </row>
    <row r="72" spans="1:15" s="74" customFormat="1" ht="15" customHeight="1">
      <c r="A72" s="2829" t="s">
        <v>398</v>
      </c>
      <c r="B72" s="2829"/>
      <c r="C72" s="2829"/>
      <c r="D72" s="2829"/>
      <c r="E72" s="2830"/>
      <c r="F72" s="2835">
        <v>1000</v>
      </c>
      <c r="G72" s="1"/>
      <c r="H72" s="1"/>
      <c r="I72" s="1"/>
      <c r="J72" s="1"/>
      <c r="K72" s="1"/>
    </row>
    <row r="73" spans="1:15" s="74" customFormat="1" ht="15" customHeight="1">
      <c r="A73" s="2831"/>
      <c r="B73" s="2831"/>
      <c r="C73" s="2831"/>
      <c r="D73" s="2831"/>
      <c r="E73" s="2832"/>
      <c r="F73" s="2836"/>
      <c r="G73" s="1"/>
      <c r="H73" s="1"/>
      <c r="I73" s="1"/>
      <c r="J73" s="1"/>
      <c r="K73" s="1"/>
    </row>
    <row r="74" spans="1:15" s="74" customFormat="1" ht="15.75" customHeight="1" thickBot="1">
      <c r="A74" s="2833"/>
      <c r="B74" s="2833"/>
      <c r="C74" s="2833"/>
      <c r="D74" s="2833"/>
      <c r="E74" s="2834"/>
      <c r="F74" s="2837"/>
      <c r="G74" s="1"/>
      <c r="H74" s="1"/>
      <c r="I74" s="1"/>
      <c r="J74" s="1"/>
      <c r="K74" s="1"/>
    </row>
    <row r="75" spans="1:15" s="74" customFormat="1" ht="16.5" thickBot="1">
      <c r="A75" s="2009">
        <v>500</v>
      </c>
      <c r="B75" s="2010">
        <f t="shared" ref="B75:B125" si="0">A75-100</f>
        <v>400</v>
      </c>
      <c r="C75" s="67">
        <v>9337.4245331996644</v>
      </c>
      <c r="D75" s="68">
        <v>15227.915020920116</v>
      </c>
      <c r="E75" s="68">
        <v>21175.189710004128</v>
      </c>
      <c r="F75" s="68">
        <v>27065.680197724581</v>
      </c>
      <c r="G75" s="1">
        <v>28256.871247055922</v>
      </c>
      <c r="H75" s="1"/>
      <c r="I75" s="1"/>
      <c r="J75" s="1"/>
      <c r="K75" s="1"/>
    </row>
    <row r="76" spans="1:15" s="74" customFormat="1" ht="16.5" thickBot="1">
      <c r="A76" s="2009">
        <v>550</v>
      </c>
      <c r="B76" s="2010">
        <f t="shared" si="0"/>
        <v>450</v>
      </c>
      <c r="C76" s="69">
        <v>9741.9684284235009</v>
      </c>
      <c r="D76" s="70">
        <v>16037.002811367791</v>
      </c>
      <c r="E76" s="70">
        <v>22388.821255282281</v>
      </c>
      <c r="F76" s="70">
        <v>28683.855638226567</v>
      </c>
      <c r="G76" s="1">
        <v>30059.148053690329</v>
      </c>
      <c r="H76" s="1"/>
      <c r="I76" s="1"/>
      <c r="J76" s="1"/>
      <c r="K76" s="1"/>
    </row>
    <row r="77" spans="1:15" s="74" customFormat="1" ht="16.5" thickBot="1">
      <c r="A77" s="2009">
        <v>600</v>
      </c>
      <c r="B77" s="2010">
        <f t="shared" si="0"/>
        <v>500</v>
      </c>
      <c r="C77" s="69">
        <v>10146.512323647339</v>
      </c>
      <c r="D77" s="70">
        <v>16846.090601815467</v>
      </c>
      <c r="E77" s="70">
        <v>23602.452940953794</v>
      </c>
      <c r="F77" s="70">
        <v>30302.03121912192</v>
      </c>
      <c r="G77" s="1">
        <v>31861.424860324769</v>
      </c>
      <c r="H77" s="1"/>
      <c r="I77" s="1"/>
      <c r="J77" s="1"/>
      <c r="K77" s="1"/>
    </row>
    <row r="78" spans="1:15" s="74" customFormat="1" ht="16.5" thickBot="1">
      <c r="A78" s="2009">
        <v>650</v>
      </c>
      <c r="B78" s="2010">
        <f t="shared" si="0"/>
        <v>550</v>
      </c>
      <c r="C78" s="69">
        <v>10551.056218871177</v>
      </c>
      <c r="D78" s="70">
        <v>17655.178251869776</v>
      </c>
      <c r="E78" s="70">
        <v>24816.084486231939</v>
      </c>
      <c r="F78" s="70">
        <v>31920.206659623909</v>
      </c>
      <c r="G78" s="1">
        <v>33663.701666959169</v>
      </c>
      <c r="H78" s="1"/>
      <c r="I78" s="1"/>
      <c r="J78" s="1"/>
      <c r="K78" s="1"/>
    </row>
    <row r="79" spans="1:15" s="74" customFormat="1" ht="16.5" thickBot="1">
      <c r="A79" s="2009">
        <v>700</v>
      </c>
      <c r="B79" s="2010">
        <f t="shared" si="0"/>
        <v>600</v>
      </c>
      <c r="C79" s="69">
        <v>10955.599973701652</v>
      </c>
      <c r="D79" s="70">
        <v>18464.266042317453</v>
      </c>
      <c r="E79" s="70">
        <v>26029.716171903452</v>
      </c>
      <c r="F79" s="70">
        <v>33538.382100125898</v>
      </c>
      <c r="G79" s="1">
        <v>35465.97847359359</v>
      </c>
      <c r="H79" s="1"/>
      <c r="I79" s="1"/>
      <c r="J79" s="1"/>
      <c r="K79" s="1"/>
    </row>
    <row r="80" spans="1:15" s="74" customFormat="1" ht="16.5" thickBot="1">
      <c r="A80" s="2009">
        <v>750</v>
      </c>
      <c r="B80" s="2010">
        <f t="shared" si="0"/>
        <v>650</v>
      </c>
      <c r="C80" s="69">
        <v>11360.14386892549</v>
      </c>
      <c r="D80" s="70">
        <v>19273.353832765129</v>
      </c>
      <c r="E80" s="70">
        <v>27243.347717181608</v>
      </c>
      <c r="F80" s="70">
        <v>35156.557681021244</v>
      </c>
      <c r="G80" s="1">
        <v>37268.25528022799</v>
      </c>
      <c r="H80" s="1"/>
      <c r="I80" s="1"/>
      <c r="J80" s="1"/>
      <c r="K80" s="1"/>
    </row>
    <row r="81" spans="1:11" s="74" customFormat="1" ht="16.5" thickBot="1">
      <c r="A81" s="2009">
        <v>800</v>
      </c>
      <c r="B81" s="2010">
        <f t="shared" si="0"/>
        <v>700</v>
      </c>
      <c r="C81" s="69">
        <v>11764.687764149328</v>
      </c>
      <c r="D81" s="70">
        <v>20082.441482819442</v>
      </c>
      <c r="E81" s="70">
        <v>28456.979262459754</v>
      </c>
      <c r="F81" s="70">
        <v>36774.733121523233</v>
      </c>
      <c r="G81" s="1">
        <v>39070.532086862404</v>
      </c>
      <c r="H81" s="1"/>
      <c r="I81" s="1"/>
      <c r="J81" s="1"/>
      <c r="K81" s="1"/>
    </row>
    <row r="82" spans="1:11" s="74" customFormat="1" ht="16.5" thickBot="1">
      <c r="A82" s="2009">
        <v>850</v>
      </c>
      <c r="B82" s="2010">
        <f t="shared" si="0"/>
        <v>750</v>
      </c>
      <c r="C82" s="69">
        <v>12169.231659373165</v>
      </c>
      <c r="D82" s="70">
        <v>20891.529273267119</v>
      </c>
      <c r="E82" s="70">
        <v>29670.610948131267</v>
      </c>
      <c r="F82" s="70">
        <v>38392.908562025223</v>
      </c>
      <c r="G82" s="1">
        <v>40872.808893496825</v>
      </c>
      <c r="H82" s="1"/>
      <c r="I82" s="1"/>
      <c r="J82" s="1"/>
      <c r="K82" s="1"/>
    </row>
    <row r="83" spans="1:11" s="74" customFormat="1" ht="16.5" thickBot="1">
      <c r="A83" s="2009">
        <v>900</v>
      </c>
      <c r="B83" s="2010">
        <f t="shared" si="0"/>
        <v>800</v>
      </c>
      <c r="C83" s="69">
        <v>12573.775554597001</v>
      </c>
      <c r="D83" s="70">
        <v>21700.617063714792</v>
      </c>
      <c r="E83" s="70">
        <v>30884.24249340942</v>
      </c>
      <c r="F83" s="70">
        <v>40011.084002527212</v>
      </c>
      <c r="G83" s="1">
        <v>42675.085700131232</v>
      </c>
      <c r="H83" s="1"/>
      <c r="I83" s="1"/>
      <c r="J83" s="1"/>
      <c r="K83" s="1"/>
    </row>
    <row r="84" spans="1:11" s="74" customFormat="1" ht="16.5" thickBot="1">
      <c r="A84" s="2009">
        <v>950</v>
      </c>
      <c r="B84" s="2010">
        <f t="shared" si="0"/>
        <v>850</v>
      </c>
      <c r="C84" s="69">
        <v>12978.319309427477</v>
      </c>
      <c r="D84" s="70">
        <v>22509.704713769104</v>
      </c>
      <c r="E84" s="70">
        <v>32097.874179080933</v>
      </c>
      <c r="F84" s="70">
        <v>41629.259583422558</v>
      </c>
      <c r="G84" s="1">
        <v>44477.362506765647</v>
      </c>
      <c r="H84" s="1"/>
      <c r="I84" s="1"/>
      <c r="J84" s="1"/>
      <c r="K84" s="1"/>
    </row>
    <row r="85" spans="1:11" s="74" customFormat="1" ht="16.5" thickBot="1">
      <c r="A85" s="2009">
        <v>1000</v>
      </c>
      <c r="B85" s="2010">
        <f t="shared" si="0"/>
        <v>900</v>
      </c>
      <c r="C85" s="69">
        <v>13382.863204651316</v>
      </c>
      <c r="D85" s="70">
        <v>23318.792504216777</v>
      </c>
      <c r="E85" s="70">
        <v>33311.505724359085</v>
      </c>
      <c r="F85" s="70">
        <v>43247.435023924547</v>
      </c>
      <c r="G85" s="1">
        <v>46279.639313400061</v>
      </c>
      <c r="H85" s="1"/>
      <c r="I85" s="1"/>
      <c r="J85" s="1"/>
      <c r="K85" s="1"/>
    </row>
    <row r="86" spans="1:11" s="74" customFormat="1" ht="16.5" thickBot="1">
      <c r="A86" s="2009">
        <v>1050</v>
      </c>
      <c r="B86" s="2010">
        <f t="shared" si="0"/>
        <v>950</v>
      </c>
      <c r="C86" s="69">
        <v>13787.407099875152</v>
      </c>
      <c r="D86" s="70">
        <v>24127.880154271093</v>
      </c>
      <c r="E86" s="70">
        <v>34525.137410030598</v>
      </c>
      <c r="F86" s="70">
        <v>44865.610464426529</v>
      </c>
      <c r="G86" s="1">
        <v>48081.916120034453</v>
      </c>
      <c r="H86" s="1"/>
      <c r="I86" s="1"/>
      <c r="J86" s="1"/>
      <c r="K86" s="1"/>
    </row>
    <row r="87" spans="1:11" s="74" customFormat="1" ht="16.5" thickBot="1">
      <c r="A87" s="2009">
        <v>1100</v>
      </c>
      <c r="B87" s="2010">
        <f t="shared" si="0"/>
        <v>1000</v>
      </c>
      <c r="C87" s="69">
        <v>14191.950995098989</v>
      </c>
      <c r="D87" s="70">
        <v>24936.967944718766</v>
      </c>
      <c r="E87" s="70">
        <v>35738.76895530874</v>
      </c>
      <c r="F87" s="70">
        <v>46483.785904928518</v>
      </c>
      <c r="G87" s="1">
        <v>49884.192926668875</v>
      </c>
      <c r="H87" s="1"/>
      <c r="I87" s="1"/>
      <c r="J87" s="1"/>
      <c r="K87" s="1"/>
    </row>
    <row r="88" spans="1:11" s="74" customFormat="1" ht="16.5" thickBot="1">
      <c r="A88" s="2009">
        <v>1150</v>
      </c>
      <c r="B88" s="2010">
        <f t="shared" si="0"/>
        <v>1050</v>
      </c>
      <c r="C88" s="69">
        <v>14596.494890322829</v>
      </c>
      <c r="D88" s="70">
        <v>25746.055735166443</v>
      </c>
      <c r="E88" s="70">
        <v>36952.400640980253</v>
      </c>
      <c r="F88" s="70">
        <v>48101.961485823878</v>
      </c>
      <c r="G88" s="1">
        <v>51686.469733303318</v>
      </c>
      <c r="H88" s="1"/>
      <c r="I88" s="1"/>
      <c r="J88" s="1"/>
      <c r="K88" s="1"/>
    </row>
    <row r="89" spans="1:11" s="74" customFormat="1" ht="16.5" thickBot="1">
      <c r="A89" s="2009">
        <v>1200</v>
      </c>
      <c r="B89" s="2010">
        <f t="shared" si="0"/>
        <v>1100</v>
      </c>
      <c r="C89" s="69">
        <v>15090.309870599365</v>
      </c>
      <c r="D89" s="70">
        <v>26705.293805627782</v>
      </c>
      <c r="E89" s="70">
        <v>38405.453832111496</v>
      </c>
      <c r="F89" s="70">
        <v>50020.437767139912</v>
      </c>
      <c r="G89" s="1">
        <v>53789.372734852826</v>
      </c>
      <c r="H89" s="1"/>
      <c r="I89" s="1"/>
      <c r="J89" s="1"/>
      <c r="K89" s="1"/>
    </row>
    <row r="90" spans="1:11" s="74" customFormat="1" ht="16.5" thickBot="1">
      <c r="A90" s="2009">
        <v>1250</v>
      </c>
      <c r="B90" s="2010">
        <f t="shared" si="0"/>
        <v>1150</v>
      </c>
      <c r="C90" s="69">
        <v>15494.853765823202</v>
      </c>
      <c r="D90" s="70">
        <v>27514.381596075455</v>
      </c>
      <c r="E90" s="70">
        <v>39619.085377389645</v>
      </c>
      <c r="F90" s="70">
        <v>51638.613207641894</v>
      </c>
      <c r="G90" s="1">
        <v>55591.649541487219</v>
      </c>
      <c r="H90" s="1"/>
      <c r="I90" s="1"/>
      <c r="J90" s="1"/>
      <c r="K90" s="1"/>
    </row>
    <row r="91" spans="1:11" s="74" customFormat="1" ht="16.5" thickBot="1">
      <c r="A91" s="2009">
        <v>1300</v>
      </c>
      <c r="B91" s="2010">
        <f t="shared" si="0"/>
        <v>1200</v>
      </c>
      <c r="C91" s="69">
        <v>15899.397661047042</v>
      </c>
      <c r="D91" s="70">
        <v>28323.469386523135</v>
      </c>
      <c r="E91" s="70">
        <v>40832.717063061158</v>
      </c>
      <c r="F91" s="70">
        <v>53256.788648143884</v>
      </c>
      <c r="G91" s="1">
        <v>57393.926348121604</v>
      </c>
      <c r="H91" s="1"/>
      <c r="I91" s="1"/>
      <c r="J91" s="1"/>
      <c r="K91" s="1"/>
    </row>
    <row r="92" spans="1:11" s="74" customFormat="1" ht="16.5" thickBot="1">
      <c r="A92" s="2009">
        <v>1350</v>
      </c>
      <c r="B92" s="2010">
        <f t="shared" si="0"/>
        <v>1250</v>
      </c>
      <c r="C92" s="69">
        <v>16303.941556270878</v>
      </c>
      <c r="D92" s="70">
        <v>29132.557036577444</v>
      </c>
      <c r="E92" s="70">
        <v>42046.348608339315</v>
      </c>
      <c r="F92" s="70">
        <v>54874.964229039229</v>
      </c>
      <c r="G92" s="1">
        <v>59196.203154756018</v>
      </c>
      <c r="H92" s="1"/>
      <c r="I92" s="1"/>
      <c r="J92" s="1"/>
      <c r="K92" s="1"/>
    </row>
    <row r="93" spans="1:11" s="74" customFormat="1" ht="16.5" thickBot="1">
      <c r="A93" s="2009">
        <v>1400</v>
      </c>
      <c r="B93" s="2010">
        <f t="shared" si="0"/>
        <v>1300</v>
      </c>
      <c r="C93" s="69">
        <v>16708.485451494718</v>
      </c>
      <c r="D93" s="70">
        <v>29941.64482702512</v>
      </c>
      <c r="E93" s="70">
        <v>43259.98029401082</v>
      </c>
      <c r="F93" s="70">
        <v>56493.139669541219</v>
      </c>
      <c r="G93" s="1">
        <v>60998.479961390447</v>
      </c>
      <c r="H93" s="1"/>
      <c r="I93" s="1"/>
      <c r="J93" s="1"/>
      <c r="K93" s="1"/>
    </row>
    <row r="94" spans="1:11" s="74" customFormat="1" ht="16.5" thickBot="1">
      <c r="A94" s="2009">
        <v>1450</v>
      </c>
      <c r="B94" s="2010">
        <f t="shared" si="0"/>
        <v>1350</v>
      </c>
      <c r="C94" s="69">
        <v>17113.029346718555</v>
      </c>
      <c r="D94" s="70">
        <v>30750.732477079429</v>
      </c>
      <c r="E94" s="70">
        <v>44473.611839288969</v>
      </c>
      <c r="F94" s="70">
        <v>58111.315110043208</v>
      </c>
      <c r="G94" s="1">
        <v>62800.756768024854</v>
      </c>
      <c r="H94" s="1"/>
      <c r="I94" s="1"/>
      <c r="J94" s="1"/>
      <c r="K94" s="1"/>
    </row>
    <row r="95" spans="1:11" s="74" customFormat="1" ht="16.5" thickBot="1">
      <c r="A95" s="2009">
        <v>1500</v>
      </c>
      <c r="B95" s="2010">
        <f t="shared" si="0"/>
        <v>1400</v>
      </c>
      <c r="C95" s="69">
        <v>17517.573101549027</v>
      </c>
      <c r="D95" s="70">
        <v>31559.82026752711</v>
      </c>
      <c r="E95" s="70">
        <v>45687.243524960482</v>
      </c>
      <c r="F95" s="70">
        <v>59729.490550545204</v>
      </c>
      <c r="G95" s="1">
        <v>64603.033574659261</v>
      </c>
      <c r="H95" s="1"/>
      <c r="I95" s="1"/>
      <c r="J95" s="1"/>
      <c r="K95" s="1"/>
    </row>
    <row r="96" spans="1:11" s="74" customFormat="1" ht="16.5" thickBot="1">
      <c r="A96" s="2009">
        <v>1550</v>
      </c>
      <c r="B96" s="2010">
        <f t="shared" si="0"/>
        <v>1450</v>
      </c>
      <c r="C96" s="69">
        <v>17922.116996772867</v>
      </c>
      <c r="D96" s="70">
        <v>32368.908057974782</v>
      </c>
      <c r="E96" s="70">
        <v>46900.875070238631</v>
      </c>
      <c r="F96" s="70">
        <v>61347.66613144055</v>
      </c>
      <c r="G96" s="1">
        <v>66405.310381293704</v>
      </c>
      <c r="H96" s="1"/>
      <c r="I96" s="1"/>
      <c r="J96" s="1"/>
      <c r="K96" s="1"/>
    </row>
    <row r="97" spans="1:11" s="74" customFormat="1" ht="16.5" thickBot="1">
      <c r="A97" s="2009">
        <v>1600</v>
      </c>
      <c r="B97" s="2010">
        <f t="shared" si="0"/>
        <v>1500</v>
      </c>
      <c r="C97" s="69">
        <v>18326.660891996704</v>
      </c>
      <c r="D97" s="70">
        <v>33177.995708029099</v>
      </c>
      <c r="E97" s="70">
        <v>48114.506755910152</v>
      </c>
      <c r="F97" s="70">
        <v>62965.841571942539</v>
      </c>
      <c r="G97" s="1">
        <v>68207.587187928075</v>
      </c>
      <c r="H97" s="1"/>
      <c r="I97" s="1"/>
      <c r="J97" s="1"/>
      <c r="K97" s="1"/>
    </row>
    <row r="98" spans="1:11" s="74" customFormat="1" ht="16.5" thickBot="1">
      <c r="A98" s="2009">
        <v>1650</v>
      </c>
      <c r="B98" s="2010">
        <f t="shared" si="0"/>
        <v>1550</v>
      </c>
      <c r="C98" s="69">
        <v>18731.20478722054</v>
      </c>
      <c r="D98" s="70">
        <v>33987.083498476772</v>
      </c>
      <c r="E98" s="70">
        <v>49328.138301188301</v>
      </c>
      <c r="F98" s="70">
        <v>64584.017012444529</v>
      </c>
      <c r="G98" s="1">
        <v>70009.863994562518</v>
      </c>
      <c r="H98" s="1"/>
      <c r="I98" s="1"/>
      <c r="J98" s="1"/>
      <c r="K98" s="1"/>
    </row>
    <row r="99" spans="1:11" s="74" customFormat="1" ht="16.5" thickBot="1">
      <c r="A99" s="2009">
        <v>1700</v>
      </c>
      <c r="B99" s="2010">
        <f t="shared" si="0"/>
        <v>1600</v>
      </c>
      <c r="C99" s="69">
        <v>19135.748682444377</v>
      </c>
      <c r="D99" s="70">
        <v>34796.171288924445</v>
      </c>
      <c r="E99" s="70">
        <v>50541.76984646645</v>
      </c>
      <c r="F99" s="70">
        <v>66202.192452946518</v>
      </c>
      <c r="G99" s="1">
        <v>71812.140801196947</v>
      </c>
      <c r="H99" s="1"/>
      <c r="I99" s="1"/>
      <c r="J99" s="1"/>
      <c r="K99" s="1"/>
    </row>
    <row r="100" spans="1:11" s="74" customFormat="1" ht="16.5" thickBot="1">
      <c r="A100" s="2009">
        <v>1750</v>
      </c>
      <c r="B100" s="2010">
        <f t="shared" si="0"/>
        <v>1650</v>
      </c>
      <c r="C100" s="69">
        <v>19540.292437274853</v>
      </c>
      <c r="D100" s="70">
        <v>35605.258938978754</v>
      </c>
      <c r="E100" s="70">
        <v>51755.401532137963</v>
      </c>
      <c r="F100" s="70">
        <v>67820.368033841864</v>
      </c>
      <c r="G100" s="1">
        <v>73614.417607831347</v>
      </c>
      <c r="H100" s="1"/>
      <c r="I100" s="1"/>
      <c r="J100" s="1"/>
      <c r="K100" s="1"/>
    </row>
    <row r="101" spans="1:11" s="74" customFormat="1" ht="16.5" thickBot="1">
      <c r="A101" s="2009">
        <v>1800</v>
      </c>
      <c r="B101" s="2010">
        <f t="shared" si="0"/>
        <v>1700</v>
      </c>
      <c r="C101" s="69">
        <v>19944.836332498693</v>
      </c>
      <c r="D101" s="70">
        <v>36414.346729426434</v>
      </c>
      <c r="E101" s="70">
        <v>52969.033077416112</v>
      </c>
      <c r="F101" s="70">
        <v>69438.543474343853</v>
      </c>
      <c r="G101" s="1">
        <v>75416.694414465732</v>
      </c>
      <c r="H101" s="1"/>
      <c r="I101" s="1"/>
      <c r="J101" s="1"/>
      <c r="K101" s="1"/>
    </row>
    <row r="102" spans="1:11" s="74" customFormat="1" ht="16.5" thickBot="1">
      <c r="A102" s="2009">
        <v>1850</v>
      </c>
      <c r="B102" s="2010">
        <f t="shared" si="0"/>
        <v>1750</v>
      </c>
      <c r="C102" s="69">
        <v>20349.38022772253</v>
      </c>
      <c r="D102" s="70">
        <v>37223.434379480743</v>
      </c>
      <c r="E102" s="70">
        <v>54182.664763087618</v>
      </c>
      <c r="F102" s="70">
        <v>71056.718914845842</v>
      </c>
      <c r="G102" s="1">
        <v>77218.971221100161</v>
      </c>
      <c r="H102" s="1"/>
      <c r="I102" s="1"/>
      <c r="J102" s="1"/>
      <c r="K102" s="1"/>
    </row>
    <row r="103" spans="1:11" s="74" customFormat="1" ht="16.5" thickBot="1">
      <c r="A103" s="2009">
        <v>1900</v>
      </c>
      <c r="B103" s="2010">
        <f t="shared" si="0"/>
        <v>1800</v>
      </c>
      <c r="C103" s="69">
        <v>20753.924122946366</v>
      </c>
      <c r="D103" s="70">
        <v>38032.522169928416</v>
      </c>
      <c r="E103" s="70">
        <v>55396.296308365767</v>
      </c>
      <c r="F103" s="70">
        <v>72674.894355347831</v>
      </c>
      <c r="G103" s="1">
        <v>79021.248027734619</v>
      </c>
      <c r="H103" s="1"/>
      <c r="I103" s="1"/>
      <c r="J103" s="1"/>
      <c r="K103" s="1"/>
    </row>
    <row r="104" spans="1:11" s="74" customFormat="1" ht="16.5" thickBot="1">
      <c r="A104" s="2009">
        <v>1950</v>
      </c>
      <c r="B104" s="2010">
        <f t="shared" si="0"/>
        <v>1850</v>
      </c>
      <c r="C104" s="69">
        <v>21247.739243616266</v>
      </c>
      <c r="D104" s="70">
        <v>38991.760380783118</v>
      </c>
      <c r="E104" s="70">
        <v>56849.349639890374</v>
      </c>
      <c r="F104" s="70">
        <v>74593.370777057222</v>
      </c>
      <c r="G104" s="1">
        <v>81124.151029284054</v>
      </c>
      <c r="H104" s="1"/>
      <c r="I104" s="1"/>
      <c r="J104" s="1"/>
      <c r="K104" s="1"/>
    </row>
    <row r="105" spans="1:11" s="74" customFormat="1" ht="16.5" thickBot="1">
      <c r="A105" s="2009">
        <v>2000</v>
      </c>
      <c r="B105" s="2010">
        <f t="shared" si="0"/>
        <v>1900</v>
      </c>
      <c r="C105" s="69">
        <v>21652.282998446743</v>
      </c>
      <c r="D105" s="70">
        <v>39800.848030837435</v>
      </c>
      <c r="E105" s="70">
        <v>58062.981185168523</v>
      </c>
      <c r="F105" s="70">
        <v>76211.546217559211</v>
      </c>
      <c r="G105" s="1">
        <v>82926.427835918483</v>
      </c>
      <c r="H105" s="1"/>
      <c r="I105" s="1"/>
      <c r="J105" s="1"/>
      <c r="K105" s="1"/>
    </row>
    <row r="106" spans="1:11" s="74" customFormat="1" ht="16.5" thickBot="1">
      <c r="A106" s="2009">
        <v>2050</v>
      </c>
      <c r="B106" s="2010">
        <f t="shared" si="0"/>
        <v>1950</v>
      </c>
      <c r="C106" s="69">
        <v>22056.826893670579</v>
      </c>
      <c r="D106" s="70">
        <v>40609.935821285108</v>
      </c>
      <c r="E106" s="70">
        <v>59276.612730446672</v>
      </c>
      <c r="F106" s="70">
        <v>77829.7216580612</v>
      </c>
      <c r="G106" s="1">
        <v>84728.704642552882</v>
      </c>
      <c r="H106" s="1"/>
      <c r="I106" s="1"/>
      <c r="J106" s="1"/>
      <c r="K106" s="1"/>
    </row>
    <row r="107" spans="1:11" s="74" customFormat="1" ht="16.5" thickBot="1">
      <c r="A107" s="2009">
        <v>2100</v>
      </c>
      <c r="B107" s="2010">
        <f t="shared" si="0"/>
        <v>2000</v>
      </c>
      <c r="C107" s="69">
        <v>22461.370788894419</v>
      </c>
      <c r="D107" s="70">
        <v>41419.023611732788</v>
      </c>
      <c r="E107" s="70">
        <v>60490.244416118192</v>
      </c>
      <c r="F107" s="70">
        <v>79447.89709856319</v>
      </c>
      <c r="G107" s="1">
        <v>86530.981449187297</v>
      </c>
      <c r="H107" s="1"/>
      <c r="I107" s="1"/>
      <c r="J107" s="1"/>
      <c r="K107" s="1"/>
    </row>
    <row r="108" spans="1:11" s="74" customFormat="1" ht="16.5" thickBot="1">
      <c r="A108" s="2009">
        <v>2150</v>
      </c>
      <c r="B108" s="2010">
        <f t="shared" si="0"/>
        <v>2050</v>
      </c>
      <c r="C108" s="69">
        <v>22865.914684118256</v>
      </c>
      <c r="D108" s="70">
        <v>42228.111261787097</v>
      </c>
      <c r="E108" s="70">
        <v>61703.875961396334</v>
      </c>
      <c r="F108" s="70">
        <v>81066.07267945855</v>
      </c>
      <c r="G108" s="1">
        <v>88333.258255821696</v>
      </c>
      <c r="H108" s="1"/>
      <c r="I108" s="1"/>
      <c r="J108" s="1"/>
      <c r="K108" s="1"/>
    </row>
    <row r="109" spans="1:11" s="74" customFormat="1" ht="16.5" thickBot="1">
      <c r="A109" s="2009">
        <v>2200</v>
      </c>
      <c r="B109" s="2010">
        <f t="shared" si="0"/>
        <v>2100</v>
      </c>
      <c r="C109" s="69">
        <v>23270.458579342092</v>
      </c>
      <c r="D109" s="70">
        <v>43037.19905223477</v>
      </c>
      <c r="E109" s="70">
        <v>62917.507647067854</v>
      </c>
      <c r="F109" s="70">
        <v>82684.248119960539</v>
      </c>
      <c r="G109" s="1">
        <v>90135.535062456111</v>
      </c>
      <c r="H109" s="1"/>
      <c r="I109" s="1"/>
      <c r="J109" s="1"/>
      <c r="K109" s="1"/>
    </row>
    <row r="110" spans="1:11" s="74" customFormat="1" ht="16.5" thickBot="1">
      <c r="A110" s="2009">
        <v>2250</v>
      </c>
      <c r="B110" s="2010">
        <f t="shared" si="0"/>
        <v>2150</v>
      </c>
      <c r="C110" s="69">
        <v>23675.002474565928</v>
      </c>
      <c r="D110" s="70">
        <v>43846.286702289086</v>
      </c>
      <c r="E110" s="70">
        <v>64131.139192346003</v>
      </c>
      <c r="F110" s="70">
        <v>84302.423560462528</v>
      </c>
      <c r="G110" s="1">
        <v>91937.811869090496</v>
      </c>
      <c r="H110" s="1"/>
      <c r="I110" s="1"/>
      <c r="J110" s="1"/>
      <c r="K110" s="1"/>
    </row>
    <row r="111" spans="1:11" s="74" customFormat="1" ht="16.5" thickBot="1">
      <c r="A111" s="2009">
        <v>2300</v>
      </c>
      <c r="B111" s="2010">
        <f t="shared" si="0"/>
        <v>2200</v>
      </c>
      <c r="C111" s="69">
        <v>24079.546229396401</v>
      </c>
      <c r="D111" s="70">
        <v>44655.374492736759</v>
      </c>
      <c r="E111" s="70">
        <v>65344.770878017509</v>
      </c>
      <c r="F111" s="70">
        <v>85920.599000964503</v>
      </c>
      <c r="G111" s="1">
        <v>93740.088675724997</v>
      </c>
      <c r="H111" s="1"/>
      <c r="I111" s="1"/>
      <c r="J111" s="1"/>
      <c r="K111" s="1"/>
    </row>
    <row r="112" spans="1:11" s="74" customFormat="1" ht="16.5" thickBot="1">
      <c r="A112" s="2009">
        <v>2350</v>
      </c>
      <c r="B112" s="2010">
        <f t="shared" si="0"/>
        <v>2250</v>
      </c>
      <c r="C112" s="69">
        <v>24484.090124620241</v>
      </c>
      <c r="D112" s="70">
        <v>45464.462283184432</v>
      </c>
      <c r="E112" s="70">
        <v>66558.402423295658</v>
      </c>
      <c r="F112" s="70">
        <v>87538.774581859863</v>
      </c>
      <c r="G112" s="1">
        <v>95542.365482359455</v>
      </c>
      <c r="H112" s="1"/>
      <c r="I112" s="1"/>
      <c r="J112" s="1"/>
      <c r="K112" s="1"/>
    </row>
    <row r="113" spans="1:11" s="74" customFormat="1" ht="16.5" thickBot="1">
      <c r="A113" s="2009">
        <v>2400</v>
      </c>
      <c r="B113" s="2010">
        <f t="shared" si="0"/>
        <v>2300</v>
      </c>
      <c r="C113" s="69">
        <v>24888.634019844081</v>
      </c>
      <c r="D113" s="70">
        <v>46273.549933238748</v>
      </c>
      <c r="E113" s="70">
        <v>67772.034108967171</v>
      </c>
      <c r="F113" s="70">
        <v>89156.950022361838</v>
      </c>
      <c r="G113" s="1">
        <v>97344.64228899384</v>
      </c>
      <c r="H113" s="1"/>
      <c r="I113" s="1"/>
      <c r="J113" s="1"/>
      <c r="K113" s="1"/>
    </row>
    <row r="114" spans="1:11" s="74" customFormat="1" ht="16.5" thickBot="1">
      <c r="A114" s="2009">
        <v>2450</v>
      </c>
      <c r="B114" s="2010">
        <f t="shared" si="0"/>
        <v>2350</v>
      </c>
      <c r="C114" s="69">
        <v>25293.177915067921</v>
      </c>
      <c r="D114" s="70">
        <v>47082.637723686428</v>
      </c>
      <c r="E114" s="70">
        <v>68985.665654245327</v>
      </c>
      <c r="F114" s="70">
        <v>90775.125462863827</v>
      </c>
      <c r="G114" s="1">
        <v>99146.919095628225</v>
      </c>
      <c r="H114" s="1"/>
      <c r="I114" s="1"/>
      <c r="J114" s="1"/>
      <c r="K114" s="1"/>
    </row>
    <row r="115" spans="1:11" s="74" customFormat="1" ht="16.5" thickBot="1">
      <c r="A115" s="2009">
        <v>2500</v>
      </c>
      <c r="B115" s="2010">
        <f t="shared" si="0"/>
        <v>2400</v>
      </c>
      <c r="C115" s="69">
        <v>25697.721810291754</v>
      </c>
      <c r="D115" s="70">
        <v>47891.725514134094</v>
      </c>
      <c r="E115" s="70">
        <v>70199.297199523469</v>
      </c>
      <c r="F115" s="70">
        <v>92393.301043759173</v>
      </c>
      <c r="G115" s="1">
        <v>100949.19590226265</v>
      </c>
      <c r="H115" s="1"/>
      <c r="I115" s="1"/>
      <c r="J115" s="1"/>
      <c r="K115" s="1"/>
    </row>
    <row r="116" spans="1:11" s="74" customFormat="1" ht="16.5" thickBot="1">
      <c r="A116" s="2009">
        <v>2550</v>
      </c>
      <c r="B116" s="2010">
        <f t="shared" si="0"/>
        <v>2450</v>
      </c>
      <c r="C116" s="69">
        <v>26102.26556512223</v>
      </c>
      <c r="D116" s="70">
        <v>48700.813164188417</v>
      </c>
      <c r="E116" s="70">
        <v>71412.928885194997</v>
      </c>
      <c r="F116" s="70">
        <v>94011.476484261162</v>
      </c>
      <c r="G116" s="1">
        <v>102751.47270889704</v>
      </c>
      <c r="H116" s="1"/>
      <c r="I116" s="1"/>
      <c r="J116" s="1"/>
      <c r="K116" s="1"/>
    </row>
    <row r="117" spans="1:11" s="74" customFormat="1" ht="16.5" thickBot="1">
      <c r="A117" s="2009">
        <v>2600</v>
      </c>
      <c r="B117" s="2010">
        <f t="shared" si="0"/>
        <v>2500</v>
      </c>
      <c r="C117" s="69">
        <v>26506.80946034607</v>
      </c>
      <c r="D117" s="70">
        <v>49509.900954636083</v>
      </c>
      <c r="E117" s="70">
        <v>72626.560430473139</v>
      </c>
      <c r="F117" s="70">
        <v>95629.651924763151</v>
      </c>
      <c r="G117" s="1">
        <v>104553.74951553141</v>
      </c>
      <c r="H117" s="1"/>
      <c r="I117" s="1"/>
      <c r="J117" s="1"/>
      <c r="K117" s="1"/>
    </row>
    <row r="118" spans="1:11" s="74" customFormat="1" ht="16.5" thickBot="1">
      <c r="A118" s="2009">
        <v>2650</v>
      </c>
      <c r="B118" s="2010">
        <f t="shared" si="0"/>
        <v>2550</v>
      </c>
      <c r="C118" s="69">
        <v>26911.353355569907</v>
      </c>
      <c r="D118" s="70">
        <v>50318.988604690399</v>
      </c>
      <c r="E118" s="70">
        <v>73840.192116144652</v>
      </c>
      <c r="F118" s="70">
        <v>97247.827365265141</v>
      </c>
      <c r="G118" s="1">
        <v>106356.02632216585</v>
      </c>
      <c r="H118" s="1"/>
      <c r="I118" s="1"/>
      <c r="J118" s="1"/>
      <c r="K118" s="1"/>
    </row>
    <row r="119" spans="1:11" s="74" customFormat="1" ht="16.5" thickBot="1">
      <c r="A119" s="2009">
        <v>2700</v>
      </c>
      <c r="B119" s="2010">
        <f t="shared" si="0"/>
        <v>2600</v>
      </c>
      <c r="C119" s="69">
        <v>27405.168476239807</v>
      </c>
      <c r="D119" s="70">
        <v>51278.226815545095</v>
      </c>
      <c r="E119" s="70">
        <v>75293.245307275894</v>
      </c>
      <c r="F119" s="70">
        <v>99166.303646581189</v>
      </c>
      <c r="G119" s="1">
        <v>108458.92932371532</v>
      </c>
      <c r="H119" s="1"/>
      <c r="I119" s="1"/>
      <c r="J119" s="1"/>
      <c r="K119" s="1"/>
    </row>
    <row r="120" spans="1:11" s="74" customFormat="1" ht="16.5" thickBot="1">
      <c r="A120" s="2009">
        <v>2750</v>
      </c>
      <c r="B120" s="2010">
        <f t="shared" si="0"/>
        <v>2650</v>
      </c>
      <c r="C120" s="69">
        <v>27809.712371463647</v>
      </c>
      <c r="D120" s="70">
        <v>52087.314605992775</v>
      </c>
      <c r="E120" s="70">
        <v>76506.876992947407</v>
      </c>
      <c r="F120" s="70">
        <v>100784.47922747654</v>
      </c>
      <c r="G120" s="1">
        <v>110261.20613034972</v>
      </c>
      <c r="H120" s="1"/>
      <c r="I120" s="1"/>
      <c r="J120" s="1"/>
      <c r="K120" s="1"/>
    </row>
    <row r="121" spans="1:11" s="74" customFormat="1" ht="16.5" thickBot="1">
      <c r="A121" s="2009">
        <v>2800</v>
      </c>
      <c r="B121" s="2010">
        <f t="shared" si="0"/>
        <v>2700</v>
      </c>
      <c r="C121" s="69">
        <v>28214.25612629412</v>
      </c>
      <c r="D121" s="70">
        <v>52896.402256047084</v>
      </c>
      <c r="E121" s="70">
        <v>77720.508538225564</v>
      </c>
      <c r="F121" s="70">
        <v>102402.65466797852</v>
      </c>
      <c r="G121" s="1">
        <v>112063.48293698419</v>
      </c>
      <c r="H121" s="1"/>
      <c r="I121" s="1"/>
      <c r="J121" s="1"/>
      <c r="K121" s="1"/>
    </row>
    <row r="122" spans="1:11" s="74" customFormat="1" ht="16.5" thickBot="1">
      <c r="A122" s="2009">
        <v>2850</v>
      </c>
      <c r="B122" s="2010">
        <f t="shared" si="0"/>
        <v>2750</v>
      </c>
      <c r="C122" s="69">
        <v>28618.800021517956</v>
      </c>
      <c r="D122" s="70">
        <v>53705.490046494764</v>
      </c>
      <c r="E122" s="70">
        <v>78934.140223897062</v>
      </c>
      <c r="F122" s="70">
        <v>104020.83010848051</v>
      </c>
      <c r="G122" s="1">
        <v>113865.7597436186</v>
      </c>
      <c r="H122" s="1"/>
      <c r="I122" s="1"/>
      <c r="J122" s="1"/>
      <c r="K122" s="1"/>
    </row>
    <row r="123" spans="1:11" s="74" customFormat="1" ht="16.5" thickBot="1">
      <c r="A123" s="2009">
        <v>2900</v>
      </c>
      <c r="B123" s="2010">
        <f t="shared" si="0"/>
        <v>2800</v>
      </c>
      <c r="C123" s="69">
        <v>29023.343916741793</v>
      </c>
      <c r="D123" s="70">
        <v>54514.57783694243</v>
      </c>
      <c r="E123" s="70">
        <v>80147.771769175219</v>
      </c>
      <c r="F123" s="70">
        <v>105639.00568937586</v>
      </c>
      <c r="G123" s="1">
        <v>115668.03655025297</v>
      </c>
      <c r="H123" s="1"/>
      <c r="I123" s="1"/>
      <c r="J123" s="1"/>
      <c r="K123" s="1"/>
    </row>
    <row r="124" spans="1:11" s="74" customFormat="1" ht="16.5" thickBot="1">
      <c r="A124" s="2009">
        <v>2950</v>
      </c>
      <c r="B124" s="2010">
        <f t="shared" si="0"/>
        <v>2850</v>
      </c>
      <c r="C124" s="69">
        <v>29427.887811965633</v>
      </c>
      <c r="D124" s="70">
        <v>55323.665486996753</v>
      </c>
      <c r="E124" s="70">
        <v>81361.403314453361</v>
      </c>
      <c r="F124" s="70">
        <v>107257.18112987783</v>
      </c>
      <c r="G124" s="1">
        <v>117470.31335688749</v>
      </c>
      <c r="H124" s="1"/>
      <c r="I124" s="1"/>
      <c r="J124" s="1"/>
      <c r="K124" s="1"/>
    </row>
    <row r="125" spans="1:11" s="74" customFormat="1" ht="16.5" thickBot="1">
      <c r="A125" s="2009">
        <v>3000</v>
      </c>
      <c r="B125" s="2010">
        <f t="shared" si="0"/>
        <v>2900</v>
      </c>
      <c r="C125" s="71">
        <v>29832.431707189466</v>
      </c>
      <c r="D125" s="72">
        <v>56132.753277444419</v>
      </c>
      <c r="E125" s="72">
        <v>82575.035000124873</v>
      </c>
      <c r="F125" s="72">
        <v>108875.35657037982</v>
      </c>
      <c r="G125" s="1">
        <v>119272.5901635218</v>
      </c>
      <c r="H125" s="1"/>
      <c r="I125" s="1"/>
      <c r="J125" s="1"/>
      <c r="K125" s="1"/>
    </row>
    <row r="126" spans="1:11" s="74" customFormat="1" ht="16.5" thickBot="1">
      <c r="A126" s="96"/>
      <c r="B126" s="96"/>
      <c r="C126" s="8"/>
      <c r="D126" s="8"/>
      <c r="E126" s="8"/>
      <c r="F126" s="975"/>
      <c r="G126" s="974"/>
      <c r="H126" s="974"/>
      <c r="I126" s="974"/>
      <c r="J126" s="974"/>
      <c r="K126" s="974"/>
    </row>
    <row r="127" spans="1:11" s="74" customFormat="1" ht="16.5" thickBot="1">
      <c r="A127" s="2847" t="s">
        <v>21</v>
      </c>
      <c r="B127" s="2848"/>
      <c r="C127" s="972" t="s">
        <v>406</v>
      </c>
      <c r="D127" s="972" t="s">
        <v>407</v>
      </c>
      <c r="E127" s="2005"/>
      <c r="F127" s="2005"/>
      <c r="G127" s="974"/>
      <c r="H127" s="974"/>
      <c r="I127" s="974"/>
      <c r="J127" s="974"/>
      <c r="K127" s="974"/>
    </row>
    <row r="128" spans="1:11" s="74" customFormat="1" ht="16.5" thickBot="1">
      <c r="A128" s="2847" t="s">
        <v>23</v>
      </c>
      <c r="B128" s="2848"/>
      <c r="C128" s="972">
        <v>40</v>
      </c>
      <c r="D128" s="972">
        <v>40</v>
      </c>
      <c r="E128" s="2005"/>
      <c r="F128" s="2005"/>
      <c r="G128" s="974"/>
      <c r="H128" s="974"/>
      <c r="I128" s="974"/>
      <c r="J128" s="974"/>
      <c r="K128" s="974"/>
    </row>
    <row r="129" spans="1:11" s="74" customFormat="1" ht="16.5" thickBot="1">
      <c r="A129" s="2847" t="s">
        <v>24</v>
      </c>
      <c r="B129" s="2848"/>
      <c r="C129" s="973">
        <v>100</v>
      </c>
      <c r="D129" s="973">
        <v>200</v>
      </c>
      <c r="E129" s="2005"/>
      <c r="F129" s="2005"/>
      <c r="G129" s="974"/>
      <c r="H129" s="974"/>
      <c r="I129" s="974"/>
      <c r="J129" s="974"/>
      <c r="K129" s="974"/>
    </row>
    <row r="130" spans="1:11" s="74" customFormat="1" ht="16.5" thickBot="1">
      <c r="A130" s="2847" t="s">
        <v>25</v>
      </c>
      <c r="B130" s="2848"/>
      <c r="C130" s="973">
        <v>2</v>
      </c>
      <c r="D130" s="973">
        <v>4</v>
      </c>
      <c r="E130" s="2005"/>
      <c r="F130" s="2005"/>
      <c r="G130" s="974"/>
      <c r="H130" s="974"/>
      <c r="I130" s="974"/>
      <c r="J130" s="974"/>
      <c r="K130" s="974"/>
    </row>
    <row r="131" spans="1:11" s="74" customFormat="1" ht="149.25" customHeight="1" thickBot="1">
      <c r="A131" s="2849" t="s">
        <v>18</v>
      </c>
      <c r="B131" s="2851" t="s">
        <v>26</v>
      </c>
      <c r="C131" s="73"/>
      <c r="D131" s="73"/>
      <c r="E131" s="2005"/>
      <c r="F131" s="2005"/>
      <c r="G131" s="974"/>
      <c r="H131" s="974"/>
      <c r="I131" s="974"/>
      <c r="J131" s="974"/>
      <c r="K131" s="974"/>
    </row>
    <row r="132" spans="1:11" s="74" customFormat="1" ht="16.5" thickBot="1">
      <c r="A132" s="2850"/>
      <c r="B132" s="2852"/>
      <c r="C132" s="2844" t="s">
        <v>58</v>
      </c>
      <c r="D132" s="2846"/>
      <c r="E132" s="2005"/>
      <c r="F132" s="2005"/>
      <c r="G132" s="1"/>
      <c r="H132" s="1"/>
      <c r="I132" s="1"/>
      <c r="J132" s="1"/>
      <c r="K132" s="1"/>
    </row>
    <row r="133" spans="1:11" s="74" customFormat="1" ht="15" customHeight="1">
      <c r="A133" s="2838" t="s">
        <v>398</v>
      </c>
      <c r="B133" s="2838"/>
      <c r="C133" s="2839"/>
      <c r="D133" s="2835">
        <v>1000</v>
      </c>
      <c r="E133" s="2005"/>
      <c r="F133" s="2005"/>
      <c r="G133" s="974"/>
      <c r="H133" s="974"/>
      <c r="I133" s="974"/>
      <c r="J133" s="974"/>
      <c r="K133" s="974"/>
    </row>
    <row r="134" spans="1:11" s="74" customFormat="1" ht="15" customHeight="1">
      <c r="A134" s="2840"/>
      <c r="B134" s="2840"/>
      <c r="C134" s="2841"/>
      <c r="D134" s="2836"/>
      <c r="E134" s="2005"/>
      <c r="F134" s="2005"/>
      <c r="G134" s="974"/>
      <c r="H134" s="974"/>
      <c r="I134" s="974"/>
      <c r="J134" s="974"/>
      <c r="K134" s="974"/>
    </row>
    <row r="135" spans="1:11" s="74" customFormat="1" ht="15.75" customHeight="1" thickBot="1">
      <c r="A135" s="2842"/>
      <c r="B135" s="2842"/>
      <c r="C135" s="2843"/>
      <c r="D135" s="2837"/>
      <c r="E135" s="2005"/>
      <c r="F135" s="2005"/>
      <c r="G135" s="974"/>
      <c r="H135" s="974"/>
      <c r="I135" s="974"/>
      <c r="J135" s="974"/>
      <c r="K135" s="974"/>
    </row>
    <row r="136" spans="1:11" s="74" customFormat="1" ht="16.5" thickBot="1">
      <c r="A136" s="973">
        <v>500</v>
      </c>
      <c r="B136" s="2006">
        <v>400</v>
      </c>
      <c r="C136" s="67">
        <v>3295.5616412449886</v>
      </c>
      <c r="D136" s="68">
        <v>5374.5582179023886</v>
      </c>
      <c r="E136" s="8"/>
      <c r="F136" s="8"/>
      <c r="G136" s="1"/>
      <c r="H136" s="1"/>
      <c r="I136" s="1"/>
      <c r="J136" s="1"/>
      <c r="K136" s="1"/>
    </row>
    <row r="137" spans="1:11" s="74" customFormat="1" ht="16.5" thickBot="1">
      <c r="A137" s="973">
        <v>550</v>
      </c>
      <c r="B137" s="2006">
        <v>450</v>
      </c>
      <c r="C137" s="69">
        <v>3438.341831300851</v>
      </c>
      <c r="D137" s="70">
        <v>5660.1185980141136</v>
      </c>
      <c r="E137" s="8"/>
      <c r="F137" s="8"/>
      <c r="G137" s="1"/>
      <c r="H137" s="1"/>
      <c r="I137" s="1"/>
      <c r="J137" s="1"/>
      <c r="K137" s="1"/>
    </row>
    <row r="138" spans="1:11" s="74" customFormat="1" ht="16.5" thickBot="1">
      <c r="A138" s="973">
        <v>600</v>
      </c>
      <c r="B138" s="2006">
        <v>500</v>
      </c>
      <c r="C138" s="69">
        <v>3581.1220213567135</v>
      </c>
      <c r="D138" s="70">
        <v>5945.6789781258385</v>
      </c>
      <c r="E138" s="8"/>
      <c r="F138" s="8"/>
      <c r="G138" s="1"/>
      <c r="H138" s="1"/>
      <c r="I138" s="1"/>
      <c r="J138" s="1"/>
      <c r="K138" s="1"/>
    </row>
    <row r="139" spans="1:11" s="74" customFormat="1" ht="16.5" thickBot="1">
      <c r="A139" s="973">
        <v>650</v>
      </c>
      <c r="B139" s="2006">
        <v>550</v>
      </c>
      <c r="C139" s="69">
        <v>3723.902211412576</v>
      </c>
      <c r="D139" s="70">
        <v>6231.2393582375635</v>
      </c>
      <c r="E139" s="8"/>
      <c r="F139" s="8"/>
      <c r="G139" s="1"/>
      <c r="H139" s="1"/>
      <c r="I139" s="1"/>
      <c r="J139" s="1"/>
      <c r="K139" s="1"/>
    </row>
    <row r="140" spans="1:11" s="74" customFormat="1" ht="16.5" thickBot="1">
      <c r="A140" s="973">
        <v>700</v>
      </c>
      <c r="B140" s="2006">
        <v>600</v>
      </c>
      <c r="C140" s="69">
        <v>3866.682401468438</v>
      </c>
      <c r="D140" s="70">
        <v>6516.7997383492884</v>
      </c>
      <c r="E140" s="8"/>
      <c r="F140" s="8"/>
      <c r="G140" s="1"/>
      <c r="H140" s="1"/>
      <c r="I140" s="1"/>
      <c r="J140" s="1"/>
      <c r="K140" s="1"/>
    </row>
    <row r="141" spans="1:11" s="74" customFormat="1" ht="16.5" thickBot="1">
      <c r="A141" s="973">
        <v>750</v>
      </c>
      <c r="B141" s="2006">
        <v>650</v>
      </c>
      <c r="C141" s="69">
        <v>4009.4625915243005</v>
      </c>
      <c r="D141" s="70">
        <v>6802.3601184610143</v>
      </c>
      <c r="E141" s="8"/>
      <c r="F141" s="8"/>
      <c r="G141" s="1"/>
      <c r="H141" s="1"/>
      <c r="I141" s="1"/>
      <c r="J141" s="1"/>
      <c r="K141" s="1"/>
    </row>
    <row r="142" spans="1:11" s="74" customFormat="1" ht="16.5" thickBot="1">
      <c r="A142" s="973">
        <v>800</v>
      </c>
      <c r="B142" s="2006">
        <v>700</v>
      </c>
      <c r="C142" s="69">
        <v>4152.242781580163</v>
      </c>
      <c r="D142" s="70">
        <v>7087.9204985727392</v>
      </c>
      <c r="E142" s="8"/>
      <c r="F142" s="8"/>
      <c r="G142" s="1"/>
      <c r="H142" s="1"/>
      <c r="I142" s="1"/>
      <c r="J142" s="1"/>
      <c r="K142" s="1"/>
    </row>
    <row r="143" spans="1:11" s="74" customFormat="1" ht="16.5" thickBot="1">
      <c r="A143" s="973">
        <v>850</v>
      </c>
      <c r="B143" s="2006">
        <v>750</v>
      </c>
      <c r="C143" s="69">
        <v>4295.0229716360254</v>
      </c>
      <c r="D143" s="70">
        <v>7373.4808786844642</v>
      </c>
      <c r="E143" s="8"/>
      <c r="F143" s="8"/>
      <c r="G143" s="1"/>
      <c r="H143" s="1"/>
      <c r="I143" s="1"/>
      <c r="J143" s="1"/>
      <c r="K143" s="1"/>
    </row>
    <row r="144" spans="1:11" s="74" customFormat="1" ht="16.5" thickBot="1">
      <c r="A144" s="973">
        <v>900</v>
      </c>
      <c r="B144" s="2006">
        <v>800</v>
      </c>
      <c r="C144" s="69">
        <v>4437.8031616918879</v>
      </c>
      <c r="D144" s="70">
        <v>7659.0412587961891</v>
      </c>
      <c r="E144" s="8"/>
      <c r="F144" s="8"/>
      <c r="G144" s="1"/>
      <c r="H144" s="1"/>
      <c r="I144" s="1"/>
      <c r="J144" s="1"/>
      <c r="K144" s="1"/>
    </row>
    <row r="145" spans="1:11" s="74" customFormat="1" ht="16.5" thickBot="1">
      <c r="A145" s="973">
        <v>950</v>
      </c>
      <c r="B145" s="2006">
        <v>850</v>
      </c>
      <c r="C145" s="69">
        <v>4580.5833517477504</v>
      </c>
      <c r="D145" s="70">
        <v>7944.6016389079141</v>
      </c>
      <c r="E145" s="8"/>
      <c r="F145" s="8"/>
      <c r="G145" s="1"/>
      <c r="H145" s="1"/>
      <c r="I145" s="1"/>
      <c r="J145" s="1"/>
      <c r="K145" s="1"/>
    </row>
    <row r="146" spans="1:11" s="74" customFormat="1" ht="16.5" thickBot="1">
      <c r="A146" s="973">
        <v>1000</v>
      </c>
      <c r="B146" s="2006">
        <v>900</v>
      </c>
      <c r="C146" s="69">
        <v>4723.3635418036138</v>
      </c>
      <c r="D146" s="70">
        <v>8230.162019019639</v>
      </c>
      <c r="E146" s="8"/>
      <c r="F146" s="8"/>
      <c r="G146" s="1"/>
      <c r="H146" s="1"/>
      <c r="I146" s="1"/>
      <c r="J146" s="1"/>
      <c r="K146" s="1"/>
    </row>
    <row r="147" spans="1:11" s="74" customFormat="1" ht="16.5" thickBot="1">
      <c r="A147" s="973">
        <v>1050</v>
      </c>
      <c r="B147" s="2006">
        <v>950</v>
      </c>
      <c r="C147" s="69">
        <v>4866.1437318594762</v>
      </c>
      <c r="D147" s="70">
        <v>8515.722399131364</v>
      </c>
      <c r="E147" s="8"/>
      <c r="F147" s="8"/>
      <c r="G147" s="1"/>
      <c r="H147" s="1"/>
      <c r="I147" s="1"/>
      <c r="J147" s="1"/>
      <c r="K147" s="1"/>
    </row>
    <row r="148" spans="1:11" s="74" customFormat="1" ht="16.5" thickBot="1">
      <c r="A148" s="973">
        <v>1100</v>
      </c>
      <c r="B148" s="2006">
        <v>1000</v>
      </c>
      <c r="C148" s="69">
        <v>5008.9239219153387</v>
      </c>
      <c r="D148" s="70">
        <v>8801.282779243089</v>
      </c>
      <c r="E148" s="8"/>
      <c r="F148" s="8"/>
      <c r="G148" s="1"/>
      <c r="H148" s="1"/>
      <c r="I148" s="1"/>
      <c r="J148" s="1"/>
      <c r="K148" s="1"/>
    </row>
    <row r="149" spans="1:11" s="74" customFormat="1" ht="16.5" thickBot="1">
      <c r="A149" s="973">
        <v>1150</v>
      </c>
      <c r="B149" s="2006">
        <v>1050</v>
      </c>
      <c r="C149" s="69">
        <v>5151.7041119712012</v>
      </c>
      <c r="D149" s="70">
        <v>9086.8431593548139</v>
      </c>
      <c r="E149" s="8"/>
      <c r="F149" s="8"/>
      <c r="G149" s="1"/>
      <c r="H149" s="1"/>
      <c r="I149" s="1"/>
      <c r="J149" s="1"/>
      <c r="K149" s="1"/>
    </row>
    <row r="150" spans="1:11" s="74" customFormat="1" ht="16.5" thickBot="1">
      <c r="A150" s="973">
        <v>1200</v>
      </c>
      <c r="B150" s="2006">
        <v>1100</v>
      </c>
      <c r="C150" s="69">
        <v>5325.9918016194015</v>
      </c>
      <c r="D150" s="70">
        <v>9425.3978220094141</v>
      </c>
      <c r="E150" s="8"/>
      <c r="F150" s="8"/>
      <c r="G150" s="1"/>
      <c r="H150" s="1"/>
      <c r="I150" s="1"/>
      <c r="J150" s="1"/>
      <c r="K150" s="1"/>
    </row>
    <row r="151" spans="1:11" s="74" customFormat="1" ht="16.5" thickBot="1">
      <c r="A151" s="973">
        <v>1250</v>
      </c>
      <c r="B151" s="2006">
        <v>1150</v>
      </c>
      <c r="C151" s="69">
        <v>5468.771991675264</v>
      </c>
      <c r="D151" s="70">
        <v>9710.958202121139</v>
      </c>
      <c r="E151" s="8"/>
      <c r="F151" s="8"/>
      <c r="G151" s="1"/>
      <c r="H151" s="1"/>
      <c r="I151" s="1"/>
      <c r="J151" s="1"/>
      <c r="K151" s="1"/>
    </row>
    <row r="152" spans="1:11" s="74" customFormat="1" ht="16.5" thickBot="1">
      <c r="A152" s="973">
        <v>1300</v>
      </c>
      <c r="B152" s="2006">
        <v>1200</v>
      </c>
      <c r="C152" s="69">
        <v>5611.5521817311264</v>
      </c>
      <c r="D152" s="70">
        <v>9996.518582232864</v>
      </c>
      <c r="E152" s="8"/>
      <c r="F152" s="8"/>
      <c r="G152" s="1"/>
      <c r="H152" s="1"/>
      <c r="I152" s="1"/>
      <c r="J152" s="1"/>
      <c r="K152" s="1"/>
    </row>
    <row r="153" spans="1:11" s="74" customFormat="1" ht="16.5" thickBot="1">
      <c r="A153" s="973">
        <v>1350</v>
      </c>
      <c r="B153" s="2006">
        <v>1250</v>
      </c>
      <c r="C153" s="69">
        <v>5754.332371786988</v>
      </c>
      <c r="D153" s="70">
        <v>10282.078962344589</v>
      </c>
      <c r="E153" s="8"/>
      <c r="F153" s="8"/>
      <c r="G153" s="1"/>
      <c r="H153" s="1"/>
      <c r="I153" s="1"/>
      <c r="J153" s="1"/>
      <c r="K153" s="1"/>
    </row>
    <row r="154" spans="1:11" s="74" customFormat="1" ht="16.5" thickBot="1">
      <c r="A154" s="973">
        <v>1400</v>
      </c>
      <c r="B154" s="2006">
        <v>1300</v>
      </c>
      <c r="C154" s="69">
        <v>5897.1125618428505</v>
      </c>
      <c r="D154" s="70">
        <v>10567.639342456314</v>
      </c>
      <c r="E154" s="8"/>
      <c r="F154" s="8"/>
      <c r="G154" s="1"/>
      <c r="H154" s="1"/>
      <c r="I154" s="1"/>
      <c r="J154" s="1"/>
      <c r="K154" s="1"/>
    </row>
    <row r="155" spans="1:11" s="74" customFormat="1" ht="16.5" thickBot="1">
      <c r="A155" s="973">
        <v>1450</v>
      </c>
      <c r="B155" s="2006">
        <v>1350</v>
      </c>
      <c r="C155" s="69">
        <v>6039.8927518987139</v>
      </c>
      <c r="D155" s="70">
        <v>10853.199722568039</v>
      </c>
      <c r="E155" s="8"/>
      <c r="F155" s="8"/>
      <c r="G155" s="1"/>
      <c r="H155" s="1"/>
      <c r="I155" s="1"/>
      <c r="J155" s="1"/>
      <c r="K155" s="1"/>
    </row>
    <row r="156" spans="1:11" s="74" customFormat="1" ht="16.5" thickBot="1">
      <c r="A156" s="973">
        <v>1500</v>
      </c>
      <c r="B156" s="2006">
        <v>1400</v>
      </c>
      <c r="C156" s="69">
        <v>6182.6729419545763</v>
      </c>
      <c r="D156" s="70">
        <v>11138.760102679766</v>
      </c>
      <c r="E156" s="8"/>
      <c r="F156" s="8"/>
      <c r="G156" s="1"/>
      <c r="H156" s="1"/>
      <c r="I156" s="1"/>
      <c r="J156" s="1"/>
      <c r="K156" s="1"/>
    </row>
    <row r="157" spans="1:11" s="74" customFormat="1" ht="16.5" thickBot="1">
      <c r="A157" s="973">
        <v>1550</v>
      </c>
      <c r="B157" s="2006">
        <v>1450</v>
      </c>
      <c r="C157" s="69">
        <v>6325.4531320104388</v>
      </c>
      <c r="D157" s="70">
        <v>11424.320482791491</v>
      </c>
      <c r="E157" s="8"/>
      <c r="F157" s="8"/>
      <c r="G157" s="1"/>
      <c r="H157" s="1"/>
      <c r="I157" s="1"/>
      <c r="J157" s="1"/>
      <c r="K157" s="1"/>
    </row>
    <row r="158" spans="1:11" s="74" customFormat="1" ht="16.5" thickBot="1">
      <c r="A158" s="973">
        <v>1600</v>
      </c>
      <c r="B158" s="2006">
        <v>1500</v>
      </c>
      <c r="C158" s="69">
        <v>6468.2333220663013</v>
      </c>
      <c r="D158" s="70">
        <v>11709.880862903214</v>
      </c>
      <c r="E158" s="8"/>
      <c r="F158" s="8"/>
      <c r="G158" s="1"/>
      <c r="H158" s="1"/>
      <c r="I158" s="1"/>
      <c r="J158" s="1"/>
      <c r="K158" s="1"/>
    </row>
    <row r="159" spans="1:11" s="74" customFormat="1" ht="16.5" thickBot="1">
      <c r="A159" s="973">
        <v>1650</v>
      </c>
      <c r="B159" s="2006">
        <v>1550</v>
      </c>
      <c r="C159" s="69">
        <v>6611.0135121221638</v>
      </c>
      <c r="D159" s="70">
        <v>11995.441243014939</v>
      </c>
      <c r="E159" s="8"/>
      <c r="F159" s="8"/>
      <c r="G159" s="1"/>
      <c r="H159" s="1"/>
      <c r="I159" s="1"/>
      <c r="J159" s="1"/>
      <c r="K159" s="1"/>
    </row>
    <row r="160" spans="1:11" s="74" customFormat="1" ht="16.5" thickBot="1">
      <c r="A160" s="973">
        <v>1700</v>
      </c>
      <c r="B160" s="2006">
        <v>1600</v>
      </c>
      <c r="C160" s="69">
        <v>6753.7937021780263</v>
      </c>
      <c r="D160" s="70">
        <v>12281.001623126664</v>
      </c>
      <c r="E160" s="8"/>
      <c r="F160" s="8"/>
      <c r="G160" s="1"/>
      <c r="H160" s="1"/>
      <c r="I160" s="1"/>
      <c r="J160" s="1"/>
      <c r="K160" s="1"/>
    </row>
    <row r="161" spans="1:11" s="74" customFormat="1" ht="16.5" thickBot="1">
      <c r="A161" s="973">
        <v>1750</v>
      </c>
      <c r="B161" s="2006">
        <v>1650</v>
      </c>
      <c r="C161" s="69">
        <v>6896.5737518405258</v>
      </c>
      <c r="D161" s="70">
        <v>12566.562003238389</v>
      </c>
      <c r="E161" s="8"/>
      <c r="F161" s="8"/>
      <c r="G161" s="1"/>
      <c r="H161" s="1"/>
      <c r="I161" s="1"/>
      <c r="J161" s="1"/>
      <c r="K161" s="1"/>
    </row>
    <row r="162" spans="1:11" s="74" customFormat="1" ht="16.5" thickBot="1">
      <c r="A162" s="973">
        <v>1800</v>
      </c>
      <c r="B162" s="2006">
        <v>1700</v>
      </c>
      <c r="C162" s="69">
        <v>7039.3539418963883</v>
      </c>
      <c r="D162" s="70">
        <v>12852.122383350114</v>
      </c>
      <c r="E162" s="8"/>
      <c r="F162" s="8"/>
      <c r="G162" s="1"/>
      <c r="H162" s="1"/>
      <c r="I162" s="1"/>
      <c r="J162" s="1"/>
      <c r="K162" s="1"/>
    </row>
    <row r="163" spans="1:11" s="74" customFormat="1" ht="16.5" thickBot="1">
      <c r="A163" s="973">
        <v>1850</v>
      </c>
      <c r="B163" s="2006">
        <v>1750</v>
      </c>
      <c r="C163" s="69">
        <v>7182.1341319522508</v>
      </c>
      <c r="D163" s="70">
        <v>13137.682763461838</v>
      </c>
      <c r="E163" s="8"/>
      <c r="F163" s="8"/>
      <c r="G163" s="1"/>
      <c r="H163" s="1"/>
      <c r="I163" s="1"/>
      <c r="J163" s="1"/>
      <c r="K163" s="1"/>
    </row>
    <row r="164" spans="1:11" s="74" customFormat="1" ht="16.5" thickBot="1">
      <c r="A164" s="973">
        <v>1900</v>
      </c>
      <c r="B164" s="2006">
        <v>1800</v>
      </c>
      <c r="C164" s="69">
        <v>7324.9143220081141</v>
      </c>
      <c r="D164" s="70">
        <v>13423.243143573565</v>
      </c>
      <c r="E164" s="8"/>
      <c r="F164" s="8"/>
      <c r="G164" s="1"/>
      <c r="H164" s="1"/>
      <c r="I164" s="1"/>
      <c r="J164" s="1"/>
      <c r="K164" s="1"/>
    </row>
    <row r="165" spans="1:11" s="74" customFormat="1" ht="16.5" thickBot="1">
      <c r="A165" s="973">
        <v>1950</v>
      </c>
      <c r="B165" s="2006">
        <v>1850</v>
      </c>
      <c r="C165" s="69">
        <v>7499.2020116563144</v>
      </c>
      <c r="D165" s="70">
        <v>13761.797806228165</v>
      </c>
      <c r="E165" s="8"/>
      <c r="F165" s="8"/>
      <c r="G165" s="1"/>
      <c r="H165" s="1"/>
      <c r="I165" s="1"/>
      <c r="J165" s="1"/>
      <c r="K165" s="1"/>
    </row>
    <row r="166" spans="1:11" s="74" customFormat="1" ht="16.5" thickBot="1">
      <c r="A166" s="973">
        <v>2000</v>
      </c>
      <c r="B166" s="2006">
        <v>1900</v>
      </c>
      <c r="C166" s="69">
        <v>7641.9822017121769</v>
      </c>
      <c r="D166" s="70">
        <v>14047.358186339892</v>
      </c>
      <c r="E166" s="8"/>
      <c r="F166" s="8"/>
      <c r="G166" s="1"/>
      <c r="H166" s="1"/>
      <c r="I166" s="1"/>
      <c r="J166" s="1"/>
      <c r="K166" s="1"/>
    </row>
    <row r="167" spans="1:11" s="74" customFormat="1" ht="16.5" thickBot="1">
      <c r="A167" s="973">
        <v>2050</v>
      </c>
      <c r="B167" s="2006">
        <v>1950</v>
      </c>
      <c r="C167" s="69">
        <v>7784.7623917680394</v>
      </c>
      <c r="D167" s="70">
        <v>14332.918566451617</v>
      </c>
      <c r="E167" s="8"/>
      <c r="F167" s="8"/>
      <c r="G167" s="1"/>
      <c r="H167" s="1"/>
      <c r="I167" s="1"/>
      <c r="J167" s="1"/>
      <c r="K167" s="1"/>
    </row>
    <row r="168" spans="1:11" s="74" customFormat="1" ht="16.5" thickBot="1">
      <c r="A168" s="973">
        <v>2100</v>
      </c>
      <c r="B168" s="2006">
        <v>2000</v>
      </c>
      <c r="C168" s="69">
        <v>7927.5425818239009</v>
      </c>
      <c r="D168" s="70">
        <v>14618.478946563342</v>
      </c>
      <c r="E168" s="8"/>
      <c r="F168" s="8"/>
      <c r="G168" s="1"/>
      <c r="H168" s="1"/>
      <c r="I168" s="1"/>
      <c r="J168" s="1"/>
      <c r="K168" s="1"/>
    </row>
    <row r="169" spans="1:11" s="74" customFormat="1" ht="16.5" thickBot="1">
      <c r="A169" s="973">
        <v>2150</v>
      </c>
      <c r="B169" s="2006">
        <v>2050</v>
      </c>
      <c r="C169" s="69">
        <v>8070.3227718797634</v>
      </c>
      <c r="D169" s="70">
        <v>14904.039326675067</v>
      </c>
      <c r="E169" s="8"/>
      <c r="F169" s="8"/>
      <c r="G169" s="1"/>
      <c r="H169" s="1"/>
      <c r="I169" s="1"/>
      <c r="J169" s="1"/>
      <c r="K169" s="1"/>
    </row>
    <row r="170" spans="1:11" s="74" customFormat="1" ht="16.5" thickBot="1">
      <c r="A170" s="973">
        <v>2200</v>
      </c>
      <c r="B170" s="2006">
        <v>2100</v>
      </c>
      <c r="C170" s="69">
        <v>8213.1029619356268</v>
      </c>
      <c r="D170" s="70">
        <v>15189.599706786792</v>
      </c>
      <c r="E170" s="8"/>
      <c r="F170" s="8"/>
      <c r="G170" s="1"/>
      <c r="H170" s="1"/>
      <c r="I170" s="1"/>
      <c r="J170" s="1"/>
      <c r="K170" s="1"/>
    </row>
    <row r="171" spans="1:11" s="74" customFormat="1" ht="16.5" thickBot="1">
      <c r="A171" s="973">
        <v>2250</v>
      </c>
      <c r="B171" s="2006">
        <v>2150</v>
      </c>
      <c r="C171" s="69">
        <v>8355.8831519914893</v>
      </c>
      <c r="D171" s="70">
        <v>15475.160086898517</v>
      </c>
      <c r="E171" s="8"/>
      <c r="F171" s="8"/>
      <c r="G171" s="1"/>
      <c r="H171" s="1"/>
      <c r="I171" s="1"/>
      <c r="J171" s="1"/>
      <c r="K171" s="1"/>
    </row>
    <row r="172" spans="1:11" s="74" customFormat="1" ht="16.5" thickBot="1">
      <c r="A172" s="973">
        <v>2300</v>
      </c>
      <c r="B172" s="2006">
        <v>2200</v>
      </c>
      <c r="C172" s="69">
        <v>8498.6633420473518</v>
      </c>
      <c r="D172" s="70">
        <v>15760.720467010242</v>
      </c>
      <c r="E172" s="8"/>
      <c r="F172" s="8"/>
      <c r="G172" s="1"/>
      <c r="H172" s="1"/>
      <c r="I172" s="1"/>
      <c r="J172" s="1"/>
      <c r="K172" s="1"/>
    </row>
    <row r="173" spans="1:11" s="74" customFormat="1" ht="16.5" thickBot="1">
      <c r="A173" s="973">
        <v>2350</v>
      </c>
      <c r="B173" s="2006">
        <v>2250</v>
      </c>
      <c r="C173" s="69">
        <v>8641.4435321032142</v>
      </c>
      <c r="D173" s="70">
        <v>16046.280847121965</v>
      </c>
      <c r="E173" s="8"/>
      <c r="F173" s="8"/>
      <c r="G173" s="1"/>
      <c r="H173" s="1"/>
      <c r="I173" s="1"/>
      <c r="J173" s="1"/>
      <c r="K173" s="1"/>
    </row>
    <row r="174" spans="1:11" s="74" customFormat="1" ht="16.5" thickBot="1">
      <c r="A174" s="973">
        <v>2400</v>
      </c>
      <c r="B174" s="2006">
        <v>2300</v>
      </c>
      <c r="C174" s="69">
        <v>8784.2237221590767</v>
      </c>
      <c r="D174" s="70">
        <v>16331.84122723369</v>
      </c>
      <c r="E174" s="8"/>
      <c r="F174" s="8"/>
      <c r="G174" s="1"/>
      <c r="H174" s="1"/>
      <c r="I174" s="1"/>
      <c r="J174" s="1"/>
      <c r="K174" s="1"/>
    </row>
    <row r="175" spans="1:11" s="74" customFormat="1" ht="16.5" thickBot="1">
      <c r="A175" s="973">
        <v>2450</v>
      </c>
      <c r="B175" s="2006">
        <v>2350</v>
      </c>
      <c r="C175" s="69">
        <v>8927.0039122149392</v>
      </c>
      <c r="D175" s="70">
        <v>16617.401607345415</v>
      </c>
      <c r="E175" s="8"/>
      <c r="F175" s="8"/>
      <c r="G175" s="1"/>
      <c r="H175" s="1"/>
      <c r="I175" s="1"/>
      <c r="J175" s="1"/>
      <c r="K175" s="1"/>
    </row>
    <row r="176" spans="1:11" s="74" customFormat="1" ht="16.5" thickBot="1">
      <c r="A176" s="973">
        <v>2500</v>
      </c>
      <c r="B176" s="2006">
        <v>2400</v>
      </c>
      <c r="C176" s="69">
        <v>9069.7841022708017</v>
      </c>
      <c r="D176" s="70">
        <v>16902.96198745714</v>
      </c>
      <c r="E176" s="8"/>
      <c r="F176" s="8"/>
      <c r="G176" s="1"/>
      <c r="H176" s="1"/>
      <c r="I176" s="1"/>
      <c r="J176" s="1"/>
      <c r="K176" s="1"/>
    </row>
    <row r="177" spans="1:11" s="74" customFormat="1" ht="16.5" thickBot="1">
      <c r="A177" s="973">
        <v>2550</v>
      </c>
      <c r="B177" s="2006">
        <v>2450</v>
      </c>
      <c r="C177" s="69">
        <v>9212.5642923266641</v>
      </c>
      <c r="D177" s="70">
        <v>17188.522367568865</v>
      </c>
      <c r="E177" s="8"/>
      <c r="F177" s="8"/>
      <c r="G177" s="1"/>
      <c r="H177" s="1"/>
      <c r="I177" s="1"/>
      <c r="J177" s="1"/>
      <c r="K177" s="1"/>
    </row>
    <row r="178" spans="1:11" s="74" customFormat="1" ht="16.5" thickBot="1">
      <c r="A178" s="973">
        <v>2600</v>
      </c>
      <c r="B178" s="2006">
        <v>2500</v>
      </c>
      <c r="C178" s="69">
        <v>9355.3444823825266</v>
      </c>
      <c r="D178" s="70">
        <v>17474.08274768059</v>
      </c>
      <c r="E178" s="8"/>
      <c r="F178" s="8"/>
      <c r="G178" s="1"/>
      <c r="H178" s="1"/>
      <c r="I178" s="1"/>
      <c r="J178" s="1"/>
      <c r="K178" s="1"/>
    </row>
    <row r="179" spans="1:11" s="74" customFormat="1" ht="16.5" thickBot="1">
      <c r="A179" s="973">
        <v>2650</v>
      </c>
      <c r="B179" s="2006">
        <v>2550</v>
      </c>
      <c r="C179" s="69">
        <v>9498.1246724383891</v>
      </c>
      <c r="D179" s="70">
        <v>17759.643127792315</v>
      </c>
      <c r="E179" s="8"/>
      <c r="F179" s="8"/>
      <c r="G179" s="1"/>
      <c r="H179" s="1"/>
      <c r="I179" s="1"/>
      <c r="J179" s="1"/>
      <c r="K179" s="1"/>
    </row>
    <row r="180" spans="1:11" s="74" customFormat="1" ht="16.5" thickBot="1">
      <c r="A180" s="973">
        <v>2700</v>
      </c>
      <c r="B180" s="2006">
        <v>2600</v>
      </c>
      <c r="C180" s="69">
        <v>9672.4123620865903</v>
      </c>
      <c r="D180" s="70">
        <v>18098.197650053553</v>
      </c>
      <c r="E180" s="8"/>
      <c r="F180" s="8"/>
      <c r="G180" s="1"/>
      <c r="H180" s="1"/>
      <c r="I180" s="1"/>
      <c r="J180" s="1"/>
      <c r="K180" s="1"/>
    </row>
    <row r="181" spans="1:11" s="74" customFormat="1" ht="16.5" thickBot="1">
      <c r="A181" s="973">
        <v>2750</v>
      </c>
      <c r="B181" s="2006">
        <v>2650</v>
      </c>
      <c r="C181" s="69">
        <v>9815.1925521424528</v>
      </c>
      <c r="D181" s="70">
        <v>18383.758030165278</v>
      </c>
      <c r="E181" s="8"/>
      <c r="F181" s="8"/>
      <c r="G181" s="1"/>
      <c r="H181" s="1"/>
      <c r="I181" s="1"/>
      <c r="J181" s="1"/>
      <c r="K181" s="1"/>
    </row>
    <row r="182" spans="1:11" s="74" customFormat="1" ht="16.5" thickBot="1">
      <c r="A182" s="973">
        <v>2800</v>
      </c>
      <c r="B182" s="2006">
        <v>2700</v>
      </c>
      <c r="C182" s="69">
        <v>9957.9727421983134</v>
      </c>
      <c r="D182" s="70">
        <v>18669.318410277003</v>
      </c>
      <c r="E182" s="8"/>
      <c r="F182" s="8"/>
      <c r="G182" s="1"/>
      <c r="H182" s="1"/>
      <c r="I182" s="1"/>
      <c r="J182" s="1"/>
      <c r="K182" s="1"/>
    </row>
    <row r="183" spans="1:11" s="74" customFormat="1" ht="16.5" thickBot="1">
      <c r="A183" s="973">
        <v>2850</v>
      </c>
      <c r="B183" s="2006">
        <v>2750</v>
      </c>
      <c r="C183" s="69">
        <v>10100.752932254176</v>
      </c>
      <c r="D183" s="70">
        <v>18954.878790388728</v>
      </c>
      <c r="E183" s="8"/>
      <c r="F183" s="8"/>
      <c r="G183" s="1"/>
      <c r="H183" s="1"/>
      <c r="I183" s="1"/>
      <c r="J183" s="1"/>
      <c r="K183" s="1"/>
    </row>
    <row r="184" spans="1:11" s="74" customFormat="1" ht="16.5" thickBot="1">
      <c r="A184" s="973">
        <v>2900</v>
      </c>
      <c r="B184" s="2006">
        <v>2800</v>
      </c>
      <c r="C184" s="69">
        <v>10243.533122310038</v>
      </c>
      <c r="D184" s="70">
        <v>19240.439170500453</v>
      </c>
      <c r="E184" s="8"/>
      <c r="F184" s="8"/>
      <c r="G184" s="1"/>
      <c r="H184" s="1"/>
      <c r="I184" s="1"/>
      <c r="J184" s="1"/>
      <c r="K184" s="1"/>
    </row>
    <row r="185" spans="1:11" s="74" customFormat="1" ht="16.5" thickBot="1">
      <c r="A185" s="973">
        <v>2950</v>
      </c>
      <c r="B185" s="2006">
        <v>2850</v>
      </c>
      <c r="C185" s="69">
        <v>10386.313312365901</v>
      </c>
      <c r="D185" s="70">
        <v>19525.999550612178</v>
      </c>
      <c r="E185" s="8"/>
      <c r="F185" s="8"/>
      <c r="G185" s="1"/>
      <c r="H185" s="1"/>
      <c r="I185" s="1"/>
      <c r="J185" s="1"/>
      <c r="K185" s="1"/>
    </row>
    <row r="186" spans="1:11" s="74" customFormat="1" ht="16.5" thickBot="1">
      <c r="A186" s="973">
        <v>3000</v>
      </c>
      <c r="B186" s="2006">
        <v>2900</v>
      </c>
      <c r="C186" s="71">
        <v>10529.093502421763</v>
      </c>
      <c r="D186" s="72">
        <v>19811.559930723903</v>
      </c>
      <c r="E186" s="8"/>
      <c r="F186" s="8"/>
      <c r="G186" s="1"/>
      <c r="H186" s="1"/>
      <c r="I186" s="1"/>
      <c r="J186" s="1"/>
      <c r="K186" s="1"/>
    </row>
  </sheetData>
  <mergeCells count="29">
    <mergeCell ref="A10:E12"/>
    <mergeCell ref="F10:F12"/>
    <mergeCell ref="G1:K3"/>
    <mergeCell ref="C9:F9"/>
    <mergeCell ref="A5:B5"/>
    <mergeCell ref="A4:B4"/>
    <mergeCell ref="A6:B6"/>
    <mergeCell ref="A7:B7"/>
    <mergeCell ref="A8:A9"/>
    <mergeCell ref="B8:B9"/>
    <mergeCell ref="A70:A71"/>
    <mergeCell ref="B70:B71"/>
    <mergeCell ref="A72:E74"/>
    <mergeCell ref="F72:F74"/>
    <mergeCell ref="A133:C135"/>
    <mergeCell ref="D133:D135"/>
    <mergeCell ref="C71:F71"/>
    <mergeCell ref="A127:B127"/>
    <mergeCell ref="A128:B128"/>
    <mergeCell ref="C132:D132"/>
    <mergeCell ref="A129:B129"/>
    <mergeCell ref="A130:B130"/>
    <mergeCell ref="A131:A132"/>
    <mergeCell ref="B131:B132"/>
    <mergeCell ref="A64:F65"/>
    <mergeCell ref="A66:B66"/>
    <mergeCell ref="A67:B67"/>
    <mergeCell ref="A68:B68"/>
    <mergeCell ref="A69:B69"/>
  </mergeCells>
  <hyperlinks>
    <hyperlink ref="A1" location="Главная!A1" display="Вернуться на главную страницу" xr:uid="{00000000-0004-0000-2600-000000000000}"/>
  </hyperlinks>
  <pageMargins left="0.7" right="0.7" top="0.75" bottom="0.75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Лист55">
    <tabColor rgb="FF00B0F0"/>
  </sheetPr>
  <dimension ref="A1:I246"/>
  <sheetViews>
    <sheetView zoomScale="70" zoomScaleNormal="70" workbookViewId="0"/>
  </sheetViews>
  <sheetFormatPr defaultColWidth="9.140625" defaultRowHeight="15.75"/>
  <cols>
    <col min="1" max="1" width="16.7109375" style="7" customWidth="1"/>
    <col min="2" max="2" width="16.85546875" style="7" bestFit="1" customWidth="1"/>
    <col min="3" max="6" width="40.7109375" style="8" customWidth="1"/>
    <col min="7" max="7" width="9.5703125" style="74" bestFit="1" customWidth="1"/>
    <col min="8" max="16384" width="9.140625" style="74"/>
  </cols>
  <sheetData>
    <row r="1" spans="1:9">
      <c r="A1" s="896" t="s">
        <v>9</v>
      </c>
      <c r="B1" s="896"/>
    </row>
    <row r="2" spans="1:9" ht="16.5" thickBot="1">
      <c r="A2" s="16"/>
      <c r="B2" s="16"/>
    </row>
    <row r="3" spans="1:9" ht="24.75" customHeight="1" thickBot="1">
      <c r="A3" s="2888" t="s">
        <v>62</v>
      </c>
      <c r="B3" s="2889"/>
      <c r="C3" s="2890" t="s">
        <v>380</v>
      </c>
      <c r="D3" s="2891"/>
      <c r="E3" s="2891"/>
      <c r="F3" s="2892"/>
    </row>
    <row r="4" spans="1:9" ht="126.75" customHeight="1" thickBot="1">
      <c r="A4" s="2885" t="s">
        <v>60</v>
      </c>
      <c r="B4" s="2886"/>
      <c r="C4" s="73"/>
      <c r="D4" s="73"/>
      <c r="E4" s="73"/>
      <c r="F4" s="73"/>
    </row>
    <row r="5" spans="1:9" ht="32.25" customHeight="1" thickBot="1">
      <c r="A5" s="898"/>
      <c r="B5" s="899"/>
      <c r="C5" s="957" t="s">
        <v>381</v>
      </c>
      <c r="D5" s="958" t="s">
        <v>382</v>
      </c>
      <c r="E5" s="957" t="s">
        <v>383</v>
      </c>
      <c r="F5" s="958" t="s">
        <v>384</v>
      </c>
    </row>
    <row r="6" spans="1:9" ht="126.75" customHeight="1" thickBot="1">
      <c r="A6" s="2885" t="s">
        <v>63</v>
      </c>
      <c r="B6" s="2886"/>
      <c r="C6" s="73"/>
      <c r="D6" s="73"/>
      <c r="E6" s="73"/>
      <c r="F6" s="73"/>
    </row>
    <row r="7" spans="1:9" ht="16.5" thickBot="1">
      <c r="A7" s="2887"/>
      <c r="B7" s="2887"/>
      <c r="C7" s="2844" t="s">
        <v>58</v>
      </c>
      <c r="D7" s="2845"/>
      <c r="E7" s="2845"/>
      <c r="F7" s="2846"/>
    </row>
    <row r="8" spans="1:9" ht="32.25" customHeight="1" thickBot="1">
      <c r="A8" s="2887"/>
      <c r="B8" s="2887"/>
      <c r="C8" s="88">
        <v>1900</v>
      </c>
      <c r="D8" s="89">
        <v>1950</v>
      </c>
      <c r="E8" s="89">
        <v>2050</v>
      </c>
      <c r="F8" s="90">
        <v>2350</v>
      </c>
    </row>
    <row r="9" spans="1:9" ht="32.25" customHeight="1">
      <c r="A9" s="968"/>
      <c r="B9" s="968"/>
      <c r="C9" s="2884" t="s">
        <v>399</v>
      </c>
      <c r="D9" s="2884"/>
      <c r="E9" s="2884"/>
      <c r="F9" s="2884"/>
    </row>
    <row r="10" spans="1:9" ht="32.25" customHeight="1" thickBot="1">
      <c r="A10" s="74"/>
      <c r="B10" s="74"/>
      <c r="C10" s="74"/>
      <c r="D10" s="74"/>
      <c r="E10" s="74"/>
      <c r="F10" s="74"/>
    </row>
    <row r="11" spans="1:9" ht="32.25" customHeight="1" thickBot="1">
      <c r="A11" s="897"/>
      <c r="B11" s="897"/>
      <c r="C11" s="957" t="s">
        <v>385</v>
      </c>
      <c r="D11" s="958" t="s">
        <v>386</v>
      </c>
      <c r="E11" s="957" t="s">
        <v>387</v>
      </c>
      <c r="F11" s="958" t="s">
        <v>388</v>
      </c>
    </row>
    <row r="12" spans="1:9" ht="126.75" customHeight="1" thickBot="1">
      <c r="A12" s="2885" t="s">
        <v>379</v>
      </c>
      <c r="B12" s="2886"/>
      <c r="C12" s="73"/>
      <c r="D12" s="73"/>
      <c r="E12" s="73"/>
      <c r="F12" s="73"/>
      <c r="I12" s="74" t="s">
        <v>389</v>
      </c>
    </row>
    <row r="13" spans="1:9" ht="16.5" thickBot="1">
      <c r="A13" s="2887"/>
      <c r="B13" s="2887"/>
      <c r="C13" s="2844" t="s">
        <v>58</v>
      </c>
      <c r="D13" s="2845"/>
      <c r="E13" s="2845"/>
      <c r="F13" s="2846"/>
    </row>
    <row r="14" spans="1:9" ht="32.25" customHeight="1" thickBot="1">
      <c r="A14" s="2887"/>
      <c r="B14" s="2887"/>
      <c r="C14" s="88">
        <v>900</v>
      </c>
      <c r="D14" s="89">
        <v>1000</v>
      </c>
      <c r="E14" s="89">
        <v>1050</v>
      </c>
      <c r="F14" s="90">
        <v>1200</v>
      </c>
    </row>
    <row r="15" spans="1:9" ht="21">
      <c r="A15" s="34"/>
      <c r="B15" s="34"/>
      <c r="C15" s="2884" t="s">
        <v>400</v>
      </c>
      <c r="D15" s="2884"/>
      <c r="E15" s="2884"/>
      <c r="F15" s="1185"/>
    </row>
    <row r="16" spans="1:9" thickBot="1">
      <c r="A16" s="74"/>
      <c r="B16" s="74"/>
      <c r="C16" s="74"/>
      <c r="D16" s="74"/>
      <c r="E16" s="74"/>
      <c r="F16" s="74"/>
    </row>
    <row r="17" spans="1:8" ht="15" customHeight="1">
      <c r="A17" s="2875" t="s">
        <v>479</v>
      </c>
      <c r="B17" s="2876"/>
      <c r="C17" s="2881"/>
      <c r="D17" s="2881"/>
      <c r="E17" s="2881"/>
      <c r="F17" s="74"/>
    </row>
    <row r="18" spans="1:8" ht="15" customHeight="1">
      <c r="A18" s="2877"/>
      <c r="B18" s="2878"/>
      <c r="C18" s="2882"/>
      <c r="D18" s="2882"/>
      <c r="E18" s="2882"/>
      <c r="F18" s="74"/>
    </row>
    <row r="19" spans="1:8" ht="15" customHeight="1">
      <c r="A19" s="2877"/>
      <c r="B19" s="2878"/>
      <c r="C19" s="2882"/>
      <c r="D19" s="2882"/>
      <c r="E19" s="2882"/>
      <c r="F19" s="74"/>
    </row>
    <row r="20" spans="1:8" ht="15" customHeight="1">
      <c r="A20" s="2877"/>
      <c r="B20" s="2878"/>
      <c r="C20" s="2882"/>
      <c r="D20" s="2882"/>
      <c r="E20" s="2882"/>
      <c r="F20" s="74"/>
    </row>
    <row r="21" spans="1:8" ht="15" customHeight="1">
      <c r="A21" s="2877"/>
      <c r="B21" s="2878"/>
      <c r="C21" s="2882"/>
      <c r="D21" s="2882"/>
      <c r="E21" s="2882"/>
      <c r="F21" s="74"/>
    </row>
    <row r="22" spans="1:8" ht="15" customHeight="1">
      <c r="A22" s="2877"/>
      <c r="B22" s="2878"/>
      <c r="C22" s="2882"/>
      <c r="D22" s="2882"/>
      <c r="E22" s="2882"/>
      <c r="F22" s="1185"/>
      <c r="G22" s="1185"/>
      <c r="H22" s="1185"/>
    </row>
    <row r="23" spans="1:8" ht="15" customHeight="1">
      <c r="A23" s="2877"/>
      <c r="B23" s="2878"/>
      <c r="C23" s="2882"/>
      <c r="D23" s="2882"/>
      <c r="E23" s="2882"/>
      <c r="F23" s="1185"/>
      <c r="G23" s="1185"/>
      <c r="H23" s="1185"/>
    </row>
    <row r="24" spans="1:8" ht="15.75" customHeight="1" thickBot="1">
      <c r="A24" s="2879"/>
      <c r="B24" s="2880"/>
      <c r="C24" s="2883"/>
      <c r="D24" s="2883"/>
      <c r="E24" s="2883"/>
      <c r="F24" s="1185"/>
      <c r="G24" s="1185"/>
      <c r="H24" s="1185"/>
    </row>
    <row r="25" spans="1:8" ht="16.5" thickBot="1">
      <c r="A25" s="74"/>
      <c r="B25" s="74"/>
      <c r="C25" s="2844" t="s">
        <v>58</v>
      </c>
      <c r="D25" s="2845"/>
      <c r="E25" s="2846"/>
      <c r="F25" s="1185"/>
      <c r="G25" s="1185"/>
      <c r="H25" s="1185"/>
    </row>
    <row r="26" spans="1:8" ht="21.75" thickBot="1">
      <c r="A26" s="74"/>
      <c r="B26" s="74"/>
      <c r="C26" s="1186">
        <v>600</v>
      </c>
      <c r="D26" s="1187">
        <v>350</v>
      </c>
      <c r="E26" s="1187">
        <v>350</v>
      </c>
      <c r="F26" s="1185"/>
      <c r="G26" s="1185"/>
      <c r="H26" s="1185"/>
    </row>
    <row r="27" spans="1:8" ht="21">
      <c r="A27" s="74"/>
      <c r="B27" s="74"/>
      <c r="C27" s="2874" t="s">
        <v>470</v>
      </c>
      <c r="D27" s="2874"/>
      <c r="E27" s="1185"/>
      <c r="F27" s="1185"/>
      <c r="G27" s="1185"/>
      <c r="H27" s="1185"/>
    </row>
    <row r="28" spans="1:8" ht="15">
      <c r="A28" s="74"/>
      <c r="B28" s="74"/>
      <c r="C28" s="74"/>
      <c r="D28" s="74"/>
      <c r="E28" s="74"/>
      <c r="F28" s="74"/>
    </row>
    <row r="29" spans="1:8" ht="15">
      <c r="A29" s="74"/>
      <c r="B29" s="74"/>
      <c r="C29" s="74"/>
      <c r="D29" s="74"/>
      <c r="E29" s="74"/>
      <c r="F29" s="74"/>
    </row>
    <row r="30" spans="1:8" ht="15">
      <c r="A30" s="74"/>
      <c r="B30" s="74"/>
      <c r="C30" s="74"/>
      <c r="D30" s="74"/>
      <c r="E30" s="74"/>
      <c r="F30" s="74"/>
    </row>
    <row r="31" spans="1:8" ht="15">
      <c r="A31" s="74"/>
      <c r="B31" s="74"/>
      <c r="C31" s="74"/>
      <c r="D31" s="74"/>
      <c r="E31" s="74"/>
      <c r="F31" s="74"/>
    </row>
    <row r="32" spans="1:8" ht="15">
      <c r="A32" s="74"/>
      <c r="B32" s="74"/>
      <c r="C32" s="74"/>
      <c r="D32" s="74"/>
      <c r="E32" s="74"/>
      <c r="F32" s="74"/>
    </row>
    <row r="33" s="74" customFormat="1" ht="15"/>
    <row r="34" s="74" customFormat="1" ht="15"/>
    <row r="35" s="74" customFormat="1" ht="15"/>
    <row r="36" s="74" customFormat="1" ht="15"/>
    <row r="176" spans="1:2" s="8" customFormat="1">
      <c r="A176" s="9"/>
      <c r="B176" s="9"/>
    </row>
    <row r="177" spans="1:2" s="8" customFormat="1">
      <c r="A177" s="9"/>
      <c r="B177" s="9"/>
    </row>
    <row r="178" spans="1:2" s="8" customFormat="1">
      <c r="A178" s="9"/>
      <c r="B178" s="9"/>
    </row>
    <row r="179" spans="1:2" s="8" customFormat="1">
      <c r="A179" s="9"/>
      <c r="B179" s="9"/>
    </row>
    <row r="180" spans="1:2" s="8" customFormat="1">
      <c r="A180" s="9"/>
      <c r="B180" s="9"/>
    </row>
    <row r="181" spans="1:2" s="8" customFormat="1">
      <c r="A181" s="9"/>
      <c r="B181" s="9"/>
    </row>
    <row r="182" spans="1:2" s="8" customFormat="1">
      <c r="A182" s="9"/>
      <c r="B182" s="9"/>
    </row>
    <row r="183" spans="1:2" s="8" customFormat="1">
      <c r="A183" s="9"/>
      <c r="B183" s="9"/>
    </row>
    <row r="184" spans="1:2" s="8" customFormat="1">
      <c r="A184" s="9"/>
      <c r="B184" s="9"/>
    </row>
    <row r="185" spans="1:2" s="8" customFormat="1">
      <c r="A185" s="9"/>
      <c r="B185" s="9"/>
    </row>
    <row r="186" spans="1:2" s="8" customFormat="1">
      <c r="A186" s="9"/>
      <c r="B186" s="9"/>
    </row>
    <row r="187" spans="1:2" s="8" customFormat="1">
      <c r="A187" s="9"/>
      <c r="B187" s="9"/>
    </row>
    <row r="188" spans="1:2" s="8" customFormat="1">
      <c r="A188" s="9"/>
      <c r="B188" s="9"/>
    </row>
    <row r="189" spans="1:2" s="8" customFormat="1">
      <c r="A189" s="9"/>
      <c r="B189" s="9"/>
    </row>
    <row r="190" spans="1:2" s="8" customFormat="1">
      <c r="A190" s="9"/>
      <c r="B190" s="9"/>
    </row>
    <row r="191" spans="1:2" s="8" customFormat="1">
      <c r="A191" s="9"/>
      <c r="B191" s="9"/>
    </row>
    <row r="192" spans="1:2" s="8" customFormat="1">
      <c r="A192" s="9"/>
      <c r="B192" s="9"/>
    </row>
    <row r="193" spans="1:2" s="8" customFormat="1">
      <c r="A193" s="9"/>
      <c r="B193" s="9"/>
    </row>
    <row r="194" spans="1:2" s="8" customFormat="1">
      <c r="A194" s="9"/>
      <c r="B194" s="9"/>
    </row>
    <row r="195" spans="1:2" s="8" customFormat="1">
      <c r="A195" s="9"/>
      <c r="B195" s="9"/>
    </row>
    <row r="196" spans="1:2" s="8" customFormat="1">
      <c r="A196" s="9"/>
      <c r="B196" s="9"/>
    </row>
    <row r="197" spans="1:2" s="8" customFormat="1">
      <c r="A197" s="9"/>
      <c r="B197" s="9"/>
    </row>
    <row r="198" spans="1:2" s="8" customFormat="1">
      <c r="A198" s="9"/>
      <c r="B198" s="9"/>
    </row>
    <row r="199" spans="1:2" s="8" customFormat="1">
      <c r="A199" s="9"/>
      <c r="B199" s="9"/>
    </row>
    <row r="200" spans="1:2" s="8" customFormat="1">
      <c r="A200" s="9"/>
      <c r="B200" s="9"/>
    </row>
    <row r="201" spans="1:2" s="8" customFormat="1">
      <c r="A201" s="9"/>
      <c r="B201" s="9"/>
    </row>
    <row r="202" spans="1:2" s="8" customFormat="1">
      <c r="A202" s="9"/>
      <c r="B202" s="9"/>
    </row>
    <row r="203" spans="1:2" s="8" customFormat="1">
      <c r="A203" s="9"/>
      <c r="B203" s="9"/>
    </row>
    <row r="204" spans="1:2" s="8" customFormat="1">
      <c r="A204" s="9"/>
      <c r="B204" s="9"/>
    </row>
    <row r="205" spans="1:2" s="8" customFormat="1">
      <c r="A205" s="9"/>
      <c r="B205" s="9"/>
    </row>
    <row r="206" spans="1:2" s="8" customFormat="1">
      <c r="A206" s="9"/>
      <c r="B206" s="9"/>
    </row>
    <row r="207" spans="1:2" s="8" customFormat="1">
      <c r="A207" s="9"/>
      <c r="B207" s="9"/>
    </row>
    <row r="208" spans="1:2" s="8" customFormat="1">
      <c r="A208" s="9"/>
      <c r="B208" s="9"/>
    </row>
    <row r="209" spans="1:2" s="8" customFormat="1">
      <c r="A209" s="9"/>
      <c r="B209" s="9"/>
    </row>
    <row r="210" spans="1:2" s="8" customFormat="1">
      <c r="A210" s="9"/>
      <c r="B210" s="9"/>
    </row>
    <row r="211" spans="1:2" s="8" customFormat="1">
      <c r="A211" s="9"/>
      <c r="B211" s="9"/>
    </row>
    <row r="212" spans="1:2" s="8" customFormat="1">
      <c r="A212" s="9"/>
      <c r="B212" s="9"/>
    </row>
    <row r="213" spans="1:2" s="8" customFormat="1">
      <c r="A213" s="9"/>
      <c r="B213" s="9"/>
    </row>
    <row r="214" spans="1:2" s="8" customFormat="1">
      <c r="A214" s="9"/>
      <c r="B214" s="9"/>
    </row>
    <row r="215" spans="1:2" s="8" customFormat="1">
      <c r="A215" s="9"/>
      <c r="B215" s="9"/>
    </row>
    <row r="216" spans="1:2" s="8" customFormat="1">
      <c r="A216" s="9"/>
      <c r="B216" s="9"/>
    </row>
    <row r="217" spans="1:2" s="8" customFormat="1">
      <c r="A217" s="9"/>
      <c r="B217" s="9"/>
    </row>
    <row r="218" spans="1:2" s="8" customFormat="1">
      <c r="A218" s="9"/>
      <c r="B218" s="9"/>
    </row>
    <row r="219" spans="1:2" s="8" customFormat="1">
      <c r="A219" s="9"/>
      <c r="B219" s="9"/>
    </row>
    <row r="220" spans="1:2" s="8" customFormat="1">
      <c r="A220" s="9"/>
      <c r="B220" s="9"/>
    </row>
    <row r="221" spans="1:2" s="8" customFormat="1">
      <c r="A221" s="9"/>
      <c r="B221" s="9"/>
    </row>
    <row r="222" spans="1:2" s="8" customFormat="1">
      <c r="A222" s="9"/>
      <c r="B222" s="9"/>
    </row>
    <row r="223" spans="1:2" s="8" customFormat="1">
      <c r="A223" s="9"/>
      <c r="B223" s="9"/>
    </row>
    <row r="224" spans="1:2" s="8" customFormat="1">
      <c r="A224" s="9"/>
      <c r="B224" s="9"/>
    </row>
    <row r="225" spans="1:2" s="8" customFormat="1">
      <c r="A225" s="9"/>
      <c r="B225" s="9"/>
    </row>
    <row r="226" spans="1:2" s="8" customFormat="1">
      <c r="A226" s="9"/>
      <c r="B226" s="9"/>
    </row>
    <row r="227" spans="1:2" s="8" customFormat="1">
      <c r="A227" s="9"/>
      <c r="B227" s="9"/>
    </row>
    <row r="228" spans="1:2" s="8" customFormat="1">
      <c r="A228" s="9"/>
      <c r="B228" s="9"/>
    </row>
    <row r="229" spans="1:2" s="8" customFormat="1">
      <c r="A229" s="9"/>
      <c r="B229" s="9"/>
    </row>
    <row r="230" spans="1:2" s="8" customFormat="1">
      <c r="A230" s="9"/>
      <c r="B230" s="9"/>
    </row>
    <row r="231" spans="1:2" s="8" customFormat="1">
      <c r="A231" s="9"/>
      <c r="B231" s="9"/>
    </row>
    <row r="232" spans="1:2" s="8" customFormat="1">
      <c r="A232" s="9"/>
      <c r="B232" s="9"/>
    </row>
    <row r="233" spans="1:2" s="8" customFormat="1">
      <c r="A233" s="9"/>
      <c r="B233" s="9"/>
    </row>
    <row r="234" spans="1:2" s="8" customFormat="1">
      <c r="A234" s="9"/>
      <c r="B234" s="9"/>
    </row>
    <row r="235" spans="1:2" s="8" customFormat="1">
      <c r="A235" s="9"/>
      <c r="B235" s="9"/>
    </row>
    <row r="236" spans="1:2" s="8" customFormat="1">
      <c r="A236" s="9"/>
      <c r="B236" s="9"/>
    </row>
    <row r="237" spans="1:2" s="8" customFormat="1">
      <c r="A237" s="9"/>
      <c r="B237" s="9"/>
    </row>
    <row r="238" spans="1:2" s="8" customFormat="1">
      <c r="A238" s="9"/>
      <c r="B238" s="9"/>
    </row>
    <row r="239" spans="1:2" s="8" customFormat="1">
      <c r="A239" s="9"/>
      <c r="B239" s="9"/>
    </row>
    <row r="240" spans="1:2" s="8" customFormat="1">
      <c r="A240" s="9"/>
      <c r="B240" s="9"/>
    </row>
    <row r="241" spans="1:2" s="8" customFormat="1">
      <c r="A241" s="9"/>
      <c r="B241" s="9"/>
    </row>
    <row r="242" spans="1:2" s="8" customFormat="1">
      <c r="A242" s="9"/>
      <c r="B242" s="9"/>
    </row>
    <row r="243" spans="1:2" s="8" customFormat="1">
      <c r="A243" s="9"/>
      <c r="B243" s="9"/>
    </row>
    <row r="244" spans="1:2" s="8" customFormat="1">
      <c r="A244" s="9"/>
      <c r="B244" s="9"/>
    </row>
    <row r="245" spans="1:2" s="8" customFormat="1">
      <c r="A245" s="9"/>
      <c r="B245" s="9"/>
    </row>
    <row r="246" spans="1:2" s="8" customFormat="1">
      <c r="A246" s="9"/>
      <c r="B246" s="9"/>
    </row>
  </sheetData>
  <mergeCells count="17">
    <mergeCell ref="C9:F9"/>
    <mergeCell ref="A3:B3"/>
    <mergeCell ref="A4:B4"/>
    <mergeCell ref="C3:F3"/>
    <mergeCell ref="A6:B6"/>
    <mergeCell ref="A7:B8"/>
    <mergeCell ref="C7:F7"/>
    <mergeCell ref="A12:B12"/>
    <mergeCell ref="A13:B14"/>
    <mergeCell ref="C13:F13"/>
    <mergeCell ref="E17:E24"/>
    <mergeCell ref="C25:E25"/>
    <mergeCell ref="C27:D27"/>
    <mergeCell ref="A17:B24"/>
    <mergeCell ref="C17:C24"/>
    <mergeCell ref="D17:D24"/>
    <mergeCell ref="C15:E15"/>
  </mergeCells>
  <hyperlinks>
    <hyperlink ref="A1" location="Главная!A1" display="Вернуться на главную страницу" xr:uid="{00000000-0004-0000-2700-000000000000}"/>
  </hyperlinks>
  <pageMargins left="0.7" right="0.7" top="0.75" bottom="0.75" header="0.3" footer="0.3"/>
  <pageSetup paperSize="9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Лист56">
    <tabColor rgb="FF00B050"/>
  </sheetPr>
  <dimension ref="A1:AS84"/>
  <sheetViews>
    <sheetView zoomScale="70" zoomScaleNormal="7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46.7109375" customWidth="1"/>
    <col min="2" max="2" width="15.5703125" style="2" bestFit="1" customWidth="1"/>
    <col min="3" max="3" width="16.85546875" style="2" bestFit="1" customWidth="1"/>
    <col min="4" max="4" width="16.140625" style="2" customWidth="1"/>
    <col min="5" max="5" width="21.42578125" bestFit="1" customWidth="1"/>
    <col min="6" max="7" width="61.140625" customWidth="1"/>
    <col min="8" max="8" width="23.28515625" style="103" customWidth="1"/>
    <col min="9" max="9" width="16.85546875" style="17" customWidth="1"/>
    <col min="10" max="45" width="9.140625" style="17"/>
  </cols>
  <sheetData>
    <row r="1" spans="1:45" ht="16.5" thickBot="1">
      <c r="A1" s="15" t="s">
        <v>9</v>
      </c>
      <c r="B1" s="106"/>
      <c r="C1" s="106"/>
      <c r="D1" s="106"/>
      <c r="E1" s="15"/>
    </row>
    <row r="2" spans="1:45" ht="19.5" thickBot="1">
      <c r="A2" s="2894" t="s">
        <v>28</v>
      </c>
      <c r="B2" s="2895"/>
      <c r="C2" s="2895"/>
      <c r="D2" s="2895"/>
      <c r="E2" s="2895"/>
      <c r="F2" s="2895"/>
      <c r="G2" s="2896"/>
      <c r="H2" s="104" t="s">
        <v>5749</v>
      </c>
    </row>
    <row r="3" spans="1:45" ht="19.5" thickBot="1">
      <c r="A3" s="39"/>
      <c r="B3" s="107" t="s">
        <v>23</v>
      </c>
      <c r="C3" s="107" t="s">
        <v>24</v>
      </c>
      <c r="D3" s="107" t="s">
        <v>18</v>
      </c>
      <c r="E3" s="41" t="s">
        <v>29</v>
      </c>
      <c r="F3" s="40"/>
      <c r="G3" s="38"/>
      <c r="H3" s="105"/>
    </row>
    <row r="4" spans="1:45" ht="156.75" customHeight="1">
      <c r="A4" s="1250" t="s">
        <v>541</v>
      </c>
      <c r="B4" s="273">
        <v>48</v>
      </c>
      <c r="C4" s="273">
        <v>50</v>
      </c>
      <c r="D4" s="272">
        <v>1135.5</v>
      </c>
      <c r="E4" s="270">
        <v>24</v>
      </c>
      <c r="F4" s="271" t="s">
        <v>537</v>
      </c>
      <c r="G4" s="179"/>
      <c r="H4" s="1305">
        <v>16100</v>
      </c>
      <c r="I4" s="276"/>
    </row>
    <row r="5" spans="1:45" ht="156.75" customHeight="1">
      <c r="A5" s="1250" t="s">
        <v>542</v>
      </c>
      <c r="B5" s="273">
        <v>48</v>
      </c>
      <c r="C5" s="273">
        <v>50</v>
      </c>
      <c r="D5" s="273">
        <v>771.5</v>
      </c>
      <c r="E5" s="270">
        <v>24</v>
      </c>
      <c r="F5" s="271" t="s">
        <v>538</v>
      </c>
      <c r="G5" s="179"/>
      <c r="H5" s="1305">
        <v>14100</v>
      </c>
      <c r="I5" s="276"/>
    </row>
    <row r="6" spans="1:45" s="74" customFormat="1" ht="156.75" customHeight="1">
      <c r="A6" s="1250" t="s">
        <v>610</v>
      </c>
      <c r="B6" s="273">
        <v>48</v>
      </c>
      <c r="C6" s="273">
        <v>50</v>
      </c>
      <c r="D6" s="273">
        <v>354</v>
      </c>
      <c r="E6" s="270">
        <v>24</v>
      </c>
      <c r="F6" s="271" t="s">
        <v>609</v>
      </c>
      <c r="G6" s="1292"/>
      <c r="H6" s="1305">
        <v>9800</v>
      </c>
      <c r="I6" s="276"/>
      <c r="J6" s="1291"/>
      <c r="K6" s="1291"/>
      <c r="L6" s="1291"/>
      <c r="M6" s="1291"/>
      <c r="N6" s="1291"/>
      <c r="O6" s="1291"/>
      <c r="P6" s="1291"/>
      <c r="Q6" s="1291"/>
      <c r="R6" s="1291"/>
      <c r="S6" s="1291"/>
      <c r="T6" s="1291"/>
      <c r="U6" s="1291"/>
      <c r="V6" s="1291"/>
      <c r="W6" s="1291"/>
      <c r="X6" s="1291"/>
      <c r="Y6" s="1291"/>
      <c r="Z6" s="1291"/>
      <c r="AA6" s="1291"/>
      <c r="AB6" s="1291"/>
      <c r="AC6" s="1291"/>
      <c r="AD6" s="1291"/>
      <c r="AE6" s="1291"/>
      <c r="AF6" s="1291"/>
      <c r="AG6" s="1291"/>
      <c r="AH6" s="1291"/>
      <c r="AI6" s="1291"/>
      <c r="AJ6" s="1291"/>
      <c r="AK6" s="1291"/>
      <c r="AL6" s="1291"/>
      <c r="AM6" s="1291"/>
      <c r="AN6" s="1291"/>
      <c r="AO6" s="1291"/>
      <c r="AP6" s="1291"/>
      <c r="AQ6" s="1291"/>
      <c r="AR6" s="1291"/>
      <c r="AS6" s="1291"/>
    </row>
    <row r="7" spans="1:45" ht="156.75" customHeight="1" thickBot="1">
      <c r="A7" s="1390" t="s">
        <v>543</v>
      </c>
      <c r="B7" s="1391">
        <v>48</v>
      </c>
      <c r="C7" s="1391">
        <v>50</v>
      </c>
      <c r="D7" s="1391">
        <v>252</v>
      </c>
      <c r="E7" s="1392">
        <v>24</v>
      </c>
      <c r="F7" s="1393" t="s">
        <v>539</v>
      </c>
      <c r="G7" s="1389"/>
      <c r="H7" s="1394">
        <v>5400</v>
      </c>
      <c r="I7" s="276"/>
    </row>
    <row r="8" spans="1:45" s="74" customFormat="1" ht="156.75" customHeight="1" thickBot="1">
      <c r="A8" s="1395" t="s">
        <v>5838</v>
      </c>
      <c r="B8" s="1396">
        <v>48</v>
      </c>
      <c r="C8" s="1396">
        <v>50</v>
      </c>
      <c r="D8" s="1396">
        <v>248</v>
      </c>
      <c r="E8" s="1397">
        <v>220</v>
      </c>
      <c r="F8" s="1398" t="s">
        <v>608</v>
      </c>
      <c r="G8" s="1399"/>
      <c r="H8" s="1400">
        <v>7500</v>
      </c>
      <c r="I8" s="276"/>
      <c r="J8" s="1291"/>
      <c r="K8" s="1291"/>
      <c r="L8" s="1291"/>
      <c r="M8" s="1291"/>
      <c r="N8" s="1291"/>
      <c r="O8" s="1291"/>
      <c r="P8" s="1291"/>
      <c r="Q8" s="1291"/>
      <c r="R8" s="1291"/>
      <c r="S8" s="1291"/>
      <c r="T8" s="1291"/>
      <c r="U8" s="1291"/>
      <c r="V8" s="1291"/>
      <c r="W8" s="1291"/>
      <c r="X8" s="1291"/>
      <c r="Y8" s="1291"/>
      <c r="Z8" s="1291"/>
      <c r="AA8" s="1291"/>
      <c r="AB8" s="1291"/>
      <c r="AC8" s="1291"/>
      <c r="AD8" s="1291"/>
      <c r="AE8" s="1291"/>
      <c r="AF8" s="1291"/>
      <c r="AG8" s="1291"/>
      <c r="AH8" s="1291"/>
      <c r="AI8" s="1291"/>
      <c r="AJ8" s="1291"/>
      <c r="AK8" s="1291"/>
      <c r="AL8" s="1291"/>
      <c r="AM8" s="1291"/>
      <c r="AN8" s="1291"/>
      <c r="AO8" s="1291"/>
      <c r="AP8" s="1291"/>
      <c r="AQ8" s="1291"/>
      <c r="AR8" s="1291"/>
      <c r="AS8" s="1291"/>
    </row>
    <row r="9" spans="1:45" s="17" customFormat="1" ht="51" customHeight="1" thickBot="1">
      <c r="A9" s="277"/>
      <c r="B9" s="278"/>
      <c r="C9" s="278"/>
      <c r="D9" s="278"/>
      <c r="E9" s="279"/>
      <c r="F9" s="280"/>
      <c r="G9" s="281"/>
      <c r="H9" s="282"/>
    </row>
    <row r="10" spans="1:45" s="74" customFormat="1" ht="67.5" customHeight="1" thickBot="1">
      <c r="A10" s="2897" t="s">
        <v>160</v>
      </c>
      <c r="B10" s="2898"/>
      <c r="C10" s="2898"/>
      <c r="D10" s="2898"/>
      <c r="E10" s="2899"/>
      <c r="F10" s="283"/>
      <c r="G10" s="283"/>
      <c r="H10" s="283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</row>
    <row r="11" spans="1:45" s="74" customFormat="1" ht="67.5" customHeight="1" thickBot="1">
      <c r="A11" s="285" t="s">
        <v>162</v>
      </c>
      <c r="B11" s="2897" t="s">
        <v>163</v>
      </c>
      <c r="C11" s="2898"/>
      <c r="D11" s="2899"/>
      <c r="E11" s="284" t="s">
        <v>161</v>
      </c>
      <c r="F11" s="1070"/>
      <c r="G11" s="283"/>
      <c r="H11" s="283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</row>
    <row r="12" spans="1:45" ht="144.75" customHeight="1" thickBot="1">
      <c r="A12" s="275" t="s">
        <v>394</v>
      </c>
      <c r="B12" s="2893" t="s">
        <v>393</v>
      </c>
      <c r="C12" s="2893"/>
      <c r="D12" s="2893"/>
      <c r="E12" s="274">
        <v>1560</v>
      </c>
      <c r="F12" s="1070"/>
      <c r="G12" s="1070"/>
      <c r="H12" s="286"/>
    </row>
    <row r="13" spans="1:45" ht="157.5" customHeight="1">
      <c r="A13" s="1199" t="s">
        <v>540</v>
      </c>
      <c r="B13" s="2900"/>
      <c r="C13" s="2900"/>
      <c r="D13" s="2900"/>
      <c r="E13" s="1200">
        <v>320</v>
      </c>
      <c r="F13" s="1070"/>
      <c r="G13" s="1070"/>
      <c r="H13" s="286"/>
    </row>
    <row r="14" spans="1:45">
      <c r="A14" s="17"/>
      <c r="B14" s="76"/>
      <c r="C14" s="76"/>
      <c r="D14" s="76"/>
      <c r="E14" s="17"/>
      <c r="F14" s="1070"/>
      <c r="G14" s="1070"/>
      <c r="H14" s="286"/>
    </row>
    <row r="15" spans="1:45">
      <c r="A15" s="17"/>
      <c r="B15" s="76"/>
      <c r="C15" s="76"/>
      <c r="D15" s="76"/>
      <c r="E15" s="17"/>
      <c r="F15" s="1070"/>
      <c r="G15" s="1070"/>
      <c r="H15" s="286"/>
    </row>
    <row r="16" spans="1:45">
      <c r="A16" s="17"/>
      <c r="B16" s="76"/>
      <c r="C16" s="76"/>
      <c r="D16" s="76"/>
      <c r="E16" s="17"/>
      <c r="F16" s="1070"/>
      <c r="G16" s="1070"/>
      <c r="H16" s="286"/>
    </row>
    <row r="17" spans="1:8">
      <c r="A17" s="17"/>
      <c r="B17" s="76"/>
      <c r="C17" s="76"/>
      <c r="D17" s="76"/>
      <c r="E17" s="17"/>
      <c r="F17" s="1070"/>
      <c r="G17" s="1070"/>
      <c r="H17" s="286"/>
    </row>
    <row r="18" spans="1:8">
      <c r="A18" s="17"/>
      <c r="B18" s="76"/>
      <c r="C18" s="76"/>
      <c r="D18" s="76"/>
      <c r="E18" s="17"/>
      <c r="F18" s="1070"/>
      <c r="G18" s="1070"/>
      <c r="H18" s="286"/>
    </row>
    <row r="19" spans="1:8">
      <c r="A19" s="17"/>
      <c r="B19" s="76"/>
      <c r="C19" s="76"/>
      <c r="D19" s="76"/>
      <c r="E19" s="17"/>
      <c r="F19" s="1070"/>
      <c r="G19" s="1070"/>
      <c r="H19" s="286"/>
    </row>
    <row r="20" spans="1:8">
      <c r="A20" s="17"/>
      <c r="B20" s="76"/>
      <c r="C20" s="76"/>
      <c r="D20" s="76"/>
      <c r="E20" s="17"/>
      <c r="F20" s="1070"/>
      <c r="G20" s="1070"/>
      <c r="H20" s="286"/>
    </row>
    <row r="21" spans="1:8">
      <c r="A21" s="17"/>
      <c r="B21" s="76"/>
      <c r="C21" s="76"/>
      <c r="D21" s="76"/>
      <c r="E21" s="17"/>
      <c r="F21" s="1070"/>
      <c r="G21" s="1070"/>
      <c r="H21" s="286"/>
    </row>
    <row r="22" spans="1:8">
      <c r="A22" s="17"/>
      <c r="B22" s="76"/>
      <c r="C22" s="76"/>
      <c r="D22" s="76"/>
      <c r="E22" s="17"/>
      <c r="F22" s="17"/>
      <c r="G22" s="17"/>
      <c r="H22" s="286"/>
    </row>
    <row r="23" spans="1:8">
      <c r="A23" s="17"/>
      <c r="B23" s="76"/>
      <c r="C23" s="76"/>
      <c r="D23" s="76"/>
      <c r="E23" s="17"/>
      <c r="F23" s="17"/>
      <c r="G23" s="17"/>
      <c r="H23" s="286"/>
    </row>
    <row r="24" spans="1:8">
      <c r="A24" s="17"/>
      <c r="B24" s="76"/>
      <c r="C24" s="76"/>
      <c r="D24" s="76"/>
      <c r="E24" s="17"/>
      <c r="F24" s="17"/>
      <c r="G24" s="17"/>
      <c r="H24" s="286"/>
    </row>
    <row r="25" spans="1:8">
      <c r="A25" s="17"/>
      <c r="B25" s="76"/>
      <c r="C25" s="76"/>
      <c r="D25" s="76"/>
      <c r="E25" s="17"/>
      <c r="F25" s="17"/>
      <c r="G25" s="17"/>
      <c r="H25" s="286"/>
    </row>
    <row r="26" spans="1:8">
      <c r="A26" s="17"/>
      <c r="B26" s="76"/>
      <c r="C26" s="76"/>
      <c r="D26" s="76"/>
      <c r="E26" s="17"/>
      <c r="F26" s="17"/>
      <c r="G26" s="17"/>
      <c r="H26" s="286"/>
    </row>
    <row r="27" spans="1:8">
      <c r="A27" s="17"/>
      <c r="B27" s="76"/>
      <c r="C27" s="76"/>
      <c r="D27" s="76"/>
      <c r="E27" s="17"/>
      <c r="F27" s="17"/>
      <c r="G27" s="17"/>
      <c r="H27" s="286"/>
    </row>
    <row r="28" spans="1:8">
      <c r="A28" s="17"/>
      <c r="B28" s="76"/>
      <c r="C28" s="76"/>
      <c r="D28" s="76"/>
      <c r="E28" s="17"/>
      <c r="F28" s="17"/>
      <c r="G28" s="17"/>
      <c r="H28" s="286"/>
    </row>
    <row r="29" spans="1:8">
      <c r="A29" s="17"/>
      <c r="B29" s="76"/>
      <c r="C29" s="76"/>
      <c r="D29" s="76"/>
      <c r="E29" s="17"/>
      <c r="F29" s="17"/>
      <c r="G29" s="17"/>
      <c r="H29" s="286"/>
    </row>
    <row r="30" spans="1:8">
      <c r="A30" s="17"/>
      <c r="B30" s="76"/>
      <c r="C30" s="76"/>
      <c r="D30" s="76"/>
      <c r="E30" s="17"/>
      <c r="F30" s="17"/>
      <c r="G30" s="17"/>
      <c r="H30" s="286"/>
    </row>
    <row r="31" spans="1:8">
      <c r="A31" s="17"/>
      <c r="B31" s="76"/>
      <c r="C31" s="76"/>
      <c r="D31" s="76"/>
      <c r="E31" s="17"/>
      <c r="F31" s="17"/>
      <c r="G31" s="17"/>
      <c r="H31" s="286"/>
    </row>
    <row r="32" spans="1:8">
      <c r="A32" s="17"/>
      <c r="B32" s="76"/>
      <c r="C32" s="76"/>
      <c r="D32" s="76"/>
      <c r="E32" s="17"/>
      <c r="F32" s="17"/>
      <c r="G32" s="17"/>
      <c r="H32" s="286"/>
    </row>
    <row r="33" spans="1:8">
      <c r="A33" s="17"/>
      <c r="B33" s="76"/>
      <c r="C33" s="76"/>
      <c r="D33" s="76"/>
      <c r="E33" s="17"/>
      <c r="F33" s="17"/>
      <c r="G33" s="17"/>
      <c r="H33" s="286"/>
    </row>
    <row r="34" spans="1:8">
      <c r="A34" s="17"/>
      <c r="B34" s="76"/>
      <c r="C34" s="76"/>
      <c r="D34" s="76"/>
      <c r="E34" s="17"/>
      <c r="F34" s="17"/>
      <c r="G34" s="17"/>
      <c r="H34" s="286"/>
    </row>
    <row r="35" spans="1:8">
      <c r="A35" s="17"/>
      <c r="B35" s="76"/>
      <c r="C35" s="76"/>
      <c r="D35" s="76"/>
      <c r="E35" s="17"/>
      <c r="F35" s="17"/>
      <c r="G35" s="17"/>
      <c r="H35" s="286"/>
    </row>
    <row r="36" spans="1:8">
      <c r="A36" s="17"/>
      <c r="B36" s="76"/>
      <c r="C36" s="76"/>
      <c r="D36" s="76"/>
      <c r="E36" s="17"/>
      <c r="F36" s="17"/>
      <c r="G36" s="17"/>
      <c r="H36" s="286"/>
    </row>
    <row r="37" spans="1:8">
      <c r="A37" s="17"/>
      <c r="B37" s="76"/>
      <c r="C37" s="76"/>
      <c r="D37" s="76"/>
      <c r="E37" s="17"/>
      <c r="F37" s="17"/>
      <c r="G37" s="17"/>
      <c r="H37" s="286"/>
    </row>
    <row r="38" spans="1:8">
      <c r="A38" s="17"/>
      <c r="B38" s="76"/>
      <c r="C38" s="76"/>
      <c r="D38" s="76"/>
      <c r="E38" s="17"/>
      <c r="F38" s="17"/>
      <c r="G38" s="17"/>
      <c r="H38" s="286"/>
    </row>
    <row r="39" spans="1:8">
      <c r="A39" s="17"/>
      <c r="B39" s="76"/>
      <c r="C39" s="76"/>
      <c r="D39" s="76"/>
      <c r="E39" s="17"/>
      <c r="F39" s="17"/>
      <c r="G39" s="17"/>
      <c r="H39" s="286"/>
    </row>
    <row r="40" spans="1:8">
      <c r="A40" s="17"/>
      <c r="B40" s="76"/>
      <c r="C40" s="76"/>
      <c r="D40" s="76"/>
      <c r="E40" s="17"/>
      <c r="F40" s="17"/>
      <c r="G40" s="17"/>
      <c r="H40" s="286"/>
    </row>
    <row r="41" spans="1:8">
      <c r="A41" s="17"/>
      <c r="B41" s="76"/>
      <c r="C41" s="76"/>
      <c r="D41" s="76"/>
      <c r="E41" s="17"/>
      <c r="F41" s="17"/>
      <c r="G41" s="17"/>
      <c r="H41" s="286"/>
    </row>
    <row r="42" spans="1:8">
      <c r="A42" s="17"/>
      <c r="B42" s="76"/>
      <c r="C42" s="76"/>
      <c r="D42" s="76"/>
      <c r="E42" s="17"/>
      <c r="F42" s="17"/>
      <c r="G42" s="17"/>
      <c r="H42" s="286"/>
    </row>
    <row r="43" spans="1:8">
      <c r="A43" s="17"/>
      <c r="B43" s="76"/>
      <c r="C43" s="76"/>
      <c r="D43" s="76"/>
      <c r="E43" s="17"/>
      <c r="F43" s="17"/>
      <c r="G43" s="17"/>
      <c r="H43" s="286"/>
    </row>
    <row r="44" spans="1:8">
      <c r="A44" s="17"/>
      <c r="B44" s="76"/>
      <c r="C44" s="76"/>
      <c r="D44" s="76"/>
      <c r="E44" s="17"/>
      <c r="F44" s="17"/>
      <c r="G44" s="17"/>
      <c r="H44" s="286"/>
    </row>
    <row r="45" spans="1:8">
      <c r="A45" s="17"/>
      <c r="B45" s="76"/>
      <c r="C45" s="76"/>
      <c r="D45" s="76"/>
      <c r="E45" s="17"/>
      <c r="F45" s="17"/>
      <c r="G45" s="17"/>
      <c r="H45" s="286"/>
    </row>
    <row r="46" spans="1:8">
      <c r="A46" s="17"/>
      <c r="B46" s="76"/>
      <c r="C46" s="76"/>
      <c r="D46" s="76"/>
      <c r="E46" s="17"/>
      <c r="F46" s="17"/>
      <c r="G46" s="17"/>
      <c r="H46" s="286"/>
    </row>
    <row r="47" spans="1:8">
      <c r="A47" s="17"/>
      <c r="B47" s="76"/>
      <c r="C47" s="76"/>
      <c r="D47" s="76"/>
      <c r="E47" s="17"/>
      <c r="F47" s="17"/>
      <c r="G47" s="17"/>
      <c r="H47" s="286"/>
    </row>
    <row r="48" spans="1:8">
      <c r="A48" s="17"/>
      <c r="B48" s="76"/>
      <c r="C48" s="76"/>
      <c r="D48" s="76"/>
      <c r="E48" s="17"/>
      <c r="F48" s="17"/>
      <c r="G48" s="17"/>
      <c r="H48" s="286"/>
    </row>
    <row r="49" spans="1:8">
      <c r="A49" s="17"/>
      <c r="B49" s="76"/>
      <c r="C49" s="76"/>
      <c r="D49" s="76"/>
      <c r="E49" s="17"/>
      <c r="F49" s="17"/>
      <c r="G49" s="17"/>
      <c r="H49" s="286"/>
    </row>
    <row r="50" spans="1:8">
      <c r="A50" s="17"/>
      <c r="B50" s="76"/>
      <c r="C50" s="76"/>
      <c r="D50" s="76"/>
      <c r="E50" s="17"/>
      <c r="F50" s="17"/>
      <c r="G50" s="17"/>
      <c r="H50" s="286"/>
    </row>
    <row r="51" spans="1:8">
      <c r="A51" s="17"/>
      <c r="B51" s="76"/>
      <c r="C51" s="76"/>
      <c r="D51" s="76"/>
      <c r="E51" s="17"/>
      <c r="F51" s="17"/>
      <c r="G51" s="17"/>
      <c r="H51" s="286"/>
    </row>
    <row r="52" spans="1:8">
      <c r="A52" s="17"/>
      <c r="B52" s="76"/>
      <c r="C52" s="76"/>
      <c r="D52" s="76"/>
      <c r="E52" s="17"/>
      <c r="F52" s="17"/>
      <c r="G52" s="17"/>
      <c r="H52" s="286"/>
    </row>
    <row r="53" spans="1:8">
      <c r="A53" s="17"/>
      <c r="B53" s="76"/>
      <c r="C53" s="76"/>
      <c r="D53" s="76"/>
      <c r="E53" s="17"/>
      <c r="F53" s="17"/>
      <c r="G53" s="17"/>
      <c r="H53" s="286"/>
    </row>
    <row r="54" spans="1:8">
      <c r="A54" s="17"/>
      <c r="B54" s="76"/>
      <c r="C54" s="76"/>
      <c r="D54" s="76"/>
      <c r="E54" s="17"/>
      <c r="F54" s="17"/>
      <c r="G54" s="17"/>
      <c r="H54" s="286"/>
    </row>
    <row r="55" spans="1:8">
      <c r="A55" s="17"/>
      <c r="B55" s="76"/>
      <c r="C55" s="76"/>
      <c r="D55" s="76"/>
      <c r="E55" s="17"/>
      <c r="F55" s="17"/>
      <c r="G55" s="17"/>
      <c r="H55" s="286"/>
    </row>
    <row r="56" spans="1:8">
      <c r="A56" s="17"/>
      <c r="B56" s="76"/>
      <c r="C56" s="76"/>
      <c r="D56" s="76"/>
      <c r="E56" s="17"/>
      <c r="F56" s="17"/>
      <c r="G56" s="17"/>
      <c r="H56" s="286"/>
    </row>
    <row r="57" spans="1:8">
      <c r="A57" s="17"/>
      <c r="B57" s="76"/>
      <c r="C57" s="76"/>
      <c r="D57" s="76"/>
      <c r="E57" s="17"/>
      <c r="F57" s="17"/>
      <c r="G57" s="17"/>
      <c r="H57" s="286"/>
    </row>
    <row r="58" spans="1:8">
      <c r="A58" s="17"/>
      <c r="B58" s="76"/>
      <c r="C58" s="76"/>
      <c r="D58" s="76"/>
      <c r="E58" s="17"/>
      <c r="F58" s="17"/>
      <c r="G58" s="17"/>
      <c r="H58" s="286"/>
    </row>
    <row r="59" spans="1:8">
      <c r="A59" s="17"/>
      <c r="B59" s="76"/>
      <c r="C59" s="76"/>
      <c r="D59" s="76"/>
      <c r="E59" s="17"/>
      <c r="F59" s="17"/>
      <c r="G59" s="17"/>
      <c r="H59" s="286"/>
    </row>
    <row r="60" spans="1:8">
      <c r="A60" s="17"/>
      <c r="B60" s="76"/>
      <c r="C60" s="76"/>
      <c r="D60" s="76"/>
      <c r="E60" s="17"/>
      <c r="F60" s="17"/>
      <c r="G60" s="17"/>
      <c r="H60" s="286"/>
    </row>
    <row r="61" spans="1:8">
      <c r="A61" s="17"/>
      <c r="B61" s="76"/>
      <c r="C61" s="76"/>
      <c r="D61" s="76"/>
      <c r="E61" s="17"/>
      <c r="F61" s="17"/>
      <c r="G61" s="17"/>
      <c r="H61" s="286"/>
    </row>
    <row r="62" spans="1:8">
      <c r="A62" s="17"/>
      <c r="B62" s="76"/>
      <c r="C62" s="76"/>
      <c r="D62" s="76"/>
      <c r="E62" s="17"/>
      <c r="F62" s="17"/>
      <c r="G62" s="17"/>
      <c r="H62" s="286"/>
    </row>
    <row r="63" spans="1:8">
      <c r="A63" s="17"/>
      <c r="B63" s="76"/>
      <c r="C63" s="76"/>
      <c r="D63" s="76"/>
      <c r="E63" s="17"/>
      <c r="F63" s="17"/>
      <c r="G63" s="17"/>
      <c r="H63" s="286"/>
    </row>
    <row r="64" spans="1:8">
      <c r="A64" s="17"/>
      <c r="B64" s="76"/>
      <c r="C64" s="76"/>
      <c r="D64" s="76"/>
      <c r="E64" s="17"/>
      <c r="F64" s="17"/>
      <c r="G64" s="17"/>
      <c r="H64" s="286"/>
    </row>
    <row r="65" spans="1:8">
      <c r="A65" s="17"/>
      <c r="B65" s="76"/>
      <c r="C65" s="76"/>
      <c r="D65" s="76"/>
      <c r="E65" s="17"/>
      <c r="F65" s="17"/>
      <c r="G65" s="17"/>
      <c r="H65" s="286"/>
    </row>
    <row r="66" spans="1:8">
      <c r="A66" s="17"/>
      <c r="B66" s="76"/>
      <c r="C66" s="76"/>
      <c r="D66" s="76"/>
      <c r="E66" s="17"/>
      <c r="F66" s="17"/>
      <c r="G66" s="17"/>
      <c r="H66" s="286"/>
    </row>
    <row r="67" spans="1:8">
      <c r="A67" s="17"/>
      <c r="B67" s="76"/>
      <c r="C67" s="76"/>
      <c r="D67" s="76"/>
      <c r="E67" s="17"/>
      <c r="F67" s="17"/>
      <c r="G67" s="17"/>
      <c r="H67" s="286"/>
    </row>
    <row r="68" spans="1:8">
      <c r="A68" s="17"/>
      <c r="B68" s="76"/>
      <c r="C68" s="76"/>
      <c r="D68" s="76"/>
      <c r="E68" s="17"/>
      <c r="F68" s="17"/>
      <c r="G68" s="17"/>
      <c r="H68" s="286"/>
    </row>
    <row r="69" spans="1:8">
      <c r="A69" s="17"/>
      <c r="B69" s="76"/>
      <c r="C69" s="76"/>
      <c r="D69" s="76"/>
      <c r="E69" s="17"/>
      <c r="F69" s="17"/>
      <c r="G69" s="17"/>
      <c r="H69" s="286"/>
    </row>
    <row r="70" spans="1:8">
      <c r="A70" s="17"/>
      <c r="B70" s="76"/>
      <c r="C70" s="76"/>
      <c r="D70" s="76"/>
      <c r="E70" s="17"/>
      <c r="F70" s="17"/>
      <c r="G70" s="17"/>
      <c r="H70" s="286"/>
    </row>
    <row r="71" spans="1:8">
      <c r="A71" s="17"/>
      <c r="B71" s="76"/>
      <c r="C71" s="76"/>
      <c r="D71" s="76"/>
      <c r="E71" s="17"/>
      <c r="F71" s="17"/>
      <c r="G71" s="17"/>
      <c r="H71" s="286"/>
    </row>
    <row r="72" spans="1:8">
      <c r="A72" s="17"/>
      <c r="B72" s="76"/>
      <c r="C72" s="76"/>
      <c r="D72" s="76"/>
      <c r="E72" s="17"/>
      <c r="F72" s="17"/>
      <c r="G72" s="17"/>
      <c r="H72" s="286"/>
    </row>
    <row r="73" spans="1:8">
      <c r="A73" s="17"/>
      <c r="B73" s="76"/>
      <c r="C73" s="76"/>
      <c r="D73" s="76"/>
      <c r="E73" s="17"/>
      <c r="F73" s="17"/>
      <c r="G73" s="17"/>
      <c r="H73" s="286"/>
    </row>
    <row r="74" spans="1:8">
      <c r="A74" s="17"/>
      <c r="B74" s="76"/>
      <c r="C74" s="76"/>
      <c r="D74" s="76"/>
      <c r="E74" s="17"/>
      <c r="F74" s="17"/>
      <c r="G74" s="17"/>
      <c r="H74" s="286"/>
    </row>
    <row r="75" spans="1:8">
      <c r="A75" s="17"/>
      <c r="B75" s="76"/>
      <c r="C75" s="76"/>
      <c r="D75" s="76"/>
      <c r="E75" s="17"/>
      <c r="F75" s="17"/>
      <c r="G75" s="17"/>
      <c r="H75" s="286"/>
    </row>
    <row r="76" spans="1:8">
      <c r="A76" s="17"/>
      <c r="B76" s="76"/>
      <c r="C76" s="76"/>
      <c r="D76" s="76"/>
      <c r="E76" s="17"/>
      <c r="F76" s="17"/>
      <c r="G76" s="17"/>
      <c r="H76" s="286"/>
    </row>
    <row r="77" spans="1:8">
      <c r="A77" s="17"/>
      <c r="B77" s="76"/>
      <c r="C77" s="76"/>
      <c r="D77" s="76"/>
      <c r="E77" s="17"/>
      <c r="F77" s="17"/>
      <c r="G77" s="17"/>
      <c r="H77" s="286"/>
    </row>
    <row r="78" spans="1:8">
      <c r="A78" s="17"/>
      <c r="B78" s="76"/>
      <c r="C78" s="76"/>
      <c r="D78" s="76"/>
      <c r="E78" s="17"/>
      <c r="F78" s="17"/>
      <c r="G78" s="17"/>
      <c r="H78" s="286"/>
    </row>
    <row r="79" spans="1:8">
      <c r="A79" s="17"/>
      <c r="B79" s="76"/>
      <c r="C79" s="76"/>
      <c r="D79" s="76"/>
      <c r="E79" s="17"/>
      <c r="F79" s="17"/>
      <c r="G79" s="17"/>
      <c r="H79" s="286"/>
    </row>
    <row r="80" spans="1:8">
      <c r="A80" s="17"/>
      <c r="B80" s="76"/>
      <c r="C80" s="76"/>
      <c r="D80" s="76"/>
      <c r="E80" s="17"/>
      <c r="F80" s="17"/>
      <c r="G80" s="17"/>
      <c r="H80" s="286"/>
    </row>
    <row r="81" spans="1:8">
      <c r="A81" s="17"/>
      <c r="B81" s="76"/>
      <c r="C81" s="76"/>
      <c r="D81" s="76"/>
      <c r="E81" s="17"/>
      <c r="F81" s="17"/>
      <c r="G81" s="17"/>
      <c r="H81" s="286"/>
    </row>
    <row r="82" spans="1:8">
      <c r="A82" s="17"/>
      <c r="B82" s="76"/>
      <c r="C82" s="76"/>
      <c r="D82" s="76"/>
      <c r="E82" s="17"/>
      <c r="F82" s="17"/>
      <c r="G82" s="17"/>
      <c r="H82" s="286"/>
    </row>
    <row r="83" spans="1:8">
      <c r="A83" s="17"/>
      <c r="B83" s="76"/>
      <c r="C83" s="76"/>
      <c r="D83" s="76"/>
      <c r="E83" s="17"/>
      <c r="F83" s="17"/>
      <c r="G83" s="17"/>
      <c r="H83" s="286"/>
    </row>
    <row r="84" spans="1:8">
      <c r="A84" s="17"/>
      <c r="B84" s="76"/>
      <c r="C84" s="76"/>
      <c r="D84" s="76"/>
      <c r="E84" s="17"/>
      <c r="F84" s="17"/>
      <c r="G84" s="17"/>
      <c r="H84" s="286"/>
    </row>
  </sheetData>
  <mergeCells count="5">
    <mergeCell ref="B12:D12"/>
    <mergeCell ref="A2:G2"/>
    <mergeCell ref="A10:E10"/>
    <mergeCell ref="B11:D11"/>
    <mergeCell ref="B13:D13"/>
  </mergeCells>
  <hyperlinks>
    <hyperlink ref="A1" location="Главная!A1" display="Вернуться на главную страницу" xr:uid="{00000000-0004-0000-2800-000000000000}"/>
  </hyperlinks>
  <pageMargins left="0.7" right="0.7" top="0.75" bottom="0.75" header="0.3" footer="0.3"/>
  <pageSetup paperSize="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Лист59">
    <pageSetUpPr fitToPage="1"/>
  </sheetPr>
  <dimension ref="A1:AF182"/>
  <sheetViews>
    <sheetView zoomScale="70" zoomScaleNormal="70" workbookViewId="0">
      <selection activeCell="O6" sqref="O6:O9"/>
    </sheetView>
  </sheetViews>
  <sheetFormatPr defaultRowHeight="15"/>
  <cols>
    <col min="9" max="14" width="10.7109375" customWidth="1"/>
    <col min="15" max="15" width="10.7109375" style="74" customWidth="1"/>
    <col min="18" max="32" width="9.140625" style="1085"/>
  </cols>
  <sheetData>
    <row r="1" spans="1:32" s="74" customFormat="1" ht="4.5" customHeight="1" thickBot="1">
      <c r="A1" s="1029"/>
      <c r="B1" s="1029"/>
      <c r="C1" s="1029"/>
      <c r="D1" s="1029"/>
      <c r="E1" s="1029"/>
      <c r="F1" s="1029"/>
      <c r="G1" s="1029"/>
      <c r="H1" s="1029"/>
      <c r="I1" s="1029"/>
      <c r="J1" s="1029"/>
      <c r="K1" s="1029"/>
      <c r="L1" s="1029"/>
      <c r="M1" s="1029"/>
      <c r="N1" s="1029"/>
      <c r="O1" s="1029"/>
      <c r="P1" s="1029"/>
      <c r="Q1" s="1029"/>
      <c r="R1" s="1085"/>
      <c r="S1" s="1085"/>
      <c r="T1" s="1085"/>
      <c r="U1" s="1085"/>
      <c r="V1" s="1085"/>
      <c r="W1" s="1085"/>
      <c r="X1" s="1085"/>
      <c r="Y1" s="1085"/>
      <c r="Z1" s="1085"/>
      <c r="AA1" s="1085"/>
      <c r="AB1" s="1085"/>
      <c r="AC1" s="1085"/>
      <c r="AD1" s="1085"/>
      <c r="AE1" s="1085"/>
      <c r="AF1" s="1085"/>
    </row>
    <row r="2" spans="1:32" s="74" customFormat="1">
      <c r="A2" s="1029"/>
      <c r="B2" s="1029"/>
      <c r="C2" s="2908" t="s">
        <v>5823</v>
      </c>
      <c r="D2" s="2909"/>
      <c r="E2" s="2909"/>
      <c r="F2" s="2909"/>
      <c r="G2" s="2909"/>
      <c r="H2" s="2909"/>
      <c r="I2" s="2909"/>
      <c r="J2" s="2909"/>
      <c r="K2" s="2910"/>
      <c r="L2" s="2908" t="s">
        <v>427</v>
      </c>
      <c r="M2" s="2909"/>
      <c r="N2" s="2901"/>
      <c r="O2" s="2902"/>
      <c r="P2" s="1029"/>
      <c r="Q2" s="1029"/>
      <c r="R2" s="1085"/>
      <c r="S2" s="1085"/>
      <c r="T2" s="1085"/>
      <c r="U2" s="1085"/>
      <c r="V2" s="1085"/>
      <c r="W2" s="1085"/>
      <c r="X2" s="1085"/>
      <c r="Y2" s="1085"/>
      <c r="Z2" s="1085"/>
      <c r="AA2" s="1085"/>
      <c r="AB2" s="1085"/>
      <c r="AC2" s="1085"/>
      <c r="AD2" s="1085"/>
      <c r="AE2" s="1085"/>
      <c r="AF2" s="1085"/>
    </row>
    <row r="3" spans="1:32" s="74" customFormat="1">
      <c r="A3" s="1029"/>
      <c r="B3" s="1029"/>
      <c r="C3" s="2911"/>
      <c r="D3" s="2912"/>
      <c r="E3" s="2912"/>
      <c r="F3" s="2912"/>
      <c r="G3" s="2912"/>
      <c r="H3" s="2912"/>
      <c r="I3" s="2912"/>
      <c r="J3" s="2912"/>
      <c r="K3" s="2913"/>
      <c r="L3" s="2911"/>
      <c r="M3" s="2912"/>
      <c r="N3" s="2903"/>
      <c r="O3" s="2904"/>
      <c r="P3" s="1029"/>
      <c r="Q3" s="1029"/>
      <c r="R3" s="1085"/>
      <c r="S3" s="1085"/>
      <c r="T3" s="1085"/>
      <c r="U3" s="1085"/>
      <c r="V3" s="1085"/>
      <c r="W3" s="1085"/>
      <c r="X3" s="1085"/>
      <c r="Y3" s="1085"/>
      <c r="Z3" s="1085"/>
      <c r="AA3" s="1085"/>
      <c r="AB3" s="1085"/>
      <c r="AC3" s="1085"/>
      <c r="AD3" s="1085"/>
      <c r="AE3" s="1085"/>
      <c r="AF3" s="1085"/>
    </row>
    <row r="4" spans="1:32">
      <c r="A4" s="1029"/>
      <c r="B4" s="1029"/>
      <c r="C4" s="2911"/>
      <c r="D4" s="2912"/>
      <c r="E4" s="2912"/>
      <c r="F4" s="2912"/>
      <c r="G4" s="2912"/>
      <c r="H4" s="2912"/>
      <c r="I4" s="2912"/>
      <c r="J4" s="2912"/>
      <c r="K4" s="2913"/>
      <c r="L4" s="2911" t="s">
        <v>428</v>
      </c>
      <c r="M4" s="2912"/>
      <c r="N4" s="1054"/>
      <c r="O4" s="1054"/>
      <c r="P4" s="1029"/>
      <c r="Q4" s="1029"/>
    </row>
    <row r="5" spans="1:32" ht="15.75" thickBot="1">
      <c r="A5" s="1029"/>
      <c r="B5" s="1029"/>
      <c r="C5" s="2914"/>
      <c r="D5" s="2915"/>
      <c r="E5" s="2915"/>
      <c r="F5" s="2915"/>
      <c r="G5" s="2915"/>
      <c r="H5" s="2915"/>
      <c r="I5" s="2915"/>
      <c r="J5" s="2915"/>
      <c r="K5" s="2916"/>
      <c r="L5" s="2914"/>
      <c r="M5" s="2915"/>
      <c r="N5" s="1054"/>
      <c r="O5" s="1054"/>
      <c r="P5" s="1029"/>
      <c r="Q5" s="1029"/>
    </row>
    <row r="6" spans="1:32" ht="15" customHeight="1">
      <c r="A6" s="1029"/>
      <c r="B6" s="1029"/>
      <c r="C6" s="2917" t="s">
        <v>426</v>
      </c>
      <c r="D6" s="2918"/>
      <c r="E6" s="2918"/>
      <c r="F6" s="2918"/>
      <c r="G6" s="2918"/>
      <c r="H6" s="2919"/>
      <c r="I6" s="2905" t="s">
        <v>5824</v>
      </c>
      <c r="J6" s="2905" t="s">
        <v>5825</v>
      </c>
      <c r="K6" s="2905" t="s">
        <v>5826</v>
      </c>
      <c r="L6" s="2905" t="s">
        <v>5827</v>
      </c>
      <c r="M6" s="2905" t="s">
        <v>5828</v>
      </c>
      <c r="N6" s="2905" t="s">
        <v>5829</v>
      </c>
      <c r="O6" s="2905" t="s">
        <v>5830</v>
      </c>
      <c r="P6" s="1029"/>
      <c r="Q6" s="1029"/>
    </row>
    <row r="7" spans="1:32">
      <c r="A7" s="1029"/>
      <c r="B7" s="1029"/>
      <c r="C7" s="2920"/>
      <c r="D7" s="2921"/>
      <c r="E7" s="2921"/>
      <c r="F7" s="2921"/>
      <c r="G7" s="2921"/>
      <c r="H7" s="2922"/>
      <c r="I7" s="2906"/>
      <c r="J7" s="2906"/>
      <c r="K7" s="2906"/>
      <c r="L7" s="2906"/>
      <c r="M7" s="2906"/>
      <c r="N7" s="2906"/>
      <c r="O7" s="2906"/>
      <c r="P7" s="1029"/>
      <c r="Q7" s="1029"/>
    </row>
    <row r="8" spans="1:32">
      <c r="A8" s="1029"/>
      <c r="B8" s="1029"/>
      <c r="C8" s="2920"/>
      <c r="D8" s="2921"/>
      <c r="E8" s="2921"/>
      <c r="F8" s="2921"/>
      <c r="G8" s="2921"/>
      <c r="H8" s="2922"/>
      <c r="I8" s="2906"/>
      <c r="J8" s="2906"/>
      <c r="K8" s="2906"/>
      <c r="L8" s="2906"/>
      <c r="M8" s="2906"/>
      <c r="N8" s="2906"/>
      <c r="O8" s="2906"/>
      <c r="P8" s="1029"/>
      <c r="Q8" s="1029"/>
    </row>
    <row r="9" spans="1:32" ht="15.75" thickBot="1">
      <c r="A9" s="1029"/>
      <c r="B9" s="1029"/>
      <c r="C9" s="2920"/>
      <c r="D9" s="2921"/>
      <c r="E9" s="2921"/>
      <c r="F9" s="2921"/>
      <c r="G9" s="2921"/>
      <c r="H9" s="2922"/>
      <c r="I9" s="2907"/>
      <c r="J9" s="2907"/>
      <c r="K9" s="2907"/>
      <c r="L9" s="2907"/>
      <c r="M9" s="2907"/>
      <c r="N9" s="2907"/>
      <c r="O9" s="2907"/>
      <c r="P9" s="1029"/>
      <c r="Q9" s="1029"/>
    </row>
    <row r="10" spans="1:32">
      <c r="A10" s="1029"/>
      <c r="B10" s="1029"/>
      <c r="C10" s="2127" t="s">
        <v>225</v>
      </c>
      <c r="D10" s="2128"/>
      <c r="E10" s="1032" t="s">
        <v>226</v>
      </c>
      <c r="F10" s="1033">
        <v>55</v>
      </c>
      <c r="G10" s="1033">
        <v>160</v>
      </c>
      <c r="H10" s="1034" t="s">
        <v>227</v>
      </c>
      <c r="I10" s="1035"/>
      <c r="J10" s="1053"/>
      <c r="K10" s="1036"/>
      <c r="L10" s="1053"/>
      <c r="M10" s="1053"/>
      <c r="N10" s="1036"/>
      <c r="O10" s="1037"/>
      <c r="P10" s="1029"/>
      <c r="Q10" s="1029"/>
    </row>
    <row r="11" spans="1:32">
      <c r="A11" s="1029"/>
      <c r="B11" s="1029"/>
      <c r="C11" s="2129" t="s">
        <v>228</v>
      </c>
      <c r="D11" s="2130"/>
      <c r="E11" s="445" t="s">
        <v>226</v>
      </c>
      <c r="F11" s="493">
        <v>55</v>
      </c>
      <c r="G11" s="493">
        <v>200</v>
      </c>
      <c r="H11" s="446" t="s">
        <v>227</v>
      </c>
      <c r="I11" s="1030"/>
      <c r="J11" s="1054"/>
      <c r="K11" s="1031"/>
      <c r="L11" s="1054"/>
      <c r="M11" s="1054"/>
      <c r="N11" s="1031"/>
      <c r="O11" s="1038"/>
      <c r="P11" s="1029"/>
      <c r="Q11" s="1029"/>
    </row>
    <row r="12" spans="1:32">
      <c r="A12" s="1029"/>
      <c r="B12" s="1029"/>
      <c r="C12" s="2129" t="s">
        <v>229</v>
      </c>
      <c r="D12" s="2130"/>
      <c r="E12" s="445" t="s">
        <v>226</v>
      </c>
      <c r="F12" s="493">
        <v>55</v>
      </c>
      <c r="G12" s="493">
        <v>260</v>
      </c>
      <c r="H12" s="446" t="s">
        <v>227</v>
      </c>
      <c r="I12" s="1030"/>
      <c r="J12" s="1054"/>
      <c r="K12" s="1031"/>
      <c r="L12" s="1054"/>
      <c r="M12" s="1054"/>
      <c r="N12" s="1031"/>
      <c r="O12" s="1038"/>
      <c r="P12" s="1029"/>
      <c r="Q12" s="1029"/>
    </row>
    <row r="13" spans="1:32">
      <c r="A13" s="1029"/>
      <c r="B13" s="1029"/>
      <c r="C13" s="2129" t="s">
        <v>230</v>
      </c>
      <c r="D13" s="2130"/>
      <c r="E13" s="445" t="s">
        <v>226</v>
      </c>
      <c r="F13" s="493">
        <v>55</v>
      </c>
      <c r="G13" s="493">
        <v>300</v>
      </c>
      <c r="H13" s="446" t="s">
        <v>227</v>
      </c>
      <c r="I13" s="1030"/>
      <c r="J13" s="1054"/>
      <c r="K13" s="1031"/>
      <c r="L13" s="1054"/>
      <c r="M13" s="1054"/>
      <c r="N13" s="1031"/>
      <c r="O13" s="1038"/>
      <c r="P13" s="1029"/>
      <c r="Q13" s="1029"/>
    </row>
    <row r="14" spans="1:32" ht="15.75" thickBot="1">
      <c r="A14" s="1029"/>
      <c r="B14" s="1029"/>
      <c r="C14" s="2131" t="s">
        <v>231</v>
      </c>
      <c r="D14" s="2132"/>
      <c r="E14" s="447" t="s">
        <v>226</v>
      </c>
      <c r="F14" s="494">
        <v>55</v>
      </c>
      <c r="G14" s="494">
        <v>300</v>
      </c>
      <c r="H14" s="448" t="s">
        <v>232</v>
      </c>
      <c r="I14" s="1039"/>
      <c r="J14" s="1055"/>
      <c r="K14" s="1040"/>
      <c r="L14" s="1055"/>
      <c r="M14" s="1055"/>
      <c r="N14" s="1040"/>
      <c r="O14" s="1041"/>
      <c r="P14" s="1029"/>
      <c r="Q14" s="1029"/>
    </row>
    <row r="15" spans="1:32">
      <c r="A15" s="1029"/>
      <c r="B15" s="1029"/>
      <c r="C15" s="2164" t="s">
        <v>236</v>
      </c>
      <c r="D15" s="2165"/>
      <c r="E15" s="802" t="s">
        <v>226</v>
      </c>
      <c r="F15" s="803">
        <v>65</v>
      </c>
      <c r="G15" s="803">
        <v>160</v>
      </c>
      <c r="H15" s="802" t="s">
        <v>227</v>
      </c>
      <c r="I15" s="1035"/>
      <c r="J15" s="1036"/>
      <c r="K15" s="1036"/>
      <c r="L15" s="1053"/>
      <c r="M15" s="1053"/>
      <c r="N15" s="1036"/>
      <c r="O15" s="1037"/>
      <c r="P15" s="1029"/>
      <c r="Q15" s="1029"/>
    </row>
    <row r="16" spans="1:32">
      <c r="A16" s="1029"/>
      <c r="B16" s="1029"/>
      <c r="C16" s="2166" t="s">
        <v>237</v>
      </c>
      <c r="D16" s="2167"/>
      <c r="E16" s="450" t="s">
        <v>226</v>
      </c>
      <c r="F16" s="496">
        <v>65</v>
      </c>
      <c r="G16" s="496">
        <v>200</v>
      </c>
      <c r="H16" s="450" t="s">
        <v>227</v>
      </c>
      <c r="I16" s="1030"/>
      <c r="J16" s="1031"/>
      <c r="K16" s="1031"/>
      <c r="L16" s="1054"/>
      <c r="M16" s="1054"/>
      <c r="N16" s="1031"/>
      <c r="O16" s="1038"/>
      <c r="P16" s="1029"/>
      <c r="Q16" s="1029"/>
    </row>
    <row r="17" spans="1:17">
      <c r="A17" s="1029"/>
      <c r="B17" s="1029"/>
      <c r="C17" s="2166" t="s">
        <v>238</v>
      </c>
      <c r="D17" s="2167"/>
      <c r="E17" s="450" t="s">
        <v>226</v>
      </c>
      <c r="F17" s="496">
        <v>65</v>
      </c>
      <c r="G17" s="496">
        <v>260</v>
      </c>
      <c r="H17" s="450" t="s">
        <v>227</v>
      </c>
      <c r="I17" s="1030"/>
      <c r="J17" s="1031"/>
      <c r="K17" s="1031"/>
      <c r="L17" s="1031"/>
      <c r="M17" s="1031"/>
      <c r="N17" s="1031"/>
      <c r="O17" s="1038"/>
      <c r="P17" s="1029"/>
      <c r="Q17" s="1029"/>
    </row>
    <row r="18" spans="1:17" ht="15.75" thickBot="1">
      <c r="A18" s="1029"/>
      <c r="B18" s="1029"/>
      <c r="C18" s="2148" t="s">
        <v>239</v>
      </c>
      <c r="D18" s="2149"/>
      <c r="E18" s="451" t="s">
        <v>226</v>
      </c>
      <c r="F18" s="497">
        <v>65</v>
      </c>
      <c r="G18" s="497">
        <v>300</v>
      </c>
      <c r="H18" s="451" t="s">
        <v>227</v>
      </c>
      <c r="I18" s="1039"/>
      <c r="J18" s="1040"/>
      <c r="K18" s="1040"/>
      <c r="L18" s="1040"/>
      <c r="M18" s="1040"/>
      <c r="N18" s="1040"/>
      <c r="O18" s="1041"/>
      <c r="P18" s="1029"/>
      <c r="Q18" s="1029"/>
    </row>
    <row r="19" spans="1:17">
      <c r="A19" s="1029"/>
      <c r="B19" s="1029"/>
      <c r="C19" s="2156" t="s">
        <v>245</v>
      </c>
      <c r="D19" s="2157"/>
      <c r="E19" s="452" t="s">
        <v>226</v>
      </c>
      <c r="F19" s="498">
        <v>70</v>
      </c>
      <c r="G19" s="498">
        <v>200</v>
      </c>
      <c r="H19" s="452" t="s">
        <v>227</v>
      </c>
      <c r="I19" s="1035"/>
      <c r="J19" s="1036"/>
      <c r="K19" s="1036"/>
      <c r="L19" s="1054"/>
      <c r="M19" s="1054"/>
      <c r="N19" s="1036"/>
      <c r="O19" s="1037"/>
      <c r="P19" s="1029"/>
      <c r="Q19" s="1029"/>
    </row>
    <row r="20" spans="1:17">
      <c r="A20" s="1029"/>
      <c r="B20" s="1029"/>
      <c r="C20" s="2158" t="s">
        <v>246</v>
      </c>
      <c r="D20" s="2159"/>
      <c r="E20" s="453" t="s">
        <v>226</v>
      </c>
      <c r="F20" s="499">
        <v>70</v>
      </c>
      <c r="G20" s="499">
        <v>260</v>
      </c>
      <c r="H20" s="453" t="s">
        <v>227</v>
      </c>
      <c r="I20" s="1030"/>
      <c r="J20" s="1031"/>
      <c r="K20" s="1031"/>
      <c r="L20" s="1031"/>
      <c r="M20" s="1031"/>
      <c r="N20" s="1031"/>
      <c r="O20" s="1038"/>
      <c r="P20" s="1029"/>
      <c r="Q20" s="1029"/>
    </row>
    <row r="21" spans="1:17">
      <c r="A21" s="1029"/>
      <c r="B21" s="1029"/>
      <c r="C21" s="2158" t="s">
        <v>247</v>
      </c>
      <c r="D21" s="2159"/>
      <c r="E21" s="453" t="s">
        <v>226</v>
      </c>
      <c r="F21" s="499">
        <v>70</v>
      </c>
      <c r="G21" s="499">
        <v>300</v>
      </c>
      <c r="H21" s="453" t="s">
        <v>227</v>
      </c>
      <c r="I21" s="1030"/>
      <c r="J21" s="1031"/>
      <c r="K21" s="1031"/>
      <c r="L21" s="1031"/>
      <c r="M21" s="1031"/>
      <c r="N21" s="1031"/>
      <c r="O21" s="1038"/>
      <c r="P21" s="1029"/>
      <c r="Q21" s="1029"/>
    </row>
    <row r="22" spans="1:17" ht="15.75" thickBot="1">
      <c r="A22" s="1029"/>
      <c r="B22" s="1029"/>
      <c r="C22" s="2172" t="s">
        <v>248</v>
      </c>
      <c r="D22" s="2173"/>
      <c r="E22" s="454" t="s">
        <v>226</v>
      </c>
      <c r="F22" s="500">
        <v>70</v>
      </c>
      <c r="G22" s="500">
        <v>300</v>
      </c>
      <c r="H22" s="454" t="s">
        <v>232</v>
      </c>
      <c r="I22" s="1039"/>
      <c r="J22" s="1040"/>
      <c r="K22" s="1040"/>
      <c r="L22" s="1040"/>
      <c r="M22" s="1040"/>
      <c r="N22" s="1040"/>
      <c r="O22" s="1041"/>
      <c r="P22" s="1029"/>
      <c r="Q22" s="1029"/>
    </row>
    <row r="23" spans="1:17">
      <c r="A23" s="1029"/>
      <c r="B23" s="1029"/>
      <c r="C23" s="2168" t="s">
        <v>253</v>
      </c>
      <c r="D23" s="2169"/>
      <c r="E23" s="455" t="s">
        <v>226</v>
      </c>
      <c r="F23" s="502">
        <v>75</v>
      </c>
      <c r="G23" s="502">
        <v>160</v>
      </c>
      <c r="H23" s="455" t="s">
        <v>227</v>
      </c>
      <c r="I23" s="1035"/>
      <c r="J23" s="1036"/>
      <c r="K23" s="1036"/>
      <c r="L23" s="1054"/>
      <c r="M23" s="1054"/>
      <c r="N23" s="1036"/>
      <c r="O23" s="1037"/>
      <c r="P23" s="1029"/>
      <c r="Q23" s="1029"/>
    </row>
    <row r="24" spans="1:17">
      <c r="A24" s="1029"/>
      <c r="B24" s="1029"/>
      <c r="C24" s="2170" t="s">
        <v>254</v>
      </c>
      <c r="D24" s="2171"/>
      <c r="E24" s="456" t="s">
        <v>226</v>
      </c>
      <c r="F24" s="501">
        <v>75</v>
      </c>
      <c r="G24" s="501">
        <v>200</v>
      </c>
      <c r="H24" s="456" t="s">
        <v>227</v>
      </c>
      <c r="I24" s="1030"/>
      <c r="J24" s="1031"/>
      <c r="K24" s="1031"/>
      <c r="L24" s="1054"/>
      <c r="M24" s="1054"/>
      <c r="N24" s="1031"/>
      <c r="O24" s="1038"/>
      <c r="P24" s="1029"/>
      <c r="Q24" s="1029"/>
    </row>
    <row r="25" spans="1:17">
      <c r="A25" s="1029"/>
      <c r="B25" s="1029"/>
      <c r="C25" s="2170" t="s">
        <v>255</v>
      </c>
      <c r="D25" s="2171"/>
      <c r="E25" s="456" t="s">
        <v>226</v>
      </c>
      <c r="F25" s="501">
        <v>75</v>
      </c>
      <c r="G25" s="501">
        <v>260</v>
      </c>
      <c r="H25" s="456" t="s">
        <v>227</v>
      </c>
      <c r="I25" s="1030"/>
      <c r="J25" s="1031"/>
      <c r="K25" s="1031"/>
      <c r="L25" s="1031"/>
      <c r="M25" s="1031"/>
      <c r="N25" s="1031"/>
      <c r="O25" s="1038"/>
      <c r="P25" s="1029"/>
      <c r="Q25" s="1029"/>
    </row>
    <row r="26" spans="1:17">
      <c r="A26" s="1029"/>
      <c r="B26" s="1029"/>
      <c r="C26" s="2170" t="s">
        <v>256</v>
      </c>
      <c r="D26" s="2171"/>
      <c r="E26" s="456" t="s">
        <v>226</v>
      </c>
      <c r="F26" s="501">
        <v>75</v>
      </c>
      <c r="G26" s="501">
        <v>300</v>
      </c>
      <c r="H26" s="456" t="s">
        <v>227</v>
      </c>
      <c r="I26" s="1030"/>
      <c r="J26" s="1031"/>
      <c r="K26" s="1031"/>
      <c r="L26" s="1031"/>
      <c r="M26" s="1031"/>
      <c r="N26" s="1031"/>
      <c r="O26" s="1038"/>
      <c r="P26" s="1029"/>
      <c r="Q26" s="1029"/>
    </row>
    <row r="27" spans="1:17">
      <c r="A27" s="1029"/>
      <c r="B27" s="1029"/>
      <c r="C27" s="2170" t="s">
        <v>257</v>
      </c>
      <c r="D27" s="2171"/>
      <c r="E27" s="456" t="s">
        <v>226</v>
      </c>
      <c r="F27" s="501">
        <v>75</v>
      </c>
      <c r="G27" s="501">
        <v>300</v>
      </c>
      <c r="H27" s="456" t="s">
        <v>232</v>
      </c>
      <c r="I27" s="1030"/>
      <c r="J27" s="1031"/>
      <c r="K27" s="1031"/>
      <c r="L27" s="1031"/>
      <c r="M27" s="1031"/>
      <c r="N27" s="1031"/>
      <c r="O27" s="1038"/>
      <c r="P27" s="1029"/>
      <c r="Q27" s="1029"/>
    </row>
    <row r="28" spans="1:17">
      <c r="A28" s="1029"/>
      <c r="B28" s="1029"/>
      <c r="C28" s="2170" t="s">
        <v>258</v>
      </c>
      <c r="D28" s="2171"/>
      <c r="E28" s="456" t="s">
        <v>226</v>
      </c>
      <c r="F28" s="501">
        <v>75</v>
      </c>
      <c r="G28" s="501">
        <v>360</v>
      </c>
      <c r="H28" s="456" t="s">
        <v>232</v>
      </c>
      <c r="I28" s="1030"/>
      <c r="J28" s="1031"/>
      <c r="K28" s="1031"/>
      <c r="L28" s="1031"/>
      <c r="M28" s="1031"/>
      <c r="N28" s="1031"/>
      <c r="O28" s="1038"/>
      <c r="P28" s="1029"/>
      <c r="Q28" s="1029"/>
    </row>
    <row r="29" spans="1:17">
      <c r="A29" s="1029"/>
      <c r="B29" s="1029"/>
      <c r="C29" s="2170" t="s">
        <v>259</v>
      </c>
      <c r="D29" s="2171"/>
      <c r="E29" s="456" t="s">
        <v>226</v>
      </c>
      <c r="F29" s="501">
        <v>75</v>
      </c>
      <c r="G29" s="501">
        <v>400</v>
      </c>
      <c r="H29" s="456" t="s">
        <v>232</v>
      </c>
      <c r="I29" s="1030"/>
      <c r="J29" s="1031"/>
      <c r="K29" s="1031"/>
      <c r="L29" s="1031"/>
      <c r="M29" s="1031"/>
      <c r="N29" s="1031"/>
      <c r="O29" s="1038"/>
      <c r="P29" s="1029"/>
      <c r="Q29" s="1029"/>
    </row>
    <row r="30" spans="1:17" ht="15.75" thickBot="1">
      <c r="A30" s="1029"/>
      <c r="B30" s="1029"/>
      <c r="C30" s="2184" t="s">
        <v>260</v>
      </c>
      <c r="D30" s="2185"/>
      <c r="E30" s="1042" t="s">
        <v>226</v>
      </c>
      <c r="F30" s="1043">
        <v>75</v>
      </c>
      <c r="G30" s="1043">
        <v>400</v>
      </c>
      <c r="H30" s="1042" t="s">
        <v>252</v>
      </c>
      <c r="I30" s="1039"/>
      <c r="J30" s="1040"/>
      <c r="K30" s="1040"/>
      <c r="L30" s="1040"/>
      <c r="M30" s="1040"/>
      <c r="N30" s="1040"/>
      <c r="O30" s="1041"/>
      <c r="P30" s="1029"/>
      <c r="Q30" s="1029"/>
    </row>
    <row r="31" spans="1:17">
      <c r="A31" s="1029"/>
      <c r="B31" s="1029"/>
      <c r="C31" s="2186" t="s">
        <v>261</v>
      </c>
      <c r="D31" s="2187"/>
      <c r="E31" s="458" t="s">
        <v>226</v>
      </c>
      <c r="F31" s="504">
        <v>80</v>
      </c>
      <c r="G31" s="504">
        <v>160</v>
      </c>
      <c r="H31" s="459" t="s">
        <v>227</v>
      </c>
      <c r="I31" s="1035"/>
      <c r="J31" s="1036"/>
      <c r="K31" s="1036"/>
      <c r="L31" s="1054"/>
      <c r="M31" s="1054"/>
      <c r="N31" s="1036"/>
      <c r="O31" s="1037"/>
      <c r="P31" s="1029"/>
      <c r="Q31" s="1029"/>
    </row>
    <row r="32" spans="1:17">
      <c r="A32" s="1029"/>
      <c r="B32" s="1029"/>
      <c r="C32" s="2176" t="s">
        <v>262</v>
      </c>
      <c r="D32" s="2177"/>
      <c r="E32" s="460" t="s">
        <v>226</v>
      </c>
      <c r="F32" s="505">
        <v>80</v>
      </c>
      <c r="G32" s="505">
        <v>200</v>
      </c>
      <c r="H32" s="461" t="s">
        <v>227</v>
      </c>
      <c r="I32" s="1030"/>
      <c r="J32" s="1031"/>
      <c r="K32" s="1031"/>
      <c r="L32" s="1054"/>
      <c r="M32" s="1054"/>
      <c r="N32" s="1031"/>
      <c r="O32" s="1038"/>
      <c r="P32" s="1029"/>
      <c r="Q32" s="1029"/>
    </row>
    <row r="33" spans="1:17">
      <c r="A33" s="1029"/>
      <c r="B33" s="1029"/>
      <c r="C33" s="2176" t="s">
        <v>263</v>
      </c>
      <c r="D33" s="2177"/>
      <c r="E33" s="460" t="s">
        <v>226</v>
      </c>
      <c r="F33" s="505">
        <v>80</v>
      </c>
      <c r="G33" s="505">
        <v>260</v>
      </c>
      <c r="H33" s="461" t="s">
        <v>227</v>
      </c>
      <c r="I33" s="1030"/>
      <c r="J33" s="1031"/>
      <c r="K33" s="1031"/>
      <c r="L33" s="1031"/>
      <c r="M33" s="1031"/>
      <c r="N33" s="1031"/>
      <c r="O33" s="1038"/>
      <c r="P33" s="1029"/>
      <c r="Q33" s="1029"/>
    </row>
    <row r="34" spans="1:17">
      <c r="A34" s="1029"/>
      <c r="B34" s="1029"/>
      <c r="C34" s="2176" t="s">
        <v>264</v>
      </c>
      <c r="D34" s="2177"/>
      <c r="E34" s="460" t="s">
        <v>226</v>
      </c>
      <c r="F34" s="505">
        <v>80</v>
      </c>
      <c r="G34" s="505">
        <v>300</v>
      </c>
      <c r="H34" s="461" t="s">
        <v>227</v>
      </c>
      <c r="I34" s="1030"/>
      <c r="J34" s="1031"/>
      <c r="K34" s="1031"/>
      <c r="L34" s="1031"/>
      <c r="M34" s="1031"/>
      <c r="N34" s="1031"/>
      <c r="O34" s="1038"/>
      <c r="P34" s="1029"/>
      <c r="Q34" s="1029"/>
    </row>
    <row r="35" spans="1:17">
      <c r="A35" s="1029"/>
      <c r="B35" s="1029"/>
      <c r="C35" s="2176" t="s">
        <v>265</v>
      </c>
      <c r="D35" s="2177"/>
      <c r="E35" s="460" t="s">
        <v>226</v>
      </c>
      <c r="F35" s="505">
        <v>80</v>
      </c>
      <c r="G35" s="505">
        <v>300</v>
      </c>
      <c r="H35" s="461" t="s">
        <v>232</v>
      </c>
      <c r="I35" s="1030"/>
      <c r="J35" s="1031"/>
      <c r="K35" s="1031"/>
      <c r="L35" s="1031"/>
      <c r="M35" s="1031"/>
      <c r="N35" s="1031"/>
      <c r="O35" s="1038"/>
      <c r="P35" s="1029"/>
      <c r="Q35" s="1029"/>
    </row>
    <row r="36" spans="1:17">
      <c r="A36" s="1029"/>
      <c r="B36" s="1029"/>
      <c r="C36" s="2176" t="s">
        <v>266</v>
      </c>
      <c r="D36" s="2177"/>
      <c r="E36" s="460" t="s">
        <v>226</v>
      </c>
      <c r="F36" s="505">
        <v>80</v>
      </c>
      <c r="G36" s="505">
        <v>360</v>
      </c>
      <c r="H36" s="461" t="s">
        <v>232</v>
      </c>
      <c r="I36" s="1030"/>
      <c r="J36" s="1031"/>
      <c r="K36" s="1031"/>
      <c r="L36" s="1031"/>
      <c r="M36" s="1031"/>
      <c r="N36" s="1031"/>
      <c r="O36" s="1038"/>
      <c r="P36" s="1029"/>
      <c r="Q36" s="1029"/>
    </row>
    <row r="37" spans="1:17">
      <c r="A37" s="1029"/>
      <c r="B37" s="1029"/>
      <c r="C37" s="2176" t="s">
        <v>267</v>
      </c>
      <c r="D37" s="2177"/>
      <c r="E37" s="460" t="s">
        <v>226</v>
      </c>
      <c r="F37" s="505">
        <v>80</v>
      </c>
      <c r="G37" s="505">
        <v>400</v>
      </c>
      <c r="H37" s="461" t="s">
        <v>232</v>
      </c>
      <c r="I37" s="1030"/>
      <c r="J37" s="1031"/>
      <c r="K37" s="1031"/>
      <c r="L37" s="1031"/>
      <c r="M37" s="1031"/>
      <c r="N37" s="1031"/>
      <c r="O37" s="1038"/>
      <c r="P37" s="1029"/>
      <c r="Q37" s="1029"/>
    </row>
    <row r="38" spans="1:17" ht="15.75" thickBot="1">
      <c r="A38" s="1029"/>
      <c r="B38" s="1029"/>
      <c r="C38" s="2178" t="s">
        <v>268</v>
      </c>
      <c r="D38" s="2179"/>
      <c r="E38" s="1044" t="s">
        <v>226</v>
      </c>
      <c r="F38" s="1045">
        <v>80</v>
      </c>
      <c r="G38" s="1045">
        <v>400</v>
      </c>
      <c r="H38" s="1046" t="s">
        <v>252</v>
      </c>
      <c r="I38" s="1039"/>
      <c r="J38" s="1040"/>
      <c r="K38" s="1040"/>
      <c r="L38" s="1040"/>
      <c r="M38" s="1040"/>
      <c r="N38" s="1040"/>
      <c r="O38" s="1041"/>
      <c r="P38" s="1029"/>
      <c r="Q38" s="1029"/>
    </row>
    <row r="39" spans="1:17">
      <c r="A39" s="1029"/>
      <c r="B39" s="1029"/>
      <c r="C39" s="2180" t="s">
        <v>269</v>
      </c>
      <c r="D39" s="2181"/>
      <c r="E39" s="464" t="s">
        <v>226</v>
      </c>
      <c r="F39" s="507">
        <v>90</v>
      </c>
      <c r="G39" s="507">
        <v>160</v>
      </c>
      <c r="H39" s="464" t="s">
        <v>227</v>
      </c>
      <c r="I39" s="1035"/>
      <c r="J39" s="1036"/>
      <c r="K39" s="1036"/>
      <c r="L39" s="1054"/>
      <c r="M39" s="1054"/>
      <c r="N39" s="1036"/>
      <c r="O39" s="1037"/>
      <c r="P39" s="1029"/>
      <c r="Q39" s="1029"/>
    </row>
    <row r="40" spans="1:17">
      <c r="A40" s="1029"/>
      <c r="B40" s="1029"/>
      <c r="C40" s="2182" t="s">
        <v>270</v>
      </c>
      <c r="D40" s="2183"/>
      <c r="E40" s="465" t="s">
        <v>226</v>
      </c>
      <c r="F40" s="508">
        <v>90</v>
      </c>
      <c r="G40" s="508">
        <v>200</v>
      </c>
      <c r="H40" s="465" t="s">
        <v>227</v>
      </c>
      <c r="I40" s="1030"/>
      <c r="J40" s="1031"/>
      <c r="K40" s="1031"/>
      <c r="L40" s="1054"/>
      <c r="M40" s="1054"/>
      <c r="N40" s="1031"/>
      <c r="O40" s="1038"/>
      <c r="P40" s="1029"/>
      <c r="Q40" s="1029"/>
    </row>
    <row r="41" spans="1:17">
      <c r="A41" s="1029"/>
      <c r="B41" s="1029"/>
      <c r="C41" s="2182" t="s">
        <v>271</v>
      </c>
      <c r="D41" s="2183"/>
      <c r="E41" s="465" t="s">
        <v>226</v>
      </c>
      <c r="F41" s="508">
        <v>90</v>
      </c>
      <c r="G41" s="508">
        <v>260</v>
      </c>
      <c r="H41" s="465" t="s">
        <v>227</v>
      </c>
      <c r="I41" s="1030"/>
      <c r="J41" s="1031"/>
      <c r="K41" s="1031"/>
      <c r="L41" s="1031"/>
      <c r="M41" s="1031"/>
      <c r="N41" s="1031"/>
      <c r="O41" s="1038"/>
      <c r="P41" s="1029"/>
      <c r="Q41" s="1029"/>
    </row>
    <row r="42" spans="1:17">
      <c r="A42" s="1029"/>
      <c r="B42" s="1029"/>
      <c r="C42" s="2182" t="s">
        <v>272</v>
      </c>
      <c r="D42" s="2183"/>
      <c r="E42" s="465" t="s">
        <v>226</v>
      </c>
      <c r="F42" s="508">
        <v>90</v>
      </c>
      <c r="G42" s="508">
        <v>300</v>
      </c>
      <c r="H42" s="465" t="s">
        <v>227</v>
      </c>
      <c r="I42" s="1030"/>
      <c r="J42" s="1031"/>
      <c r="K42" s="1031"/>
      <c r="L42" s="1031"/>
      <c r="M42" s="1031"/>
      <c r="N42" s="1031"/>
      <c r="O42" s="1038"/>
      <c r="P42" s="1029"/>
      <c r="Q42" s="1029"/>
    </row>
    <row r="43" spans="1:17">
      <c r="A43" s="1029"/>
      <c r="B43" s="1029"/>
      <c r="C43" s="2182" t="s">
        <v>273</v>
      </c>
      <c r="D43" s="2183"/>
      <c r="E43" s="465" t="s">
        <v>226</v>
      </c>
      <c r="F43" s="508">
        <v>90</v>
      </c>
      <c r="G43" s="508">
        <v>300</v>
      </c>
      <c r="H43" s="465" t="s">
        <v>232</v>
      </c>
      <c r="I43" s="1030"/>
      <c r="J43" s="1031"/>
      <c r="K43" s="1031"/>
      <c r="L43" s="1031"/>
      <c r="M43" s="1031"/>
      <c r="N43" s="1031"/>
      <c r="O43" s="1038"/>
      <c r="P43" s="1029"/>
      <c r="Q43" s="1029"/>
    </row>
    <row r="44" spans="1:17">
      <c r="A44" s="1029"/>
      <c r="B44" s="1029"/>
      <c r="C44" s="2182" t="s">
        <v>274</v>
      </c>
      <c r="D44" s="2183"/>
      <c r="E44" s="465" t="s">
        <v>226</v>
      </c>
      <c r="F44" s="508">
        <v>90</v>
      </c>
      <c r="G44" s="508">
        <v>360</v>
      </c>
      <c r="H44" s="465" t="s">
        <v>232</v>
      </c>
      <c r="I44" s="1030"/>
      <c r="J44" s="1031"/>
      <c r="K44" s="1031"/>
      <c r="L44" s="1031"/>
      <c r="M44" s="1031"/>
      <c r="N44" s="1031"/>
      <c r="O44" s="1038"/>
      <c r="P44" s="1029"/>
      <c r="Q44" s="1029"/>
    </row>
    <row r="45" spans="1:17">
      <c r="A45" s="1029"/>
      <c r="B45" s="1029"/>
      <c r="C45" s="2182" t="s">
        <v>275</v>
      </c>
      <c r="D45" s="2183"/>
      <c r="E45" s="465" t="s">
        <v>226</v>
      </c>
      <c r="F45" s="508">
        <v>90</v>
      </c>
      <c r="G45" s="508">
        <v>400</v>
      </c>
      <c r="H45" s="465" t="s">
        <v>232</v>
      </c>
      <c r="I45" s="1030"/>
      <c r="J45" s="1031"/>
      <c r="K45" s="1031"/>
      <c r="L45" s="1031"/>
      <c r="M45" s="1031"/>
      <c r="N45" s="1031"/>
      <c r="O45" s="1038"/>
      <c r="P45" s="1029"/>
      <c r="Q45" s="1029"/>
    </row>
    <row r="46" spans="1:17" ht="15.75" thickBot="1">
      <c r="A46" s="1029"/>
      <c r="B46" s="1029"/>
      <c r="C46" s="2192" t="s">
        <v>276</v>
      </c>
      <c r="D46" s="2193"/>
      <c r="E46" s="466" t="s">
        <v>226</v>
      </c>
      <c r="F46" s="509">
        <v>90</v>
      </c>
      <c r="G46" s="509">
        <v>400</v>
      </c>
      <c r="H46" s="466" t="s">
        <v>252</v>
      </c>
      <c r="I46" s="1039"/>
      <c r="J46" s="1040"/>
      <c r="K46" s="1040"/>
      <c r="L46" s="1040"/>
      <c r="M46" s="1040"/>
      <c r="N46" s="1040"/>
      <c r="O46" s="1041"/>
      <c r="P46" s="1029"/>
      <c r="Q46" s="1029"/>
    </row>
    <row r="47" spans="1:17">
      <c r="A47" s="1029"/>
      <c r="B47" s="1029"/>
      <c r="C47" s="2188" t="s">
        <v>277</v>
      </c>
      <c r="D47" s="2189"/>
      <c r="E47" s="467" t="s">
        <v>226</v>
      </c>
      <c r="F47" s="510">
        <v>110</v>
      </c>
      <c r="G47" s="510">
        <v>160</v>
      </c>
      <c r="H47" s="467" t="s">
        <v>227</v>
      </c>
      <c r="I47" s="1035"/>
      <c r="J47" s="1036"/>
      <c r="K47" s="1036"/>
      <c r="L47" s="1054"/>
      <c r="M47" s="1054"/>
      <c r="N47" s="1036"/>
      <c r="O47" s="1037"/>
      <c r="P47" s="1029"/>
      <c r="Q47" s="1029"/>
    </row>
    <row r="48" spans="1:17">
      <c r="A48" s="1029"/>
      <c r="B48" s="1029"/>
      <c r="C48" s="2190" t="s">
        <v>278</v>
      </c>
      <c r="D48" s="2191"/>
      <c r="E48" s="468" t="s">
        <v>226</v>
      </c>
      <c r="F48" s="511">
        <v>110</v>
      </c>
      <c r="G48" s="511">
        <v>200</v>
      </c>
      <c r="H48" s="468" t="s">
        <v>227</v>
      </c>
      <c r="I48" s="1030"/>
      <c r="J48" s="1031"/>
      <c r="K48" s="1031"/>
      <c r="L48" s="1054"/>
      <c r="M48" s="1054"/>
      <c r="N48" s="1031"/>
      <c r="O48" s="1038"/>
      <c r="P48" s="1029"/>
      <c r="Q48" s="1029"/>
    </row>
    <row r="49" spans="1:17">
      <c r="A49" s="1029"/>
      <c r="B49" s="1029"/>
      <c r="C49" s="2190" t="s">
        <v>279</v>
      </c>
      <c r="D49" s="2191"/>
      <c r="E49" s="468" t="s">
        <v>226</v>
      </c>
      <c r="F49" s="511">
        <v>110</v>
      </c>
      <c r="G49" s="511">
        <v>260</v>
      </c>
      <c r="H49" s="468" t="s">
        <v>227</v>
      </c>
      <c r="I49" s="1030"/>
      <c r="J49" s="1031"/>
      <c r="K49" s="1031"/>
      <c r="L49" s="1031"/>
      <c r="M49" s="1031"/>
      <c r="N49" s="1031"/>
      <c r="O49" s="1038"/>
      <c r="P49" s="1029"/>
      <c r="Q49" s="1029"/>
    </row>
    <row r="50" spans="1:17">
      <c r="A50" s="1029"/>
      <c r="B50" s="1029"/>
      <c r="C50" s="2190" t="s">
        <v>280</v>
      </c>
      <c r="D50" s="2191"/>
      <c r="E50" s="468" t="s">
        <v>226</v>
      </c>
      <c r="F50" s="511">
        <v>110</v>
      </c>
      <c r="G50" s="511">
        <v>300</v>
      </c>
      <c r="H50" s="468" t="s">
        <v>227</v>
      </c>
      <c r="I50" s="1030"/>
      <c r="J50" s="1031"/>
      <c r="K50" s="1031"/>
      <c r="L50" s="1031"/>
      <c r="M50" s="1031"/>
      <c r="N50" s="1031"/>
      <c r="O50" s="1038"/>
      <c r="P50" s="1029"/>
      <c r="Q50" s="1029"/>
    </row>
    <row r="51" spans="1:17">
      <c r="A51" s="1029"/>
      <c r="B51" s="1029"/>
      <c r="C51" s="2190" t="s">
        <v>281</v>
      </c>
      <c r="D51" s="2191"/>
      <c r="E51" s="468" t="s">
        <v>226</v>
      </c>
      <c r="F51" s="511">
        <v>110</v>
      </c>
      <c r="G51" s="511">
        <v>300</v>
      </c>
      <c r="H51" s="468" t="s">
        <v>232</v>
      </c>
      <c r="I51" s="1030"/>
      <c r="J51" s="1031"/>
      <c r="K51" s="1031"/>
      <c r="L51" s="1031"/>
      <c r="M51" s="1031"/>
      <c r="N51" s="1031"/>
      <c r="O51" s="1038"/>
      <c r="P51" s="1029"/>
      <c r="Q51" s="1029"/>
    </row>
    <row r="52" spans="1:17">
      <c r="A52" s="1029"/>
      <c r="B52" s="1029"/>
      <c r="C52" s="2190" t="s">
        <v>282</v>
      </c>
      <c r="D52" s="2191"/>
      <c r="E52" s="468" t="s">
        <v>226</v>
      </c>
      <c r="F52" s="511">
        <v>110</v>
      </c>
      <c r="G52" s="511">
        <v>360</v>
      </c>
      <c r="H52" s="468" t="s">
        <v>232</v>
      </c>
      <c r="I52" s="1030"/>
      <c r="J52" s="1031"/>
      <c r="K52" s="1031"/>
      <c r="L52" s="1031"/>
      <c r="M52" s="1031"/>
      <c r="N52" s="1031"/>
      <c r="O52" s="1038"/>
      <c r="P52" s="1029"/>
      <c r="Q52" s="1029"/>
    </row>
    <row r="53" spans="1:17">
      <c r="A53" s="1029"/>
      <c r="B53" s="1029"/>
      <c r="C53" s="2190" t="s">
        <v>283</v>
      </c>
      <c r="D53" s="2191"/>
      <c r="E53" s="468" t="s">
        <v>226</v>
      </c>
      <c r="F53" s="511">
        <v>110</v>
      </c>
      <c r="G53" s="511">
        <v>400</v>
      </c>
      <c r="H53" s="468" t="s">
        <v>232</v>
      </c>
      <c r="I53" s="1030"/>
      <c r="J53" s="1031"/>
      <c r="K53" s="1031"/>
      <c r="L53" s="1031"/>
      <c r="M53" s="1031"/>
      <c r="N53" s="1031"/>
      <c r="O53" s="1038"/>
      <c r="P53" s="1029"/>
      <c r="Q53" s="1029"/>
    </row>
    <row r="54" spans="1:17" ht="15.75" thickBot="1">
      <c r="A54" s="1029"/>
      <c r="B54" s="1029"/>
      <c r="C54" s="2198" t="s">
        <v>284</v>
      </c>
      <c r="D54" s="2199"/>
      <c r="E54" s="469" t="s">
        <v>226</v>
      </c>
      <c r="F54" s="512">
        <v>110</v>
      </c>
      <c r="G54" s="512">
        <v>400</v>
      </c>
      <c r="H54" s="469" t="s">
        <v>252</v>
      </c>
      <c r="I54" s="1039"/>
      <c r="J54" s="1040"/>
      <c r="K54" s="1040"/>
      <c r="L54" s="1040"/>
      <c r="M54" s="1040"/>
      <c r="N54" s="1040"/>
      <c r="O54" s="1041"/>
      <c r="P54" s="1029"/>
      <c r="Q54" s="1029"/>
    </row>
    <row r="55" spans="1:17">
      <c r="A55" s="1029"/>
      <c r="B55" s="1029"/>
      <c r="C55" s="2201" t="s">
        <v>416</v>
      </c>
      <c r="D55" s="2201"/>
      <c r="E55" s="488" t="s">
        <v>226</v>
      </c>
      <c r="F55" s="530">
        <v>140</v>
      </c>
      <c r="G55" s="530">
        <v>160</v>
      </c>
      <c r="H55" s="488" t="s">
        <v>286</v>
      </c>
      <c r="I55" s="1035"/>
      <c r="J55" s="1036"/>
      <c r="K55" s="1036"/>
      <c r="L55" s="1054"/>
      <c r="M55" s="1054"/>
      <c r="N55" s="1036"/>
      <c r="O55" s="1037"/>
      <c r="P55" s="1029"/>
      <c r="Q55" s="1029"/>
    </row>
    <row r="56" spans="1:17">
      <c r="A56" s="1029"/>
      <c r="B56" s="1029"/>
      <c r="C56" s="2202" t="s">
        <v>417</v>
      </c>
      <c r="D56" s="2202"/>
      <c r="E56" s="489" t="s">
        <v>226</v>
      </c>
      <c r="F56" s="531">
        <v>140</v>
      </c>
      <c r="G56" s="531">
        <v>200</v>
      </c>
      <c r="H56" s="489" t="s">
        <v>286</v>
      </c>
      <c r="I56" s="1030"/>
      <c r="J56" s="1031"/>
      <c r="K56" s="1031"/>
      <c r="L56" s="1054"/>
      <c r="M56" s="1054"/>
      <c r="N56" s="1031"/>
      <c r="O56" s="1038"/>
      <c r="P56" s="1029"/>
      <c r="Q56" s="1029"/>
    </row>
    <row r="57" spans="1:17">
      <c r="A57" s="1029"/>
      <c r="B57" s="1029"/>
      <c r="C57" s="2202" t="s">
        <v>418</v>
      </c>
      <c r="D57" s="2202"/>
      <c r="E57" s="489" t="s">
        <v>226</v>
      </c>
      <c r="F57" s="531">
        <v>140</v>
      </c>
      <c r="G57" s="531">
        <v>260</v>
      </c>
      <c r="H57" s="489" t="s">
        <v>286</v>
      </c>
      <c r="I57" s="1030"/>
      <c r="J57" s="1031"/>
      <c r="K57" s="1031"/>
      <c r="L57" s="1031"/>
      <c r="M57" s="1031"/>
      <c r="N57" s="1031"/>
      <c r="O57" s="1038"/>
      <c r="P57" s="1029"/>
      <c r="Q57" s="1029"/>
    </row>
    <row r="58" spans="1:17">
      <c r="A58" s="1029"/>
      <c r="B58" s="1029"/>
      <c r="C58" s="2202" t="s">
        <v>419</v>
      </c>
      <c r="D58" s="2202"/>
      <c r="E58" s="489" t="s">
        <v>226</v>
      </c>
      <c r="F58" s="531">
        <v>140</v>
      </c>
      <c r="G58" s="531">
        <v>300</v>
      </c>
      <c r="H58" s="489" t="s">
        <v>290</v>
      </c>
      <c r="I58" s="1030"/>
      <c r="J58" s="1031"/>
      <c r="K58" s="1031"/>
      <c r="L58" s="1031"/>
      <c r="M58" s="1031"/>
      <c r="N58" s="1031"/>
      <c r="O58" s="1038"/>
      <c r="P58" s="1029"/>
      <c r="Q58" s="1029"/>
    </row>
    <row r="59" spans="1:17">
      <c r="A59" s="1029"/>
      <c r="B59" s="1029"/>
      <c r="C59" s="2202" t="s">
        <v>420</v>
      </c>
      <c r="D59" s="2202"/>
      <c r="E59" s="489" t="s">
        <v>226</v>
      </c>
      <c r="F59" s="531">
        <v>140</v>
      </c>
      <c r="G59" s="531">
        <v>300</v>
      </c>
      <c r="H59" s="489" t="s">
        <v>292</v>
      </c>
      <c r="I59" s="1030"/>
      <c r="J59" s="1031"/>
      <c r="K59" s="1031"/>
      <c r="L59" s="1031"/>
      <c r="M59" s="1031"/>
      <c r="N59" s="1031"/>
      <c r="O59" s="1038"/>
      <c r="P59" s="1029"/>
      <c r="Q59" s="1029"/>
    </row>
    <row r="60" spans="1:17">
      <c r="A60" s="1029"/>
      <c r="B60" s="1029"/>
      <c r="C60" s="2202" t="s">
        <v>421</v>
      </c>
      <c r="D60" s="2202"/>
      <c r="E60" s="489" t="s">
        <v>226</v>
      </c>
      <c r="F60" s="531">
        <v>140</v>
      </c>
      <c r="G60" s="531">
        <v>360</v>
      </c>
      <c r="H60" s="489" t="s">
        <v>290</v>
      </c>
      <c r="I60" s="1030"/>
      <c r="J60" s="1031"/>
      <c r="K60" s="1031"/>
      <c r="L60" s="1031"/>
      <c r="M60" s="1031"/>
      <c r="N60" s="1031"/>
      <c r="O60" s="1038"/>
      <c r="P60" s="1029"/>
      <c r="Q60" s="1029"/>
    </row>
    <row r="61" spans="1:17">
      <c r="A61" s="1029"/>
      <c r="B61" s="1029"/>
      <c r="C61" s="2202" t="s">
        <v>422</v>
      </c>
      <c r="D61" s="2202"/>
      <c r="E61" s="489" t="s">
        <v>226</v>
      </c>
      <c r="F61" s="531">
        <v>140</v>
      </c>
      <c r="G61" s="531">
        <v>360</v>
      </c>
      <c r="H61" s="489" t="s">
        <v>292</v>
      </c>
      <c r="I61" s="1030"/>
      <c r="J61" s="1031"/>
      <c r="K61" s="1031"/>
      <c r="L61" s="1031"/>
      <c r="M61" s="1031"/>
      <c r="N61" s="1031"/>
      <c r="O61" s="1038"/>
      <c r="P61" s="1029"/>
      <c r="Q61" s="1029"/>
    </row>
    <row r="62" spans="1:17">
      <c r="A62" s="1029"/>
      <c r="B62" s="1029"/>
      <c r="C62" s="2202" t="s">
        <v>423</v>
      </c>
      <c r="D62" s="2202"/>
      <c r="E62" s="489" t="s">
        <v>226</v>
      </c>
      <c r="F62" s="531">
        <v>140</v>
      </c>
      <c r="G62" s="531">
        <v>400</v>
      </c>
      <c r="H62" s="489" t="s">
        <v>290</v>
      </c>
      <c r="I62" s="1030"/>
      <c r="J62" s="1031"/>
      <c r="K62" s="1031"/>
      <c r="L62" s="1031"/>
      <c r="M62" s="1031"/>
      <c r="N62" s="1031"/>
      <c r="O62" s="1038"/>
      <c r="P62" s="1029"/>
      <c r="Q62" s="1029"/>
    </row>
    <row r="63" spans="1:17" ht="15.75" thickBot="1">
      <c r="A63" s="1029"/>
      <c r="B63" s="1029"/>
      <c r="C63" s="2203" t="s">
        <v>424</v>
      </c>
      <c r="D63" s="2203"/>
      <c r="E63" s="490" t="s">
        <v>226</v>
      </c>
      <c r="F63" s="532">
        <v>140</v>
      </c>
      <c r="G63" s="532">
        <v>400</v>
      </c>
      <c r="H63" s="490" t="s">
        <v>292</v>
      </c>
      <c r="I63" s="1039"/>
      <c r="J63" s="1040"/>
      <c r="K63" s="1040"/>
      <c r="L63" s="1040"/>
      <c r="M63" s="1040"/>
      <c r="N63" s="1040"/>
      <c r="O63" s="1041"/>
      <c r="P63" s="1029"/>
      <c r="Q63" s="1029"/>
    </row>
    <row r="64" spans="1:17">
      <c r="A64" s="1029"/>
      <c r="B64" s="1029"/>
      <c r="C64" s="2200" t="s">
        <v>285</v>
      </c>
      <c r="D64" s="2200"/>
      <c r="E64" s="470" t="s">
        <v>226</v>
      </c>
      <c r="F64" s="513">
        <v>150</v>
      </c>
      <c r="G64" s="513">
        <v>160</v>
      </c>
      <c r="H64" s="470" t="s">
        <v>286</v>
      </c>
      <c r="I64" s="1035"/>
      <c r="J64" s="1036"/>
      <c r="K64" s="1036"/>
      <c r="L64" s="1036"/>
      <c r="M64" s="1036"/>
      <c r="N64" s="1036"/>
      <c r="O64" s="1037"/>
      <c r="P64" s="1029"/>
      <c r="Q64" s="1029"/>
    </row>
    <row r="65" spans="1:17">
      <c r="A65" s="1029"/>
      <c r="B65" s="1029"/>
      <c r="C65" s="2194" t="s">
        <v>287</v>
      </c>
      <c r="D65" s="2194"/>
      <c r="E65" s="471" t="s">
        <v>226</v>
      </c>
      <c r="F65" s="514">
        <v>150</v>
      </c>
      <c r="G65" s="514">
        <v>200</v>
      </c>
      <c r="H65" s="471" t="s">
        <v>286</v>
      </c>
      <c r="I65" s="1030"/>
      <c r="J65" s="1031"/>
      <c r="K65" s="1031"/>
      <c r="L65" s="1031"/>
      <c r="M65" s="1031"/>
      <c r="N65" s="1031"/>
      <c r="O65" s="1038"/>
      <c r="P65" s="1029"/>
      <c r="Q65" s="1029"/>
    </row>
    <row r="66" spans="1:17">
      <c r="A66" s="1029"/>
      <c r="B66" s="1029"/>
      <c r="C66" s="2194" t="s">
        <v>288</v>
      </c>
      <c r="D66" s="2194"/>
      <c r="E66" s="471" t="s">
        <v>226</v>
      </c>
      <c r="F66" s="514">
        <v>150</v>
      </c>
      <c r="G66" s="514">
        <v>260</v>
      </c>
      <c r="H66" s="471" t="s">
        <v>286</v>
      </c>
      <c r="I66" s="1030"/>
      <c r="J66" s="1031"/>
      <c r="K66" s="1031"/>
      <c r="L66" s="1031"/>
      <c r="M66" s="1031"/>
      <c r="N66" s="1031"/>
      <c r="O66" s="1038"/>
      <c r="P66" s="1029"/>
      <c r="Q66" s="1029"/>
    </row>
    <row r="67" spans="1:17">
      <c r="A67" s="1029"/>
      <c r="B67" s="1029"/>
      <c r="C67" s="2194" t="s">
        <v>289</v>
      </c>
      <c r="D67" s="2194"/>
      <c r="E67" s="471" t="s">
        <v>226</v>
      </c>
      <c r="F67" s="514">
        <v>150</v>
      </c>
      <c r="G67" s="514">
        <v>300</v>
      </c>
      <c r="H67" s="471" t="s">
        <v>290</v>
      </c>
      <c r="I67" s="1030"/>
      <c r="J67" s="1031"/>
      <c r="K67" s="1031"/>
      <c r="L67" s="1031"/>
      <c r="M67" s="1031"/>
      <c r="N67" s="1031"/>
      <c r="O67" s="1038"/>
      <c r="P67" s="1029"/>
      <c r="Q67" s="1029"/>
    </row>
    <row r="68" spans="1:17">
      <c r="A68" s="1029"/>
      <c r="B68" s="1029"/>
      <c r="C68" s="2194" t="s">
        <v>291</v>
      </c>
      <c r="D68" s="2194"/>
      <c r="E68" s="471" t="s">
        <v>226</v>
      </c>
      <c r="F68" s="514">
        <v>150</v>
      </c>
      <c r="G68" s="514">
        <v>300</v>
      </c>
      <c r="H68" s="471" t="s">
        <v>292</v>
      </c>
      <c r="I68" s="1030"/>
      <c r="J68" s="1031"/>
      <c r="K68" s="1031"/>
      <c r="L68" s="1031"/>
      <c r="M68" s="1031"/>
      <c r="N68" s="1031"/>
      <c r="O68" s="1038"/>
      <c r="P68" s="1029"/>
      <c r="Q68" s="1029"/>
    </row>
    <row r="69" spans="1:17">
      <c r="A69" s="1029"/>
      <c r="B69" s="1029"/>
      <c r="C69" s="2194" t="s">
        <v>293</v>
      </c>
      <c r="D69" s="2194"/>
      <c r="E69" s="471" t="s">
        <v>226</v>
      </c>
      <c r="F69" s="514">
        <v>150</v>
      </c>
      <c r="G69" s="514">
        <v>360</v>
      </c>
      <c r="H69" s="471" t="s">
        <v>290</v>
      </c>
      <c r="I69" s="1030"/>
      <c r="J69" s="1031"/>
      <c r="K69" s="1031"/>
      <c r="L69" s="1031"/>
      <c r="M69" s="1031"/>
      <c r="N69" s="1031"/>
      <c r="O69" s="1038"/>
      <c r="P69" s="1029"/>
      <c r="Q69" s="1029"/>
    </row>
    <row r="70" spans="1:17">
      <c r="A70" s="1029"/>
      <c r="B70" s="1029"/>
      <c r="C70" s="2194" t="s">
        <v>294</v>
      </c>
      <c r="D70" s="2194"/>
      <c r="E70" s="471" t="s">
        <v>226</v>
      </c>
      <c r="F70" s="514">
        <v>150</v>
      </c>
      <c r="G70" s="514">
        <v>360</v>
      </c>
      <c r="H70" s="471" t="s">
        <v>292</v>
      </c>
      <c r="I70" s="1030"/>
      <c r="J70" s="1031"/>
      <c r="K70" s="1031"/>
      <c r="L70" s="1031"/>
      <c r="M70" s="1031"/>
      <c r="N70" s="1031"/>
      <c r="O70" s="1038"/>
      <c r="P70" s="1029"/>
      <c r="Q70" s="1029"/>
    </row>
    <row r="71" spans="1:17">
      <c r="A71" s="1029"/>
      <c r="B71" s="1029"/>
      <c r="C71" s="2194" t="s">
        <v>295</v>
      </c>
      <c r="D71" s="2194"/>
      <c r="E71" s="471" t="s">
        <v>226</v>
      </c>
      <c r="F71" s="514">
        <v>150</v>
      </c>
      <c r="G71" s="514">
        <v>400</v>
      </c>
      <c r="H71" s="471" t="s">
        <v>290</v>
      </c>
      <c r="I71" s="1030"/>
      <c r="J71" s="1031"/>
      <c r="K71" s="1031"/>
      <c r="L71" s="1031"/>
      <c r="M71" s="1031"/>
      <c r="N71" s="1031"/>
      <c r="O71" s="1038"/>
      <c r="P71" s="1029"/>
      <c r="Q71" s="1029"/>
    </row>
    <row r="72" spans="1:17" ht="15.75" thickBot="1">
      <c r="A72" s="1029"/>
      <c r="B72" s="1029"/>
      <c r="C72" s="2195" t="s">
        <v>296</v>
      </c>
      <c r="D72" s="2195"/>
      <c r="E72" s="472" t="s">
        <v>226</v>
      </c>
      <c r="F72" s="1047">
        <v>150</v>
      </c>
      <c r="G72" s="1047">
        <v>400</v>
      </c>
      <c r="H72" s="472" t="s">
        <v>292</v>
      </c>
      <c r="I72" s="1039"/>
      <c r="J72" s="1040"/>
      <c r="K72" s="1040"/>
      <c r="L72" s="1040"/>
      <c r="M72" s="1040"/>
      <c r="N72" s="1040"/>
      <c r="O72" s="1041"/>
      <c r="P72" s="1029"/>
      <c r="Q72" s="1029"/>
    </row>
    <row r="73" spans="1:17">
      <c r="A73" s="1029"/>
      <c r="B73" s="1029"/>
      <c r="C73" s="2204" t="s">
        <v>297</v>
      </c>
      <c r="D73" s="2205"/>
      <c r="E73" s="473" t="s">
        <v>226</v>
      </c>
      <c r="F73" s="515">
        <v>200</v>
      </c>
      <c r="G73" s="515">
        <v>260</v>
      </c>
      <c r="H73" s="473" t="s">
        <v>286</v>
      </c>
      <c r="I73" s="1035"/>
      <c r="J73" s="1036"/>
      <c r="K73" s="1036"/>
      <c r="L73" s="1036"/>
      <c r="M73" s="1036"/>
      <c r="N73" s="1036"/>
      <c r="O73" s="1037"/>
      <c r="P73" s="1029"/>
      <c r="Q73" s="1029"/>
    </row>
    <row r="74" spans="1:17">
      <c r="A74" s="1029"/>
      <c r="B74" s="1029"/>
      <c r="C74" s="2196" t="s">
        <v>298</v>
      </c>
      <c r="D74" s="2197"/>
      <c r="E74" s="474" t="s">
        <v>226</v>
      </c>
      <c r="F74" s="516">
        <v>200</v>
      </c>
      <c r="G74" s="516">
        <v>300</v>
      </c>
      <c r="H74" s="474" t="s">
        <v>286</v>
      </c>
      <c r="I74" s="1030"/>
      <c r="J74" s="1031"/>
      <c r="K74" s="1031"/>
      <c r="L74" s="1031"/>
      <c r="M74" s="1031"/>
      <c r="N74" s="1031"/>
      <c r="O74" s="1038"/>
      <c r="P74" s="1029"/>
      <c r="Q74" s="1029"/>
    </row>
    <row r="75" spans="1:17" ht="15.75" thickBot="1">
      <c r="A75" s="1029"/>
      <c r="B75" s="1029"/>
      <c r="C75" s="2251" t="s">
        <v>299</v>
      </c>
      <c r="D75" s="2252"/>
      <c r="E75" s="475" t="s">
        <v>226</v>
      </c>
      <c r="F75" s="517">
        <v>200</v>
      </c>
      <c r="G75" s="517">
        <v>360</v>
      </c>
      <c r="H75" s="475" t="s">
        <v>292</v>
      </c>
      <c r="I75" s="1039"/>
      <c r="J75" s="1040"/>
      <c r="K75" s="1040"/>
      <c r="L75" s="1040"/>
      <c r="M75" s="1040"/>
      <c r="N75" s="1040"/>
      <c r="O75" s="1041"/>
      <c r="P75" s="1029"/>
      <c r="Q75" s="1029"/>
    </row>
    <row r="76" spans="1:17">
      <c r="A76" s="1029"/>
      <c r="B76" s="1029"/>
      <c r="C76" s="2253" t="s">
        <v>300</v>
      </c>
      <c r="D76" s="2254"/>
      <c r="E76" s="1048" t="s">
        <v>226</v>
      </c>
      <c r="F76" s="1049">
        <v>300</v>
      </c>
      <c r="G76" s="1049">
        <v>260</v>
      </c>
      <c r="H76" s="1048" t="s">
        <v>286</v>
      </c>
      <c r="I76" s="1035"/>
      <c r="J76" s="1036"/>
      <c r="K76" s="1036"/>
      <c r="L76" s="1036"/>
      <c r="M76" s="1036"/>
      <c r="N76" s="1036"/>
      <c r="O76" s="1037"/>
      <c r="P76" s="1029"/>
      <c r="Q76" s="1029"/>
    </row>
    <row r="77" spans="1:17">
      <c r="A77" s="1029"/>
      <c r="B77" s="1029"/>
      <c r="C77" s="2255" t="s">
        <v>301</v>
      </c>
      <c r="D77" s="2256"/>
      <c r="E77" s="477" t="s">
        <v>226</v>
      </c>
      <c r="F77" s="519">
        <v>300</v>
      </c>
      <c r="G77" s="519">
        <v>300</v>
      </c>
      <c r="H77" s="477" t="s">
        <v>286</v>
      </c>
      <c r="I77" s="1030"/>
      <c r="J77" s="1031"/>
      <c r="K77" s="1031"/>
      <c r="L77" s="1031"/>
      <c r="M77" s="1031"/>
      <c r="N77" s="1031"/>
      <c r="O77" s="1038"/>
      <c r="P77" s="1029"/>
      <c r="Q77" s="1029"/>
    </row>
    <row r="78" spans="1:17" ht="15.75" thickBot="1">
      <c r="A78" s="1029"/>
      <c r="B78" s="1029"/>
      <c r="C78" s="2257" t="s">
        <v>302</v>
      </c>
      <c r="D78" s="2258"/>
      <c r="E78" s="1050" t="s">
        <v>226</v>
      </c>
      <c r="F78" s="1051">
        <v>300</v>
      </c>
      <c r="G78" s="1051">
        <v>360</v>
      </c>
      <c r="H78" s="1050" t="s">
        <v>292</v>
      </c>
      <c r="I78" s="1039"/>
      <c r="J78" s="1040"/>
      <c r="K78" s="1040"/>
      <c r="L78" s="1040"/>
      <c r="M78" s="1040"/>
      <c r="N78" s="1040"/>
      <c r="O78" s="1041"/>
      <c r="P78" s="1029"/>
      <c r="Q78" s="1029"/>
    </row>
    <row r="79" spans="1:17">
      <c r="A79" s="1029"/>
      <c r="B79" s="1029"/>
      <c r="C79" s="2259" t="s">
        <v>303</v>
      </c>
      <c r="D79" s="2260"/>
      <c r="E79" s="479" t="s">
        <v>226</v>
      </c>
      <c r="F79" s="521">
        <v>400</v>
      </c>
      <c r="G79" s="521">
        <v>260</v>
      </c>
      <c r="H79" s="479" t="s">
        <v>286</v>
      </c>
      <c r="I79" s="1035"/>
      <c r="J79" s="1036"/>
      <c r="K79" s="1036"/>
      <c r="L79" s="1036"/>
      <c r="M79" s="1036"/>
      <c r="N79" s="1036"/>
      <c r="O79" s="1037"/>
      <c r="P79" s="1029"/>
      <c r="Q79" s="1029"/>
    </row>
    <row r="80" spans="1:17">
      <c r="A80" s="1029"/>
      <c r="B80" s="1029"/>
      <c r="C80" s="2216" t="s">
        <v>304</v>
      </c>
      <c r="D80" s="2217"/>
      <c r="E80" s="480" t="s">
        <v>226</v>
      </c>
      <c r="F80" s="522">
        <v>400</v>
      </c>
      <c r="G80" s="522">
        <v>300</v>
      </c>
      <c r="H80" s="480" t="s">
        <v>286</v>
      </c>
      <c r="I80" s="1030"/>
      <c r="J80" s="1031"/>
      <c r="K80" s="1031"/>
      <c r="L80" s="1031"/>
      <c r="M80" s="1031"/>
      <c r="N80" s="1031"/>
      <c r="O80" s="1038"/>
      <c r="P80" s="1029"/>
      <c r="Q80" s="1029"/>
    </row>
    <row r="81" spans="1:22" ht="15.75" thickBot="1">
      <c r="A81" s="1029"/>
      <c r="B81" s="1029"/>
      <c r="C81" s="2218" t="s">
        <v>305</v>
      </c>
      <c r="D81" s="2219"/>
      <c r="E81" s="481" t="s">
        <v>226</v>
      </c>
      <c r="F81" s="523">
        <v>400</v>
      </c>
      <c r="G81" s="523">
        <v>360</v>
      </c>
      <c r="H81" s="481" t="s">
        <v>292</v>
      </c>
      <c r="I81" s="1039"/>
      <c r="J81" s="1040"/>
      <c r="K81" s="1040"/>
      <c r="L81" s="1040"/>
      <c r="M81" s="1040"/>
      <c r="N81" s="1040"/>
      <c r="O81" s="1041"/>
      <c r="P81" s="1029"/>
      <c r="Q81" s="1029"/>
    </row>
    <row r="82" spans="1:22">
      <c r="A82" s="1029"/>
      <c r="B82" s="1029"/>
      <c r="C82" s="2220" t="s">
        <v>306</v>
      </c>
      <c r="D82" s="2221"/>
      <c r="E82" s="482" t="s">
        <v>226</v>
      </c>
      <c r="F82" s="524">
        <v>500</v>
      </c>
      <c r="G82" s="524">
        <v>260</v>
      </c>
      <c r="H82" s="482" t="s">
        <v>286</v>
      </c>
      <c r="I82" s="1035"/>
      <c r="J82" s="1036"/>
      <c r="K82" s="1036"/>
      <c r="L82" s="1036"/>
      <c r="M82" s="1036"/>
      <c r="N82" s="1036"/>
      <c r="O82" s="1037"/>
      <c r="P82" s="1029"/>
      <c r="Q82" s="1029"/>
    </row>
    <row r="83" spans="1:22">
      <c r="A83" s="1029"/>
      <c r="B83" s="1029"/>
      <c r="C83" s="2222" t="s">
        <v>307</v>
      </c>
      <c r="D83" s="2223"/>
      <c r="E83" s="483" t="s">
        <v>226</v>
      </c>
      <c r="F83" s="525">
        <v>500</v>
      </c>
      <c r="G83" s="525">
        <v>300</v>
      </c>
      <c r="H83" s="483" t="s">
        <v>286</v>
      </c>
      <c r="I83" s="1030"/>
      <c r="J83" s="1031"/>
      <c r="K83" s="1031"/>
      <c r="L83" s="1031"/>
      <c r="M83" s="1031"/>
      <c r="N83" s="1031"/>
      <c r="O83" s="1038"/>
      <c r="P83" s="1029"/>
      <c r="Q83" s="1029"/>
    </row>
    <row r="84" spans="1:22" ht="15.75" thickBot="1">
      <c r="A84" s="1029"/>
      <c r="B84" s="1029"/>
      <c r="C84" s="2224" t="s">
        <v>308</v>
      </c>
      <c r="D84" s="2225"/>
      <c r="E84" s="484" t="s">
        <v>226</v>
      </c>
      <c r="F84" s="526">
        <v>500</v>
      </c>
      <c r="G84" s="526">
        <v>360</v>
      </c>
      <c r="H84" s="484" t="s">
        <v>292</v>
      </c>
      <c r="I84" s="1039"/>
      <c r="J84" s="1040"/>
      <c r="K84" s="1040"/>
      <c r="L84" s="1040"/>
      <c r="M84" s="1040"/>
      <c r="N84" s="1040"/>
      <c r="O84" s="1041"/>
      <c r="P84" s="1029"/>
      <c r="Q84" s="1029"/>
    </row>
    <row r="85" spans="1:22">
      <c r="A85" s="1029"/>
      <c r="B85" s="1029"/>
      <c r="C85" s="2226" t="s">
        <v>309</v>
      </c>
      <c r="D85" s="2227"/>
      <c r="E85" s="485" t="s">
        <v>226</v>
      </c>
      <c r="F85" s="527">
        <v>600</v>
      </c>
      <c r="G85" s="527">
        <v>260</v>
      </c>
      <c r="H85" s="485" t="s">
        <v>286</v>
      </c>
      <c r="I85" s="1035"/>
      <c r="J85" s="1036"/>
      <c r="K85" s="1036"/>
      <c r="L85" s="1036"/>
      <c r="M85" s="1036"/>
      <c r="N85" s="1036"/>
      <c r="O85" s="1037"/>
      <c r="P85" s="1029"/>
      <c r="Q85" s="1029"/>
    </row>
    <row r="86" spans="1:22">
      <c r="A86" s="1029"/>
      <c r="B86" s="1029"/>
      <c r="C86" s="2245" t="s">
        <v>310</v>
      </c>
      <c r="D86" s="2246"/>
      <c r="E86" s="486" t="s">
        <v>226</v>
      </c>
      <c r="F86" s="528">
        <v>600</v>
      </c>
      <c r="G86" s="528">
        <v>300</v>
      </c>
      <c r="H86" s="486" t="s">
        <v>286</v>
      </c>
      <c r="I86" s="1030"/>
      <c r="J86" s="1031"/>
      <c r="K86" s="1031"/>
      <c r="L86" s="1031"/>
      <c r="M86" s="1031"/>
      <c r="N86" s="1031"/>
      <c r="O86" s="1038"/>
      <c r="P86" s="1029"/>
      <c r="Q86" s="1029"/>
    </row>
    <row r="87" spans="1:22" ht="15.75" thickBot="1">
      <c r="A87" s="1029"/>
      <c r="B87" s="1029"/>
      <c r="C87" s="2247" t="s">
        <v>311</v>
      </c>
      <c r="D87" s="2248"/>
      <c r="E87" s="487" t="s">
        <v>226</v>
      </c>
      <c r="F87" s="529">
        <v>600</v>
      </c>
      <c r="G87" s="529">
        <v>360</v>
      </c>
      <c r="H87" s="487" t="s">
        <v>292</v>
      </c>
      <c r="I87" s="1039"/>
      <c r="J87" s="1040"/>
      <c r="K87" s="1040"/>
      <c r="L87" s="1040"/>
      <c r="M87" s="1040"/>
      <c r="N87" s="1040"/>
      <c r="O87" s="1041" t="s">
        <v>389</v>
      </c>
      <c r="P87" s="1029"/>
      <c r="Q87" s="1029"/>
    </row>
    <row r="88" spans="1:22">
      <c r="A88" s="1029"/>
      <c r="B88" s="1029"/>
      <c r="C88" s="1029"/>
      <c r="D88" s="1029"/>
      <c r="E88" s="1029"/>
      <c r="F88" s="1029"/>
      <c r="G88" s="1029"/>
      <c r="H88" s="1029"/>
      <c r="I88" s="1029"/>
      <c r="J88" s="1029"/>
      <c r="K88" s="1029"/>
      <c r="L88" s="1029"/>
      <c r="M88" s="1029"/>
      <c r="N88" s="1029"/>
      <c r="O88" s="1029"/>
      <c r="P88" s="1029"/>
      <c r="Q88" s="1029"/>
      <c r="V88" s="1085" t="s">
        <v>320</v>
      </c>
    </row>
    <row r="89" spans="1:22">
      <c r="A89" s="1029"/>
      <c r="B89" s="1029"/>
      <c r="C89" s="1029"/>
      <c r="D89" s="1029"/>
      <c r="E89" s="1029"/>
      <c r="F89" s="1029"/>
      <c r="G89" s="1029"/>
      <c r="H89" s="1029"/>
      <c r="I89" s="1029"/>
      <c r="J89" s="1029"/>
      <c r="K89" s="1029"/>
      <c r="L89" s="1029"/>
      <c r="M89" s="1029"/>
      <c r="N89" s="1029"/>
      <c r="O89" s="1029"/>
      <c r="P89" s="1029"/>
      <c r="Q89" s="1029"/>
    </row>
    <row r="90" spans="1:22">
      <c r="A90" s="1029"/>
      <c r="B90" s="1029"/>
      <c r="C90" s="1029"/>
      <c r="D90" s="1029"/>
      <c r="E90" s="1029"/>
      <c r="F90" s="1029"/>
      <c r="G90" s="1029"/>
      <c r="H90" s="1029"/>
      <c r="I90" s="1029"/>
      <c r="J90" s="1029"/>
      <c r="K90" s="1029"/>
      <c r="L90" s="1029"/>
      <c r="M90" s="1029"/>
      <c r="N90" s="1029"/>
      <c r="O90" s="1029"/>
      <c r="P90" s="1029"/>
      <c r="Q90" s="1029"/>
    </row>
    <row r="91" spans="1:22">
      <c r="A91" s="1029"/>
      <c r="B91" s="1029"/>
      <c r="C91" s="1029"/>
      <c r="D91" s="1029"/>
      <c r="E91" s="1029"/>
      <c r="F91" s="1029"/>
      <c r="G91" s="1029"/>
      <c r="H91" s="1029"/>
      <c r="I91" s="1029"/>
      <c r="J91" s="1029"/>
      <c r="K91" s="1029"/>
      <c r="L91" s="1029"/>
      <c r="M91" s="1029"/>
      <c r="N91" s="1029"/>
      <c r="O91" s="1029"/>
      <c r="P91" s="1029"/>
      <c r="Q91" s="1029"/>
    </row>
    <row r="92" spans="1:22">
      <c r="A92" s="1029"/>
      <c r="B92" s="1029"/>
      <c r="C92" s="1029"/>
      <c r="D92" s="1029"/>
      <c r="E92" s="1029"/>
      <c r="F92" s="1029"/>
      <c r="G92" s="1029"/>
      <c r="H92" s="1029"/>
      <c r="I92" s="1029"/>
      <c r="J92" s="1029"/>
      <c r="K92" s="1029"/>
      <c r="L92" s="1029"/>
      <c r="M92" s="1029"/>
      <c r="N92" s="1029"/>
      <c r="O92" s="1029"/>
      <c r="P92" s="1029"/>
      <c r="Q92" s="1029"/>
    </row>
    <row r="93" spans="1:22">
      <c r="A93" s="1029"/>
      <c r="B93" s="1029"/>
      <c r="C93" s="1029"/>
      <c r="D93" s="1029"/>
      <c r="E93" s="1029"/>
      <c r="F93" s="1029"/>
      <c r="G93" s="1029"/>
      <c r="H93" s="1029"/>
      <c r="I93" s="1029"/>
      <c r="J93" s="1029"/>
      <c r="K93" s="1029"/>
      <c r="L93" s="1029"/>
      <c r="M93" s="1029"/>
      <c r="N93" s="1029"/>
      <c r="O93" s="1029"/>
      <c r="P93" s="1029"/>
      <c r="Q93" s="1029"/>
    </row>
    <row r="94" spans="1:22" s="1085" customFormat="1"/>
    <row r="95" spans="1:22" s="1085" customFormat="1"/>
    <row r="96" spans="1:22" s="1085" customFormat="1"/>
    <row r="97" s="1085" customFormat="1"/>
    <row r="98" s="1085" customFormat="1"/>
    <row r="99" s="1085" customFormat="1"/>
    <row r="100" s="1085" customFormat="1"/>
    <row r="101" s="1085" customFormat="1"/>
    <row r="102" s="1085" customFormat="1"/>
    <row r="103" s="1085" customFormat="1"/>
    <row r="104" s="1085" customFormat="1"/>
    <row r="105" s="1085" customFormat="1"/>
    <row r="106" s="1085" customFormat="1"/>
    <row r="107" s="1085" customFormat="1"/>
    <row r="108" s="1085" customFormat="1"/>
    <row r="109" s="1085" customFormat="1"/>
    <row r="110" s="1085" customFormat="1"/>
    <row r="111" s="1085" customFormat="1"/>
    <row r="112" s="1085" customFormat="1"/>
    <row r="113" s="1085" customFormat="1"/>
    <row r="114" s="1085" customFormat="1"/>
    <row r="115" s="1085" customFormat="1"/>
    <row r="116" s="1085" customFormat="1"/>
    <row r="117" s="1085" customFormat="1"/>
    <row r="118" s="1085" customFormat="1"/>
    <row r="119" s="1085" customFormat="1"/>
    <row r="120" s="1085" customFormat="1"/>
    <row r="121" s="1085" customFormat="1"/>
    <row r="122" s="1085" customFormat="1"/>
    <row r="123" s="1085" customFormat="1"/>
    <row r="124" s="1085" customFormat="1"/>
    <row r="125" s="1085" customFormat="1"/>
    <row r="126" s="1085" customFormat="1"/>
    <row r="127" s="1085" customFormat="1"/>
    <row r="128" s="1085" customFormat="1"/>
    <row r="129" s="1085" customFormat="1"/>
    <row r="130" s="1085" customFormat="1"/>
    <row r="131" s="1085" customFormat="1"/>
    <row r="132" s="1085" customFormat="1"/>
    <row r="133" s="1085" customFormat="1"/>
    <row r="134" s="1085" customFormat="1"/>
    <row r="135" s="1085" customFormat="1"/>
    <row r="136" s="1085" customFormat="1"/>
    <row r="137" s="1085" customFormat="1"/>
    <row r="138" s="1085" customFormat="1"/>
    <row r="139" s="1085" customFormat="1"/>
    <row r="140" s="1085" customFormat="1"/>
    <row r="141" s="1085" customFormat="1"/>
    <row r="142" s="1085" customFormat="1"/>
    <row r="143" s="1085" customFormat="1"/>
    <row r="144" s="1085" customFormat="1"/>
    <row r="145" s="1085" customFormat="1"/>
    <row r="146" s="1085" customFormat="1"/>
    <row r="147" s="1085" customFormat="1"/>
    <row r="148" s="1085" customFormat="1"/>
    <row r="149" s="1085" customFormat="1"/>
    <row r="150" s="1085" customFormat="1"/>
    <row r="151" s="1085" customFormat="1"/>
    <row r="152" s="1085" customFormat="1"/>
    <row r="153" s="1085" customFormat="1"/>
    <row r="154" s="1085" customFormat="1"/>
    <row r="155" s="1085" customFormat="1"/>
    <row r="156" s="1085" customFormat="1"/>
    <row r="157" s="1085" customFormat="1"/>
    <row r="158" s="1085" customFormat="1"/>
    <row r="159" s="1085" customFormat="1"/>
    <row r="160" s="1085" customFormat="1"/>
    <row r="161" s="1085" customFormat="1"/>
    <row r="162" s="1085" customFormat="1"/>
    <row r="163" s="1085" customFormat="1"/>
    <row r="164" s="1085" customFormat="1"/>
    <row r="165" s="1085" customFormat="1"/>
    <row r="166" s="1085" customFormat="1"/>
    <row r="167" s="1085" customFormat="1"/>
    <row r="168" s="1085" customFormat="1"/>
    <row r="169" s="1085" customFormat="1"/>
    <row r="170" s="1085" customFormat="1"/>
    <row r="171" s="1085" customFormat="1"/>
    <row r="172" s="1085" customFormat="1"/>
    <row r="173" s="1085" customFormat="1"/>
    <row r="174" s="1085" customFormat="1"/>
    <row r="175" s="1085" customFormat="1"/>
    <row r="176" s="1085" customFormat="1"/>
    <row r="177" s="1085" customFormat="1"/>
    <row r="178" s="1085" customFormat="1"/>
    <row r="179" s="1085" customFormat="1"/>
    <row r="180" s="1085" customFormat="1"/>
    <row r="181" s="1085" customFormat="1"/>
    <row r="182" s="1085" customFormat="1"/>
  </sheetData>
  <mergeCells count="90">
    <mergeCell ref="C10:D10"/>
    <mergeCell ref="C11:D11"/>
    <mergeCell ref="C15:D15"/>
    <mergeCell ref="C16:D16"/>
    <mergeCell ref="C17:D17"/>
    <mergeCell ref="C19:D19"/>
    <mergeCell ref="C20:D20"/>
    <mergeCell ref="C21:D21"/>
    <mergeCell ref="C22:D22"/>
    <mergeCell ref="C12:D12"/>
    <mergeCell ref="C13:D13"/>
    <mergeCell ref="C14:D14"/>
    <mergeCell ref="C18:D18"/>
    <mergeCell ref="C33:D33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56:D56"/>
    <mergeCell ref="C45:D45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51:D51"/>
    <mergeCell ref="C52:D52"/>
    <mergeCell ref="C53:D53"/>
    <mergeCell ref="C54:D54"/>
    <mergeCell ref="C55:D55"/>
    <mergeCell ref="C46:D46"/>
    <mergeCell ref="C47:D47"/>
    <mergeCell ref="C48:D48"/>
    <mergeCell ref="C49:D49"/>
    <mergeCell ref="C50:D50"/>
    <mergeCell ref="C86:D86"/>
    <mergeCell ref="C87:D87"/>
    <mergeCell ref="I6:I9"/>
    <mergeCell ref="J6:J9"/>
    <mergeCell ref="K6:K9"/>
    <mergeCell ref="C81:D81"/>
    <mergeCell ref="C82:D82"/>
    <mergeCell ref="C83:D83"/>
    <mergeCell ref="C84:D84"/>
    <mergeCell ref="C64:D64"/>
    <mergeCell ref="C65:D65"/>
    <mergeCell ref="C72:D72"/>
    <mergeCell ref="C73:D73"/>
    <mergeCell ref="C74:D74"/>
    <mergeCell ref="C75:D75"/>
    <mergeCell ref="C66:D66"/>
    <mergeCell ref="C85:D85"/>
    <mergeCell ref="C76:D76"/>
    <mergeCell ref="C77:D77"/>
    <mergeCell ref="C78:D78"/>
    <mergeCell ref="C79:D79"/>
    <mergeCell ref="C80:D80"/>
    <mergeCell ref="C71:D71"/>
    <mergeCell ref="L6:L9"/>
    <mergeCell ref="M6:M9"/>
    <mergeCell ref="N6:N9"/>
    <mergeCell ref="C6:H9"/>
    <mergeCell ref="C70:D70"/>
    <mergeCell ref="C67:D67"/>
    <mergeCell ref="C68:D68"/>
    <mergeCell ref="C69:D69"/>
    <mergeCell ref="C58:D58"/>
    <mergeCell ref="C59:D59"/>
    <mergeCell ref="C60:D60"/>
    <mergeCell ref="C61:D61"/>
    <mergeCell ref="C62:D62"/>
    <mergeCell ref="C63:D63"/>
    <mergeCell ref="C57:D57"/>
    <mergeCell ref="N2:O3"/>
    <mergeCell ref="O6:O9"/>
    <mergeCell ref="C2:K5"/>
    <mergeCell ref="L2:M3"/>
    <mergeCell ref="L4:M5"/>
  </mergeCells>
  <hyperlinks>
    <hyperlink ref="C10:D14" location="'55'!R1C1" display="ВК.055.160.ХХХ.2ТГ" xr:uid="{00000000-0004-0000-2900-000000000000}"/>
    <hyperlink ref="C15:D18" location="'65'!R1C1" display="ВК.065.160.ХХХ.2ТГ" xr:uid="{00000000-0004-0000-2900-000001000000}"/>
    <hyperlink ref="C19:D22" location="'70'!R1C1" display="ВК.070.200.ХХХ.2ТГ" xr:uid="{00000000-0004-0000-2900-000002000000}"/>
    <hyperlink ref="C23:D30" location="'75'!R1C1" display="ВК.075.160.ХХХ.2ТГ" xr:uid="{00000000-0004-0000-2900-000003000000}"/>
    <hyperlink ref="C31:D38" location="'80'!R1C1" display="ВК.080.160.ХХХ.2ТГ" xr:uid="{00000000-0004-0000-2900-000004000000}"/>
    <hyperlink ref="C39:D46" location="'90'!R1C1" display="ВК.090.160.ХХХ.2ТГ" xr:uid="{00000000-0004-0000-2900-000005000000}"/>
    <hyperlink ref="C47:D54" location="'110'!R1C1" display="ВК.110.160.ХХХ.2ТГ" xr:uid="{00000000-0004-0000-2900-000006000000}"/>
    <hyperlink ref="C64:D72" location="'150'!R1C1" display="ВК.150.160.ХХХ.4ТК" xr:uid="{00000000-0004-0000-2900-000007000000}"/>
    <hyperlink ref="C73:D75" location="'200'!R1C1" display="ВК.200.260.ХХХ.4ТК" xr:uid="{00000000-0004-0000-2900-000008000000}"/>
    <hyperlink ref="C76:D78" location="'300'!R1C1" display="ВК.300.260.ХХХ.4ТК" xr:uid="{00000000-0004-0000-2900-000009000000}"/>
    <hyperlink ref="C79:D81" location="'400'!R1C1" display="ВК.400.260.ХХХ.4ТК" xr:uid="{00000000-0004-0000-2900-00000A000000}"/>
    <hyperlink ref="C82:D84" location="'500'!R1C1" display="ВК.500.260.ХХХ.4ТК" xr:uid="{00000000-0004-0000-2900-00000B000000}"/>
    <hyperlink ref="C85:D87" location="'600'!R1C1" display="ВК.600.260.ХХХ.4ТК" xr:uid="{00000000-0004-0000-2900-00000C000000}"/>
    <hyperlink ref="C55:D63" location="'140'!A1" display="ВК.140.160.ХХХ.4ТК" xr:uid="{00000000-0004-0000-2900-00000D000000}"/>
  </hyperlinks>
  <pageMargins left="0.7" right="0.7" top="0.75" bottom="0.75" header="0.3" footer="0.3"/>
  <pageSetup paperSize="9" scale="37" fitToHeight="0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X132"/>
  <sheetViews>
    <sheetView zoomScale="55" zoomScaleNormal="55" workbookViewId="0"/>
  </sheetViews>
  <sheetFormatPr defaultColWidth="9.140625" defaultRowHeight="15.75"/>
  <cols>
    <col min="1" max="1" width="36" style="14" customWidth="1"/>
    <col min="2" max="2" width="62.42578125" style="74" customWidth="1"/>
    <col min="3" max="3" width="33.140625" style="74" customWidth="1"/>
    <col min="4" max="4" width="27" style="93" customWidth="1"/>
    <col min="5" max="5" width="50.42578125" style="74" customWidth="1"/>
    <col min="6" max="6" width="11" style="74" bestFit="1" customWidth="1"/>
    <col min="7" max="7" width="24.85546875" style="74" customWidth="1"/>
    <col min="8" max="16384" width="9.140625" style="74"/>
  </cols>
  <sheetData>
    <row r="1" spans="1:21" ht="20.25" customHeight="1" thickBot="1">
      <c r="A1" s="299" t="s">
        <v>9</v>
      </c>
      <c r="D1" s="1056"/>
      <c r="F1" s="1205"/>
      <c r="G1" s="1205"/>
      <c r="H1" s="1205"/>
      <c r="I1" s="1205"/>
      <c r="J1" s="1205"/>
      <c r="K1" s="1205"/>
      <c r="L1" s="1205"/>
      <c r="M1" s="1205"/>
      <c r="N1" s="1205"/>
      <c r="O1" s="1205"/>
      <c r="P1" s="1205"/>
    </row>
    <row r="2" spans="1:21" ht="40.5" customHeight="1" thickBot="1">
      <c r="A2" s="2933" t="s">
        <v>11</v>
      </c>
      <c r="B2" s="2934"/>
      <c r="C2" s="2934"/>
      <c r="D2" s="2935" t="s">
        <v>5796</v>
      </c>
      <c r="E2" s="2923" t="s">
        <v>584</v>
      </c>
      <c r="F2" s="1205"/>
      <c r="G2" s="1205"/>
      <c r="H2" s="1205"/>
      <c r="I2" s="1205"/>
      <c r="J2" s="1205"/>
      <c r="K2" s="1205"/>
      <c r="L2" s="1205"/>
      <c r="M2" s="1205"/>
      <c r="N2" s="1205"/>
      <c r="O2" s="1205"/>
      <c r="P2" s="1205"/>
      <c r="Q2" s="1205"/>
      <c r="R2" s="1205"/>
      <c r="S2" s="1205"/>
      <c r="T2" s="1205"/>
      <c r="U2" s="1205"/>
    </row>
    <row r="3" spans="1:21" ht="40.5" customHeight="1" thickBot="1">
      <c r="A3" s="1206" t="s">
        <v>21</v>
      </c>
      <c r="B3" s="1207" t="s">
        <v>430</v>
      </c>
      <c r="C3" s="1206" t="s">
        <v>431</v>
      </c>
      <c r="D3" s="2936"/>
      <c r="E3" s="2924"/>
      <c r="F3" s="1205"/>
      <c r="G3" s="1205"/>
      <c r="H3" s="1205"/>
      <c r="I3" s="1205"/>
      <c r="J3" s="1205"/>
      <c r="K3" s="1205"/>
      <c r="L3" s="1205"/>
      <c r="M3" s="1205"/>
      <c r="N3" s="1205"/>
      <c r="O3" s="1205"/>
      <c r="P3" s="1205"/>
      <c r="Q3" s="1205"/>
      <c r="R3" s="1205"/>
      <c r="S3" s="1205"/>
      <c r="T3" s="1205"/>
      <c r="U3" s="1205"/>
    </row>
    <row r="4" spans="1:21" ht="37.5" customHeight="1">
      <c r="A4" s="2937" t="s">
        <v>156</v>
      </c>
      <c r="B4" s="2939"/>
      <c r="C4" s="2939"/>
      <c r="D4" s="2941">
        <v>7300</v>
      </c>
      <c r="E4" s="2928" t="s">
        <v>5836</v>
      </c>
      <c r="F4" s="1205"/>
      <c r="G4" s="1205"/>
      <c r="H4" s="1205"/>
      <c r="I4" s="1205"/>
      <c r="J4" s="1205"/>
      <c r="K4" s="1205"/>
      <c r="L4" s="1205"/>
      <c r="M4" s="1205"/>
      <c r="N4" s="1205"/>
      <c r="O4" s="1205"/>
      <c r="P4" s="1205"/>
      <c r="Q4" s="1205"/>
      <c r="R4" s="1205"/>
      <c r="S4" s="1205"/>
      <c r="T4" s="1205"/>
      <c r="U4" s="1205"/>
    </row>
    <row r="5" spans="1:21" ht="37.5" customHeight="1">
      <c r="A5" s="2938"/>
      <c r="B5" s="2940"/>
      <c r="C5" s="2940"/>
      <c r="D5" s="2942"/>
      <c r="E5" s="2929"/>
      <c r="F5" s="1205"/>
      <c r="G5" s="1205"/>
      <c r="H5" s="1205"/>
      <c r="I5" s="1205"/>
      <c r="J5" s="1205"/>
      <c r="K5" s="1205"/>
      <c r="L5" s="1205"/>
      <c r="M5" s="1205"/>
      <c r="N5" s="1205"/>
      <c r="O5" s="1205"/>
      <c r="P5" s="1205"/>
      <c r="Q5" s="1205"/>
      <c r="R5" s="1205"/>
      <c r="S5" s="1205"/>
      <c r="T5" s="1205"/>
      <c r="U5" s="1205"/>
    </row>
    <row r="6" spans="1:21" ht="37.5" customHeight="1">
      <c r="A6" s="2938"/>
      <c r="B6" s="2940"/>
      <c r="C6" s="2940"/>
      <c r="D6" s="2942"/>
      <c r="E6" s="2929"/>
      <c r="F6" s="1205"/>
      <c r="G6" s="1205"/>
      <c r="H6" s="1205"/>
      <c r="I6" s="1205"/>
      <c r="J6" s="1205"/>
      <c r="K6" s="1205"/>
      <c r="L6" s="1205"/>
      <c r="M6" s="1205"/>
      <c r="N6" s="1205"/>
      <c r="O6" s="1205"/>
      <c r="P6" s="1205"/>
      <c r="Q6" s="1205"/>
      <c r="R6" s="1205"/>
      <c r="S6" s="1205"/>
      <c r="T6" s="1205"/>
      <c r="U6" s="1205"/>
    </row>
    <row r="7" spans="1:21" ht="37.5" customHeight="1">
      <c r="A7" s="2938"/>
      <c r="B7" s="2940"/>
      <c r="C7" s="2940"/>
      <c r="D7" s="2942"/>
      <c r="E7" s="2929"/>
      <c r="F7" s="1205"/>
      <c r="G7" s="1205"/>
      <c r="H7" s="1205"/>
      <c r="I7" s="1205"/>
      <c r="J7" s="1205"/>
      <c r="K7" s="1205"/>
      <c r="L7" s="1205"/>
      <c r="M7" s="1205"/>
      <c r="N7" s="1205"/>
      <c r="O7" s="1205"/>
      <c r="P7" s="1205"/>
      <c r="Q7" s="1205"/>
      <c r="R7" s="1205"/>
      <c r="S7" s="1205"/>
      <c r="T7" s="1205"/>
      <c r="U7" s="1205"/>
    </row>
    <row r="8" spans="1:21" ht="37.5" customHeight="1">
      <c r="A8" s="2938"/>
      <c r="B8" s="2940"/>
      <c r="C8" s="2940"/>
      <c r="D8" s="2943"/>
      <c r="E8" s="2929"/>
      <c r="F8" s="1205"/>
      <c r="G8" s="1205"/>
      <c r="H8" s="1205"/>
      <c r="I8" s="1205"/>
      <c r="J8" s="1205"/>
      <c r="K8" s="1205"/>
      <c r="L8" s="1205"/>
      <c r="M8" s="1205"/>
      <c r="N8" s="1205"/>
      <c r="O8" s="1205"/>
      <c r="P8" s="1205"/>
      <c r="Q8" s="1205"/>
      <c r="R8" s="1205"/>
      <c r="S8" s="1205"/>
      <c r="T8" s="1205"/>
      <c r="U8" s="1205"/>
    </row>
    <row r="9" spans="1:21" ht="37.5" customHeight="1">
      <c r="A9" s="2938" t="s">
        <v>181</v>
      </c>
      <c r="B9" s="2940"/>
      <c r="C9" s="2940"/>
      <c r="D9" s="2946">
        <v>7300</v>
      </c>
      <c r="E9" s="2929"/>
      <c r="F9" s="1205"/>
      <c r="G9" s="1205"/>
      <c r="H9" s="1205"/>
      <c r="I9" s="1205"/>
      <c r="J9" s="1205"/>
      <c r="K9" s="1205"/>
      <c r="L9" s="1205"/>
      <c r="M9" s="1205"/>
      <c r="N9" s="1205"/>
      <c r="O9" s="1205"/>
      <c r="P9" s="1205"/>
      <c r="Q9" s="1205"/>
      <c r="R9" s="1205"/>
      <c r="S9" s="1205"/>
      <c r="T9" s="1205"/>
      <c r="U9" s="1205"/>
    </row>
    <row r="10" spans="1:21" ht="37.5" customHeight="1">
      <c r="A10" s="2938"/>
      <c r="B10" s="2940"/>
      <c r="C10" s="2940"/>
      <c r="D10" s="2942"/>
      <c r="E10" s="2929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</row>
    <row r="11" spans="1:21" ht="37.5" customHeight="1">
      <c r="A11" s="2938"/>
      <c r="B11" s="2940"/>
      <c r="C11" s="2940"/>
      <c r="D11" s="2942"/>
      <c r="E11" s="2929"/>
      <c r="F11" s="1205"/>
      <c r="G11" s="1205"/>
      <c r="H11" s="1205"/>
      <c r="I11" s="1205"/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</row>
    <row r="12" spans="1:21" ht="37.5" customHeight="1">
      <c r="A12" s="2938"/>
      <c r="B12" s="2940"/>
      <c r="C12" s="2940"/>
      <c r="D12" s="2942"/>
      <c r="E12" s="2929"/>
      <c r="F12" s="1205"/>
      <c r="G12" s="1205"/>
      <c r="H12" s="1205"/>
      <c r="I12" s="1205"/>
      <c r="J12" s="1205"/>
      <c r="K12" s="1205"/>
      <c r="L12" s="1205"/>
      <c r="M12" s="1205"/>
      <c r="N12" s="1205"/>
      <c r="O12" s="1205"/>
      <c r="P12" s="1205"/>
      <c r="Q12" s="1205"/>
      <c r="R12" s="1205"/>
      <c r="S12" s="1205"/>
      <c r="T12" s="1205"/>
      <c r="U12" s="1205"/>
    </row>
    <row r="13" spans="1:21" ht="37.5" customHeight="1" thickBot="1">
      <c r="A13" s="2944"/>
      <c r="B13" s="2945"/>
      <c r="C13" s="2945"/>
      <c r="D13" s="2947"/>
      <c r="E13" s="2930"/>
      <c r="F13" s="1205"/>
      <c r="G13" s="1205"/>
      <c r="H13" s="1205"/>
      <c r="I13" s="1205"/>
      <c r="J13" s="1205"/>
      <c r="K13" s="1205"/>
      <c r="L13" s="1205"/>
      <c r="M13" s="1205"/>
      <c r="N13" s="1205"/>
      <c r="O13" s="1205"/>
      <c r="P13" s="1205"/>
      <c r="Q13" s="1205"/>
      <c r="R13" s="1205"/>
      <c r="S13" s="1205"/>
      <c r="T13" s="1205"/>
      <c r="U13" s="1205"/>
    </row>
    <row r="14" spans="1:21" ht="37.5" customHeight="1">
      <c r="A14" s="2937" t="s">
        <v>81</v>
      </c>
      <c r="B14" s="2939"/>
      <c r="C14" s="2939"/>
      <c r="D14" s="2941">
        <v>9400</v>
      </c>
      <c r="E14" s="2928" t="s">
        <v>585</v>
      </c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</row>
    <row r="15" spans="1:21" ht="37.5" customHeight="1">
      <c r="A15" s="2938"/>
      <c r="B15" s="2940"/>
      <c r="C15" s="2940"/>
      <c r="D15" s="2942"/>
      <c r="E15" s="2929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</row>
    <row r="16" spans="1:21" ht="37.5" customHeight="1">
      <c r="A16" s="2938"/>
      <c r="B16" s="2940"/>
      <c r="C16" s="2940"/>
      <c r="D16" s="2942"/>
      <c r="E16" s="2929"/>
      <c r="F16" s="1205"/>
      <c r="G16" s="1205"/>
      <c r="H16" s="1205"/>
      <c r="I16" s="1205"/>
      <c r="J16" s="1205"/>
      <c r="K16" s="1205"/>
      <c r="L16" s="1205"/>
      <c r="M16" s="1205"/>
      <c r="N16" s="1205"/>
      <c r="O16" s="1205"/>
      <c r="P16" s="1205"/>
      <c r="Q16" s="1205"/>
      <c r="R16" s="1205"/>
      <c r="S16" s="1205"/>
      <c r="T16" s="1205"/>
      <c r="U16" s="1205"/>
    </row>
    <row r="17" spans="1:21" ht="37.5" customHeight="1">
      <c r="A17" s="2938"/>
      <c r="B17" s="2940"/>
      <c r="C17" s="2940"/>
      <c r="D17" s="2942"/>
      <c r="E17" s="2929"/>
      <c r="F17" s="1205"/>
      <c r="G17" s="1205"/>
      <c r="H17" s="1205"/>
      <c r="I17" s="1205"/>
      <c r="J17" s="1205"/>
      <c r="K17" s="1205"/>
      <c r="L17" s="1205"/>
      <c r="M17" s="1205"/>
      <c r="N17" s="1205"/>
      <c r="O17" s="1205"/>
      <c r="P17" s="1205"/>
      <c r="Q17" s="1205"/>
      <c r="R17" s="1205"/>
      <c r="S17" s="1205"/>
      <c r="T17" s="1205"/>
      <c r="U17" s="1205"/>
    </row>
    <row r="18" spans="1:21" ht="41.25" customHeight="1">
      <c r="A18" s="2938"/>
      <c r="B18" s="2940"/>
      <c r="C18" s="2940"/>
      <c r="D18" s="2943"/>
      <c r="E18" s="2929"/>
      <c r="F18" s="1205"/>
      <c r="G18" s="1205"/>
      <c r="H18" s="1205"/>
      <c r="I18" s="1205"/>
      <c r="J18" s="1205"/>
      <c r="K18" s="1205"/>
      <c r="L18" s="1205"/>
      <c r="M18" s="1205"/>
      <c r="N18" s="1205"/>
      <c r="O18" s="1205"/>
      <c r="P18" s="1205"/>
      <c r="Q18" s="1205"/>
      <c r="R18" s="1205"/>
      <c r="S18" s="1205"/>
      <c r="T18" s="1205"/>
      <c r="U18" s="1205"/>
    </row>
    <row r="19" spans="1:21" ht="37.5" customHeight="1">
      <c r="A19" s="2938" t="s">
        <v>82</v>
      </c>
      <c r="B19" s="2940"/>
      <c r="C19" s="2940"/>
      <c r="D19" s="2946">
        <v>9400</v>
      </c>
      <c r="E19" s="2929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</row>
    <row r="20" spans="1:21" ht="37.5" customHeight="1">
      <c r="A20" s="2938"/>
      <c r="B20" s="2940"/>
      <c r="C20" s="2940"/>
      <c r="D20" s="2942"/>
      <c r="E20" s="2929"/>
      <c r="F20" s="1205"/>
      <c r="G20" s="1205"/>
      <c r="H20" s="1205"/>
      <c r="I20" s="1205"/>
      <c r="J20" s="1205"/>
      <c r="K20" s="1205"/>
      <c r="L20" s="1205"/>
      <c r="M20" s="1205"/>
      <c r="N20" s="1205"/>
      <c r="O20" s="1205"/>
      <c r="P20" s="1205"/>
      <c r="Q20" s="1205"/>
      <c r="R20" s="1205"/>
      <c r="S20" s="1205"/>
      <c r="T20" s="1205"/>
      <c r="U20" s="1205"/>
    </row>
    <row r="21" spans="1:21" ht="37.5" customHeight="1">
      <c r="A21" s="2938"/>
      <c r="B21" s="2940"/>
      <c r="C21" s="2940"/>
      <c r="D21" s="2942"/>
      <c r="E21" s="2929"/>
      <c r="F21" s="1205"/>
      <c r="G21" s="1205"/>
      <c r="H21" s="1205"/>
      <c r="I21" s="1205"/>
      <c r="J21" s="1205"/>
      <c r="K21" s="1205"/>
      <c r="L21" s="1205"/>
      <c r="M21" s="1205"/>
      <c r="N21" s="1205"/>
      <c r="O21" s="1205"/>
      <c r="P21" s="1205"/>
      <c r="Q21" s="1205"/>
      <c r="R21" s="1205"/>
      <c r="S21" s="1205"/>
      <c r="T21" s="1205"/>
      <c r="U21" s="1205"/>
    </row>
    <row r="22" spans="1:21" ht="37.5" customHeight="1">
      <c r="A22" s="2938"/>
      <c r="B22" s="2940"/>
      <c r="C22" s="2940"/>
      <c r="D22" s="2942"/>
      <c r="E22" s="2929"/>
      <c r="F22" s="1205"/>
      <c r="G22" s="1205"/>
      <c r="H22" s="1205"/>
      <c r="I22" s="1205"/>
      <c r="J22" s="1205"/>
      <c r="K22" s="1205"/>
      <c r="L22" s="1205"/>
      <c r="M22" s="1205"/>
      <c r="N22" s="1205"/>
      <c r="O22" s="1205"/>
      <c r="P22" s="1205"/>
      <c r="Q22" s="1205"/>
      <c r="R22" s="1205"/>
      <c r="S22" s="1205"/>
      <c r="T22" s="1205"/>
      <c r="U22" s="1205"/>
    </row>
    <row r="23" spans="1:21" ht="44.25" customHeight="1" thickBot="1">
      <c r="A23" s="2944"/>
      <c r="B23" s="2945"/>
      <c r="C23" s="2945"/>
      <c r="D23" s="2947"/>
      <c r="E23" s="2930"/>
      <c r="F23" s="1205"/>
      <c r="G23" s="1205"/>
      <c r="H23" s="1205"/>
      <c r="I23" s="1205"/>
      <c r="J23" s="1205"/>
      <c r="K23" s="1205"/>
      <c r="L23" s="1205"/>
      <c r="M23" s="1205"/>
      <c r="N23" s="1205"/>
      <c r="O23" s="1205"/>
      <c r="P23" s="1205"/>
      <c r="Q23" s="1205"/>
      <c r="R23" s="1205"/>
      <c r="S23" s="1205"/>
      <c r="T23" s="1205"/>
      <c r="U23" s="1205"/>
    </row>
    <row r="24" spans="1:21" ht="42" customHeight="1">
      <c r="A24" s="2937" t="s">
        <v>154</v>
      </c>
      <c r="B24" s="2948"/>
      <c r="C24" s="2950"/>
      <c r="D24" s="2941">
        <v>11100</v>
      </c>
      <c r="E24" s="2928" t="s">
        <v>585</v>
      </c>
      <c r="F24" s="1205"/>
      <c r="G24" s="1205"/>
      <c r="H24" s="1205"/>
      <c r="I24" s="1205"/>
      <c r="J24" s="1205"/>
      <c r="K24" s="1205"/>
      <c r="L24" s="1205"/>
      <c r="M24" s="1205"/>
      <c r="N24" s="1205"/>
      <c r="O24" s="1205"/>
      <c r="P24" s="1205"/>
      <c r="Q24" s="1205"/>
      <c r="R24" s="1205"/>
      <c r="S24" s="1205"/>
      <c r="T24" s="1205"/>
      <c r="U24" s="1205"/>
    </row>
    <row r="25" spans="1:21" ht="42" customHeight="1">
      <c r="A25" s="2938"/>
      <c r="B25" s="2949"/>
      <c r="C25" s="2951"/>
      <c r="D25" s="2942"/>
      <c r="E25" s="2929"/>
      <c r="F25" s="1205"/>
      <c r="G25" s="1205"/>
      <c r="H25" s="1205"/>
      <c r="I25" s="1205"/>
      <c r="J25" s="1205"/>
      <c r="K25" s="1205"/>
      <c r="L25" s="1205"/>
      <c r="M25" s="1205"/>
      <c r="N25" s="1205"/>
      <c r="O25" s="1205"/>
      <c r="P25" s="1205"/>
      <c r="Q25" s="1205"/>
      <c r="R25" s="1205"/>
      <c r="S25" s="1205"/>
      <c r="T25" s="1205"/>
      <c r="U25" s="1205"/>
    </row>
    <row r="26" spans="1:21" ht="42" customHeight="1">
      <c r="A26" s="2938"/>
      <c r="B26" s="2949"/>
      <c r="C26" s="2951"/>
      <c r="D26" s="2942"/>
      <c r="E26" s="2929"/>
      <c r="F26" s="1205"/>
      <c r="G26" s="1205"/>
      <c r="H26" s="1205"/>
      <c r="I26" s="1205"/>
      <c r="J26" s="1205"/>
      <c r="K26" s="1205"/>
      <c r="L26" s="1205"/>
      <c r="M26" s="1205"/>
      <c r="N26" s="1205"/>
      <c r="O26" s="1205"/>
      <c r="P26" s="1205"/>
      <c r="Q26" s="1205"/>
      <c r="R26" s="1205"/>
      <c r="S26" s="1205"/>
      <c r="T26" s="1205"/>
      <c r="U26" s="1205"/>
    </row>
    <row r="27" spans="1:21" ht="42" customHeight="1">
      <c r="A27" s="2938"/>
      <c r="B27" s="2949"/>
      <c r="C27" s="2951"/>
      <c r="D27" s="2942"/>
      <c r="E27" s="2929"/>
      <c r="F27" s="1205"/>
      <c r="G27" s="1205"/>
      <c r="H27" s="1205"/>
      <c r="I27" s="1205"/>
      <c r="J27" s="1205"/>
      <c r="K27" s="1205"/>
      <c r="L27" s="1205"/>
      <c r="M27" s="1205"/>
      <c r="N27" s="1205"/>
      <c r="O27" s="1205"/>
      <c r="P27" s="1205"/>
      <c r="Q27" s="1205"/>
      <c r="R27" s="1205"/>
      <c r="S27" s="1205"/>
      <c r="T27" s="1205"/>
      <c r="U27" s="1205"/>
    </row>
    <row r="28" spans="1:21" ht="42" customHeight="1">
      <c r="A28" s="2938"/>
      <c r="B28" s="2949"/>
      <c r="C28" s="2951"/>
      <c r="D28" s="2943"/>
      <c r="E28" s="2929"/>
      <c r="F28" s="1205"/>
      <c r="G28" s="1205"/>
      <c r="H28" s="1205"/>
      <c r="I28" s="1205"/>
      <c r="J28" s="1205"/>
      <c r="K28" s="1205"/>
      <c r="L28" s="1205"/>
      <c r="M28" s="1205"/>
      <c r="N28" s="1205"/>
      <c r="O28" s="1205"/>
      <c r="P28" s="1205"/>
      <c r="Q28" s="1205"/>
      <c r="R28" s="1205"/>
      <c r="S28" s="1205"/>
      <c r="T28" s="1205"/>
      <c r="U28" s="1205"/>
    </row>
    <row r="29" spans="1:21" ht="42" customHeight="1">
      <c r="A29" s="2938" t="s">
        <v>155</v>
      </c>
      <c r="B29" s="2949"/>
      <c r="C29" s="2951"/>
      <c r="D29" s="2946">
        <v>11100</v>
      </c>
      <c r="E29" s="2929"/>
      <c r="F29" s="1205"/>
      <c r="G29" s="1205"/>
      <c r="H29" s="1205"/>
      <c r="I29" s="1205"/>
      <c r="J29" s="1205"/>
      <c r="K29" s="1205"/>
      <c r="L29" s="1205"/>
      <c r="M29" s="1205"/>
      <c r="N29" s="1205"/>
      <c r="O29" s="1205"/>
      <c r="P29" s="1205"/>
      <c r="Q29" s="1205"/>
      <c r="R29" s="1205"/>
      <c r="S29" s="1205"/>
      <c r="T29" s="1205"/>
      <c r="U29" s="1205"/>
    </row>
    <row r="30" spans="1:21" ht="42" customHeight="1">
      <c r="A30" s="2938"/>
      <c r="B30" s="2949"/>
      <c r="C30" s="2951"/>
      <c r="D30" s="2942"/>
      <c r="E30" s="2929"/>
      <c r="F30" s="1205"/>
      <c r="G30" s="1205"/>
      <c r="H30" s="1205"/>
      <c r="I30" s="1205"/>
      <c r="J30" s="1205"/>
      <c r="K30" s="1205"/>
      <c r="L30" s="1205"/>
      <c r="M30" s="1205"/>
      <c r="N30" s="1205"/>
      <c r="O30" s="1205"/>
      <c r="P30" s="1205"/>
      <c r="Q30" s="1205"/>
      <c r="R30" s="1205"/>
      <c r="S30" s="1205"/>
      <c r="T30" s="1205"/>
      <c r="U30" s="1205"/>
    </row>
    <row r="31" spans="1:21" ht="42" customHeight="1">
      <c r="A31" s="2938"/>
      <c r="B31" s="2949"/>
      <c r="C31" s="2951"/>
      <c r="D31" s="2942"/>
      <c r="E31" s="2929"/>
      <c r="F31" s="1205"/>
      <c r="G31" s="1205"/>
      <c r="H31" s="1205"/>
      <c r="I31" s="1205"/>
      <c r="J31" s="1205"/>
      <c r="K31" s="1205"/>
      <c r="L31" s="1205"/>
      <c r="M31" s="1205"/>
      <c r="N31" s="1205"/>
      <c r="O31" s="1205"/>
      <c r="P31" s="1205"/>
      <c r="Q31" s="1205"/>
      <c r="R31" s="1205"/>
      <c r="S31" s="1205"/>
      <c r="T31" s="1205"/>
      <c r="U31" s="1205"/>
    </row>
    <row r="32" spans="1:21" ht="42" customHeight="1">
      <c r="A32" s="2938"/>
      <c r="B32" s="2949"/>
      <c r="C32" s="2951"/>
      <c r="D32" s="2942"/>
      <c r="E32" s="2929"/>
      <c r="F32" s="1205"/>
      <c r="G32" s="1205"/>
      <c r="H32" s="1205"/>
      <c r="I32" s="1205"/>
      <c r="J32" s="1205"/>
      <c r="K32" s="1205"/>
      <c r="L32" s="1205"/>
      <c r="M32" s="1205"/>
      <c r="N32" s="1205"/>
      <c r="O32" s="1205"/>
      <c r="P32" s="1205"/>
      <c r="Q32" s="1205"/>
      <c r="R32" s="1205"/>
      <c r="S32" s="1205"/>
      <c r="T32" s="1205"/>
      <c r="U32" s="1205"/>
    </row>
    <row r="33" spans="1:21" ht="42" customHeight="1" thickBot="1">
      <c r="A33" s="2944"/>
      <c r="B33" s="2952"/>
      <c r="C33" s="2953"/>
      <c r="D33" s="2947"/>
      <c r="E33" s="2930"/>
      <c r="F33" s="1205"/>
      <c r="G33" s="1205"/>
      <c r="H33" s="1205"/>
      <c r="I33" s="1205"/>
      <c r="J33" s="1205"/>
      <c r="K33" s="1205"/>
      <c r="L33" s="1205"/>
      <c r="M33" s="1205"/>
      <c r="N33" s="1205"/>
      <c r="O33" s="1205"/>
      <c r="P33" s="1205"/>
      <c r="Q33" s="1205"/>
      <c r="R33" s="1205"/>
      <c r="S33" s="1205"/>
      <c r="T33" s="1205"/>
      <c r="U33" s="1205"/>
    </row>
    <row r="34" spans="1:21" ht="77.25" customHeight="1">
      <c r="A34" s="2954" t="s">
        <v>453</v>
      </c>
      <c r="B34" s="2948"/>
      <c r="C34" s="2950"/>
      <c r="D34" s="2941">
        <v>17500</v>
      </c>
      <c r="E34" s="2928" t="s">
        <v>585</v>
      </c>
      <c r="F34" s="1205"/>
      <c r="G34" s="1205"/>
      <c r="H34" s="1205"/>
      <c r="I34" s="1205"/>
      <c r="J34" s="1205"/>
      <c r="K34" s="1205"/>
      <c r="L34" s="1205"/>
      <c r="M34" s="1205"/>
      <c r="N34" s="1205"/>
      <c r="O34" s="1205"/>
      <c r="P34" s="1205"/>
      <c r="Q34" s="1205"/>
      <c r="R34" s="1205"/>
      <c r="S34" s="1205"/>
      <c r="T34" s="1205"/>
      <c r="U34" s="1205"/>
    </row>
    <row r="35" spans="1:21" ht="77.25" customHeight="1">
      <c r="A35" s="2955"/>
      <c r="B35" s="2949"/>
      <c r="C35" s="2951"/>
      <c r="D35" s="2942"/>
      <c r="E35" s="2929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</row>
    <row r="36" spans="1:21" ht="77.25" customHeight="1">
      <c r="A36" s="2955"/>
      <c r="B36" s="2949"/>
      <c r="C36" s="2951"/>
      <c r="D36" s="2942"/>
      <c r="E36" s="2929"/>
      <c r="F36" s="1205"/>
      <c r="G36" s="1205"/>
      <c r="H36" s="1205"/>
      <c r="I36" s="1205"/>
      <c r="J36" s="1205"/>
      <c r="K36" s="1205"/>
      <c r="L36" s="1205"/>
      <c r="M36" s="1205"/>
      <c r="N36" s="1205"/>
      <c r="O36" s="1205"/>
      <c r="P36" s="1205"/>
      <c r="Q36" s="1205"/>
      <c r="R36" s="1205"/>
      <c r="S36" s="1205"/>
      <c r="T36" s="1205"/>
      <c r="U36" s="1205"/>
    </row>
    <row r="37" spans="1:21" ht="77.25" customHeight="1">
      <c r="A37" s="2955"/>
      <c r="B37" s="2949"/>
      <c r="C37" s="2951"/>
      <c r="D37" s="2942"/>
      <c r="E37" s="2929"/>
      <c r="F37" s="1205"/>
      <c r="G37" s="1205"/>
      <c r="H37" s="1205"/>
      <c r="I37" s="1205"/>
      <c r="J37" s="1205"/>
      <c r="K37" s="1205"/>
      <c r="L37" s="1205"/>
      <c r="M37" s="1205"/>
      <c r="N37" s="1205"/>
      <c r="O37" s="1205"/>
      <c r="P37" s="1205"/>
      <c r="Q37" s="1205"/>
      <c r="R37" s="1205"/>
      <c r="S37" s="1205"/>
      <c r="T37" s="1205"/>
      <c r="U37" s="1205"/>
    </row>
    <row r="38" spans="1:21" ht="77.25" customHeight="1">
      <c r="A38" s="2955"/>
      <c r="B38" s="2949"/>
      <c r="C38" s="2951"/>
      <c r="D38" s="2943"/>
      <c r="E38" s="2929"/>
      <c r="F38" s="1205"/>
      <c r="G38" s="1205"/>
      <c r="H38" s="1205"/>
      <c r="I38" s="1205"/>
      <c r="J38" s="1205"/>
      <c r="K38" s="1205"/>
      <c r="L38" s="1205"/>
      <c r="M38" s="1205"/>
      <c r="N38" s="1205"/>
      <c r="O38" s="1205"/>
      <c r="P38" s="1205"/>
      <c r="Q38" s="1205"/>
      <c r="R38" s="1205"/>
      <c r="S38" s="1205"/>
      <c r="T38" s="1205"/>
      <c r="U38" s="1205"/>
    </row>
    <row r="39" spans="1:21" ht="82.5" customHeight="1">
      <c r="A39" s="2955" t="s">
        <v>454</v>
      </c>
      <c r="B39" s="2949"/>
      <c r="C39" s="2951"/>
      <c r="D39" s="2946">
        <v>17500</v>
      </c>
      <c r="E39" s="2929"/>
      <c r="F39" s="1205"/>
      <c r="G39" s="1205"/>
      <c r="H39" s="1205"/>
      <c r="I39" s="1205"/>
      <c r="J39" s="1205"/>
      <c r="K39" s="1205"/>
      <c r="L39" s="1205"/>
      <c r="M39" s="1205"/>
      <c r="N39" s="1205"/>
      <c r="O39" s="1205"/>
      <c r="P39" s="1205"/>
      <c r="Q39" s="1205"/>
      <c r="R39" s="1205"/>
      <c r="S39" s="1205"/>
      <c r="T39" s="1205"/>
      <c r="U39" s="1205"/>
    </row>
    <row r="40" spans="1:21" ht="82.5" customHeight="1">
      <c r="A40" s="2955"/>
      <c r="B40" s="2949"/>
      <c r="C40" s="2951"/>
      <c r="D40" s="2942"/>
      <c r="E40" s="2929"/>
      <c r="F40" s="1205"/>
      <c r="G40" s="1205"/>
      <c r="H40" s="1205"/>
      <c r="I40" s="1205"/>
      <c r="J40" s="1205"/>
      <c r="K40" s="1205"/>
      <c r="L40" s="1205"/>
      <c r="M40" s="1205"/>
      <c r="N40" s="1205"/>
      <c r="O40" s="1205"/>
      <c r="P40" s="1205"/>
      <c r="Q40" s="1205"/>
      <c r="R40" s="1205"/>
      <c r="S40" s="1205"/>
      <c r="T40" s="1205"/>
      <c r="U40" s="1205"/>
    </row>
    <row r="41" spans="1:21" ht="82.5" customHeight="1">
      <c r="A41" s="2955"/>
      <c r="B41" s="2949"/>
      <c r="C41" s="2951"/>
      <c r="D41" s="2942"/>
      <c r="E41" s="2929"/>
      <c r="F41" s="1205"/>
      <c r="G41" s="1205"/>
      <c r="H41" s="1205"/>
      <c r="I41" s="1205"/>
      <c r="J41" s="1205"/>
      <c r="K41" s="1205"/>
      <c r="L41" s="1205"/>
      <c r="M41" s="1205"/>
      <c r="N41" s="1205"/>
      <c r="O41" s="1205"/>
      <c r="P41" s="1205"/>
      <c r="Q41" s="1205"/>
      <c r="R41" s="1205"/>
      <c r="S41" s="1205"/>
      <c r="T41" s="1205"/>
      <c r="U41" s="1205"/>
    </row>
    <row r="42" spans="1:21" ht="82.5" customHeight="1">
      <c r="A42" s="2955"/>
      <c r="B42" s="2949"/>
      <c r="C42" s="2951"/>
      <c r="D42" s="2942"/>
      <c r="E42" s="2929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</row>
    <row r="43" spans="1:21" ht="82.5" customHeight="1" thickBot="1">
      <c r="A43" s="2956"/>
      <c r="B43" s="2952"/>
      <c r="C43" s="2953"/>
      <c r="D43" s="2947"/>
      <c r="E43" s="2930"/>
      <c r="F43" s="1205"/>
      <c r="G43" s="1205"/>
      <c r="H43" s="1205"/>
      <c r="I43" s="1205"/>
      <c r="J43" s="1205"/>
      <c r="K43" s="1205"/>
      <c r="L43" s="1205"/>
      <c r="M43" s="1205"/>
      <c r="N43" s="1205"/>
      <c r="O43" s="1205"/>
      <c r="P43" s="1205"/>
      <c r="Q43" s="1205"/>
      <c r="R43" s="1205"/>
      <c r="S43" s="1205"/>
      <c r="T43" s="1205"/>
      <c r="U43" s="1205"/>
    </row>
    <row r="44" spans="1:21" ht="81.75" customHeight="1">
      <c r="A44" s="2957" t="s">
        <v>455</v>
      </c>
      <c r="B44" s="2958"/>
      <c r="C44" s="2959"/>
      <c r="D44" s="2942">
        <v>17000</v>
      </c>
      <c r="E44" s="2928" t="s">
        <v>376</v>
      </c>
      <c r="F44" s="1205"/>
      <c r="G44" s="1205"/>
      <c r="H44" s="1205"/>
      <c r="I44" s="1205"/>
      <c r="J44" s="1205"/>
      <c r="K44" s="1205"/>
      <c r="L44" s="1205"/>
      <c r="M44" s="1205"/>
      <c r="N44" s="1205"/>
      <c r="O44" s="1205"/>
      <c r="P44" s="1205"/>
      <c r="Q44" s="1205"/>
      <c r="R44" s="1205"/>
      <c r="S44" s="1205"/>
      <c r="T44" s="1205"/>
      <c r="U44" s="1205"/>
    </row>
    <row r="45" spans="1:21" ht="81.75" customHeight="1">
      <c r="A45" s="2955"/>
      <c r="B45" s="2949"/>
      <c r="C45" s="2951"/>
      <c r="D45" s="2942"/>
      <c r="E45" s="2929"/>
      <c r="F45" s="1205"/>
      <c r="G45" s="1205"/>
      <c r="H45" s="1205"/>
      <c r="I45" s="1205"/>
      <c r="J45" s="1205"/>
      <c r="K45" s="1205"/>
      <c r="L45" s="1205"/>
      <c r="M45" s="1205"/>
      <c r="N45" s="1205"/>
      <c r="O45" s="1205"/>
      <c r="P45" s="1205"/>
      <c r="Q45" s="1205"/>
      <c r="R45" s="1205"/>
      <c r="S45" s="1205"/>
      <c r="T45" s="1205"/>
      <c r="U45" s="1205"/>
    </row>
    <row r="46" spans="1:21" ht="81.75" customHeight="1">
      <c r="A46" s="2955"/>
      <c r="B46" s="2949"/>
      <c r="C46" s="2951"/>
      <c r="D46" s="2942"/>
      <c r="E46" s="2929"/>
      <c r="F46" s="1205"/>
      <c r="G46" s="1205"/>
      <c r="H46" s="1205"/>
      <c r="I46" s="1205"/>
      <c r="J46" s="1205"/>
      <c r="K46" s="1205"/>
      <c r="L46" s="1205"/>
      <c r="M46" s="1205"/>
      <c r="N46" s="1205"/>
      <c r="O46" s="1205"/>
      <c r="P46" s="1205"/>
      <c r="Q46" s="1205"/>
      <c r="R46" s="1205"/>
      <c r="S46" s="1205"/>
      <c r="T46" s="1205"/>
      <c r="U46" s="1205"/>
    </row>
    <row r="47" spans="1:21" ht="81.75" customHeight="1">
      <c r="A47" s="2955"/>
      <c r="B47" s="2949"/>
      <c r="C47" s="2951"/>
      <c r="D47" s="2942"/>
      <c r="E47" s="2929"/>
      <c r="F47" s="1205"/>
      <c r="G47" s="1205"/>
      <c r="H47" s="1205"/>
      <c r="I47" s="1205"/>
      <c r="J47" s="1205"/>
      <c r="K47" s="1205"/>
      <c r="L47" s="1205"/>
      <c r="M47" s="1205"/>
      <c r="N47" s="1205"/>
      <c r="O47" s="1205"/>
      <c r="P47" s="1205"/>
      <c r="Q47" s="1205"/>
      <c r="R47" s="1205"/>
      <c r="S47" s="1205"/>
      <c r="T47" s="1205"/>
      <c r="U47" s="1205"/>
    </row>
    <row r="48" spans="1:21" ht="81.75" customHeight="1">
      <c r="A48" s="2955"/>
      <c r="B48" s="2949"/>
      <c r="C48" s="2951"/>
      <c r="D48" s="2943"/>
      <c r="E48" s="2929"/>
      <c r="F48" s="1205"/>
      <c r="G48" s="1205"/>
      <c r="H48" s="1205"/>
      <c r="I48" s="1205"/>
      <c r="J48" s="1205"/>
      <c r="K48" s="1205"/>
      <c r="L48" s="1205"/>
      <c r="M48" s="1205"/>
      <c r="N48" s="1205"/>
      <c r="O48" s="1205"/>
      <c r="P48" s="1205"/>
      <c r="Q48" s="1205"/>
      <c r="R48" s="1205"/>
      <c r="S48" s="1205"/>
      <c r="T48" s="1205"/>
      <c r="U48" s="1205"/>
    </row>
    <row r="49" spans="1:21" ht="69.75" customHeight="1">
      <c r="A49" s="2955" t="s">
        <v>456</v>
      </c>
      <c r="B49" s="2949"/>
      <c r="C49" s="2951"/>
      <c r="D49" s="2946">
        <v>17000</v>
      </c>
      <c r="E49" s="2929"/>
      <c r="F49" s="1205"/>
      <c r="G49" s="1205"/>
      <c r="H49" s="1205"/>
      <c r="I49" s="1205"/>
      <c r="J49" s="1205"/>
      <c r="K49" s="1205"/>
      <c r="L49" s="1205"/>
      <c r="M49" s="1205"/>
      <c r="N49" s="1205"/>
      <c r="O49" s="1205"/>
      <c r="P49" s="1205"/>
      <c r="Q49" s="1205"/>
      <c r="R49" s="1205"/>
      <c r="S49" s="1205"/>
      <c r="T49" s="1205"/>
      <c r="U49" s="1205"/>
    </row>
    <row r="50" spans="1:21" ht="69.75" customHeight="1">
      <c r="A50" s="2955"/>
      <c r="B50" s="2949"/>
      <c r="C50" s="2951"/>
      <c r="D50" s="2942"/>
      <c r="E50" s="2929"/>
      <c r="F50" s="1205"/>
      <c r="G50" s="1205"/>
      <c r="H50" s="1205"/>
      <c r="I50" s="1205"/>
      <c r="J50" s="1205"/>
      <c r="K50" s="1205"/>
      <c r="L50" s="1205"/>
      <c r="M50" s="1205"/>
      <c r="N50" s="1205"/>
      <c r="O50" s="1205"/>
      <c r="P50" s="1205"/>
      <c r="Q50" s="1205"/>
      <c r="R50" s="1205"/>
      <c r="S50" s="1205"/>
      <c r="T50" s="1205"/>
      <c r="U50" s="1205"/>
    </row>
    <row r="51" spans="1:21" ht="69.75" customHeight="1">
      <c r="A51" s="2955"/>
      <c r="B51" s="2949"/>
      <c r="C51" s="2951"/>
      <c r="D51" s="2942"/>
      <c r="E51" s="2929"/>
      <c r="F51" s="1205"/>
      <c r="G51" s="1205"/>
      <c r="H51" s="1205"/>
      <c r="I51" s="1205"/>
      <c r="J51" s="1205"/>
      <c r="K51" s="1205"/>
      <c r="L51" s="1205"/>
      <c r="M51" s="1205"/>
      <c r="N51" s="1205"/>
      <c r="O51" s="1205"/>
      <c r="P51" s="1205"/>
      <c r="Q51" s="1205"/>
      <c r="R51" s="1205"/>
      <c r="S51" s="1205"/>
      <c r="T51" s="1205"/>
      <c r="U51" s="1205"/>
    </row>
    <row r="52" spans="1:21" ht="69.75" customHeight="1">
      <c r="A52" s="2955"/>
      <c r="B52" s="2949"/>
      <c r="C52" s="2951"/>
      <c r="D52" s="2942"/>
      <c r="E52" s="2929"/>
      <c r="F52" s="1205"/>
      <c r="G52" s="1205"/>
      <c r="H52" s="1205"/>
      <c r="I52" s="1205"/>
      <c r="J52" s="1205"/>
      <c r="K52" s="1205"/>
      <c r="L52" s="1205"/>
      <c r="M52" s="1205"/>
      <c r="N52" s="1205"/>
      <c r="O52" s="1205"/>
      <c r="P52" s="1205"/>
      <c r="Q52" s="1205"/>
      <c r="R52" s="1205"/>
      <c r="S52" s="1205"/>
      <c r="T52" s="1205"/>
      <c r="U52" s="1205"/>
    </row>
    <row r="53" spans="1:21" ht="69.75" customHeight="1" thickBot="1">
      <c r="A53" s="2960"/>
      <c r="B53" s="2961"/>
      <c r="C53" s="2962"/>
      <c r="D53" s="2947"/>
      <c r="E53" s="2930"/>
      <c r="F53" s="1205"/>
      <c r="G53" s="1205"/>
      <c r="H53" s="1205"/>
      <c r="I53" s="1205"/>
      <c r="J53" s="1205"/>
      <c r="K53" s="1205"/>
      <c r="L53" s="1205"/>
      <c r="M53" s="1205"/>
      <c r="N53" s="1205"/>
      <c r="O53" s="1205"/>
      <c r="P53" s="1205"/>
      <c r="Q53" s="1205"/>
      <c r="R53" s="1205"/>
      <c r="S53" s="1205"/>
      <c r="T53" s="1205"/>
      <c r="U53" s="1205"/>
    </row>
    <row r="54" spans="1:21" ht="60" customHeight="1">
      <c r="A54" s="2954" t="s">
        <v>5831</v>
      </c>
      <c r="B54" s="2963"/>
      <c r="C54" s="2881"/>
      <c r="D54" s="2965">
        <v>9100</v>
      </c>
      <c r="E54" s="2928" t="s">
        <v>376</v>
      </c>
      <c r="F54" s="1205"/>
      <c r="G54" s="1205"/>
      <c r="H54" s="1205"/>
      <c r="I54" s="1205"/>
      <c r="J54" s="1205"/>
      <c r="K54" s="1205"/>
      <c r="L54" s="1205"/>
      <c r="M54" s="1205"/>
      <c r="N54" s="1205"/>
      <c r="O54" s="1205"/>
      <c r="P54" s="1205"/>
      <c r="Q54" s="1205"/>
      <c r="R54" s="1205"/>
      <c r="S54" s="1205"/>
    </row>
    <row r="55" spans="1:21" ht="60" customHeight="1">
      <c r="A55" s="2955"/>
      <c r="B55" s="2964"/>
      <c r="C55" s="2882"/>
      <c r="D55" s="2966"/>
      <c r="E55" s="2929"/>
      <c r="F55" s="1205"/>
      <c r="G55" s="1205"/>
      <c r="H55" s="1205"/>
      <c r="I55" s="1205"/>
      <c r="J55" s="1205"/>
      <c r="K55" s="1205"/>
      <c r="L55" s="1205"/>
      <c r="M55" s="1205"/>
      <c r="N55" s="1205"/>
      <c r="O55" s="1205"/>
      <c r="P55" s="1205"/>
      <c r="Q55" s="1205"/>
      <c r="R55" s="1205"/>
      <c r="S55" s="1205"/>
    </row>
    <row r="56" spans="1:21" ht="60" customHeight="1">
      <c r="A56" s="2955"/>
      <c r="B56" s="2964"/>
      <c r="C56" s="2882"/>
      <c r="D56" s="2966"/>
      <c r="E56" s="2929"/>
      <c r="F56" s="1205"/>
      <c r="G56" s="1205"/>
      <c r="H56" s="1205"/>
      <c r="I56" s="1205"/>
      <c r="J56" s="1205"/>
      <c r="K56" s="1205"/>
      <c r="L56" s="1205"/>
      <c r="M56" s="1205"/>
      <c r="N56" s="1205"/>
      <c r="O56" s="1205"/>
      <c r="P56" s="1205"/>
      <c r="Q56" s="1205"/>
      <c r="R56" s="1205"/>
      <c r="S56" s="1205"/>
    </row>
    <row r="57" spans="1:21" ht="60" customHeight="1">
      <c r="A57" s="2955"/>
      <c r="B57" s="2964"/>
      <c r="C57" s="2882"/>
      <c r="D57" s="2966"/>
      <c r="E57" s="2929"/>
      <c r="F57" s="1205"/>
      <c r="G57" s="1205"/>
      <c r="H57" s="1205"/>
      <c r="I57" s="1205"/>
      <c r="J57" s="1205"/>
      <c r="K57" s="1205"/>
      <c r="L57" s="1205"/>
      <c r="M57" s="1205"/>
      <c r="N57" s="1205"/>
      <c r="O57" s="1205"/>
      <c r="P57" s="1205"/>
      <c r="Q57" s="1205"/>
      <c r="R57" s="1205"/>
      <c r="S57" s="1205"/>
    </row>
    <row r="58" spans="1:21" ht="60" customHeight="1">
      <c r="A58" s="2955"/>
      <c r="B58" s="2958"/>
      <c r="C58" s="2959"/>
      <c r="D58" s="2967"/>
      <c r="E58" s="2929"/>
      <c r="F58" s="1205"/>
      <c r="G58" s="1205"/>
      <c r="H58" s="1205"/>
      <c r="I58" s="1205"/>
      <c r="J58" s="1205"/>
      <c r="K58" s="1205"/>
      <c r="L58" s="1205"/>
      <c r="M58" s="1205"/>
      <c r="N58" s="1205"/>
      <c r="O58" s="1205"/>
      <c r="P58" s="1205"/>
      <c r="Q58" s="1205"/>
      <c r="R58" s="1205"/>
      <c r="S58" s="1205"/>
    </row>
    <row r="59" spans="1:21" ht="55.5" customHeight="1">
      <c r="A59" s="2955" t="s">
        <v>5832</v>
      </c>
      <c r="B59" s="2961"/>
      <c r="C59" s="2962"/>
      <c r="D59" s="2969">
        <v>9100</v>
      </c>
      <c r="E59" s="2929"/>
      <c r="F59" s="1205"/>
      <c r="G59" s="1205"/>
      <c r="H59" s="1205"/>
      <c r="I59" s="1205"/>
      <c r="J59" s="1205"/>
      <c r="K59" s="1205"/>
      <c r="L59" s="1205"/>
      <c r="M59" s="1205"/>
      <c r="N59" s="1205"/>
      <c r="O59" s="1205"/>
      <c r="P59" s="1205"/>
      <c r="Q59" s="1205"/>
      <c r="R59" s="1205"/>
      <c r="S59" s="1205"/>
    </row>
    <row r="60" spans="1:21" ht="55.5" customHeight="1">
      <c r="A60" s="2955"/>
      <c r="B60" s="2964"/>
      <c r="C60" s="2882"/>
      <c r="D60" s="2966"/>
      <c r="E60" s="2929"/>
      <c r="F60" s="1205"/>
      <c r="G60" s="1205"/>
      <c r="H60" s="1205"/>
      <c r="I60" s="1205"/>
      <c r="J60" s="1205"/>
      <c r="K60" s="1205"/>
      <c r="L60" s="1205"/>
      <c r="M60" s="1205"/>
      <c r="N60" s="1205"/>
      <c r="O60" s="1205"/>
      <c r="P60" s="1205"/>
      <c r="Q60" s="1205"/>
      <c r="R60" s="1205"/>
      <c r="S60" s="1205"/>
    </row>
    <row r="61" spans="1:21" ht="55.5" customHeight="1">
      <c r="A61" s="2955"/>
      <c r="B61" s="2964"/>
      <c r="C61" s="2882"/>
      <c r="D61" s="2966"/>
      <c r="E61" s="2929"/>
      <c r="F61" s="1205"/>
      <c r="G61" s="1205"/>
      <c r="H61" s="1205"/>
      <c r="I61" s="1205"/>
      <c r="J61" s="1205"/>
      <c r="K61" s="1205"/>
      <c r="L61" s="1205"/>
      <c r="M61" s="1205"/>
      <c r="N61" s="1205"/>
      <c r="O61" s="1205"/>
      <c r="P61" s="1205"/>
      <c r="Q61" s="1205"/>
      <c r="R61" s="1205"/>
      <c r="S61" s="1205"/>
    </row>
    <row r="62" spans="1:21" ht="55.5" customHeight="1">
      <c r="A62" s="2955"/>
      <c r="B62" s="2964"/>
      <c r="C62" s="2882"/>
      <c r="D62" s="2966"/>
      <c r="E62" s="2929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</row>
    <row r="63" spans="1:21" ht="55.5" customHeight="1" thickBot="1">
      <c r="A63" s="2956"/>
      <c r="B63" s="2968"/>
      <c r="C63" s="2883"/>
      <c r="D63" s="2970"/>
      <c r="E63" s="2930"/>
      <c r="F63" s="1205"/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5"/>
    </row>
    <row r="64" spans="1:21" ht="60" customHeight="1">
      <c r="A64" s="2954" t="s">
        <v>5833</v>
      </c>
      <c r="B64" s="2948"/>
      <c r="C64" s="2950"/>
      <c r="D64" s="2976">
        <v>10200</v>
      </c>
      <c r="E64" s="2928" t="s">
        <v>5837</v>
      </c>
      <c r="F64" s="1242"/>
      <c r="G64" s="1242"/>
      <c r="H64" s="1242"/>
      <c r="I64" s="1242"/>
      <c r="J64" s="1242"/>
      <c r="K64" s="1242"/>
      <c r="L64" s="1242"/>
      <c r="M64" s="1242"/>
    </row>
    <row r="65" spans="1:24" ht="60" customHeight="1">
      <c r="A65" s="2955"/>
      <c r="B65" s="2949"/>
      <c r="C65" s="2951"/>
      <c r="D65" s="2974"/>
      <c r="E65" s="2929"/>
      <c r="F65" s="1242"/>
      <c r="G65" s="1242"/>
      <c r="H65" s="1242"/>
      <c r="I65" s="1242"/>
      <c r="J65" s="1242"/>
      <c r="K65" s="1242"/>
      <c r="L65" s="1242"/>
      <c r="M65" s="1242"/>
    </row>
    <row r="66" spans="1:24" ht="60" customHeight="1">
      <c r="A66" s="2955"/>
      <c r="B66" s="2949"/>
      <c r="C66" s="2951"/>
      <c r="D66" s="2974"/>
      <c r="E66" s="2929"/>
      <c r="F66" s="1242"/>
      <c r="G66" s="1242"/>
      <c r="H66" s="1242"/>
      <c r="I66" s="1242"/>
      <c r="J66" s="1242"/>
      <c r="K66" s="1242"/>
      <c r="L66" s="1242"/>
      <c r="M66" s="1242"/>
    </row>
    <row r="67" spans="1:24" ht="60" customHeight="1">
      <c r="A67" s="2955"/>
      <c r="B67" s="2949"/>
      <c r="C67" s="2951"/>
      <c r="D67" s="2974"/>
      <c r="E67" s="2929"/>
      <c r="F67" s="1242"/>
      <c r="G67" s="1242"/>
      <c r="H67" s="1242"/>
      <c r="I67" s="1242"/>
      <c r="J67" s="1242"/>
      <c r="K67" s="1242"/>
      <c r="L67" s="1242"/>
      <c r="M67" s="1242"/>
    </row>
    <row r="68" spans="1:24" ht="60" customHeight="1">
      <c r="A68" s="2955"/>
      <c r="B68" s="2949"/>
      <c r="C68" s="2951"/>
      <c r="D68" s="2974"/>
      <c r="E68" s="2929"/>
      <c r="F68" s="1242"/>
      <c r="G68" s="1242"/>
      <c r="H68" s="1242"/>
      <c r="I68" s="1242"/>
      <c r="J68" s="1242"/>
      <c r="K68" s="1242"/>
      <c r="L68" s="1242"/>
      <c r="M68" s="1242"/>
    </row>
    <row r="69" spans="1:24" ht="60" customHeight="1">
      <c r="A69" s="2955" t="s">
        <v>5834</v>
      </c>
      <c r="B69" s="2949"/>
      <c r="C69" s="2951"/>
      <c r="D69" s="2974">
        <v>10200</v>
      </c>
      <c r="E69" s="2929"/>
      <c r="F69" s="1242"/>
      <c r="G69" s="1242"/>
      <c r="H69" s="1242"/>
      <c r="I69" s="1242"/>
      <c r="J69" s="1242"/>
      <c r="K69" s="1242"/>
      <c r="L69" s="1242"/>
      <c r="M69" s="1242"/>
    </row>
    <row r="70" spans="1:24" ht="60" customHeight="1">
      <c r="A70" s="2955"/>
      <c r="B70" s="2949"/>
      <c r="C70" s="2951"/>
      <c r="D70" s="2974"/>
      <c r="E70" s="2929"/>
      <c r="F70" s="1242"/>
      <c r="G70" s="1242"/>
      <c r="H70" s="1242"/>
      <c r="I70" s="1242"/>
      <c r="J70" s="1242"/>
      <c r="K70" s="1242"/>
      <c r="L70" s="1242"/>
      <c r="M70" s="1242"/>
    </row>
    <row r="71" spans="1:24" ht="60" customHeight="1">
      <c r="A71" s="2955"/>
      <c r="B71" s="2949"/>
      <c r="C71" s="2951"/>
      <c r="D71" s="2974"/>
      <c r="E71" s="2929"/>
      <c r="F71" s="1242"/>
      <c r="G71" s="1242"/>
      <c r="H71" s="1242"/>
      <c r="I71" s="1242"/>
      <c r="J71" s="1242"/>
      <c r="K71" s="1242"/>
      <c r="L71" s="1242"/>
      <c r="M71" s="1242"/>
    </row>
    <row r="72" spans="1:24" ht="60" customHeight="1">
      <c r="A72" s="2955"/>
      <c r="B72" s="2949"/>
      <c r="C72" s="2951"/>
      <c r="D72" s="2974"/>
      <c r="E72" s="2929"/>
      <c r="F72" s="1242"/>
      <c r="G72" s="1242"/>
      <c r="H72" s="1242"/>
      <c r="I72" s="1242"/>
      <c r="J72" s="1242"/>
      <c r="K72" s="1242"/>
      <c r="L72" s="1242"/>
      <c r="M72" s="1242"/>
    </row>
    <row r="73" spans="1:24" ht="60" customHeight="1" thickBot="1">
      <c r="A73" s="2956"/>
      <c r="B73" s="2952"/>
      <c r="C73" s="2953"/>
      <c r="D73" s="2975"/>
      <c r="E73" s="2930"/>
      <c r="F73" s="1242"/>
      <c r="G73" s="1242"/>
      <c r="H73" s="1242"/>
      <c r="I73" s="1242"/>
      <c r="J73" s="1242"/>
      <c r="K73" s="1242"/>
      <c r="L73" s="1242"/>
      <c r="M73" s="1242"/>
    </row>
    <row r="74" spans="1:24" ht="60" customHeight="1">
      <c r="A74" s="2954" t="s">
        <v>490</v>
      </c>
      <c r="B74" s="2977"/>
      <c r="C74" s="2977"/>
      <c r="D74" s="2980">
        <v>14200</v>
      </c>
      <c r="E74" s="2928" t="s">
        <v>585</v>
      </c>
      <c r="F74" s="2984" t="s">
        <v>488</v>
      </c>
      <c r="G74" s="2985"/>
      <c r="H74" s="2985"/>
      <c r="I74" s="2986"/>
      <c r="J74" s="1242"/>
      <c r="K74" s="1242"/>
      <c r="L74" s="1242"/>
      <c r="M74" s="1242"/>
      <c r="N74" s="1242"/>
      <c r="O74" s="1242"/>
      <c r="P74" s="1242"/>
      <c r="Q74" s="1242"/>
      <c r="R74" s="1242"/>
      <c r="S74" s="1242"/>
      <c r="T74" s="1242"/>
      <c r="U74" s="1242"/>
      <c r="V74" s="1242"/>
      <c r="W74" s="1242"/>
      <c r="X74" s="1242"/>
    </row>
    <row r="75" spans="1:24" ht="60" customHeight="1">
      <c r="A75" s="2955"/>
      <c r="B75" s="2978"/>
      <c r="C75" s="2978"/>
      <c r="D75" s="2972"/>
      <c r="E75" s="2929"/>
      <c r="F75" s="2987"/>
      <c r="G75" s="2988"/>
      <c r="H75" s="2988"/>
      <c r="I75" s="2989"/>
      <c r="J75" s="1242"/>
      <c r="K75" s="1242"/>
      <c r="L75" s="1242"/>
      <c r="M75" s="1242"/>
      <c r="N75" s="1242"/>
      <c r="O75" s="1242"/>
      <c r="P75" s="1242"/>
      <c r="Q75" s="1242"/>
      <c r="R75" s="1242"/>
      <c r="S75" s="1242"/>
      <c r="T75" s="1242"/>
      <c r="U75" s="1242"/>
      <c r="V75" s="1242"/>
      <c r="W75" s="1242"/>
      <c r="X75" s="1242"/>
    </row>
    <row r="76" spans="1:24" ht="60" customHeight="1">
      <c r="A76" s="2955"/>
      <c r="B76" s="2978"/>
      <c r="C76" s="2978"/>
      <c r="D76" s="2972"/>
      <c r="E76" s="2929"/>
      <c r="F76" s="2987"/>
      <c r="G76" s="2988"/>
      <c r="H76" s="2988"/>
      <c r="I76" s="2989"/>
      <c r="J76" s="1242"/>
      <c r="K76" s="1242"/>
      <c r="L76" s="1242"/>
      <c r="M76" s="1242"/>
      <c r="N76" s="1242"/>
      <c r="O76" s="1242"/>
      <c r="P76" s="1242"/>
      <c r="Q76" s="1242"/>
      <c r="R76" s="1242"/>
      <c r="S76" s="1242"/>
      <c r="T76" s="1242"/>
      <c r="U76" s="1242"/>
      <c r="V76" s="1242"/>
      <c r="W76" s="1242"/>
      <c r="X76" s="1242"/>
    </row>
    <row r="77" spans="1:24" ht="60" customHeight="1">
      <c r="A77" s="2955"/>
      <c r="B77" s="2978"/>
      <c r="C77" s="2978"/>
      <c r="D77" s="2972"/>
      <c r="E77" s="2929"/>
      <c r="F77" s="2987"/>
      <c r="G77" s="2988"/>
      <c r="H77" s="2988"/>
      <c r="I77" s="2989"/>
      <c r="J77" s="1242"/>
      <c r="K77" s="1242"/>
      <c r="L77" s="1242"/>
      <c r="M77" s="1242"/>
      <c r="N77" s="1242"/>
      <c r="O77" s="1242"/>
      <c r="P77" s="1242"/>
      <c r="Q77" s="1242"/>
      <c r="R77" s="1242"/>
      <c r="S77" s="1242"/>
      <c r="T77" s="1242"/>
      <c r="U77" s="1242"/>
      <c r="V77" s="1242"/>
      <c r="W77" s="1242"/>
      <c r="X77" s="1242"/>
    </row>
    <row r="78" spans="1:24" ht="60" customHeight="1">
      <c r="A78" s="2955"/>
      <c r="B78" s="2979"/>
      <c r="C78" s="2979"/>
      <c r="D78" s="2981"/>
      <c r="E78" s="2929"/>
      <c r="F78" s="2987"/>
      <c r="G78" s="2988"/>
      <c r="H78" s="2988"/>
      <c r="I78" s="2989"/>
      <c r="J78" s="1242"/>
      <c r="K78" s="1242"/>
      <c r="L78" s="1242"/>
      <c r="M78" s="1242"/>
      <c r="N78" s="1242"/>
      <c r="O78" s="1242"/>
      <c r="P78" s="1242"/>
      <c r="Q78" s="1242"/>
      <c r="R78" s="1242"/>
      <c r="S78" s="1242"/>
      <c r="T78" s="1242"/>
      <c r="U78" s="1242"/>
      <c r="V78" s="1242"/>
      <c r="W78" s="1242"/>
      <c r="X78" s="1242"/>
    </row>
    <row r="79" spans="1:24" ht="60" customHeight="1">
      <c r="A79" s="2955" t="s">
        <v>492</v>
      </c>
      <c r="B79" s="2982"/>
      <c r="C79" s="2982"/>
      <c r="D79" s="2971">
        <v>14200</v>
      </c>
      <c r="E79" s="2929"/>
      <c r="F79" s="2987"/>
      <c r="G79" s="2988"/>
      <c r="H79" s="2988"/>
      <c r="I79" s="2989"/>
      <c r="J79" s="1242"/>
      <c r="K79" s="1242"/>
      <c r="L79" s="1242"/>
      <c r="M79" s="1242"/>
      <c r="N79" s="1242"/>
      <c r="O79" s="1242"/>
      <c r="P79" s="1242"/>
      <c r="Q79" s="1242"/>
      <c r="R79" s="1242"/>
      <c r="S79" s="1242"/>
      <c r="T79" s="1242"/>
      <c r="U79" s="1242"/>
      <c r="V79" s="1242"/>
      <c r="W79" s="1242"/>
      <c r="X79" s="1242"/>
    </row>
    <row r="80" spans="1:24" ht="60" customHeight="1">
      <c r="A80" s="2955"/>
      <c r="B80" s="2978"/>
      <c r="C80" s="2978"/>
      <c r="D80" s="2972"/>
      <c r="E80" s="2929"/>
      <c r="F80" s="2987"/>
      <c r="G80" s="2988"/>
      <c r="H80" s="2988"/>
      <c r="I80" s="2989"/>
      <c r="J80" s="1242"/>
      <c r="K80" s="1242"/>
      <c r="L80" s="1242"/>
      <c r="M80" s="1242"/>
      <c r="N80" s="1242"/>
      <c r="O80" s="1242"/>
      <c r="P80" s="1242"/>
      <c r="Q80" s="1242"/>
      <c r="R80" s="1242"/>
      <c r="S80" s="1242"/>
      <c r="T80" s="1242"/>
      <c r="U80" s="1242"/>
      <c r="V80" s="1242"/>
      <c r="W80" s="1242"/>
      <c r="X80" s="1242"/>
    </row>
    <row r="81" spans="1:24" ht="60" customHeight="1">
      <c r="A81" s="2955"/>
      <c r="B81" s="2978"/>
      <c r="C81" s="2978"/>
      <c r="D81" s="2972"/>
      <c r="E81" s="2929"/>
      <c r="F81" s="2987"/>
      <c r="G81" s="2988"/>
      <c r="H81" s="2988"/>
      <c r="I81" s="2989"/>
      <c r="J81" s="1242"/>
      <c r="K81" s="1242"/>
      <c r="L81" s="1242"/>
      <c r="M81" s="1242"/>
      <c r="N81" s="1242"/>
      <c r="O81" s="1242"/>
      <c r="P81" s="1242"/>
      <c r="Q81" s="1242"/>
      <c r="R81" s="1242"/>
      <c r="S81" s="1242"/>
      <c r="T81" s="1242"/>
      <c r="U81" s="1242"/>
      <c r="V81" s="1242"/>
      <c r="W81" s="1242"/>
      <c r="X81" s="1242"/>
    </row>
    <row r="82" spans="1:24" ht="60" customHeight="1">
      <c r="A82" s="2955"/>
      <c r="B82" s="2978"/>
      <c r="C82" s="2978"/>
      <c r="D82" s="2972"/>
      <c r="E82" s="2929"/>
      <c r="F82" s="2987"/>
      <c r="G82" s="2988"/>
      <c r="H82" s="2988"/>
      <c r="I82" s="2989"/>
      <c r="J82" s="1242"/>
      <c r="K82" s="1242"/>
      <c r="L82" s="1242"/>
      <c r="M82" s="1242"/>
      <c r="N82" s="1242"/>
      <c r="O82" s="1242"/>
      <c r="P82" s="1242"/>
      <c r="Q82" s="1242"/>
      <c r="R82" s="1242"/>
      <c r="S82" s="1242"/>
      <c r="T82" s="1242"/>
      <c r="U82" s="1242"/>
      <c r="V82" s="1242"/>
      <c r="W82" s="1242"/>
      <c r="X82" s="1242"/>
    </row>
    <row r="83" spans="1:24" ht="60" customHeight="1" thickBot="1">
      <c r="A83" s="2956"/>
      <c r="B83" s="2983"/>
      <c r="C83" s="2983"/>
      <c r="D83" s="2973"/>
      <c r="E83" s="2930"/>
      <c r="F83" s="2987"/>
      <c r="G83" s="2988"/>
      <c r="H83" s="2988"/>
      <c r="I83" s="2989"/>
      <c r="J83" s="1242"/>
      <c r="K83" s="1242"/>
      <c r="L83" s="1242"/>
      <c r="M83" s="1242"/>
      <c r="N83" s="1242"/>
      <c r="O83" s="1242"/>
      <c r="P83" s="1242"/>
      <c r="Q83" s="1242"/>
      <c r="R83" s="1242"/>
      <c r="S83" s="1242"/>
      <c r="T83" s="1242"/>
      <c r="U83" s="1242"/>
      <c r="V83" s="1242"/>
      <c r="W83" s="1242"/>
      <c r="X83" s="1242"/>
    </row>
    <row r="84" spans="1:24" ht="42" customHeight="1">
      <c r="A84" s="2954" t="s">
        <v>491</v>
      </c>
      <c r="B84" s="2948"/>
      <c r="C84" s="3005"/>
      <c r="D84" s="2980">
        <v>15300</v>
      </c>
      <c r="E84" s="2928" t="s">
        <v>585</v>
      </c>
      <c r="F84" s="2987"/>
      <c r="G84" s="2988"/>
      <c r="H84" s="2988"/>
      <c r="I84" s="2989"/>
      <c r="J84" s="1205"/>
      <c r="K84" s="1205"/>
      <c r="L84" s="1205"/>
      <c r="M84" s="1205"/>
      <c r="N84" s="1205"/>
      <c r="O84" s="1205"/>
      <c r="P84" s="1205"/>
      <c r="Q84" s="1205"/>
      <c r="R84" s="1205"/>
      <c r="S84" s="1205"/>
      <c r="T84" s="1205"/>
      <c r="U84" s="1205"/>
      <c r="V84" s="1205"/>
      <c r="W84" s="1205"/>
      <c r="X84" s="1205"/>
    </row>
    <row r="85" spans="1:24" ht="42" customHeight="1">
      <c r="A85" s="2955"/>
      <c r="B85" s="2949"/>
      <c r="C85" s="3006"/>
      <c r="D85" s="2972"/>
      <c r="E85" s="2929"/>
      <c r="F85" s="2987"/>
      <c r="G85" s="2988"/>
      <c r="H85" s="2988"/>
      <c r="I85" s="2989"/>
      <c r="J85" s="1205"/>
      <c r="K85" s="1205"/>
      <c r="L85" s="1205"/>
      <c r="M85" s="1205"/>
      <c r="N85" s="1205"/>
      <c r="O85" s="1205"/>
      <c r="P85" s="1205"/>
      <c r="Q85" s="1205"/>
      <c r="R85" s="1205"/>
      <c r="S85" s="1205"/>
      <c r="T85" s="1205"/>
      <c r="U85" s="1205"/>
      <c r="V85" s="1205"/>
      <c r="W85" s="1205"/>
      <c r="X85" s="1205"/>
    </row>
    <row r="86" spans="1:24" ht="42" customHeight="1">
      <c r="A86" s="2955"/>
      <c r="B86" s="2949"/>
      <c r="C86" s="3006"/>
      <c r="D86" s="2972"/>
      <c r="E86" s="2929"/>
      <c r="F86" s="2987"/>
      <c r="G86" s="2988"/>
      <c r="H86" s="2988"/>
      <c r="I86" s="2989"/>
      <c r="J86" s="1205"/>
      <c r="K86" s="1205"/>
      <c r="L86" s="1205"/>
      <c r="M86" s="1205"/>
      <c r="N86" s="1205"/>
      <c r="O86" s="1205"/>
      <c r="P86" s="1205"/>
      <c r="Q86" s="1205"/>
      <c r="R86" s="1205"/>
      <c r="S86" s="1205"/>
      <c r="T86" s="1205"/>
      <c r="U86" s="1205"/>
      <c r="V86" s="1205"/>
      <c r="W86" s="1205"/>
      <c r="X86" s="1205"/>
    </row>
    <row r="87" spans="1:24" ht="42" customHeight="1">
      <c r="A87" s="2955"/>
      <c r="B87" s="2949"/>
      <c r="C87" s="3006"/>
      <c r="D87" s="2972"/>
      <c r="E87" s="2929"/>
      <c r="F87" s="2987"/>
      <c r="G87" s="2988"/>
      <c r="H87" s="2988"/>
      <c r="I87" s="2989"/>
      <c r="J87" s="1205"/>
      <c r="K87" s="1205"/>
      <c r="L87" s="1205"/>
      <c r="M87" s="1205"/>
      <c r="N87" s="1205"/>
      <c r="O87" s="1205"/>
      <c r="P87" s="1205"/>
      <c r="Q87" s="1205"/>
      <c r="R87" s="1205"/>
      <c r="S87" s="1205"/>
      <c r="T87" s="1205"/>
      <c r="U87" s="1205"/>
      <c r="V87" s="1205"/>
      <c r="W87" s="1205"/>
      <c r="X87" s="1205"/>
    </row>
    <row r="88" spans="1:24" ht="42" customHeight="1">
      <c r="A88" s="2955"/>
      <c r="B88" s="2949"/>
      <c r="C88" s="3006"/>
      <c r="D88" s="2981"/>
      <c r="E88" s="2929"/>
      <c r="F88" s="2987"/>
      <c r="G88" s="2988"/>
      <c r="H88" s="2988"/>
      <c r="I88" s="2989"/>
      <c r="J88" s="1205"/>
      <c r="K88" s="1205"/>
      <c r="L88" s="1205"/>
      <c r="M88" s="1205"/>
      <c r="N88" s="1205"/>
      <c r="O88" s="1205"/>
      <c r="P88" s="1205"/>
      <c r="Q88" s="1205"/>
      <c r="R88" s="1205"/>
      <c r="S88" s="1205"/>
      <c r="T88" s="1205"/>
      <c r="U88" s="1205"/>
      <c r="V88" s="1205"/>
      <c r="W88" s="1205"/>
      <c r="X88" s="1205"/>
    </row>
    <row r="89" spans="1:24" ht="60.75" customHeight="1">
      <c r="A89" s="2955" t="s">
        <v>493</v>
      </c>
      <c r="B89" s="2949"/>
      <c r="C89" s="3006"/>
      <c r="D89" s="2971">
        <v>15300</v>
      </c>
      <c r="E89" s="2929"/>
      <c r="F89" s="2987"/>
      <c r="G89" s="2988"/>
      <c r="H89" s="2988"/>
      <c r="I89" s="2989"/>
      <c r="J89" s="1205"/>
      <c r="K89" s="1205"/>
      <c r="L89" s="1205"/>
      <c r="M89" s="1205"/>
      <c r="N89" s="1205"/>
      <c r="O89" s="1205"/>
      <c r="P89" s="1205"/>
      <c r="Q89" s="1205"/>
      <c r="R89" s="1205"/>
      <c r="S89" s="1205"/>
      <c r="T89" s="1205"/>
      <c r="U89" s="1205"/>
      <c r="V89" s="1205"/>
      <c r="W89" s="1205"/>
      <c r="X89" s="1205"/>
    </row>
    <row r="90" spans="1:24" ht="37.5" customHeight="1">
      <c r="A90" s="2955"/>
      <c r="B90" s="2949"/>
      <c r="C90" s="3006"/>
      <c r="D90" s="2972"/>
      <c r="E90" s="2929"/>
      <c r="F90" s="2987"/>
      <c r="G90" s="2988"/>
      <c r="H90" s="2988"/>
      <c r="I90" s="2989"/>
      <c r="J90" s="1205"/>
      <c r="K90" s="1205"/>
      <c r="L90" s="1205"/>
      <c r="M90" s="1205"/>
      <c r="N90" s="1205"/>
      <c r="O90" s="1205"/>
      <c r="P90" s="1205"/>
      <c r="Q90" s="1205"/>
      <c r="R90" s="1205"/>
      <c r="S90" s="1205"/>
      <c r="T90" s="1205"/>
      <c r="U90" s="1205"/>
      <c r="V90" s="1205"/>
      <c r="W90" s="1205"/>
      <c r="X90" s="1205"/>
    </row>
    <row r="91" spans="1:24" ht="37.5" customHeight="1">
      <c r="A91" s="2955"/>
      <c r="B91" s="2949"/>
      <c r="C91" s="3006"/>
      <c r="D91" s="2972"/>
      <c r="E91" s="2929"/>
      <c r="F91" s="2987"/>
      <c r="G91" s="2988"/>
      <c r="H91" s="2988"/>
      <c r="I91" s="2989"/>
      <c r="J91" s="1205"/>
      <c r="K91" s="1205"/>
      <c r="L91" s="1205"/>
      <c r="M91" s="1205"/>
      <c r="N91" s="1205"/>
      <c r="O91" s="1205"/>
      <c r="P91" s="1205"/>
      <c r="Q91" s="1205"/>
      <c r="R91" s="1205"/>
      <c r="S91" s="1205"/>
      <c r="T91" s="1205"/>
      <c r="U91" s="1205"/>
      <c r="V91" s="1205"/>
      <c r="W91" s="1205"/>
      <c r="X91" s="1205"/>
    </row>
    <row r="92" spans="1:24" ht="37.5" customHeight="1">
      <c r="A92" s="2955"/>
      <c r="B92" s="2949"/>
      <c r="C92" s="3006"/>
      <c r="D92" s="2972"/>
      <c r="E92" s="2929"/>
      <c r="F92" s="2987"/>
      <c r="G92" s="2988"/>
      <c r="H92" s="2988"/>
      <c r="I92" s="2989"/>
      <c r="J92" s="1205"/>
      <c r="K92" s="1205"/>
      <c r="L92" s="1205"/>
      <c r="M92" s="1205"/>
      <c r="N92" s="1205"/>
      <c r="O92" s="1205"/>
      <c r="P92" s="1205"/>
      <c r="Q92" s="1205"/>
      <c r="R92" s="1205"/>
      <c r="S92" s="1205"/>
      <c r="T92" s="1205"/>
      <c r="U92" s="1205"/>
      <c r="V92" s="1205"/>
      <c r="W92" s="1205"/>
      <c r="X92" s="1205"/>
    </row>
    <row r="93" spans="1:24" ht="37.5" customHeight="1" thickBot="1">
      <c r="A93" s="2956"/>
      <c r="B93" s="2952"/>
      <c r="C93" s="3007"/>
      <c r="D93" s="2973"/>
      <c r="E93" s="2930"/>
      <c r="F93" s="2990"/>
      <c r="G93" s="2991"/>
      <c r="H93" s="2991"/>
      <c r="I93" s="2992"/>
      <c r="J93" s="1205"/>
      <c r="K93" s="1205"/>
      <c r="L93" s="1205"/>
      <c r="M93" s="1205"/>
      <c r="N93" s="1205"/>
      <c r="O93" s="1205"/>
      <c r="P93" s="1205"/>
      <c r="Q93" s="1205"/>
      <c r="R93" s="1205"/>
      <c r="S93" s="1205"/>
      <c r="T93" s="1205"/>
      <c r="U93" s="1205"/>
      <c r="V93" s="1205"/>
      <c r="W93" s="1205"/>
      <c r="X93" s="1205"/>
    </row>
    <row r="94" spans="1:24" ht="39" customHeight="1">
      <c r="A94" s="2957" t="s">
        <v>489</v>
      </c>
      <c r="B94" s="2958"/>
      <c r="C94" s="2959"/>
      <c r="D94" s="2972">
        <v>5900</v>
      </c>
      <c r="E94" s="2929" t="s">
        <v>585</v>
      </c>
      <c r="F94" s="1205"/>
      <c r="G94" s="1205"/>
      <c r="H94" s="1205"/>
      <c r="I94" s="1205"/>
      <c r="J94" s="1205"/>
      <c r="K94" s="1205"/>
      <c r="L94" s="1205"/>
      <c r="M94" s="1205"/>
      <c r="N94" s="1205"/>
      <c r="O94" s="1205"/>
      <c r="P94" s="1205"/>
      <c r="Q94" s="1205"/>
      <c r="R94" s="1205"/>
      <c r="S94" s="1205"/>
      <c r="T94" s="1205"/>
      <c r="U94" s="1205"/>
    </row>
    <row r="95" spans="1:24" ht="39" customHeight="1">
      <c r="A95" s="2955"/>
      <c r="B95" s="2949"/>
      <c r="C95" s="2951"/>
      <c r="D95" s="2972"/>
      <c r="E95" s="2929"/>
      <c r="F95" s="1205"/>
      <c r="G95" s="1205"/>
      <c r="H95" s="1205"/>
      <c r="I95" s="1205"/>
      <c r="J95" s="1205"/>
      <c r="K95" s="1205"/>
      <c r="L95" s="1205"/>
      <c r="M95" s="1205"/>
      <c r="N95" s="1205"/>
      <c r="O95" s="1205"/>
      <c r="P95" s="1205"/>
      <c r="Q95" s="1205"/>
      <c r="R95" s="1205"/>
      <c r="S95" s="1205"/>
      <c r="T95" s="1205"/>
      <c r="U95" s="1205"/>
    </row>
    <row r="96" spans="1:24" ht="39" customHeight="1">
      <c r="A96" s="2955"/>
      <c r="B96" s="2949"/>
      <c r="C96" s="2951"/>
      <c r="D96" s="2972"/>
      <c r="E96" s="2929"/>
      <c r="F96" s="1205"/>
      <c r="G96" s="1205"/>
      <c r="H96" s="1205"/>
      <c r="I96" s="1205"/>
      <c r="J96" s="1205"/>
      <c r="K96" s="1205"/>
      <c r="L96" s="1205"/>
      <c r="M96" s="1205"/>
      <c r="N96" s="1205"/>
      <c r="O96" s="1205"/>
      <c r="P96" s="1205"/>
      <c r="Q96" s="1205"/>
      <c r="R96" s="1205"/>
      <c r="S96" s="1205"/>
      <c r="T96" s="1205"/>
      <c r="U96" s="1205"/>
    </row>
    <row r="97" spans="1:21" ht="39" customHeight="1" thickBot="1">
      <c r="A97" s="2960"/>
      <c r="B97" s="2961"/>
      <c r="C97" s="2962"/>
      <c r="D97" s="2972"/>
      <c r="E97" s="2930"/>
      <c r="F97" s="1205"/>
      <c r="G97" s="1205"/>
      <c r="H97" s="1205"/>
      <c r="I97" s="1205"/>
      <c r="J97" s="1205"/>
      <c r="K97" s="1205"/>
      <c r="L97" s="1205"/>
      <c r="M97" s="1205"/>
      <c r="N97" s="1205"/>
      <c r="O97" s="1205"/>
      <c r="P97" s="1205"/>
      <c r="Q97" s="1205"/>
      <c r="R97" s="1205"/>
      <c r="S97" s="1205"/>
      <c r="T97" s="1205"/>
      <c r="U97" s="1205"/>
    </row>
    <row r="98" spans="1:21" ht="39" customHeight="1">
      <c r="A98" s="2954" t="s">
        <v>457</v>
      </c>
      <c r="B98" s="2948"/>
      <c r="C98" s="2950"/>
      <c r="D98" s="2980">
        <v>1300</v>
      </c>
      <c r="E98" s="2928" t="s">
        <v>585</v>
      </c>
      <c r="F98" s="1205"/>
      <c r="G98" s="1205"/>
      <c r="H98" s="1205"/>
      <c r="I98" s="1205"/>
      <c r="J98" s="1205"/>
      <c r="K98" s="1205"/>
      <c r="L98" s="1205"/>
      <c r="M98" s="1205"/>
      <c r="N98" s="1205"/>
      <c r="O98" s="1205"/>
      <c r="P98" s="1205"/>
      <c r="Q98" s="1205"/>
      <c r="R98" s="1205"/>
      <c r="S98" s="1205"/>
      <c r="T98" s="1205"/>
      <c r="U98" s="1205"/>
    </row>
    <row r="99" spans="1:21" ht="39" customHeight="1">
      <c r="A99" s="2955"/>
      <c r="B99" s="2949"/>
      <c r="C99" s="2951"/>
      <c r="D99" s="2972"/>
      <c r="E99" s="2929"/>
      <c r="F99" s="1205"/>
      <c r="G99" s="1205"/>
      <c r="H99" s="1205"/>
      <c r="I99" s="1205"/>
      <c r="J99" s="1205"/>
      <c r="K99" s="1205"/>
      <c r="L99" s="1205"/>
      <c r="M99" s="1205"/>
      <c r="N99" s="1205"/>
      <c r="O99" s="1205"/>
      <c r="P99" s="1205"/>
      <c r="Q99" s="1205"/>
      <c r="R99" s="1205"/>
      <c r="S99" s="1205"/>
      <c r="T99" s="1205"/>
      <c r="U99" s="1205"/>
    </row>
    <row r="100" spans="1:21" ht="39" customHeight="1">
      <c r="A100" s="2955"/>
      <c r="B100" s="2949"/>
      <c r="C100" s="2951"/>
      <c r="D100" s="2972"/>
      <c r="E100" s="2929"/>
      <c r="F100" s="1205"/>
      <c r="G100" s="1205"/>
      <c r="H100" s="1205"/>
      <c r="I100" s="1205"/>
      <c r="J100" s="1205"/>
      <c r="K100" s="1205"/>
      <c r="L100" s="1205"/>
      <c r="M100" s="1205"/>
      <c r="N100" s="1205"/>
      <c r="O100" s="1205"/>
      <c r="P100" s="1205"/>
      <c r="Q100" s="1205"/>
      <c r="R100" s="1205"/>
      <c r="S100" s="1205"/>
      <c r="T100" s="1205"/>
      <c r="U100" s="1205"/>
    </row>
    <row r="101" spans="1:21" ht="39" customHeight="1" thickBot="1">
      <c r="A101" s="2956"/>
      <c r="B101" s="2952"/>
      <c r="C101" s="2953"/>
      <c r="D101" s="2973"/>
      <c r="E101" s="2930"/>
      <c r="F101" s="1205"/>
      <c r="G101" s="1205"/>
      <c r="H101" s="1205"/>
      <c r="I101" s="1205"/>
      <c r="J101" s="1205"/>
      <c r="K101" s="1205"/>
      <c r="L101" s="1205"/>
      <c r="M101" s="1205"/>
      <c r="N101" s="1205"/>
      <c r="O101" s="1205"/>
      <c r="P101" s="1205"/>
      <c r="Q101" s="1205"/>
      <c r="R101" s="1205"/>
      <c r="S101" s="1205"/>
      <c r="T101" s="1205"/>
      <c r="U101" s="1205"/>
    </row>
    <row r="102" spans="1:21" ht="39" customHeight="1">
      <c r="A102" s="2957" t="s">
        <v>390</v>
      </c>
      <c r="B102" s="2996"/>
      <c r="C102" s="2959"/>
      <c r="D102" s="2972">
        <v>1300</v>
      </c>
      <c r="E102" s="2931" t="s">
        <v>376</v>
      </c>
      <c r="F102" s="1205"/>
      <c r="G102" s="1205"/>
      <c r="H102" s="1205"/>
      <c r="I102" s="1205"/>
      <c r="J102" s="1205"/>
      <c r="K102" s="1205"/>
      <c r="L102" s="1205"/>
      <c r="M102" s="1205"/>
      <c r="N102" s="1205"/>
      <c r="O102" s="1205"/>
      <c r="P102" s="1205"/>
      <c r="Q102" s="1205"/>
      <c r="R102" s="1205"/>
      <c r="S102" s="1205"/>
      <c r="T102" s="1205"/>
      <c r="U102" s="1205"/>
    </row>
    <row r="103" spans="1:21" ht="39" customHeight="1">
      <c r="A103" s="2955"/>
      <c r="B103" s="2997"/>
      <c r="C103" s="2951"/>
      <c r="D103" s="2972"/>
      <c r="E103" s="2932"/>
      <c r="F103" s="1205"/>
      <c r="G103" s="1205"/>
      <c r="H103" s="1205"/>
      <c r="I103" s="1205"/>
      <c r="J103" s="1205"/>
      <c r="K103" s="1205"/>
      <c r="L103" s="1205"/>
      <c r="M103" s="1205"/>
      <c r="N103" s="1205"/>
      <c r="O103" s="1205"/>
      <c r="P103" s="1205"/>
      <c r="Q103" s="1205"/>
      <c r="R103" s="1205"/>
      <c r="S103" s="1205"/>
      <c r="T103" s="1205"/>
      <c r="U103" s="1205"/>
    </row>
    <row r="104" spans="1:21" ht="39" customHeight="1">
      <c r="A104" s="2955"/>
      <c r="B104" s="2997"/>
      <c r="C104" s="2951"/>
      <c r="D104" s="2972"/>
      <c r="E104" s="2932"/>
      <c r="F104" s="1205"/>
      <c r="G104" s="1205"/>
      <c r="H104" s="1205"/>
      <c r="I104" s="1205"/>
      <c r="J104" s="1205"/>
      <c r="K104" s="1205"/>
      <c r="L104" s="1205"/>
      <c r="M104" s="1205"/>
      <c r="N104" s="1205"/>
      <c r="O104" s="1205"/>
      <c r="P104" s="1205"/>
      <c r="Q104" s="1205"/>
      <c r="R104" s="1205"/>
      <c r="S104" s="1205"/>
      <c r="T104" s="1205"/>
      <c r="U104" s="1205"/>
    </row>
    <row r="105" spans="1:21" ht="39" customHeight="1" thickBot="1">
      <c r="A105" s="2960"/>
      <c r="B105" s="2998"/>
      <c r="C105" s="2962"/>
      <c r="D105" s="2972"/>
      <c r="E105" s="2932"/>
      <c r="F105" s="1205"/>
      <c r="G105" s="1205"/>
      <c r="H105" s="1205"/>
      <c r="I105" s="1205"/>
      <c r="J105" s="1205"/>
      <c r="K105" s="1205"/>
      <c r="L105" s="1205"/>
      <c r="M105" s="1205"/>
      <c r="N105" s="1205"/>
      <c r="O105" s="1205"/>
      <c r="P105" s="1205"/>
      <c r="Q105" s="1205"/>
      <c r="R105" s="1205"/>
      <c r="S105" s="1205"/>
      <c r="T105" s="1205"/>
      <c r="U105" s="1205"/>
    </row>
    <row r="106" spans="1:21" ht="125.25" customHeight="1" thickBot="1">
      <c r="A106" s="1258" t="s">
        <v>12</v>
      </c>
      <c r="B106" s="1254"/>
      <c r="C106" s="1259"/>
      <c r="D106" s="1260">
        <v>6400</v>
      </c>
      <c r="E106" s="1257" t="s">
        <v>586</v>
      </c>
      <c r="F106" s="1205"/>
      <c r="G106" s="1205"/>
      <c r="H106" s="1205"/>
      <c r="I106" s="1205"/>
      <c r="J106" s="1205"/>
      <c r="K106" s="1205"/>
      <c r="L106" s="1205"/>
      <c r="M106" s="1205"/>
      <c r="N106" s="1205"/>
      <c r="O106" s="1205"/>
      <c r="P106" s="1205"/>
      <c r="Q106" s="1205"/>
      <c r="R106" s="1205"/>
      <c r="S106" s="1205"/>
      <c r="T106" s="1205"/>
      <c r="U106" s="1205"/>
    </row>
    <row r="107" spans="1:21" ht="19.5" customHeight="1">
      <c r="A107" s="2999" t="s">
        <v>466</v>
      </c>
      <c r="B107" s="3002"/>
      <c r="C107" s="3002"/>
      <c r="D107" s="2993">
        <v>5600</v>
      </c>
      <c r="E107" s="2925" t="s">
        <v>376</v>
      </c>
      <c r="F107" s="1205"/>
      <c r="G107" s="1205"/>
      <c r="H107" s="1205"/>
      <c r="I107" s="1205"/>
      <c r="J107" s="1205"/>
      <c r="K107" s="1205"/>
      <c r="L107" s="1205"/>
      <c r="M107" s="1205"/>
      <c r="N107" s="1205"/>
      <c r="O107" s="1205"/>
      <c r="P107" s="1205"/>
      <c r="Q107" s="1205"/>
      <c r="R107" s="1205"/>
      <c r="S107" s="1205"/>
      <c r="T107" s="1205"/>
      <c r="U107" s="1205"/>
    </row>
    <row r="108" spans="1:21" ht="19.5" customHeight="1">
      <c r="A108" s="3000"/>
      <c r="B108" s="3003"/>
      <c r="C108" s="3003"/>
      <c r="D108" s="2994"/>
      <c r="E108" s="2926"/>
      <c r="F108" s="1205"/>
      <c r="G108" s="1205"/>
      <c r="H108" s="1205"/>
      <c r="I108" s="1205"/>
      <c r="J108" s="1205"/>
      <c r="K108" s="1205"/>
      <c r="L108" s="1205"/>
      <c r="M108" s="1205"/>
      <c r="N108" s="1205"/>
      <c r="O108" s="1205"/>
      <c r="P108" s="1205"/>
      <c r="Q108" s="1205"/>
      <c r="R108" s="1205"/>
      <c r="S108" s="1205"/>
      <c r="T108" s="1205"/>
      <c r="U108" s="1205"/>
    </row>
    <row r="109" spans="1:21" ht="19.5" customHeight="1">
      <c r="A109" s="3000"/>
      <c r="B109" s="3003"/>
      <c r="C109" s="3003"/>
      <c r="D109" s="2994"/>
      <c r="E109" s="2926"/>
      <c r="F109" s="1205"/>
      <c r="G109" s="1205"/>
      <c r="H109" s="1205"/>
      <c r="I109" s="1205"/>
      <c r="J109" s="1205"/>
      <c r="K109" s="1205"/>
      <c r="L109" s="1205"/>
      <c r="M109" s="1205"/>
      <c r="N109" s="1205"/>
      <c r="O109" s="1205"/>
      <c r="P109" s="1205"/>
      <c r="Q109" s="1205"/>
      <c r="R109" s="1205"/>
      <c r="S109" s="1205"/>
      <c r="T109" s="1205"/>
      <c r="U109" s="1205"/>
    </row>
    <row r="110" spans="1:21" ht="19.5" customHeight="1">
      <c r="A110" s="3000"/>
      <c r="B110" s="3003"/>
      <c r="C110" s="3003"/>
      <c r="D110" s="2994"/>
      <c r="E110" s="2926"/>
      <c r="F110" s="1205"/>
      <c r="G110" s="1205"/>
      <c r="H110" s="1205"/>
      <c r="I110" s="1205"/>
      <c r="J110" s="1205"/>
      <c r="K110" s="1205"/>
      <c r="L110" s="1205"/>
      <c r="M110" s="1205"/>
      <c r="N110" s="1205"/>
      <c r="O110" s="1205"/>
      <c r="P110" s="1205"/>
      <c r="Q110" s="1205"/>
      <c r="R110" s="1205"/>
      <c r="S110" s="1205"/>
      <c r="T110" s="1205"/>
      <c r="U110" s="1205"/>
    </row>
    <row r="111" spans="1:21" ht="19.5" customHeight="1">
      <c r="A111" s="3000"/>
      <c r="B111" s="3003"/>
      <c r="C111" s="3003"/>
      <c r="D111" s="2994"/>
      <c r="E111" s="2926"/>
      <c r="F111" s="1205"/>
      <c r="G111" s="1205"/>
      <c r="H111" s="1205"/>
      <c r="I111" s="1205"/>
      <c r="J111" s="1205"/>
      <c r="K111" s="1205"/>
      <c r="L111" s="1205"/>
      <c r="M111" s="1205"/>
      <c r="N111" s="1205"/>
      <c r="O111" s="1205"/>
      <c r="P111" s="1205"/>
      <c r="Q111" s="1205"/>
      <c r="R111" s="1205"/>
      <c r="S111" s="1205"/>
      <c r="T111" s="1205"/>
      <c r="U111" s="1205"/>
    </row>
    <row r="112" spans="1:21" ht="19.5" customHeight="1">
      <c r="A112" s="3000"/>
      <c r="B112" s="3003"/>
      <c r="C112" s="3003"/>
      <c r="D112" s="2994"/>
      <c r="E112" s="2926"/>
      <c r="F112" s="1205"/>
      <c r="G112" s="1205"/>
      <c r="H112" s="1205"/>
      <c r="I112" s="1205"/>
      <c r="J112" s="1205"/>
      <c r="K112" s="1205"/>
      <c r="L112" s="1205"/>
      <c r="M112" s="1205"/>
      <c r="N112" s="1205"/>
      <c r="O112" s="1205"/>
      <c r="P112" s="1205"/>
      <c r="Q112" s="1205"/>
      <c r="R112" s="1205"/>
      <c r="S112" s="1205"/>
      <c r="T112" s="1205"/>
      <c r="U112" s="1205"/>
    </row>
    <row r="113" spans="1:21" ht="19.5" customHeight="1" thickBot="1">
      <c r="A113" s="3001"/>
      <c r="B113" s="3004"/>
      <c r="C113" s="3004"/>
      <c r="D113" s="2995"/>
      <c r="E113" s="2927"/>
      <c r="F113" s="1205"/>
      <c r="G113" s="1205"/>
      <c r="H113" s="1205"/>
      <c r="I113" s="1205"/>
      <c r="J113" s="1205"/>
      <c r="K113" s="1205"/>
      <c r="L113" s="1205"/>
      <c r="M113" s="1205"/>
      <c r="N113" s="1205"/>
      <c r="O113" s="1205"/>
      <c r="P113" s="1205"/>
      <c r="Q113" s="1205"/>
      <c r="R113" s="1205"/>
      <c r="S113" s="1205"/>
      <c r="T113" s="1205"/>
      <c r="U113" s="1205"/>
    </row>
    <row r="114" spans="1:21" ht="186.75" customHeight="1" thickBot="1">
      <c r="A114" s="1255" t="s">
        <v>529</v>
      </c>
      <c r="B114" s="1254"/>
      <c r="C114" s="1253"/>
      <c r="D114" s="1256">
        <v>700</v>
      </c>
      <c r="E114" s="1257" t="s">
        <v>586</v>
      </c>
      <c r="F114" s="1244"/>
      <c r="G114" s="1244"/>
      <c r="H114" s="1244"/>
      <c r="J114" s="1244"/>
      <c r="K114" s="1244"/>
      <c r="L114" s="1244"/>
      <c r="M114" s="1244"/>
      <c r="N114" s="1244"/>
      <c r="O114" s="1244"/>
      <c r="P114" s="1244"/>
      <c r="Q114" s="1244"/>
      <c r="R114" s="1244"/>
      <c r="S114" s="1244"/>
      <c r="T114" s="1244"/>
      <c r="U114" s="1244"/>
    </row>
    <row r="115" spans="1:21" ht="166.5" customHeight="1" thickBot="1">
      <c r="A115" s="1261" t="s">
        <v>530</v>
      </c>
      <c r="B115" s="1262"/>
      <c r="C115" s="1263"/>
      <c r="D115" s="1264">
        <v>500</v>
      </c>
      <c r="E115" s="1257" t="s">
        <v>586</v>
      </c>
      <c r="F115" s="1244"/>
      <c r="G115" s="1244"/>
      <c r="H115" s="1244"/>
      <c r="I115" s="1244"/>
      <c r="J115" s="1244"/>
      <c r="K115" s="1244"/>
      <c r="L115" s="1244"/>
      <c r="M115" s="1244"/>
      <c r="N115" s="1244"/>
      <c r="O115" s="1244"/>
      <c r="P115" s="1244"/>
      <c r="Q115" s="1244"/>
      <c r="R115" s="1244"/>
      <c r="S115" s="1244"/>
      <c r="T115" s="1244"/>
      <c r="U115" s="1244"/>
    </row>
    <row r="116" spans="1:21">
      <c r="A116" s="1069"/>
      <c r="B116" s="1205"/>
      <c r="C116" s="1205"/>
      <c r="D116" s="221"/>
      <c r="E116" s="1252"/>
      <c r="F116" s="1205"/>
      <c r="G116" s="1205"/>
      <c r="H116" s="1205"/>
      <c r="I116" s="1205"/>
      <c r="J116" s="1205"/>
      <c r="K116" s="1205"/>
      <c r="L116" s="1205"/>
      <c r="M116" s="1205"/>
      <c r="N116" s="1205"/>
      <c r="O116" s="1205"/>
      <c r="P116" s="1205"/>
      <c r="Q116" s="1205"/>
      <c r="R116" s="1205"/>
      <c r="S116" s="1205"/>
      <c r="T116" s="1205"/>
      <c r="U116" s="1205"/>
    </row>
    <row r="117" spans="1:21">
      <c r="A117" s="1069"/>
      <c r="B117" s="1205"/>
      <c r="C117" s="1205"/>
      <c r="D117" s="221"/>
      <c r="E117" s="1252"/>
      <c r="F117" s="1205"/>
      <c r="G117" s="1205"/>
      <c r="H117" s="1205"/>
      <c r="I117" s="1205"/>
      <c r="J117" s="1205"/>
      <c r="K117" s="1205"/>
      <c r="L117" s="1205"/>
      <c r="M117" s="1205"/>
      <c r="N117" s="1205"/>
      <c r="O117" s="1205"/>
      <c r="P117" s="1205"/>
      <c r="Q117" s="1205"/>
      <c r="R117" s="1205"/>
      <c r="S117" s="1205"/>
      <c r="T117" s="1205"/>
      <c r="U117" s="1205"/>
    </row>
    <row r="118" spans="1:21">
      <c r="A118" s="1069"/>
      <c r="B118" s="1205"/>
      <c r="C118" s="1205"/>
      <c r="D118" s="221"/>
      <c r="E118" s="1252"/>
      <c r="F118" s="1205"/>
      <c r="G118" s="1205"/>
      <c r="H118" s="1205"/>
      <c r="I118" s="1205"/>
      <c r="J118" s="1205"/>
      <c r="K118" s="1205"/>
      <c r="L118" s="1205"/>
      <c r="M118" s="1205"/>
      <c r="N118" s="1205"/>
      <c r="O118" s="1205"/>
      <c r="P118" s="1205"/>
      <c r="Q118" s="1205"/>
      <c r="R118" s="1205"/>
      <c r="S118" s="1205"/>
      <c r="T118" s="1205"/>
      <c r="U118" s="1205"/>
    </row>
    <row r="119" spans="1:21">
      <c r="A119" s="1069"/>
      <c r="B119" s="1205"/>
      <c r="C119" s="1205"/>
      <c r="D119" s="221"/>
      <c r="E119" s="1252"/>
      <c r="F119" s="1205"/>
      <c r="G119" s="1205"/>
      <c r="H119" s="1205"/>
      <c r="I119" s="1205"/>
      <c r="J119" s="1205"/>
      <c r="K119" s="1205"/>
      <c r="L119" s="1205"/>
      <c r="M119" s="1205"/>
      <c r="N119" s="1205"/>
      <c r="O119" s="1205"/>
      <c r="P119" s="1205"/>
      <c r="Q119" s="1205"/>
      <c r="R119" s="1205"/>
      <c r="S119" s="1205"/>
      <c r="T119" s="1205"/>
      <c r="U119" s="1205"/>
    </row>
    <row r="120" spans="1:21">
      <c r="A120" s="1069"/>
      <c r="B120" s="1205"/>
      <c r="C120" s="1205"/>
      <c r="D120" s="221"/>
      <c r="E120" s="1252"/>
      <c r="F120" s="1205"/>
      <c r="G120" s="1205"/>
      <c r="H120" s="1205"/>
      <c r="I120" s="1205"/>
      <c r="J120" s="1205"/>
      <c r="K120" s="1205"/>
      <c r="L120" s="1205"/>
      <c r="M120" s="1205"/>
      <c r="N120" s="1205"/>
      <c r="O120" s="1205"/>
      <c r="P120" s="1205"/>
      <c r="Q120" s="1205"/>
      <c r="R120" s="1205"/>
      <c r="S120" s="1205"/>
      <c r="T120" s="1205"/>
      <c r="U120" s="1205"/>
    </row>
    <row r="121" spans="1:21">
      <c r="A121" s="1069"/>
      <c r="B121" s="1205"/>
      <c r="C121" s="1205"/>
      <c r="D121" s="221"/>
      <c r="E121" s="1252"/>
      <c r="F121" s="1205"/>
      <c r="G121" s="1205"/>
      <c r="H121" s="1205"/>
      <c r="I121" s="1205"/>
      <c r="J121" s="1205"/>
      <c r="K121" s="1205"/>
      <c r="L121" s="1205"/>
      <c r="M121" s="1205"/>
      <c r="N121" s="1205"/>
      <c r="O121" s="1205"/>
      <c r="P121" s="1205"/>
      <c r="Q121" s="1205"/>
      <c r="R121" s="1205"/>
      <c r="S121" s="1205"/>
      <c r="T121" s="1205"/>
      <c r="U121" s="1205"/>
    </row>
    <row r="122" spans="1:21">
      <c r="A122" s="1069"/>
      <c r="B122" s="1205"/>
      <c r="C122" s="1205"/>
      <c r="D122" s="221"/>
      <c r="E122" s="1252"/>
      <c r="F122" s="1205"/>
      <c r="G122" s="1205"/>
      <c r="H122" s="1205"/>
      <c r="I122" s="1205"/>
      <c r="J122" s="1205"/>
      <c r="K122" s="1205"/>
      <c r="L122" s="1205"/>
      <c r="M122" s="1205"/>
      <c r="N122" s="1205"/>
      <c r="O122" s="1205"/>
      <c r="P122" s="1205"/>
      <c r="Q122" s="1205"/>
      <c r="R122" s="1205"/>
      <c r="S122" s="1205"/>
      <c r="T122" s="1205"/>
      <c r="U122" s="1205"/>
    </row>
    <row r="123" spans="1:21">
      <c r="A123" s="1069"/>
      <c r="B123" s="1205"/>
      <c r="C123" s="1205"/>
      <c r="D123" s="221"/>
      <c r="E123" s="1252"/>
      <c r="F123" s="1205"/>
      <c r="G123" s="1205"/>
      <c r="H123" s="1205"/>
      <c r="I123" s="1205"/>
      <c r="J123" s="1205"/>
      <c r="K123" s="1205"/>
      <c r="L123" s="1205"/>
      <c r="M123" s="1205"/>
      <c r="N123" s="1205"/>
      <c r="O123" s="1205"/>
      <c r="P123" s="1205"/>
      <c r="Q123" s="1205"/>
      <c r="R123" s="1205"/>
      <c r="S123" s="1205"/>
      <c r="T123" s="1205"/>
      <c r="U123" s="1205"/>
    </row>
    <row r="124" spans="1:21">
      <c r="A124" s="1069"/>
      <c r="B124" s="1205"/>
      <c r="C124" s="1205"/>
      <c r="D124" s="221"/>
      <c r="E124" s="1252"/>
      <c r="F124" s="1205"/>
      <c r="G124" s="1205"/>
      <c r="H124" s="1205"/>
      <c r="I124" s="1205"/>
      <c r="J124" s="1205"/>
      <c r="K124" s="1205"/>
      <c r="L124" s="1205"/>
      <c r="M124" s="1205"/>
      <c r="N124" s="1205"/>
      <c r="O124" s="1205"/>
      <c r="P124" s="1205"/>
      <c r="Q124" s="1205"/>
      <c r="R124" s="1205"/>
      <c r="S124" s="1205"/>
      <c r="T124" s="1205"/>
      <c r="U124" s="1205"/>
    </row>
    <row r="125" spans="1:21">
      <c r="A125" s="1069"/>
      <c r="B125" s="1205"/>
      <c r="C125" s="1205"/>
      <c r="D125" s="221"/>
      <c r="E125" s="1252"/>
      <c r="F125" s="1205"/>
      <c r="G125" s="1205"/>
      <c r="H125" s="1205"/>
      <c r="I125" s="1205"/>
      <c r="J125" s="1205"/>
      <c r="K125" s="1205"/>
      <c r="L125" s="1205"/>
      <c r="M125" s="1205"/>
      <c r="N125" s="1205"/>
      <c r="O125" s="1205"/>
      <c r="P125" s="1205"/>
      <c r="Q125" s="1205"/>
      <c r="R125" s="1205"/>
      <c r="S125" s="1205"/>
      <c r="T125" s="1205"/>
      <c r="U125" s="1205"/>
    </row>
    <row r="126" spans="1:21">
      <c r="A126" s="1069"/>
      <c r="B126" s="1205"/>
      <c r="C126" s="1205"/>
      <c r="D126" s="221"/>
      <c r="E126" s="1252"/>
      <c r="F126" s="1205"/>
      <c r="G126" s="1205"/>
      <c r="H126" s="1205"/>
      <c r="I126" s="1205"/>
      <c r="J126" s="1205"/>
      <c r="K126" s="1205"/>
      <c r="L126" s="1205"/>
      <c r="M126" s="1205"/>
      <c r="N126" s="1205"/>
      <c r="O126" s="1205"/>
      <c r="P126" s="1205"/>
      <c r="Q126" s="1205"/>
      <c r="R126" s="1205"/>
      <c r="S126" s="1205"/>
      <c r="T126" s="1205"/>
      <c r="U126" s="1205"/>
    </row>
    <row r="127" spans="1:21">
      <c r="A127" s="1069"/>
      <c r="B127" s="1205"/>
      <c r="C127" s="1205"/>
      <c r="D127" s="221"/>
      <c r="E127" s="1252"/>
      <c r="F127" s="1205"/>
      <c r="G127" s="1205"/>
      <c r="H127" s="1205"/>
      <c r="I127" s="1205"/>
      <c r="J127" s="1205"/>
      <c r="K127" s="1205"/>
      <c r="L127" s="1205"/>
      <c r="M127" s="1205"/>
      <c r="N127" s="1205"/>
      <c r="O127" s="1205"/>
      <c r="P127" s="1205"/>
      <c r="Q127" s="1205"/>
      <c r="R127" s="1205"/>
      <c r="S127" s="1205"/>
      <c r="T127" s="1205"/>
      <c r="U127" s="1205"/>
    </row>
    <row r="128" spans="1:21">
      <c r="A128" s="1069"/>
      <c r="B128" s="1205"/>
      <c r="C128" s="1205"/>
      <c r="D128" s="221"/>
      <c r="E128" s="1252"/>
      <c r="F128" s="1205"/>
      <c r="G128" s="1205"/>
      <c r="H128" s="1205"/>
      <c r="I128" s="1205"/>
      <c r="J128" s="1205"/>
      <c r="K128" s="1205"/>
      <c r="L128" s="1205"/>
      <c r="M128" s="1205"/>
      <c r="N128" s="1205"/>
      <c r="O128" s="1205"/>
      <c r="P128" s="1205"/>
      <c r="Q128" s="1205"/>
      <c r="R128" s="1205"/>
      <c r="S128" s="1205"/>
      <c r="T128" s="1205"/>
      <c r="U128" s="1205"/>
    </row>
    <row r="129" spans="1:21">
      <c r="A129" s="1069"/>
      <c r="B129" s="1205"/>
      <c r="C129" s="1205"/>
      <c r="D129" s="221"/>
      <c r="E129" s="1252"/>
      <c r="F129" s="1205"/>
      <c r="G129" s="1205"/>
      <c r="H129" s="1205"/>
      <c r="I129" s="1205"/>
      <c r="J129" s="1205"/>
      <c r="K129" s="1205"/>
      <c r="L129" s="1205"/>
      <c r="M129" s="1205"/>
      <c r="N129" s="1205"/>
      <c r="O129" s="1205"/>
      <c r="P129" s="1205"/>
      <c r="Q129" s="1205"/>
      <c r="R129" s="1205"/>
      <c r="S129" s="1205"/>
      <c r="T129" s="1205"/>
      <c r="U129" s="1205"/>
    </row>
    <row r="130" spans="1:21">
      <c r="A130" s="1069"/>
      <c r="B130" s="1205"/>
      <c r="C130" s="1205"/>
      <c r="D130" s="221"/>
      <c r="E130" s="1252"/>
      <c r="F130" s="1205"/>
      <c r="G130" s="1205"/>
      <c r="H130" s="1205"/>
      <c r="I130" s="1205"/>
      <c r="J130" s="1205"/>
      <c r="K130" s="1205"/>
      <c r="L130" s="1205"/>
      <c r="M130" s="1205"/>
      <c r="N130" s="1205"/>
      <c r="O130" s="1205"/>
      <c r="P130" s="1205"/>
      <c r="Q130" s="1205"/>
      <c r="R130" s="1205"/>
      <c r="S130" s="1205"/>
      <c r="T130" s="1205"/>
      <c r="U130" s="1205"/>
    </row>
    <row r="131" spans="1:21">
      <c r="A131" s="1069"/>
      <c r="B131" s="1205"/>
      <c r="C131" s="1205"/>
      <c r="D131" s="221"/>
      <c r="E131" s="1252"/>
      <c r="F131" s="1205"/>
      <c r="G131" s="1205"/>
      <c r="H131" s="1205"/>
      <c r="I131" s="1205"/>
      <c r="J131" s="1205"/>
      <c r="K131" s="1205"/>
      <c r="L131" s="1205"/>
      <c r="M131" s="1205"/>
      <c r="N131" s="1205"/>
      <c r="O131" s="1205"/>
      <c r="P131" s="1205"/>
      <c r="Q131" s="1205"/>
      <c r="R131" s="1205"/>
      <c r="S131" s="1205"/>
      <c r="T131" s="1205"/>
      <c r="U131" s="1205"/>
    </row>
    <row r="132" spans="1:21">
      <c r="A132" s="1069"/>
      <c r="B132" s="1205"/>
      <c r="C132" s="1205"/>
      <c r="D132" s="221"/>
      <c r="E132" s="1252"/>
      <c r="P132" s="1205"/>
      <c r="Q132" s="1205"/>
      <c r="R132" s="1205"/>
      <c r="S132" s="1205"/>
      <c r="T132" s="1205"/>
      <c r="U132" s="1205"/>
    </row>
  </sheetData>
  <mergeCells count="105">
    <mergeCell ref="F74:I93"/>
    <mergeCell ref="D107:D113"/>
    <mergeCell ref="A98:A101"/>
    <mergeCell ref="B98:B101"/>
    <mergeCell ref="C98:C101"/>
    <mergeCell ref="D98:D101"/>
    <mergeCell ref="A102:A105"/>
    <mergeCell ref="B102:B105"/>
    <mergeCell ref="C102:C105"/>
    <mergeCell ref="D102:D105"/>
    <mergeCell ref="A107:A113"/>
    <mergeCell ref="B107:B113"/>
    <mergeCell ref="C107:C113"/>
    <mergeCell ref="D79:D83"/>
    <mergeCell ref="A84:A88"/>
    <mergeCell ref="B84:B88"/>
    <mergeCell ref="C84:C88"/>
    <mergeCell ref="D84:D88"/>
    <mergeCell ref="A89:A93"/>
    <mergeCell ref="B89:B93"/>
    <mergeCell ref="C89:C93"/>
    <mergeCell ref="A59:A63"/>
    <mergeCell ref="B59:B63"/>
    <mergeCell ref="C59:C63"/>
    <mergeCell ref="D59:D63"/>
    <mergeCell ref="D89:D93"/>
    <mergeCell ref="A94:A97"/>
    <mergeCell ref="B94:B97"/>
    <mergeCell ref="C94:C97"/>
    <mergeCell ref="D94:D97"/>
    <mergeCell ref="A69:A73"/>
    <mergeCell ref="B69:B73"/>
    <mergeCell ref="C69:C73"/>
    <mergeCell ref="D69:D73"/>
    <mergeCell ref="A64:A68"/>
    <mergeCell ref="B64:B68"/>
    <mergeCell ref="C64:C68"/>
    <mergeCell ref="D64:D68"/>
    <mergeCell ref="A74:A78"/>
    <mergeCell ref="B74:B78"/>
    <mergeCell ref="C74:C78"/>
    <mergeCell ref="D74:D78"/>
    <mergeCell ref="A79:A83"/>
    <mergeCell ref="B79:B83"/>
    <mergeCell ref="C79:C83"/>
    <mergeCell ref="A44:A48"/>
    <mergeCell ref="B44:B48"/>
    <mergeCell ref="C44:C48"/>
    <mergeCell ref="D44:D48"/>
    <mergeCell ref="A49:A53"/>
    <mergeCell ref="B49:B53"/>
    <mergeCell ref="C49:C53"/>
    <mergeCell ref="D49:D53"/>
    <mergeCell ref="A54:A58"/>
    <mergeCell ref="B54:B58"/>
    <mergeCell ref="C54:C58"/>
    <mergeCell ref="D54:D58"/>
    <mergeCell ref="A29:A33"/>
    <mergeCell ref="B29:B33"/>
    <mergeCell ref="C29:C33"/>
    <mergeCell ref="D29:D33"/>
    <mergeCell ref="A34:A38"/>
    <mergeCell ref="B34:B38"/>
    <mergeCell ref="C34:C38"/>
    <mergeCell ref="D34:D38"/>
    <mergeCell ref="A39:A43"/>
    <mergeCell ref="B39:B43"/>
    <mergeCell ref="C39:C43"/>
    <mergeCell ref="D39:D43"/>
    <mergeCell ref="A14:A18"/>
    <mergeCell ref="B14:B18"/>
    <mergeCell ref="C14:C18"/>
    <mergeCell ref="D14:D18"/>
    <mergeCell ref="A19:A23"/>
    <mergeCell ref="B19:B23"/>
    <mergeCell ref="C19:C23"/>
    <mergeCell ref="D19:D23"/>
    <mergeCell ref="A24:A28"/>
    <mergeCell ref="B24:B28"/>
    <mergeCell ref="C24:C28"/>
    <mergeCell ref="D24:D28"/>
    <mergeCell ref="A2:C2"/>
    <mergeCell ref="D2:D3"/>
    <mergeCell ref="A4:A8"/>
    <mergeCell ref="B4:B8"/>
    <mergeCell ref="C4:C8"/>
    <mergeCell ref="D4:D8"/>
    <mergeCell ref="A9:A13"/>
    <mergeCell ref="B9:B13"/>
    <mergeCell ref="C9:C13"/>
    <mergeCell ref="D9:D13"/>
    <mergeCell ref="E2:E3"/>
    <mergeCell ref="E107:E113"/>
    <mergeCell ref="E4:E13"/>
    <mergeCell ref="E14:E23"/>
    <mergeCell ref="E24:E33"/>
    <mergeCell ref="E34:E43"/>
    <mergeCell ref="E44:E53"/>
    <mergeCell ref="E54:E63"/>
    <mergeCell ref="E64:E73"/>
    <mergeCell ref="E74:E83"/>
    <mergeCell ref="E84:E93"/>
    <mergeCell ref="E94:E97"/>
    <mergeCell ref="E98:E101"/>
    <mergeCell ref="E102:E105"/>
  </mergeCells>
  <hyperlinks>
    <hyperlink ref="A1" location="Главная!A1" display="Вернуться на главную страницу" xr:uid="{00000000-0004-0000-2B00-000000000000}"/>
  </hyperlink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Лист57"/>
  <dimension ref="A1:W110"/>
  <sheetViews>
    <sheetView zoomScale="70" zoomScaleNormal="70" workbookViewId="0"/>
  </sheetViews>
  <sheetFormatPr defaultColWidth="9.140625" defaultRowHeight="15"/>
  <cols>
    <col min="1" max="1" width="27" style="93" customWidth="1"/>
    <col min="2" max="2" width="86.42578125" style="95" customWidth="1"/>
    <col min="3" max="3" width="46" style="93" customWidth="1"/>
    <col min="4" max="4" width="23.5703125" style="1056" customWidth="1"/>
    <col min="5" max="23" width="9.140625" style="221"/>
    <col min="24" max="16384" width="9.140625" style="93"/>
  </cols>
  <sheetData>
    <row r="1" spans="1:4" ht="19.5" customHeight="1" thickBot="1">
      <c r="A1" s="15" t="s">
        <v>9</v>
      </c>
      <c r="B1" s="93"/>
      <c r="C1" s="254"/>
    </row>
    <row r="2" spans="1:4" ht="56.25" customHeight="1" thickBot="1">
      <c r="A2" s="3008" t="s">
        <v>429</v>
      </c>
      <c r="B2" s="3009"/>
      <c r="C2" s="3010"/>
      <c r="D2" s="3011" t="s">
        <v>5795</v>
      </c>
    </row>
    <row r="3" spans="1:4" ht="56.25" customHeight="1" thickBot="1">
      <c r="A3" s="1057" t="s">
        <v>21</v>
      </c>
      <c r="B3" s="1057" t="s">
        <v>430</v>
      </c>
      <c r="C3" s="1057" t="s">
        <v>431</v>
      </c>
      <c r="D3" s="3012"/>
    </row>
    <row r="4" spans="1:4" ht="147.75" customHeight="1">
      <c r="A4" s="1058" t="s">
        <v>432</v>
      </c>
      <c r="B4" s="1059"/>
      <c r="C4" s="1060"/>
      <c r="D4" s="1083">
        <v>1230</v>
      </c>
    </row>
    <row r="5" spans="1:4" ht="147.75" customHeight="1">
      <c r="A5" s="1061" t="s">
        <v>433</v>
      </c>
      <c r="B5" s="239"/>
      <c r="C5" s="240"/>
      <c r="D5" s="1084">
        <v>2890</v>
      </c>
    </row>
    <row r="6" spans="1:4" ht="147.75" customHeight="1">
      <c r="A6" s="1061" t="s">
        <v>480</v>
      </c>
      <c r="B6" s="239"/>
      <c r="C6" s="240"/>
      <c r="D6" s="1084">
        <v>1670</v>
      </c>
    </row>
    <row r="7" spans="1:4" ht="147.75" customHeight="1">
      <c r="A7" s="1061" t="s">
        <v>434</v>
      </c>
      <c r="B7" s="239"/>
      <c r="C7" s="240"/>
      <c r="D7" s="1084">
        <v>6530</v>
      </c>
    </row>
    <row r="8" spans="1:4" ht="147.75" customHeight="1">
      <c r="A8" s="1061" t="s">
        <v>481</v>
      </c>
      <c r="B8" s="239"/>
      <c r="C8" s="240"/>
      <c r="D8" s="1084">
        <v>5310</v>
      </c>
    </row>
    <row r="9" spans="1:4" ht="200.25" customHeight="1">
      <c r="A9" s="1061" t="s">
        <v>435</v>
      </c>
      <c r="B9" s="239"/>
      <c r="C9" s="241"/>
      <c r="D9" s="1084">
        <v>12970</v>
      </c>
    </row>
    <row r="10" spans="1:4" ht="200.25" customHeight="1">
      <c r="A10" s="1061" t="s">
        <v>482</v>
      </c>
      <c r="B10" s="239"/>
      <c r="C10" s="241"/>
      <c r="D10" s="1084">
        <v>11750</v>
      </c>
    </row>
    <row r="11" spans="1:4" ht="216.75" customHeight="1">
      <c r="A11" s="1061" t="s">
        <v>484</v>
      </c>
      <c r="B11" s="239"/>
      <c r="C11" s="241"/>
      <c r="D11" s="1084">
        <v>3940</v>
      </c>
    </row>
    <row r="12" spans="1:4" ht="216.75" customHeight="1">
      <c r="A12" s="1061" t="s">
        <v>483</v>
      </c>
      <c r="B12" s="239"/>
      <c r="C12" s="241"/>
      <c r="D12" s="1084">
        <v>2720</v>
      </c>
    </row>
    <row r="13" spans="1:4" ht="147.75" customHeight="1">
      <c r="A13" s="1061" t="s">
        <v>436</v>
      </c>
      <c r="B13" s="242"/>
      <c r="C13" s="240"/>
      <c r="D13" s="1084">
        <v>6460</v>
      </c>
    </row>
    <row r="14" spans="1:4" ht="147.75" customHeight="1">
      <c r="A14" s="1061" t="s">
        <v>437</v>
      </c>
      <c r="B14" s="242"/>
      <c r="C14" s="240"/>
      <c r="D14" s="1084">
        <v>6460</v>
      </c>
    </row>
    <row r="15" spans="1:4" ht="93.75" customHeight="1">
      <c r="A15" s="1061" t="s">
        <v>438</v>
      </c>
      <c r="B15" s="243" t="s">
        <v>594</v>
      </c>
      <c r="C15" s="240"/>
      <c r="D15" s="1084">
        <v>870</v>
      </c>
    </row>
    <row r="16" spans="1:4" ht="85.5" customHeight="1">
      <c r="A16" s="1061" t="s">
        <v>439</v>
      </c>
      <c r="B16" s="244" t="s">
        <v>595</v>
      </c>
      <c r="C16" s="240"/>
      <c r="D16" s="1084">
        <v>1840</v>
      </c>
    </row>
    <row r="17" spans="1:8" ht="85.5" customHeight="1">
      <c r="A17" s="1061" t="s">
        <v>440</v>
      </c>
      <c r="B17" s="1289" t="s">
        <v>596</v>
      </c>
      <c r="C17" s="240"/>
      <c r="D17" s="1084">
        <v>1840</v>
      </c>
    </row>
    <row r="18" spans="1:8" ht="150" customHeight="1">
      <c r="A18" s="1061" t="s">
        <v>441</v>
      </c>
      <c r="B18" s="245" t="s">
        <v>597</v>
      </c>
      <c r="C18" s="240"/>
      <c r="D18" s="1084">
        <v>3510</v>
      </c>
    </row>
    <row r="19" spans="1:8" ht="150" customHeight="1">
      <c r="A19" s="1061" t="s">
        <v>442</v>
      </c>
      <c r="B19" s="244" t="s">
        <v>598</v>
      </c>
      <c r="C19" s="240"/>
      <c r="D19" s="1084">
        <v>3510</v>
      </c>
    </row>
    <row r="20" spans="1:8" ht="162" customHeight="1">
      <c r="A20" s="1061" t="s">
        <v>443</v>
      </c>
      <c r="B20" s="244" t="s">
        <v>599</v>
      </c>
      <c r="C20" s="240"/>
      <c r="D20" s="1084">
        <v>3510</v>
      </c>
    </row>
    <row r="21" spans="1:8" ht="157.5" customHeight="1">
      <c r="A21" s="1062" t="s">
        <v>444</v>
      </c>
      <c r="B21" s="244" t="s">
        <v>5835</v>
      </c>
      <c r="C21" s="240"/>
      <c r="D21" s="1084">
        <v>2790</v>
      </c>
      <c r="H21" s="1052"/>
    </row>
    <row r="22" spans="1:8" ht="157.5" customHeight="1">
      <c r="A22" s="1062" t="s">
        <v>445</v>
      </c>
      <c r="B22" s="1063" t="s">
        <v>600</v>
      </c>
      <c r="C22" s="240"/>
      <c r="D22" s="1084">
        <v>3160</v>
      </c>
    </row>
    <row r="23" spans="1:8" ht="157.5" customHeight="1">
      <c r="A23" s="1062" t="s">
        <v>446</v>
      </c>
      <c r="B23" s="244" t="s">
        <v>601</v>
      </c>
      <c r="C23" s="240"/>
      <c r="D23" s="1084">
        <v>6320</v>
      </c>
    </row>
    <row r="24" spans="1:8" ht="157.5" customHeight="1">
      <c r="A24" s="1064" t="s">
        <v>447</v>
      </c>
      <c r="B24" s="242"/>
      <c r="C24" s="240"/>
      <c r="D24" s="1084">
        <v>3420</v>
      </c>
    </row>
    <row r="25" spans="1:8" ht="158.25" customHeight="1">
      <c r="A25" s="1064" t="s">
        <v>448</v>
      </c>
      <c r="B25" s="242"/>
      <c r="C25" s="240"/>
      <c r="D25" s="1084">
        <v>3420</v>
      </c>
    </row>
    <row r="26" spans="1:8" ht="197.25" customHeight="1">
      <c r="A26" s="1065" t="s">
        <v>449</v>
      </c>
      <c r="B26" s="1066" t="s">
        <v>602</v>
      </c>
      <c r="C26" s="240"/>
      <c r="D26" s="1084">
        <v>19720</v>
      </c>
    </row>
    <row r="27" spans="1:8" ht="197.25" customHeight="1">
      <c r="A27" s="1065" t="s">
        <v>450</v>
      </c>
      <c r="B27" s="1066" t="s">
        <v>603</v>
      </c>
      <c r="C27" s="240"/>
      <c r="D27" s="1084">
        <v>19720</v>
      </c>
    </row>
    <row r="28" spans="1:8" ht="197.25" customHeight="1">
      <c r="A28" s="1065" t="s">
        <v>451</v>
      </c>
      <c r="B28" s="1066" t="s">
        <v>604</v>
      </c>
      <c r="C28" s="240"/>
      <c r="D28" s="1084">
        <v>26670</v>
      </c>
    </row>
    <row r="29" spans="1:8" ht="197.25" customHeight="1">
      <c r="A29" s="1065" t="s">
        <v>452</v>
      </c>
      <c r="B29" s="1066" t="s">
        <v>605</v>
      </c>
      <c r="C29" s="240"/>
      <c r="D29" s="1084">
        <v>26670</v>
      </c>
    </row>
    <row r="30" spans="1:8" ht="202.5" customHeight="1" thickBot="1">
      <c r="A30" s="1067" t="s">
        <v>526</v>
      </c>
      <c r="B30" s="1240" t="s">
        <v>606</v>
      </c>
      <c r="C30" s="246"/>
      <c r="D30" s="1241">
        <v>14160</v>
      </c>
    </row>
    <row r="31" spans="1:8">
      <c r="A31" s="221"/>
      <c r="B31" s="300"/>
      <c r="C31" s="221"/>
      <c r="D31" s="1068"/>
    </row>
    <row r="32" spans="1:8">
      <c r="A32" s="221"/>
      <c r="B32" s="300"/>
      <c r="C32" s="221"/>
      <c r="D32" s="1068"/>
    </row>
    <row r="33" spans="1:4">
      <c r="A33" s="221"/>
      <c r="B33" s="300"/>
      <c r="C33" s="221"/>
      <c r="D33" s="1068"/>
    </row>
    <row r="34" spans="1:4">
      <c r="A34" s="221"/>
      <c r="B34" s="300"/>
      <c r="C34" s="221"/>
      <c r="D34" s="1068"/>
    </row>
    <row r="35" spans="1:4">
      <c r="A35" s="221"/>
      <c r="B35" s="300"/>
      <c r="C35" s="221"/>
      <c r="D35" s="1068"/>
    </row>
    <row r="36" spans="1:4">
      <c r="A36" s="221"/>
      <c r="B36" s="300"/>
      <c r="C36" s="221"/>
      <c r="D36" s="1068"/>
    </row>
    <row r="37" spans="1:4">
      <c r="A37" s="221"/>
      <c r="B37" s="300"/>
      <c r="C37" s="221"/>
      <c r="D37" s="1068"/>
    </row>
    <row r="38" spans="1:4">
      <c r="A38" s="221"/>
      <c r="B38" s="300"/>
      <c r="C38" s="221"/>
      <c r="D38" s="1068"/>
    </row>
    <row r="39" spans="1:4">
      <c r="A39" s="221"/>
      <c r="B39" s="300"/>
      <c r="C39" s="221"/>
      <c r="D39" s="1068"/>
    </row>
    <row r="40" spans="1:4">
      <c r="A40" s="221"/>
      <c r="B40" s="300"/>
      <c r="C40" s="221"/>
      <c r="D40" s="1068"/>
    </row>
    <row r="41" spans="1:4">
      <c r="A41" s="221"/>
      <c r="B41" s="300"/>
      <c r="C41" s="221"/>
      <c r="D41" s="1068"/>
    </row>
    <row r="42" spans="1:4">
      <c r="A42" s="221"/>
      <c r="B42" s="300"/>
      <c r="C42" s="221"/>
      <c r="D42" s="1068"/>
    </row>
    <row r="43" spans="1:4">
      <c r="A43" s="221"/>
      <c r="B43" s="300"/>
      <c r="C43" s="221"/>
      <c r="D43" s="1068"/>
    </row>
    <row r="44" spans="1:4">
      <c r="A44" s="221"/>
      <c r="B44" s="300"/>
      <c r="C44" s="221"/>
      <c r="D44" s="1068"/>
    </row>
    <row r="45" spans="1:4">
      <c r="A45" s="221"/>
      <c r="B45" s="300"/>
      <c r="C45" s="221"/>
      <c r="D45" s="1068"/>
    </row>
    <row r="46" spans="1:4">
      <c r="A46" s="221"/>
      <c r="B46" s="300"/>
      <c r="C46" s="221"/>
      <c r="D46" s="1068"/>
    </row>
    <row r="47" spans="1:4">
      <c r="A47" s="221"/>
      <c r="B47" s="300"/>
      <c r="C47" s="221"/>
      <c r="D47" s="1068"/>
    </row>
    <row r="48" spans="1:4">
      <c r="A48" s="221"/>
      <c r="B48" s="300"/>
      <c r="C48" s="221"/>
      <c r="D48" s="1068"/>
    </row>
    <row r="49" spans="1:4">
      <c r="A49" s="221"/>
      <c r="B49" s="300"/>
      <c r="C49" s="221"/>
      <c r="D49" s="1068"/>
    </row>
    <row r="50" spans="1:4">
      <c r="A50" s="221"/>
      <c r="B50" s="300"/>
      <c r="C50" s="221"/>
      <c r="D50" s="1068"/>
    </row>
    <row r="51" spans="1:4">
      <c r="A51" s="221"/>
      <c r="B51" s="300"/>
      <c r="C51" s="221"/>
      <c r="D51" s="1068"/>
    </row>
    <row r="52" spans="1:4">
      <c r="A52" s="221"/>
      <c r="B52" s="300"/>
      <c r="C52" s="221"/>
      <c r="D52" s="1068"/>
    </row>
    <row r="53" spans="1:4">
      <c r="A53" s="221"/>
      <c r="B53" s="300"/>
      <c r="C53" s="221"/>
      <c r="D53" s="1068"/>
    </row>
    <row r="54" spans="1:4">
      <c r="A54" s="221"/>
      <c r="B54" s="300"/>
      <c r="C54" s="221"/>
      <c r="D54" s="1068"/>
    </row>
    <row r="55" spans="1:4">
      <c r="A55" s="221"/>
      <c r="B55" s="300"/>
      <c r="C55" s="221"/>
      <c r="D55" s="1068"/>
    </row>
    <row r="56" spans="1:4">
      <c r="A56" s="221"/>
      <c r="B56" s="300"/>
      <c r="C56" s="221"/>
      <c r="D56" s="1068"/>
    </row>
    <row r="57" spans="1:4">
      <c r="A57" s="221"/>
      <c r="B57" s="300"/>
      <c r="C57" s="221"/>
      <c r="D57" s="1068"/>
    </row>
    <row r="58" spans="1:4">
      <c r="A58" s="221"/>
      <c r="B58" s="300"/>
      <c r="C58" s="221"/>
      <c r="D58" s="1068"/>
    </row>
    <row r="59" spans="1:4">
      <c r="A59" s="221"/>
      <c r="B59" s="300"/>
      <c r="C59" s="221"/>
      <c r="D59" s="1068"/>
    </row>
    <row r="60" spans="1:4">
      <c r="A60" s="221"/>
      <c r="B60" s="300"/>
      <c r="C60" s="221"/>
      <c r="D60" s="1068"/>
    </row>
    <row r="61" spans="1:4">
      <c r="A61" s="221"/>
      <c r="B61" s="300"/>
      <c r="C61" s="221"/>
      <c r="D61" s="1068"/>
    </row>
    <row r="62" spans="1:4">
      <c r="A62" s="221"/>
      <c r="B62" s="300"/>
      <c r="C62" s="221"/>
      <c r="D62" s="1068"/>
    </row>
    <row r="63" spans="1:4">
      <c r="A63" s="221"/>
      <c r="B63" s="300"/>
      <c r="C63" s="221"/>
      <c r="D63" s="1068"/>
    </row>
    <row r="64" spans="1:4">
      <c r="A64" s="221"/>
      <c r="B64" s="300"/>
      <c r="C64" s="221"/>
      <c r="D64" s="1068"/>
    </row>
    <row r="65" spans="1:4">
      <c r="A65" s="221"/>
      <c r="B65" s="300"/>
      <c r="C65" s="221"/>
      <c r="D65" s="1068"/>
    </row>
    <row r="66" spans="1:4">
      <c r="A66" s="221"/>
      <c r="B66" s="300"/>
      <c r="C66" s="221"/>
      <c r="D66" s="1068"/>
    </row>
    <row r="67" spans="1:4">
      <c r="A67" s="221"/>
      <c r="B67" s="300"/>
      <c r="C67" s="221"/>
      <c r="D67" s="1068"/>
    </row>
    <row r="68" spans="1:4">
      <c r="A68" s="221"/>
      <c r="B68" s="300"/>
      <c r="C68" s="221"/>
      <c r="D68" s="1068"/>
    </row>
    <row r="69" spans="1:4">
      <c r="A69" s="221"/>
      <c r="B69" s="300"/>
      <c r="C69" s="221"/>
      <c r="D69" s="1068"/>
    </row>
    <row r="70" spans="1:4">
      <c r="A70" s="221"/>
      <c r="B70" s="300"/>
      <c r="C70" s="221"/>
      <c r="D70" s="1068"/>
    </row>
    <row r="71" spans="1:4">
      <c r="A71" s="221"/>
      <c r="B71" s="300"/>
      <c r="C71" s="221"/>
      <c r="D71" s="1068"/>
    </row>
    <row r="72" spans="1:4">
      <c r="A72" s="221"/>
      <c r="B72" s="300"/>
      <c r="C72" s="221"/>
      <c r="D72" s="1068"/>
    </row>
    <row r="73" spans="1:4">
      <c r="A73" s="221"/>
      <c r="B73" s="300"/>
      <c r="C73" s="221"/>
      <c r="D73" s="1068"/>
    </row>
    <row r="74" spans="1:4">
      <c r="A74" s="221"/>
      <c r="B74" s="300"/>
      <c r="C74" s="221"/>
      <c r="D74" s="1068"/>
    </row>
    <row r="75" spans="1:4">
      <c r="A75" s="221"/>
      <c r="B75" s="300"/>
      <c r="C75" s="221"/>
      <c r="D75" s="1068"/>
    </row>
    <row r="76" spans="1:4">
      <c r="A76" s="221"/>
      <c r="B76" s="300"/>
      <c r="C76" s="221"/>
      <c r="D76" s="1068"/>
    </row>
    <row r="77" spans="1:4">
      <c r="A77" s="221"/>
      <c r="B77" s="300"/>
      <c r="C77" s="221"/>
      <c r="D77" s="1068"/>
    </row>
    <row r="78" spans="1:4">
      <c r="A78" s="221"/>
      <c r="B78" s="300"/>
      <c r="C78" s="221"/>
      <c r="D78" s="1068"/>
    </row>
    <row r="79" spans="1:4">
      <c r="A79" s="221"/>
      <c r="B79" s="300"/>
      <c r="C79" s="221"/>
      <c r="D79" s="1068"/>
    </row>
    <row r="80" spans="1:4">
      <c r="A80" s="221"/>
      <c r="B80" s="300"/>
      <c r="C80" s="221"/>
      <c r="D80" s="1068"/>
    </row>
    <row r="81" spans="1:4">
      <c r="A81" s="221"/>
      <c r="B81" s="300"/>
      <c r="C81" s="221"/>
      <c r="D81" s="1068"/>
    </row>
    <row r="82" spans="1:4">
      <c r="A82" s="221"/>
      <c r="B82" s="300"/>
      <c r="C82" s="221"/>
      <c r="D82" s="1068"/>
    </row>
    <row r="83" spans="1:4">
      <c r="A83" s="221"/>
      <c r="B83" s="300"/>
      <c r="C83" s="221"/>
      <c r="D83" s="1068"/>
    </row>
    <row r="84" spans="1:4">
      <c r="A84" s="221"/>
      <c r="B84" s="300"/>
      <c r="C84" s="221"/>
      <c r="D84" s="1068"/>
    </row>
    <row r="85" spans="1:4">
      <c r="A85" s="221"/>
      <c r="B85" s="300"/>
      <c r="C85" s="221"/>
      <c r="D85" s="1068"/>
    </row>
    <row r="86" spans="1:4">
      <c r="A86" s="221"/>
      <c r="B86" s="300"/>
      <c r="C86" s="221"/>
      <c r="D86" s="1068"/>
    </row>
    <row r="87" spans="1:4">
      <c r="A87" s="221"/>
      <c r="B87" s="300"/>
      <c r="C87" s="221"/>
      <c r="D87" s="1068"/>
    </row>
    <row r="88" spans="1:4">
      <c r="A88" s="221"/>
      <c r="B88" s="300"/>
      <c r="C88" s="221"/>
      <c r="D88" s="1068"/>
    </row>
    <row r="89" spans="1:4">
      <c r="A89" s="221"/>
      <c r="B89" s="300"/>
      <c r="C89" s="221"/>
      <c r="D89" s="1068"/>
    </row>
    <row r="90" spans="1:4">
      <c r="A90" s="221"/>
      <c r="B90" s="300"/>
      <c r="C90" s="221"/>
      <c r="D90" s="1068"/>
    </row>
    <row r="91" spans="1:4">
      <c r="A91" s="221"/>
      <c r="B91" s="300"/>
      <c r="C91" s="221"/>
      <c r="D91" s="1068"/>
    </row>
    <row r="92" spans="1:4">
      <c r="A92" s="221"/>
      <c r="B92" s="300"/>
      <c r="C92" s="221"/>
      <c r="D92" s="1068"/>
    </row>
    <row r="93" spans="1:4">
      <c r="A93" s="221"/>
      <c r="B93" s="300"/>
      <c r="C93" s="221"/>
      <c r="D93" s="1068"/>
    </row>
    <row r="94" spans="1:4">
      <c r="A94" s="221"/>
      <c r="B94" s="300"/>
      <c r="C94" s="221"/>
      <c r="D94" s="1068"/>
    </row>
    <row r="95" spans="1:4">
      <c r="A95" s="221"/>
      <c r="B95" s="300"/>
      <c r="C95" s="221"/>
      <c r="D95" s="1068"/>
    </row>
    <row r="96" spans="1:4">
      <c r="A96" s="221"/>
      <c r="B96" s="300"/>
      <c r="C96" s="221"/>
      <c r="D96" s="1068"/>
    </row>
    <row r="97" spans="1:4">
      <c r="A97" s="221"/>
      <c r="B97" s="300"/>
      <c r="C97" s="221"/>
      <c r="D97" s="1068"/>
    </row>
    <row r="98" spans="1:4">
      <c r="A98" s="221"/>
      <c r="B98" s="300"/>
      <c r="C98" s="221"/>
      <c r="D98" s="1068"/>
    </row>
    <row r="99" spans="1:4">
      <c r="A99" s="221"/>
      <c r="B99" s="300"/>
      <c r="C99" s="221"/>
      <c r="D99" s="1068"/>
    </row>
    <row r="100" spans="1:4">
      <c r="A100" s="221"/>
      <c r="B100" s="300"/>
      <c r="C100" s="221"/>
      <c r="D100" s="1068"/>
    </row>
    <row r="101" spans="1:4">
      <c r="A101" s="221"/>
      <c r="B101" s="300"/>
      <c r="C101" s="221"/>
      <c r="D101" s="1068"/>
    </row>
    <row r="102" spans="1:4">
      <c r="A102" s="221"/>
      <c r="B102" s="300"/>
      <c r="C102" s="221"/>
      <c r="D102" s="1068"/>
    </row>
    <row r="103" spans="1:4">
      <c r="A103" s="221"/>
      <c r="B103" s="300"/>
      <c r="C103" s="221"/>
      <c r="D103" s="1068"/>
    </row>
    <row r="104" spans="1:4">
      <c r="A104" s="221"/>
      <c r="B104" s="300"/>
      <c r="C104" s="221"/>
      <c r="D104" s="1068"/>
    </row>
    <row r="105" spans="1:4">
      <c r="A105" s="221"/>
      <c r="B105" s="300"/>
      <c r="C105" s="221"/>
      <c r="D105" s="1068"/>
    </row>
    <row r="106" spans="1:4">
      <c r="A106" s="221"/>
      <c r="B106" s="300"/>
      <c r="C106" s="221"/>
      <c r="D106" s="1068"/>
    </row>
    <row r="107" spans="1:4">
      <c r="A107" s="221"/>
      <c r="B107" s="300"/>
      <c r="C107" s="221"/>
      <c r="D107" s="1068"/>
    </row>
    <row r="108" spans="1:4">
      <c r="A108" s="221"/>
      <c r="B108" s="300"/>
      <c r="C108" s="221"/>
      <c r="D108" s="1068"/>
    </row>
    <row r="109" spans="1:4">
      <c r="A109" s="221"/>
      <c r="B109" s="300"/>
      <c r="C109" s="221"/>
      <c r="D109" s="1068"/>
    </row>
    <row r="110" spans="1:4">
      <c r="A110" s="221"/>
      <c r="B110" s="300"/>
      <c r="C110" s="221"/>
      <c r="D110" s="1068"/>
    </row>
  </sheetData>
  <mergeCells count="2">
    <mergeCell ref="A2:C2"/>
    <mergeCell ref="D2:D3"/>
  </mergeCells>
  <hyperlinks>
    <hyperlink ref="A1" location="Главная!A1" display="Вернуться на главную страницу" xr:uid="{00000000-0004-0000-2A00-000000000000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46</vt:i4>
      </vt:variant>
    </vt:vector>
  </HeadingPairs>
  <TitlesOfParts>
    <vt:vector size="46" baseType="lpstr">
      <vt:lpstr>Главная</vt:lpstr>
      <vt:lpstr>Артикул</vt:lpstr>
      <vt:lpstr>Описание</vt:lpstr>
      <vt:lpstr>Описание ВКЭ</vt:lpstr>
      <vt:lpstr>Специсполнения</vt:lpstr>
      <vt:lpstr>Калькулятор теплоотдач ВК</vt:lpstr>
      <vt:lpstr>Калькулятор теплоотдач ВКВ</vt:lpstr>
      <vt:lpstr>Калькулятор приточной вент</vt:lpstr>
      <vt:lpstr>65 ВЕНТ 24В</vt:lpstr>
      <vt:lpstr>70 ВЕНТ 24В</vt:lpstr>
      <vt:lpstr>75 ВЕНТ 24В</vt:lpstr>
      <vt:lpstr>80 ВЕНТ 24В</vt:lpstr>
      <vt:lpstr>90 ВЕНТ 24В</vt:lpstr>
      <vt:lpstr>110 ВЕНТ 24В</vt:lpstr>
      <vt:lpstr>140 ВЕНТ 24В</vt:lpstr>
      <vt:lpstr>150 ВЕНТ 24В</vt:lpstr>
      <vt:lpstr>55</vt:lpstr>
      <vt:lpstr>65</vt:lpstr>
      <vt:lpstr>70</vt:lpstr>
      <vt:lpstr>75</vt:lpstr>
      <vt:lpstr>80</vt:lpstr>
      <vt:lpstr>90</vt:lpstr>
      <vt:lpstr>110</vt:lpstr>
      <vt:lpstr>140</vt:lpstr>
      <vt:lpstr>150</vt:lpstr>
      <vt:lpstr>200</vt:lpstr>
      <vt:lpstr>300</vt:lpstr>
      <vt:lpstr>400</vt:lpstr>
      <vt:lpstr>500</vt:lpstr>
      <vt:lpstr>600</vt:lpstr>
      <vt:lpstr>ВК.МАХ.90</vt:lpstr>
      <vt:lpstr>ВК.МАХ.110</vt:lpstr>
      <vt:lpstr>ВК.МАХ.150</vt:lpstr>
      <vt:lpstr>ВК.МАХ.200</vt:lpstr>
      <vt:lpstr>ВКВТХ</vt:lpstr>
      <vt:lpstr>ВКВМ</vt:lpstr>
      <vt:lpstr>ВКВП</vt:lpstr>
      <vt:lpstr>ВКВ+ВКЭ</vt:lpstr>
      <vt:lpstr>Декоративная крышка</vt:lpstr>
      <vt:lpstr>Посезонная вкладка и монтаж кр</vt:lpstr>
      <vt:lpstr>Теплообменники</vt:lpstr>
      <vt:lpstr>Крепление тепл и крышки</vt:lpstr>
      <vt:lpstr>Вентиляторы</vt:lpstr>
      <vt:lpstr>Комплекты подключения</vt:lpstr>
      <vt:lpstr>Автоматика</vt:lpstr>
      <vt:lpstr>Арматура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aivaras</dc:creator>
  <cp:lastModifiedBy>Админ</cp:lastModifiedBy>
  <cp:lastPrinted>2022-06-15T11:25:30Z</cp:lastPrinted>
  <dcterms:created xsi:type="dcterms:W3CDTF">2016-02-10T09:16:30Z</dcterms:created>
  <dcterms:modified xsi:type="dcterms:W3CDTF">2025-09-29T15:06:41Z</dcterms:modified>
</cp:coreProperties>
</file>